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2.xml" ContentType="application/vnd.openxmlformats-officedocument.drawing+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drawings/drawing3.xml" ContentType="application/vnd.openxmlformats-officedocument.drawing+xml"/>
  <Override PartName="/xl/comments22.xml" ContentType="application/vnd.openxmlformats-officedocument.spreadsheetml.comments+xml"/>
  <Override PartName="/xl/comments23.xml" ContentType="application/vnd.openxmlformats-officedocument.spreadsheetml.comments+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Denne_projektmappe" defaultThemeVersion="124226"/>
  <mc:AlternateContent xmlns:mc="http://schemas.openxmlformats.org/markup-compatibility/2006">
    <mc:Choice Requires="x15">
      <x15ac:absPath xmlns:x15ac="http://schemas.microsoft.com/office/spreadsheetml/2010/11/ac" url="C:\TIMES models\TIMES_AZ\SubRES_TMPL\"/>
    </mc:Choice>
  </mc:AlternateContent>
  <xr:revisionPtr revIDLastSave="0" documentId="13_ncr:1_{A3F9176A-0BA8-4F1C-AB7A-B3AB919490D0}" xr6:coauthVersionLast="47" xr6:coauthVersionMax="47" xr10:uidLastSave="{00000000-0000-0000-0000-000000000000}"/>
  <bookViews>
    <workbookView xWindow="16308" yWindow="720" windowWidth="21012" windowHeight="14256" tabRatio="764" xr2:uid="{00000000-000D-0000-FFFF-FFFF00000000}"/>
  </bookViews>
  <sheets>
    <sheet name="LOG" sheetId="35" r:id="rId1"/>
    <sheet name="Intro" sheetId="48" r:id="rId2"/>
    <sheet name="READ THIS" sheetId="21" r:id="rId3"/>
    <sheet name="Notes" sheetId="75" r:id="rId4"/>
    <sheet name="IND_Construction_new" sheetId="94" r:id="rId5"/>
    <sheet name="IND_Utilities_new" sheetId="93" r:id="rId6"/>
    <sheet name="IND_Vehicles_new" sheetId="92" r:id="rId7"/>
    <sheet name="IND_PaperPulp_new" sheetId="91" r:id="rId8"/>
    <sheet name="IND_Wood_new" sheetId="89" r:id="rId9"/>
    <sheet name="IND_Other_new" sheetId="88" r:id="rId10"/>
    <sheet name="IND_Mining_new" sheetId="87" r:id="rId11"/>
    <sheet name="IND_IronSteel_new" sheetId="85" r:id="rId12"/>
    <sheet name="IND_Aluminium_new" sheetId="84" r:id="rId13"/>
    <sheet name="IND_Machinery_new" sheetId="83" r:id="rId14"/>
    <sheet name="IND_Food_new" sheetId="82" r:id="rId15"/>
    <sheet name="IND_CHEM_new" sheetId="81" r:id="rId16"/>
    <sheet name="IND_G&amp;C_new" sheetId="74" r:id="rId17"/>
    <sheet name="Carbon Capture Storage" sheetId="73" r:id="rId18"/>
    <sheet name="Transport" sheetId="106" r:id="rId19"/>
    <sheet name="Oil-fired boiler_NEW" sheetId="55" r:id="rId20"/>
    <sheet name="Natural gas boiler_New" sheetId="56" r:id="rId21"/>
    <sheet name="Biomass boiler" sheetId="72" r:id="rId22"/>
    <sheet name="Coal boiler" sheetId="79" r:id="rId23"/>
    <sheet name="Trad. Heat pump 80C" sheetId="63" r:id="rId24"/>
    <sheet name="Heat driven Heat pump 80C" sheetId="65" r:id="rId25"/>
    <sheet name="High Temp abs. Heat pump 150C" sheetId="62" r:id="rId26"/>
    <sheet name="Booster Heat pump 150C" sheetId="64" r:id="rId27"/>
    <sheet name="MVR" sheetId="66" r:id="rId28"/>
    <sheet name="Hotdisc" sheetId="68" r:id="rId29"/>
    <sheet name="Dielectric heating" sheetId="69" r:id="rId30"/>
    <sheet name="Infrared" sheetId="70" r:id="rId31"/>
    <sheet name="Electric boiler" sheetId="71" r:id="rId32"/>
    <sheet name="Direct electric heating" sheetId="57" r:id="rId33"/>
    <sheet name="DH substation" sheetId="5" r:id="rId34"/>
    <sheet name="DH network" sheetId="19" r:id="rId35"/>
    <sheet name="Electrical grid" sheetId="20" r:id="rId36"/>
    <sheet name="Solar heating" sheetId="13" r:id="rId37"/>
    <sheet name="Oil-fired boiler" sheetId="86" r:id="rId38"/>
    <sheet name="Natural gas boiler" sheetId="4" r:id="rId39"/>
    <sheet name="DHB Wood-Chips" sheetId="34" r:id="rId40"/>
    <sheet name="Biomass boiler, automatic" sheetId="6" r:id="rId41"/>
    <sheet name="Biomass boiler, manual" sheetId="7" r:id="rId42"/>
    <sheet name="Wood stove" sheetId="8" r:id="rId43"/>
    <sheet name="Heat pump, air-to-air" sheetId="9" r:id="rId44"/>
    <sheet name="Heat pump, air-to-water" sheetId="10" r:id="rId45"/>
    <sheet name="Heat pump, ground source" sheetId="11" r:id="rId46"/>
    <sheet name="HP, gas absorption,air-to-water" sheetId="28" r:id="rId47"/>
    <sheet name="HP, gas absorpt,brine-to-water" sheetId="29" r:id="rId48"/>
    <sheet name="Heat pump, gas engine air-water" sheetId="30" r:id="rId49"/>
    <sheet name="Heat pump, gas engine Brine-wat" sheetId="24" r:id="rId50"/>
    <sheet name="Heat pump, gas adsorption" sheetId="27" r:id="rId51"/>
    <sheet name="Heat pump, ventilation" sheetId="12" r:id="rId52"/>
    <sheet name="Electric heating" sheetId="14" r:id="rId53"/>
    <sheet name="Micro CHP, natural gas FC" sheetId="15" r:id="rId54"/>
    <sheet name="Micro CHP, hydrogen FC" sheetId="16" r:id="rId55"/>
    <sheet name="Micro CHP - Stirling engine" sheetId="17" r:id="rId56"/>
    <sheet name="Micro CHP - Gas engine" sheetId="18" r:id="rId57"/>
    <sheet name="HX_TechData" sheetId="99" r:id="rId58"/>
    <sheet name="HP_TechData" sheetId="100" r:id="rId59"/>
    <sheet name="HP_DATA" sheetId="101" r:id="rId60"/>
    <sheet name="HX_Data" sheetId="102" r:id="rId61"/>
    <sheet name="COP DH_LDC" sheetId="103"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61" hidden="1">'COP DH_LDC'!$A$1:$L$452</definedName>
    <definedName name="_ftn1" localSheetId="55">'Micro CHP - Stirling engine'!$B$91</definedName>
    <definedName name="_ftnref1" localSheetId="55">'Micro CHP - Stirling engine'!#REF!</definedName>
    <definedName name="_Order1" hidden="1">255</definedName>
    <definedName name="_Order2" hidden="1">255</definedName>
    <definedName name="_Sort" hidden="1">#REF!</definedName>
    <definedName name="_Toc305146851" localSheetId="40">'Biomass boiler, automatic'!$B$3</definedName>
    <definedName name="_Toc305146851" localSheetId="39">'DHB Wood-Chips'!$B$3</definedName>
    <definedName name="A4chosenYear">#REF!</definedName>
    <definedName name="A4colActive">#REF!</definedName>
    <definedName name="A4colCount">#REF!</definedName>
    <definedName name="A4filePath">#REF!</definedName>
    <definedName name="A4firstRow">#REF!</definedName>
    <definedName name="A4resultCol">#REF!</definedName>
    <definedName name="A4rowActive">[1]A4results!$X$7</definedName>
    <definedName name="A4rowCount">#REF!</definedName>
    <definedName name="A4sensitivity">#REF!</definedName>
    <definedName name="A4yearTable">#REF!</definedName>
    <definedName name="BG_valg">'[1]Biogas ENS'!$T$201</definedName>
    <definedName name="BiomassLargeCHP">[2]TechnologyData!$A$14:$M$41</definedName>
    <definedName name="BPslut">[2]Plants!$J$2</definedName>
    <definedName name="chosenLUC">[1]Cockpit!$B$8</definedName>
    <definedName name="chosenYear">[1]Cockpit!$B$5</definedName>
    <definedName name="DHareas" localSheetId="61">'COP DH_LDC'!$A$1:$G$439</definedName>
    <definedName name="dkkPerEUR">'[3]Centrale data'!$C$34</definedName>
    <definedName name="dkkPerUSD">[1]Supplementary!$C$38</definedName>
    <definedName name="E_waste">#REF!</definedName>
    <definedName name="Eksportstigning">[2]Plants!$J$6</definedName>
    <definedName name="ElBoiler">[2]TechnologyData!$O$72:$AA$99</definedName>
    <definedName name="ElPriceMix">[2]Subsidy!#REF!</definedName>
    <definedName name="EmissionOil">[4]Sheet1!$B$17</definedName>
    <definedName name="Euro" localSheetId="21">[5]IND_ELC!$E$2</definedName>
    <definedName name="Euro" localSheetId="26">[5]IND_ELC!$E$2</definedName>
    <definedName name="Euro" localSheetId="17">[5]IND_ELC!$E$2</definedName>
    <definedName name="Euro" localSheetId="22">[5]IND_ELC!$E$2</definedName>
    <definedName name="Euro" localSheetId="61">#REF!</definedName>
    <definedName name="Euro" localSheetId="29">[5]IND_ELC!$E$2</definedName>
    <definedName name="Euro" localSheetId="32">[5]IND_ELC!$E$2</definedName>
    <definedName name="Euro" localSheetId="31">[5]IND_ELC!$E$2</definedName>
    <definedName name="Euro" localSheetId="24">[5]IND_ELC!$E$2</definedName>
    <definedName name="Euro" localSheetId="25">[5]IND_ELC!$E$2</definedName>
    <definedName name="Euro" localSheetId="28">[5]IND_ELC!$E$2</definedName>
    <definedName name="Euro" localSheetId="59">#REF!</definedName>
    <definedName name="Euro" localSheetId="60">#REF!</definedName>
    <definedName name="Euro" localSheetId="30">[5]IND_ELC!$E$2</definedName>
    <definedName name="Euro" localSheetId="27">[5]IND_ELC!$E$2</definedName>
    <definedName name="Euro" localSheetId="20">[5]IND_ELC!$E$2</definedName>
    <definedName name="Euro" localSheetId="19">[5]IND_ELC!$E$2</definedName>
    <definedName name="Euro" localSheetId="23">[5]IND_ELC!$E$2</definedName>
    <definedName name="Euro">[6]IND_ELC!$E$2</definedName>
    <definedName name="Fastprisår">[7]Forside!$B$5</definedName>
    <definedName name="FID_1">[8]AGR_Fuels!$A$2</definedName>
    <definedName name="FIXWINOFF">'[9]O&amp;M waste and WIN '!$K$13</definedName>
    <definedName name="FIXWINON">'[9]O&amp;M waste and WIN '!$K$14</definedName>
    <definedName name="FIXWSTBO">'[10]O&amp;M waste and WIN '!$E$5</definedName>
    <definedName name="FIXWSTBP" localSheetId="21">'[11]O&amp;M waste '!$C$4</definedName>
    <definedName name="FIXWSTBP" localSheetId="26">'[11]O&amp;M waste '!$C$4</definedName>
    <definedName name="FIXWSTBP" localSheetId="17">'[11]O&amp;M waste '!$C$4</definedName>
    <definedName name="FIXWSTBP" localSheetId="22">'[11]O&amp;M waste '!$C$4</definedName>
    <definedName name="FIXWSTBP" localSheetId="29">'[11]O&amp;M waste '!$C$4</definedName>
    <definedName name="FIXWSTBP" localSheetId="32">'[11]O&amp;M waste '!$C$4</definedName>
    <definedName name="FIXWSTBP" localSheetId="31">'[11]O&amp;M waste '!$C$4</definedName>
    <definedName name="FIXWSTBP" localSheetId="24">'[11]O&amp;M waste '!$C$4</definedName>
    <definedName name="FIXWSTBP" localSheetId="25">'[11]O&amp;M waste '!$C$4</definedName>
    <definedName name="FIXWSTBP" localSheetId="28">'[11]O&amp;M waste '!$C$4</definedName>
    <definedName name="FIXWSTBP" localSheetId="30">'[11]O&amp;M waste '!$C$4</definedName>
    <definedName name="FIXWSTBP" localSheetId="27">'[11]O&amp;M waste '!$C$4</definedName>
    <definedName name="FIXWSTBP" localSheetId="20">'[11]O&amp;M waste '!$C$4</definedName>
    <definedName name="FIXWSTBP" localSheetId="19">'[11]O&amp;M waste '!$C$4</definedName>
    <definedName name="FIXWSTBP" localSheetId="23">'[11]O&amp;M waste '!$C$4</definedName>
    <definedName name="FIXWSTBP">'[12]O&amp;M waste '!$C$4</definedName>
    <definedName name="HeatPump_Large">[2]TechnologyData!$O$101:$AA$128</definedName>
    <definedName name="HTML_CodePage" hidden="1">1252</definedName>
    <definedName name="HTML_Control"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Inflation">[2]General!#REF!</definedName>
    <definedName name="LastPSOYear">[2]Plants!$H$2</definedName>
    <definedName name="MWhGJ">#REF!</definedName>
    <definedName name="Nettarif">[2]TechnologyData!$F$11</definedName>
    <definedName name="NGCC_SmallBP">[2]TechnologyData!$A$72:$M$99</definedName>
    <definedName name="nhydro">[2]General!#REF!</definedName>
    <definedName name="NyeNGCC">[2]Plants!$J$5</definedName>
    <definedName name="OffshoreWindPark">[2]TechnologyData!$O$43:$AA$70</definedName>
    <definedName name="OnshoreWindPark">[2]TechnologyData!$O$14:$AA$41</definedName>
    <definedName name="Pal_Workbook_GUID" hidden="1">"72JZWYL6P959RFW66W1IKY6K"</definedName>
    <definedName name="priceYear">[1]Supplementary!$C$40</definedName>
    <definedName name="Real_interest_rate">[13]TechnologyData!$B$37</definedName>
    <definedName name="referencer">#REF!</definedName>
    <definedName name="RefurbishedCoalBioCHP">[2]TechnologyData!$A$43:$M$70</definedName>
    <definedName name="RenovCKV">[2]Plants!$J$4</definedName>
    <definedName name="rfdfd">#REF!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SØK">'[3]Centrale data'!$C$32</definedName>
    <definedName name="Series_Agriculture">OFFSET([14]TimeSeries!$I$6,0,0,COUNTA([14]TimeSeries!$A$6:$A$8759))</definedName>
    <definedName name="Series_Chemical">OFFSET([14]TimeSeries!$K$6,0,0,COUNTA([14]TimeSeries!$A$6:$A$8759))</definedName>
    <definedName name="Series_Construction">OFFSET([14]TimeSeries!$S$6,0,0,COUNTA([14]TimeSeries!$A$6:$A$8759))</definedName>
    <definedName name="Series_Food">OFFSET([14]TimeSeries!$J$6,0,0,COUNTA([14]TimeSeries!$A$6:$A$8759))</definedName>
    <definedName name="Series_Glas_Concrete">OFFSET([14]TimeSeries!$L$6,0,0,COUNTA([14]TimeSeries!$A$6:$A$8759))</definedName>
    <definedName name="Series_Metal">OFFSET([14]TimeSeries!$M$6,0,0,COUNTA([14]TimeSeries!$A$6:$A$8759))</definedName>
    <definedName name="Series_Motor_Vehicles">OFFSET([14]TimeSeries!$O$6,0,0,COUNTA([14]TimeSeries!$A$6:$A$8759))</definedName>
    <definedName name="Series_Oth_Commodity">OFFSET([14]TimeSeries!$N$6,0,0,COUNTA([14]TimeSeries!$A$6:$A$8759))</definedName>
    <definedName name="Series_Oth_Utilities">OFFSET([14]TimeSeries!$T$6,0,0,COUNTA([14]TimeSeries!$A$6:$A$8759))</definedName>
    <definedName name="Series_Private_Service">OFFSET([14]TimeSeries!$Q$6,0,0,COUNTA([14]TimeSeries!$A$6:$A$8759))</definedName>
    <definedName name="Series_Public_Service">OFFSET([14]TimeSeries!$R$6,0,0,COUNTA([14]TimeSeries!$A$6:$A$8759))</definedName>
    <definedName name="Series_PV">OFFSET([14]TimeSeries!$D$6,0,0,COUNTA([14]TimeSeries!$A$6:$A$8759))</definedName>
    <definedName name="Series_Wholesale_Retail">OFFSET([14]TimeSeries!$P$6,0,0,COUNTA([14]TimeSeries!$A$6:$A$8759))</definedName>
    <definedName name="Series_Wind_OfS_DKE">OFFSET([14]TimeSeries!$G$6,0,0,COUNTA([14]TimeSeries!$A$6:$A$8759))</definedName>
    <definedName name="Series_Wind_OfS_DKW">OFFSET([14]TimeSeries!$H$6,0,0,COUNTA([14]TimeSeries!$A$6:$A$8759))</definedName>
    <definedName name="Series_Wind_OnS_DKE">OFFSET([14]TimeSeries!$E$6,0,0,COUNTA([14]TimeSeries!$A$6:$A$8759))</definedName>
    <definedName name="Series_Wind_OnS_DKW">OFFSET([14]TimeSeries!$F$6,0,0,COUNTA([14]TimeSeries!$A$6:$A$8759))</definedName>
    <definedName name="TS_Duration">OFFSET([14]TimeSeries!$C$6,0,0,COUNTA([14]TimeSeries!$A$6:$A$8759))</definedName>
    <definedName name="TS_Name">OFFSET([14]TimeSeries!$A$6,0,0,COUNTA([14]TimeSeries!$A$6:$A$8759))</definedName>
    <definedName name="VARWINOFF">'[9]O&amp;M waste and WIN '!$L$13</definedName>
    <definedName name="VARWINON">'[9]O&amp;M waste and WIN '!$L$14</definedName>
    <definedName name="VARWSTBO" localSheetId="21">'[11]O&amp;M waste '!$D$5</definedName>
    <definedName name="VARWSTBO" localSheetId="26">'[11]O&amp;M waste '!$D$5</definedName>
    <definedName name="VARWSTBO" localSheetId="17">'[11]O&amp;M waste '!$D$5</definedName>
    <definedName name="VARWSTBO" localSheetId="22">'[11]O&amp;M waste '!$D$5</definedName>
    <definedName name="VARWSTBO" localSheetId="29">'[11]O&amp;M waste '!$D$5</definedName>
    <definedName name="VARWSTBO" localSheetId="32">'[11]O&amp;M waste '!$D$5</definedName>
    <definedName name="VARWSTBO" localSheetId="31">'[11]O&amp;M waste '!$D$5</definedName>
    <definedName name="VARWSTBO" localSheetId="24">'[11]O&amp;M waste '!$D$5</definedName>
    <definedName name="VARWSTBO" localSheetId="25">'[11]O&amp;M waste '!$D$5</definedName>
    <definedName name="VARWSTBO" localSheetId="28">'[11]O&amp;M waste '!$D$5</definedName>
    <definedName name="VARWSTBO" localSheetId="30">'[11]O&amp;M waste '!$D$5</definedName>
    <definedName name="VARWSTBO" localSheetId="27">'[11]O&amp;M waste '!$D$5</definedName>
    <definedName name="VARWSTBO" localSheetId="20">'[11]O&amp;M waste '!$D$5</definedName>
    <definedName name="VARWSTBO" localSheetId="19">'[11]O&amp;M waste '!$D$5</definedName>
    <definedName name="VARWSTBO" localSheetId="23">'[11]O&amp;M waste '!$D$5</definedName>
    <definedName name="VARWSTBO">'[12]O&amp;M waste '!$D$5</definedName>
    <definedName name="VARWSTBP" localSheetId="21">'[11]O&amp;M waste '!$D$4</definedName>
    <definedName name="VARWSTBP" localSheetId="26">'[11]O&amp;M waste '!$D$4</definedName>
    <definedName name="VARWSTBP" localSheetId="17">'[11]O&amp;M waste '!$D$4</definedName>
    <definedName name="VARWSTBP" localSheetId="22">'[11]O&amp;M waste '!$D$4</definedName>
    <definedName name="VARWSTBP" localSheetId="29">'[11]O&amp;M waste '!$D$4</definedName>
    <definedName name="VARWSTBP" localSheetId="32">'[11]O&amp;M waste '!$D$4</definedName>
    <definedName name="VARWSTBP" localSheetId="31">'[11]O&amp;M waste '!$D$4</definedName>
    <definedName name="VARWSTBP" localSheetId="24">'[11]O&amp;M waste '!$D$4</definedName>
    <definedName name="VARWSTBP" localSheetId="25">'[11]O&amp;M waste '!$D$4</definedName>
    <definedName name="VARWSTBP" localSheetId="28">'[11]O&amp;M waste '!$D$4</definedName>
    <definedName name="VARWSTBP" localSheetId="30">'[11]O&amp;M waste '!$D$4</definedName>
    <definedName name="VARWSTBP" localSheetId="27">'[11]O&amp;M waste '!$D$4</definedName>
    <definedName name="VARWSTBP" localSheetId="20">'[11]O&amp;M waste '!$D$4</definedName>
    <definedName name="VARWSTBP" localSheetId="19">'[11]O&amp;M waste '!$D$4</definedName>
    <definedName name="VARWSTBP" localSheetId="23">'[11]O&amp;M waste '!$D$4</definedName>
    <definedName name="VARWSTBP">'[12]O&amp;M waste '!$D$4</definedName>
    <definedName name="vehicleproductionemissions">[4]Sheet1!$B$14</definedName>
    <definedName name="WasteCHP">[2]TechnologyData!$A$101:$M$129</definedName>
    <definedName name="Wood_SmallBP">[2]TechnologyData!$A$131:$M$158</definedName>
    <definedName name="x">[15]AGR_Fuels!$A$2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65" i="84" l="1"/>
  <c r="T190" i="93"/>
  <c r="T190" i="92"/>
  <c r="T190" i="91"/>
  <c r="T190" i="89"/>
  <c r="T190" i="88"/>
  <c r="T190" i="87"/>
  <c r="T190" i="85"/>
  <c r="T190" i="83"/>
  <c r="T190" i="82"/>
  <c r="T190" i="81"/>
  <c r="T190" i="74"/>
  <c r="T190" i="94"/>
  <c r="S190" i="93"/>
  <c r="S190" i="92"/>
  <c r="S190" i="91"/>
  <c r="S190" i="89"/>
  <c r="S190" i="88"/>
  <c r="S190" i="87"/>
  <c r="S190" i="85"/>
  <c r="S190" i="84"/>
  <c r="S190" i="83"/>
  <c r="S190" i="82"/>
  <c r="S190" i="81"/>
  <c r="S190" i="74"/>
  <c r="S190" i="94"/>
  <c r="S189" i="93"/>
  <c r="S189" i="92"/>
  <c r="S189" i="91"/>
  <c r="S189" i="89"/>
  <c r="S189" i="88"/>
  <c r="S189" i="87"/>
  <c r="S189" i="85"/>
  <c r="S189" i="84"/>
  <c r="S189" i="83"/>
  <c r="S189" i="82"/>
  <c r="S189" i="81"/>
  <c r="S189" i="74"/>
  <c r="S189" i="94"/>
  <c r="R190" i="93"/>
  <c r="R190" i="92"/>
  <c r="R190" i="91"/>
  <c r="R190" i="89"/>
  <c r="R190" i="88"/>
  <c r="R190" i="87"/>
  <c r="R190" i="85"/>
  <c r="R190" i="84"/>
  <c r="R190" i="83"/>
  <c r="R190" i="82"/>
  <c r="R190" i="81"/>
  <c r="R190" i="74"/>
  <c r="R190" i="94"/>
  <c r="R189" i="93"/>
  <c r="R189" i="92"/>
  <c r="R189" i="91"/>
  <c r="R189" i="89"/>
  <c r="R189" i="88"/>
  <c r="R189" i="87"/>
  <c r="R189" i="85"/>
  <c r="R189" i="84"/>
  <c r="R189" i="83"/>
  <c r="R189" i="82"/>
  <c r="R189" i="81"/>
  <c r="R189" i="74"/>
  <c r="R189" i="94"/>
  <c r="O190" i="93"/>
  <c r="O190" i="92"/>
  <c r="O190" i="91"/>
  <c r="O190" i="89"/>
  <c r="O190" i="88"/>
  <c r="O190" i="87"/>
  <c r="O190" i="85"/>
  <c r="O190" i="84"/>
  <c r="O190" i="83"/>
  <c r="O190" i="82"/>
  <c r="O190" i="81"/>
  <c r="O190" i="74"/>
  <c r="O190" i="94"/>
  <c r="O189" i="93"/>
  <c r="O189" i="92"/>
  <c r="O189" i="91"/>
  <c r="O189" i="89"/>
  <c r="O189" i="88"/>
  <c r="O189" i="87"/>
  <c r="O189" i="85"/>
  <c r="O189" i="84"/>
  <c r="O189" i="83"/>
  <c r="O189" i="82"/>
  <c r="O189" i="81"/>
  <c r="O189" i="74"/>
  <c r="O189" i="94"/>
  <c r="N190" i="93"/>
  <c r="N190" i="92"/>
  <c r="N190" i="91"/>
  <c r="N190" i="89"/>
  <c r="N190" i="88"/>
  <c r="N190" i="87"/>
  <c r="N190" i="85"/>
  <c r="N190" i="84"/>
  <c r="N190" i="83"/>
  <c r="N190" i="82"/>
  <c r="N190" i="81"/>
  <c r="N190" i="74"/>
  <c r="N190" i="94"/>
  <c r="N189" i="93"/>
  <c r="N189" i="92"/>
  <c r="N189" i="91"/>
  <c r="N189" i="89"/>
  <c r="N189" i="88"/>
  <c r="N189" i="87"/>
  <c r="N189" i="85"/>
  <c r="N189" i="84"/>
  <c r="N189" i="83"/>
  <c r="N189" i="82"/>
  <c r="N189" i="81"/>
  <c r="N189" i="74"/>
  <c r="N189" i="94"/>
  <c r="L190" i="93"/>
  <c r="L190" i="92"/>
  <c r="L190" i="91"/>
  <c r="L190" i="89"/>
  <c r="L190" i="88"/>
  <c r="L190" i="87"/>
  <c r="L190" i="85"/>
  <c r="L190" i="84"/>
  <c r="L190" i="83"/>
  <c r="L190" i="82"/>
  <c r="L190" i="81"/>
  <c r="L190" i="74"/>
  <c r="L190" i="94"/>
  <c r="L189" i="93"/>
  <c r="L189" i="92"/>
  <c r="L189" i="91"/>
  <c r="L189" i="89"/>
  <c r="L189" i="88"/>
  <c r="L189" i="87"/>
  <c r="L189" i="85"/>
  <c r="L189" i="84"/>
  <c r="L189" i="83"/>
  <c r="L189" i="82"/>
  <c r="L189" i="81"/>
  <c r="L189" i="74"/>
  <c r="L189" i="94"/>
  <c r="K190" i="93"/>
  <c r="K190" i="92"/>
  <c r="K190" i="91"/>
  <c r="K190" i="89"/>
  <c r="K190" i="88"/>
  <c r="K190" i="87"/>
  <c r="K190" i="85"/>
  <c r="K190" i="84"/>
  <c r="K190" i="83"/>
  <c r="K190" i="82"/>
  <c r="K190" i="81"/>
  <c r="K190" i="74"/>
  <c r="K190" i="94"/>
  <c r="K189" i="93"/>
  <c r="K189" i="92"/>
  <c r="K189" i="91"/>
  <c r="K189" i="89"/>
  <c r="K189" i="88"/>
  <c r="K189" i="87"/>
  <c r="K189" i="85"/>
  <c r="K189" i="84"/>
  <c r="K189" i="83"/>
  <c r="K189" i="82"/>
  <c r="K189" i="81"/>
  <c r="K189" i="74"/>
  <c r="K189" i="94"/>
  <c r="J190" i="93"/>
  <c r="J190" i="92"/>
  <c r="J190" i="91"/>
  <c r="J190" i="89"/>
  <c r="J190" i="88"/>
  <c r="J190" i="87"/>
  <c r="J190" i="85"/>
  <c r="J190" i="84"/>
  <c r="J190" i="83"/>
  <c r="J190" i="82"/>
  <c r="J190" i="81"/>
  <c r="J190" i="74"/>
  <c r="J190" i="94"/>
  <c r="J189" i="93"/>
  <c r="J189" i="92"/>
  <c r="J189" i="91"/>
  <c r="J189" i="89"/>
  <c r="J189" i="88"/>
  <c r="J189" i="87"/>
  <c r="J189" i="85"/>
  <c r="J189" i="84"/>
  <c r="J189" i="83"/>
  <c r="J189" i="82"/>
  <c r="J189" i="81"/>
  <c r="J189" i="74"/>
  <c r="J189" i="94"/>
  <c r="H218" i="85"/>
  <c r="AJ21" i="93"/>
  <c r="AJ21" i="92"/>
  <c r="AJ21" i="94"/>
  <c r="AI21" i="93"/>
  <c r="H218" i="93" s="1"/>
  <c r="AI21" i="92"/>
  <c r="H218" i="92" s="1"/>
  <c r="AI21" i="94"/>
  <c r="H218" i="94" s="1"/>
  <c r="H218" i="91"/>
  <c r="H218" i="87"/>
  <c r="AI13" i="84"/>
  <c r="AJ13" i="92"/>
  <c r="AI20" i="94"/>
  <c r="AI19" i="94"/>
  <c r="AI18" i="94"/>
  <c r="AI17" i="94"/>
  <c r="AI16" i="94"/>
  <c r="AI15" i="94"/>
  <c r="AI14" i="94"/>
  <c r="AI13" i="94"/>
  <c r="AI20" i="93"/>
  <c r="AI19" i="93"/>
  <c r="AI18" i="93"/>
  <c r="AI17" i="93"/>
  <c r="AI16" i="93"/>
  <c r="AI15" i="93"/>
  <c r="AI14" i="93"/>
  <c r="AI13" i="93"/>
  <c r="AI15" i="92"/>
  <c r="AI14" i="92"/>
  <c r="AI13" i="92"/>
  <c r="AI13" i="81"/>
  <c r="L168" i="84"/>
  <c r="L90" i="84"/>
  <c r="L129" i="84"/>
  <c r="L102" i="84"/>
  <c r="L82" i="83"/>
  <c r="L88" i="84"/>
  <c r="L156" i="84"/>
  <c r="L115" i="84"/>
  <c r="L150" i="84"/>
  <c r="L105" i="84"/>
  <c r="L162" i="84"/>
  <c r="L122" i="84"/>
  <c r="L146" i="84"/>
  <c r="L172" i="84"/>
  <c r="L130" i="84"/>
  <c r="L178" i="84"/>
  <c r="L124" i="84"/>
  <c r="L179" i="84"/>
  <c r="L98" i="84"/>
  <c r="L97" i="84"/>
  <c r="L84" i="83"/>
  <c r="L169" i="84"/>
  <c r="L87" i="84"/>
  <c r="L123" i="84"/>
  <c r="L151" i="84"/>
  <c r="L125" i="84"/>
  <c r="L109" i="84"/>
  <c r="L144" i="84"/>
  <c r="L116" i="84"/>
  <c r="L164" i="84"/>
  <c r="L138" i="84"/>
  <c r="L96" i="84"/>
  <c r="T27" i="84"/>
  <c r="L158" i="84"/>
  <c r="L140" i="84"/>
  <c r="L114" i="84"/>
  <c r="L152" i="84"/>
  <c r="L92" i="84"/>
  <c r="L121" i="84"/>
  <c r="L110" i="84"/>
  <c r="L108" i="84"/>
  <c r="L145" i="84"/>
  <c r="L163" i="84"/>
  <c r="L170" i="84"/>
  <c r="L120" i="84"/>
  <c r="L106" i="84"/>
  <c r="L103" i="84"/>
  <c r="L171" i="84"/>
  <c r="L135" i="84"/>
  <c r="L177" i="84"/>
  <c r="L85" i="83"/>
  <c r="L89" i="84"/>
  <c r="L139" i="84"/>
  <c r="L83" i="83"/>
  <c r="L157" i="84"/>
  <c r="L104" i="84"/>
  <c r="L173" i="84"/>
  <c r="L131" i="84"/>
  <c r="L136" i="84"/>
  <c r="L137" i="84"/>
  <c r="L107" i="84"/>
  <c r="L91" i="84"/>
  <c r="L81" i="83"/>
  <c r="E218" i="92" l="1"/>
  <c r="E291" i="92" s="1"/>
  <c r="E218" i="93"/>
  <c r="E291" i="93" s="1"/>
  <c r="E218" i="94"/>
  <c r="E291" i="94" s="1"/>
  <c r="O213" i="93"/>
  <c r="O212" i="93"/>
  <c r="O211" i="93"/>
  <c r="O210" i="93"/>
  <c r="O209" i="93"/>
  <c r="O208" i="93"/>
  <c r="O207" i="93"/>
  <c r="O206" i="93"/>
  <c r="O205" i="93"/>
  <c r="O204" i="93"/>
  <c r="O213" i="92"/>
  <c r="O212" i="92"/>
  <c r="O211" i="92"/>
  <c r="O210" i="92"/>
  <c r="O209" i="92"/>
  <c r="O208" i="92"/>
  <c r="O207" i="92"/>
  <c r="O206" i="92"/>
  <c r="O205" i="92"/>
  <c r="O204" i="92"/>
  <c r="O213" i="91"/>
  <c r="O212" i="91"/>
  <c r="O211" i="91"/>
  <c r="O210" i="91"/>
  <c r="O209" i="91"/>
  <c r="O208" i="91"/>
  <c r="O207" i="91"/>
  <c r="O206" i="91"/>
  <c r="O205" i="91"/>
  <c r="O204" i="91"/>
  <c r="O213" i="89"/>
  <c r="O212" i="89"/>
  <c r="O211" i="89"/>
  <c r="O210" i="89"/>
  <c r="O209" i="89"/>
  <c r="O208" i="89"/>
  <c r="O207" i="89"/>
  <c r="O206" i="89"/>
  <c r="O205" i="89"/>
  <c r="O204" i="89"/>
  <c r="O213" i="88"/>
  <c r="O212" i="88"/>
  <c r="O211" i="88"/>
  <c r="O210" i="88"/>
  <c r="O209" i="88"/>
  <c r="O208" i="88"/>
  <c r="O207" i="88"/>
  <c r="O206" i="88"/>
  <c r="O205" i="88"/>
  <c r="O204" i="88"/>
  <c r="O213" i="87"/>
  <c r="O212" i="87"/>
  <c r="O211" i="87"/>
  <c r="O210" i="87"/>
  <c r="O209" i="87"/>
  <c r="O208" i="87"/>
  <c r="O207" i="87"/>
  <c r="O206" i="87"/>
  <c r="O205" i="87"/>
  <c r="O204" i="87"/>
  <c r="O213" i="85"/>
  <c r="O212" i="85"/>
  <c r="O211" i="85"/>
  <c r="O210" i="85"/>
  <c r="O209" i="85"/>
  <c r="O208" i="85"/>
  <c r="O207" i="85"/>
  <c r="O206" i="85"/>
  <c r="O205" i="85"/>
  <c r="O204" i="85"/>
  <c r="O213" i="84"/>
  <c r="O212" i="84"/>
  <c r="O211" i="84"/>
  <c r="O210" i="84"/>
  <c r="O209" i="84"/>
  <c r="O208" i="84"/>
  <c r="O207" i="84"/>
  <c r="O206" i="84"/>
  <c r="O205" i="84"/>
  <c r="O204" i="84"/>
  <c r="O213" i="83"/>
  <c r="O212" i="83"/>
  <c r="O211" i="83"/>
  <c r="O210" i="83"/>
  <c r="O209" i="83"/>
  <c r="O208" i="83"/>
  <c r="O207" i="83"/>
  <c r="O206" i="83"/>
  <c r="O205" i="83"/>
  <c r="O204" i="83"/>
  <c r="O213" i="82"/>
  <c r="O212" i="82"/>
  <c r="O211" i="82"/>
  <c r="O210" i="82"/>
  <c r="O209" i="82"/>
  <c r="O208" i="82"/>
  <c r="O207" i="82"/>
  <c r="O206" i="82"/>
  <c r="O205" i="82"/>
  <c r="O204" i="82"/>
  <c r="O213" i="81"/>
  <c r="O212" i="81"/>
  <c r="O211" i="81"/>
  <c r="O210" i="81"/>
  <c r="O209" i="81"/>
  <c r="O208" i="81"/>
  <c r="O207" i="81"/>
  <c r="O206" i="81"/>
  <c r="O205" i="81"/>
  <c r="O204" i="81"/>
  <c r="O213" i="74"/>
  <c r="O212" i="74"/>
  <c r="O211" i="74"/>
  <c r="O210" i="74"/>
  <c r="O209" i="74"/>
  <c r="O208" i="74"/>
  <c r="O207" i="74"/>
  <c r="O206" i="74"/>
  <c r="O205" i="74"/>
  <c r="O204" i="74"/>
  <c r="O213" i="94"/>
  <c r="O212" i="94"/>
  <c r="O211" i="94"/>
  <c r="O210" i="94"/>
  <c r="O209" i="94"/>
  <c r="O208" i="94"/>
  <c r="O207" i="94"/>
  <c r="O206" i="94"/>
  <c r="O205" i="94"/>
  <c r="O204" i="94"/>
  <c r="O203" i="93"/>
  <c r="O203" i="92"/>
  <c r="O203" i="91"/>
  <c r="O203" i="89"/>
  <c r="O203" i="88"/>
  <c r="O203" i="87"/>
  <c r="O203" i="85"/>
  <c r="O203" i="84"/>
  <c r="O203" i="83"/>
  <c r="O203" i="82"/>
  <c r="O203" i="81"/>
  <c r="O203" i="74"/>
  <c r="O203" i="94"/>
  <c r="AT14" i="106"/>
  <c r="AT15" i="106"/>
  <c r="AT16" i="106"/>
  <c r="AT17" i="106"/>
  <c r="AT18" i="106"/>
  <c r="AT19" i="106"/>
  <c r="AT20" i="106"/>
  <c r="AT21" i="106"/>
  <c r="AT22" i="106"/>
  <c r="AT23" i="106"/>
  <c r="AT24" i="106"/>
  <c r="AT25" i="106"/>
  <c r="AT26" i="106"/>
  <c r="AT27" i="106"/>
  <c r="AT28" i="106"/>
  <c r="AT29" i="106"/>
  <c r="AT30" i="106"/>
  <c r="AT31" i="106"/>
  <c r="AT32" i="106"/>
  <c r="AT33" i="106"/>
  <c r="AT34" i="106"/>
  <c r="AT35" i="106"/>
  <c r="AT36" i="106"/>
  <c r="AT37" i="106"/>
  <c r="AT38" i="106"/>
  <c r="AT39" i="106"/>
  <c r="AT40" i="106"/>
  <c r="AT41" i="106"/>
  <c r="AT42" i="106"/>
  <c r="AT43" i="106"/>
  <c r="AT44" i="106"/>
  <c r="AT45" i="106"/>
  <c r="AT46" i="106"/>
  <c r="AT47" i="106"/>
  <c r="AT48" i="106"/>
  <c r="AT49" i="106"/>
  <c r="AT50" i="106"/>
  <c r="AT51" i="106"/>
  <c r="AT52" i="106"/>
  <c r="AT53" i="106"/>
  <c r="AT54" i="106"/>
  <c r="AT55" i="106"/>
  <c r="AT56" i="106"/>
  <c r="AT57" i="106"/>
  <c r="AT58" i="106"/>
  <c r="AT59" i="106"/>
  <c r="AT60" i="106"/>
  <c r="AT61" i="106"/>
  <c r="AT62" i="106"/>
  <c r="AT63" i="106"/>
  <c r="AT64" i="106"/>
  <c r="AT65" i="106"/>
  <c r="AT66" i="106"/>
  <c r="AT67" i="106"/>
  <c r="AT68" i="106"/>
  <c r="AT69" i="106"/>
  <c r="AT70" i="106"/>
  <c r="AT71" i="106"/>
  <c r="AT72" i="106"/>
  <c r="AT73" i="106"/>
  <c r="AT74" i="106"/>
  <c r="AT75" i="106"/>
  <c r="AT76" i="106"/>
  <c r="AT77" i="106"/>
  <c r="AT78" i="106"/>
  <c r="AT79" i="106"/>
  <c r="AT80" i="106"/>
  <c r="AT81" i="106"/>
  <c r="AT82" i="106"/>
  <c r="AT83" i="106"/>
  <c r="AT84" i="106"/>
  <c r="AT85" i="106"/>
  <c r="AT86" i="106"/>
  <c r="AT87" i="106"/>
  <c r="AT88" i="106"/>
  <c r="AT89" i="106"/>
  <c r="AT90" i="106"/>
  <c r="AT91" i="106"/>
  <c r="AT92" i="106"/>
  <c r="AT93" i="106"/>
  <c r="AT94" i="106"/>
  <c r="AT95" i="106"/>
  <c r="AT96" i="106"/>
  <c r="AT97" i="106"/>
  <c r="AT98" i="106"/>
  <c r="AT99" i="106"/>
  <c r="AT100" i="106"/>
  <c r="AT101" i="106"/>
  <c r="AT102" i="106"/>
  <c r="AT103" i="106"/>
  <c r="AT104" i="106"/>
  <c r="AT105" i="106"/>
  <c r="AT106" i="106"/>
  <c r="AT107" i="106"/>
  <c r="AT108" i="106"/>
  <c r="AT109" i="106"/>
  <c r="AT110" i="106"/>
  <c r="AT111" i="106"/>
  <c r="AT112" i="106"/>
  <c r="AT113" i="106"/>
  <c r="AT114" i="106"/>
  <c r="AT115" i="106"/>
  <c r="AT116" i="106"/>
  <c r="AT117" i="106"/>
  <c r="AT118" i="106"/>
  <c r="AT119" i="106"/>
  <c r="AT120" i="106"/>
  <c r="AT121" i="106"/>
  <c r="AT122" i="106"/>
  <c r="AT123" i="106"/>
  <c r="AT124" i="106"/>
  <c r="AT125" i="106"/>
  <c r="AT126" i="106"/>
  <c r="AT127" i="106"/>
  <c r="AT128" i="106"/>
  <c r="AT129" i="106"/>
  <c r="AT130" i="106"/>
  <c r="AT131" i="106"/>
  <c r="AT132" i="106"/>
  <c r="AT133" i="106"/>
  <c r="AT134" i="106"/>
  <c r="AT135" i="106"/>
  <c r="AT136" i="106"/>
  <c r="AT137" i="106"/>
  <c r="AT138" i="106"/>
  <c r="AT139" i="106"/>
  <c r="AT140" i="106"/>
  <c r="AT141" i="106"/>
  <c r="AT142" i="106"/>
  <c r="AT143" i="106"/>
  <c r="AT144" i="106"/>
  <c r="AT145" i="106"/>
  <c r="AT146" i="106"/>
  <c r="AT147" i="106"/>
  <c r="AT148" i="106"/>
  <c r="AT149" i="106"/>
  <c r="AT150" i="106"/>
  <c r="AT151" i="106"/>
  <c r="AT152" i="106"/>
  <c r="AT153" i="106"/>
  <c r="AT154" i="106"/>
  <c r="AT155" i="106"/>
  <c r="AT156" i="106"/>
  <c r="AT157" i="106"/>
  <c r="AT158" i="106"/>
  <c r="AT159" i="106"/>
  <c r="AT160" i="106"/>
  <c r="AT161" i="106"/>
  <c r="AT162" i="106"/>
  <c r="AT163" i="106"/>
  <c r="AT164" i="106"/>
  <c r="AT165" i="106"/>
  <c r="AT166" i="106"/>
  <c r="AT167" i="106"/>
  <c r="AT168" i="106"/>
  <c r="AT169" i="106"/>
  <c r="AT170" i="106"/>
  <c r="AT171" i="106"/>
  <c r="AT172" i="106"/>
  <c r="AT173" i="106"/>
  <c r="AT174" i="106"/>
  <c r="AT175" i="106"/>
  <c r="AT176" i="106"/>
  <c r="AT177" i="106"/>
  <c r="AT178" i="106"/>
  <c r="AT179" i="106"/>
  <c r="AT180" i="106"/>
  <c r="AT181" i="106"/>
  <c r="AT182" i="106"/>
  <c r="AT183" i="106"/>
  <c r="AT184" i="106"/>
  <c r="AT185" i="106"/>
  <c r="AT186" i="106"/>
  <c r="AT187" i="106"/>
  <c r="AT188" i="106"/>
  <c r="AT189" i="106"/>
  <c r="AT190" i="106"/>
  <c r="AT191" i="106"/>
  <c r="AT192" i="106"/>
  <c r="AT193" i="106"/>
  <c r="AT194" i="106"/>
  <c r="AT195" i="106"/>
  <c r="AT196" i="106"/>
  <c r="AT197" i="106"/>
  <c r="AT198" i="106"/>
  <c r="AT199" i="106"/>
  <c r="AT200" i="106"/>
  <c r="AT201" i="106"/>
  <c r="AT202" i="106"/>
  <c r="AT203" i="106"/>
  <c r="AT204" i="106"/>
  <c r="AT205" i="106"/>
  <c r="AT206" i="106"/>
  <c r="AT207" i="106"/>
  <c r="AT208" i="106"/>
  <c r="AT209" i="106"/>
  <c r="AT210" i="106"/>
  <c r="AT211" i="106"/>
  <c r="AT212" i="106"/>
  <c r="AT213" i="106"/>
  <c r="AT214" i="106"/>
  <c r="AT215" i="106"/>
  <c r="AT216" i="106"/>
  <c r="AT217" i="106"/>
  <c r="AT218" i="106"/>
  <c r="AT219" i="106"/>
  <c r="AT220" i="106"/>
  <c r="AT221" i="106"/>
  <c r="AT222" i="106"/>
  <c r="AT223" i="106"/>
  <c r="AT224" i="106"/>
  <c r="AT225" i="106"/>
  <c r="AT226" i="106"/>
  <c r="AT227" i="106"/>
  <c r="AT228" i="106"/>
  <c r="AT229" i="106"/>
  <c r="AT230" i="106"/>
  <c r="AT231" i="106"/>
  <c r="AT232" i="106"/>
  <c r="AT233" i="106"/>
  <c r="AT234" i="106"/>
  <c r="AT235" i="106"/>
  <c r="AT236" i="106"/>
  <c r="AT237" i="106"/>
  <c r="AT238" i="106"/>
  <c r="AT239" i="106"/>
  <c r="AT240" i="106"/>
  <c r="AT241" i="106"/>
  <c r="AT242" i="106"/>
  <c r="AT243" i="106"/>
  <c r="AT244" i="106"/>
  <c r="AT245" i="106"/>
  <c r="AT246" i="106"/>
  <c r="AT247" i="106"/>
  <c r="AT248" i="106"/>
  <c r="AT249" i="106"/>
  <c r="AT250" i="106"/>
  <c r="AT251" i="106"/>
  <c r="AT252" i="106"/>
  <c r="AT253" i="106"/>
  <c r="AT254" i="106"/>
  <c r="AT255" i="106"/>
  <c r="AT256" i="106"/>
  <c r="AT257" i="106"/>
  <c r="AT258" i="106"/>
  <c r="AT259" i="106"/>
  <c r="AT260" i="106"/>
  <c r="AT261" i="106"/>
  <c r="AT262" i="106"/>
  <c r="AT263" i="106"/>
  <c r="AT264" i="106"/>
  <c r="AT13" i="106"/>
  <c r="D218" i="93" l="1"/>
  <c r="D218" i="92"/>
  <c r="D218" i="94"/>
  <c r="AO13" i="106"/>
  <c r="AQ13" i="106"/>
  <c r="AO114" i="106" l="1"/>
  <c r="AO113" i="106"/>
  <c r="AO112" i="106"/>
  <c r="AO111" i="106"/>
  <c r="AO110" i="106"/>
  <c r="H87" i="94"/>
  <c r="H210" i="93"/>
  <c r="E210" i="93" s="1"/>
  <c r="H206" i="93"/>
  <c r="D291" i="93" s="1"/>
  <c r="O202" i="93"/>
  <c r="H202" i="93"/>
  <c r="E202" i="93" s="1"/>
  <c r="O202" i="92"/>
  <c r="O202" i="91"/>
  <c r="O202" i="89"/>
  <c r="O202" i="88"/>
  <c r="O202" i="87"/>
  <c r="O202" i="85"/>
  <c r="O202" i="84"/>
  <c r="O202" i="83"/>
  <c r="O202" i="82"/>
  <c r="O202" i="81"/>
  <c r="O202" i="74"/>
  <c r="H210" i="94"/>
  <c r="E210" i="94" s="1"/>
  <c r="H206" i="94"/>
  <c r="D291" i="94" s="1"/>
  <c r="O202" i="94"/>
  <c r="H202" i="94"/>
  <c r="E202" i="94" s="1"/>
  <c r="D202" i="94" s="1"/>
  <c r="AQ229" i="106"/>
  <c r="AQ193" i="106"/>
  <c r="AQ157" i="106"/>
  <c r="AQ120" i="106"/>
  <c r="AQ85" i="106"/>
  <c r="AQ49" i="106"/>
  <c r="AQ14" i="106"/>
  <c r="AQ15" i="106" s="1"/>
  <c r="AQ16" i="106" s="1"/>
  <c r="AQ17" i="106" s="1"/>
  <c r="AQ18" i="106" s="1"/>
  <c r="AQ19" i="106" s="1"/>
  <c r="AQ20" i="106" s="1"/>
  <c r="AQ21" i="106" s="1"/>
  <c r="AQ22" i="106" s="1"/>
  <c r="AQ23" i="106" s="1"/>
  <c r="AQ24" i="106" s="1"/>
  <c r="AQ25" i="106" s="1"/>
  <c r="AQ26" i="106" s="1"/>
  <c r="AQ27" i="106" s="1"/>
  <c r="AQ28" i="106" s="1"/>
  <c r="AQ29" i="106" s="1"/>
  <c r="AQ30" i="106" s="1"/>
  <c r="AQ31" i="106" s="1"/>
  <c r="AQ32" i="106" s="1"/>
  <c r="AQ33" i="106" s="1"/>
  <c r="AQ34" i="106" s="1"/>
  <c r="AQ35" i="106" s="1"/>
  <c r="AQ36" i="106" s="1"/>
  <c r="AQ37" i="106" s="1"/>
  <c r="AW13" i="106"/>
  <c r="AW15" i="106" s="1"/>
  <c r="AW20" i="106" s="1"/>
  <c r="AS13" i="106"/>
  <c r="AO14" i="106"/>
  <c r="AO15" i="106"/>
  <c r="AS15" i="106" s="1"/>
  <c r="AO16" i="106"/>
  <c r="AO17" i="106"/>
  <c r="AS17" i="106" s="1"/>
  <c r="AO18" i="106"/>
  <c r="AO19" i="106"/>
  <c r="AS19" i="106" s="1"/>
  <c r="AO20" i="106"/>
  <c r="AS20" i="106" s="1"/>
  <c r="AO21" i="106"/>
  <c r="AS21" i="106" s="1"/>
  <c r="AO22" i="106"/>
  <c r="AS22" i="106" s="1"/>
  <c r="AO23" i="106"/>
  <c r="AS23" i="106" s="1"/>
  <c r="AO24" i="106"/>
  <c r="AO25" i="106"/>
  <c r="AO26" i="106"/>
  <c r="AO27" i="106"/>
  <c r="AS27" i="106" s="1"/>
  <c r="AO28" i="106"/>
  <c r="AO29" i="106"/>
  <c r="AO30" i="106"/>
  <c r="AO31" i="106"/>
  <c r="AO32" i="106"/>
  <c r="AO33" i="106"/>
  <c r="AS33" i="106" s="1"/>
  <c r="AO34" i="106"/>
  <c r="AO35" i="106"/>
  <c r="AS35" i="106" s="1"/>
  <c r="AO36" i="106"/>
  <c r="AS36" i="106" s="1"/>
  <c r="AO37" i="106"/>
  <c r="AS37" i="106" s="1"/>
  <c r="AO38" i="106"/>
  <c r="AS38" i="106" s="1"/>
  <c r="AO39" i="106"/>
  <c r="AO40" i="106"/>
  <c r="AO41" i="106"/>
  <c r="AO42" i="106"/>
  <c r="AO43" i="106"/>
  <c r="AS43" i="106" s="1"/>
  <c r="AO44" i="106"/>
  <c r="AO45" i="106"/>
  <c r="AS45" i="106" s="1"/>
  <c r="AO46" i="106"/>
  <c r="AO47" i="106"/>
  <c r="AS47" i="106" s="1"/>
  <c r="AO48" i="106"/>
  <c r="AS48" i="106" s="1"/>
  <c r="AO49" i="106"/>
  <c r="AO50" i="106"/>
  <c r="AO51" i="106"/>
  <c r="AO52" i="106"/>
  <c r="AO53" i="106"/>
  <c r="AO54" i="106"/>
  <c r="AO55" i="106"/>
  <c r="AO56" i="106"/>
  <c r="AO57" i="106"/>
  <c r="AO58" i="106"/>
  <c r="AO59" i="106"/>
  <c r="AO60" i="106"/>
  <c r="AO61" i="106"/>
  <c r="AO62" i="106"/>
  <c r="AO63" i="106"/>
  <c r="AO64" i="106"/>
  <c r="AO65" i="106"/>
  <c r="AO66" i="106"/>
  <c r="AO67" i="106"/>
  <c r="AO68" i="106"/>
  <c r="AO69" i="106"/>
  <c r="AO70" i="106"/>
  <c r="AO71" i="106"/>
  <c r="AO72" i="106"/>
  <c r="AO73" i="106"/>
  <c r="AO74" i="106"/>
  <c r="AO75" i="106"/>
  <c r="AO76" i="106"/>
  <c r="AO77" i="106"/>
  <c r="AS77" i="106" s="1"/>
  <c r="AO78" i="106"/>
  <c r="AO79" i="106"/>
  <c r="AO80" i="106"/>
  <c r="AO81" i="106"/>
  <c r="AO82" i="106"/>
  <c r="AO83" i="106"/>
  <c r="AO84" i="106"/>
  <c r="AO85" i="106"/>
  <c r="AO86" i="106"/>
  <c r="AO87" i="106"/>
  <c r="AO88" i="106"/>
  <c r="AO89" i="106"/>
  <c r="AO90" i="106"/>
  <c r="AO91" i="106"/>
  <c r="AO92" i="106"/>
  <c r="AO93" i="106"/>
  <c r="AO94" i="106"/>
  <c r="AO95" i="106"/>
  <c r="AO96" i="106"/>
  <c r="AO97" i="106"/>
  <c r="AO98" i="106"/>
  <c r="AO99" i="106"/>
  <c r="AO100" i="106"/>
  <c r="AO101" i="106"/>
  <c r="AO102" i="106"/>
  <c r="AO103" i="106"/>
  <c r="AO104" i="106"/>
  <c r="AO105" i="106"/>
  <c r="AO106" i="106"/>
  <c r="AO107" i="106"/>
  <c r="AO108" i="106"/>
  <c r="AO109" i="106"/>
  <c r="AO115" i="106"/>
  <c r="AO116" i="106"/>
  <c r="AO117" i="106"/>
  <c r="AO118" i="106"/>
  <c r="AS118" i="106" s="1"/>
  <c r="L208" i="94" s="1"/>
  <c r="AO119" i="106"/>
  <c r="AO120" i="106"/>
  <c r="AO121" i="106"/>
  <c r="AO122" i="106"/>
  <c r="AO123" i="106"/>
  <c r="AO124" i="106"/>
  <c r="AO125" i="106"/>
  <c r="AO126" i="106"/>
  <c r="AO127" i="106"/>
  <c r="AO128" i="106"/>
  <c r="AO129" i="106"/>
  <c r="AO130" i="106"/>
  <c r="AO131" i="106"/>
  <c r="AO132" i="106"/>
  <c r="AO133" i="106"/>
  <c r="AO134" i="106"/>
  <c r="AO135" i="106"/>
  <c r="AO136" i="106"/>
  <c r="AO137" i="106"/>
  <c r="AO138" i="106"/>
  <c r="AO139" i="106"/>
  <c r="AO140" i="106"/>
  <c r="AO141" i="106"/>
  <c r="AO142" i="106"/>
  <c r="AO143" i="106"/>
  <c r="AO144" i="106"/>
  <c r="AO145" i="106"/>
  <c r="AO146" i="106"/>
  <c r="AO147" i="106"/>
  <c r="AO148" i="106"/>
  <c r="AO149" i="106"/>
  <c r="AO150" i="106"/>
  <c r="AO151" i="106"/>
  <c r="AO152" i="106"/>
  <c r="AO153" i="106"/>
  <c r="AO154" i="106"/>
  <c r="AO155" i="106"/>
  <c r="AO156" i="106"/>
  <c r="AO157" i="106"/>
  <c r="AS157" i="106" s="1"/>
  <c r="AO158" i="106"/>
  <c r="AO159" i="106"/>
  <c r="AO160" i="106"/>
  <c r="AO161" i="106"/>
  <c r="AO162" i="106"/>
  <c r="AS162" i="106" s="1"/>
  <c r="AO163" i="106"/>
  <c r="AO164" i="106"/>
  <c r="AO165" i="106"/>
  <c r="AO166" i="106"/>
  <c r="AO167" i="106"/>
  <c r="AO168" i="106"/>
  <c r="AO169" i="106"/>
  <c r="AO170" i="106"/>
  <c r="AO171" i="106"/>
  <c r="AO172" i="106"/>
  <c r="AO173" i="106"/>
  <c r="AO174" i="106"/>
  <c r="AO175" i="106"/>
  <c r="AO176" i="106"/>
  <c r="AO177" i="106"/>
  <c r="AO178" i="106"/>
  <c r="AO179" i="106"/>
  <c r="AO180" i="106"/>
  <c r="AO181" i="106"/>
  <c r="AO182" i="106"/>
  <c r="AO183" i="106"/>
  <c r="AO184" i="106"/>
  <c r="AO185" i="106"/>
  <c r="AS185" i="106" s="1"/>
  <c r="AO186" i="106"/>
  <c r="AO187" i="106"/>
  <c r="AO188" i="106"/>
  <c r="AO189" i="106"/>
  <c r="AO190" i="106"/>
  <c r="AS190" i="106" s="1"/>
  <c r="AO191" i="106"/>
  <c r="AO192" i="106"/>
  <c r="AO193" i="106"/>
  <c r="AO194" i="106"/>
  <c r="AO195" i="106"/>
  <c r="AO196" i="106"/>
  <c r="AS196" i="106" s="1"/>
  <c r="AO197" i="106"/>
  <c r="AS197" i="106" s="1"/>
  <c r="AO198" i="106"/>
  <c r="AO199" i="106"/>
  <c r="AO200" i="106"/>
  <c r="AO201" i="106"/>
  <c r="AO202" i="106"/>
  <c r="AO203" i="106"/>
  <c r="AO204" i="106"/>
  <c r="AO205" i="106"/>
  <c r="AO206" i="106"/>
  <c r="AO207" i="106"/>
  <c r="AO208" i="106"/>
  <c r="AO209" i="106"/>
  <c r="AO210" i="106"/>
  <c r="AO211" i="106"/>
  <c r="AO212" i="106"/>
  <c r="AO213" i="106"/>
  <c r="AO214" i="106"/>
  <c r="AO215" i="106"/>
  <c r="AO216" i="106"/>
  <c r="AO217" i="106"/>
  <c r="AO218" i="106"/>
  <c r="AO219" i="106"/>
  <c r="AO220" i="106"/>
  <c r="AO221" i="106"/>
  <c r="AS221" i="106" s="1"/>
  <c r="AO222" i="106"/>
  <c r="AO223" i="106"/>
  <c r="AO224" i="106"/>
  <c r="AS224" i="106" s="1"/>
  <c r="AO225" i="106"/>
  <c r="AS225" i="106" s="1"/>
  <c r="AO226" i="106"/>
  <c r="AO227" i="106"/>
  <c r="AO228" i="106"/>
  <c r="AO229" i="106"/>
  <c r="AO230" i="106"/>
  <c r="AO231" i="106"/>
  <c r="AO232" i="106"/>
  <c r="AO233" i="106"/>
  <c r="AO234" i="106"/>
  <c r="AO235" i="106"/>
  <c r="AO236" i="106"/>
  <c r="AO237" i="106"/>
  <c r="AO238" i="106"/>
  <c r="AO239" i="106"/>
  <c r="AO240" i="106"/>
  <c r="AO241" i="106"/>
  <c r="AO242" i="106"/>
  <c r="AO243" i="106"/>
  <c r="AO244" i="106"/>
  <c r="AO245" i="106"/>
  <c r="AO246" i="106"/>
  <c r="AO247" i="106"/>
  <c r="AO248" i="106"/>
  <c r="AO249" i="106"/>
  <c r="AO250" i="106"/>
  <c r="AO251" i="106"/>
  <c r="AO252" i="106"/>
  <c r="AO253" i="106"/>
  <c r="AO254" i="106"/>
  <c r="AO255" i="106"/>
  <c r="AO256" i="106"/>
  <c r="AO257" i="106"/>
  <c r="AO258" i="106"/>
  <c r="AO259" i="106"/>
  <c r="AO260" i="106"/>
  <c r="AO261" i="106"/>
  <c r="AO262" i="106"/>
  <c r="AO263" i="106"/>
  <c r="AO264" i="106"/>
  <c r="E206" i="93" l="1"/>
  <c r="D206" i="93" s="1"/>
  <c r="D288" i="93" s="1"/>
  <c r="E206" i="94"/>
  <c r="D206" i="94" s="1"/>
  <c r="D288" i="94" s="1"/>
  <c r="D210" i="94"/>
  <c r="D289" i="94" s="1"/>
  <c r="AS125" i="106"/>
  <c r="AS257" i="106"/>
  <c r="AS93" i="106"/>
  <c r="AS92" i="106"/>
  <c r="AS255" i="106"/>
  <c r="AS108" i="106"/>
  <c r="AS107" i="106"/>
  <c r="AS264" i="106"/>
  <c r="AS236" i="106"/>
  <c r="AS263" i="106"/>
  <c r="AS235" i="106"/>
  <c r="AS261" i="106"/>
  <c r="AS233" i="106"/>
  <c r="AS259" i="106"/>
  <c r="AS231" i="106"/>
  <c r="AS258" i="106"/>
  <c r="AS230" i="106"/>
  <c r="AS82" i="106"/>
  <c r="AS53" i="106"/>
  <c r="AS81" i="106"/>
  <c r="AS253" i="106"/>
  <c r="AS169" i="106"/>
  <c r="AS79" i="106"/>
  <c r="AS51" i="106"/>
  <c r="AS251" i="106"/>
  <c r="AS78" i="106"/>
  <c r="AS50" i="106"/>
  <c r="AS248" i="106"/>
  <c r="AS192" i="106"/>
  <c r="AS164" i="106"/>
  <c r="AS247" i="106"/>
  <c r="AS191" i="106"/>
  <c r="AS163" i="106"/>
  <c r="AS252" i="106"/>
  <c r="AS246" i="106"/>
  <c r="AS158" i="106"/>
  <c r="AS177" i="106"/>
  <c r="AS227" i="106"/>
  <c r="AS199" i="106"/>
  <c r="AS171" i="106"/>
  <c r="AS115" i="106"/>
  <c r="AS226" i="106"/>
  <c r="AS198" i="106"/>
  <c r="AS170" i="106"/>
  <c r="AS168" i="106"/>
  <c r="AS223" i="106"/>
  <c r="AS195" i="106"/>
  <c r="AS167" i="106"/>
  <c r="AS106" i="106"/>
  <c r="AS250" i="106"/>
  <c r="AS222" i="106"/>
  <c r="AS194" i="106"/>
  <c r="AS166" i="106"/>
  <c r="AS213" i="106"/>
  <c r="AS165" i="106"/>
  <c r="AS186" i="106"/>
  <c r="AS193" i="106"/>
  <c r="AS184" i="106"/>
  <c r="AS91" i="106"/>
  <c r="AS141" i="106"/>
  <c r="AS80" i="106"/>
  <c r="AS52" i="106"/>
  <c r="AS139" i="106"/>
  <c r="AS76" i="106"/>
  <c r="AS154" i="106"/>
  <c r="AS245" i="106"/>
  <c r="AS189" i="106"/>
  <c r="AS161" i="106"/>
  <c r="AS133" i="106"/>
  <c r="AS72" i="106"/>
  <c r="AS244" i="106"/>
  <c r="AS188" i="106"/>
  <c r="AS160" i="106"/>
  <c r="AS132" i="106"/>
  <c r="AS99" i="106"/>
  <c r="AS138" i="106"/>
  <c r="AS134" i="106"/>
  <c r="AS101" i="106"/>
  <c r="AS243" i="106"/>
  <c r="AS187" i="106"/>
  <c r="AS159" i="106"/>
  <c r="AS131" i="106"/>
  <c r="AS98" i="106"/>
  <c r="AS97" i="106"/>
  <c r="AS102" i="106"/>
  <c r="AS212" i="106"/>
  <c r="AS67" i="106"/>
  <c r="AS105" i="106"/>
  <c r="AS61" i="106"/>
  <c r="AS104" i="106"/>
  <c r="AS136" i="106"/>
  <c r="AS103" i="106"/>
  <c r="AS239" i="106"/>
  <c r="AS211" i="106"/>
  <c r="AS183" i="106"/>
  <c r="AS155" i="106"/>
  <c r="AS127" i="106"/>
  <c r="AS94" i="106"/>
  <c r="AS238" i="106"/>
  <c r="AS210" i="106"/>
  <c r="AS182" i="106"/>
  <c r="AS126" i="106"/>
  <c r="AS65" i="106"/>
  <c r="AS237" i="106"/>
  <c r="AS209" i="106"/>
  <c r="AS181" i="106"/>
  <c r="AS153" i="106"/>
  <c r="AS64" i="106"/>
  <c r="AS176" i="106"/>
  <c r="AS88" i="106"/>
  <c r="L204" i="94" s="1"/>
  <c r="AS119" i="106"/>
  <c r="AS86" i="106"/>
  <c r="AS228" i="106"/>
  <c r="AS172" i="106"/>
  <c r="AS204" i="106"/>
  <c r="AS218" i="106"/>
  <c r="AS73" i="106"/>
  <c r="AS200" i="106"/>
  <c r="AS217" i="106"/>
  <c r="AS216" i="106"/>
  <c r="AS71" i="106"/>
  <c r="AS206" i="106"/>
  <c r="AS215" i="106"/>
  <c r="AS70" i="106"/>
  <c r="AS42" i="106"/>
  <c r="AS14" i="106"/>
  <c r="AS69" i="106"/>
  <c r="AS41" i="106"/>
  <c r="AS178" i="106"/>
  <c r="AS214" i="106"/>
  <c r="AS208" i="106"/>
  <c r="AS180" i="106"/>
  <c r="AS152" i="106"/>
  <c r="AS124" i="106"/>
  <c r="AS207" i="106"/>
  <c r="AS179" i="106"/>
  <c r="AS151" i="106"/>
  <c r="AS123" i="106"/>
  <c r="AS90" i="106"/>
  <c r="L205" i="94" s="1"/>
  <c r="AS62" i="106"/>
  <c r="AS34" i="106"/>
  <c r="AS54" i="106"/>
  <c r="AS205" i="106"/>
  <c r="AS150" i="106"/>
  <c r="AS147" i="106"/>
  <c r="AS58" i="106"/>
  <c r="AS89" i="106"/>
  <c r="AS57" i="106"/>
  <c r="AS29" i="106"/>
  <c r="AS66" i="106"/>
  <c r="AS149" i="106"/>
  <c r="AS60" i="106"/>
  <c r="AS32" i="106"/>
  <c r="AS59" i="106"/>
  <c r="AS63" i="106"/>
  <c r="AS203" i="106"/>
  <c r="AS175" i="106"/>
  <c r="AS30" i="106"/>
  <c r="AS202" i="106"/>
  <c r="AS174" i="106"/>
  <c r="AS146" i="106"/>
  <c r="AS262" i="106"/>
  <c r="L208" i="89" s="1"/>
  <c r="AS201" i="106"/>
  <c r="AS173" i="106"/>
  <c r="AS145" i="106"/>
  <c r="AS117" i="106"/>
  <c r="AS84" i="106"/>
  <c r="AS56" i="106"/>
  <c r="AS28" i="106"/>
  <c r="AS220" i="106"/>
  <c r="AS75" i="106"/>
  <c r="AS83" i="106"/>
  <c r="AS55" i="106"/>
  <c r="AS68" i="106"/>
  <c r="AS219" i="106"/>
  <c r="AS135" i="106"/>
  <c r="AS74" i="106"/>
  <c r="AS46" i="106"/>
  <c r="AS18" i="106"/>
  <c r="L209" i="92"/>
  <c r="L209" i="74"/>
  <c r="L209" i="81"/>
  <c r="L209" i="91"/>
  <c r="L209" i="89"/>
  <c r="L209" i="88"/>
  <c r="L209" i="87"/>
  <c r="L209" i="85"/>
  <c r="L209" i="84"/>
  <c r="L209" i="83"/>
  <c r="L209" i="82"/>
  <c r="L209" i="93"/>
  <c r="L207" i="93"/>
  <c r="L207" i="82"/>
  <c r="L207" i="81"/>
  <c r="L206" i="93"/>
  <c r="L207" i="92"/>
  <c r="L206" i="82"/>
  <c r="L206" i="81"/>
  <c r="L207" i="74"/>
  <c r="L206" i="92"/>
  <c r="L206" i="83"/>
  <c r="L207" i="91"/>
  <c r="L206" i="74"/>
  <c r="L207" i="89"/>
  <c r="L206" i="91"/>
  <c r="L206" i="89"/>
  <c r="L207" i="88"/>
  <c r="L206" i="88"/>
  <c r="L207" i="87"/>
  <c r="L206" i="84"/>
  <c r="L207" i="85"/>
  <c r="L206" i="87"/>
  <c r="L206" i="85"/>
  <c r="L207" i="84"/>
  <c r="L207" i="83"/>
  <c r="L213" i="88"/>
  <c r="L213" i="87"/>
  <c r="L213" i="85"/>
  <c r="L213" i="84"/>
  <c r="L213" i="83"/>
  <c r="L213" i="82"/>
  <c r="L213" i="93"/>
  <c r="L213" i="92"/>
  <c r="L213" i="81"/>
  <c r="L213" i="74"/>
  <c r="L213" i="91"/>
  <c r="L213" i="89"/>
  <c r="L208" i="81"/>
  <c r="L208" i="88"/>
  <c r="L208" i="92"/>
  <c r="L208" i="91"/>
  <c r="L208" i="93"/>
  <c r="L208" i="82"/>
  <c r="L208" i="87"/>
  <c r="L208" i="84"/>
  <c r="L208" i="83"/>
  <c r="AQ38" i="106"/>
  <c r="AQ39" i="106" s="1"/>
  <c r="AQ40" i="106" s="1"/>
  <c r="AQ41" i="106" s="1"/>
  <c r="AQ42" i="106" s="1"/>
  <c r="AQ43" i="106" s="1"/>
  <c r="L207" i="94"/>
  <c r="L206" i="94"/>
  <c r="L210" i="91"/>
  <c r="L211" i="89"/>
  <c r="L211" i="88"/>
  <c r="L210" i="89"/>
  <c r="L210" i="88"/>
  <c r="L211" i="84"/>
  <c r="L211" i="87"/>
  <c r="L211" i="85"/>
  <c r="L210" i="87"/>
  <c r="L210" i="85"/>
  <c r="L211" i="83"/>
  <c r="L210" i="84"/>
  <c r="L210" i="83"/>
  <c r="L210" i="74"/>
  <c r="L211" i="82"/>
  <c r="L211" i="93"/>
  <c r="L211" i="92"/>
  <c r="L210" i="82"/>
  <c r="L211" i="81"/>
  <c r="L211" i="91"/>
  <c r="L210" i="93"/>
  <c r="L211" i="74"/>
  <c r="L210" i="92"/>
  <c r="L210" i="81"/>
  <c r="AS128" i="106"/>
  <c r="AS156" i="106"/>
  <c r="AS240" i="106"/>
  <c r="AS95" i="106"/>
  <c r="AS241" i="106"/>
  <c r="AS40" i="106"/>
  <c r="AS129" i="106"/>
  <c r="AS39" i="106"/>
  <c r="AS130" i="106"/>
  <c r="AS242" i="106"/>
  <c r="AS96" i="106"/>
  <c r="AS16" i="106"/>
  <c r="AS44" i="106"/>
  <c r="AS100" i="106"/>
  <c r="AS137" i="106"/>
  <c r="AS249" i="106"/>
  <c r="AS110" i="106"/>
  <c r="AS49" i="106"/>
  <c r="AS111" i="106"/>
  <c r="AS112" i="106"/>
  <c r="L212" i="94" s="1"/>
  <c r="AS24" i="106"/>
  <c r="AS142" i="106"/>
  <c r="AS254" i="106"/>
  <c r="AS113" i="106"/>
  <c r="AS114" i="106"/>
  <c r="L213" i="94" s="1"/>
  <c r="AS25" i="106"/>
  <c r="AS143" i="106"/>
  <c r="AS26" i="106"/>
  <c r="AS116" i="106"/>
  <c r="AS144" i="106"/>
  <c r="AS256" i="106"/>
  <c r="AS140" i="106"/>
  <c r="AS229" i="106"/>
  <c r="AS85" i="106"/>
  <c r="L203" i="94" s="1"/>
  <c r="L202" i="94" s="1"/>
  <c r="AS109" i="106"/>
  <c r="AS120" i="106"/>
  <c r="L209" i="94" s="1"/>
  <c r="AS148" i="106"/>
  <c r="AS232" i="106"/>
  <c r="AS260" i="106"/>
  <c r="AS121" i="106"/>
  <c r="AS31" i="106"/>
  <c r="AS87" i="106"/>
  <c r="AS122" i="106"/>
  <c r="AS234" i="106"/>
  <c r="D210" i="93"/>
  <c r="D289" i="93" s="1"/>
  <c r="D202" i="93"/>
  <c r="AQ50" i="106"/>
  <c r="AQ51" i="106" s="1"/>
  <c r="AQ52" i="106" s="1"/>
  <c r="AQ53" i="106" s="1"/>
  <c r="AQ54" i="106" s="1"/>
  <c r="AQ55" i="106" s="1"/>
  <c r="AQ56" i="106" s="1"/>
  <c r="AQ57" i="106" s="1"/>
  <c r="AQ58" i="106" s="1"/>
  <c r="AQ59" i="106" s="1"/>
  <c r="AQ60" i="106" s="1"/>
  <c r="AQ61" i="106" s="1"/>
  <c r="AQ62" i="106" s="1"/>
  <c r="AQ63" i="106" s="1"/>
  <c r="AQ64" i="106" s="1"/>
  <c r="AQ65" i="106" s="1"/>
  <c r="AQ66" i="106" s="1"/>
  <c r="AQ67" i="106" s="1"/>
  <c r="AQ68" i="106" s="1"/>
  <c r="AQ69" i="106" s="1"/>
  <c r="AQ70" i="106" s="1"/>
  <c r="AQ71" i="106" s="1"/>
  <c r="AQ72" i="106" s="1"/>
  <c r="AQ73" i="106" s="1"/>
  <c r="AQ74" i="106" s="1"/>
  <c r="AQ75" i="106" s="1"/>
  <c r="AQ76" i="106" s="1"/>
  <c r="AQ77" i="106" s="1"/>
  <c r="AQ78" i="106" s="1"/>
  <c r="AQ79" i="106" s="1"/>
  <c r="AQ80" i="106" s="1"/>
  <c r="AQ81" i="106" s="1"/>
  <c r="AQ82" i="106" s="1"/>
  <c r="AQ83" i="106" s="1"/>
  <c r="AQ84" i="106" s="1"/>
  <c r="AQ86" i="106" s="1"/>
  <c r="AQ87" i="106" s="1"/>
  <c r="AQ88" i="106" s="1"/>
  <c r="AQ89" i="106" s="1"/>
  <c r="AQ90" i="106" s="1"/>
  <c r="AQ91" i="106" s="1"/>
  <c r="AQ92" i="106" s="1"/>
  <c r="AQ93" i="106" s="1"/>
  <c r="AQ94" i="106" s="1"/>
  <c r="AQ95" i="106" s="1"/>
  <c r="AQ96" i="106" s="1"/>
  <c r="AQ97" i="106" s="1"/>
  <c r="AQ98" i="106" s="1"/>
  <c r="AQ99" i="106" s="1"/>
  <c r="AQ100" i="106" s="1"/>
  <c r="AQ101" i="106" s="1"/>
  <c r="AQ102" i="106" s="1"/>
  <c r="AQ103" i="106" s="1"/>
  <c r="AQ104" i="106" s="1"/>
  <c r="AQ105" i="106" s="1"/>
  <c r="AQ106" i="106" s="1"/>
  <c r="AQ107" i="106" s="1"/>
  <c r="AQ108" i="106" s="1"/>
  <c r="AQ109" i="106" s="1"/>
  <c r="L208" i="74" l="1"/>
  <c r="L208" i="85"/>
  <c r="L205" i="84"/>
  <c r="L205" i="83"/>
  <c r="L205" i="85"/>
  <c r="L205" i="82"/>
  <c r="L205" i="93"/>
  <c r="L205" i="81"/>
  <c r="L205" i="92"/>
  <c r="L205" i="74"/>
  <c r="L205" i="91"/>
  <c r="L205" i="89"/>
  <c r="L205" i="88"/>
  <c r="L205" i="87"/>
  <c r="L204" i="85"/>
  <c r="L204" i="84"/>
  <c r="L204" i="83"/>
  <c r="L204" i="82"/>
  <c r="L204" i="93"/>
  <c r="L204" i="81"/>
  <c r="L204" i="92"/>
  <c r="L204" i="74"/>
  <c r="L204" i="91"/>
  <c r="L204" i="87"/>
  <c r="L204" i="89"/>
  <c r="L204" i="88"/>
  <c r="AQ44" i="106"/>
  <c r="AQ45" i="106" s="1"/>
  <c r="AQ46" i="106" s="1"/>
  <c r="AQ47" i="106" s="1"/>
  <c r="AQ48" i="106" s="1"/>
  <c r="L203" i="85"/>
  <c r="L202" i="85" s="1"/>
  <c r="L203" i="84"/>
  <c r="L202" i="84" s="1"/>
  <c r="L203" i="83"/>
  <c r="L202" i="83" s="1"/>
  <c r="L203" i="88"/>
  <c r="L202" i="88" s="1"/>
  <c r="L203" i="82"/>
  <c r="L202" i="82" s="1"/>
  <c r="L203" i="93"/>
  <c r="L202" i="93" s="1"/>
  <c r="L203" i="81"/>
  <c r="L202" i="81" s="1"/>
  <c r="L203" i="92"/>
  <c r="L202" i="92" s="1"/>
  <c r="L203" i="87"/>
  <c r="L202" i="87" s="1"/>
  <c r="L203" i="74"/>
  <c r="L202" i="74" s="1"/>
  <c r="L203" i="91"/>
  <c r="L202" i="91" s="1"/>
  <c r="L203" i="89"/>
  <c r="L202" i="89" s="1"/>
  <c r="L212" i="88"/>
  <c r="L212" i="87"/>
  <c r="L212" i="85"/>
  <c r="L212" i="84"/>
  <c r="L212" i="83"/>
  <c r="L212" i="82"/>
  <c r="L212" i="89"/>
  <c r="L212" i="93"/>
  <c r="L212" i="92"/>
  <c r="L212" i="81"/>
  <c r="L212" i="74"/>
  <c r="L212" i="91"/>
  <c r="AQ110" i="106"/>
  <c r="AQ111" i="106" s="1"/>
  <c r="AQ112" i="106" s="1"/>
  <c r="AQ113" i="106" s="1"/>
  <c r="AQ114" i="106" s="1"/>
  <c r="AQ115" i="106" s="1"/>
  <c r="L210" i="94"/>
  <c r="L211" i="94"/>
  <c r="J64" i="93"/>
  <c r="J65" i="93"/>
  <c r="J66" i="93"/>
  <c r="J67" i="93"/>
  <c r="J68" i="93"/>
  <c r="J69" i="93"/>
  <c r="J70" i="93"/>
  <c r="J71" i="93"/>
  <c r="J72" i="93"/>
  <c r="J73" i="93"/>
  <c r="J74" i="93"/>
  <c r="J75" i="93"/>
  <c r="J76" i="93"/>
  <c r="J77" i="93"/>
  <c r="J78" i="93"/>
  <c r="J79" i="93"/>
  <c r="J80" i="93"/>
  <c r="J81" i="93"/>
  <c r="J82" i="93"/>
  <c r="J83" i="93"/>
  <c r="J84" i="93"/>
  <c r="J85" i="93"/>
  <c r="J86" i="93"/>
  <c r="J87" i="93"/>
  <c r="J88" i="93"/>
  <c r="J89" i="93"/>
  <c r="J90" i="93"/>
  <c r="J91" i="93"/>
  <c r="J92" i="93"/>
  <c r="J93" i="93"/>
  <c r="J94" i="93"/>
  <c r="J95" i="93"/>
  <c r="J96" i="93"/>
  <c r="J97" i="93"/>
  <c r="J98" i="93"/>
  <c r="J99" i="93"/>
  <c r="J100" i="93"/>
  <c r="J101" i="93"/>
  <c r="J102" i="93"/>
  <c r="J103" i="93"/>
  <c r="J104" i="93"/>
  <c r="J105" i="93"/>
  <c r="J106" i="93"/>
  <c r="J107" i="93"/>
  <c r="J108" i="93"/>
  <c r="J109" i="93"/>
  <c r="J110" i="93"/>
  <c r="J111" i="93"/>
  <c r="J112" i="93"/>
  <c r="J113" i="93"/>
  <c r="J114" i="93"/>
  <c r="J115" i="93"/>
  <c r="J116" i="93"/>
  <c r="J117" i="93"/>
  <c r="J118" i="93"/>
  <c r="J119" i="93"/>
  <c r="J120" i="93"/>
  <c r="J121" i="93"/>
  <c r="J122" i="93"/>
  <c r="J123" i="93"/>
  <c r="J124" i="93"/>
  <c r="J125" i="93"/>
  <c r="J126" i="93"/>
  <c r="J127" i="93"/>
  <c r="J128" i="93"/>
  <c r="J129" i="93"/>
  <c r="J130" i="93"/>
  <c r="J131" i="93"/>
  <c r="J132" i="93"/>
  <c r="J133" i="93"/>
  <c r="J134" i="93"/>
  <c r="J135" i="93"/>
  <c r="J136" i="93"/>
  <c r="J137" i="93"/>
  <c r="J138" i="93"/>
  <c r="K138" i="93" s="1"/>
  <c r="J139" i="93"/>
  <c r="J140" i="93"/>
  <c r="J141" i="93"/>
  <c r="K141" i="93" s="1"/>
  <c r="J142" i="93"/>
  <c r="J143" i="93"/>
  <c r="J144" i="93"/>
  <c r="K144" i="93" s="1"/>
  <c r="J145" i="93"/>
  <c r="J146" i="93"/>
  <c r="J147" i="93"/>
  <c r="K147" i="93" s="1"/>
  <c r="J148" i="93"/>
  <c r="J149" i="93"/>
  <c r="J150" i="93"/>
  <c r="K150" i="93" s="1"/>
  <c r="J151" i="93"/>
  <c r="J152" i="93"/>
  <c r="J153" i="93"/>
  <c r="K153" i="93" s="1"/>
  <c r="J154" i="93"/>
  <c r="J155" i="93"/>
  <c r="J156" i="93"/>
  <c r="K156" i="93" s="1"/>
  <c r="J157" i="93"/>
  <c r="J158" i="93"/>
  <c r="J159" i="93"/>
  <c r="K159" i="93" s="1"/>
  <c r="J160" i="93"/>
  <c r="J161" i="93"/>
  <c r="J162" i="93"/>
  <c r="K162" i="93" s="1"/>
  <c r="J163" i="93"/>
  <c r="J164" i="93"/>
  <c r="J165" i="93"/>
  <c r="K165" i="93" s="1"/>
  <c r="J166" i="93"/>
  <c r="J167" i="93"/>
  <c r="J168" i="93"/>
  <c r="J169" i="93"/>
  <c r="J170" i="93"/>
  <c r="J171" i="93"/>
  <c r="J172" i="93"/>
  <c r="J173" i="93"/>
  <c r="J174" i="93"/>
  <c r="J175" i="93"/>
  <c r="J176" i="93"/>
  <c r="J177" i="93"/>
  <c r="J178" i="93"/>
  <c r="J179" i="93"/>
  <c r="J180" i="93"/>
  <c r="J181" i="93"/>
  <c r="J182" i="93"/>
  <c r="J183" i="93"/>
  <c r="J184" i="93"/>
  <c r="J185" i="93"/>
  <c r="J186" i="93"/>
  <c r="J64" i="92"/>
  <c r="J65" i="92"/>
  <c r="J66" i="92"/>
  <c r="J67" i="92"/>
  <c r="J68" i="92"/>
  <c r="J69" i="92"/>
  <c r="J70" i="92"/>
  <c r="J71" i="92"/>
  <c r="J72" i="92"/>
  <c r="J73" i="92"/>
  <c r="J74" i="92"/>
  <c r="J75" i="92"/>
  <c r="J76" i="92"/>
  <c r="J77" i="92"/>
  <c r="J78" i="92"/>
  <c r="J79" i="92"/>
  <c r="J80" i="92"/>
  <c r="J81" i="92"/>
  <c r="J82" i="92"/>
  <c r="J83" i="92"/>
  <c r="J84" i="92"/>
  <c r="J85" i="92"/>
  <c r="J86" i="92"/>
  <c r="J87" i="92"/>
  <c r="J88" i="92"/>
  <c r="J89" i="92"/>
  <c r="J90" i="92"/>
  <c r="J91" i="92"/>
  <c r="J92" i="92"/>
  <c r="J93" i="92"/>
  <c r="J94" i="92"/>
  <c r="J95" i="92"/>
  <c r="J96" i="92"/>
  <c r="J97" i="92"/>
  <c r="J98" i="92"/>
  <c r="J99" i="92"/>
  <c r="J100" i="92"/>
  <c r="J101" i="92"/>
  <c r="J102" i="92"/>
  <c r="J103" i="92"/>
  <c r="J104" i="92"/>
  <c r="J105" i="92"/>
  <c r="J106" i="92"/>
  <c r="J107" i="92"/>
  <c r="J108" i="92"/>
  <c r="J109" i="92"/>
  <c r="J110" i="92"/>
  <c r="J111" i="92"/>
  <c r="J112" i="92"/>
  <c r="J113" i="92"/>
  <c r="J114" i="92"/>
  <c r="J115" i="92"/>
  <c r="J116" i="92"/>
  <c r="J117" i="92"/>
  <c r="J118" i="92"/>
  <c r="J119" i="92"/>
  <c r="J120" i="92"/>
  <c r="J121" i="92"/>
  <c r="J122" i="92"/>
  <c r="J123" i="92"/>
  <c r="J124" i="92"/>
  <c r="J125" i="92"/>
  <c r="J126" i="92"/>
  <c r="J127" i="92"/>
  <c r="J128" i="92"/>
  <c r="J129" i="92"/>
  <c r="J130" i="92"/>
  <c r="J131" i="92"/>
  <c r="J132" i="92"/>
  <c r="J133" i="92"/>
  <c r="J134" i="92"/>
  <c r="J135" i="92"/>
  <c r="J136" i="92"/>
  <c r="J137" i="92"/>
  <c r="J138" i="92"/>
  <c r="K138" i="92" s="1"/>
  <c r="J139" i="92"/>
  <c r="J140" i="92"/>
  <c r="J141" i="92"/>
  <c r="K141" i="92" s="1"/>
  <c r="J142" i="92"/>
  <c r="J143" i="92"/>
  <c r="J144" i="92"/>
  <c r="K144" i="92" s="1"/>
  <c r="J145" i="92"/>
  <c r="J146" i="92"/>
  <c r="J147" i="92"/>
  <c r="K147" i="92" s="1"/>
  <c r="J148" i="92"/>
  <c r="J149" i="92"/>
  <c r="J150" i="92"/>
  <c r="K150" i="92" s="1"/>
  <c r="J151" i="92"/>
  <c r="J152" i="92"/>
  <c r="J153" i="92"/>
  <c r="K153" i="92" s="1"/>
  <c r="J154" i="92"/>
  <c r="J155" i="92"/>
  <c r="J156" i="92"/>
  <c r="K156" i="92" s="1"/>
  <c r="J157" i="92"/>
  <c r="J158" i="92"/>
  <c r="J159" i="92"/>
  <c r="K159" i="92" s="1"/>
  <c r="J160" i="92"/>
  <c r="J161" i="92"/>
  <c r="J162" i="92"/>
  <c r="K162" i="92" s="1"/>
  <c r="J163" i="92"/>
  <c r="J164" i="92"/>
  <c r="J165" i="92"/>
  <c r="K165" i="92" s="1"/>
  <c r="J166" i="92"/>
  <c r="J167" i="92"/>
  <c r="J168" i="92"/>
  <c r="J169" i="92"/>
  <c r="J170" i="92"/>
  <c r="J171" i="92"/>
  <c r="J172" i="92"/>
  <c r="J173" i="92"/>
  <c r="J174" i="92"/>
  <c r="J175" i="92"/>
  <c r="J176" i="92"/>
  <c r="J177" i="92"/>
  <c r="J178" i="92"/>
  <c r="J179" i="92"/>
  <c r="J180" i="92"/>
  <c r="J181" i="92"/>
  <c r="J182" i="92"/>
  <c r="J183" i="92"/>
  <c r="J184" i="92"/>
  <c r="J185" i="92"/>
  <c r="J186" i="92"/>
  <c r="J64" i="91"/>
  <c r="J65" i="91"/>
  <c r="J66" i="91"/>
  <c r="J67" i="91"/>
  <c r="J68" i="91"/>
  <c r="J69" i="91"/>
  <c r="J70" i="91"/>
  <c r="J71" i="91"/>
  <c r="J72" i="91"/>
  <c r="J73" i="91"/>
  <c r="J74" i="91"/>
  <c r="J75" i="91"/>
  <c r="J76" i="91"/>
  <c r="J77" i="91"/>
  <c r="J78" i="91"/>
  <c r="J79" i="91"/>
  <c r="J80" i="91"/>
  <c r="J81" i="91"/>
  <c r="J82" i="91"/>
  <c r="J83" i="91"/>
  <c r="J84" i="91"/>
  <c r="J85" i="91"/>
  <c r="J86" i="91"/>
  <c r="J87" i="91"/>
  <c r="J88" i="91"/>
  <c r="J89" i="91"/>
  <c r="J90" i="91"/>
  <c r="J91" i="91"/>
  <c r="J92" i="91"/>
  <c r="J93" i="91"/>
  <c r="J94" i="91"/>
  <c r="J95" i="91"/>
  <c r="J96" i="91"/>
  <c r="J97" i="91"/>
  <c r="J98" i="91"/>
  <c r="J99" i="91"/>
  <c r="J100" i="91"/>
  <c r="J101" i="91"/>
  <c r="J102" i="91"/>
  <c r="J103" i="91"/>
  <c r="J104" i="91"/>
  <c r="J105" i="91"/>
  <c r="J106" i="91"/>
  <c r="J107" i="91"/>
  <c r="J108" i="91"/>
  <c r="J109" i="91"/>
  <c r="J110" i="91"/>
  <c r="J111" i="91"/>
  <c r="J112" i="91"/>
  <c r="J113" i="91"/>
  <c r="J114" i="91"/>
  <c r="J115" i="91"/>
  <c r="J116" i="91"/>
  <c r="J117" i="91"/>
  <c r="J118" i="91"/>
  <c r="J119" i="91"/>
  <c r="J120" i="91"/>
  <c r="J121" i="91"/>
  <c r="J122" i="91"/>
  <c r="J123" i="91"/>
  <c r="J124" i="91"/>
  <c r="J125" i="91"/>
  <c r="J126" i="91"/>
  <c r="J127" i="91"/>
  <c r="J128" i="91"/>
  <c r="J129" i="91"/>
  <c r="J130" i="91"/>
  <c r="J131" i="91"/>
  <c r="J132" i="91"/>
  <c r="J133" i="91"/>
  <c r="J134" i="91"/>
  <c r="J135" i="91"/>
  <c r="J136" i="91"/>
  <c r="J137" i="91"/>
  <c r="J138" i="91"/>
  <c r="K138" i="91" s="1"/>
  <c r="J139" i="91"/>
  <c r="J140" i="91"/>
  <c r="J141" i="91"/>
  <c r="K141" i="91" s="1"/>
  <c r="J142" i="91"/>
  <c r="J143" i="91"/>
  <c r="J144" i="91"/>
  <c r="K144" i="91" s="1"/>
  <c r="J145" i="91"/>
  <c r="J146" i="91"/>
  <c r="J147" i="91"/>
  <c r="K147" i="91" s="1"/>
  <c r="J148" i="91"/>
  <c r="J149" i="91"/>
  <c r="J150" i="91"/>
  <c r="K150" i="91" s="1"/>
  <c r="J151" i="91"/>
  <c r="J152" i="91"/>
  <c r="J153" i="91"/>
  <c r="K153" i="91" s="1"/>
  <c r="J154" i="91"/>
  <c r="J155" i="91"/>
  <c r="J156" i="91"/>
  <c r="K156" i="91" s="1"/>
  <c r="J157" i="91"/>
  <c r="J158" i="91"/>
  <c r="J159" i="91"/>
  <c r="K159" i="91" s="1"/>
  <c r="J160" i="91"/>
  <c r="J161" i="91"/>
  <c r="J162" i="91"/>
  <c r="K162" i="91" s="1"/>
  <c r="J163" i="91"/>
  <c r="J164" i="91"/>
  <c r="J165" i="91"/>
  <c r="K165" i="91" s="1"/>
  <c r="J166" i="91"/>
  <c r="J167" i="91"/>
  <c r="J168" i="91"/>
  <c r="J169" i="91"/>
  <c r="J170" i="91"/>
  <c r="J171" i="91"/>
  <c r="J172" i="91"/>
  <c r="J173" i="91"/>
  <c r="J174" i="91"/>
  <c r="J175" i="91"/>
  <c r="J176" i="91"/>
  <c r="J177" i="91"/>
  <c r="J178" i="91"/>
  <c r="J179" i="91"/>
  <c r="J180" i="91"/>
  <c r="J181" i="91"/>
  <c r="J182" i="91"/>
  <c r="J183" i="91"/>
  <c r="J184" i="91"/>
  <c r="J185" i="91"/>
  <c r="J186" i="91"/>
  <c r="J64" i="89"/>
  <c r="J65" i="89"/>
  <c r="J66" i="89"/>
  <c r="J67" i="89"/>
  <c r="J68" i="89"/>
  <c r="J69" i="89"/>
  <c r="J70" i="89"/>
  <c r="J71" i="89"/>
  <c r="J72" i="89"/>
  <c r="J73" i="89"/>
  <c r="J74" i="89"/>
  <c r="J75" i="89"/>
  <c r="J76" i="89"/>
  <c r="J77" i="89"/>
  <c r="J78" i="89"/>
  <c r="J79" i="89"/>
  <c r="J80" i="89"/>
  <c r="J81" i="89"/>
  <c r="J82" i="89"/>
  <c r="J83" i="89"/>
  <c r="J84" i="89"/>
  <c r="J85" i="89"/>
  <c r="J86" i="89"/>
  <c r="J87" i="89"/>
  <c r="J88" i="89"/>
  <c r="J89" i="89"/>
  <c r="J90" i="89"/>
  <c r="J91" i="89"/>
  <c r="J92" i="89"/>
  <c r="J93" i="89"/>
  <c r="J94" i="89"/>
  <c r="J95" i="89"/>
  <c r="J96" i="89"/>
  <c r="J97" i="89"/>
  <c r="J98" i="89"/>
  <c r="J99" i="89"/>
  <c r="J100" i="89"/>
  <c r="J101" i="89"/>
  <c r="J102" i="89"/>
  <c r="J103" i="89"/>
  <c r="J104" i="89"/>
  <c r="J105" i="89"/>
  <c r="J106" i="89"/>
  <c r="J107" i="89"/>
  <c r="J108" i="89"/>
  <c r="J109" i="89"/>
  <c r="J110" i="89"/>
  <c r="J111" i="89"/>
  <c r="J112" i="89"/>
  <c r="J113" i="89"/>
  <c r="J114" i="89"/>
  <c r="J115" i="89"/>
  <c r="J116" i="89"/>
  <c r="J117" i="89"/>
  <c r="J118" i="89"/>
  <c r="J119" i="89"/>
  <c r="J120" i="89"/>
  <c r="J121" i="89"/>
  <c r="J122" i="89"/>
  <c r="J123" i="89"/>
  <c r="J124" i="89"/>
  <c r="J125" i="89"/>
  <c r="J126" i="89"/>
  <c r="J127" i="89"/>
  <c r="J128" i="89"/>
  <c r="J129" i="89"/>
  <c r="J130" i="89"/>
  <c r="J131" i="89"/>
  <c r="J132" i="89"/>
  <c r="J133" i="89"/>
  <c r="J134" i="89"/>
  <c r="J135" i="89"/>
  <c r="J136" i="89"/>
  <c r="J137" i="89"/>
  <c r="J138" i="89"/>
  <c r="K138" i="89" s="1"/>
  <c r="J139" i="89"/>
  <c r="J140" i="89"/>
  <c r="J141" i="89"/>
  <c r="K141" i="89" s="1"/>
  <c r="J142" i="89"/>
  <c r="J143" i="89"/>
  <c r="J144" i="89"/>
  <c r="K144" i="89" s="1"/>
  <c r="J145" i="89"/>
  <c r="J146" i="89"/>
  <c r="J147" i="89"/>
  <c r="K147" i="89" s="1"/>
  <c r="J148" i="89"/>
  <c r="J149" i="89"/>
  <c r="J150" i="89"/>
  <c r="K150" i="89" s="1"/>
  <c r="J151" i="89"/>
  <c r="J152" i="89"/>
  <c r="J153" i="89"/>
  <c r="K153" i="89" s="1"/>
  <c r="J154" i="89"/>
  <c r="J155" i="89"/>
  <c r="J156" i="89"/>
  <c r="K156" i="89" s="1"/>
  <c r="J157" i="89"/>
  <c r="J158" i="89"/>
  <c r="J159" i="89"/>
  <c r="K159" i="89" s="1"/>
  <c r="J160" i="89"/>
  <c r="J161" i="89"/>
  <c r="J162" i="89"/>
  <c r="K162" i="89" s="1"/>
  <c r="J163" i="89"/>
  <c r="J164" i="89"/>
  <c r="J165" i="89"/>
  <c r="K165" i="89" s="1"/>
  <c r="J166" i="89"/>
  <c r="J167" i="89"/>
  <c r="J168" i="89"/>
  <c r="J169" i="89"/>
  <c r="J170" i="89"/>
  <c r="J171" i="89"/>
  <c r="J172" i="89"/>
  <c r="J173" i="89"/>
  <c r="J174" i="89"/>
  <c r="J175" i="89"/>
  <c r="J176" i="89"/>
  <c r="J177" i="89"/>
  <c r="J178" i="89"/>
  <c r="J179" i="89"/>
  <c r="J180" i="89"/>
  <c r="J181" i="89"/>
  <c r="J182" i="89"/>
  <c r="J183" i="89"/>
  <c r="J184" i="89"/>
  <c r="J185" i="89"/>
  <c r="J186" i="89"/>
  <c r="J64" i="88"/>
  <c r="J65" i="88"/>
  <c r="J66" i="88"/>
  <c r="J67" i="88"/>
  <c r="J68" i="88"/>
  <c r="J69" i="88"/>
  <c r="J70" i="88"/>
  <c r="J71" i="88"/>
  <c r="J72" i="88"/>
  <c r="J73" i="88"/>
  <c r="J74" i="88"/>
  <c r="J75" i="88"/>
  <c r="J76" i="88"/>
  <c r="J77" i="88"/>
  <c r="J78" i="88"/>
  <c r="J79" i="88"/>
  <c r="J80" i="88"/>
  <c r="J81" i="88"/>
  <c r="J82" i="88"/>
  <c r="J83" i="88"/>
  <c r="J84" i="88"/>
  <c r="J85" i="88"/>
  <c r="J86" i="88"/>
  <c r="J87" i="88"/>
  <c r="J88" i="88"/>
  <c r="J89" i="88"/>
  <c r="J90" i="88"/>
  <c r="J91" i="88"/>
  <c r="J92" i="88"/>
  <c r="J93" i="88"/>
  <c r="J94" i="88"/>
  <c r="J95" i="88"/>
  <c r="J96" i="88"/>
  <c r="J97" i="88"/>
  <c r="J98" i="88"/>
  <c r="J99" i="88"/>
  <c r="J100" i="88"/>
  <c r="J101" i="88"/>
  <c r="J102" i="88"/>
  <c r="J103" i="88"/>
  <c r="J104" i="88"/>
  <c r="J105" i="88"/>
  <c r="J106" i="88"/>
  <c r="J107" i="88"/>
  <c r="J108" i="88"/>
  <c r="J109" i="88"/>
  <c r="J110" i="88"/>
  <c r="J111" i="88"/>
  <c r="J112" i="88"/>
  <c r="J113" i="88"/>
  <c r="J114" i="88"/>
  <c r="J115" i="88"/>
  <c r="J116" i="88"/>
  <c r="J117" i="88"/>
  <c r="J118" i="88"/>
  <c r="J119" i="88"/>
  <c r="J120" i="88"/>
  <c r="J121" i="88"/>
  <c r="J122" i="88"/>
  <c r="J123" i="88"/>
  <c r="J124" i="88"/>
  <c r="J125" i="88"/>
  <c r="J126" i="88"/>
  <c r="J127" i="88"/>
  <c r="J128" i="88"/>
  <c r="J129" i="88"/>
  <c r="J130" i="88"/>
  <c r="J131" i="88"/>
  <c r="J132" i="88"/>
  <c r="J133" i="88"/>
  <c r="J134" i="88"/>
  <c r="J135" i="88"/>
  <c r="J136" i="88"/>
  <c r="J137" i="88"/>
  <c r="J138" i="88"/>
  <c r="K138" i="88" s="1"/>
  <c r="J139" i="88"/>
  <c r="J140" i="88"/>
  <c r="J141" i="88"/>
  <c r="K141" i="88" s="1"/>
  <c r="J142" i="88"/>
  <c r="J143" i="88"/>
  <c r="J144" i="88"/>
  <c r="K144" i="88" s="1"/>
  <c r="J145" i="88"/>
  <c r="J146" i="88"/>
  <c r="J147" i="88"/>
  <c r="K147" i="88" s="1"/>
  <c r="J148" i="88"/>
  <c r="J149" i="88"/>
  <c r="J150" i="88"/>
  <c r="K150" i="88" s="1"/>
  <c r="J151" i="88"/>
  <c r="J152" i="88"/>
  <c r="J153" i="88"/>
  <c r="K153" i="88" s="1"/>
  <c r="J154" i="88"/>
  <c r="J155" i="88"/>
  <c r="J156" i="88"/>
  <c r="K156" i="88" s="1"/>
  <c r="J157" i="88"/>
  <c r="J158" i="88"/>
  <c r="J159" i="88"/>
  <c r="K159" i="88" s="1"/>
  <c r="J160" i="88"/>
  <c r="J161" i="88"/>
  <c r="J162" i="88"/>
  <c r="K162" i="88" s="1"/>
  <c r="J163" i="88"/>
  <c r="J164" i="88"/>
  <c r="J165" i="88"/>
  <c r="K165" i="88" s="1"/>
  <c r="J166" i="88"/>
  <c r="J167" i="88"/>
  <c r="J168" i="88"/>
  <c r="J169" i="88"/>
  <c r="J170" i="88"/>
  <c r="J171" i="88"/>
  <c r="J172" i="88"/>
  <c r="J173" i="88"/>
  <c r="J174" i="88"/>
  <c r="J175" i="88"/>
  <c r="J176" i="88"/>
  <c r="J177" i="88"/>
  <c r="J178" i="88"/>
  <c r="J179" i="88"/>
  <c r="J180" i="88"/>
  <c r="J181" i="88"/>
  <c r="J182" i="88"/>
  <c r="J183" i="88"/>
  <c r="J184" i="88"/>
  <c r="J185" i="88"/>
  <c r="J186" i="88"/>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K138" i="87" s="1"/>
  <c r="J139" i="87"/>
  <c r="J140" i="87"/>
  <c r="J141" i="87"/>
  <c r="K141" i="87" s="1"/>
  <c r="J142" i="87"/>
  <c r="J143" i="87"/>
  <c r="J144" i="87"/>
  <c r="K144" i="87" s="1"/>
  <c r="J145" i="87"/>
  <c r="J146" i="87"/>
  <c r="J147" i="87"/>
  <c r="K147" i="87" s="1"/>
  <c r="J148" i="87"/>
  <c r="J149" i="87"/>
  <c r="J150" i="87"/>
  <c r="K150" i="87" s="1"/>
  <c r="J151" i="87"/>
  <c r="J152" i="87"/>
  <c r="J153" i="87"/>
  <c r="K153" i="87" s="1"/>
  <c r="J154" i="87"/>
  <c r="J155" i="87"/>
  <c r="J156" i="87"/>
  <c r="K156" i="87" s="1"/>
  <c r="J157" i="87"/>
  <c r="J158" i="87"/>
  <c r="J159" i="87"/>
  <c r="K159" i="87" s="1"/>
  <c r="J160" i="87"/>
  <c r="J161" i="87"/>
  <c r="J162" i="87"/>
  <c r="K162" i="87" s="1"/>
  <c r="J163" i="87"/>
  <c r="J164" i="87"/>
  <c r="J165" i="87"/>
  <c r="K165" i="87" s="1"/>
  <c r="J166" i="87"/>
  <c r="J167" i="87"/>
  <c r="J168" i="87"/>
  <c r="J169" i="87"/>
  <c r="J170" i="87"/>
  <c r="J171" i="87"/>
  <c r="J172" i="87"/>
  <c r="J173" i="87"/>
  <c r="J174" i="87"/>
  <c r="J175" i="87"/>
  <c r="J176" i="87"/>
  <c r="J177" i="87"/>
  <c r="J178" i="87"/>
  <c r="J179" i="87"/>
  <c r="J180" i="87"/>
  <c r="J181" i="87"/>
  <c r="J182" i="87"/>
  <c r="J183" i="87"/>
  <c r="J184" i="87"/>
  <c r="J185" i="87"/>
  <c r="J186" i="87"/>
  <c r="J64" i="85"/>
  <c r="J65" i="85"/>
  <c r="J66" i="85"/>
  <c r="J67" i="85"/>
  <c r="J68" i="85"/>
  <c r="J69" i="85"/>
  <c r="J70" i="85"/>
  <c r="J71" i="85"/>
  <c r="J72" i="85"/>
  <c r="J73" i="85"/>
  <c r="J74" i="85"/>
  <c r="J75" i="85"/>
  <c r="J76" i="85"/>
  <c r="J77" i="85"/>
  <c r="J78" i="85"/>
  <c r="J79" i="85"/>
  <c r="J80" i="85"/>
  <c r="J81" i="85"/>
  <c r="J82" i="85"/>
  <c r="J83" i="85"/>
  <c r="J84" i="85"/>
  <c r="J85" i="85"/>
  <c r="J86" i="85"/>
  <c r="J87" i="85"/>
  <c r="J88" i="85"/>
  <c r="J89" i="85"/>
  <c r="J90" i="85"/>
  <c r="J91" i="85"/>
  <c r="J92" i="85"/>
  <c r="J93" i="85"/>
  <c r="J94" i="85"/>
  <c r="J95" i="85"/>
  <c r="J96" i="85"/>
  <c r="J97" i="85"/>
  <c r="J98" i="85"/>
  <c r="J99" i="85"/>
  <c r="J100" i="85"/>
  <c r="J101" i="85"/>
  <c r="J102" i="85"/>
  <c r="J103" i="85"/>
  <c r="J104" i="85"/>
  <c r="J105" i="85"/>
  <c r="J106" i="85"/>
  <c r="J107" i="85"/>
  <c r="J108" i="85"/>
  <c r="J109" i="85"/>
  <c r="J110" i="85"/>
  <c r="J111" i="85"/>
  <c r="J112" i="85"/>
  <c r="J113" i="85"/>
  <c r="J114" i="85"/>
  <c r="J115" i="85"/>
  <c r="J116" i="85"/>
  <c r="J117" i="85"/>
  <c r="J118" i="85"/>
  <c r="J119" i="85"/>
  <c r="J120" i="85"/>
  <c r="J121" i="85"/>
  <c r="J122" i="85"/>
  <c r="J123" i="85"/>
  <c r="J124" i="85"/>
  <c r="J125" i="85"/>
  <c r="J126" i="85"/>
  <c r="J127" i="85"/>
  <c r="J128" i="85"/>
  <c r="J129" i="85"/>
  <c r="J130" i="85"/>
  <c r="J131" i="85"/>
  <c r="J132" i="85"/>
  <c r="J133" i="85"/>
  <c r="J134" i="85"/>
  <c r="J135" i="85"/>
  <c r="J136" i="85"/>
  <c r="J137" i="85"/>
  <c r="J138" i="85"/>
  <c r="K138" i="85" s="1"/>
  <c r="J139" i="85"/>
  <c r="J140" i="85"/>
  <c r="J141" i="85"/>
  <c r="K141" i="85" s="1"/>
  <c r="J142" i="85"/>
  <c r="J143" i="85"/>
  <c r="J144" i="85"/>
  <c r="K144" i="85" s="1"/>
  <c r="J145" i="85"/>
  <c r="J146" i="85"/>
  <c r="J147" i="85"/>
  <c r="K147" i="85" s="1"/>
  <c r="J148" i="85"/>
  <c r="J149" i="85"/>
  <c r="J150" i="85"/>
  <c r="K150" i="85" s="1"/>
  <c r="J151" i="85"/>
  <c r="J152" i="85"/>
  <c r="J153" i="85"/>
  <c r="K153" i="85" s="1"/>
  <c r="J154" i="85"/>
  <c r="J155" i="85"/>
  <c r="J156" i="85"/>
  <c r="K156" i="85" s="1"/>
  <c r="J157" i="85"/>
  <c r="J158" i="85"/>
  <c r="J159" i="85"/>
  <c r="K159" i="85" s="1"/>
  <c r="J160" i="85"/>
  <c r="J161" i="85"/>
  <c r="J162" i="85"/>
  <c r="K162" i="85" s="1"/>
  <c r="J163" i="85"/>
  <c r="J164" i="85"/>
  <c r="J165" i="85"/>
  <c r="K165" i="85" s="1"/>
  <c r="J166" i="85"/>
  <c r="J167" i="85"/>
  <c r="J168" i="85"/>
  <c r="J169" i="85"/>
  <c r="J170" i="85"/>
  <c r="J171" i="85"/>
  <c r="J172" i="85"/>
  <c r="J173" i="85"/>
  <c r="J174" i="85"/>
  <c r="J175" i="85"/>
  <c r="J176" i="85"/>
  <c r="J177" i="85"/>
  <c r="J178" i="85"/>
  <c r="J179" i="85"/>
  <c r="J180" i="85"/>
  <c r="J181" i="85"/>
  <c r="J182" i="85"/>
  <c r="J183" i="85"/>
  <c r="J184" i="85"/>
  <c r="J185" i="85"/>
  <c r="J186" i="85"/>
  <c r="J64" i="84"/>
  <c r="J65" i="84"/>
  <c r="J66" i="84"/>
  <c r="J67" i="84"/>
  <c r="J68" i="84"/>
  <c r="J69" i="84"/>
  <c r="J70" i="84"/>
  <c r="J71" i="84"/>
  <c r="J72" i="84"/>
  <c r="J73" i="84"/>
  <c r="J74" i="84"/>
  <c r="J75" i="84"/>
  <c r="J76" i="84"/>
  <c r="J77" i="84"/>
  <c r="J78" i="84"/>
  <c r="J79" i="84"/>
  <c r="J80" i="84"/>
  <c r="J81" i="84"/>
  <c r="J82" i="84"/>
  <c r="J83" i="84"/>
  <c r="J84" i="84"/>
  <c r="J85" i="84"/>
  <c r="J86" i="84"/>
  <c r="J87" i="84"/>
  <c r="J88" i="84"/>
  <c r="J89" i="84"/>
  <c r="J90" i="84"/>
  <c r="J91" i="84"/>
  <c r="J92" i="84"/>
  <c r="J93" i="84"/>
  <c r="J94" i="84"/>
  <c r="J95" i="84"/>
  <c r="J96" i="84"/>
  <c r="J97" i="84"/>
  <c r="J98" i="84"/>
  <c r="J99" i="84"/>
  <c r="J100" i="84"/>
  <c r="J101" i="84"/>
  <c r="J102" i="84"/>
  <c r="J103" i="84"/>
  <c r="J104" i="84"/>
  <c r="J105" i="84"/>
  <c r="J106" i="84"/>
  <c r="J107" i="84"/>
  <c r="J108" i="84"/>
  <c r="J109" i="84"/>
  <c r="J110" i="84"/>
  <c r="J111" i="84"/>
  <c r="J112" i="84"/>
  <c r="J113" i="84"/>
  <c r="J114" i="84"/>
  <c r="J115" i="84"/>
  <c r="J116" i="84"/>
  <c r="J117" i="84"/>
  <c r="J118" i="84"/>
  <c r="J119" i="84"/>
  <c r="J120" i="84"/>
  <c r="J121" i="84"/>
  <c r="J122" i="84"/>
  <c r="J123" i="84"/>
  <c r="J124" i="84"/>
  <c r="J125" i="84"/>
  <c r="J126" i="84"/>
  <c r="J127" i="84"/>
  <c r="J128" i="84"/>
  <c r="J129" i="84"/>
  <c r="J130" i="84"/>
  <c r="J131" i="84"/>
  <c r="J132" i="84"/>
  <c r="J133" i="84"/>
  <c r="J134" i="84"/>
  <c r="J135" i="84"/>
  <c r="J136" i="84"/>
  <c r="J137" i="84"/>
  <c r="J138" i="84"/>
  <c r="J139" i="84"/>
  <c r="J140" i="84"/>
  <c r="J141" i="84"/>
  <c r="J142" i="84"/>
  <c r="J143" i="84"/>
  <c r="J144" i="84"/>
  <c r="J145" i="84"/>
  <c r="J146" i="84"/>
  <c r="J147" i="84"/>
  <c r="J148" i="84"/>
  <c r="J149" i="84"/>
  <c r="J150" i="84"/>
  <c r="J151" i="84"/>
  <c r="J152" i="84"/>
  <c r="J153" i="84"/>
  <c r="J154" i="84"/>
  <c r="J155" i="84"/>
  <c r="J156" i="84"/>
  <c r="J157" i="84"/>
  <c r="J158" i="84"/>
  <c r="J159" i="84"/>
  <c r="J160" i="84"/>
  <c r="J161" i="84"/>
  <c r="J162" i="84"/>
  <c r="J163" i="84"/>
  <c r="J164" i="84"/>
  <c r="J165" i="84"/>
  <c r="J166" i="84"/>
  <c r="J167" i="84"/>
  <c r="J168" i="84"/>
  <c r="J169" i="84"/>
  <c r="J170" i="84"/>
  <c r="J171" i="84"/>
  <c r="J172" i="84"/>
  <c r="J173" i="84"/>
  <c r="J174" i="84"/>
  <c r="J175" i="84"/>
  <c r="J176" i="84"/>
  <c r="J177" i="84"/>
  <c r="J178" i="84"/>
  <c r="J179" i="84"/>
  <c r="J180" i="84"/>
  <c r="J181" i="84"/>
  <c r="J182" i="84"/>
  <c r="J183" i="84"/>
  <c r="J184" i="84"/>
  <c r="J185" i="84"/>
  <c r="J186" i="84"/>
  <c r="J64" i="83"/>
  <c r="J65" i="83"/>
  <c r="J66" i="83"/>
  <c r="J67" i="83"/>
  <c r="J68" i="83"/>
  <c r="J69" i="83"/>
  <c r="J70" i="83"/>
  <c r="J71" i="83"/>
  <c r="J72" i="83"/>
  <c r="J73" i="83"/>
  <c r="J74" i="83"/>
  <c r="J75" i="83"/>
  <c r="J76" i="83"/>
  <c r="J77" i="83"/>
  <c r="J78" i="83"/>
  <c r="J79" i="83"/>
  <c r="J80" i="83"/>
  <c r="J81" i="83"/>
  <c r="J82" i="83"/>
  <c r="J83" i="83"/>
  <c r="J84" i="83"/>
  <c r="J85" i="83"/>
  <c r="J86" i="83"/>
  <c r="J87" i="83"/>
  <c r="J88" i="83"/>
  <c r="J89" i="83"/>
  <c r="J90" i="83"/>
  <c r="J91" i="83"/>
  <c r="J92" i="83"/>
  <c r="J93" i="83"/>
  <c r="J94" i="83"/>
  <c r="J95" i="83"/>
  <c r="J96" i="83"/>
  <c r="J97" i="83"/>
  <c r="J98" i="83"/>
  <c r="J99" i="83"/>
  <c r="J100" i="83"/>
  <c r="J101" i="83"/>
  <c r="J102" i="83"/>
  <c r="J103" i="83"/>
  <c r="J104" i="83"/>
  <c r="J105" i="83"/>
  <c r="J106" i="83"/>
  <c r="J107" i="83"/>
  <c r="J108" i="83"/>
  <c r="J109" i="83"/>
  <c r="J110" i="83"/>
  <c r="J111" i="83"/>
  <c r="J112" i="83"/>
  <c r="J113" i="83"/>
  <c r="J114" i="83"/>
  <c r="J115" i="83"/>
  <c r="J116" i="83"/>
  <c r="J117" i="83"/>
  <c r="J118" i="83"/>
  <c r="J119" i="83"/>
  <c r="J120" i="83"/>
  <c r="J121" i="83"/>
  <c r="J122" i="83"/>
  <c r="J123" i="83"/>
  <c r="J124" i="83"/>
  <c r="J125" i="83"/>
  <c r="J126" i="83"/>
  <c r="J127" i="83"/>
  <c r="J128" i="83"/>
  <c r="J129" i="83"/>
  <c r="J130" i="83"/>
  <c r="J131" i="83"/>
  <c r="J132" i="83"/>
  <c r="J133" i="83"/>
  <c r="J134" i="83"/>
  <c r="J135" i="83"/>
  <c r="J136" i="83"/>
  <c r="J137" i="83"/>
  <c r="J138" i="83"/>
  <c r="K138" i="83" s="1"/>
  <c r="J139" i="83"/>
  <c r="J140" i="83"/>
  <c r="J141" i="83"/>
  <c r="K141" i="83" s="1"/>
  <c r="J142" i="83"/>
  <c r="J143" i="83"/>
  <c r="J144" i="83"/>
  <c r="K144" i="83" s="1"/>
  <c r="J145" i="83"/>
  <c r="J146" i="83"/>
  <c r="J147" i="83"/>
  <c r="K147" i="83" s="1"/>
  <c r="J148" i="83"/>
  <c r="J149" i="83"/>
  <c r="J150" i="83"/>
  <c r="K150" i="83" s="1"/>
  <c r="J151" i="83"/>
  <c r="J152" i="83"/>
  <c r="J153" i="83"/>
  <c r="K153" i="83" s="1"/>
  <c r="J154" i="83"/>
  <c r="J155" i="83"/>
  <c r="J156" i="83"/>
  <c r="K156" i="83" s="1"/>
  <c r="J157" i="83"/>
  <c r="J158" i="83"/>
  <c r="J159" i="83"/>
  <c r="K159" i="83" s="1"/>
  <c r="J160" i="83"/>
  <c r="J161" i="83"/>
  <c r="J162" i="83"/>
  <c r="K162" i="83" s="1"/>
  <c r="J163" i="83"/>
  <c r="J164" i="83"/>
  <c r="J165" i="83"/>
  <c r="K165" i="83" s="1"/>
  <c r="J166" i="83"/>
  <c r="J167" i="83"/>
  <c r="J168" i="83"/>
  <c r="J169" i="83"/>
  <c r="J170" i="83"/>
  <c r="J171" i="83"/>
  <c r="J172" i="83"/>
  <c r="J173" i="83"/>
  <c r="J174" i="83"/>
  <c r="J175" i="83"/>
  <c r="J176" i="83"/>
  <c r="J177" i="83"/>
  <c r="J178" i="83"/>
  <c r="J179" i="83"/>
  <c r="J180" i="83"/>
  <c r="J181" i="83"/>
  <c r="J182" i="83"/>
  <c r="J183" i="83"/>
  <c r="J184" i="83"/>
  <c r="J185" i="83"/>
  <c r="J186" i="83"/>
  <c r="J64" i="82"/>
  <c r="J65" i="82"/>
  <c r="J66" i="82"/>
  <c r="J67" i="82"/>
  <c r="J68" i="82"/>
  <c r="J69" i="82"/>
  <c r="J70" i="82"/>
  <c r="J71" i="82"/>
  <c r="J72" i="82"/>
  <c r="J73" i="82"/>
  <c r="J74" i="82"/>
  <c r="J75" i="82"/>
  <c r="J76" i="82"/>
  <c r="J77" i="82"/>
  <c r="J78" i="82"/>
  <c r="J79" i="82"/>
  <c r="J80" i="82"/>
  <c r="J81" i="82"/>
  <c r="J82" i="82"/>
  <c r="J83" i="82"/>
  <c r="J84" i="82"/>
  <c r="J85" i="82"/>
  <c r="J86" i="82"/>
  <c r="J87" i="82"/>
  <c r="J88" i="82"/>
  <c r="J89" i="82"/>
  <c r="J90" i="82"/>
  <c r="J91" i="82"/>
  <c r="J92" i="82"/>
  <c r="J93" i="82"/>
  <c r="J94" i="82"/>
  <c r="J95" i="82"/>
  <c r="J96" i="82"/>
  <c r="J97" i="82"/>
  <c r="J98" i="82"/>
  <c r="J99" i="82"/>
  <c r="J100" i="82"/>
  <c r="J101" i="82"/>
  <c r="J102" i="82"/>
  <c r="J103" i="82"/>
  <c r="J104" i="82"/>
  <c r="J105" i="82"/>
  <c r="J106" i="82"/>
  <c r="J107" i="82"/>
  <c r="J108" i="82"/>
  <c r="J109" i="82"/>
  <c r="J110" i="82"/>
  <c r="J111" i="82"/>
  <c r="J112" i="82"/>
  <c r="J113" i="82"/>
  <c r="J114" i="82"/>
  <c r="J115" i="82"/>
  <c r="J116" i="82"/>
  <c r="J117" i="82"/>
  <c r="J118" i="82"/>
  <c r="J119" i="82"/>
  <c r="J120" i="82"/>
  <c r="J121" i="82"/>
  <c r="J122" i="82"/>
  <c r="J123" i="82"/>
  <c r="J124" i="82"/>
  <c r="J125" i="82"/>
  <c r="J126" i="82"/>
  <c r="J127" i="82"/>
  <c r="J128" i="82"/>
  <c r="J129" i="82"/>
  <c r="J130" i="82"/>
  <c r="J131" i="82"/>
  <c r="J132" i="82"/>
  <c r="J133" i="82"/>
  <c r="J134" i="82"/>
  <c r="J135" i="82"/>
  <c r="J136" i="82"/>
  <c r="J137" i="82"/>
  <c r="J138" i="82"/>
  <c r="K138" i="82" s="1"/>
  <c r="J139" i="82"/>
  <c r="J140" i="82"/>
  <c r="J141" i="82"/>
  <c r="K141" i="82" s="1"/>
  <c r="J142" i="82"/>
  <c r="J143" i="82"/>
  <c r="J144" i="82"/>
  <c r="K144" i="82" s="1"/>
  <c r="J145" i="82"/>
  <c r="J146" i="82"/>
  <c r="J147" i="82"/>
  <c r="K147" i="82" s="1"/>
  <c r="J148" i="82"/>
  <c r="J149" i="82"/>
  <c r="J150" i="82"/>
  <c r="K150" i="82" s="1"/>
  <c r="J151" i="82"/>
  <c r="J152" i="82"/>
  <c r="J153" i="82"/>
  <c r="K153" i="82" s="1"/>
  <c r="J154" i="82"/>
  <c r="J155" i="82"/>
  <c r="J156" i="82"/>
  <c r="K156" i="82" s="1"/>
  <c r="J157" i="82"/>
  <c r="J158" i="82"/>
  <c r="J159" i="82"/>
  <c r="K159" i="82" s="1"/>
  <c r="J160" i="82"/>
  <c r="J161" i="82"/>
  <c r="J162" i="82"/>
  <c r="K162" i="82" s="1"/>
  <c r="J163" i="82"/>
  <c r="J164" i="82"/>
  <c r="J165" i="82"/>
  <c r="K165" i="82" s="1"/>
  <c r="J166" i="82"/>
  <c r="J167" i="82"/>
  <c r="J168" i="82"/>
  <c r="J169" i="82"/>
  <c r="J170" i="82"/>
  <c r="J171" i="82"/>
  <c r="J172" i="82"/>
  <c r="J173" i="82"/>
  <c r="J174" i="82"/>
  <c r="J175" i="82"/>
  <c r="J176" i="82"/>
  <c r="J177" i="82"/>
  <c r="J178" i="82"/>
  <c r="J179" i="82"/>
  <c r="J180" i="82"/>
  <c r="J181" i="82"/>
  <c r="J182" i="82"/>
  <c r="J183" i="82"/>
  <c r="J184" i="82"/>
  <c r="J185" i="82"/>
  <c r="J186" i="82"/>
  <c r="J64" i="81"/>
  <c r="J65" i="81"/>
  <c r="J66" i="81"/>
  <c r="J67" i="81"/>
  <c r="J68" i="81"/>
  <c r="J69" i="81"/>
  <c r="J70" i="81"/>
  <c r="J71" i="81"/>
  <c r="J72" i="81"/>
  <c r="J73" i="81"/>
  <c r="J74" i="81"/>
  <c r="J75" i="81"/>
  <c r="J76" i="81"/>
  <c r="J77" i="81"/>
  <c r="J78" i="81"/>
  <c r="J79" i="81"/>
  <c r="J80" i="81"/>
  <c r="J81" i="81"/>
  <c r="J82" i="81"/>
  <c r="J83" i="81"/>
  <c r="J84" i="81"/>
  <c r="J85" i="81"/>
  <c r="J86" i="81"/>
  <c r="J87" i="81"/>
  <c r="J88" i="81"/>
  <c r="J89" i="81"/>
  <c r="J90" i="81"/>
  <c r="J91" i="81"/>
  <c r="J92" i="81"/>
  <c r="J93" i="81"/>
  <c r="J94" i="81"/>
  <c r="J95" i="81"/>
  <c r="J96" i="81"/>
  <c r="J97" i="81"/>
  <c r="J98" i="81"/>
  <c r="J99" i="81"/>
  <c r="J100" i="81"/>
  <c r="J101" i="81"/>
  <c r="J102" i="81"/>
  <c r="J103" i="81"/>
  <c r="J104" i="81"/>
  <c r="J105" i="81"/>
  <c r="J106" i="81"/>
  <c r="J107" i="81"/>
  <c r="J108" i="81"/>
  <c r="J109" i="81"/>
  <c r="J110" i="81"/>
  <c r="J111" i="81"/>
  <c r="J112" i="81"/>
  <c r="J113" i="81"/>
  <c r="J114" i="81"/>
  <c r="J115" i="81"/>
  <c r="J116" i="81"/>
  <c r="J117" i="81"/>
  <c r="J118" i="81"/>
  <c r="J119" i="81"/>
  <c r="J120" i="81"/>
  <c r="J121" i="81"/>
  <c r="J122" i="81"/>
  <c r="J123" i="81"/>
  <c r="J124" i="81"/>
  <c r="J125" i="81"/>
  <c r="J126" i="81"/>
  <c r="J127" i="81"/>
  <c r="J128" i="81"/>
  <c r="J129" i="81"/>
  <c r="J130" i="81"/>
  <c r="J131" i="81"/>
  <c r="J132" i="81"/>
  <c r="J133" i="81"/>
  <c r="J134" i="81"/>
  <c r="J135" i="81"/>
  <c r="J136" i="81"/>
  <c r="J137" i="81"/>
  <c r="J138" i="81"/>
  <c r="K138" i="81" s="1"/>
  <c r="J139" i="81"/>
  <c r="J140" i="81"/>
  <c r="J141" i="81"/>
  <c r="K141" i="81" s="1"/>
  <c r="J142" i="81"/>
  <c r="J143" i="81"/>
  <c r="J144" i="81"/>
  <c r="K144" i="81" s="1"/>
  <c r="J145" i="81"/>
  <c r="J146" i="81"/>
  <c r="J147" i="81"/>
  <c r="K147" i="81" s="1"/>
  <c r="J148" i="81"/>
  <c r="J149" i="81"/>
  <c r="J150" i="81"/>
  <c r="K150" i="81" s="1"/>
  <c r="J151" i="81"/>
  <c r="J152" i="81"/>
  <c r="J153" i="81"/>
  <c r="K153" i="81" s="1"/>
  <c r="J154" i="81"/>
  <c r="J155" i="81"/>
  <c r="J156" i="81"/>
  <c r="K156" i="81" s="1"/>
  <c r="J157" i="81"/>
  <c r="J158" i="81"/>
  <c r="J159" i="81"/>
  <c r="K159" i="81" s="1"/>
  <c r="J160" i="81"/>
  <c r="J161" i="81"/>
  <c r="J162" i="81"/>
  <c r="K162" i="81" s="1"/>
  <c r="J163" i="81"/>
  <c r="J164" i="81"/>
  <c r="J165" i="81"/>
  <c r="K165" i="81" s="1"/>
  <c r="J166" i="81"/>
  <c r="J167" i="81"/>
  <c r="J168" i="81"/>
  <c r="J169" i="81"/>
  <c r="J170" i="81"/>
  <c r="J171" i="81"/>
  <c r="J172" i="81"/>
  <c r="J173" i="81"/>
  <c r="J174" i="81"/>
  <c r="J175" i="81"/>
  <c r="J176" i="81"/>
  <c r="J177" i="81"/>
  <c r="J178" i="81"/>
  <c r="J179" i="81"/>
  <c r="J180" i="81"/>
  <c r="J181" i="81"/>
  <c r="J182" i="81"/>
  <c r="J183" i="81"/>
  <c r="J184" i="81"/>
  <c r="J185" i="81"/>
  <c r="J186" i="81"/>
  <c r="J64" i="74"/>
  <c r="J65" i="74"/>
  <c r="J66" i="74"/>
  <c r="J67" i="74"/>
  <c r="J68" i="74"/>
  <c r="J69" i="74"/>
  <c r="J70" i="74"/>
  <c r="J71" i="74"/>
  <c r="J72" i="74"/>
  <c r="J73" i="74"/>
  <c r="J74" i="74"/>
  <c r="J75" i="74"/>
  <c r="J76" i="74"/>
  <c r="J77" i="74"/>
  <c r="J78" i="74"/>
  <c r="J79" i="74"/>
  <c r="J80" i="74"/>
  <c r="J81" i="74"/>
  <c r="J82" i="74"/>
  <c r="J83" i="74"/>
  <c r="J84" i="74"/>
  <c r="J85" i="74"/>
  <c r="J86" i="74"/>
  <c r="J87" i="74"/>
  <c r="J88" i="74"/>
  <c r="J89" i="74"/>
  <c r="J90" i="74"/>
  <c r="J91" i="74"/>
  <c r="J92" i="74"/>
  <c r="J93" i="74"/>
  <c r="J94" i="74"/>
  <c r="J95" i="74"/>
  <c r="J96" i="74"/>
  <c r="J97" i="74"/>
  <c r="J98" i="74"/>
  <c r="J99" i="74"/>
  <c r="J100" i="74"/>
  <c r="J101" i="74"/>
  <c r="J102" i="74"/>
  <c r="J103" i="74"/>
  <c r="J104" i="74"/>
  <c r="J105" i="74"/>
  <c r="J106" i="74"/>
  <c r="J107" i="74"/>
  <c r="J108" i="74"/>
  <c r="J109" i="74"/>
  <c r="J110" i="74"/>
  <c r="J111" i="74"/>
  <c r="J112" i="74"/>
  <c r="J113" i="74"/>
  <c r="J114" i="74"/>
  <c r="J115" i="74"/>
  <c r="J116" i="74"/>
  <c r="J117" i="74"/>
  <c r="J118" i="74"/>
  <c r="J119" i="74"/>
  <c r="J120" i="74"/>
  <c r="J121" i="74"/>
  <c r="J122" i="74"/>
  <c r="J123" i="74"/>
  <c r="J124" i="74"/>
  <c r="J125" i="74"/>
  <c r="J126" i="74"/>
  <c r="J127" i="74"/>
  <c r="J128" i="74"/>
  <c r="J129" i="74"/>
  <c r="J130" i="74"/>
  <c r="J131" i="74"/>
  <c r="J132" i="74"/>
  <c r="J133" i="74"/>
  <c r="J134" i="74"/>
  <c r="J135" i="74"/>
  <c r="J136" i="74"/>
  <c r="J137" i="74"/>
  <c r="J138" i="74"/>
  <c r="K138" i="74" s="1"/>
  <c r="J139" i="74"/>
  <c r="J140" i="74"/>
  <c r="J141" i="74"/>
  <c r="K141" i="74" s="1"/>
  <c r="J142" i="74"/>
  <c r="J143" i="74"/>
  <c r="J144" i="74"/>
  <c r="K144" i="74" s="1"/>
  <c r="J145" i="74"/>
  <c r="J146" i="74"/>
  <c r="J147" i="74"/>
  <c r="K147" i="74" s="1"/>
  <c r="J148" i="74"/>
  <c r="J149" i="74"/>
  <c r="J150" i="74"/>
  <c r="K150" i="74" s="1"/>
  <c r="J151" i="74"/>
  <c r="J152" i="74"/>
  <c r="J153" i="74"/>
  <c r="K153" i="74" s="1"/>
  <c r="J154" i="74"/>
  <c r="J155" i="74"/>
  <c r="J156" i="74"/>
  <c r="K156" i="74" s="1"/>
  <c r="J157" i="74"/>
  <c r="J158" i="74"/>
  <c r="J159" i="74"/>
  <c r="K159" i="74" s="1"/>
  <c r="J160" i="74"/>
  <c r="J161" i="74"/>
  <c r="J162" i="74"/>
  <c r="K162" i="74" s="1"/>
  <c r="J163" i="74"/>
  <c r="J164" i="74"/>
  <c r="J165" i="74"/>
  <c r="K165" i="74" s="1"/>
  <c r="J166" i="74"/>
  <c r="J167" i="74"/>
  <c r="J168" i="74"/>
  <c r="J169" i="74"/>
  <c r="J170" i="74"/>
  <c r="J171" i="74"/>
  <c r="J172" i="74"/>
  <c r="J173" i="74"/>
  <c r="J174" i="74"/>
  <c r="J175" i="74"/>
  <c r="J176" i="74"/>
  <c r="J177" i="74"/>
  <c r="J178" i="74"/>
  <c r="J179" i="74"/>
  <c r="J180" i="74"/>
  <c r="J181" i="74"/>
  <c r="J182" i="74"/>
  <c r="J183" i="74"/>
  <c r="J184" i="74"/>
  <c r="J185" i="74"/>
  <c r="J186" i="7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J110" i="94"/>
  <c r="J111" i="94"/>
  <c r="J112" i="94"/>
  <c r="J113" i="94"/>
  <c r="J114" i="94"/>
  <c r="J115" i="94"/>
  <c r="J116" i="94"/>
  <c r="J117" i="94"/>
  <c r="J118" i="94"/>
  <c r="J119" i="94"/>
  <c r="J120" i="94"/>
  <c r="J121" i="94"/>
  <c r="J122" i="94"/>
  <c r="J123" i="94"/>
  <c r="J124" i="94"/>
  <c r="J125" i="94"/>
  <c r="J126" i="94"/>
  <c r="J127" i="94"/>
  <c r="J128" i="94"/>
  <c r="J129" i="94"/>
  <c r="J130" i="94"/>
  <c r="J131" i="94"/>
  <c r="J132" i="94"/>
  <c r="J133" i="94"/>
  <c r="J134" i="94"/>
  <c r="J135" i="94"/>
  <c r="J136" i="94"/>
  <c r="J137" i="94"/>
  <c r="J138" i="94"/>
  <c r="K138" i="94" s="1"/>
  <c r="J139" i="94"/>
  <c r="J140" i="94"/>
  <c r="J141" i="94"/>
  <c r="K141" i="94" s="1"/>
  <c r="J142" i="94"/>
  <c r="J143" i="94"/>
  <c r="J144" i="94"/>
  <c r="K144" i="94" s="1"/>
  <c r="J145" i="94"/>
  <c r="J146" i="94"/>
  <c r="J147" i="94"/>
  <c r="K147" i="94" s="1"/>
  <c r="J148" i="94"/>
  <c r="J149" i="94"/>
  <c r="J150" i="94"/>
  <c r="K150" i="94" s="1"/>
  <c r="J151" i="94"/>
  <c r="J152" i="94"/>
  <c r="J153" i="94"/>
  <c r="K153" i="94" s="1"/>
  <c r="J154" i="94"/>
  <c r="J155" i="94"/>
  <c r="J156" i="94"/>
  <c r="K156" i="94" s="1"/>
  <c r="J157" i="94"/>
  <c r="J158" i="94"/>
  <c r="J159" i="94"/>
  <c r="K159" i="94" s="1"/>
  <c r="J160" i="94"/>
  <c r="J161" i="94"/>
  <c r="J162" i="94"/>
  <c r="K162" i="94" s="1"/>
  <c r="J163" i="94"/>
  <c r="J164" i="94"/>
  <c r="J165" i="94"/>
  <c r="K165" i="94" s="1"/>
  <c r="J166" i="94"/>
  <c r="J167" i="94"/>
  <c r="J168" i="94"/>
  <c r="J169" i="94"/>
  <c r="J170" i="94"/>
  <c r="J171" i="94"/>
  <c r="J172" i="94"/>
  <c r="J173" i="94"/>
  <c r="J174" i="94"/>
  <c r="J175" i="94"/>
  <c r="J176" i="94"/>
  <c r="J177" i="94"/>
  <c r="J178" i="94"/>
  <c r="J179" i="94"/>
  <c r="J180" i="94"/>
  <c r="J181" i="94"/>
  <c r="J182" i="94"/>
  <c r="J183" i="94"/>
  <c r="J184" i="94"/>
  <c r="J185" i="94"/>
  <c r="J186" i="94"/>
  <c r="J63" i="93"/>
  <c r="J63" i="92"/>
  <c r="J63" i="91"/>
  <c r="J63" i="89"/>
  <c r="J63" i="88"/>
  <c r="J63" i="87"/>
  <c r="J63" i="85"/>
  <c r="J63" i="84"/>
  <c r="J63" i="83"/>
  <c r="J63" i="82"/>
  <c r="J63" i="81"/>
  <c r="J63" i="74"/>
  <c r="J63" i="94"/>
  <c r="J21" i="93"/>
  <c r="J23" i="93"/>
  <c r="J25" i="93"/>
  <c r="J27" i="93"/>
  <c r="J29" i="93"/>
  <c r="J31" i="93"/>
  <c r="J33" i="93"/>
  <c r="J35" i="93"/>
  <c r="J37" i="93"/>
  <c r="J39" i="93"/>
  <c r="J41" i="93"/>
  <c r="J43" i="93"/>
  <c r="J45" i="93"/>
  <c r="J47" i="93"/>
  <c r="J49" i="93"/>
  <c r="J51" i="93"/>
  <c r="J53" i="93"/>
  <c r="J55" i="93"/>
  <c r="J57" i="93"/>
  <c r="J59" i="93"/>
  <c r="J61" i="93"/>
  <c r="J21" i="92"/>
  <c r="J23" i="92"/>
  <c r="J25" i="92"/>
  <c r="J27" i="92"/>
  <c r="J29" i="92"/>
  <c r="J31" i="92"/>
  <c r="J33" i="92"/>
  <c r="J35" i="92"/>
  <c r="J37" i="92"/>
  <c r="J39" i="92"/>
  <c r="J41" i="92"/>
  <c r="J43" i="92"/>
  <c r="J45" i="92"/>
  <c r="J47" i="92"/>
  <c r="J49" i="92"/>
  <c r="J51" i="92"/>
  <c r="J53" i="92"/>
  <c r="J55" i="92"/>
  <c r="J57" i="92"/>
  <c r="J59" i="92"/>
  <c r="J61" i="92"/>
  <c r="J21" i="91"/>
  <c r="J23" i="91"/>
  <c r="J25" i="91"/>
  <c r="J27" i="91"/>
  <c r="J29" i="91"/>
  <c r="J31" i="91"/>
  <c r="J33" i="91"/>
  <c r="J35" i="91"/>
  <c r="J37" i="91"/>
  <c r="J39" i="91"/>
  <c r="J41" i="91"/>
  <c r="J43" i="91"/>
  <c r="J45" i="91"/>
  <c r="J47" i="91"/>
  <c r="J49" i="91"/>
  <c r="J51" i="91"/>
  <c r="J53" i="91"/>
  <c r="J55" i="91"/>
  <c r="J57" i="91"/>
  <c r="J59" i="91"/>
  <c r="J61" i="91"/>
  <c r="J21" i="89"/>
  <c r="J23" i="89"/>
  <c r="J25" i="89"/>
  <c r="J27" i="89"/>
  <c r="J29" i="89"/>
  <c r="J31" i="89"/>
  <c r="J33" i="89"/>
  <c r="J35" i="89"/>
  <c r="J37" i="89"/>
  <c r="J39" i="89"/>
  <c r="J41" i="89"/>
  <c r="J43" i="89"/>
  <c r="J45" i="89"/>
  <c r="J47" i="89"/>
  <c r="J49" i="89"/>
  <c r="J51" i="89"/>
  <c r="J53" i="89"/>
  <c r="J55" i="89"/>
  <c r="J57" i="89"/>
  <c r="J59" i="89"/>
  <c r="J61" i="89"/>
  <c r="J21" i="88"/>
  <c r="J23" i="88"/>
  <c r="J25" i="88"/>
  <c r="J27" i="88"/>
  <c r="J29" i="88"/>
  <c r="J31" i="88"/>
  <c r="J33" i="88"/>
  <c r="J35" i="88"/>
  <c r="J37" i="88"/>
  <c r="J39" i="88"/>
  <c r="J41" i="88"/>
  <c r="J43" i="88"/>
  <c r="J45" i="88"/>
  <c r="J47" i="88"/>
  <c r="J49" i="88"/>
  <c r="J51" i="88"/>
  <c r="J53" i="88"/>
  <c r="J55" i="88"/>
  <c r="J57" i="88"/>
  <c r="J59" i="88"/>
  <c r="J61" i="88"/>
  <c r="J21" i="87"/>
  <c r="J23" i="87"/>
  <c r="J25" i="87"/>
  <c r="J27" i="87"/>
  <c r="J29" i="87"/>
  <c r="J31" i="87"/>
  <c r="J33" i="87"/>
  <c r="J35" i="87"/>
  <c r="J37" i="87"/>
  <c r="J39" i="87"/>
  <c r="J41" i="87"/>
  <c r="J43" i="87"/>
  <c r="J45" i="87"/>
  <c r="J47" i="87"/>
  <c r="J49" i="87"/>
  <c r="J51" i="87"/>
  <c r="J53" i="87"/>
  <c r="J55" i="87"/>
  <c r="J57" i="87"/>
  <c r="J59" i="87"/>
  <c r="J61" i="87"/>
  <c r="J21" i="85"/>
  <c r="J23" i="85"/>
  <c r="J25" i="85"/>
  <c r="J27" i="85"/>
  <c r="J29" i="85"/>
  <c r="J31" i="85"/>
  <c r="J33" i="85"/>
  <c r="J35" i="85"/>
  <c r="J37" i="85"/>
  <c r="J39" i="85"/>
  <c r="J41" i="85"/>
  <c r="J43" i="85"/>
  <c r="J45" i="85"/>
  <c r="J47" i="85"/>
  <c r="J49" i="85"/>
  <c r="J51" i="85"/>
  <c r="J53" i="85"/>
  <c r="J55" i="85"/>
  <c r="J57" i="85"/>
  <c r="J59" i="85"/>
  <c r="J61" i="85"/>
  <c r="J21" i="84"/>
  <c r="J23" i="84"/>
  <c r="J25" i="84"/>
  <c r="J27" i="84"/>
  <c r="J29" i="84"/>
  <c r="J31" i="84"/>
  <c r="J33" i="84"/>
  <c r="J35" i="84"/>
  <c r="J37" i="84"/>
  <c r="J39" i="84"/>
  <c r="J41" i="84"/>
  <c r="J43" i="84"/>
  <c r="J45" i="84"/>
  <c r="J47" i="84"/>
  <c r="J49" i="84"/>
  <c r="J51" i="84"/>
  <c r="J53" i="84"/>
  <c r="J55" i="84"/>
  <c r="J57" i="84"/>
  <c r="J59" i="84"/>
  <c r="J61" i="84"/>
  <c r="J21" i="83"/>
  <c r="J23" i="83"/>
  <c r="J25" i="83"/>
  <c r="J27" i="83"/>
  <c r="J29" i="83"/>
  <c r="J31" i="83"/>
  <c r="J33" i="83"/>
  <c r="J35" i="83"/>
  <c r="J37" i="83"/>
  <c r="J39" i="83"/>
  <c r="J41" i="83"/>
  <c r="J43" i="83"/>
  <c r="J45" i="83"/>
  <c r="J47" i="83"/>
  <c r="J49" i="83"/>
  <c r="J51" i="83"/>
  <c r="J53" i="83"/>
  <c r="J55" i="83"/>
  <c r="J57" i="83"/>
  <c r="J59" i="83"/>
  <c r="J61" i="83"/>
  <c r="J21" i="82"/>
  <c r="J23" i="82"/>
  <c r="J25" i="82"/>
  <c r="J27" i="82"/>
  <c r="J29" i="82"/>
  <c r="J31" i="82"/>
  <c r="J33" i="82"/>
  <c r="J35" i="82"/>
  <c r="J37" i="82"/>
  <c r="J39" i="82"/>
  <c r="J41" i="82"/>
  <c r="J43" i="82"/>
  <c r="J45" i="82"/>
  <c r="J47" i="82"/>
  <c r="J49" i="82"/>
  <c r="J51" i="82"/>
  <c r="J53" i="82"/>
  <c r="J55" i="82"/>
  <c r="J57" i="82"/>
  <c r="J59" i="82"/>
  <c r="J61" i="82"/>
  <c r="J21" i="81"/>
  <c r="J23" i="81"/>
  <c r="J25" i="81"/>
  <c r="J27" i="81"/>
  <c r="J29" i="81"/>
  <c r="J31" i="81"/>
  <c r="J33" i="81"/>
  <c r="J35" i="81"/>
  <c r="J37" i="81"/>
  <c r="J39" i="81"/>
  <c r="J41" i="81"/>
  <c r="J43" i="81"/>
  <c r="J45" i="81"/>
  <c r="J47" i="81"/>
  <c r="J49" i="81"/>
  <c r="J51" i="81"/>
  <c r="J53" i="81"/>
  <c r="J55" i="81"/>
  <c r="J57" i="81"/>
  <c r="J59" i="81"/>
  <c r="J61" i="81"/>
  <c r="J21" i="74"/>
  <c r="J23" i="74"/>
  <c r="J25" i="74"/>
  <c r="J27" i="74"/>
  <c r="J29" i="74"/>
  <c r="J31" i="74"/>
  <c r="J33" i="74"/>
  <c r="J35" i="74"/>
  <c r="J37" i="74"/>
  <c r="J39" i="74"/>
  <c r="J41" i="74"/>
  <c r="J43" i="74"/>
  <c r="J45" i="74"/>
  <c r="J47" i="74"/>
  <c r="J49" i="74"/>
  <c r="J51" i="74"/>
  <c r="J53" i="74"/>
  <c r="J55" i="74"/>
  <c r="J57" i="74"/>
  <c r="J59" i="74"/>
  <c r="J61" i="74"/>
  <c r="J21" i="94"/>
  <c r="J23" i="94"/>
  <c r="J25" i="94"/>
  <c r="J27" i="94"/>
  <c r="J29" i="94"/>
  <c r="J31" i="94"/>
  <c r="J33" i="94"/>
  <c r="J35" i="94"/>
  <c r="J37" i="94"/>
  <c r="J39" i="94"/>
  <c r="J41" i="94"/>
  <c r="J43" i="94"/>
  <c r="J45" i="94"/>
  <c r="J47" i="94"/>
  <c r="J49" i="94"/>
  <c r="J51" i="94"/>
  <c r="J53" i="94"/>
  <c r="J55" i="94"/>
  <c r="J57" i="94"/>
  <c r="J59" i="94"/>
  <c r="J61" i="94"/>
  <c r="J19" i="93"/>
  <c r="J19" i="92"/>
  <c r="J19" i="91"/>
  <c r="J19" i="89"/>
  <c r="J19" i="88"/>
  <c r="J19" i="87"/>
  <c r="J19" i="85"/>
  <c r="J19" i="84"/>
  <c r="J19" i="83"/>
  <c r="J19" i="82"/>
  <c r="J19" i="81"/>
  <c r="J19" i="74"/>
  <c r="J19" i="94"/>
  <c r="J17" i="93"/>
  <c r="J17" i="92"/>
  <c r="J17" i="91"/>
  <c r="J17" i="89"/>
  <c r="J17" i="88"/>
  <c r="J17" i="87"/>
  <c r="J17" i="85"/>
  <c r="J17" i="84"/>
  <c r="J17" i="83"/>
  <c r="J17" i="82"/>
  <c r="J17" i="81"/>
  <c r="J17" i="74"/>
  <c r="J17" i="94"/>
  <c r="J15" i="93"/>
  <c r="J15" i="92"/>
  <c r="J15" i="91"/>
  <c r="J15" i="89"/>
  <c r="J15" i="88"/>
  <c r="J15" i="87"/>
  <c r="J15" i="85"/>
  <c r="J15" i="84"/>
  <c r="J15" i="83"/>
  <c r="J15" i="82"/>
  <c r="J15" i="81"/>
  <c r="J15" i="74"/>
  <c r="J15" i="94"/>
  <c r="J13" i="93"/>
  <c r="J13" i="92"/>
  <c r="J13" i="91"/>
  <c r="J13" i="89"/>
  <c r="J13" i="88"/>
  <c r="J13" i="87"/>
  <c r="J13" i="85"/>
  <c r="J13" i="84"/>
  <c r="J13" i="83"/>
  <c r="J13" i="82"/>
  <c r="J13" i="81"/>
  <c r="J13" i="74"/>
  <c r="J13" i="94"/>
  <c r="J11" i="93"/>
  <c r="J11" i="92"/>
  <c r="J11" i="91"/>
  <c r="J11" i="89"/>
  <c r="J11" i="88"/>
  <c r="J11" i="87"/>
  <c r="J11" i="85"/>
  <c r="J11" i="84"/>
  <c r="J11" i="83"/>
  <c r="J11" i="82"/>
  <c r="J11" i="81"/>
  <c r="J11" i="74"/>
  <c r="J11" i="94"/>
  <c r="J9" i="93"/>
  <c r="J9" i="92"/>
  <c r="J9" i="91"/>
  <c r="J9" i="89"/>
  <c r="J9" i="88"/>
  <c r="J9" i="87"/>
  <c r="J9" i="85"/>
  <c r="J9" i="84"/>
  <c r="J9" i="83"/>
  <c r="J9" i="82"/>
  <c r="J9" i="81"/>
  <c r="J9" i="74"/>
  <c r="J9" i="94"/>
  <c r="AQ116" i="106" l="1"/>
  <c r="AQ117" i="106" s="1"/>
  <c r="AQ118" i="106" s="1"/>
  <c r="AQ119" i="106" s="1"/>
  <c r="AQ121" i="106" s="1"/>
  <c r="AQ122" i="106" s="1"/>
  <c r="AQ123" i="106" s="1"/>
  <c r="AQ124" i="106" s="1"/>
  <c r="AQ125" i="106" s="1"/>
  <c r="AQ126" i="106" s="1"/>
  <c r="AQ127" i="106" s="1"/>
  <c r="AQ128" i="106" s="1"/>
  <c r="AQ129" i="106" s="1"/>
  <c r="AQ130" i="106" s="1"/>
  <c r="AQ131" i="106" s="1"/>
  <c r="AQ132" i="106" s="1"/>
  <c r="AQ133" i="106" s="1"/>
  <c r="AQ134" i="106" s="1"/>
  <c r="AQ135" i="106" s="1"/>
  <c r="AQ136" i="106" s="1"/>
  <c r="AQ137" i="106" s="1"/>
  <c r="AQ138" i="106" s="1"/>
  <c r="AQ139" i="106" s="1"/>
  <c r="AQ140" i="106" s="1"/>
  <c r="AQ141" i="106" s="1"/>
  <c r="AQ142" i="106" s="1"/>
  <c r="AQ143" i="106" s="1"/>
  <c r="AQ144" i="106" s="1"/>
  <c r="AQ145" i="106" s="1"/>
  <c r="AQ146" i="106" s="1"/>
  <c r="AQ147" i="106" s="1"/>
  <c r="AQ148" i="106" s="1"/>
  <c r="AQ149" i="106" s="1"/>
  <c r="AQ150" i="106" s="1"/>
  <c r="AQ151" i="106" s="1"/>
  <c r="AQ152" i="106" s="1"/>
  <c r="AQ153" i="106" s="1"/>
  <c r="AQ154" i="106" s="1"/>
  <c r="AQ155" i="106" s="1"/>
  <c r="AQ156" i="106" s="1"/>
  <c r="AQ158" i="106" s="1"/>
  <c r="AQ159" i="106" s="1"/>
  <c r="AQ160" i="106" s="1"/>
  <c r="AQ161" i="106" s="1"/>
  <c r="AQ162" i="106" s="1"/>
  <c r="AQ163" i="106" s="1"/>
  <c r="AQ164" i="106" s="1"/>
  <c r="AQ165" i="106" s="1"/>
  <c r="AQ166" i="106" s="1"/>
  <c r="AQ167" i="106" s="1"/>
  <c r="AQ168" i="106" s="1"/>
  <c r="AQ169" i="106" s="1"/>
  <c r="AQ170" i="106" s="1"/>
  <c r="AQ171" i="106" s="1"/>
  <c r="AQ172" i="106" s="1"/>
  <c r="AQ173" i="106" s="1"/>
  <c r="AQ174" i="106" s="1"/>
  <c r="AQ175" i="106" s="1"/>
  <c r="AQ176" i="106" s="1"/>
  <c r="AQ177" i="106" s="1"/>
  <c r="AQ178" i="106" s="1"/>
  <c r="AQ179" i="106" s="1"/>
  <c r="AQ180" i="106" s="1"/>
  <c r="AQ181" i="106" s="1"/>
  <c r="AQ182" i="106" s="1"/>
  <c r="AQ183" i="106" s="1"/>
  <c r="AQ184" i="106" s="1"/>
  <c r="AQ185" i="106" s="1"/>
  <c r="AQ186" i="106" s="1"/>
  <c r="AQ187" i="106" s="1"/>
  <c r="AQ188" i="106" s="1"/>
  <c r="AQ189" i="106" s="1"/>
  <c r="AQ190" i="106" s="1"/>
  <c r="AQ191" i="106" s="1"/>
  <c r="AQ192" i="106" s="1"/>
  <c r="AQ194" i="106" s="1"/>
  <c r="AQ195" i="106" s="1"/>
  <c r="AQ196" i="106" s="1"/>
  <c r="AQ197" i="106" s="1"/>
  <c r="AQ198" i="106" s="1"/>
  <c r="AQ199" i="106" s="1"/>
  <c r="AQ200" i="106" s="1"/>
  <c r="AQ201" i="106" s="1"/>
  <c r="AQ202" i="106" s="1"/>
  <c r="AQ203" i="106" s="1"/>
  <c r="AQ204" i="106" s="1"/>
  <c r="AQ205" i="106" s="1"/>
  <c r="AQ206" i="106" s="1"/>
  <c r="AQ207" i="106" s="1"/>
  <c r="AQ208" i="106" s="1"/>
  <c r="AQ209" i="106" s="1"/>
  <c r="AQ210" i="106" s="1"/>
  <c r="AQ211" i="106" s="1"/>
  <c r="AQ212" i="106" s="1"/>
  <c r="AQ213" i="106" s="1"/>
  <c r="AQ214" i="106" s="1"/>
  <c r="AQ215" i="106" s="1"/>
  <c r="AQ216" i="106" s="1"/>
  <c r="AQ217" i="106" s="1"/>
  <c r="AQ218" i="106" s="1"/>
  <c r="AQ219" i="106" s="1"/>
  <c r="AQ220" i="106" s="1"/>
  <c r="AQ221" i="106" s="1"/>
  <c r="AQ222" i="106" s="1"/>
  <c r="AQ223" i="106" s="1"/>
  <c r="AQ224" i="106" s="1"/>
  <c r="AQ225" i="106" s="1"/>
  <c r="AQ226" i="106" s="1"/>
  <c r="AQ227" i="106" s="1"/>
  <c r="AQ228" i="106" s="1"/>
  <c r="AQ230" i="106" s="1"/>
  <c r="AQ231" i="106" s="1"/>
  <c r="AQ232" i="106" s="1"/>
  <c r="AQ233" i="106" s="1"/>
  <c r="AQ234" i="106" s="1"/>
  <c r="AQ235" i="106" s="1"/>
  <c r="AQ236" i="106" s="1"/>
  <c r="AQ237" i="106" s="1"/>
  <c r="AQ238" i="106" s="1"/>
  <c r="AQ239" i="106" s="1"/>
  <c r="AQ240" i="106" s="1"/>
  <c r="AQ241" i="106" s="1"/>
  <c r="AQ242" i="106" s="1"/>
  <c r="AQ243" i="106" s="1"/>
  <c r="AQ244" i="106" s="1"/>
  <c r="AQ245" i="106" s="1"/>
  <c r="AQ246" i="106" s="1"/>
  <c r="AQ247" i="106" s="1"/>
  <c r="AQ248" i="106" s="1"/>
  <c r="AQ249" i="106" s="1"/>
  <c r="AQ250" i="106" s="1"/>
  <c r="AQ251" i="106" s="1"/>
  <c r="AQ252" i="106" s="1"/>
  <c r="AQ253" i="106" s="1"/>
  <c r="P68" i="13"/>
  <c r="AQ254" i="106" l="1"/>
  <c r="AQ255" i="106" s="1"/>
  <c r="AQ256" i="106" s="1"/>
  <c r="AQ257" i="106" s="1"/>
  <c r="AQ258" i="106" s="1"/>
  <c r="AQ259" i="106" s="1"/>
  <c r="G59" i="13"/>
  <c r="F58" i="13"/>
  <c r="E58" i="13"/>
  <c r="D58" i="13"/>
  <c r="C58" i="13"/>
  <c r="C59" i="13"/>
  <c r="C60" i="13"/>
  <c r="O68" i="13"/>
  <c r="C87" i="13"/>
  <c r="C86" i="13"/>
  <c r="AQ260" i="106" l="1"/>
  <c r="AQ261" i="106" s="1"/>
  <c r="AQ262" i="106" s="1"/>
  <c r="AQ263" i="106" s="1"/>
  <c r="AQ264" i="106" s="1"/>
  <c r="P40" i="13"/>
  <c r="AB67" i="74"/>
  <c r="AB83" i="74"/>
  <c r="AB41" i="74"/>
  <c r="AB146" i="74"/>
  <c r="AB169" i="74"/>
  <c r="AB142" i="74"/>
  <c r="AB115" i="74"/>
  <c r="AB177" i="74"/>
  <c r="AB99" i="74"/>
  <c r="AB82" i="74"/>
  <c r="AB47" i="74"/>
  <c r="AB129" i="74"/>
  <c r="AB147" i="74"/>
  <c r="AB148" i="74"/>
  <c r="AB139" i="74"/>
  <c r="AB170" i="74"/>
  <c r="AB172" i="74"/>
  <c r="AB9" i="74"/>
  <c r="AB167" i="74"/>
  <c r="AB69" i="74"/>
  <c r="AB122" i="74"/>
  <c r="AB74" i="74"/>
  <c r="AB160" i="74"/>
  <c r="AB107" i="74"/>
  <c r="AB144" i="74"/>
  <c r="AB71" i="74"/>
  <c r="AB125" i="74"/>
  <c r="AB63" i="74"/>
  <c r="AB23" i="74"/>
  <c r="AB19" i="74"/>
  <c r="AB171" i="74"/>
  <c r="AB138" i="74"/>
  <c r="AB64" i="74"/>
  <c r="AB86" i="74"/>
  <c r="AB157" i="74"/>
  <c r="AB164" i="74"/>
  <c r="AB111" i="74"/>
  <c r="AB104" i="74"/>
  <c r="AB77" i="74"/>
  <c r="AB17" i="74"/>
  <c r="AB132" i="74"/>
  <c r="AB21" i="74"/>
  <c r="AB161" i="74"/>
  <c r="AB94" i="74"/>
  <c r="AB114" i="74"/>
  <c r="AB85" i="74"/>
  <c r="AB118" i="74"/>
  <c r="AB108" i="74"/>
  <c r="AB112" i="74"/>
  <c r="AB51" i="74"/>
  <c r="AB53" i="74"/>
  <c r="AB163" i="74"/>
  <c r="AB131" i="74"/>
  <c r="AB39" i="74"/>
  <c r="AB76" i="74"/>
  <c r="AB49" i="74"/>
  <c r="AB88" i="74"/>
  <c r="AB110" i="74"/>
  <c r="AB130" i="74"/>
  <c r="AB127" i="74"/>
  <c r="AB140" i="74"/>
  <c r="AB68" i="74"/>
  <c r="AB123" i="74"/>
  <c r="AB143" i="74"/>
  <c r="AB78" i="74"/>
  <c r="AB116" i="74"/>
  <c r="AB100" i="74"/>
  <c r="AB158" i="74"/>
  <c r="AB13" i="74"/>
  <c r="AB150" i="74"/>
  <c r="AB173" i="74"/>
  <c r="AB133" i="74"/>
  <c r="AB80" i="74"/>
  <c r="AB103" i="74"/>
  <c r="AB109" i="74"/>
  <c r="AB27" i="74"/>
  <c r="AB29" i="74"/>
  <c r="AB149" i="74"/>
  <c r="AB106" i="74"/>
  <c r="AB72" i="74"/>
  <c r="AB87" i="74"/>
  <c r="AB15" i="74"/>
  <c r="AB97" i="74"/>
  <c r="AB11" i="74"/>
  <c r="AB136" i="74"/>
  <c r="AB154" i="74"/>
  <c r="AB180" i="74"/>
  <c r="AB135" i="74"/>
  <c r="AB75" i="74"/>
  <c r="AB121" i="74"/>
  <c r="AB117" i="74"/>
  <c r="AB153" i="74"/>
  <c r="AB162" i="74"/>
  <c r="AB95" i="74"/>
  <c r="AB134" i="74"/>
  <c r="AB166" i="74"/>
  <c r="AB113" i="74"/>
  <c r="AB96" i="74"/>
  <c r="AB79" i="74"/>
  <c r="AB156" i="74"/>
  <c r="AB31" i="74"/>
  <c r="AB101" i="74"/>
  <c r="AB174" i="74"/>
  <c r="AB119" i="74"/>
  <c r="AB45" i="74"/>
  <c r="AB159" i="74"/>
  <c r="AB124" i="74"/>
  <c r="AB59" i="74"/>
  <c r="AB25" i="74"/>
  <c r="AB33" i="74"/>
  <c r="AB155" i="74"/>
  <c r="AB176" i="74"/>
  <c r="AB105" i="74"/>
  <c r="AB137" i="74"/>
  <c r="AB81" i="74"/>
  <c r="AB128" i="74"/>
  <c r="AB55" i="74"/>
  <c r="AB73" i="74"/>
  <c r="AB165" i="74"/>
  <c r="AB89" i="74"/>
  <c r="AB43" i="74"/>
  <c r="AB126" i="74"/>
  <c r="AB57" i="74"/>
  <c r="AB35" i="74"/>
  <c r="AB141" i="74"/>
  <c r="AB61" i="74"/>
  <c r="AB152" i="74"/>
  <c r="AB84" i="74"/>
  <c r="AB102" i="74"/>
  <c r="AB70" i="74"/>
  <c r="AB120" i="74"/>
  <c r="AB168" i="74"/>
  <c r="AB98" i="74"/>
  <c r="AB66" i="74"/>
  <c r="AB91" i="74"/>
  <c r="AB151" i="74"/>
  <c r="AB175" i="74"/>
  <c r="AB93" i="74"/>
  <c r="AB65" i="74"/>
  <c r="AB92" i="74"/>
  <c r="AB90" i="74"/>
  <c r="AB37" i="74"/>
  <c r="F4" i="103" l="1"/>
  <c r="G4" i="103"/>
  <c r="H4" i="103"/>
  <c r="I4" i="103"/>
  <c r="J4" i="103"/>
  <c r="K4" i="103"/>
  <c r="L4" i="103"/>
  <c r="F5" i="103"/>
  <c r="G5" i="103"/>
  <c r="H5" i="103"/>
  <c r="I5" i="103"/>
  <c r="J5" i="103"/>
  <c r="K5" i="103"/>
  <c r="L5" i="103"/>
  <c r="G18" i="103"/>
  <c r="G37" i="103"/>
  <c r="G38" i="103"/>
  <c r="G82" i="103"/>
  <c r="G6" i="103"/>
  <c r="G7" i="103"/>
  <c r="G8" i="103"/>
  <c r="G10" i="103"/>
  <c r="G12" i="103"/>
  <c r="G14" i="103"/>
  <c r="G15" i="103"/>
  <c r="G16" i="103"/>
  <c r="G20" i="103"/>
  <c r="G21" i="103"/>
  <c r="G22" i="103"/>
  <c r="G23" i="103"/>
  <c r="G24" i="103"/>
  <c r="G27" i="103"/>
  <c r="G29" i="103"/>
  <c r="G30" i="103"/>
  <c r="G31" i="103"/>
  <c r="G32" i="103"/>
  <c r="G33" i="103"/>
  <c r="G34" i="103"/>
  <c r="G35" i="103"/>
  <c r="G36" i="103"/>
  <c r="G40" i="103"/>
  <c r="G41" i="103"/>
  <c r="G42" i="103"/>
  <c r="G44" i="103"/>
  <c r="G46" i="103"/>
  <c r="G52" i="103"/>
  <c r="G53" i="103"/>
  <c r="G59" i="103"/>
  <c r="G61" i="103"/>
  <c r="G62" i="103"/>
  <c r="G63" i="103"/>
  <c r="G65" i="103"/>
  <c r="G68" i="103"/>
  <c r="G69" i="103"/>
  <c r="G70" i="103"/>
  <c r="G72" i="103"/>
  <c r="G74" i="103"/>
  <c r="G77" i="103"/>
  <c r="G79" i="103"/>
  <c r="G80" i="103"/>
  <c r="G81" i="103"/>
  <c r="G83" i="103"/>
  <c r="G84" i="103"/>
  <c r="G88" i="103"/>
  <c r="G89" i="103"/>
  <c r="G90" i="103"/>
  <c r="G91" i="103"/>
  <c r="G93" i="103"/>
  <c r="G94" i="103"/>
  <c r="G96" i="103"/>
  <c r="G97" i="103"/>
  <c r="G106" i="103"/>
  <c r="G109" i="103"/>
  <c r="G110" i="103"/>
  <c r="G114" i="103"/>
  <c r="G117" i="103"/>
  <c r="G120" i="103"/>
  <c r="G121" i="103"/>
  <c r="G122" i="103"/>
  <c r="G123" i="103"/>
  <c r="G124" i="103"/>
  <c r="G126" i="103"/>
  <c r="G127" i="103"/>
  <c r="G128" i="103"/>
  <c r="G129" i="103"/>
  <c r="G131" i="103"/>
  <c r="G133" i="103"/>
  <c r="G134" i="103"/>
  <c r="G136" i="103"/>
  <c r="G138" i="103"/>
  <c r="G139" i="103"/>
  <c r="G140" i="103"/>
  <c r="G142" i="103"/>
  <c r="G143" i="103"/>
  <c r="G144" i="103"/>
  <c r="G145" i="103"/>
  <c r="G148" i="103"/>
  <c r="G151" i="103"/>
  <c r="G152" i="103"/>
  <c r="G153" i="103"/>
  <c r="G154" i="103"/>
  <c r="G155" i="103"/>
  <c r="G159" i="103"/>
  <c r="G161" i="103"/>
  <c r="G162" i="103"/>
  <c r="G163" i="103"/>
  <c r="G164" i="103"/>
  <c r="G165" i="103"/>
  <c r="G166" i="103"/>
  <c r="G170" i="103"/>
  <c r="G171" i="103"/>
  <c r="G173" i="103"/>
  <c r="G174" i="103"/>
  <c r="G175" i="103"/>
  <c r="G176" i="103"/>
  <c r="G177" i="103"/>
  <c r="G178" i="103"/>
  <c r="G180" i="103"/>
  <c r="G181" i="103"/>
  <c r="G183" i="103"/>
  <c r="G188" i="103"/>
  <c r="G192" i="103"/>
  <c r="G193" i="103"/>
  <c r="G195" i="103"/>
  <c r="G196" i="103"/>
  <c r="G197" i="103"/>
  <c r="G200" i="103"/>
  <c r="G202" i="103"/>
  <c r="G203" i="103"/>
  <c r="G207" i="103"/>
  <c r="G208" i="103"/>
  <c r="G215" i="103"/>
  <c r="G216" i="103"/>
  <c r="G220" i="103"/>
  <c r="G221" i="103"/>
  <c r="G222" i="103"/>
  <c r="G223" i="103"/>
  <c r="G227" i="103"/>
  <c r="G229" i="103"/>
  <c r="G230" i="103"/>
  <c r="G233" i="103"/>
  <c r="G235" i="103"/>
  <c r="G237" i="103"/>
  <c r="G238" i="103"/>
  <c r="G241" i="103"/>
  <c r="G245" i="103"/>
  <c r="G246" i="103"/>
  <c r="G248" i="103"/>
  <c r="G250" i="103"/>
  <c r="G251" i="103"/>
  <c r="G252" i="103"/>
  <c r="G255" i="103"/>
  <c r="G256" i="103"/>
  <c r="G257" i="103"/>
  <c r="G258" i="103"/>
  <c r="G262" i="103"/>
  <c r="G263" i="103"/>
  <c r="G264" i="103"/>
  <c r="G265" i="103"/>
  <c r="G269" i="103"/>
  <c r="G270" i="103"/>
  <c r="G271" i="103"/>
  <c r="G272" i="103"/>
  <c r="G273" i="103"/>
  <c r="G277" i="103"/>
  <c r="G278" i="103"/>
  <c r="G279" i="103"/>
  <c r="G280" i="103"/>
  <c r="G282" i="103"/>
  <c r="G284" i="103"/>
  <c r="G285" i="103"/>
  <c r="G290" i="103"/>
  <c r="G291" i="103"/>
  <c r="G292" i="103"/>
  <c r="G293" i="103"/>
  <c r="G294" i="103"/>
  <c r="G297" i="103"/>
  <c r="G298" i="103"/>
  <c r="G299" i="103"/>
  <c r="G300" i="103"/>
  <c r="G301" i="103"/>
  <c r="G302" i="103"/>
  <c r="G303" i="103"/>
  <c r="G304" i="103"/>
  <c r="G305" i="103"/>
  <c r="G308" i="103"/>
  <c r="G309" i="103"/>
  <c r="G313" i="103"/>
  <c r="G316" i="103"/>
  <c r="G317" i="103"/>
  <c r="G318" i="103"/>
  <c r="G320" i="103"/>
  <c r="G321" i="103"/>
  <c r="G323" i="103"/>
  <c r="G324" i="103"/>
  <c r="G325" i="103"/>
  <c r="G327" i="103"/>
  <c r="G329" i="103"/>
  <c r="G332" i="103"/>
  <c r="G333" i="103"/>
  <c r="G339" i="103"/>
  <c r="G340" i="103"/>
  <c r="G341" i="103"/>
  <c r="G342" i="103"/>
  <c r="G343" i="103"/>
  <c r="G345" i="103"/>
  <c r="G346" i="103"/>
  <c r="G347" i="103"/>
  <c r="G349" i="103"/>
  <c r="G350" i="103"/>
  <c r="G351" i="103"/>
  <c r="G353" i="103"/>
  <c r="G355" i="103"/>
  <c r="G356" i="103"/>
  <c r="G358" i="103"/>
  <c r="G359" i="103"/>
  <c r="G361" i="103"/>
  <c r="G363" i="103"/>
  <c r="G364" i="103"/>
  <c r="G365" i="103"/>
  <c r="G366" i="103"/>
  <c r="G367" i="103"/>
  <c r="G368" i="103"/>
  <c r="G370" i="103"/>
  <c r="G371" i="103"/>
  <c r="G372" i="103"/>
  <c r="G373" i="103"/>
  <c r="G374" i="103"/>
  <c r="G375" i="103"/>
  <c r="G376" i="103"/>
  <c r="G379" i="103"/>
  <c r="G380" i="103"/>
  <c r="G381" i="103"/>
  <c r="G383" i="103"/>
  <c r="G384" i="103"/>
  <c r="G385" i="103"/>
  <c r="G389" i="103"/>
  <c r="G392" i="103"/>
  <c r="G393" i="103"/>
  <c r="G394" i="103"/>
  <c r="G397" i="103"/>
  <c r="G398" i="103"/>
  <c r="G400" i="103"/>
  <c r="G401" i="103"/>
  <c r="G402" i="103"/>
  <c r="G403" i="103"/>
  <c r="G404" i="103"/>
  <c r="G405" i="103"/>
  <c r="G406" i="103"/>
  <c r="G408" i="103"/>
  <c r="G411" i="103"/>
  <c r="G412" i="103"/>
  <c r="G415" i="103"/>
  <c r="G416" i="103"/>
  <c r="G418" i="103"/>
  <c r="G420" i="103"/>
  <c r="G422" i="103"/>
  <c r="G425" i="103"/>
  <c r="G426" i="103"/>
  <c r="G427" i="103"/>
  <c r="G429" i="103"/>
  <c r="G430" i="103"/>
  <c r="G431" i="103"/>
  <c r="G434" i="103"/>
  <c r="G435" i="103"/>
  <c r="G437" i="103"/>
  <c r="G438" i="103"/>
  <c r="G439" i="103"/>
  <c r="AE5" i="103"/>
  <c r="I18" i="103"/>
  <c r="I37" i="103"/>
  <c r="I38" i="103"/>
  <c r="I82" i="103"/>
  <c r="I6" i="103"/>
  <c r="I7" i="103"/>
  <c r="I8" i="103"/>
  <c r="I10" i="103"/>
  <c r="I12" i="103"/>
  <c r="I14" i="103"/>
  <c r="I15" i="103"/>
  <c r="I16" i="103"/>
  <c r="I20" i="103"/>
  <c r="I21" i="103"/>
  <c r="I22" i="103"/>
  <c r="I23" i="103"/>
  <c r="I24" i="103"/>
  <c r="I27" i="103"/>
  <c r="I29" i="103"/>
  <c r="I30" i="103"/>
  <c r="I31" i="103"/>
  <c r="I32" i="103"/>
  <c r="I33" i="103"/>
  <c r="I34" i="103"/>
  <c r="I35" i="103"/>
  <c r="I36" i="103"/>
  <c r="I40" i="103"/>
  <c r="I41" i="103"/>
  <c r="I42" i="103"/>
  <c r="I44" i="103"/>
  <c r="I46" i="103"/>
  <c r="I52" i="103"/>
  <c r="I53" i="103"/>
  <c r="I59" i="103"/>
  <c r="I61" i="103"/>
  <c r="I62" i="103"/>
  <c r="I63" i="103"/>
  <c r="I65" i="103"/>
  <c r="I68" i="103"/>
  <c r="I69" i="103"/>
  <c r="I70" i="103"/>
  <c r="I72" i="103"/>
  <c r="I74" i="103"/>
  <c r="I77" i="103"/>
  <c r="I79" i="103"/>
  <c r="I80" i="103"/>
  <c r="I81" i="103"/>
  <c r="I83" i="103"/>
  <c r="I84" i="103"/>
  <c r="I88" i="103"/>
  <c r="I89" i="103"/>
  <c r="I90" i="103"/>
  <c r="I91" i="103"/>
  <c r="I93" i="103"/>
  <c r="I94" i="103"/>
  <c r="I96" i="103"/>
  <c r="I97" i="103"/>
  <c r="I106" i="103"/>
  <c r="I109" i="103"/>
  <c r="I110" i="103"/>
  <c r="I114" i="103"/>
  <c r="I117" i="103"/>
  <c r="I120" i="103"/>
  <c r="I121" i="103"/>
  <c r="I122" i="103"/>
  <c r="I123" i="103"/>
  <c r="I124" i="103"/>
  <c r="I126" i="103"/>
  <c r="I127" i="103"/>
  <c r="I128" i="103"/>
  <c r="I129" i="103"/>
  <c r="I131" i="103"/>
  <c r="I133" i="103"/>
  <c r="I134" i="103"/>
  <c r="I136" i="103"/>
  <c r="I138" i="103"/>
  <c r="I139" i="103"/>
  <c r="I140" i="103"/>
  <c r="I142" i="103"/>
  <c r="I143" i="103"/>
  <c r="I144" i="103"/>
  <c r="I145" i="103"/>
  <c r="I148" i="103"/>
  <c r="I151" i="103"/>
  <c r="I152" i="103"/>
  <c r="I153" i="103"/>
  <c r="I154" i="103"/>
  <c r="I155" i="103"/>
  <c r="I159" i="103"/>
  <c r="I161" i="103"/>
  <c r="I162" i="103"/>
  <c r="I163" i="103"/>
  <c r="I164" i="103"/>
  <c r="I165" i="103"/>
  <c r="I166" i="103"/>
  <c r="I170" i="103"/>
  <c r="I171" i="103"/>
  <c r="I173" i="103"/>
  <c r="I174" i="103"/>
  <c r="I175" i="103"/>
  <c r="I176" i="103"/>
  <c r="I177" i="103"/>
  <c r="I178" i="103"/>
  <c r="I180" i="103"/>
  <c r="I181" i="103"/>
  <c r="I183" i="103"/>
  <c r="I188" i="103"/>
  <c r="I192" i="103"/>
  <c r="I193" i="103"/>
  <c r="I195" i="103"/>
  <c r="I196" i="103"/>
  <c r="I197" i="103"/>
  <c r="I200" i="103"/>
  <c r="I202" i="103"/>
  <c r="I203" i="103"/>
  <c r="I207" i="103"/>
  <c r="I208" i="103"/>
  <c r="I215" i="103"/>
  <c r="I216" i="103"/>
  <c r="I220" i="103"/>
  <c r="I221" i="103"/>
  <c r="I222" i="103"/>
  <c r="I223" i="103"/>
  <c r="I227" i="103"/>
  <c r="I229" i="103"/>
  <c r="I230" i="103"/>
  <c r="I233" i="103"/>
  <c r="I235" i="103"/>
  <c r="I237" i="103"/>
  <c r="I238" i="103"/>
  <c r="I241" i="103"/>
  <c r="I245" i="103"/>
  <c r="I246" i="103"/>
  <c r="I248" i="103"/>
  <c r="I250" i="103"/>
  <c r="I251" i="103"/>
  <c r="I252" i="103"/>
  <c r="I255" i="103"/>
  <c r="I256" i="103"/>
  <c r="I257" i="103"/>
  <c r="I258" i="103"/>
  <c r="I262" i="103"/>
  <c r="I263" i="103"/>
  <c r="I264" i="103"/>
  <c r="I265" i="103"/>
  <c r="I269" i="103"/>
  <c r="I270" i="103"/>
  <c r="I271" i="103"/>
  <c r="I272" i="103"/>
  <c r="I273" i="103"/>
  <c r="I277" i="103"/>
  <c r="I278" i="103"/>
  <c r="I279" i="103"/>
  <c r="I280" i="103"/>
  <c r="I282" i="103"/>
  <c r="I284" i="103"/>
  <c r="I285" i="103"/>
  <c r="I290" i="103"/>
  <c r="I291" i="103"/>
  <c r="I292" i="103"/>
  <c r="I293" i="103"/>
  <c r="I294" i="103"/>
  <c r="I297" i="103"/>
  <c r="I298" i="103"/>
  <c r="I299" i="103"/>
  <c r="I300" i="103"/>
  <c r="I301" i="103"/>
  <c r="I302" i="103"/>
  <c r="I303" i="103"/>
  <c r="I304" i="103"/>
  <c r="I305" i="103"/>
  <c r="I308" i="103"/>
  <c r="I309" i="103"/>
  <c r="I313" i="103"/>
  <c r="I316" i="103"/>
  <c r="I317" i="103"/>
  <c r="I318" i="103"/>
  <c r="I320" i="103"/>
  <c r="I321" i="103"/>
  <c r="I323" i="103"/>
  <c r="I324" i="103"/>
  <c r="I325" i="103"/>
  <c r="I327" i="103"/>
  <c r="I329" i="103"/>
  <c r="I332" i="103"/>
  <c r="I333" i="103"/>
  <c r="I339" i="103"/>
  <c r="I340" i="103"/>
  <c r="I341" i="103"/>
  <c r="I342" i="103"/>
  <c r="I343" i="103"/>
  <c r="I345" i="103"/>
  <c r="I346" i="103"/>
  <c r="I347" i="103"/>
  <c r="I349" i="103"/>
  <c r="I350" i="103"/>
  <c r="I351" i="103"/>
  <c r="I353" i="103"/>
  <c r="I355" i="103"/>
  <c r="I356" i="103"/>
  <c r="I358" i="103"/>
  <c r="I359" i="103"/>
  <c r="I361" i="103"/>
  <c r="I363" i="103"/>
  <c r="I364" i="103"/>
  <c r="I365" i="103"/>
  <c r="I366" i="103"/>
  <c r="I367" i="103"/>
  <c r="I368" i="103"/>
  <c r="I370" i="103"/>
  <c r="I371" i="103"/>
  <c r="I372" i="103"/>
  <c r="I373" i="103"/>
  <c r="I374" i="103"/>
  <c r="I375" i="103"/>
  <c r="I376" i="103"/>
  <c r="I379" i="103"/>
  <c r="I380" i="103"/>
  <c r="I381" i="103"/>
  <c r="I383" i="103"/>
  <c r="I384" i="103"/>
  <c r="I385" i="103"/>
  <c r="I389" i="103"/>
  <c r="I392" i="103"/>
  <c r="I393" i="103"/>
  <c r="I394" i="103"/>
  <c r="I397" i="103"/>
  <c r="I398" i="103"/>
  <c r="I400" i="103"/>
  <c r="I401" i="103"/>
  <c r="I402" i="103"/>
  <c r="I403" i="103"/>
  <c r="I404" i="103"/>
  <c r="I405" i="103"/>
  <c r="I406" i="103"/>
  <c r="I408" i="103"/>
  <c r="I411" i="103"/>
  <c r="I412" i="103"/>
  <c r="I415" i="103"/>
  <c r="I416" i="103"/>
  <c r="I418" i="103"/>
  <c r="I420" i="103"/>
  <c r="I422" i="103"/>
  <c r="I425" i="103"/>
  <c r="I426" i="103"/>
  <c r="I427" i="103"/>
  <c r="I429" i="103"/>
  <c r="I430" i="103"/>
  <c r="I431" i="103"/>
  <c r="I434" i="103"/>
  <c r="I435" i="103"/>
  <c r="I437" i="103"/>
  <c r="I438" i="103"/>
  <c r="I439" i="103"/>
  <c r="AI5" i="103"/>
  <c r="AG5" i="103"/>
  <c r="AC5" i="103"/>
  <c r="H18" i="103"/>
  <c r="H37" i="103"/>
  <c r="H38" i="103"/>
  <c r="H82" i="103"/>
  <c r="H6" i="103"/>
  <c r="H7" i="103"/>
  <c r="H8" i="103"/>
  <c r="H10" i="103"/>
  <c r="H12" i="103"/>
  <c r="H14" i="103"/>
  <c r="H15" i="103"/>
  <c r="H16" i="103"/>
  <c r="H20" i="103"/>
  <c r="H21" i="103"/>
  <c r="H22" i="103"/>
  <c r="H23" i="103"/>
  <c r="H24" i="103"/>
  <c r="H27" i="103"/>
  <c r="H29" i="103"/>
  <c r="H30" i="103"/>
  <c r="H31" i="103"/>
  <c r="H32" i="103"/>
  <c r="H33" i="103"/>
  <c r="H34" i="103"/>
  <c r="H35" i="103"/>
  <c r="H36" i="103"/>
  <c r="H40" i="103"/>
  <c r="H41" i="103"/>
  <c r="H42" i="103"/>
  <c r="H44" i="103"/>
  <c r="H46" i="103"/>
  <c r="H52" i="103"/>
  <c r="H53" i="103"/>
  <c r="H59" i="103"/>
  <c r="H61" i="103"/>
  <c r="H62" i="103"/>
  <c r="H63" i="103"/>
  <c r="H65" i="103"/>
  <c r="H68" i="103"/>
  <c r="H69" i="103"/>
  <c r="H70" i="103"/>
  <c r="H72" i="103"/>
  <c r="H74" i="103"/>
  <c r="H77" i="103"/>
  <c r="H79" i="103"/>
  <c r="H80" i="103"/>
  <c r="H81" i="103"/>
  <c r="H83" i="103"/>
  <c r="H84" i="103"/>
  <c r="H88" i="103"/>
  <c r="H89" i="103"/>
  <c r="H90" i="103"/>
  <c r="H91" i="103"/>
  <c r="H93" i="103"/>
  <c r="H94" i="103"/>
  <c r="H96" i="103"/>
  <c r="H97" i="103"/>
  <c r="H106" i="103"/>
  <c r="H109" i="103"/>
  <c r="H110" i="103"/>
  <c r="H114" i="103"/>
  <c r="H117" i="103"/>
  <c r="H120" i="103"/>
  <c r="H121" i="103"/>
  <c r="H122" i="103"/>
  <c r="H123" i="103"/>
  <c r="H124" i="103"/>
  <c r="H126" i="103"/>
  <c r="H127" i="103"/>
  <c r="H128" i="103"/>
  <c r="H129" i="103"/>
  <c r="H131" i="103"/>
  <c r="H133" i="103"/>
  <c r="H134" i="103"/>
  <c r="H136" i="103"/>
  <c r="H138" i="103"/>
  <c r="H139" i="103"/>
  <c r="H140" i="103"/>
  <c r="H142" i="103"/>
  <c r="H143" i="103"/>
  <c r="H144" i="103"/>
  <c r="H145" i="103"/>
  <c r="H148" i="103"/>
  <c r="H151" i="103"/>
  <c r="H152" i="103"/>
  <c r="H153" i="103"/>
  <c r="H154" i="103"/>
  <c r="H155" i="103"/>
  <c r="H159" i="103"/>
  <c r="H161" i="103"/>
  <c r="H162" i="103"/>
  <c r="H163" i="103"/>
  <c r="H164" i="103"/>
  <c r="H165" i="103"/>
  <c r="H166" i="103"/>
  <c r="H170" i="103"/>
  <c r="H171" i="103"/>
  <c r="H173" i="103"/>
  <c r="H174" i="103"/>
  <c r="H175" i="103"/>
  <c r="H176" i="103"/>
  <c r="H177" i="103"/>
  <c r="H178" i="103"/>
  <c r="H180" i="103"/>
  <c r="H181" i="103"/>
  <c r="H183" i="103"/>
  <c r="H188" i="103"/>
  <c r="H192" i="103"/>
  <c r="H193" i="103"/>
  <c r="H195" i="103"/>
  <c r="H196" i="103"/>
  <c r="H197" i="103"/>
  <c r="H200" i="103"/>
  <c r="H202" i="103"/>
  <c r="H203" i="103"/>
  <c r="H207" i="103"/>
  <c r="H208" i="103"/>
  <c r="H215" i="103"/>
  <c r="H216" i="103"/>
  <c r="H220" i="103"/>
  <c r="H221" i="103"/>
  <c r="H222" i="103"/>
  <c r="H223" i="103"/>
  <c r="H227" i="103"/>
  <c r="H229" i="103"/>
  <c r="H230" i="103"/>
  <c r="H233" i="103"/>
  <c r="H235" i="103"/>
  <c r="H237" i="103"/>
  <c r="H238" i="103"/>
  <c r="H241" i="103"/>
  <c r="H245" i="103"/>
  <c r="H246" i="103"/>
  <c r="H248" i="103"/>
  <c r="H250" i="103"/>
  <c r="H251" i="103"/>
  <c r="H252" i="103"/>
  <c r="H255" i="103"/>
  <c r="H256" i="103"/>
  <c r="H257" i="103"/>
  <c r="H258" i="103"/>
  <c r="H262" i="103"/>
  <c r="H263" i="103"/>
  <c r="H264" i="103"/>
  <c r="H265" i="103"/>
  <c r="H269" i="103"/>
  <c r="H270" i="103"/>
  <c r="H271" i="103"/>
  <c r="H272" i="103"/>
  <c r="H273" i="103"/>
  <c r="H277" i="103"/>
  <c r="H278" i="103"/>
  <c r="H279" i="103"/>
  <c r="H280" i="103"/>
  <c r="H282" i="103"/>
  <c r="H284" i="103"/>
  <c r="H285" i="103"/>
  <c r="H290" i="103"/>
  <c r="H291" i="103"/>
  <c r="H292" i="103"/>
  <c r="H293" i="103"/>
  <c r="H294" i="103"/>
  <c r="H297" i="103"/>
  <c r="H298" i="103"/>
  <c r="H299" i="103"/>
  <c r="H300" i="103"/>
  <c r="H301" i="103"/>
  <c r="H302" i="103"/>
  <c r="H303" i="103"/>
  <c r="H304" i="103"/>
  <c r="H305" i="103"/>
  <c r="H308" i="103"/>
  <c r="H309" i="103"/>
  <c r="H313" i="103"/>
  <c r="H316" i="103"/>
  <c r="H317" i="103"/>
  <c r="H318" i="103"/>
  <c r="H320" i="103"/>
  <c r="H321" i="103"/>
  <c r="H323" i="103"/>
  <c r="H324" i="103"/>
  <c r="H325" i="103"/>
  <c r="H327" i="103"/>
  <c r="H329" i="103"/>
  <c r="H332" i="103"/>
  <c r="H333" i="103"/>
  <c r="H339" i="103"/>
  <c r="H340" i="103"/>
  <c r="H341" i="103"/>
  <c r="H342" i="103"/>
  <c r="H343" i="103"/>
  <c r="H345" i="103"/>
  <c r="H346" i="103"/>
  <c r="H347" i="103"/>
  <c r="H349" i="103"/>
  <c r="H350" i="103"/>
  <c r="H351" i="103"/>
  <c r="H353" i="103"/>
  <c r="H355" i="103"/>
  <c r="H356" i="103"/>
  <c r="H358" i="103"/>
  <c r="H359" i="103"/>
  <c r="H361" i="103"/>
  <c r="H363" i="103"/>
  <c r="H364" i="103"/>
  <c r="H365" i="103"/>
  <c r="H366" i="103"/>
  <c r="H367" i="103"/>
  <c r="H368" i="103"/>
  <c r="H370" i="103"/>
  <c r="H371" i="103"/>
  <c r="H372" i="103"/>
  <c r="H373" i="103"/>
  <c r="H374" i="103"/>
  <c r="H375" i="103"/>
  <c r="H376" i="103"/>
  <c r="H379" i="103"/>
  <c r="H380" i="103"/>
  <c r="H381" i="103"/>
  <c r="H383" i="103"/>
  <c r="H384" i="103"/>
  <c r="H385" i="103"/>
  <c r="H389" i="103"/>
  <c r="H392" i="103"/>
  <c r="H393" i="103"/>
  <c r="H394" i="103"/>
  <c r="H397" i="103"/>
  <c r="H398" i="103"/>
  <c r="H400" i="103"/>
  <c r="H401" i="103"/>
  <c r="H402" i="103"/>
  <c r="H403" i="103"/>
  <c r="H404" i="103"/>
  <c r="H405" i="103"/>
  <c r="H406" i="103"/>
  <c r="H408" i="103"/>
  <c r="H411" i="103"/>
  <c r="H412" i="103"/>
  <c r="H415" i="103"/>
  <c r="H416" i="103"/>
  <c r="H418" i="103"/>
  <c r="H420" i="103"/>
  <c r="H422" i="103"/>
  <c r="H425" i="103"/>
  <c r="H426" i="103"/>
  <c r="H427" i="103"/>
  <c r="H429" i="103"/>
  <c r="H430" i="103"/>
  <c r="H431" i="103"/>
  <c r="H434" i="103"/>
  <c r="H435" i="103"/>
  <c r="H437" i="103"/>
  <c r="H438" i="103"/>
  <c r="H439" i="103"/>
  <c r="AF5" i="103"/>
  <c r="J18" i="103"/>
  <c r="J37" i="103"/>
  <c r="J38" i="103"/>
  <c r="J82" i="103"/>
  <c r="J6" i="103"/>
  <c r="J7" i="103"/>
  <c r="J8" i="103"/>
  <c r="J10" i="103"/>
  <c r="J12" i="103"/>
  <c r="J14" i="103"/>
  <c r="J15" i="103"/>
  <c r="J16" i="103"/>
  <c r="J20" i="103"/>
  <c r="J21" i="103"/>
  <c r="J22" i="103"/>
  <c r="J23" i="103"/>
  <c r="J24" i="103"/>
  <c r="J27" i="103"/>
  <c r="J29" i="103"/>
  <c r="J30" i="103"/>
  <c r="J31" i="103"/>
  <c r="J32" i="103"/>
  <c r="J33" i="103"/>
  <c r="J34" i="103"/>
  <c r="J35" i="103"/>
  <c r="J36" i="103"/>
  <c r="J40" i="103"/>
  <c r="J41" i="103"/>
  <c r="J42" i="103"/>
  <c r="J44" i="103"/>
  <c r="J46" i="103"/>
  <c r="J52" i="103"/>
  <c r="J53" i="103"/>
  <c r="J59" i="103"/>
  <c r="J61" i="103"/>
  <c r="J62" i="103"/>
  <c r="J63" i="103"/>
  <c r="J65" i="103"/>
  <c r="J68" i="103"/>
  <c r="J69" i="103"/>
  <c r="J70" i="103"/>
  <c r="J72" i="103"/>
  <c r="J74" i="103"/>
  <c r="J77" i="103"/>
  <c r="J79" i="103"/>
  <c r="J80" i="103"/>
  <c r="J81" i="103"/>
  <c r="J83" i="103"/>
  <c r="J84" i="103"/>
  <c r="J88" i="103"/>
  <c r="J89" i="103"/>
  <c r="J90" i="103"/>
  <c r="J91" i="103"/>
  <c r="J93" i="103"/>
  <c r="J94" i="103"/>
  <c r="J96" i="103"/>
  <c r="J97" i="103"/>
  <c r="J106" i="103"/>
  <c r="J109" i="103"/>
  <c r="J110" i="103"/>
  <c r="J114" i="103"/>
  <c r="J117" i="103"/>
  <c r="J120" i="103"/>
  <c r="J121" i="103"/>
  <c r="J122" i="103"/>
  <c r="J123" i="103"/>
  <c r="J124" i="103"/>
  <c r="J126" i="103"/>
  <c r="J127" i="103"/>
  <c r="J128" i="103"/>
  <c r="J129" i="103"/>
  <c r="J131" i="103"/>
  <c r="J133" i="103"/>
  <c r="J134" i="103"/>
  <c r="J136" i="103"/>
  <c r="J138" i="103"/>
  <c r="J139" i="103"/>
  <c r="J140" i="103"/>
  <c r="J142" i="103"/>
  <c r="J143" i="103"/>
  <c r="J144" i="103"/>
  <c r="J145" i="103"/>
  <c r="J148" i="103"/>
  <c r="J151" i="103"/>
  <c r="J152" i="103"/>
  <c r="J153" i="103"/>
  <c r="J154" i="103"/>
  <c r="J155" i="103"/>
  <c r="J159" i="103"/>
  <c r="J161" i="103"/>
  <c r="J162" i="103"/>
  <c r="J163" i="103"/>
  <c r="J164" i="103"/>
  <c r="J165" i="103"/>
  <c r="J166" i="103"/>
  <c r="J170" i="103"/>
  <c r="J171" i="103"/>
  <c r="J173" i="103"/>
  <c r="J174" i="103"/>
  <c r="J175" i="103"/>
  <c r="J176" i="103"/>
  <c r="J177" i="103"/>
  <c r="J178" i="103"/>
  <c r="J180" i="103"/>
  <c r="J181" i="103"/>
  <c r="J183" i="103"/>
  <c r="J188" i="103"/>
  <c r="J192" i="103"/>
  <c r="J193" i="103"/>
  <c r="J195" i="103"/>
  <c r="J196" i="103"/>
  <c r="J197" i="103"/>
  <c r="J200" i="103"/>
  <c r="J202" i="103"/>
  <c r="J203" i="103"/>
  <c r="J207" i="103"/>
  <c r="J208" i="103"/>
  <c r="J215" i="103"/>
  <c r="J216" i="103"/>
  <c r="J220" i="103"/>
  <c r="J221" i="103"/>
  <c r="J222" i="103"/>
  <c r="J223" i="103"/>
  <c r="J227" i="103"/>
  <c r="J229" i="103"/>
  <c r="J230" i="103"/>
  <c r="J233" i="103"/>
  <c r="J235" i="103"/>
  <c r="J237" i="103"/>
  <c r="J238" i="103"/>
  <c r="J241" i="103"/>
  <c r="J245" i="103"/>
  <c r="J246" i="103"/>
  <c r="J248" i="103"/>
  <c r="J250" i="103"/>
  <c r="J251" i="103"/>
  <c r="J252" i="103"/>
  <c r="J255" i="103"/>
  <c r="J256" i="103"/>
  <c r="J257" i="103"/>
  <c r="J258" i="103"/>
  <c r="J262" i="103"/>
  <c r="J263" i="103"/>
  <c r="J264" i="103"/>
  <c r="J265" i="103"/>
  <c r="J269" i="103"/>
  <c r="J270" i="103"/>
  <c r="J271" i="103"/>
  <c r="J272" i="103"/>
  <c r="J273" i="103"/>
  <c r="J277" i="103"/>
  <c r="J278" i="103"/>
  <c r="J279" i="103"/>
  <c r="J280" i="103"/>
  <c r="J282" i="103"/>
  <c r="J284" i="103"/>
  <c r="J285" i="103"/>
  <c r="J290" i="103"/>
  <c r="J291" i="103"/>
  <c r="J292" i="103"/>
  <c r="J293" i="103"/>
  <c r="J294" i="103"/>
  <c r="J297" i="103"/>
  <c r="J298" i="103"/>
  <c r="J299" i="103"/>
  <c r="J300" i="103"/>
  <c r="J301" i="103"/>
  <c r="J302" i="103"/>
  <c r="J303" i="103"/>
  <c r="J304" i="103"/>
  <c r="J305" i="103"/>
  <c r="J308" i="103"/>
  <c r="J309" i="103"/>
  <c r="J313" i="103"/>
  <c r="J316" i="103"/>
  <c r="J317" i="103"/>
  <c r="J318" i="103"/>
  <c r="J320" i="103"/>
  <c r="J321" i="103"/>
  <c r="J323" i="103"/>
  <c r="J324" i="103"/>
  <c r="J325" i="103"/>
  <c r="J327" i="103"/>
  <c r="J329" i="103"/>
  <c r="J332" i="103"/>
  <c r="J333" i="103"/>
  <c r="J339" i="103"/>
  <c r="J340" i="103"/>
  <c r="J341" i="103"/>
  <c r="J342" i="103"/>
  <c r="J343" i="103"/>
  <c r="J345" i="103"/>
  <c r="J346" i="103"/>
  <c r="J347" i="103"/>
  <c r="J349" i="103"/>
  <c r="J350" i="103"/>
  <c r="J351" i="103"/>
  <c r="J353" i="103"/>
  <c r="J355" i="103"/>
  <c r="J356" i="103"/>
  <c r="J358" i="103"/>
  <c r="J359" i="103"/>
  <c r="J361" i="103"/>
  <c r="J363" i="103"/>
  <c r="J364" i="103"/>
  <c r="J365" i="103"/>
  <c r="J366" i="103"/>
  <c r="J367" i="103"/>
  <c r="J368" i="103"/>
  <c r="J370" i="103"/>
  <c r="J371" i="103"/>
  <c r="J372" i="103"/>
  <c r="J373" i="103"/>
  <c r="J374" i="103"/>
  <c r="J375" i="103"/>
  <c r="J376" i="103"/>
  <c r="J379" i="103"/>
  <c r="J380" i="103"/>
  <c r="J381" i="103"/>
  <c r="J383" i="103"/>
  <c r="J384" i="103"/>
  <c r="J385" i="103"/>
  <c r="J389" i="103"/>
  <c r="J392" i="103"/>
  <c r="J393" i="103"/>
  <c r="J394" i="103"/>
  <c r="J397" i="103"/>
  <c r="J398" i="103"/>
  <c r="J400" i="103"/>
  <c r="J401" i="103"/>
  <c r="J402" i="103"/>
  <c r="J403" i="103"/>
  <c r="J404" i="103"/>
  <c r="J405" i="103"/>
  <c r="J406" i="103"/>
  <c r="J408" i="103"/>
  <c r="J411" i="103"/>
  <c r="J412" i="103"/>
  <c r="J415" i="103"/>
  <c r="J416" i="103"/>
  <c r="J418" i="103"/>
  <c r="J420" i="103"/>
  <c r="J422" i="103"/>
  <c r="J425" i="103"/>
  <c r="J426" i="103"/>
  <c r="J427" i="103"/>
  <c r="J429" i="103"/>
  <c r="J430" i="103"/>
  <c r="J431" i="103"/>
  <c r="J434" i="103"/>
  <c r="J435" i="103"/>
  <c r="J437" i="103"/>
  <c r="J438" i="103"/>
  <c r="J439" i="103"/>
  <c r="AJ5" i="103"/>
  <c r="AH5" i="103"/>
  <c r="AD5" i="103"/>
  <c r="AW5" i="103"/>
  <c r="AX5" i="103"/>
  <c r="AY5" i="103"/>
  <c r="AZ5" i="103"/>
  <c r="BA5" i="103"/>
  <c r="BB5" i="103"/>
  <c r="BC5" i="103"/>
  <c r="BD5" i="103"/>
  <c r="BI5" i="103"/>
  <c r="BM5" i="103"/>
  <c r="F6" i="103"/>
  <c r="K6" i="103"/>
  <c r="L6" i="103"/>
  <c r="AE6" i="103"/>
  <c r="AI6" i="103"/>
  <c r="AG6" i="103"/>
  <c r="AC6" i="103"/>
  <c r="AF6" i="103"/>
  <c r="AJ6" i="103"/>
  <c r="AH6" i="103"/>
  <c r="AD6" i="103"/>
  <c r="AW6" i="103"/>
  <c r="AX6" i="103"/>
  <c r="AY6" i="103"/>
  <c r="AZ6" i="103"/>
  <c r="BA6" i="103"/>
  <c r="BB6" i="103"/>
  <c r="BC6" i="103"/>
  <c r="BD6" i="103"/>
  <c r="BI6" i="103"/>
  <c r="BM6" i="103"/>
  <c r="F7" i="103"/>
  <c r="K7" i="103"/>
  <c r="L7" i="103"/>
  <c r="AE7" i="103"/>
  <c r="AI7" i="103"/>
  <c r="AG7" i="103"/>
  <c r="AC7" i="103"/>
  <c r="AF7" i="103"/>
  <c r="AJ7" i="103"/>
  <c r="AH7" i="103"/>
  <c r="AD7" i="103"/>
  <c r="AW7" i="103"/>
  <c r="AX7" i="103"/>
  <c r="AY7" i="103"/>
  <c r="AZ7" i="103"/>
  <c r="BA7" i="103"/>
  <c r="BB7" i="103"/>
  <c r="BC7" i="103"/>
  <c r="BD7" i="103"/>
  <c r="BI7" i="103"/>
  <c r="BM7" i="103"/>
  <c r="BV7" i="103"/>
  <c r="BW7" i="103"/>
  <c r="BX7" i="103"/>
  <c r="BY7" i="103"/>
  <c r="CB7" i="103"/>
  <c r="F8" i="103"/>
  <c r="K8" i="103"/>
  <c r="L8" i="103"/>
  <c r="AE8" i="103"/>
  <c r="AI8" i="103"/>
  <c r="AG8" i="103"/>
  <c r="AC8" i="103"/>
  <c r="AF8" i="103"/>
  <c r="AJ8" i="103"/>
  <c r="AH8" i="103"/>
  <c r="AD8" i="103"/>
  <c r="AW8" i="103"/>
  <c r="AX8" i="103"/>
  <c r="AY8" i="103"/>
  <c r="AZ8" i="103"/>
  <c r="BA8" i="103"/>
  <c r="BB8" i="103"/>
  <c r="BC8" i="103"/>
  <c r="BD8" i="103"/>
  <c r="BV19" i="103"/>
  <c r="BW19" i="103"/>
  <c r="BX19" i="103"/>
  <c r="BY19" i="103"/>
  <c r="CB19" i="103"/>
  <c r="BI8" i="103"/>
  <c r="BV8" i="103"/>
  <c r="BW8" i="103"/>
  <c r="BX8" i="103"/>
  <c r="BY8" i="103"/>
  <c r="CB8" i="103"/>
  <c r="CC8" i="103"/>
  <c r="CD8" i="103"/>
  <c r="BV9" i="103"/>
  <c r="BW9" i="103"/>
  <c r="BX9" i="103"/>
  <c r="BY9" i="103"/>
  <c r="CB9" i="103"/>
  <c r="F10" i="103"/>
  <c r="K10" i="103"/>
  <c r="L10" i="103"/>
  <c r="BV10" i="103"/>
  <c r="BW10" i="103"/>
  <c r="BX10" i="103"/>
  <c r="BY10" i="103"/>
  <c r="CB10" i="103"/>
  <c r="CC10" i="103"/>
  <c r="CD10" i="103"/>
  <c r="AC11" i="103"/>
  <c r="AD11" i="103"/>
  <c r="AE11" i="103"/>
  <c r="AF11" i="103"/>
  <c r="BV11" i="103"/>
  <c r="BW11" i="103"/>
  <c r="BX11" i="103"/>
  <c r="BY11" i="103"/>
  <c r="CB11" i="103"/>
  <c r="F12" i="103"/>
  <c r="K12" i="103"/>
  <c r="L12" i="103"/>
  <c r="AC12" i="103"/>
  <c r="AD12" i="103"/>
  <c r="AE12" i="103"/>
  <c r="AF12" i="103"/>
  <c r="AW12" i="103"/>
  <c r="AX12" i="103"/>
  <c r="AY12" i="103"/>
  <c r="AZ12" i="103"/>
  <c r="BA12" i="103"/>
  <c r="BB12" i="103"/>
  <c r="BC12" i="103"/>
  <c r="BD12" i="103"/>
  <c r="BV12" i="103"/>
  <c r="BW12" i="103"/>
  <c r="BX12" i="103"/>
  <c r="BY12" i="103"/>
  <c r="CB12" i="103"/>
  <c r="CC12" i="103"/>
  <c r="CD12" i="103"/>
  <c r="AC13" i="103"/>
  <c r="AD13" i="103"/>
  <c r="AE13" i="103"/>
  <c r="AF13" i="103"/>
  <c r="AW13" i="103"/>
  <c r="AX13" i="103"/>
  <c r="AY13" i="103"/>
  <c r="AZ13" i="103"/>
  <c r="BA13" i="103"/>
  <c r="BB13" i="103"/>
  <c r="BC13" i="103"/>
  <c r="BD13" i="103"/>
  <c r="BV13" i="103"/>
  <c r="BW13" i="103"/>
  <c r="BX13" i="103"/>
  <c r="BY13" i="103"/>
  <c r="CB13" i="103"/>
  <c r="F14" i="103"/>
  <c r="K14" i="103"/>
  <c r="L14" i="103"/>
  <c r="AC14" i="103"/>
  <c r="AD14" i="103"/>
  <c r="AE14" i="103"/>
  <c r="AF14" i="103"/>
  <c r="AW14" i="103"/>
  <c r="AX14" i="103"/>
  <c r="AY14" i="103"/>
  <c r="AZ14" i="103"/>
  <c r="BA14" i="103"/>
  <c r="BB14" i="103"/>
  <c r="BC14" i="103"/>
  <c r="BD14" i="103"/>
  <c r="BV14" i="103"/>
  <c r="BW14" i="103"/>
  <c r="BX14" i="103"/>
  <c r="BY14" i="103"/>
  <c r="CB14" i="103"/>
  <c r="CC14" i="103"/>
  <c r="CD14" i="103"/>
  <c r="F15" i="103"/>
  <c r="K15" i="103"/>
  <c r="L15" i="103"/>
  <c r="AW15" i="103"/>
  <c r="AX15" i="103"/>
  <c r="AY15" i="103"/>
  <c r="AZ15" i="103"/>
  <c r="BA15" i="103"/>
  <c r="BB15" i="103"/>
  <c r="BC15" i="103"/>
  <c r="BD15" i="103"/>
  <c r="BV15" i="103"/>
  <c r="BW15" i="103"/>
  <c r="BX15" i="103"/>
  <c r="BY15" i="103"/>
  <c r="CB15" i="103"/>
  <c r="F16" i="103"/>
  <c r="K16" i="103"/>
  <c r="L16" i="103"/>
  <c r="BV16" i="103"/>
  <c r="BW16" i="103"/>
  <c r="BX16" i="103"/>
  <c r="BY16" i="103"/>
  <c r="CB16" i="103"/>
  <c r="CC16" i="103"/>
  <c r="CD16" i="103"/>
  <c r="BV17" i="103"/>
  <c r="BW17" i="103"/>
  <c r="BX17" i="103"/>
  <c r="BY17" i="103"/>
  <c r="CB17" i="103"/>
  <c r="F18" i="103"/>
  <c r="K18" i="103"/>
  <c r="L18" i="103"/>
  <c r="AC18" i="103"/>
  <c r="AD18" i="103"/>
  <c r="AE18" i="103"/>
  <c r="AF18" i="103"/>
  <c r="AW18" i="103"/>
  <c r="AX18" i="103"/>
  <c r="AY18" i="103"/>
  <c r="AZ18" i="103"/>
  <c r="BV18" i="103"/>
  <c r="BW18" i="103"/>
  <c r="BX18" i="103"/>
  <c r="BY18" i="103"/>
  <c r="CB18" i="103"/>
  <c r="CC18" i="103"/>
  <c r="CD18" i="103"/>
  <c r="AC19" i="103"/>
  <c r="AD19" i="103"/>
  <c r="AE19" i="103"/>
  <c r="AF19" i="103"/>
  <c r="AW19" i="103"/>
  <c r="AX19" i="103"/>
  <c r="AY19" i="103"/>
  <c r="AZ19" i="103"/>
  <c r="F20" i="103"/>
  <c r="K20" i="103"/>
  <c r="L20" i="103"/>
  <c r="AC20" i="103"/>
  <c r="AD20" i="103"/>
  <c r="AE20" i="103"/>
  <c r="AF20" i="103"/>
  <c r="AW20" i="103"/>
  <c r="AX20" i="103"/>
  <c r="AY20" i="103"/>
  <c r="AZ20" i="103"/>
  <c r="BV20" i="103"/>
  <c r="BW20" i="103"/>
  <c r="BX20" i="103"/>
  <c r="BY20" i="103"/>
  <c r="CB20" i="103"/>
  <c r="CC20" i="103"/>
  <c r="CD20" i="103"/>
  <c r="F21" i="103"/>
  <c r="K21" i="103"/>
  <c r="L21" i="103"/>
  <c r="AC21" i="103"/>
  <c r="AD21" i="103"/>
  <c r="AE21" i="103"/>
  <c r="AF21" i="103"/>
  <c r="AW21" i="103"/>
  <c r="AX21" i="103"/>
  <c r="AY21" i="103"/>
  <c r="AZ21" i="103"/>
  <c r="BV21" i="103"/>
  <c r="BW21" i="103"/>
  <c r="BX21" i="103"/>
  <c r="BY21" i="103"/>
  <c r="CB21" i="103"/>
  <c r="F22" i="103"/>
  <c r="K22" i="103"/>
  <c r="L22" i="103"/>
  <c r="BV22" i="103"/>
  <c r="BW22" i="103"/>
  <c r="BX22" i="103"/>
  <c r="BY22" i="103"/>
  <c r="CB22" i="103"/>
  <c r="CC22" i="103"/>
  <c r="CD22" i="103"/>
  <c r="F23" i="103"/>
  <c r="K23" i="103"/>
  <c r="L23" i="103"/>
  <c r="F24" i="103"/>
  <c r="K24" i="103"/>
  <c r="L24" i="103"/>
  <c r="AW25" i="103"/>
  <c r="AX25" i="103"/>
  <c r="AY25" i="103"/>
  <c r="AZ25" i="103"/>
  <c r="BR25" i="103"/>
  <c r="BS25" i="103"/>
  <c r="BT25" i="103"/>
  <c r="BU25" i="103"/>
  <c r="BV25" i="103"/>
  <c r="AW26" i="103"/>
  <c r="AX26" i="103"/>
  <c r="AY26" i="103"/>
  <c r="AZ26" i="103"/>
  <c r="F27" i="103"/>
  <c r="K27" i="103"/>
  <c r="L27" i="103"/>
  <c r="AW27" i="103"/>
  <c r="AX27" i="103"/>
  <c r="AY27" i="103"/>
  <c r="AZ27" i="103"/>
  <c r="AD28" i="103"/>
  <c r="AE28" i="103"/>
  <c r="AH28" i="103"/>
  <c r="AI28" i="103"/>
  <c r="AW28" i="103"/>
  <c r="AX28" i="103"/>
  <c r="AY28" i="103"/>
  <c r="AZ28" i="103"/>
  <c r="F29" i="103"/>
  <c r="K29" i="103"/>
  <c r="L29" i="103"/>
  <c r="AD29" i="103"/>
  <c r="AE29" i="103"/>
  <c r="AH29" i="103"/>
  <c r="AI29" i="103"/>
  <c r="F30" i="103"/>
  <c r="K30" i="103"/>
  <c r="L30" i="103"/>
  <c r="AD30" i="103"/>
  <c r="AE30" i="103"/>
  <c r="AH30" i="103"/>
  <c r="AI30" i="103"/>
  <c r="F31" i="103"/>
  <c r="K31" i="103"/>
  <c r="L31" i="103"/>
  <c r="BR31" i="103"/>
  <c r="BS31" i="103"/>
  <c r="BT31" i="103"/>
  <c r="BU31" i="103"/>
  <c r="F32" i="103"/>
  <c r="K32" i="103"/>
  <c r="F33" i="103"/>
  <c r="K33" i="103"/>
  <c r="L33" i="103"/>
  <c r="AB33" i="103"/>
  <c r="AC33" i="103"/>
  <c r="AD33" i="103"/>
  <c r="AE33" i="103"/>
  <c r="F34" i="103"/>
  <c r="K34" i="103"/>
  <c r="L34" i="103"/>
  <c r="AB34" i="103"/>
  <c r="AC34" i="103"/>
  <c r="AD34" i="103"/>
  <c r="AE34" i="103"/>
  <c r="F35" i="103"/>
  <c r="K35" i="103"/>
  <c r="L35" i="103"/>
  <c r="AB35" i="103"/>
  <c r="AC35" i="103"/>
  <c r="AD35" i="103"/>
  <c r="AE35" i="103"/>
  <c r="AX35" i="103"/>
  <c r="AY35" i="103"/>
  <c r="BB35" i="103"/>
  <c r="BC35" i="103"/>
  <c r="F36" i="103"/>
  <c r="K36" i="103"/>
  <c r="AX36" i="103"/>
  <c r="AY36" i="103"/>
  <c r="BB36" i="103"/>
  <c r="BC36" i="103"/>
  <c r="BR36" i="103"/>
  <c r="BS36" i="103"/>
  <c r="BT36" i="103"/>
  <c r="BU36" i="103"/>
  <c r="F37" i="103"/>
  <c r="K37" i="103"/>
  <c r="L37" i="103"/>
  <c r="AX37" i="103"/>
  <c r="AY37" i="103"/>
  <c r="BB37" i="103"/>
  <c r="BC37" i="103"/>
  <c r="F38" i="103"/>
  <c r="K38" i="103"/>
  <c r="L38" i="103"/>
  <c r="AB39" i="103"/>
  <c r="AC39" i="103"/>
  <c r="AD39" i="103"/>
  <c r="AE39" i="103"/>
  <c r="F40" i="103"/>
  <c r="K40" i="103"/>
  <c r="L40" i="103"/>
  <c r="AB40" i="103"/>
  <c r="AC40" i="103"/>
  <c r="AD40" i="103"/>
  <c r="AE40" i="103"/>
  <c r="AV40" i="103"/>
  <c r="AW40" i="103"/>
  <c r="AX40" i="103"/>
  <c r="AY40" i="103"/>
  <c r="AZ40" i="103"/>
  <c r="BA40" i="103"/>
  <c r="BB40" i="103"/>
  <c r="BC40" i="103"/>
  <c r="F41" i="103"/>
  <c r="K41" i="103"/>
  <c r="AB41" i="103"/>
  <c r="AC41" i="103"/>
  <c r="AD41" i="103"/>
  <c r="AE41" i="103"/>
  <c r="AV41" i="103"/>
  <c r="AW41" i="103"/>
  <c r="AX41" i="103"/>
  <c r="AY41" i="103"/>
  <c r="AZ41" i="103"/>
  <c r="BA41" i="103"/>
  <c r="BB41" i="103"/>
  <c r="BC41" i="103"/>
  <c r="F42" i="103"/>
  <c r="K42" i="103"/>
  <c r="L42" i="103"/>
  <c r="AV42" i="103"/>
  <c r="AW42" i="103"/>
  <c r="AX42" i="103"/>
  <c r="AY42" i="103"/>
  <c r="AZ42" i="103"/>
  <c r="BA42" i="103"/>
  <c r="BB42" i="103"/>
  <c r="BC42" i="103"/>
  <c r="F44" i="103"/>
  <c r="K44" i="103"/>
  <c r="L44" i="103"/>
  <c r="AC44" i="103"/>
  <c r="AE45" i="103"/>
  <c r="AV45" i="103"/>
  <c r="AW45" i="103"/>
  <c r="AX45" i="103"/>
  <c r="AY45" i="103"/>
  <c r="F46" i="103"/>
  <c r="K46" i="103"/>
  <c r="L46" i="103"/>
  <c r="AE46" i="103"/>
  <c r="AV46" i="103"/>
  <c r="AW46" i="103"/>
  <c r="AX46" i="103"/>
  <c r="AY46" i="103"/>
  <c r="AE47" i="103"/>
  <c r="AV47" i="103"/>
  <c r="AW47" i="103"/>
  <c r="AX47" i="103"/>
  <c r="AY47" i="103"/>
  <c r="AE48" i="103"/>
  <c r="AE49" i="103"/>
  <c r="AE50" i="103"/>
  <c r="AE51" i="103"/>
  <c r="AV51" i="103"/>
  <c r="AW51" i="103"/>
  <c r="AX51" i="103"/>
  <c r="AY51" i="103"/>
  <c r="F52" i="103"/>
  <c r="K52" i="103"/>
  <c r="L52" i="103"/>
  <c r="AE52" i="103"/>
  <c r="AV52" i="103"/>
  <c r="AW52" i="103"/>
  <c r="AX52" i="103"/>
  <c r="AY52" i="103"/>
  <c r="F53" i="103"/>
  <c r="K53" i="103"/>
  <c r="L53" i="103"/>
  <c r="AE53" i="103"/>
  <c r="AV53" i="103"/>
  <c r="AW53" i="103"/>
  <c r="AX53" i="103"/>
  <c r="AY53" i="103"/>
  <c r="AE54" i="103"/>
  <c r="AE55" i="103"/>
  <c r="AE56" i="103"/>
  <c r="AV56" i="103"/>
  <c r="AC57" i="103"/>
  <c r="AY57" i="103"/>
  <c r="AZ57" i="103"/>
  <c r="BA57" i="103"/>
  <c r="BB57" i="103"/>
  <c r="BH57" i="103"/>
  <c r="BI57" i="103"/>
  <c r="BJ57" i="103"/>
  <c r="BK57" i="103"/>
  <c r="AE58" i="103"/>
  <c r="AY58" i="103"/>
  <c r="AZ58" i="103"/>
  <c r="BA58" i="103"/>
  <c r="BB58" i="103"/>
  <c r="BH58" i="103"/>
  <c r="BI58" i="103"/>
  <c r="BJ58" i="103"/>
  <c r="BK58" i="103"/>
  <c r="F59" i="103"/>
  <c r="K59" i="103"/>
  <c r="L59" i="103"/>
  <c r="AE59" i="103"/>
  <c r="AY59" i="103"/>
  <c r="AZ59" i="103"/>
  <c r="BA59" i="103"/>
  <c r="BB59" i="103"/>
  <c r="BH59" i="103"/>
  <c r="BI59" i="103"/>
  <c r="BJ59" i="103"/>
  <c r="BK59" i="103"/>
  <c r="AE60" i="103"/>
  <c r="AY60" i="103"/>
  <c r="AZ60" i="103"/>
  <c r="BA60" i="103"/>
  <c r="BB60" i="103"/>
  <c r="BH60" i="103"/>
  <c r="BI60" i="103"/>
  <c r="BJ60" i="103"/>
  <c r="BK60" i="103"/>
  <c r="F61" i="103"/>
  <c r="K61" i="103"/>
  <c r="L61" i="103"/>
  <c r="AE61" i="103"/>
  <c r="AY61" i="103"/>
  <c r="AZ61" i="103"/>
  <c r="BA61" i="103"/>
  <c r="BB61" i="103"/>
  <c r="BH61" i="103"/>
  <c r="BI61" i="103"/>
  <c r="BJ61" i="103"/>
  <c r="BK61" i="103"/>
  <c r="F62" i="103"/>
  <c r="K62" i="103"/>
  <c r="L62" i="103"/>
  <c r="AE62" i="103"/>
  <c r="AY62" i="103"/>
  <c r="AZ62" i="103"/>
  <c r="BA62" i="103"/>
  <c r="BB62" i="103"/>
  <c r="BH62" i="103"/>
  <c r="BI62" i="103"/>
  <c r="BJ62" i="103"/>
  <c r="BK62" i="103"/>
  <c r="F63" i="103"/>
  <c r="K63" i="103"/>
  <c r="L63" i="103"/>
  <c r="AE63" i="103"/>
  <c r="AY63" i="103"/>
  <c r="AZ63" i="103"/>
  <c r="BA63" i="103"/>
  <c r="BB63" i="103"/>
  <c r="BH63" i="103"/>
  <c r="BI63" i="103"/>
  <c r="BJ63" i="103"/>
  <c r="BK63" i="103"/>
  <c r="AE64" i="103"/>
  <c r="AY64" i="103"/>
  <c r="AZ64" i="103"/>
  <c r="BA64" i="103"/>
  <c r="BB64" i="103"/>
  <c r="BH64" i="103"/>
  <c r="BI64" i="103"/>
  <c r="BJ64" i="103"/>
  <c r="BK64" i="103"/>
  <c r="F65" i="103"/>
  <c r="K65" i="103"/>
  <c r="L65" i="103"/>
  <c r="AE65" i="103"/>
  <c r="AY65" i="103"/>
  <c r="AZ65" i="103"/>
  <c r="BA65" i="103"/>
  <c r="BB65" i="103"/>
  <c r="BH65" i="103"/>
  <c r="BI65" i="103"/>
  <c r="BJ65" i="103"/>
  <c r="BK65" i="103"/>
  <c r="AE66" i="103"/>
  <c r="AY66" i="103"/>
  <c r="AZ66" i="103"/>
  <c r="BA66" i="103"/>
  <c r="BB66" i="103"/>
  <c r="BH66" i="103"/>
  <c r="BI66" i="103"/>
  <c r="BJ66" i="103"/>
  <c r="BK66" i="103"/>
  <c r="AE67" i="103"/>
  <c r="AY67" i="103"/>
  <c r="AZ67" i="103"/>
  <c r="BA67" i="103"/>
  <c r="BB67" i="103"/>
  <c r="BH67" i="103"/>
  <c r="BI67" i="103"/>
  <c r="BJ67" i="103"/>
  <c r="BK67" i="103"/>
  <c r="F68" i="103"/>
  <c r="K68" i="103"/>
  <c r="L68" i="103"/>
  <c r="AE68" i="103"/>
  <c r="AY68" i="103"/>
  <c r="AZ68" i="103"/>
  <c r="BA68" i="103"/>
  <c r="BB68" i="103"/>
  <c r="BH68" i="103"/>
  <c r="BI68" i="103"/>
  <c r="BJ68" i="103"/>
  <c r="BK68" i="103"/>
  <c r="F69" i="103"/>
  <c r="K69" i="103"/>
  <c r="L69" i="103"/>
  <c r="AE69" i="103"/>
  <c r="AY69" i="103"/>
  <c r="AZ69" i="103"/>
  <c r="BA69" i="103"/>
  <c r="BB69" i="103"/>
  <c r="BH69" i="103"/>
  <c r="BI69" i="103"/>
  <c r="BJ69" i="103"/>
  <c r="BK69" i="103"/>
  <c r="F70" i="103"/>
  <c r="K70" i="103"/>
  <c r="L70" i="103"/>
  <c r="AY70" i="103"/>
  <c r="AZ70" i="103"/>
  <c r="BA70" i="103"/>
  <c r="BB70" i="103"/>
  <c r="BH70" i="103"/>
  <c r="BI70" i="103"/>
  <c r="BJ70" i="103"/>
  <c r="BK70" i="103"/>
  <c r="AY71" i="103"/>
  <c r="AZ71" i="103"/>
  <c r="BA71" i="103"/>
  <c r="BB71" i="103"/>
  <c r="BH71" i="103"/>
  <c r="BI71" i="103"/>
  <c r="BJ71" i="103"/>
  <c r="BK71" i="103"/>
  <c r="F72" i="103"/>
  <c r="K72" i="103"/>
  <c r="AY72" i="103"/>
  <c r="AZ72" i="103"/>
  <c r="BA72" i="103"/>
  <c r="BB72" i="103"/>
  <c r="BH72" i="103"/>
  <c r="BI72" i="103"/>
  <c r="BJ72" i="103"/>
  <c r="BK72" i="103"/>
  <c r="F74" i="103"/>
  <c r="K74" i="103"/>
  <c r="L74" i="103"/>
  <c r="BE74" i="103"/>
  <c r="BH75" i="103"/>
  <c r="BI75" i="103"/>
  <c r="BJ75" i="103"/>
  <c r="BK75" i="103"/>
  <c r="BH76" i="103"/>
  <c r="BI76" i="103"/>
  <c r="BJ76" i="103"/>
  <c r="BK76" i="103"/>
  <c r="F77" i="103"/>
  <c r="K77" i="103"/>
  <c r="BH77" i="103"/>
  <c r="BI77" i="103"/>
  <c r="BJ77" i="103"/>
  <c r="BK77" i="103"/>
  <c r="BH78" i="103"/>
  <c r="BI78" i="103"/>
  <c r="BJ78" i="103"/>
  <c r="BK78" i="103"/>
  <c r="F79" i="103"/>
  <c r="K79" i="103"/>
  <c r="L79" i="103"/>
  <c r="F80" i="103"/>
  <c r="K80" i="103"/>
  <c r="L80" i="103"/>
  <c r="F81" i="103"/>
  <c r="K81" i="103"/>
  <c r="L81" i="103"/>
  <c r="F82" i="103"/>
  <c r="K82" i="103"/>
  <c r="L82" i="103"/>
  <c r="F83" i="103"/>
  <c r="K83" i="103"/>
  <c r="L83" i="103"/>
  <c r="F84" i="103"/>
  <c r="K84" i="103"/>
  <c r="L84" i="103"/>
  <c r="F88" i="103"/>
  <c r="K88" i="103"/>
  <c r="L88" i="103"/>
  <c r="F89" i="103"/>
  <c r="K89" i="103"/>
  <c r="L89" i="103"/>
  <c r="F90" i="103"/>
  <c r="K90" i="103"/>
  <c r="L90" i="103"/>
  <c r="F91" i="103"/>
  <c r="K91" i="103"/>
  <c r="L91" i="103"/>
  <c r="F93" i="103"/>
  <c r="K93" i="103"/>
  <c r="F94" i="103"/>
  <c r="K94" i="103"/>
  <c r="F96" i="103"/>
  <c r="K96" i="103"/>
  <c r="L96" i="103"/>
  <c r="F97" i="103"/>
  <c r="K97" i="103"/>
  <c r="L97" i="103"/>
  <c r="F106" i="103"/>
  <c r="K106" i="103"/>
  <c r="L106" i="103"/>
  <c r="F109" i="103"/>
  <c r="K109" i="103"/>
  <c r="L109" i="103"/>
  <c r="F110" i="103"/>
  <c r="K110" i="103"/>
  <c r="L110" i="103"/>
  <c r="F114" i="103"/>
  <c r="K114" i="103"/>
  <c r="L114" i="103"/>
  <c r="F117" i="103"/>
  <c r="K117" i="103"/>
  <c r="L117" i="103"/>
  <c r="F120" i="103"/>
  <c r="K120" i="103"/>
  <c r="L120" i="103"/>
  <c r="F121" i="103"/>
  <c r="K121" i="103"/>
  <c r="L121" i="103"/>
  <c r="F122" i="103"/>
  <c r="K122" i="103"/>
  <c r="L122" i="103"/>
  <c r="F123" i="103"/>
  <c r="K123" i="103"/>
  <c r="L123" i="103"/>
  <c r="F124" i="103"/>
  <c r="K124" i="103"/>
  <c r="L124" i="103"/>
  <c r="F126" i="103"/>
  <c r="K126" i="103"/>
  <c r="L126" i="103"/>
  <c r="F127" i="103"/>
  <c r="K127" i="103"/>
  <c r="L127" i="103"/>
  <c r="F128" i="103"/>
  <c r="K128" i="103"/>
  <c r="L128" i="103"/>
  <c r="F129" i="103"/>
  <c r="K129" i="103"/>
  <c r="L129" i="103"/>
  <c r="F131" i="103"/>
  <c r="K131" i="103"/>
  <c r="L131" i="103"/>
  <c r="F133" i="103"/>
  <c r="K133" i="103"/>
  <c r="L133" i="103"/>
  <c r="F134" i="103"/>
  <c r="K134" i="103"/>
  <c r="L134" i="103"/>
  <c r="F136" i="103"/>
  <c r="K136" i="103"/>
  <c r="L136" i="103"/>
  <c r="F138" i="103"/>
  <c r="K138" i="103"/>
  <c r="F139" i="103"/>
  <c r="K139" i="103"/>
  <c r="L139" i="103"/>
  <c r="F140" i="103"/>
  <c r="K140" i="103"/>
  <c r="L140" i="103"/>
  <c r="F142" i="103"/>
  <c r="K142" i="103"/>
  <c r="L142" i="103"/>
  <c r="F143" i="103"/>
  <c r="K143" i="103"/>
  <c r="F144" i="103"/>
  <c r="K144" i="103"/>
  <c r="L144" i="103"/>
  <c r="F145" i="103"/>
  <c r="K145" i="103"/>
  <c r="L145" i="103"/>
  <c r="F148" i="103"/>
  <c r="K148" i="103"/>
  <c r="L148" i="103"/>
  <c r="F151" i="103"/>
  <c r="K151" i="103"/>
  <c r="L151" i="103"/>
  <c r="F152" i="103"/>
  <c r="K152" i="103"/>
  <c r="L152" i="103"/>
  <c r="F153" i="103"/>
  <c r="K153" i="103"/>
  <c r="L153" i="103"/>
  <c r="F154" i="103"/>
  <c r="K154" i="103"/>
  <c r="L154" i="103"/>
  <c r="F155" i="103"/>
  <c r="K155" i="103"/>
  <c r="L155" i="103"/>
  <c r="F159" i="103"/>
  <c r="K159" i="103"/>
  <c r="L159" i="103"/>
  <c r="F161" i="103"/>
  <c r="K161" i="103"/>
  <c r="L161" i="103"/>
  <c r="F162" i="103"/>
  <c r="K162" i="103"/>
  <c r="F163" i="103"/>
  <c r="K163" i="103"/>
  <c r="F164" i="103"/>
  <c r="K164" i="103"/>
  <c r="F165" i="103"/>
  <c r="K165" i="103"/>
  <c r="L165" i="103"/>
  <c r="F166" i="103"/>
  <c r="K166" i="103"/>
  <c r="L166" i="103"/>
  <c r="F170" i="103"/>
  <c r="K170" i="103"/>
  <c r="L170" i="103"/>
  <c r="F171" i="103"/>
  <c r="K171" i="103"/>
  <c r="L171" i="103"/>
  <c r="F173" i="103"/>
  <c r="K173" i="103"/>
  <c r="L173" i="103"/>
  <c r="F174" i="103"/>
  <c r="K174" i="103"/>
  <c r="L174" i="103"/>
  <c r="F175" i="103"/>
  <c r="K175" i="103"/>
  <c r="L175" i="103"/>
  <c r="F176" i="103"/>
  <c r="K176" i="103"/>
  <c r="L176" i="103"/>
  <c r="F177" i="103"/>
  <c r="K177" i="103"/>
  <c r="L177" i="103"/>
  <c r="F178" i="103"/>
  <c r="K178" i="103"/>
  <c r="L178" i="103"/>
  <c r="F180" i="103"/>
  <c r="K180" i="103"/>
  <c r="L180" i="103"/>
  <c r="F181" i="103"/>
  <c r="K181" i="103"/>
  <c r="L181" i="103"/>
  <c r="F183" i="103"/>
  <c r="K183" i="103"/>
  <c r="L183" i="103"/>
  <c r="F188" i="103"/>
  <c r="K188" i="103"/>
  <c r="L188" i="103"/>
  <c r="F192" i="103"/>
  <c r="K192" i="103"/>
  <c r="L192" i="103"/>
  <c r="F193" i="103"/>
  <c r="K193" i="103"/>
  <c r="L193" i="103"/>
  <c r="F195" i="103"/>
  <c r="K195" i="103"/>
  <c r="F196" i="103"/>
  <c r="K196" i="103"/>
  <c r="L196" i="103"/>
  <c r="F197" i="103"/>
  <c r="K197" i="103"/>
  <c r="F200" i="103"/>
  <c r="K200" i="103"/>
  <c r="L200" i="103"/>
  <c r="F202" i="103"/>
  <c r="K202" i="103"/>
  <c r="L202" i="103"/>
  <c r="F203" i="103"/>
  <c r="K203" i="103"/>
  <c r="F207" i="103"/>
  <c r="K207" i="103"/>
  <c r="L207" i="103"/>
  <c r="F208" i="103"/>
  <c r="K208" i="103"/>
  <c r="L208" i="103"/>
  <c r="F215" i="103"/>
  <c r="K215" i="103"/>
  <c r="F216" i="103"/>
  <c r="K216" i="103"/>
  <c r="L216" i="103"/>
  <c r="F220" i="103"/>
  <c r="K220" i="103"/>
  <c r="L220" i="103"/>
  <c r="F221" i="103"/>
  <c r="K221" i="103"/>
  <c r="L221" i="103"/>
  <c r="F222" i="103"/>
  <c r="K222" i="103"/>
  <c r="L222" i="103"/>
  <c r="F223" i="103"/>
  <c r="K223" i="103"/>
  <c r="L223" i="103"/>
  <c r="F227" i="103"/>
  <c r="K227" i="103"/>
  <c r="L227" i="103"/>
  <c r="F229" i="103"/>
  <c r="K229" i="103"/>
  <c r="L229" i="103"/>
  <c r="F230" i="103"/>
  <c r="K230" i="103"/>
  <c r="L230" i="103"/>
  <c r="F233" i="103"/>
  <c r="K233" i="103"/>
  <c r="L233" i="103"/>
  <c r="F235" i="103"/>
  <c r="K235" i="103"/>
  <c r="L235" i="103"/>
  <c r="F237" i="103"/>
  <c r="K237" i="103"/>
  <c r="L237" i="103"/>
  <c r="F238" i="103"/>
  <c r="K238" i="103"/>
  <c r="F241" i="103"/>
  <c r="K241" i="103"/>
  <c r="L241" i="103"/>
  <c r="F245" i="103"/>
  <c r="K245" i="103"/>
  <c r="L245" i="103"/>
  <c r="F246" i="103"/>
  <c r="K246" i="103"/>
  <c r="F248" i="103"/>
  <c r="K248" i="103"/>
  <c r="L248" i="103"/>
  <c r="F250" i="103"/>
  <c r="K250" i="103"/>
  <c r="L250" i="103"/>
  <c r="F251" i="103"/>
  <c r="K251" i="103"/>
  <c r="L251" i="103"/>
  <c r="F252" i="103"/>
  <c r="K252" i="103"/>
  <c r="L252" i="103"/>
  <c r="F255" i="103"/>
  <c r="K255" i="103"/>
  <c r="F256" i="103"/>
  <c r="K256" i="103"/>
  <c r="L256" i="103"/>
  <c r="F257" i="103"/>
  <c r="K257" i="103"/>
  <c r="F258" i="103"/>
  <c r="K258" i="103"/>
  <c r="L258" i="103"/>
  <c r="F262" i="103"/>
  <c r="K262" i="103"/>
  <c r="L262" i="103"/>
  <c r="F263" i="103"/>
  <c r="K263" i="103"/>
  <c r="L263" i="103"/>
  <c r="F264" i="103"/>
  <c r="K264" i="103"/>
  <c r="L264" i="103"/>
  <c r="F265" i="103"/>
  <c r="K265" i="103"/>
  <c r="L265" i="103"/>
  <c r="F269" i="103"/>
  <c r="K269" i="103"/>
  <c r="L269" i="103"/>
  <c r="F270" i="103"/>
  <c r="K270" i="103"/>
  <c r="L270" i="103"/>
  <c r="F271" i="103"/>
  <c r="K271" i="103"/>
  <c r="L271" i="103"/>
  <c r="F272" i="103"/>
  <c r="K272" i="103"/>
  <c r="L272" i="103"/>
  <c r="F273" i="103"/>
  <c r="K273" i="103"/>
  <c r="L273" i="103"/>
  <c r="F277" i="103"/>
  <c r="K277" i="103"/>
  <c r="L277" i="103"/>
  <c r="F278" i="103"/>
  <c r="K278" i="103"/>
  <c r="L278" i="103"/>
  <c r="F279" i="103"/>
  <c r="K279" i="103"/>
  <c r="L279" i="103"/>
  <c r="F280" i="103"/>
  <c r="K280" i="103"/>
  <c r="L280" i="103"/>
  <c r="F282" i="103"/>
  <c r="K282" i="103"/>
  <c r="L282" i="103"/>
  <c r="F284" i="103"/>
  <c r="K284" i="103"/>
  <c r="L284" i="103"/>
  <c r="F285" i="103"/>
  <c r="K285" i="103"/>
  <c r="F290" i="103"/>
  <c r="K290" i="103"/>
  <c r="L290" i="103"/>
  <c r="F291" i="103"/>
  <c r="K291" i="103"/>
  <c r="L291" i="103"/>
  <c r="F292" i="103"/>
  <c r="K292" i="103"/>
  <c r="L292" i="103"/>
  <c r="F293" i="103"/>
  <c r="K293" i="103"/>
  <c r="L293" i="103"/>
  <c r="F294" i="103"/>
  <c r="K294" i="103"/>
  <c r="L294" i="103"/>
  <c r="F297" i="103"/>
  <c r="K297" i="103"/>
  <c r="L297" i="103"/>
  <c r="F298" i="103"/>
  <c r="K298" i="103"/>
  <c r="L298" i="103"/>
  <c r="F299" i="103"/>
  <c r="K299" i="103"/>
  <c r="L299" i="103"/>
  <c r="F300" i="103"/>
  <c r="K300" i="103"/>
  <c r="L300" i="103"/>
  <c r="F301" i="103"/>
  <c r="K301" i="103"/>
  <c r="L301" i="103"/>
  <c r="F302" i="103"/>
  <c r="K302" i="103"/>
  <c r="L302" i="103"/>
  <c r="F303" i="103"/>
  <c r="K303" i="103"/>
  <c r="L303" i="103"/>
  <c r="F304" i="103"/>
  <c r="K304" i="103"/>
  <c r="L304" i="103"/>
  <c r="F305" i="103"/>
  <c r="K305" i="103"/>
  <c r="L305" i="103"/>
  <c r="F308" i="103"/>
  <c r="K308" i="103"/>
  <c r="L308" i="103"/>
  <c r="F309" i="103"/>
  <c r="K309" i="103"/>
  <c r="L309" i="103"/>
  <c r="F313" i="103"/>
  <c r="K313" i="103"/>
  <c r="L313" i="103"/>
  <c r="F316" i="103"/>
  <c r="K316" i="103"/>
  <c r="L316" i="103"/>
  <c r="F317" i="103"/>
  <c r="K317" i="103"/>
  <c r="L317" i="103"/>
  <c r="F318" i="103"/>
  <c r="K318" i="103"/>
  <c r="L318" i="103"/>
  <c r="F320" i="103"/>
  <c r="K320" i="103"/>
  <c r="L320" i="103"/>
  <c r="F321" i="103"/>
  <c r="K321" i="103"/>
  <c r="L321" i="103"/>
  <c r="F323" i="103"/>
  <c r="K323" i="103"/>
  <c r="L323" i="103"/>
  <c r="F324" i="103"/>
  <c r="K324" i="103"/>
  <c r="L324" i="103"/>
  <c r="F325" i="103"/>
  <c r="K325" i="103"/>
  <c r="F327" i="103"/>
  <c r="K327" i="103"/>
  <c r="L327" i="103"/>
  <c r="F329" i="103"/>
  <c r="K329" i="103"/>
  <c r="L329" i="103"/>
  <c r="F332" i="103"/>
  <c r="K332" i="103"/>
  <c r="L332" i="103"/>
  <c r="F333" i="103"/>
  <c r="K333" i="103"/>
  <c r="L333" i="103"/>
  <c r="F339" i="103"/>
  <c r="K339" i="103"/>
  <c r="L339" i="103"/>
  <c r="F340" i="103"/>
  <c r="K340" i="103"/>
  <c r="L340" i="103"/>
  <c r="F341" i="103"/>
  <c r="K341" i="103"/>
  <c r="L341" i="103"/>
  <c r="F342" i="103"/>
  <c r="K342" i="103"/>
  <c r="F343" i="103"/>
  <c r="K343" i="103"/>
  <c r="L343" i="103"/>
  <c r="F345" i="103"/>
  <c r="K345" i="103"/>
  <c r="L345" i="103"/>
  <c r="F346" i="103"/>
  <c r="K346" i="103"/>
  <c r="L346" i="103"/>
  <c r="F347" i="103"/>
  <c r="K347" i="103"/>
  <c r="L347" i="103"/>
  <c r="F349" i="103"/>
  <c r="K349" i="103"/>
  <c r="L349" i="103"/>
  <c r="F350" i="103"/>
  <c r="K350" i="103"/>
  <c r="L350" i="103"/>
  <c r="F351" i="103"/>
  <c r="K351" i="103"/>
  <c r="F353" i="103"/>
  <c r="K353" i="103"/>
  <c r="L353" i="103"/>
  <c r="F355" i="103"/>
  <c r="K355" i="103"/>
  <c r="L355" i="103"/>
  <c r="F356" i="103"/>
  <c r="K356" i="103"/>
  <c r="F358" i="103"/>
  <c r="K358" i="103"/>
  <c r="L358" i="103"/>
  <c r="F359" i="103"/>
  <c r="K359" i="103"/>
  <c r="L359" i="103"/>
  <c r="F361" i="103"/>
  <c r="K361" i="103"/>
  <c r="L361" i="103"/>
  <c r="F363" i="103"/>
  <c r="K363" i="103"/>
  <c r="F364" i="103"/>
  <c r="K364" i="103"/>
  <c r="L364" i="103"/>
  <c r="F365" i="103"/>
  <c r="K365" i="103"/>
  <c r="L365" i="103"/>
  <c r="F366" i="103"/>
  <c r="K366" i="103"/>
  <c r="L366" i="103"/>
  <c r="F367" i="103"/>
  <c r="K367" i="103"/>
  <c r="L367" i="103"/>
  <c r="F368" i="103"/>
  <c r="K368" i="103"/>
  <c r="L368" i="103"/>
  <c r="F370" i="103"/>
  <c r="K370" i="103"/>
  <c r="F371" i="103"/>
  <c r="K371" i="103"/>
  <c r="L371" i="103"/>
  <c r="F372" i="103"/>
  <c r="K372" i="103"/>
  <c r="F373" i="103"/>
  <c r="K373" i="103"/>
  <c r="L373" i="103"/>
  <c r="F374" i="103"/>
  <c r="K374" i="103"/>
  <c r="L374" i="103"/>
  <c r="F375" i="103"/>
  <c r="K375" i="103"/>
  <c r="L375" i="103"/>
  <c r="F376" i="103"/>
  <c r="K376" i="103"/>
  <c r="L376" i="103"/>
  <c r="F379" i="103"/>
  <c r="K379" i="103"/>
  <c r="F380" i="103"/>
  <c r="K380" i="103"/>
  <c r="L380" i="103"/>
  <c r="F381" i="103"/>
  <c r="K381" i="103"/>
  <c r="L381" i="103"/>
  <c r="F383" i="103"/>
  <c r="K383" i="103"/>
  <c r="L383" i="103"/>
  <c r="F384" i="103"/>
  <c r="K384" i="103"/>
  <c r="L384" i="103"/>
  <c r="F385" i="103"/>
  <c r="K385" i="103"/>
  <c r="L385" i="103"/>
  <c r="F389" i="103"/>
  <c r="K389" i="103"/>
  <c r="L389" i="103"/>
  <c r="F392" i="103"/>
  <c r="K392" i="103"/>
  <c r="L392" i="103"/>
  <c r="F393" i="103"/>
  <c r="K393" i="103"/>
  <c r="F394" i="103"/>
  <c r="K394" i="103"/>
  <c r="L394" i="103"/>
  <c r="F397" i="103"/>
  <c r="K397" i="103"/>
  <c r="F398" i="103"/>
  <c r="K398" i="103"/>
  <c r="L398" i="103"/>
  <c r="F400" i="103"/>
  <c r="K400" i="103"/>
  <c r="L400" i="103"/>
  <c r="F401" i="103"/>
  <c r="K401" i="103"/>
  <c r="L401" i="103"/>
  <c r="F402" i="103"/>
  <c r="K402" i="103"/>
  <c r="L402" i="103"/>
  <c r="F403" i="103"/>
  <c r="K403" i="103"/>
  <c r="L403" i="103"/>
  <c r="F404" i="103"/>
  <c r="K404" i="103"/>
  <c r="L404" i="103"/>
  <c r="F405" i="103"/>
  <c r="K405" i="103"/>
  <c r="L405" i="103"/>
  <c r="F406" i="103"/>
  <c r="K406" i="103"/>
  <c r="L406" i="103"/>
  <c r="F408" i="103"/>
  <c r="K408" i="103"/>
  <c r="L408" i="103"/>
  <c r="F411" i="103"/>
  <c r="K411" i="103"/>
  <c r="L411" i="103"/>
  <c r="F412" i="103"/>
  <c r="K412" i="103"/>
  <c r="L412" i="103"/>
  <c r="F415" i="103"/>
  <c r="K415" i="103"/>
  <c r="L415" i="103"/>
  <c r="F416" i="103"/>
  <c r="K416" i="103"/>
  <c r="L416" i="103"/>
  <c r="F418" i="103"/>
  <c r="K418" i="103"/>
  <c r="L418" i="103"/>
  <c r="F420" i="103"/>
  <c r="K420" i="103"/>
  <c r="L420" i="103"/>
  <c r="F422" i="103"/>
  <c r="K422" i="103"/>
  <c r="L422" i="103"/>
  <c r="F425" i="103"/>
  <c r="K425" i="103"/>
  <c r="L425" i="103"/>
  <c r="F426" i="103"/>
  <c r="K426" i="103"/>
  <c r="L426" i="103"/>
  <c r="F427" i="103"/>
  <c r="K427" i="103"/>
  <c r="L427" i="103"/>
  <c r="F429" i="103"/>
  <c r="K429" i="103"/>
  <c r="L429" i="103"/>
  <c r="F430" i="103"/>
  <c r="K430" i="103"/>
  <c r="L430" i="103"/>
  <c r="F431" i="103"/>
  <c r="K431" i="103"/>
  <c r="L431" i="103"/>
  <c r="F434" i="103"/>
  <c r="K434" i="103"/>
  <c r="L434" i="103"/>
  <c r="F435" i="103"/>
  <c r="K435" i="103"/>
  <c r="L435" i="103"/>
  <c r="F437" i="103"/>
  <c r="K437" i="103"/>
  <c r="L437" i="103"/>
  <c r="F438" i="103"/>
  <c r="K438" i="103"/>
  <c r="L438" i="103"/>
  <c r="F439" i="103"/>
  <c r="K439" i="103"/>
  <c r="L439" i="103"/>
  <c r="I444" i="103"/>
  <c r="D6" i="102"/>
  <c r="F6" i="102"/>
  <c r="G6" i="102"/>
  <c r="H6" i="102"/>
  <c r="I6" i="102"/>
  <c r="M6" i="102"/>
  <c r="D7" i="102"/>
  <c r="F7" i="102"/>
  <c r="G7" i="102"/>
  <c r="H7" i="102"/>
  <c r="I7" i="102"/>
  <c r="M7" i="102"/>
  <c r="D8" i="102"/>
  <c r="F8" i="102"/>
  <c r="G8" i="102"/>
  <c r="H8" i="102"/>
  <c r="I8" i="102"/>
  <c r="M8" i="102"/>
  <c r="D9" i="102"/>
  <c r="F9" i="102"/>
  <c r="G9" i="102"/>
  <c r="H9" i="102"/>
  <c r="I9" i="102"/>
  <c r="M9" i="102"/>
  <c r="D6" i="101"/>
  <c r="E6" i="101"/>
  <c r="F6" i="101"/>
  <c r="G6" i="101"/>
  <c r="H6" i="101"/>
  <c r="L6" i="101"/>
  <c r="D7" i="101"/>
  <c r="E7" i="101"/>
  <c r="F7" i="101"/>
  <c r="G7" i="101"/>
  <c r="H7" i="101"/>
  <c r="L7" i="101"/>
  <c r="D8" i="101"/>
  <c r="E8" i="101"/>
  <c r="F8" i="101"/>
  <c r="G8" i="101"/>
  <c r="H8" i="101"/>
  <c r="L8" i="101"/>
  <c r="D9" i="101"/>
  <c r="E9" i="101"/>
  <c r="F9" i="101"/>
  <c r="G9" i="101"/>
  <c r="H9" i="101"/>
  <c r="L9" i="101"/>
  <c r="D10" i="101"/>
  <c r="E10" i="101"/>
  <c r="F10" i="101"/>
  <c r="G10" i="101"/>
  <c r="H10" i="101"/>
  <c r="L10" i="101"/>
  <c r="D11" i="101"/>
  <c r="E11" i="101"/>
  <c r="F11" i="101"/>
  <c r="G11" i="101"/>
  <c r="H11" i="101"/>
  <c r="L11" i="101"/>
  <c r="D12" i="101"/>
  <c r="E12" i="101"/>
  <c r="F12" i="101"/>
  <c r="G12" i="101"/>
  <c r="H12" i="101"/>
  <c r="L12" i="101"/>
  <c r="D13" i="101"/>
  <c r="E13" i="101"/>
  <c r="F13" i="101"/>
  <c r="G13" i="101"/>
  <c r="H13" i="101"/>
  <c r="L13" i="101"/>
  <c r="Z12" i="100"/>
  <c r="Z13" i="100"/>
  <c r="Z15" i="100"/>
  <c r="B6" i="100"/>
  <c r="D6" i="100"/>
  <c r="E6" i="100"/>
  <c r="F6" i="100"/>
  <c r="G6" i="100"/>
  <c r="H6" i="100"/>
  <c r="I6" i="100"/>
  <c r="J6" i="100"/>
  <c r="M6" i="100"/>
  <c r="D7" i="100"/>
  <c r="E7" i="100"/>
  <c r="F7" i="100"/>
  <c r="G7" i="100"/>
  <c r="H7" i="100"/>
  <c r="D8" i="100"/>
  <c r="E8" i="100"/>
  <c r="F8" i="100"/>
  <c r="G8" i="100"/>
  <c r="H8" i="100"/>
  <c r="D9" i="100"/>
  <c r="E9" i="100"/>
  <c r="F9" i="100"/>
  <c r="G9" i="100"/>
  <c r="H9" i="100"/>
  <c r="AJ19" i="91"/>
  <c r="AI19" i="91"/>
  <c r="AI20" i="91" s="1"/>
  <c r="I156" i="91" s="1"/>
  <c r="AJ18" i="91"/>
  <c r="AI18" i="91"/>
  <c r="AJ17" i="91"/>
  <c r="AI17" i="91"/>
  <c r="AJ16" i="91"/>
  <c r="AI16" i="91"/>
  <c r="AJ15" i="91"/>
  <c r="AI15" i="91"/>
  <c r="H183" i="91" s="1"/>
  <c r="AJ14" i="91"/>
  <c r="AI14" i="91"/>
  <c r="H156" i="91" s="1"/>
  <c r="AJ13" i="91"/>
  <c r="AI13" i="91"/>
  <c r="H168" i="91" s="1"/>
  <c r="AJ12" i="91"/>
  <c r="AJ19" i="89"/>
  <c r="AI19" i="89"/>
  <c r="AI20" i="89" s="1"/>
  <c r="I154" i="89" s="1"/>
  <c r="AJ18" i="89"/>
  <c r="AI18" i="89"/>
  <c r="AJ17" i="89"/>
  <c r="AI17" i="89"/>
  <c r="H198" i="89" s="1"/>
  <c r="E198" i="89" s="1"/>
  <c r="D198" i="89" s="1"/>
  <c r="D286" i="89" s="1"/>
  <c r="AJ16" i="89"/>
  <c r="AI16" i="89"/>
  <c r="AJ15" i="89"/>
  <c r="AI15" i="89"/>
  <c r="H27" i="89" s="1"/>
  <c r="AJ14" i="89"/>
  <c r="AI14" i="89"/>
  <c r="H13" i="89" s="1"/>
  <c r="AJ13" i="89"/>
  <c r="AI13" i="89"/>
  <c r="H162" i="89" s="1"/>
  <c r="AJ12" i="89"/>
  <c r="E299" i="89" s="1"/>
  <c r="AJ19" i="88"/>
  <c r="AI19" i="88"/>
  <c r="AI20" i="88" s="1"/>
  <c r="I177" i="88" s="1"/>
  <c r="AJ18" i="88"/>
  <c r="AI18" i="88"/>
  <c r="AJ17" i="88"/>
  <c r="AI17" i="88"/>
  <c r="AJ16" i="88"/>
  <c r="AI16" i="88"/>
  <c r="AJ15" i="88"/>
  <c r="AI15" i="88"/>
  <c r="H183" i="88" s="1"/>
  <c r="AJ14" i="88"/>
  <c r="AI14" i="88"/>
  <c r="H35" i="88" s="1"/>
  <c r="AJ13" i="88"/>
  <c r="AI13" i="88"/>
  <c r="H168" i="88" s="1"/>
  <c r="AJ12" i="88"/>
  <c r="E298" i="88" s="1"/>
  <c r="AJ19" i="87"/>
  <c r="AI19" i="87"/>
  <c r="AI20" i="87" s="1"/>
  <c r="I141" i="87" s="1"/>
  <c r="AJ18" i="87"/>
  <c r="AI18" i="87"/>
  <c r="AJ17" i="87"/>
  <c r="AI17" i="87"/>
  <c r="AJ16" i="87"/>
  <c r="AI16" i="87"/>
  <c r="AJ15" i="87"/>
  <c r="AI15" i="87"/>
  <c r="H191" i="87" s="1"/>
  <c r="AJ14" i="87"/>
  <c r="AI14" i="87"/>
  <c r="H11" i="87" s="1"/>
  <c r="AJ13" i="87"/>
  <c r="AI13" i="87"/>
  <c r="H120" i="87" s="1"/>
  <c r="AJ12" i="87"/>
  <c r="AJ19" i="85"/>
  <c r="AI19" i="85"/>
  <c r="AI20" i="85" s="1"/>
  <c r="I177" i="85" s="1"/>
  <c r="AJ18" i="85"/>
  <c r="AI18" i="85"/>
  <c r="AJ17" i="85"/>
  <c r="AI17" i="85"/>
  <c r="AJ16" i="85"/>
  <c r="AI16" i="85"/>
  <c r="AJ15" i="85"/>
  <c r="AI15" i="85"/>
  <c r="H183" i="85" s="1"/>
  <c r="AJ14" i="85"/>
  <c r="AI14" i="85"/>
  <c r="H66" i="85" s="1"/>
  <c r="AJ13" i="85"/>
  <c r="AI13" i="85"/>
  <c r="H162" i="85" s="1"/>
  <c r="AJ12" i="85"/>
  <c r="E299" i="85" s="1"/>
  <c r="AJ19" i="84"/>
  <c r="AI19" i="84"/>
  <c r="AI20" i="84" s="1"/>
  <c r="AJ18" i="84"/>
  <c r="AI18" i="84"/>
  <c r="AJ17" i="84"/>
  <c r="AI17" i="84"/>
  <c r="AJ16" i="84"/>
  <c r="AI16" i="84"/>
  <c r="AJ15" i="84"/>
  <c r="AI15" i="84"/>
  <c r="H183" i="84" s="1"/>
  <c r="AJ14" i="84"/>
  <c r="AI14" i="84"/>
  <c r="H75" i="84" s="1"/>
  <c r="AJ13" i="84"/>
  <c r="AJ12" i="84"/>
  <c r="E299" i="84" s="1"/>
  <c r="AJ19" i="83"/>
  <c r="AI19" i="83"/>
  <c r="AI20" i="83" s="1"/>
  <c r="I174" i="83" s="1"/>
  <c r="AJ18" i="83"/>
  <c r="AI18" i="83"/>
  <c r="AJ17" i="83"/>
  <c r="AI17" i="83"/>
  <c r="AJ16" i="83"/>
  <c r="AI16" i="83"/>
  <c r="AJ15" i="83"/>
  <c r="AI15" i="83"/>
  <c r="H183" i="83" s="1"/>
  <c r="AJ14" i="83"/>
  <c r="AI14" i="83"/>
  <c r="H177" i="83" s="1"/>
  <c r="AJ13" i="83"/>
  <c r="AI13" i="83"/>
  <c r="AJ12" i="83"/>
  <c r="AJ19" i="82"/>
  <c r="AI19" i="82"/>
  <c r="AI20" i="82" s="1"/>
  <c r="G44" i="82" s="1"/>
  <c r="AJ18" i="82"/>
  <c r="AI18" i="82"/>
  <c r="AJ17" i="82"/>
  <c r="AI17" i="82"/>
  <c r="AJ16" i="82"/>
  <c r="AI16" i="82"/>
  <c r="AJ15" i="82"/>
  <c r="AI15" i="82"/>
  <c r="H183" i="82" s="1"/>
  <c r="AJ14" i="82"/>
  <c r="AI14" i="82"/>
  <c r="H9" i="82" s="1"/>
  <c r="E9" i="82" s="1"/>
  <c r="D9" i="82" s="1"/>
  <c r="AJ13" i="82"/>
  <c r="AI13" i="82"/>
  <c r="H168" i="82" s="1"/>
  <c r="E168" i="82" s="1"/>
  <c r="D168" i="82" s="1"/>
  <c r="D273" i="82" s="1"/>
  <c r="AJ12" i="82"/>
  <c r="AJ19" i="81"/>
  <c r="AI19" i="81"/>
  <c r="AI20" i="81" s="1"/>
  <c r="AJ18" i="81"/>
  <c r="AI18" i="81"/>
  <c r="AJ17" i="81"/>
  <c r="AI17" i="81"/>
  <c r="AJ16" i="81"/>
  <c r="AI16" i="81"/>
  <c r="AJ15" i="81"/>
  <c r="AI15" i="81"/>
  <c r="H183" i="81" s="1"/>
  <c r="AJ14" i="81"/>
  <c r="AI14" i="81"/>
  <c r="H9" i="81" s="1"/>
  <c r="AJ13" i="81"/>
  <c r="AJ12" i="81"/>
  <c r="E301" i="81" s="1"/>
  <c r="AJ19" i="74"/>
  <c r="AI19" i="74"/>
  <c r="AI20" i="74" s="1"/>
  <c r="I170" i="74" s="1"/>
  <c r="AJ18" i="74"/>
  <c r="AI18" i="74"/>
  <c r="AJ17" i="74"/>
  <c r="AI17" i="74"/>
  <c r="AJ16" i="74"/>
  <c r="AI16" i="74"/>
  <c r="AJ15" i="74"/>
  <c r="AI15" i="74"/>
  <c r="H183" i="74" s="1"/>
  <c r="AJ14" i="74"/>
  <c r="AI14" i="74"/>
  <c r="H144" i="74" s="1"/>
  <c r="AJ13" i="74"/>
  <c r="AI13" i="74"/>
  <c r="H87" i="74" s="1"/>
  <c r="AJ12" i="74"/>
  <c r="D296" i="74" s="1"/>
  <c r="X6" i="74" s="1"/>
  <c r="P192" i="94"/>
  <c r="L192" i="94"/>
  <c r="P191" i="94"/>
  <c r="L191" i="94"/>
  <c r="P188" i="94"/>
  <c r="P190" i="94" s="1"/>
  <c r="P187" i="94"/>
  <c r="P189" i="94" s="1"/>
  <c r="AJ20" i="94"/>
  <c r="T2" i="94"/>
  <c r="S2" i="94"/>
  <c r="P192" i="93"/>
  <c r="L192" i="93"/>
  <c r="P191" i="93"/>
  <c r="L191" i="93"/>
  <c r="P188" i="93"/>
  <c r="P190" i="93" s="1"/>
  <c r="P187" i="93"/>
  <c r="P189" i="93" s="1"/>
  <c r="H214" i="93"/>
  <c r="T2" i="93"/>
  <c r="S2" i="93"/>
  <c r="P192" i="92"/>
  <c r="L192" i="92"/>
  <c r="P191" i="92"/>
  <c r="L191" i="92"/>
  <c r="P188" i="92"/>
  <c r="P190" i="92" s="1"/>
  <c r="P187" i="92"/>
  <c r="P189" i="92" s="1"/>
  <c r="T2" i="92"/>
  <c r="S2" i="92"/>
  <c r="H126" i="94"/>
  <c r="H214" i="94"/>
  <c r="E301" i="94"/>
  <c r="E300" i="94"/>
  <c r="E296" i="94"/>
  <c r="E299" i="94"/>
  <c r="D298" i="94"/>
  <c r="Z6" i="94" s="1"/>
  <c r="D299" i="94"/>
  <c r="AA6" i="94" s="1"/>
  <c r="E298" i="94"/>
  <c r="E297" i="94"/>
  <c r="H194" i="94"/>
  <c r="H37" i="94"/>
  <c r="H135" i="93"/>
  <c r="E135" i="93" s="1"/>
  <c r="E301" i="93"/>
  <c r="E300" i="93"/>
  <c r="E296" i="93"/>
  <c r="D296" i="93"/>
  <c r="X6" i="93" s="1"/>
  <c r="E299" i="93"/>
  <c r="D298" i="93"/>
  <c r="Z6" i="93" s="1"/>
  <c r="E298" i="93"/>
  <c r="H126" i="93"/>
  <c r="E126" i="93" s="1"/>
  <c r="E301" i="92"/>
  <c r="AI17" i="92"/>
  <c r="C114" i="13"/>
  <c r="D114" i="13"/>
  <c r="E114" i="13"/>
  <c r="F114" i="13"/>
  <c r="H177" i="94"/>
  <c r="E177" i="94" s="1"/>
  <c r="P192" i="91"/>
  <c r="L192" i="91"/>
  <c r="P191" i="91"/>
  <c r="L191" i="91"/>
  <c r="P188" i="91"/>
  <c r="P190" i="91" s="1"/>
  <c r="P187" i="91"/>
  <c r="P189" i="91" s="1"/>
  <c r="T2" i="91"/>
  <c r="S2" i="91"/>
  <c r="P192" i="89"/>
  <c r="L192" i="89"/>
  <c r="P191" i="89"/>
  <c r="L191" i="89"/>
  <c r="P188" i="89"/>
  <c r="P190" i="89" s="1"/>
  <c r="P187" i="89"/>
  <c r="P189" i="89" s="1"/>
  <c r="T2" i="89"/>
  <c r="S2" i="89"/>
  <c r="P192" i="88"/>
  <c r="L192" i="88"/>
  <c r="P191" i="88"/>
  <c r="L191" i="88"/>
  <c r="P188" i="88"/>
  <c r="P190" i="88" s="1"/>
  <c r="P187" i="88"/>
  <c r="P189" i="88" s="1"/>
  <c r="T2" i="88"/>
  <c r="S2" i="88"/>
  <c r="P192" i="87"/>
  <c r="L192" i="87"/>
  <c r="P191" i="87"/>
  <c r="L191" i="87"/>
  <c r="P188" i="87"/>
  <c r="P190" i="87" s="1"/>
  <c r="P187" i="87"/>
  <c r="P189" i="87" s="1"/>
  <c r="T2" i="87"/>
  <c r="S2" i="87"/>
  <c r="F113" i="86"/>
  <c r="Q96" i="86"/>
  <c r="E113" i="86"/>
  <c r="D113" i="86"/>
  <c r="C113" i="86"/>
  <c r="F112" i="86"/>
  <c r="E112" i="86"/>
  <c r="D112" i="86"/>
  <c r="P94" i="86"/>
  <c r="C112" i="86"/>
  <c r="P93" i="86"/>
  <c r="G111" i="86"/>
  <c r="G103" i="86"/>
  <c r="F110" i="86"/>
  <c r="F111" i="86"/>
  <c r="E110" i="86"/>
  <c r="O95" i="86"/>
  <c r="D110" i="86"/>
  <c r="D111" i="86"/>
  <c r="C110" i="86"/>
  <c r="C111" i="86"/>
  <c r="H103" i="86"/>
  <c r="F103" i="86"/>
  <c r="E103" i="86"/>
  <c r="D103" i="86"/>
  <c r="C103" i="86"/>
  <c r="X96" i="86"/>
  <c r="W96" i="86"/>
  <c r="V96" i="86"/>
  <c r="U96" i="86"/>
  <c r="T96" i="86"/>
  <c r="P96" i="86"/>
  <c r="N96" i="86"/>
  <c r="L96" i="86"/>
  <c r="J96" i="86"/>
  <c r="X95" i="86"/>
  <c r="W95" i="86"/>
  <c r="V95" i="86"/>
  <c r="U95" i="86"/>
  <c r="T95" i="86"/>
  <c r="Q95" i="86"/>
  <c r="P95" i="86"/>
  <c r="N95" i="86"/>
  <c r="L95" i="86"/>
  <c r="J95" i="86"/>
  <c r="X94" i="86"/>
  <c r="W94" i="86"/>
  <c r="V94" i="86"/>
  <c r="U94" i="86"/>
  <c r="T94" i="86"/>
  <c r="Q94" i="86"/>
  <c r="N94" i="86"/>
  <c r="L94" i="86"/>
  <c r="J94" i="86"/>
  <c r="X93" i="86"/>
  <c r="W93" i="86"/>
  <c r="V93" i="86"/>
  <c r="U93" i="86"/>
  <c r="T93" i="86"/>
  <c r="Q93" i="86"/>
  <c r="N93" i="86"/>
  <c r="L93" i="86"/>
  <c r="K93" i="86"/>
  <c r="J93" i="86"/>
  <c r="J88" i="86"/>
  <c r="J87" i="86"/>
  <c r="F86" i="86"/>
  <c r="E86" i="86"/>
  <c r="Q68" i="86"/>
  <c r="D86" i="86"/>
  <c r="C86" i="86"/>
  <c r="F85" i="86"/>
  <c r="E85" i="86"/>
  <c r="D85" i="86"/>
  <c r="C85" i="86"/>
  <c r="P66" i="86"/>
  <c r="G84" i="86"/>
  <c r="D83" i="86"/>
  <c r="D84" i="86"/>
  <c r="H76" i="86"/>
  <c r="G76" i="86"/>
  <c r="F76" i="86"/>
  <c r="F83" i="86"/>
  <c r="E76" i="86"/>
  <c r="E83" i="86"/>
  <c r="D76" i="86"/>
  <c r="C76" i="86"/>
  <c r="C83" i="86"/>
  <c r="X69" i="86"/>
  <c r="W69" i="86"/>
  <c r="V69" i="86"/>
  <c r="U69" i="86"/>
  <c r="T69" i="86"/>
  <c r="Q69" i="86"/>
  <c r="P69" i="86"/>
  <c r="N69" i="86"/>
  <c r="L69" i="86"/>
  <c r="J69" i="86"/>
  <c r="X68" i="86"/>
  <c r="W68" i="86"/>
  <c r="V68" i="86"/>
  <c r="U68" i="86"/>
  <c r="T68" i="86"/>
  <c r="P68" i="86"/>
  <c r="N68" i="86"/>
  <c r="L68" i="86"/>
  <c r="J68" i="86"/>
  <c r="X67" i="86"/>
  <c r="W67" i="86"/>
  <c r="V67" i="86"/>
  <c r="U67" i="86"/>
  <c r="T67" i="86"/>
  <c r="Q67" i="86"/>
  <c r="P67" i="86"/>
  <c r="N67" i="86"/>
  <c r="L67" i="86"/>
  <c r="J67" i="86"/>
  <c r="X66" i="86"/>
  <c r="W66" i="86"/>
  <c r="V66" i="86"/>
  <c r="U66" i="86"/>
  <c r="T66" i="86"/>
  <c r="Q66" i="86"/>
  <c r="N66" i="86"/>
  <c r="L66" i="86"/>
  <c r="K66" i="86"/>
  <c r="J66" i="86"/>
  <c r="J61" i="86"/>
  <c r="J60" i="86"/>
  <c r="F59" i="86"/>
  <c r="E59" i="86"/>
  <c r="Q41" i="86"/>
  <c r="D59" i="86"/>
  <c r="C59" i="86"/>
  <c r="F58" i="86"/>
  <c r="E58" i="86"/>
  <c r="D58" i="86"/>
  <c r="C58" i="86"/>
  <c r="C57" i="86"/>
  <c r="F56" i="86"/>
  <c r="O42" i="86"/>
  <c r="C56" i="86"/>
  <c r="H49" i="86"/>
  <c r="G49" i="86"/>
  <c r="F49" i="86"/>
  <c r="E49" i="86"/>
  <c r="E56" i="86"/>
  <c r="D49" i="86"/>
  <c r="D56" i="86"/>
  <c r="C49" i="86"/>
  <c r="X42" i="86"/>
  <c r="W42" i="86"/>
  <c r="V42" i="86"/>
  <c r="U42" i="86"/>
  <c r="T42" i="86"/>
  <c r="Q42" i="86"/>
  <c r="P42" i="86"/>
  <c r="N42" i="86"/>
  <c r="L42" i="86"/>
  <c r="J42" i="86"/>
  <c r="X41" i="86"/>
  <c r="W41" i="86"/>
  <c r="V41" i="86"/>
  <c r="U41" i="86"/>
  <c r="T41" i="86"/>
  <c r="P41" i="86"/>
  <c r="N41" i="86"/>
  <c r="L41" i="86"/>
  <c r="J41" i="86"/>
  <c r="X40" i="86"/>
  <c r="W40" i="86"/>
  <c r="V40" i="86"/>
  <c r="U40" i="86"/>
  <c r="T40" i="86"/>
  <c r="Q40" i="86"/>
  <c r="P40" i="86"/>
  <c r="N40" i="86"/>
  <c r="L40" i="86"/>
  <c r="J40" i="86"/>
  <c r="X39" i="86"/>
  <c r="W39" i="86"/>
  <c r="V39" i="86"/>
  <c r="U39" i="86"/>
  <c r="T39" i="86"/>
  <c r="Q39" i="86"/>
  <c r="P39" i="86"/>
  <c r="O39" i="86"/>
  <c r="N39" i="86"/>
  <c r="L39" i="86"/>
  <c r="K39" i="86"/>
  <c r="J39" i="86"/>
  <c r="J34" i="86"/>
  <c r="J33" i="86"/>
  <c r="F32" i="86"/>
  <c r="E32" i="86"/>
  <c r="D32" i="86"/>
  <c r="C32" i="86"/>
  <c r="F31" i="86"/>
  <c r="P15" i="86"/>
  <c r="E31" i="86"/>
  <c r="D31" i="86"/>
  <c r="P13" i="86"/>
  <c r="C31" i="86"/>
  <c r="P12" i="86"/>
  <c r="F30" i="86"/>
  <c r="E30" i="86"/>
  <c r="D30" i="86"/>
  <c r="C30" i="86"/>
  <c r="F29" i="86"/>
  <c r="O15" i="86"/>
  <c r="D29" i="86"/>
  <c r="O13" i="86"/>
  <c r="C29" i="86"/>
  <c r="O12" i="86"/>
  <c r="H22" i="86"/>
  <c r="G22" i="86"/>
  <c r="F22" i="86"/>
  <c r="E22" i="86"/>
  <c r="E29" i="86"/>
  <c r="O14" i="86"/>
  <c r="D22" i="86"/>
  <c r="C22" i="86"/>
  <c r="X15" i="86"/>
  <c r="W15" i="86"/>
  <c r="V15" i="86"/>
  <c r="U15" i="86"/>
  <c r="T15" i="86"/>
  <c r="Q15" i="86"/>
  <c r="N15" i="86"/>
  <c r="L15" i="86"/>
  <c r="J15" i="86"/>
  <c r="X14" i="86"/>
  <c r="W14" i="86"/>
  <c r="V14" i="86"/>
  <c r="U14" i="86"/>
  <c r="T14" i="86"/>
  <c r="Q14" i="86"/>
  <c r="P14" i="86"/>
  <c r="N14" i="86"/>
  <c r="L14" i="86"/>
  <c r="J14" i="86"/>
  <c r="X13" i="86"/>
  <c r="W13" i="86"/>
  <c r="V13" i="86"/>
  <c r="U13" i="86"/>
  <c r="T13" i="86"/>
  <c r="Q13" i="86"/>
  <c r="N13" i="86"/>
  <c r="L13" i="86"/>
  <c r="J13" i="86"/>
  <c r="X12" i="86"/>
  <c r="W12" i="86"/>
  <c r="V12" i="86"/>
  <c r="U12" i="86"/>
  <c r="T12" i="86"/>
  <c r="Q12" i="86"/>
  <c r="N12" i="86"/>
  <c r="L12" i="86"/>
  <c r="K12" i="86"/>
  <c r="J12" i="86"/>
  <c r="J7" i="86"/>
  <c r="J6" i="86"/>
  <c r="I181" i="91"/>
  <c r="I177" i="91"/>
  <c r="I143" i="91"/>
  <c r="I131" i="91"/>
  <c r="I163" i="91"/>
  <c r="I168" i="91"/>
  <c r="I144" i="91"/>
  <c r="I151" i="91"/>
  <c r="I149" i="91"/>
  <c r="I160" i="91"/>
  <c r="I128" i="91"/>
  <c r="I127" i="91"/>
  <c r="I173" i="91"/>
  <c r="I171" i="91"/>
  <c r="I174" i="91"/>
  <c r="I126" i="91"/>
  <c r="I100" i="91"/>
  <c r="I120" i="91"/>
  <c r="I136" i="91"/>
  <c r="I108" i="91"/>
  <c r="I88" i="91"/>
  <c r="I137" i="91"/>
  <c r="I138" i="91"/>
  <c r="I90" i="91"/>
  <c r="I74" i="91"/>
  <c r="I72" i="91"/>
  <c r="I95" i="91"/>
  <c r="I147" i="91"/>
  <c r="I139" i="91"/>
  <c r="I87" i="91"/>
  <c r="I75" i="91"/>
  <c r="G56" i="91"/>
  <c r="I76" i="91"/>
  <c r="G10" i="91"/>
  <c r="I85" i="91"/>
  <c r="G22" i="91"/>
  <c r="G32" i="91"/>
  <c r="G14" i="91"/>
  <c r="I96" i="91"/>
  <c r="I73" i="91"/>
  <c r="I80" i="91"/>
  <c r="I78" i="91"/>
  <c r="G46" i="91"/>
  <c r="G18" i="91"/>
  <c r="G36" i="91"/>
  <c r="I66" i="91"/>
  <c r="I174" i="89"/>
  <c r="I140" i="89"/>
  <c r="I128" i="89"/>
  <c r="I167" i="89"/>
  <c r="I153" i="89"/>
  <c r="I143" i="89"/>
  <c r="I175" i="89"/>
  <c r="I168" i="89"/>
  <c r="I146" i="89"/>
  <c r="I132" i="89"/>
  <c r="I171" i="89"/>
  <c r="I159" i="89"/>
  <c r="I148" i="89"/>
  <c r="I145" i="89"/>
  <c r="I130" i="89"/>
  <c r="I116" i="89"/>
  <c r="I104" i="89"/>
  <c r="I124" i="89"/>
  <c r="I117" i="89"/>
  <c r="I107" i="89"/>
  <c r="I127" i="89"/>
  <c r="I106" i="89"/>
  <c r="I94" i="89"/>
  <c r="I86" i="89"/>
  <c r="I133" i="89"/>
  <c r="I121" i="89"/>
  <c r="I96" i="89"/>
  <c r="I111" i="89"/>
  <c r="I64" i="89"/>
  <c r="I136" i="89"/>
  <c r="I89" i="89"/>
  <c r="I120" i="89"/>
  <c r="I67" i="89"/>
  <c r="G62" i="89"/>
  <c r="I135" i="89"/>
  <c r="I108" i="89"/>
  <c r="I87" i="89"/>
  <c r="I122" i="89"/>
  <c r="I113" i="89"/>
  <c r="I109" i="89"/>
  <c r="I77" i="89"/>
  <c r="I65" i="89"/>
  <c r="G56" i="89"/>
  <c r="G10" i="89"/>
  <c r="I68" i="89"/>
  <c r="G38" i="89"/>
  <c r="G26" i="89"/>
  <c r="G36" i="89"/>
  <c r="G52" i="89"/>
  <c r="G34" i="89"/>
  <c r="G28" i="89"/>
  <c r="G22" i="89"/>
  <c r="I66" i="89"/>
  <c r="H214" i="89"/>
  <c r="D297" i="89"/>
  <c r="Y6" i="89" s="1"/>
  <c r="E296" i="89"/>
  <c r="D296" i="89"/>
  <c r="X6" i="89" s="1"/>
  <c r="D299" i="89"/>
  <c r="AA6" i="89" s="1"/>
  <c r="E298" i="89"/>
  <c r="E297" i="89"/>
  <c r="H198" i="88"/>
  <c r="E198" i="88" s="1"/>
  <c r="D198" i="88" s="1"/>
  <c r="D286" i="88" s="1"/>
  <c r="E301" i="88"/>
  <c r="E296" i="88"/>
  <c r="D296" i="88"/>
  <c r="X6" i="88" s="1"/>
  <c r="E299" i="88"/>
  <c r="D299" i="88"/>
  <c r="AA6" i="88" s="1"/>
  <c r="E297" i="88"/>
  <c r="E300" i="87"/>
  <c r="D298" i="87"/>
  <c r="Z6" i="87" s="1"/>
  <c r="O40" i="86"/>
  <c r="D57" i="86"/>
  <c r="E57" i="86"/>
  <c r="O41" i="86"/>
  <c r="E84" i="86"/>
  <c r="O68" i="86"/>
  <c r="O69" i="86"/>
  <c r="F84" i="86"/>
  <c r="C84" i="86"/>
  <c r="O66" i="86"/>
  <c r="O93" i="86"/>
  <c r="O96" i="86"/>
  <c r="F57" i="86"/>
  <c r="O94" i="86"/>
  <c r="O67" i="86"/>
  <c r="E111" i="86"/>
  <c r="H171" i="91"/>
  <c r="H192" i="91"/>
  <c r="H144" i="91"/>
  <c r="H188" i="91"/>
  <c r="H190" i="91" s="1"/>
  <c r="H96" i="91"/>
  <c r="H90" i="91"/>
  <c r="H129" i="91"/>
  <c r="H138" i="91"/>
  <c r="H61" i="91"/>
  <c r="H35" i="91"/>
  <c r="H75" i="91"/>
  <c r="H25" i="91"/>
  <c r="H37" i="91"/>
  <c r="H57" i="91"/>
  <c r="H49" i="91"/>
  <c r="H33" i="91"/>
  <c r="H23" i="91"/>
  <c r="H66" i="91"/>
  <c r="H111" i="91"/>
  <c r="H105" i="91"/>
  <c r="H29" i="91"/>
  <c r="H59" i="89"/>
  <c r="H33" i="89"/>
  <c r="E33" i="89" s="1"/>
  <c r="I176" i="88"/>
  <c r="I162" i="88"/>
  <c r="I181" i="88"/>
  <c r="I165" i="88"/>
  <c r="I155" i="88"/>
  <c r="I143" i="88"/>
  <c r="I129" i="88"/>
  <c r="I182" i="88"/>
  <c r="I175" i="88"/>
  <c r="I170" i="88"/>
  <c r="I158" i="88"/>
  <c r="I156" i="88"/>
  <c r="I154" i="88"/>
  <c r="I142" i="88"/>
  <c r="I130" i="88"/>
  <c r="I171" i="88"/>
  <c r="I125" i="88"/>
  <c r="I123" i="88"/>
  <c r="I111" i="88"/>
  <c r="I101" i="88"/>
  <c r="I159" i="88"/>
  <c r="I135" i="88"/>
  <c r="I133" i="88"/>
  <c r="I127" i="88"/>
  <c r="I121" i="88"/>
  <c r="I109" i="88"/>
  <c r="I145" i="88"/>
  <c r="I144" i="88"/>
  <c r="I137" i="88"/>
  <c r="I116" i="88"/>
  <c r="I102" i="88"/>
  <c r="I92" i="88"/>
  <c r="I90" i="88"/>
  <c r="I180" i="88"/>
  <c r="I157" i="88"/>
  <c r="I150" i="88"/>
  <c r="I149" i="88"/>
  <c r="I146" i="88"/>
  <c r="I140" i="88"/>
  <c r="I124" i="88"/>
  <c r="I100" i="88"/>
  <c r="I152" i="88"/>
  <c r="I119" i="88"/>
  <c r="I117" i="88"/>
  <c r="I105" i="88"/>
  <c r="I95" i="88"/>
  <c r="I93" i="88"/>
  <c r="I83" i="88"/>
  <c r="I173" i="88"/>
  <c r="I115" i="88"/>
  <c r="I120" i="88"/>
  <c r="I110" i="88"/>
  <c r="G62" i="88"/>
  <c r="G46" i="88"/>
  <c r="I94" i="88"/>
  <c r="I72" i="88"/>
  <c r="G36" i="88"/>
  <c r="G28" i="88"/>
  <c r="G16" i="88"/>
  <c r="G58" i="88"/>
  <c r="G26" i="88"/>
  <c r="I108" i="88"/>
  <c r="I77" i="88"/>
  <c r="I75" i="88"/>
  <c r="I65" i="88"/>
  <c r="G56" i="88"/>
  <c r="G40" i="88"/>
  <c r="G10" i="88"/>
  <c r="I96" i="88"/>
  <c r="I82" i="88"/>
  <c r="I73" i="88"/>
  <c r="G22" i="88"/>
  <c r="I122" i="88"/>
  <c r="I78" i="88"/>
  <c r="G60" i="88"/>
  <c r="I98" i="88"/>
  <c r="I76" i="88"/>
  <c r="I64" i="88"/>
  <c r="G42" i="88"/>
  <c r="G14" i="88"/>
  <c r="G12" i="88"/>
  <c r="G24" i="88"/>
  <c r="G32" i="88"/>
  <c r="I86" i="88"/>
  <c r="G20" i="88"/>
  <c r="H180" i="88"/>
  <c r="E180" i="88" s="1"/>
  <c r="D180" i="88" s="1"/>
  <c r="D277" i="88" s="1"/>
  <c r="H159" i="88"/>
  <c r="H191" i="88"/>
  <c r="E191" i="88" s="1"/>
  <c r="H174" i="88"/>
  <c r="H187" i="88"/>
  <c r="H141" i="88"/>
  <c r="E141" i="88" s="1"/>
  <c r="H132" i="88"/>
  <c r="H111" i="88"/>
  <c r="E111" i="88" s="1"/>
  <c r="D111" i="88" s="1"/>
  <c r="D254" i="88" s="1"/>
  <c r="H126" i="88"/>
  <c r="H105" i="88"/>
  <c r="E105" i="88" s="1"/>
  <c r="D105" i="88" s="1"/>
  <c r="D252" i="88" s="1"/>
  <c r="H93" i="88"/>
  <c r="E93" i="88" s="1"/>
  <c r="H39" i="88"/>
  <c r="E39" i="88" s="1"/>
  <c r="H84" i="88"/>
  <c r="H41" i="88"/>
  <c r="H99" i="88"/>
  <c r="E99" i="88" s="1"/>
  <c r="H51" i="88"/>
  <c r="E51" i="88" s="1"/>
  <c r="H31" i="88"/>
  <c r="H43" i="88"/>
  <c r="H19" i="88"/>
  <c r="H17" i="88"/>
  <c r="H78" i="88"/>
  <c r="E78" i="88" s="1"/>
  <c r="D78" i="88" s="1"/>
  <c r="D243" i="88" s="1"/>
  <c r="H55" i="88"/>
  <c r="H27" i="88"/>
  <c r="E27" i="88" s="1"/>
  <c r="H15" i="88"/>
  <c r="E15" i="88" s="1"/>
  <c r="H33" i="88"/>
  <c r="E33" i="88" s="1"/>
  <c r="D33" i="88" s="1"/>
  <c r="D233" i="88" s="1"/>
  <c r="H13" i="88"/>
  <c r="H75" i="88"/>
  <c r="H162" i="87"/>
  <c r="E162" i="87" s="1"/>
  <c r="H168" i="87"/>
  <c r="E168" i="87" s="1"/>
  <c r="D168" i="87" s="1"/>
  <c r="D273" i="87" s="1"/>
  <c r="H114" i="87"/>
  <c r="E114" i="87" s="1"/>
  <c r="D114" i="87" s="1"/>
  <c r="D255" i="87" s="1"/>
  <c r="H72" i="87"/>
  <c r="E72" i="87" s="1"/>
  <c r="D72" i="87" s="1"/>
  <c r="D241" i="87" s="1"/>
  <c r="H87" i="87"/>
  <c r="E87" i="87" s="1"/>
  <c r="H63" i="87"/>
  <c r="E63" i="87" s="1"/>
  <c r="D63" i="87" s="1"/>
  <c r="D238" i="87" s="1"/>
  <c r="H180" i="87"/>
  <c r="E180" i="87" s="1"/>
  <c r="H159" i="87"/>
  <c r="E159" i="87" s="1"/>
  <c r="I179" i="87"/>
  <c r="I169" i="87"/>
  <c r="I176" i="87"/>
  <c r="I162" i="87"/>
  <c r="I152" i="87"/>
  <c r="I150" i="87"/>
  <c r="I181" i="87"/>
  <c r="I172" i="87"/>
  <c r="I160" i="87"/>
  <c r="I177" i="87"/>
  <c r="I167" i="87"/>
  <c r="I155" i="87"/>
  <c r="I143" i="87"/>
  <c r="I129" i="87"/>
  <c r="I182" i="87"/>
  <c r="I170" i="87"/>
  <c r="I168" i="87"/>
  <c r="I158" i="87"/>
  <c r="I156" i="87"/>
  <c r="I146" i="87"/>
  <c r="I144" i="87"/>
  <c r="I132" i="87"/>
  <c r="I178" i="87"/>
  <c r="I166" i="87"/>
  <c r="I130" i="87"/>
  <c r="I157" i="87"/>
  <c r="I118" i="87"/>
  <c r="I106" i="87"/>
  <c r="I171" i="87"/>
  <c r="I161" i="87"/>
  <c r="I123" i="87"/>
  <c r="I135" i="87"/>
  <c r="I133" i="87"/>
  <c r="I127" i="87"/>
  <c r="I145" i="87"/>
  <c r="I138" i="87"/>
  <c r="I137" i="87"/>
  <c r="I136" i="87"/>
  <c r="I114" i="87"/>
  <c r="I104" i="87"/>
  <c r="I102" i="87"/>
  <c r="I90" i="87"/>
  <c r="I180" i="87"/>
  <c r="I159" i="87"/>
  <c r="I149" i="87"/>
  <c r="I126" i="87"/>
  <c r="I124" i="87"/>
  <c r="I112" i="87"/>
  <c r="I173" i="87"/>
  <c r="I122" i="87"/>
  <c r="I120" i="87"/>
  <c r="I110" i="87"/>
  <c r="I108" i="87"/>
  <c r="I96" i="87"/>
  <c r="I86" i="87"/>
  <c r="I84" i="87"/>
  <c r="I85" i="87"/>
  <c r="I76" i="87"/>
  <c r="I64" i="87"/>
  <c r="I101" i="87"/>
  <c r="I100" i="87"/>
  <c r="I71" i="87"/>
  <c r="I69" i="87"/>
  <c r="I119" i="87"/>
  <c r="I94" i="87"/>
  <c r="I79" i="87"/>
  <c r="I67" i="87"/>
  <c r="I88" i="87"/>
  <c r="I72" i="87"/>
  <c r="G44" i="87"/>
  <c r="G36" i="87"/>
  <c r="G28" i="87"/>
  <c r="I93" i="87"/>
  <c r="I83" i="87"/>
  <c r="I82" i="87"/>
  <c r="I70" i="87"/>
  <c r="I103" i="87"/>
  <c r="I77" i="87"/>
  <c r="I75" i="87"/>
  <c r="I117" i="87"/>
  <c r="I97" i="87"/>
  <c r="I81" i="87"/>
  <c r="I73" i="87"/>
  <c r="I121" i="87"/>
  <c r="I91" i="87"/>
  <c r="I78" i="87"/>
  <c r="I66" i="87"/>
  <c r="G60" i="87"/>
  <c r="G52" i="87"/>
  <c r="G18" i="87"/>
  <c r="G32" i="87"/>
  <c r="G26" i="87"/>
  <c r="G54" i="87"/>
  <c r="G10" i="87"/>
  <c r="G58" i="87"/>
  <c r="G30" i="87"/>
  <c r="G24" i="87"/>
  <c r="G20" i="87"/>
  <c r="G46" i="87"/>
  <c r="G40" i="87"/>
  <c r="G34" i="87"/>
  <c r="G22" i="87"/>
  <c r="G14" i="87"/>
  <c r="G12" i="87"/>
  <c r="G16" i="87"/>
  <c r="E132" i="88"/>
  <c r="D132" i="88" s="1"/>
  <c r="D261" i="88" s="1"/>
  <c r="E174" i="88"/>
  <c r="D174" i="88" s="1"/>
  <c r="D275" i="88" s="1"/>
  <c r="P192" i="85"/>
  <c r="L192" i="85"/>
  <c r="P191" i="85"/>
  <c r="L191" i="85"/>
  <c r="P188" i="85"/>
  <c r="P190" i="85" s="1"/>
  <c r="P187" i="85"/>
  <c r="P189" i="85" s="1"/>
  <c r="T2" i="85"/>
  <c r="S2" i="85"/>
  <c r="P192" i="84"/>
  <c r="L192" i="84"/>
  <c r="P191" i="84"/>
  <c r="L191" i="84"/>
  <c r="P188" i="84"/>
  <c r="P190" i="84" s="1"/>
  <c r="P187" i="84"/>
  <c r="P189" i="84" s="1"/>
  <c r="T2" i="84"/>
  <c r="S2" i="84"/>
  <c r="P192" i="83"/>
  <c r="L192" i="83"/>
  <c r="P191" i="83"/>
  <c r="L191" i="83"/>
  <c r="P188" i="83"/>
  <c r="P190" i="83" s="1"/>
  <c r="P187" i="83"/>
  <c r="P189" i="83" s="1"/>
  <c r="I77" i="83"/>
  <c r="T2" i="83"/>
  <c r="S2" i="83"/>
  <c r="P192" i="82"/>
  <c r="L192" i="82"/>
  <c r="P191" i="82"/>
  <c r="L191" i="82"/>
  <c r="P188" i="82"/>
  <c r="P190" i="82" s="1"/>
  <c r="P187" i="82"/>
  <c r="P189" i="82" s="1"/>
  <c r="T2" i="82"/>
  <c r="S2" i="82"/>
  <c r="P192" i="81"/>
  <c r="L192" i="81"/>
  <c r="P191" i="81"/>
  <c r="L191" i="81"/>
  <c r="P188" i="81"/>
  <c r="P190" i="81" s="1"/>
  <c r="P187" i="81"/>
  <c r="P189" i="81" s="1"/>
  <c r="H214" i="81"/>
  <c r="T2" i="81"/>
  <c r="S2" i="81"/>
  <c r="AD49" i="73"/>
  <c r="AD47" i="73"/>
  <c r="AD44" i="73"/>
  <c r="AC49" i="73"/>
  <c r="AC47" i="73"/>
  <c r="AC44" i="73"/>
  <c r="AB49" i="73"/>
  <c r="AB47" i="73"/>
  <c r="AB44" i="73"/>
  <c r="X39" i="73"/>
  <c r="Y47" i="73"/>
  <c r="X40" i="73"/>
  <c r="Y49" i="73"/>
  <c r="X38" i="73"/>
  <c r="Y44" i="73"/>
  <c r="X50" i="73"/>
  <c r="X48" i="73"/>
  <c r="X45" i="73"/>
  <c r="Y38" i="73"/>
  <c r="AG46" i="73"/>
  <c r="X23" i="73"/>
  <c r="Y23" i="73"/>
  <c r="X24" i="73"/>
  <c r="Y24" i="73"/>
  <c r="X22" i="73"/>
  <c r="Y22" i="73"/>
  <c r="W40" i="73"/>
  <c r="W39" i="73"/>
  <c r="W38" i="73"/>
  <c r="V40" i="73"/>
  <c r="V39" i="73"/>
  <c r="V38" i="73"/>
  <c r="U40" i="73"/>
  <c r="U39" i="73"/>
  <c r="U38" i="73"/>
  <c r="T40" i="73"/>
  <c r="T39" i="73"/>
  <c r="T38" i="73"/>
  <c r="R39" i="73"/>
  <c r="R40" i="73"/>
  <c r="R38" i="73"/>
  <c r="Q39" i="73"/>
  <c r="Q40" i="73"/>
  <c r="Q38" i="73"/>
  <c r="AD33" i="73"/>
  <c r="AC33" i="73"/>
  <c r="AB33" i="73"/>
  <c r="AD31" i="73"/>
  <c r="AC31" i="73"/>
  <c r="AB31" i="73"/>
  <c r="Y33" i="73"/>
  <c r="Y31" i="73"/>
  <c r="Y28" i="73"/>
  <c r="X34" i="73"/>
  <c r="X32" i="73"/>
  <c r="AD28" i="73"/>
  <c r="AC28" i="73"/>
  <c r="X29" i="73"/>
  <c r="AB28" i="73"/>
  <c r="W24" i="73"/>
  <c r="W23" i="73"/>
  <c r="V24" i="73"/>
  <c r="V23" i="73"/>
  <c r="V22" i="73"/>
  <c r="U24" i="73"/>
  <c r="U23" i="73"/>
  <c r="U22" i="73"/>
  <c r="T24" i="73"/>
  <c r="T23" i="73"/>
  <c r="S23" i="73"/>
  <c r="S24" i="73"/>
  <c r="Q23" i="73"/>
  <c r="Q24" i="73"/>
  <c r="Q22" i="73"/>
  <c r="R24" i="73"/>
  <c r="R23" i="73"/>
  <c r="R22" i="73"/>
  <c r="P17" i="73"/>
  <c r="P18" i="73"/>
  <c r="H194" i="85"/>
  <c r="E194" i="85" s="1"/>
  <c r="E301" i="85"/>
  <c r="D297" i="85"/>
  <c r="Y6" i="85" s="1"/>
  <c r="E296" i="85"/>
  <c r="D300" i="85"/>
  <c r="AB6" i="85" s="1"/>
  <c r="D296" i="85"/>
  <c r="X6" i="85" s="1"/>
  <c r="D299" i="85"/>
  <c r="AA6" i="85" s="1"/>
  <c r="D298" i="85"/>
  <c r="Z6" i="85" s="1"/>
  <c r="E298" i="85"/>
  <c r="E301" i="84"/>
  <c r="D297" i="84"/>
  <c r="Y6" i="84" s="1"/>
  <c r="E300" i="84"/>
  <c r="E296" i="84"/>
  <c r="D300" i="84"/>
  <c r="AB6" i="84" s="1"/>
  <c r="D296" i="84"/>
  <c r="X6" i="84" s="1"/>
  <c r="D299" i="84"/>
  <c r="AA6" i="84" s="1"/>
  <c r="E297" i="84"/>
  <c r="E298" i="84"/>
  <c r="G18" i="83"/>
  <c r="H194" i="83"/>
  <c r="H198" i="83"/>
  <c r="G56" i="83"/>
  <c r="I68" i="83"/>
  <c r="I78" i="83"/>
  <c r="I66" i="83"/>
  <c r="I111" i="83"/>
  <c r="H214" i="83"/>
  <c r="G22" i="83"/>
  <c r="G28" i="83"/>
  <c r="I101" i="83"/>
  <c r="G60" i="83"/>
  <c r="I65" i="83"/>
  <c r="I75" i="83"/>
  <c r="G54" i="83"/>
  <c r="G14" i="83"/>
  <c r="G30" i="83"/>
  <c r="I179" i="83"/>
  <c r="I157" i="83"/>
  <c r="I176" i="83"/>
  <c r="I172" i="83"/>
  <c r="I165" i="83"/>
  <c r="I155" i="83"/>
  <c r="I143" i="83"/>
  <c r="I141" i="83"/>
  <c r="I131" i="83"/>
  <c r="I182" i="83"/>
  <c r="I175" i="83"/>
  <c r="I163" i="83"/>
  <c r="I170" i="83"/>
  <c r="I168" i="83"/>
  <c r="I158" i="83"/>
  <c r="I144" i="83"/>
  <c r="I178" i="83"/>
  <c r="I142" i="83"/>
  <c r="I130" i="83"/>
  <c r="I125" i="83"/>
  <c r="I164" i="83"/>
  <c r="I162" i="83"/>
  <c r="I133" i="83"/>
  <c r="I128" i="83"/>
  <c r="I121" i="83"/>
  <c r="I147" i="83"/>
  <c r="I145" i="83"/>
  <c r="I139" i="83"/>
  <c r="I138" i="83"/>
  <c r="I137" i="83"/>
  <c r="I136" i="83"/>
  <c r="I132" i="83"/>
  <c r="I116" i="83"/>
  <c r="I114" i="83"/>
  <c r="I151" i="83"/>
  <c r="I150" i="83"/>
  <c r="I148" i="83"/>
  <c r="I140" i="83"/>
  <c r="I126" i="83"/>
  <c r="I100" i="83"/>
  <c r="I88" i="83"/>
  <c r="I180" i="83"/>
  <c r="I152" i="83"/>
  <c r="I119" i="83"/>
  <c r="I107" i="83"/>
  <c r="I95" i="83"/>
  <c r="I115" i="83"/>
  <c r="I103" i="83"/>
  <c r="I122" i="83"/>
  <c r="I120" i="83"/>
  <c r="I110" i="83"/>
  <c r="I108" i="83"/>
  <c r="I98" i="83"/>
  <c r="I86" i="83"/>
  <c r="I84" i="83"/>
  <c r="I99" i="83"/>
  <c r="I87" i="83"/>
  <c r="I73" i="83"/>
  <c r="I104" i="83"/>
  <c r="I118" i="83"/>
  <c r="I94" i="83"/>
  <c r="I83" i="83"/>
  <c r="I71" i="83"/>
  <c r="G32" i="83"/>
  <c r="G24" i="83"/>
  <c r="G20" i="83"/>
  <c r="I79" i="83"/>
  <c r="I67" i="83"/>
  <c r="I74" i="83"/>
  <c r="I72" i="83"/>
  <c r="G44" i="83"/>
  <c r="I106" i="83"/>
  <c r="I82" i="83"/>
  <c r="I70" i="83"/>
  <c r="G58" i="83"/>
  <c r="G26" i="83"/>
  <c r="G46" i="83"/>
  <c r="G50" i="83"/>
  <c r="I64" i="83"/>
  <c r="G48" i="83"/>
  <c r="G34" i="83"/>
  <c r="I63" i="83"/>
  <c r="E301" i="82"/>
  <c r="E300" i="82"/>
  <c r="E296" i="82"/>
  <c r="E299" i="82"/>
  <c r="D299" i="82"/>
  <c r="AA6" i="82" s="1"/>
  <c r="D298" i="82"/>
  <c r="Z6" i="82" s="1"/>
  <c r="E298" i="82"/>
  <c r="E297" i="82"/>
  <c r="H198" i="81"/>
  <c r="E198" i="81" s="1"/>
  <c r="D297" i="81"/>
  <c r="Y6" i="81" s="1"/>
  <c r="E300" i="81"/>
  <c r="D300" i="81"/>
  <c r="AB6" i="81" s="1"/>
  <c r="D299" i="81"/>
  <c r="AA6" i="81" s="1"/>
  <c r="E298" i="81"/>
  <c r="D298" i="81"/>
  <c r="Z6" i="81" s="1"/>
  <c r="E297" i="81"/>
  <c r="Y40" i="73"/>
  <c r="Y39" i="73"/>
  <c r="AG30" i="73"/>
  <c r="S40" i="73"/>
  <c r="S38" i="73"/>
  <c r="S39" i="73"/>
  <c r="S22" i="73"/>
  <c r="T22" i="73"/>
  <c r="H114" i="85"/>
  <c r="E114" i="85" s="1"/>
  <c r="H120" i="85"/>
  <c r="E120" i="85" s="1"/>
  <c r="D120" i="85" s="1"/>
  <c r="D257" i="85" s="1"/>
  <c r="H72" i="85"/>
  <c r="E72" i="85" s="1"/>
  <c r="D72" i="85" s="1"/>
  <c r="D241" i="85" s="1"/>
  <c r="H135" i="85"/>
  <c r="E135" i="85" s="1"/>
  <c r="H63" i="85"/>
  <c r="H168" i="85"/>
  <c r="E168" i="85" s="1"/>
  <c r="I179" i="85"/>
  <c r="I176" i="85"/>
  <c r="I174" i="85"/>
  <c r="I162" i="85"/>
  <c r="I152" i="85"/>
  <c r="I150" i="85"/>
  <c r="I181" i="85"/>
  <c r="I172" i="85"/>
  <c r="I160" i="85"/>
  <c r="I148" i="85"/>
  <c r="I167" i="85"/>
  <c r="I165" i="85"/>
  <c r="I155" i="85"/>
  <c r="I153" i="85"/>
  <c r="I143" i="85"/>
  <c r="I141" i="85"/>
  <c r="I131" i="85"/>
  <c r="I182" i="85"/>
  <c r="I175" i="85"/>
  <c r="I163" i="85"/>
  <c r="I139" i="85"/>
  <c r="I166" i="85"/>
  <c r="I154" i="85"/>
  <c r="I142" i="85"/>
  <c r="I130" i="85"/>
  <c r="I157" i="85"/>
  <c r="I126" i="85"/>
  <c r="I124" i="85"/>
  <c r="I112" i="85"/>
  <c r="I119" i="85"/>
  <c r="I117" i="85"/>
  <c r="I105" i="85"/>
  <c r="I95" i="85"/>
  <c r="I93" i="85"/>
  <c r="I83" i="85"/>
  <c r="I170" i="85"/>
  <c r="I145" i="85"/>
  <c r="I115" i="85"/>
  <c r="I180" i="85"/>
  <c r="I168" i="85"/>
  <c r="I128" i="85"/>
  <c r="I122" i="85"/>
  <c r="I120" i="85"/>
  <c r="I98" i="85"/>
  <c r="I96" i="85"/>
  <c r="I156" i="85"/>
  <c r="I146" i="85"/>
  <c r="I135" i="85"/>
  <c r="I133" i="85"/>
  <c r="I127" i="85"/>
  <c r="I118" i="85"/>
  <c r="I106" i="85"/>
  <c r="I109" i="85"/>
  <c r="I97" i="85"/>
  <c r="I102" i="85"/>
  <c r="I92" i="85"/>
  <c r="I80" i="85"/>
  <c r="I78" i="85"/>
  <c r="I68" i="85"/>
  <c r="I66" i="85"/>
  <c r="G60" i="85"/>
  <c r="G52" i="85"/>
  <c r="I134" i="85"/>
  <c r="I86" i="85"/>
  <c r="I64" i="85"/>
  <c r="I169" i="85"/>
  <c r="I94" i="85"/>
  <c r="I81" i="85"/>
  <c r="I71" i="85"/>
  <c r="I69" i="85"/>
  <c r="G32" i="85"/>
  <c r="G24" i="85"/>
  <c r="I137" i="85"/>
  <c r="I111" i="85"/>
  <c r="I99" i="85"/>
  <c r="I67" i="85"/>
  <c r="G62" i="85"/>
  <c r="G54" i="85"/>
  <c r="G46" i="85"/>
  <c r="G18" i="85"/>
  <c r="I147" i="85"/>
  <c r="I116" i="85"/>
  <c r="I104" i="85"/>
  <c r="I90" i="85"/>
  <c r="I136" i="85"/>
  <c r="I173" i="85"/>
  <c r="I75" i="85"/>
  <c r="I65" i="85"/>
  <c r="I63" i="85"/>
  <c r="G48" i="85"/>
  <c r="G40" i="85"/>
  <c r="I171" i="85"/>
  <c r="I101" i="85"/>
  <c r="I74" i="85"/>
  <c r="I72" i="85"/>
  <c r="I125" i="85"/>
  <c r="I123" i="85"/>
  <c r="I113" i="85"/>
  <c r="G42" i="85"/>
  <c r="G22" i="85"/>
  <c r="G16" i="85"/>
  <c r="G44" i="85"/>
  <c r="G28" i="85"/>
  <c r="I73" i="85"/>
  <c r="G26" i="85"/>
  <c r="I87" i="85"/>
  <c r="G30" i="85"/>
  <c r="G36" i="85"/>
  <c r="G14" i="85"/>
  <c r="I91" i="85"/>
  <c r="G50" i="85"/>
  <c r="G34" i="85"/>
  <c r="G12" i="85"/>
  <c r="H135" i="84"/>
  <c r="E135" i="84" s="1"/>
  <c r="H162" i="84"/>
  <c r="E162" i="84" s="1"/>
  <c r="D271" i="84" s="1"/>
  <c r="H168" i="84"/>
  <c r="H114" i="84"/>
  <c r="E114" i="84" s="1"/>
  <c r="D114" i="84" s="1"/>
  <c r="D255" i="84" s="1"/>
  <c r="H120" i="84"/>
  <c r="E120" i="84" s="1"/>
  <c r="H87" i="84"/>
  <c r="H72" i="84"/>
  <c r="E72" i="84" s="1"/>
  <c r="D72" i="84" s="1"/>
  <c r="D241" i="84" s="1"/>
  <c r="H63" i="84"/>
  <c r="E63" i="84" s="1"/>
  <c r="D63" i="84" s="1"/>
  <c r="D238" i="84" s="1"/>
  <c r="H171" i="84"/>
  <c r="E171" i="84" s="1"/>
  <c r="H177" i="84"/>
  <c r="E177" i="84" s="1"/>
  <c r="D177" i="84" s="1"/>
  <c r="D276" i="84" s="1"/>
  <c r="H156" i="84"/>
  <c r="E156" i="84" s="1"/>
  <c r="D156" i="84" s="1"/>
  <c r="D269" i="84" s="1"/>
  <c r="H144" i="84"/>
  <c r="E144" i="84" s="1"/>
  <c r="D144" i="84" s="1"/>
  <c r="D265" i="84" s="1"/>
  <c r="H188" i="84"/>
  <c r="H129" i="84"/>
  <c r="E129" i="84" s="1"/>
  <c r="D129" i="84" s="1"/>
  <c r="D260" i="84" s="1"/>
  <c r="H81" i="84"/>
  <c r="E81" i="84" s="1"/>
  <c r="D81" i="84" s="1"/>
  <c r="D244" i="84" s="1"/>
  <c r="H138" i="84"/>
  <c r="E138" i="84" s="1"/>
  <c r="H90" i="84"/>
  <c r="E90" i="84" s="1"/>
  <c r="H69" i="84"/>
  <c r="E69" i="84" s="1"/>
  <c r="D69" i="84" s="1"/>
  <c r="D240" i="84" s="1"/>
  <c r="H108" i="84"/>
  <c r="E108" i="84" s="1"/>
  <c r="D108" i="84" s="1"/>
  <c r="D253" i="84" s="1"/>
  <c r="H102" i="84"/>
  <c r="E102" i="84" s="1"/>
  <c r="D102" i="84" s="1"/>
  <c r="D251" i="84" s="1"/>
  <c r="H35" i="84"/>
  <c r="H96" i="84"/>
  <c r="E96" i="84" s="1"/>
  <c r="D96" i="84" s="1"/>
  <c r="D249" i="84" s="1"/>
  <c r="H25" i="84"/>
  <c r="H66" i="84"/>
  <c r="E66" i="84" s="1"/>
  <c r="H9" i="84"/>
  <c r="E9" i="84" s="1"/>
  <c r="H13" i="84"/>
  <c r="H23" i="84"/>
  <c r="H49" i="84"/>
  <c r="H21" i="84"/>
  <c r="E21" i="84" s="1"/>
  <c r="D21" i="84" s="1"/>
  <c r="D231" i="84" s="1"/>
  <c r="H11" i="84"/>
  <c r="H33" i="84"/>
  <c r="H153" i="83"/>
  <c r="H132" i="83"/>
  <c r="H111" i="83"/>
  <c r="H168" i="83"/>
  <c r="H87" i="83"/>
  <c r="H162" i="83"/>
  <c r="H135" i="83"/>
  <c r="H114" i="83"/>
  <c r="H120" i="83"/>
  <c r="H72" i="83"/>
  <c r="H63" i="83"/>
  <c r="H192" i="83"/>
  <c r="H165" i="83"/>
  <c r="H156" i="83"/>
  <c r="H123" i="83"/>
  <c r="H138" i="83"/>
  <c r="H90" i="83"/>
  <c r="H150" i="83"/>
  <c r="H117" i="83"/>
  <c r="H129" i="83"/>
  <c r="H37" i="83"/>
  <c r="H81" i="83"/>
  <c r="H69" i="83"/>
  <c r="H23" i="83"/>
  <c r="H96" i="83"/>
  <c r="H47" i="83"/>
  <c r="H11" i="83"/>
  <c r="H61" i="83"/>
  <c r="H45" i="83"/>
  <c r="H25" i="83"/>
  <c r="H59" i="83"/>
  <c r="H33" i="83"/>
  <c r="H35" i="83"/>
  <c r="H13" i="83"/>
  <c r="H21" i="83"/>
  <c r="H171" i="82"/>
  <c r="E171" i="82" s="1"/>
  <c r="D171" i="82" s="1"/>
  <c r="D274" i="82" s="1"/>
  <c r="H192" i="82"/>
  <c r="H165" i="82"/>
  <c r="E165" i="82" s="1"/>
  <c r="D165" i="82" s="1"/>
  <c r="D272" i="82" s="1"/>
  <c r="H156" i="82"/>
  <c r="E156" i="82" s="1"/>
  <c r="D156" i="82" s="1"/>
  <c r="D269" i="82" s="1"/>
  <c r="H144" i="82"/>
  <c r="H117" i="82"/>
  <c r="E117" i="82" s="1"/>
  <c r="D117" i="82" s="1"/>
  <c r="D256" i="82" s="1"/>
  <c r="H188" i="82"/>
  <c r="H150" i="82"/>
  <c r="E150" i="82" s="1"/>
  <c r="D150" i="82" s="1"/>
  <c r="D267" i="82" s="1"/>
  <c r="H108" i="82"/>
  <c r="E108" i="82" s="1"/>
  <c r="D108" i="82" s="1"/>
  <c r="D253" i="82" s="1"/>
  <c r="H96" i="82"/>
  <c r="E96" i="82" s="1"/>
  <c r="D96" i="82" s="1"/>
  <c r="D249" i="82" s="1"/>
  <c r="H123" i="82"/>
  <c r="E123" i="82" s="1"/>
  <c r="D123" i="82" s="1"/>
  <c r="D258" i="82" s="1"/>
  <c r="H66" i="82"/>
  <c r="H57" i="82"/>
  <c r="E57" i="82" s="1"/>
  <c r="D57" i="82" s="1"/>
  <c r="D237" i="82" s="1"/>
  <c r="H37" i="82"/>
  <c r="H102" i="82"/>
  <c r="E102" i="82" s="1"/>
  <c r="H81" i="82"/>
  <c r="E81" i="82" s="1"/>
  <c r="H69" i="82"/>
  <c r="E69" i="82" s="1"/>
  <c r="D69" i="82" s="1"/>
  <c r="D240" i="82" s="1"/>
  <c r="H59" i="82"/>
  <c r="H49" i="82"/>
  <c r="H13" i="82"/>
  <c r="H61" i="82"/>
  <c r="H25" i="82"/>
  <c r="H47" i="82"/>
  <c r="H35" i="82"/>
  <c r="H21" i="82"/>
  <c r="H23" i="82"/>
  <c r="H90" i="82"/>
  <c r="E90" i="82" s="1"/>
  <c r="D90" i="82" s="1"/>
  <c r="D247" i="82" s="1"/>
  <c r="H45" i="82"/>
  <c r="H33" i="82"/>
  <c r="E33" i="82" s="1"/>
  <c r="I150" i="82"/>
  <c r="I172" i="82"/>
  <c r="I154" i="82"/>
  <c r="I146" i="82"/>
  <c r="I130" i="82"/>
  <c r="I168" i="82"/>
  <c r="I100" i="82"/>
  <c r="I73" i="82"/>
  <c r="I88" i="82"/>
  <c r="I64" i="82"/>
  <c r="I79" i="82"/>
  <c r="G54" i="82"/>
  <c r="G12" i="82"/>
  <c r="G58" i="82"/>
  <c r="G16" i="82"/>
  <c r="H162" i="82"/>
  <c r="E162" i="82" s="1"/>
  <c r="D162" i="82" s="1"/>
  <c r="D271" i="82" s="1"/>
  <c r="H120" i="82"/>
  <c r="H135" i="82"/>
  <c r="E135" i="82" s="1"/>
  <c r="H114" i="82"/>
  <c r="H72" i="82"/>
  <c r="H63" i="82"/>
  <c r="H180" i="82"/>
  <c r="H159" i="82"/>
  <c r="E159" i="82" s="1"/>
  <c r="H191" i="82"/>
  <c r="E191" i="82" s="1"/>
  <c r="D191" i="82" s="1"/>
  <c r="D283" i="82" s="1"/>
  <c r="H174" i="82"/>
  <c r="E174" i="82" s="1"/>
  <c r="D174" i="82" s="1"/>
  <c r="D275" i="82" s="1"/>
  <c r="H187" i="82"/>
  <c r="H189" i="82" s="1"/>
  <c r="H153" i="82"/>
  <c r="H126" i="82"/>
  <c r="E126" i="82" s="1"/>
  <c r="H141" i="82"/>
  <c r="E141" i="82" s="1"/>
  <c r="D141" i="82" s="1"/>
  <c r="D264" i="82" s="1"/>
  <c r="H105" i="82"/>
  <c r="H132" i="82"/>
  <c r="H111" i="82"/>
  <c r="E111" i="82" s="1"/>
  <c r="D111" i="82" s="1"/>
  <c r="D254" i="82" s="1"/>
  <c r="H99" i="82"/>
  <c r="E99" i="82" s="1"/>
  <c r="H147" i="82"/>
  <c r="E147" i="82" s="1"/>
  <c r="H78" i="82"/>
  <c r="E78" i="82" s="1"/>
  <c r="D78" i="82" s="1"/>
  <c r="D243" i="82" s="1"/>
  <c r="H29" i="82"/>
  <c r="H39" i="82"/>
  <c r="E39" i="82" s="1"/>
  <c r="D39" i="82" s="1"/>
  <c r="D234" i="82" s="1"/>
  <c r="H27" i="82"/>
  <c r="H17" i="82"/>
  <c r="H84" i="82"/>
  <c r="E84" i="82" s="1"/>
  <c r="H51" i="82"/>
  <c r="H93" i="82"/>
  <c r="E93" i="82" s="1"/>
  <c r="D93" i="82" s="1"/>
  <c r="D248" i="82" s="1"/>
  <c r="H19" i="82"/>
  <c r="H55" i="82"/>
  <c r="H43" i="82"/>
  <c r="H31" i="82"/>
  <c r="H53" i="82"/>
  <c r="H41" i="82"/>
  <c r="H15" i="82"/>
  <c r="E15" i="82" s="1"/>
  <c r="H171" i="81"/>
  <c r="H156" i="81"/>
  <c r="E156" i="81" s="1"/>
  <c r="D156" i="81" s="1"/>
  <c r="D269" i="81" s="1"/>
  <c r="H144" i="81"/>
  <c r="E144" i="81" s="1"/>
  <c r="D144" i="81" s="1"/>
  <c r="D265" i="81" s="1"/>
  <c r="H188" i="81"/>
  <c r="H150" i="81"/>
  <c r="E150" i="81" s="1"/>
  <c r="D150" i="81" s="1"/>
  <c r="D267" i="81" s="1"/>
  <c r="H192" i="81"/>
  <c r="E192" i="81" s="1"/>
  <c r="H129" i="81"/>
  <c r="E129" i="81" s="1"/>
  <c r="D129" i="81" s="1"/>
  <c r="D260" i="81" s="1"/>
  <c r="H102" i="81"/>
  <c r="E102" i="81" s="1"/>
  <c r="D102" i="81" s="1"/>
  <c r="D251" i="81" s="1"/>
  <c r="H165" i="81"/>
  <c r="E165" i="81" s="1"/>
  <c r="H117" i="81"/>
  <c r="E117" i="81" s="1"/>
  <c r="D117" i="81" s="1"/>
  <c r="D256" i="81" s="1"/>
  <c r="H81" i="81"/>
  <c r="E81" i="81" s="1"/>
  <c r="H57" i="81"/>
  <c r="E57" i="81" s="1"/>
  <c r="H37" i="81"/>
  <c r="H49" i="81"/>
  <c r="H61" i="81"/>
  <c r="H96" i="81"/>
  <c r="E96" i="81" s="1"/>
  <c r="D96" i="81" s="1"/>
  <c r="D249" i="81" s="1"/>
  <c r="H90" i="81"/>
  <c r="E90" i="81" s="1"/>
  <c r="H75" i="81"/>
  <c r="E75" i="81" s="1"/>
  <c r="H59" i="81"/>
  <c r="H47" i="81"/>
  <c r="H23" i="81"/>
  <c r="H13" i="81"/>
  <c r="H35" i="81"/>
  <c r="H25" i="81"/>
  <c r="H45" i="81"/>
  <c r="E45" i="81" s="1"/>
  <c r="H33" i="81"/>
  <c r="E33" i="81" s="1"/>
  <c r="H11" i="81"/>
  <c r="H66" i="81"/>
  <c r="E66" i="81" s="1"/>
  <c r="D66" i="81" s="1"/>
  <c r="D239" i="81" s="1"/>
  <c r="H21" i="81"/>
  <c r="E21" i="81" s="1"/>
  <c r="D21" i="81" s="1"/>
  <c r="D231" i="81" s="1"/>
  <c r="H162" i="81"/>
  <c r="E162" i="81" s="1"/>
  <c r="H168" i="81"/>
  <c r="H135" i="81"/>
  <c r="H114" i="81"/>
  <c r="E114" i="81" s="1"/>
  <c r="D114" i="81" s="1"/>
  <c r="D255" i="81" s="1"/>
  <c r="H87" i="81"/>
  <c r="E87" i="81" s="1"/>
  <c r="D87" i="81" s="1"/>
  <c r="D246" i="81" s="1"/>
  <c r="H120" i="81"/>
  <c r="E120" i="81" s="1"/>
  <c r="H72" i="81"/>
  <c r="E72" i="81" s="1"/>
  <c r="H63" i="81"/>
  <c r="E63" i="81" s="1"/>
  <c r="D63" i="81" s="1"/>
  <c r="D238" i="81" s="1"/>
  <c r="H180" i="81"/>
  <c r="E180" i="81" s="1"/>
  <c r="H147" i="81"/>
  <c r="E147" i="81" s="1"/>
  <c r="D147" i="81" s="1"/>
  <c r="D266" i="81" s="1"/>
  <c r="H191" i="81"/>
  <c r="E191" i="81" s="1"/>
  <c r="H174" i="81"/>
  <c r="E174" i="81" s="1"/>
  <c r="H132" i="81"/>
  <c r="H187" i="81"/>
  <c r="H126" i="81"/>
  <c r="E126" i="81" s="1"/>
  <c r="H105" i="81"/>
  <c r="E105" i="81" s="1"/>
  <c r="H111" i="81"/>
  <c r="E111" i="81" s="1"/>
  <c r="D111" i="81" s="1"/>
  <c r="D254" i="81" s="1"/>
  <c r="H29" i="81"/>
  <c r="H41" i="81"/>
  <c r="H51" i="81"/>
  <c r="E51" i="81" s="1"/>
  <c r="D51" i="81" s="1"/>
  <c r="D236" i="81" s="1"/>
  <c r="H53" i="81"/>
  <c r="H43" i="81"/>
  <c r="H31" i="81"/>
  <c r="H19" i="81"/>
  <c r="H55" i="81"/>
  <c r="H17" i="81"/>
  <c r="H15" i="81"/>
  <c r="E15" i="81" s="1"/>
  <c r="W22" i="73"/>
  <c r="H177" i="74"/>
  <c r="E177" i="74" s="1"/>
  <c r="I177" i="74"/>
  <c r="I176" i="74"/>
  <c r="I175" i="74"/>
  <c r="I174" i="74"/>
  <c r="I173" i="74"/>
  <c r="I172" i="74"/>
  <c r="I171" i="74"/>
  <c r="H171" i="74"/>
  <c r="E171" i="74" s="1"/>
  <c r="D171" i="74" s="1"/>
  <c r="D274" i="74" s="1"/>
  <c r="I169" i="74"/>
  <c r="I168" i="74"/>
  <c r="H168" i="74"/>
  <c r="E168" i="74" s="1"/>
  <c r="P90" i="79"/>
  <c r="AE90" i="79"/>
  <c r="P11" i="79"/>
  <c r="AE11" i="79"/>
  <c r="AR93" i="79"/>
  <c r="AP93" i="79"/>
  <c r="AN93" i="79"/>
  <c r="AL93" i="79"/>
  <c r="AJ93" i="79"/>
  <c r="F113" i="79"/>
  <c r="E113" i="79"/>
  <c r="D113" i="79"/>
  <c r="C113" i="79"/>
  <c r="F112" i="79"/>
  <c r="E112" i="79"/>
  <c r="D112" i="79"/>
  <c r="C112" i="79"/>
  <c r="E111" i="79"/>
  <c r="F110" i="79"/>
  <c r="E110" i="79"/>
  <c r="D110" i="79"/>
  <c r="C110" i="79"/>
  <c r="F108" i="79"/>
  <c r="E108" i="79"/>
  <c r="D108" i="79"/>
  <c r="C108" i="79"/>
  <c r="J94" i="79"/>
  <c r="I94" i="79"/>
  <c r="H94" i="79"/>
  <c r="G94" i="79"/>
  <c r="F94" i="79"/>
  <c r="E94" i="79"/>
  <c r="D94" i="79"/>
  <c r="C94" i="79"/>
  <c r="J93" i="79"/>
  <c r="H93" i="79"/>
  <c r="F93" i="79"/>
  <c r="E93" i="79"/>
  <c r="D93" i="79"/>
  <c r="C93" i="79"/>
  <c r="I91" i="79"/>
  <c r="H91" i="79"/>
  <c r="G91" i="79"/>
  <c r="F91" i="79"/>
  <c r="E91" i="79"/>
  <c r="D91" i="79"/>
  <c r="C91" i="79"/>
  <c r="J90" i="79"/>
  <c r="J91" i="79"/>
  <c r="H90" i="79"/>
  <c r="F34" i="79"/>
  <c r="E34" i="79"/>
  <c r="D34" i="79"/>
  <c r="C34" i="79"/>
  <c r="F33" i="79"/>
  <c r="E33" i="79"/>
  <c r="D33" i="79"/>
  <c r="C33" i="79"/>
  <c r="E32" i="79"/>
  <c r="F31" i="79"/>
  <c r="E31" i="79"/>
  <c r="D31" i="79"/>
  <c r="C31" i="79"/>
  <c r="J15" i="79"/>
  <c r="I15" i="79"/>
  <c r="H15" i="79"/>
  <c r="G15" i="79"/>
  <c r="F15" i="79"/>
  <c r="E15" i="79"/>
  <c r="D15" i="79"/>
  <c r="C15" i="79"/>
  <c r="J14" i="79"/>
  <c r="H14" i="79"/>
  <c r="F14" i="79"/>
  <c r="E14" i="79"/>
  <c r="D14" i="79"/>
  <c r="C14" i="79"/>
  <c r="I12" i="79"/>
  <c r="H12" i="79"/>
  <c r="G12" i="79"/>
  <c r="F12" i="79"/>
  <c r="E12" i="79"/>
  <c r="D12" i="79"/>
  <c r="C12" i="79"/>
  <c r="J11" i="79"/>
  <c r="J12" i="79"/>
  <c r="H11" i="79"/>
  <c r="E63" i="85"/>
  <c r="D63" i="85" s="1"/>
  <c r="D238" i="85" s="1"/>
  <c r="E153" i="82"/>
  <c r="T18" i="73"/>
  <c r="F128" i="79"/>
  <c r="W121" i="79"/>
  <c r="F127" i="79"/>
  <c r="V121" i="79"/>
  <c r="D127" i="79"/>
  <c r="V119" i="79"/>
  <c r="C127" i="79"/>
  <c r="V118" i="79"/>
  <c r="F125" i="79"/>
  <c r="F126" i="79"/>
  <c r="E125" i="79"/>
  <c r="E126" i="79"/>
  <c r="D125" i="79"/>
  <c r="D126" i="79"/>
  <c r="C125" i="79"/>
  <c r="C126" i="79"/>
  <c r="AD121" i="79"/>
  <c r="AC121" i="79"/>
  <c r="AB121" i="79"/>
  <c r="AA121" i="79"/>
  <c r="Z121" i="79"/>
  <c r="U121" i="79"/>
  <c r="T121" i="79"/>
  <c r="P121" i="79"/>
  <c r="O121" i="79"/>
  <c r="R121" i="79"/>
  <c r="AD120" i="79"/>
  <c r="AC120" i="79"/>
  <c r="AB120" i="79"/>
  <c r="AA120" i="79"/>
  <c r="Z120" i="79"/>
  <c r="U120" i="79"/>
  <c r="T120" i="79"/>
  <c r="P120" i="79"/>
  <c r="O120" i="79"/>
  <c r="R120" i="79"/>
  <c r="AD119" i="79"/>
  <c r="AC119" i="79"/>
  <c r="AB119" i="79"/>
  <c r="AA119" i="79"/>
  <c r="Z119" i="79"/>
  <c r="U119" i="79"/>
  <c r="T119" i="79"/>
  <c r="P119" i="79"/>
  <c r="O119" i="79"/>
  <c r="R119" i="79"/>
  <c r="AD118" i="79"/>
  <c r="AC118" i="79"/>
  <c r="AB118" i="79"/>
  <c r="AA118" i="79"/>
  <c r="Z118" i="79"/>
  <c r="T118" i="79"/>
  <c r="P118" i="79"/>
  <c r="Q118" i="79"/>
  <c r="O118" i="79"/>
  <c r="R118" i="79"/>
  <c r="D128" i="79"/>
  <c r="W119" i="79"/>
  <c r="P113" i="79"/>
  <c r="E128" i="79"/>
  <c r="W120" i="79"/>
  <c r="E127" i="79"/>
  <c r="V120" i="79"/>
  <c r="B81" i="79"/>
  <c r="F48" i="79"/>
  <c r="V42" i="79"/>
  <c r="E48" i="79"/>
  <c r="V41" i="79"/>
  <c r="D48" i="79"/>
  <c r="V40" i="79"/>
  <c r="C48" i="79"/>
  <c r="V39" i="79"/>
  <c r="D47" i="79"/>
  <c r="F46" i="79"/>
  <c r="F47" i="79"/>
  <c r="E46" i="79"/>
  <c r="U41" i="79"/>
  <c r="D46" i="79"/>
  <c r="U40" i="79"/>
  <c r="C46" i="79"/>
  <c r="U39" i="79"/>
  <c r="AD42" i="79"/>
  <c r="AC42" i="79"/>
  <c r="AB42" i="79"/>
  <c r="AA42" i="79"/>
  <c r="Z42" i="79"/>
  <c r="T42" i="79"/>
  <c r="P42" i="79"/>
  <c r="AD41" i="79"/>
  <c r="AC41" i="79"/>
  <c r="AB41" i="79"/>
  <c r="AA41" i="79"/>
  <c r="Z41" i="79"/>
  <c r="T41" i="79"/>
  <c r="P41" i="79"/>
  <c r="O41" i="79"/>
  <c r="R41" i="79"/>
  <c r="AD40" i="79"/>
  <c r="AC40" i="79"/>
  <c r="AB40" i="79"/>
  <c r="AA40" i="79"/>
  <c r="Z40" i="79"/>
  <c r="T40" i="79"/>
  <c r="P40" i="79"/>
  <c r="O40" i="79"/>
  <c r="R40" i="79"/>
  <c r="AD39" i="79"/>
  <c r="AC39" i="79"/>
  <c r="AB39" i="79"/>
  <c r="AA39" i="79"/>
  <c r="Z39" i="79"/>
  <c r="T39" i="79"/>
  <c r="P39" i="79"/>
  <c r="Q39" i="79"/>
  <c r="F49" i="79"/>
  <c r="W42" i="79"/>
  <c r="D49" i="79"/>
  <c r="W40" i="79"/>
  <c r="P34" i="79"/>
  <c r="E49" i="79"/>
  <c r="W41" i="79"/>
  <c r="O42" i="79"/>
  <c r="R42" i="79"/>
  <c r="O39" i="79"/>
  <c r="R39" i="79"/>
  <c r="B2" i="79"/>
  <c r="C16" i="73"/>
  <c r="C47" i="73"/>
  <c r="A13" i="73"/>
  <c r="A12" i="73"/>
  <c r="A11" i="73"/>
  <c r="A14" i="73"/>
  <c r="K119" i="73"/>
  <c r="J119" i="73"/>
  <c r="I119" i="73"/>
  <c r="H119" i="73"/>
  <c r="G119" i="73"/>
  <c r="G129" i="73"/>
  <c r="F119" i="73"/>
  <c r="F129" i="73"/>
  <c r="V125" i="73"/>
  <c r="E119" i="73"/>
  <c r="E129" i="73"/>
  <c r="V124" i="73"/>
  <c r="D119" i="73"/>
  <c r="D129" i="73"/>
  <c r="V123" i="73"/>
  <c r="C119" i="73"/>
  <c r="C129" i="73"/>
  <c r="V122" i="73"/>
  <c r="P94" i="73"/>
  <c r="P99" i="73"/>
  <c r="P98" i="73"/>
  <c r="P97" i="73"/>
  <c r="Q99" i="73"/>
  <c r="Q98" i="73"/>
  <c r="R99" i="73"/>
  <c r="R98" i="73"/>
  <c r="S99" i="73"/>
  <c r="S98" i="73"/>
  <c r="T99" i="73"/>
  <c r="T98" i="73"/>
  <c r="G130" i="73"/>
  <c r="F130" i="73"/>
  <c r="E130" i="73"/>
  <c r="W124" i="73"/>
  <c r="D130" i="73"/>
  <c r="W123" i="73"/>
  <c r="C130" i="73"/>
  <c r="W122" i="73"/>
  <c r="G127" i="73"/>
  <c r="F127" i="73"/>
  <c r="F128" i="73"/>
  <c r="E127" i="73"/>
  <c r="U124" i="73"/>
  <c r="D127" i="73"/>
  <c r="D128" i="73"/>
  <c r="C127" i="73"/>
  <c r="C128" i="73"/>
  <c r="AD126" i="73"/>
  <c r="AC126" i="73"/>
  <c r="AB126" i="73"/>
  <c r="AA126" i="73"/>
  <c r="Z126" i="73"/>
  <c r="W126" i="73"/>
  <c r="V126" i="73"/>
  <c r="T126" i="73"/>
  <c r="P126" i="73"/>
  <c r="O126" i="73"/>
  <c r="R126" i="73"/>
  <c r="AD125" i="73"/>
  <c r="AC125" i="73"/>
  <c r="AB125" i="73"/>
  <c r="AA125" i="73"/>
  <c r="Z125" i="73"/>
  <c r="W125" i="73"/>
  <c r="T125" i="73"/>
  <c r="P125" i="73"/>
  <c r="O125" i="73"/>
  <c r="R125" i="73"/>
  <c r="AD124" i="73"/>
  <c r="AC124" i="73"/>
  <c r="AB124" i="73"/>
  <c r="AA124" i="73"/>
  <c r="Z124" i="73"/>
  <c r="T124" i="73"/>
  <c r="P124" i="73"/>
  <c r="O124" i="73"/>
  <c r="R124" i="73"/>
  <c r="AD123" i="73"/>
  <c r="AC123" i="73"/>
  <c r="AB123" i="73"/>
  <c r="AA123" i="73"/>
  <c r="Z123" i="73"/>
  <c r="T123" i="73"/>
  <c r="P123" i="73"/>
  <c r="O123" i="73"/>
  <c r="R123" i="73"/>
  <c r="AD122" i="73"/>
  <c r="AC122" i="73"/>
  <c r="AB122" i="73"/>
  <c r="AA122" i="73"/>
  <c r="Z122" i="73"/>
  <c r="P122" i="73"/>
  <c r="Q122" i="73"/>
  <c r="O122" i="73"/>
  <c r="R122" i="73"/>
  <c r="P117" i="73"/>
  <c r="P116" i="73"/>
  <c r="P104" i="73"/>
  <c r="P103" i="73"/>
  <c r="T122" i="73"/>
  <c r="S17" i="73"/>
  <c r="D50" i="73"/>
  <c r="E50" i="73"/>
  <c r="F50" i="73"/>
  <c r="G50" i="73"/>
  <c r="C50" i="73"/>
  <c r="T13" i="73"/>
  <c r="T12" i="73"/>
  <c r="Q13" i="73"/>
  <c r="Q12" i="73"/>
  <c r="R13" i="73"/>
  <c r="R12" i="73"/>
  <c r="S13" i="73"/>
  <c r="S12" i="73"/>
  <c r="D47" i="73"/>
  <c r="E47" i="73"/>
  <c r="F47" i="73"/>
  <c r="G47" i="73"/>
  <c r="T17" i="73"/>
  <c r="V17" i="73"/>
  <c r="C47" i="79"/>
  <c r="E47" i="79"/>
  <c r="U118" i="79"/>
  <c r="U42" i="79"/>
  <c r="U123" i="73"/>
  <c r="P102" i="73"/>
  <c r="U122" i="73"/>
  <c r="U125" i="73"/>
  <c r="E128" i="73"/>
  <c r="U126" i="73"/>
  <c r="P8" i="73"/>
  <c r="P13" i="73"/>
  <c r="P112" i="79"/>
  <c r="C128" i="79"/>
  <c r="W118" i="79"/>
  <c r="C49" i="79"/>
  <c r="W39" i="79"/>
  <c r="P33" i="79"/>
  <c r="P16" i="73"/>
  <c r="P12" i="73"/>
  <c r="P11" i="73"/>
  <c r="E301" i="74"/>
  <c r="K39" i="73"/>
  <c r="J39" i="73"/>
  <c r="I39" i="73"/>
  <c r="H39" i="73"/>
  <c r="G39" i="73"/>
  <c r="G49" i="73"/>
  <c r="F39" i="73"/>
  <c r="F49" i="73"/>
  <c r="E39" i="73"/>
  <c r="E49" i="73"/>
  <c r="D39" i="73"/>
  <c r="D49" i="73"/>
  <c r="C39" i="73"/>
  <c r="C49" i="73"/>
  <c r="U17" i="73"/>
  <c r="O39" i="63"/>
  <c r="O42" i="63"/>
  <c r="O41" i="63"/>
  <c r="O40" i="63"/>
  <c r="F192" i="63"/>
  <c r="E192" i="63"/>
  <c r="V185" i="63"/>
  <c r="D192" i="63"/>
  <c r="C192" i="63"/>
  <c r="V183" i="63"/>
  <c r="F190" i="63"/>
  <c r="F191" i="63"/>
  <c r="E190" i="63"/>
  <c r="E191" i="63"/>
  <c r="D190" i="63"/>
  <c r="D191" i="63"/>
  <c r="C190" i="63"/>
  <c r="C191" i="63"/>
  <c r="AD186" i="63"/>
  <c r="AC186" i="63"/>
  <c r="AB186" i="63"/>
  <c r="AA186" i="63"/>
  <c r="Z186" i="63"/>
  <c r="V186" i="63"/>
  <c r="U186" i="63"/>
  <c r="T186" i="63"/>
  <c r="P186" i="63"/>
  <c r="AD185" i="63"/>
  <c r="AC185" i="63"/>
  <c r="AB185" i="63"/>
  <c r="AA185" i="63"/>
  <c r="Z185" i="63"/>
  <c r="T185" i="63"/>
  <c r="P185" i="63"/>
  <c r="AD184" i="63"/>
  <c r="AC184" i="63"/>
  <c r="AB184" i="63"/>
  <c r="AA184" i="63"/>
  <c r="Z184" i="63"/>
  <c r="V184" i="63"/>
  <c r="U184" i="63"/>
  <c r="T184" i="63"/>
  <c r="P184" i="63"/>
  <c r="AD183" i="63"/>
  <c r="AC183" i="63"/>
  <c r="AB183" i="63"/>
  <c r="AA183" i="63"/>
  <c r="Z183" i="63"/>
  <c r="T183" i="63"/>
  <c r="P183" i="63"/>
  <c r="Q183" i="63"/>
  <c r="F183" i="63"/>
  <c r="E183" i="63"/>
  <c r="D183" i="63"/>
  <c r="C183" i="63"/>
  <c r="E179" i="63"/>
  <c r="P178" i="63"/>
  <c r="F178" i="63"/>
  <c r="F177" i="63"/>
  <c r="E178" i="63"/>
  <c r="D178" i="63"/>
  <c r="C178" i="63"/>
  <c r="D177" i="63"/>
  <c r="D193" i="63"/>
  <c r="W184" i="63"/>
  <c r="C177" i="63"/>
  <c r="C193" i="63"/>
  <c r="W183" i="63"/>
  <c r="AR163" i="63"/>
  <c r="AP163" i="63"/>
  <c r="AN163" i="63"/>
  <c r="AL163" i="63"/>
  <c r="AJ163" i="63"/>
  <c r="AC163" i="63"/>
  <c r="AA163" i="63"/>
  <c r="Y163" i="63"/>
  <c r="W163" i="63"/>
  <c r="U163" i="63"/>
  <c r="AR158" i="63"/>
  <c r="AP158" i="63"/>
  <c r="AN158" i="63"/>
  <c r="AL158" i="63"/>
  <c r="AJ158" i="63"/>
  <c r="C156" i="63"/>
  <c r="O183" i="63"/>
  <c r="R183" i="63"/>
  <c r="AE155" i="63"/>
  <c r="P155" i="63"/>
  <c r="H155" i="63"/>
  <c r="H156" i="63"/>
  <c r="G155" i="63"/>
  <c r="G156" i="63"/>
  <c r="D155" i="63"/>
  <c r="D156" i="63"/>
  <c r="O184" i="63"/>
  <c r="R184" i="63"/>
  <c r="F120" i="63"/>
  <c r="E120" i="63"/>
  <c r="V113" i="63"/>
  <c r="D120" i="63"/>
  <c r="C120" i="63"/>
  <c r="V111" i="63"/>
  <c r="F118" i="63"/>
  <c r="F119" i="63"/>
  <c r="E118" i="63"/>
  <c r="E119" i="63"/>
  <c r="D118" i="63"/>
  <c r="D119" i="63"/>
  <c r="C118" i="63"/>
  <c r="C119" i="63"/>
  <c r="AD114" i="63"/>
  <c r="AC114" i="63"/>
  <c r="AB114" i="63"/>
  <c r="AA114" i="63"/>
  <c r="Z114" i="63"/>
  <c r="V114" i="63"/>
  <c r="U114" i="63"/>
  <c r="T114" i="63"/>
  <c r="P114" i="63"/>
  <c r="AD113" i="63"/>
  <c r="AC113" i="63"/>
  <c r="AB113" i="63"/>
  <c r="AA113" i="63"/>
  <c r="Z113" i="63"/>
  <c r="T113" i="63"/>
  <c r="P113" i="63"/>
  <c r="O113" i="63"/>
  <c r="R113" i="63"/>
  <c r="AD112" i="63"/>
  <c r="AC112" i="63"/>
  <c r="AB112" i="63"/>
  <c r="AA112" i="63"/>
  <c r="Z112" i="63"/>
  <c r="V112" i="63"/>
  <c r="U112" i="63"/>
  <c r="T112" i="63"/>
  <c r="P112" i="63"/>
  <c r="AD111" i="63"/>
  <c r="AC111" i="63"/>
  <c r="AB111" i="63"/>
  <c r="AA111" i="63"/>
  <c r="Z111" i="63"/>
  <c r="T111" i="63"/>
  <c r="P111" i="63"/>
  <c r="Q111" i="63"/>
  <c r="F111" i="63"/>
  <c r="E111" i="63"/>
  <c r="D111" i="63"/>
  <c r="C111" i="63"/>
  <c r="E107" i="63"/>
  <c r="P106" i="63"/>
  <c r="F106" i="63"/>
  <c r="F105" i="63"/>
  <c r="E106" i="63"/>
  <c r="D106" i="63"/>
  <c r="C106" i="63"/>
  <c r="D105" i="63"/>
  <c r="D121" i="63"/>
  <c r="W112" i="63"/>
  <c r="C105" i="63"/>
  <c r="C121" i="63"/>
  <c r="W111" i="63"/>
  <c r="AR91" i="63"/>
  <c r="AP91" i="63"/>
  <c r="AN91" i="63"/>
  <c r="AL91" i="63"/>
  <c r="AJ91" i="63"/>
  <c r="AC91" i="63"/>
  <c r="AA91" i="63"/>
  <c r="Y91" i="63"/>
  <c r="W91" i="63"/>
  <c r="U91" i="63"/>
  <c r="AN86" i="63"/>
  <c r="AL86" i="63"/>
  <c r="AJ86" i="63"/>
  <c r="AC86" i="63"/>
  <c r="AR86" i="63"/>
  <c r="AA86" i="63"/>
  <c r="AP86" i="63"/>
  <c r="Y86" i="63"/>
  <c r="W86" i="63"/>
  <c r="U86" i="63"/>
  <c r="G84" i="63"/>
  <c r="F84" i="63"/>
  <c r="O114" i="63"/>
  <c r="R114" i="63"/>
  <c r="E84" i="63"/>
  <c r="D84" i="63"/>
  <c r="O112" i="63"/>
  <c r="R112" i="63"/>
  <c r="C84" i="63"/>
  <c r="O111" i="63"/>
  <c r="R111" i="63"/>
  <c r="P83" i="63"/>
  <c r="AE83" i="63"/>
  <c r="J83" i="63"/>
  <c r="J84" i="63"/>
  <c r="I83" i="63"/>
  <c r="I84" i="63"/>
  <c r="H83" i="63"/>
  <c r="H84" i="63"/>
  <c r="G83" i="63"/>
  <c r="F193" i="63"/>
  <c r="W186" i="63"/>
  <c r="E177" i="63"/>
  <c r="E193" i="63"/>
  <c r="W185" i="63"/>
  <c r="E155" i="63"/>
  <c r="P177" i="63"/>
  <c r="U183" i="63"/>
  <c r="U185" i="63"/>
  <c r="F121" i="63"/>
  <c r="W114" i="63"/>
  <c r="E105" i="63"/>
  <c r="E121" i="63"/>
  <c r="W113" i="63"/>
  <c r="P105" i="63"/>
  <c r="U111" i="63"/>
  <c r="U113" i="63"/>
  <c r="P11" i="56"/>
  <c r="P90" i="55"/>
  <c r="I148" i="74"/>
  <c r="I93" i="74"/>
  <c r="I133" i="74"/>
  <c r="I65" i="74"/>
  <c r="I78" i="74"/>
  <c r="I86" i="74"/>
  <c r="I94" i="74"/>
  <c r="I102" i="74"/>
  <c r="I110" i="74"/>
  <c r="I126" i="74"/>
  <c r="I134" i="74"/>
  <c r="I142" i="74"/>
  <c r="I166" i="74"/>
  <c r="I64" i="74"/>
  <c r="I72" i="74"/>
  <c r="I96" i="74"/>
  <c r="I112" i="74"/>
  <c r="I128" i="74"/>
  <c r="I160" i="74"/>
  <c r="I98" i="74"/>
  <c r="I130" i="74"/>
  <c r="I91" i="74"/>
  <c r="I115" i="74"/>
  <c r="I139" i="74"/>
  <c r="I67" i="74"/>
  <c r="I76" i="74"/>
  <c r="I84" i="74"/>
  <c r="I92" i="74"/>
  <c r="I108" i="74"/>
  <c r="I124" i="74"/>
  <c r="I140" i="74"/>
  <c r="I66" i="74"/>
  <c r="I101" i="74"/>
  <c r="I141" i="74"/>
  <c r="I149" i="74"/>
  <c r="I79" i="74"/>
  <c r="I95" i="74"/>
  <c r="I103" i="74"/>
  <c r="I111" i="74"/>
  <c r="I119" i="74"/>
  <c r="I127" i="74"/>
  <c r="I143" i="74"/>
  <c r="I151" i="74"/>
  <c r="I159" i="74"/>
  <c r="I88" i="74"/>
  <c r="I104" i="74"/>
  <c r="I120" i="74"/>
  <c r="I136" i="74"/>
  <c r="I152" i="74"/>
  <c r="I70" i="74"/>
  <c r="I114" i="74"/>
  <c r="I162" i="74"/>
  <c r="I83" i="74"/>
  <c r="I99" i="74"/>
  <c r="I123" i="74"/>
  <c r="I100" i="74"/>
  <c r="I164" i="74"/>
  <c r="I85" i="74"/>
  <c r="I75" i="74"/>
  <c r="I117" i="74"/>
  <c r="I73" i="74"/>
  <c r="I81" i="74"/>
  <c r="I89" i="74"/>
  <c r="I97" i="74"/>
  <c r="I113" i="74"/>
  <c r="I121" i="74"/>
  <c r="I129" i="74"/>
  <c r="I153" i="74"/>
  <c r="I161" i="74"/>
  <c r="I69" i="74"/>
  <c r="G62" i="74"/>
  <c r="I74" i="74"/>
  <c r="I82" i="74"/>
  <c r="I90" i="74"/>
  <c r="I106" i="74"/>
  <c r="I122" i="74"/>
  <c r="I154" i="74"/>
  <c r="G60" i="74"/>
  <c r="I131" i="74"/>
  <c r="G58" i="74"/>
  <c r="I116" i="74"/>
  <c r="I156" i="74"/>
  <c r="I157" i="74"/>
  <c r="G54" i="74"/>
  <c r="G38" i="74"/>
  <c r="G22" i="74"/>
  <c r="G52" i="74"/>
  <c r="G20" i="74"/>
  <c r="G44" i="74"/>
  <c r="G56" i="74"/>
  <c r="G34" i="74"/>
  <c r="G18" i="74"/>
  <c r="G32" i="74"/>
  <c r="G16" i="74"/>
  <c r="G46" i="74"/>
  <c r="G28" i="74"/>
  <c r="G42" i="74"/>
  <c r="G48" i="74"/>
  <c r="G30" i="74"/>
  <c r="G26" i="74"/>
  <c r="G12" i="74"/>
  <c r="F155" i="63"/>
  <c r="E156" i="63"/>
  <c r="O185" i="63"/>
  <c r="R185" i="63"/>
  <c r="J155" i="63"/>
  <c r="J156" i="63"/>
  <c r="I155" i="63"/>
  <c r="I156" i="63"/>
  <c r="F156" i="63"/>
  <c r="O186" i="63"/>
  <c r="R186" i="63"/>
  <c r="S2" i="74"/>
  <c r="H35" i="74"/>
  <c r="H49" i="74"/>
  <c r="H59" i="74"/>
  <c r="H47" i="74"/>
  <c r="H23" i="74"/>
  <c r="H61" i="74"/>
  <c r="H13" i="74"/>
  <c r="H11" i="74"/>
  <c r="H123" i="74"/>
  <c r="E123" i="74" s="1"/>
  <c r="H138" i="74"/>
  <c r="E138" i="74" s="1"/>
  <c r="H165" i="74"/>
  <c r="H150" i="74"/>
  <c r="E150" i="74" s="1"/>
  <c r="H156" i="74"/>
  <c r="E156" i="74" s="1"/>
  <c r="H129" i="74"/>
  <c r="H162" i="74"/>
  <c r="E162" i="74" s="1"/>
  <c r="H120" i="74"/>
  <c r="E120" i="74" s="1"/>
  <c r="H114" i="74"/>
  <c r="E114" i="74" s="1"/>
  <c r="H72" i="74"/>
  <c r="E72" i="74" s="1"/>
  <c r="H63" i="74"/>
  <c r="E63" i="74" s="1"/>
  <c r="H117" i="74"/>
  <c r="E117" i="74" s="1"/>
  <c r="H108" i="74"/>
  <c r="E108" i="74" s="1"/>
  <c r="H102" i="74"/>
  <c r="E102" i="74" s="1"/>
  <c r="D102" i="74" s="1"/>
  <c r="D251" i="74" s="1"/>
  <c r="H96" i="74"/>
  <c r="E96" i="74" s="1"/>
  <c r="H75" i="74"/>
  <c r="E75" i="74" s="1"/>
  <c r="H81" i="74"/>
  <c r="E81" i="74" s="1"/>
  <c r="H33" i="74"/>
  <c r="E33" i="74" s="1"/>
  <c r="H57" i="74"/>
  <c r="E57" i="74" s="1"/>
  <c r="H9" i="74"/>
  <c r="E9" i="74" s="1"/>
  <c r="H21" i="74"/>
  <c r="E21" i="74" s="1"/>
  <c r="H45" i="74"/>
  <c r="E45" i="74" s="1"/>
  <c r="T2" i="74"/>
  <c r="R4" i="63"/>
  <c r="X4" i="63" a="1"/>
  <c r="X4" i="63"/>
  <c r="C46" i="63"/>
  <c r="D46" i="63"/>
  <c r="E46" i="63"/>
  <c r="F46" i="63"/>
  <c r="E300" i="74"/>
  <c r="D300" i="74"/>
  <c r="AB6" i="74" s="1"/>
  <c r="D299" i="74"/>
  <c r="AA6" i="74" s="1"/>
  <c r="E298" i="74"/>
  <c r="D298" i="74"/>
  <c r="Z6" i="74" s="1"/>
  <c r="E297" i="74"/>
  <c r="D297" i="74"/>
  <c r="Y6" i="74" s="1"/>
  <c r="E296" i="74"/>
  <c r="P192" i="74"/>
  <c r="L192" i="74"/>
  <c r="P191" i="74"/>
  <c r="L191" i="74"/>
  <c r="P188" i="74"/>
  <c r="P190" i="74" s="1"/>
  <c r="P187" i="74"/>
  <c r="P189" i="74" s="1"/>
  <c r="H214" i="74"/>
  <c r="H194" i="74"/>
  <c r="E194" i="74" s="1"/>
  <c r="H188" i="74"/>
  <c r="H55" i="74"/>
  <c r="H31" i="74"/>
  <c r="H43" i="74"/>
  <c r="H53" i="74"/>
  <c r="H29" i="74"/>
  <c r="H19" i="74"/>
  <c r="H41" i="74"/>
  <c r="H17" i="74"/>
  <c r="H141" i="74"/>
  <c r="E141" i="74" s="1"/>
  <c r="D141" i="74" s="1"/>
  <c r="D264" i="74" s="1"/>
  <c r="H153" i="74"/>
  <c r="H132" i="74"/>
  <c r="E132" i="74" s="1"/>
  <c r="D132" i="74" s="1"/>
  <c r="D261" i="74" s="1"/>
  <c r="H159" i="74"/>
  <c r="H147" i="74"/>
  <c r="H126" i="74"/>
  <c r="E126" i="74" s="1"/>
  <c r="H105" i="74"/>
  <c r="E105" i="74" s="1"/>
  <c r="H111" i="74"/>
  <c r="E111" i="74" s="1"/>
  <c r="H93" i="74"/>
  <c r="E93" i="74" s="1"/>
  <c r="D93" i="74" s="1"/>
  <c r="D248" i="74" s="1"/>
  <c r="H99" i="74"/>
  <c r="E99" i="74" s="1"/>
  <c r="D99" i="74" s="1"/>
  <c r="D250" i="74" s="1"/>
  <c r="H84" i="74"/>
  <c r="H78" i="74"/>
  <c r="E78" i="74" s="1"/>
  <c r="H39" i="74"/>
  <c r="E39" i="74" s="1"/>
  <c r="D39" i="74" s="1"/>
  <c r="D234" i="74" s="1"/>
  <c r="H15" i="74"/>
  <c r="E15" i="74" s="1"/>
  <c r="H51" i="74"/>
  <c r="H27" i="74"/>
  <c r="H187" i="74"/>
  <c r="H189" i="74" s="1"/>
  <c r="H192" i="74"/>
  <c r="E192" i="74" s="1"/>
  <c r="H191" i="74"/>
  <c r="E191" i="74" s="1"/>
  <c r="F289" i="73"/>
  <c r="V286" i="73"/>
  <c r="D289" i="73"/>
  <c r="V284" i="73"/>
  <c r="C289" i="73"/>
  <c r="V283" i="73"/>
  <c r="AD286" i="73"/>
  <c r="AC286" i="73"/>
  <c r="AB286" i="73"/>
  <c r="AA286" i="73"/>
  <c r="Z286" i="73"/>
  <c r="T286" i="73"/>
  <c r="P286" i="73"/>
  <c r="O286" i="73"/>
  <c r="R286" i="73"/>
  <c r="AD285" i="73"/>
  <c r="AC285" i="73"/>
  <c r="AB285" i="73"/>
  <c r="AA285" i="73"/>
  <c r="Z285" i="73"/>
  <c r="T285" i="73"/>
  <c r="P285" i="73"/>
  <c r="O285" i="73"/>
  <c r="R285" i="73"/>
  <c r="AD284" i="73"/>
  <c r="AC284" i="73"/>
  <c r="AB284" i="73"/>
  <c r="AA284" i="73"/>
  <c r="Z284" i="73"/>
  <c r="T284" i="73"/>
  <c r="P284" i="73"/>
  <c r="O284" i="73"/>
  <c r="R284" i="73"/>
  <c r="AD283" i="73"/>
  <c r="AC283" i="73"/>
  <c r="AB283" i="73"/>
  <c r="AA283" i="73"/>
  <c r="Z283" i="73"/>
  <c r="T283" i="73"/>
  <c r="P283" i="73"/>
  <c r="Q283" i="73"/>
  <c r="O283" i="73"/>
  <c r="R283" i="73"/>
  <c r="F275" i="73"/>
  <c r="F274" i="73"/>
  <c r="F290" i="73"/>
  <c r="W286" i="73"/>
  <c r="E275" i="73"/>
  <c r="E274" i="73"/>
  <c r="E290" i="73"/>
  <c r="W285" i="73"/>
  <c r="D275" i="73"/>
  <c r="D274" i="73"/>
  <c r="D290" i="73"/>
  <c r="W284" i="73"/>
  <c r="C275" i="73"/>
  <c r="C274" i="73"/>
  <c r="E273" i="73"/>
  <c r="E289" i="73"/>
  <c r="V285" i="73"/>
  <c r="F272" i="73"/>
  <c r="E272" i="73"/>
  <c r="D272" i="73"/>
  <c r="C272" i="73"/>
  <c r="F270" i="73"/>
  <c r="F287" i="73"/>
  <c r="E270" i="73"/>
  <c r="E287" i="73"/>
  <c r="D270" i="73"/>
  <c r="D287" i="73"/>
  <c r="C270" i="73"/>
  <c r="C287" i="73"/>
  <c r="C288" i="73"/>
  <c r="AR255" i="73"/>
  <c r="AP255" i="73"/>
  <c r="AN255" i="73"/>
  <c r="AL255" i="73"/>
  <c r="AJ258" i="73"/>
  <c r="P255" i="73"/>
  <c r="AE255" i="73"/>
  <c r="F210" i="73"/>
  <c r="V207" i="73"/>
  <c r="D210" i="73"/>
  <c r="V205" i="73"/>
  <c r="C210" i="73"/>
  <c r="V204" i="73"/>
  <c r="AD207" i="73"/>
  <c r="AC207" i="73"/>
  <c r="AB207" i="73"/>
  <c r="AA207" i="73"/>
  <c r="Z207" i="73"/>
  <c r="T207" i="73"/>
  <c r="P207" i="73"/>
  <c r="AD206" i="73"/>
  <c r="AC206" i="73"/>
  <c r="AB206" i="73"/>
  <c r="AA206" i="73"/>
  <c r="Z206" i="73"/>
  <c r="T206" i="73"/>
  <c r="P206" i="73"/>
  <c r="AD205" i="73"/>
  <c r="AC205" i="73"/>
  <c r="AB205" i="73"/>
  <c r="AA205" i="73"/>
  <c r="Z205" i="73"/>
  <c r="T205" i="73"/>
  <c r="P205" i="73"/>
  <c r="AD204" i="73"/>
  <c r="AC204" i="73"/>
  <c r="AB204" i="73"/>
  <c r="AA204" i="73"/>
  <c r="Z204" i="73"/>
  <c r="T204" i="73"/>
  <c r="P204" i="73"/>
  <c r="Q204" i="73"/>
  <c r="F196" i="73"/>
  <c r="F195" i="73"/>
  <c r="F211" i="73"/>
  <c r="W207" i="73"/>
  <c r="E196" i="73"/>
  <c r="E195" i="73"/>
  <c r="E211" i="73"/>
  <c r="W206" i="73"/>
  <c r="D196" i="73"/>
  <c r="D195" i="73"/>
  <c r="D211" i="73"/>
  <c r="W205" i="73"/>
  <c r="C196" i="73"/>
  <c r="P199" i="73"/>
  <c r="E194" i="73"/>
  <c r="E210" i="73"/>
  <c r="V206" i="73"/>
  <c r="F193" i="73"/>
  <c r="E193" i="73"/>
  <c r="D193" i="73"/>
  <c r="C193" i="73"/>
  <c r="F191" i="73"/>
  <c r="F208" i="73"/>
  <c r="U207" i="73"/>
  <c r="D191" i="73"/>
  <c r="D208" i="73"/>
  <c r="U205" i="73"/>
  <c r="C191" i="73"/>
  <c r="C208" i="73"/>
  <c r="AR176" i="73"/>
  <c r="AP176" i="73"/>
  <c r="AN176" i="73"/>
  <c r="AL176" i="73"/>
  <c r="AJ179" i="73"/>
  <c r="F174" i="73"/>
  <c r="O207" i="73"/>
  <c r="R207" i="73"/>
  <c r="E174" i="73"/>
  <c r="O206" i="73"/>
  <c r="R206" i="73"/>
  <c r="D174" i="73"/>
  <c r="O205" i="73"/>
  <c r="R205" i="73"/>
  <c r="C174" i="73"/>
  <c r="O204" i="73"/>
  <c r="R204" i="73"/>
  <c r="P176" i="73"/>
  <c r="AE176" i="73"/>
  <c r="J173" i="73"/>
  <c r="J174" i="73"/>
  <c r="I173" i="73"/>
  <c r="I174" i="73"/>
  <c r="H173" i="73"/>
  <c r="H174" i="73"/>
  <c r="G173" i="73"/>
  <c r="G174" i="73"/>
  <c r="B82" i="73"/>
  <c r="D48" i="73"/>
  <c r="C48" i="73"/>
  <c r="B2" i="73"/>
  <c r="D288" i="73"/>
  <c r="U284" i="73"/>
  <c r="C195" i="73"/>
  <c r="E191" i="73"/>
  <c r="E208" i="73"/>
  <c r="E209" i="73"/>
  <c r="P278" i="73"/>
  <c r="C290" i="73"/>
  <c r="W283" i="73"/>
  <c r="P277" i="73"/>
  <c r="C209" i="73"/>
  <c r="U204" i="73"/>
  <c r="E48" i="73"/>
  <c r="E288" i="73"/>
  <c r="U285" i="73"/>
  <c r="F288" i="73"/>
  <c r="U286" i="73"/>
  <c r="F48" i="73"/>
  <c r="D209" i="73"/>
  <c r="F209" i="73"/>
  <c r="U283" i="73"/>
  <c r="AR254" i="72"/>
  <c r="AP254" i="72"/>
  <c r="AN254" i="72"/>
  <c r="AL254" i="72"/>
  <c r="AJ254" i="72"/>
  <c r="AE251" i="72"/>
  <c r="F274" i="72"/>
  <c r="F273" i="72"/>
  <c r="F289" i="72"/>
  <c r="W282" i="72"/>
  <c r="E274" i="72"/>
  <c r="E273" i="72"/>
  <c r="E289" i="72"/>
  <c r="W281" i="72"/>
  <c r="D274" i="72"/>
  <c r="D273" i="72"/>
  <c r="D289" i="72"/>
  <c r="W280" i="72"/>
  <c r="C274" i="72"/>
  <c r="C273" i="72"/>
  <c r="C289" i="72"/>
  <c r="W279" i="72"/>
  <c r="E272" i="72"/>
  <c r="E288" i="72"/>
  <c r="V281" i="72"/>
  <c r="F271" i="72"/>
  <c r="E271" i="72"/>
  <c r="D271" i="72"/>
  <c r="C271" i="72"/>
  <c r="F269" i="72"/>
  <c r="E269" i="72"/>
  <c r="D269" i="72"/>
  <c r="D286" i="72"/>
  <c r="C269" i="72"/>
  <c r="F288" i="72"/>
  <c r="D288" i="72"/>
  <c r="V280" i="72"/>
  <c r="C288" i="72"/>
  <c r="V279" i="72"/>
  <c r="AD282" i="72"/>
  <c r="AC282" i="72"/>
  <c r="AB282" i="72"/>
  <c r="AA282" i="72"/>
  <c r="Z282" i="72"/>
  <c r="V282" i="72"/>
  <c r="T282" i="72"/>
  <c r="P282" i="72"/>
  <c r="AD281" i="72"/>
  <c r="AC281" i="72"/>
  <c r="AB281" i="72"/>
  <c r="AA281" i="72"/>
  <c r="Z281" i="72"/>
  <c r="T281" i="72"/>
  <c r="P281" i="72"/>
  <c r="AD280" i="72"/>
  <c r="AC280" i="72"/>
  <c r="AB280" i="72"/>
  <c r="AA280" i="72"/>
  <c r="Z280" i="72"/>
  <c r="T280" i="72"/>
  <c r="P280" i="72"/>
  <c r="AD279" i="72"/>
  <c r="AC279" i="72"/>
  <c r="AB279" i="72"/>
  <c r="AA279" i="72"/>
  <c r="Z279" i="72"/>
  <c r="T279" i="72"/>
  <c r="P279" i="72"/>
  <c r="Q279" i="72"/>
  <c r="P274" i="72"/>
  <c r="E286" i="72"/>
  <c r="C286" i="72"/>
  <c r="C287" i="72"/>
  <c r="O282" i="72"/>
  <c r="R282" i="72"/>
  <c r="O281" i="72"/>
  <c r="R281" i="72"/>
  <c r="O280" i="72"/>
  <c r="R280" i="72"/>
  <c r="O279" i="72"/>
  <c r="R279" i="72"/>
  <c r="P251" i="72"/>
  <c r="AR175" i="72"/>
  <c r="AP175" i="72"/>
  <c r="AN175" i="72"/>
  <c r="AL175" i="72"/>
  <c r="AJ175" i="72"/>
  <c r="F195" i="72"/>
  <c r="F194" i="72"/>
  <c r="F210" i="72"/>
  <c r="W203" i="72"/>
  <c r="E195" i="72"/>
  <c r="E194" i="72"/>
  <c r="E210" i="72"/>
  <c r="W202" i="72"/>
  <c r="D195" i="72"/>
  <c r="D194" i="72"/>
  <c r="D210" i="72"/>
  <c r="W201" i="72"/>
  <c r="C195" i="72"/>
  <c r="C194" i="72"/>
  <c r="E193" i="72"/>
  <c r="E209" i="72"/>
  <c r="V202" i="72"/>
  <c r="F192" i="72"/>
  <c r="E192" i="72"/>
  <c r="D192" i="72"/>
  <c r="C192" i="72"/>
  <c r="F190" i="72"/>
  <c r="E190" i="72"/>
  <c r="E207" i="72"/>
  <c r="D190" i="72"/>
  <c r="C190" i="72"/>
  <c r="F173" i="72"/>
  <c r="O203" i="72"/>
  <c r="R203" i="72"/>
  <c r="E173" i="72"/>
  <c r="D173" i="72"/>
  <c r="O201" i="72"/>
  <c r="R201" i="72"/>
  <c r="C173" i="72"/>
  <c r="O200" i="72"/>
  <c r="R200" i="72"/>
  <c r="J172" i="72"/>
  <c r="J173" i="72"/>
  <c r="I172" i="72"/>
  <c r="I173" i="72"/>
  <c r="H172" i="72"/>
  <c r="H173" i="72"/>
  <c r="G172" i="72"/>
  <c r="G173" i="72"/>
  <c r="F209" i="72"/>
  <c r="D209" i="72"/>
  <c r="V201" i="72"/>
  <c r="C209" i="72"/>
  <c r="V200" i="72"/>
  <c r="F207" i="72"/>
  <c r="F208" i="72"/>
  <c r="D207" i="72"/>
  <c r="D208" i="72"/>
  <c r="C207" i="72"/>
  <c r="C208" i="72"/>
  <c r="AD203" i="72"/>
  <c r="AC203" i="72"/>
  <c r="AB203" i="72"/>
  <c r="AA203" i="72"/>
  <c r="Z203" i="72"/>
  <c r="V203" i="72"/>
  <c r="T203" i="72"/>
  <c r="P203" i="72"/>
  <c r="AD202" i="72"/>
  <c r="AC202" i="72"/>
  <c r="AB202" i="72"/>
  <c r="AA202" i="72"/>
  <c r="Z202" i="72"/>
  <c r="T202" i="72"/>
  <c r="P202" i="72"/>
  <c r="O202" i="72"/>
  <c r="R202" i="72"/>
  <c r="AD201" i="72"/>
  <c r="AC201" i="72"/>
  <c r="AB201" i="72"/>
  <c r="AA201" i="72"/>
  <c r="Z201" i="72"/>
  <c r="T201" i="72"/>
  <c r="P201" i="72"/>
  <c r="AD200" i="72"/>
  <c r="AC200" i="72"/>
  <c r="AB200" i="72"/>
  <c r="AA200" i="72"/>
  <c r="Z200" i="72"/>
  <c r="T200" i="72"/>
  <c r="P200" i="72"/>
  <c r="Q200" i="72"/>
  <c r="P195" i="72"/>
  <c r="C210" i="72"/>
  <c r="W200" i="72"/>
  <c r="P172" i="72"/>
  <c r="AE172" i="72"/>
  <c r="F113" i="72"/>
  <c r="F112" i="72"/>
  <c r="F128" i="72"/>
  <c r="W121" i="72"/>
  <c r="E113" i="72"/>
  <c r="E112" i="72"/>
  <c r="E128" i="72"/>
  <c r="W120" i="72"/>
  <c r="D113" i="72"/>
  <c r="D112" i="72"/>
  <c r="D128" i="72"/>
  <c r="W119" i="72"/>
  <c r="C113" i="72"/>
  <c r="C112" i="72"/>
  <c r="P112" i="72"/>
  <c r="E111" i="72"/>
  <c r="E127" i="72"/>
  <c r="V120" i="72"/>
  <c r="F110" i="72"/>
  <c r="E110" i="72"/>
  <c r="D110" i="72"/>
  <c r="C110" i="72"/>
  <c r="F34" i="72"/>
  <c r="E34" i="72"/>
  <c r="D34" i="72"/>
  <c r="D33" i="72"/>
  <c r="D49" i="72"/>
  <c r="W40" i="72"/>
  <c r="C34" i="72"/>
  <c r="P34" i="72"/>
  <c r="F33" i="72"/>
  <c r="E33" i="72"/>
  <c r="E49" i="72"/>
  <c r="W41" i="72"/>
  <c r="E32" i="72"/>
  <c r="F31" i="72"/>
  <c r="E31" i="72"/>
  <c r="D31" i="72"/>
  <c r="C31" i="72"/>
  <c r="E29" i="72"/>
  <c r="F12" i="72"/>
  <c r="O42" i="72"/>
  <c r="R42" i="72"/>
  <c r="E12" i="72"/>
  <c r="D12" i="72"/>
  <c r="C12" i="72"/>
  <c r="O39" i="72"/>
  <c r="R39" i="72"/>
  <c r="J11" i="72"/>
  <c r="J12" i="72"/>
  <c r="I11" i="72"/>
  <c r="I12" i="72"/>
  <c r="H11" i="72"/>
  <c r="H12" i="72"/>
  <c r="G11" i="72"/>
  <c r="G12" i="72"/>
  <c r="F127" i="72"/>
  <c r="V121" i="72"/>
  <c r="D127" i="72"/>
  <c r="C127" i="72"/>
  <c r="V118" i="72"/>
  <c r="F125" i="72"/>
  <c r="F126" i="72"/>
  <c r="E125" i="72"/>
  <c r="E126" i="72"/>
  <c r="D125" i="72"/>
  <c r="D126" i="72"/>
  <c r="C125" i="72"/>
  <c r="C126" i="72"/>
  <c r="AD121" i="72"/>
  <c r="AC121" i="72"/>
  <c r="AB121" i="72"/>
  <c r="AA121" i="72"/>
  <c r="Z121" i="72"/>
  <c r="T121" i="72"/>
  <c r="P121" i="72"/>
  <c r="O121" i="72"/>
  <c r="R121" i="72"/>
  <c r="AD120" i="72"/>
  <c r="AC120" i="72"/>
  <c r="AB120" i="72"/>
  <c r="AA120" i="72"/>
  <c r="Z120" i="72"/>
  <c r="T120" i="72"/>
  <c r="P120" i="72"/>
  <c r="O120" i="72"/>
  <c r="R120" i="72"/>
  <c r="AD119" i="72"/>
  <c r="AC119" i="72"/>
  <c r="AB119" i="72"/>
  <c r="AA119" i="72"/>
  <c r="Z119" i="72"/>
  <c r="V119" i="72"/>
  <c r="T119" i="72"/>
  <c r="P119" i="72"/>
  <c r="O119" i="72"/>
  <c r="R119" i="72"/>
  <c r="AD118" i="72"/>
  <c r="AC118" i="72"/>
  <c r="AB118" i="72"/>
  <c r="AA118" i="72"/>
  <c r="Z118" i="72"/>
  <c r="T118" i="72"/>
  <c r="P118" i="72"/>
  <c r="Q118" i="72"/>
  <c r="O118" i="72"/>
  <c r="R118" i="72"/>
  <c r="P113" i="72"/>
  <c r="P90" i="72"/>
  <c r="AE90" i="72"/>
  <c r="B81" i="72"/>
  <c r="F48" i="72"/>
  <c r="E48" i="72"/>
  <c r="D48" i="72"/>
  <c r="V40" i="72"/>
  <c r="C48" i="72"/>
  <c r="C47" i="72"/>
  <c r="F46" i="72"/>
  <c r="U42" i="72"/>
  <c r="E46" i="72"/>
  <c r="E47" i="72"/>
  <c r="D46" i="72"/>
  <c r="D47" i="72"/>
  <c r="C46" i="72"/>
  <c r="U39" i="72"/>
  <c r="AD42" i="72"/>
  <c r="AC42" i="72"/>
  <c r="AB42" i="72"/>
  <c r="AA42" i="72"/>
  <c r="Z42" i="72"/>
  <c r="V42" i="72"/>
  <c r="T42" i="72"/>
  <c r="P42" i="72"/>
  <c r="AD41" i="72"/>
  <c r="AC41" i="72"/>
  <c r="AB41" i="72"/>
  <c r="AA41" i="72"/>
  <c r="Z41" i="72"/>
  <c r="V41" i="72"/>
  <c r="T41" i="72"/>
  <c r="P41" i="72"/>
  <c r="O41" i="72"/>
  <c r="R41" i="72"/>
  <c r="AD40" i="72"/>
  <c r="AC40" i="72"/>
  <c r="AB40" i="72"/>
  <c r="AA40" i="72"/>
  <c r="Z40" i="72"/>
  <c r="U40" i="72"/>
  <c r="T40" i="72"/>
  <c r="R40" i="72"/>
  <c r="P40" i="72"/>
  <c r="O40" i="72"/>
  <c r="AD39" i="72"/>
  <c r="AC39" i="72"/>
  <c r="AB39" i="72"/>
  <c r="AA39" i="72"/>
  <c r="Z39" i="72"/>
  <c r="V39" i="72"/>
  <c r="T39" i="72"/>
  <c r="P39" i="72"/>
  <c r="Q39" i="72"/>
  <c r="F49" i="72"/>
  <c r="W42" i="72"/>
  <c r="P11" i="72"/>
  <c r="AE11" i="72"/>
  <c r="B2" i="72"/>
  <c r="B81" i="71"/>
  <c r="AH97" i="71"/>
  <c r="AH96" i="71"/>
  <c r="AH95" i="71"/>
  <c r="AH94" i="71"/>
  <c r="AR93" i="71"/>
  <c r="AQ93" i="71"/>
  <c r="AP93" i="71"/>
  <c r="AO93" i="71"/>
  <c r="AN93" i="71"/>
  <c r="AM93" i="71"/>
  <c r="AL93" i="71"/>
  <c r="AK93" i="71"/>
  <c r="AJ93" i="71"/>
  <c r="AI93" i="71"/>
  <c r="AH93" i="71"/>
  <c r="AH91" i="71"/>
  <c r="AR90" i="71"/>
  <c r="AQ90" i="71"/>
  <c r="AP90" i="71"/>
  <c r="AO90" i="71"/>
  <c r="AN90" i="71"/>
  <c r="AM90" i="71"/>
  <c r="AL90" i="71"/>
  <c r="AK90" i="71"/>
  <c r="AJ90" i="71"/>
  <c r="AI90" i="71"/>
  <c r="AH90" i="71"/>
  <c r="AE90" i="71"/>
  <c r="AD121" i="71"/>
  <c r="AC121" i="71"/>
  <c r="AB121" i="71"/>
  <c r="AA121" i="71"/>
  <c r="Z121" i="71"/>
  <c r="W121" i="71"/>
  <c r="V121" i="71"/>
  <c r="U121" i="71"/>
  <c r="T121" i="71"/>
  <c r="P121" i="71"/>
  <c r="O121" i="71"/>
  <c r="R121" i="71"/>
  <c r="AD120" i="71"/>
  <c r="AC120" i="71"/>
  <c r="AB120" i="71"/>
  <c r="AA120" i="71"/>
  <c r="Z120" i="71"/>
  <c r="W120" i="71"/>
  <c r="V120" i="71"/>
  <c r="U120" i="71"/>
  <c r="T120" i="71"/>
  <c r="R120" i="71"/>
  <c r="P120" i="71"/>
  <c r="O120" i="71"/>
  <c r="AD119" i="71"/>
  <c r="AC119" i="71"/>
  <c r="AB119" i="71"/>
  <c r="AA119" i="71"/>
  <c r="Z119" i="71"/>
  <c r="W119" i="71"/>
  <c r="V119" i="71"/>
  <c r="U119" i="71"/>
  <c r="T119" i="71"/>
  <c r="P119" i="71"/>
  <c r="O119" i="71"/>
  <c r="R119" i="71"/>
  <c r="AD118" i="71"/>
  <c r="AC118" i="71"/>
  <c r="AB118" i="71"/>
  <c r="AA118" i="71"/>
  <c r="Z118" i="71"/>
  <c r="W118" i="71"/>
  <c r="V118" i="71"/>
  <c r="U118" i="71"/>
  <c r="T118" i="71"/>
  <c r="R118" i="71"/>
  <c r="P118" i="71"/>
  <c r="Q118" i="71"/>
  <c r="O118" i="71"/>
  <c r="P113" i="71"/>
  <c r="P112" i="71"/>
  <c r="P90" i="71"/>
  <c r="F128" i="71"/>
  <c r="E128" i="71"/>
  <c r="D128" i="71"/>
  <c r="C128" i="71"/>
  <c r="F127" i="71"/>
  <c r="E127" i="71"/>
  <c r="D127" i="71"/>
  <c r="C127" i="71"/>
  <c r="F126" i="71"/>
  <c r="D126" i="71"/>
  <c r="F125" i="71"/>
  <c r="E125" i="71"/>
  <c r="E126" i="71"/>
  <c r="D125" i="71"/>
  <c r="C125" i="71"/>
  <c r="C126" i="71"/>
  <c r="F118" i="71"/>
  <c r="E118" i="71"/>
  <c r="D118" i="71"/>
  <c r="C118" i="71"/>
  <c r="F113" i="71"/>
  <c r="E113" i="71"/>
  <c r="E112" i="71"/>
  <c r="D113" i="71"/>
  <c r="C113" i="71"/>
  <c r="C112" i="71"/>
  <c r="F112" i="71"/>
  <c r="D112" i="71"/>
  <c r="AH18" i="71"/>
  <c r="AH17" i="71"/>
  <c r="AH16" i="71"/>
  <c r="AH15" i="71"/>
  <c r="AR14" i="71"/>
  <c r="AQ14" i="71"/>
  <c r="AP14" i="71"/>
  <c r="AO14" i="71"/>
  <c r="AN14" i="71"/>
  <c r="AM14" i="71"/>
  <c r="AL14" i="71"/>
  <c r="AK14" i="71"/>
  <c r="AJ14" i="71"/>
  <c r="AI14" i="71"/>
  <c r="AH14" i="71"/>
  <c r="AH13" i="71"/>
  <c r="AH12" i="71"/>
  <c r="AR11" i="71"/>
  <c r="AQ11" i="71"/>
  <c r="AP11" i="71"/>
  <c r="AO11" i="71"/>
  <c r="AN11" i="71"/>
  <c r="AM11" i="71"/>
  <c r="AL11" i="71"/>
  <c r="AK11" i="71"/>
  <c r="AJ11" i="71"/>
  <c r="AI11" i="71"/>
  <c r="AH11" i="71"/>
  <c r="AE11" i="71"/>
  <c r="F34" i="71"/>
  <c r="E34" i="71"/>
  <c r="D34" i="71"/>
  <c r="C34" i="71"/>
  <c r="F33" i="71"/>
  <c r="E33" i="71"/>
  <c r="D33" i="71"/>
  <c r="C33" i="71"/>
  <c r="P251" i="56"/>
  <c r="P172" i="56"/>
  <c r="O282" i="56"/>
  <c r="F48" i="71"/>
  <c r="V42" i="71"/>
  <c r="E48" i="71"/>
  <c r="V41" i="71"/>
  <c r="D48" i="71"/>
  <c r="C48" i="71"/>
  <c r="V39" i="71"/>
  <c r="F46" i="71"/>
  <c r="F47" i="71"/>
  <c r="E46" i="71"/>
  <c r="E47" i="71"/>
  <c r="D46" i="71"/>
  <c r="D47" i="71"/>
  <c r="C46" i="71"/>
  <c r="C47" i="71"/>
  <c r="AD42" i="71"/>
  <c r="AC42" i="71"/>
  <c r="AB42" i="71"/>
  <c r="AA42" i="71"/>
  <c r="Z42" i="71"/>
  <c r="T42" i="71"/>
  <c r="P42" i="71"/>
  <c r="O42" i="71"/>
  <c r="R42" i="71"/>
  <c r="AD41" i="71"/>
  <c r="AC41" i="71"/>
  <c r="AB41" i="71"/>
  <c r="AA41" i="71"/>
  <c r="Z41" i="71"/>
  <c r="T41" i="71"/>
  <c r="P41" i="71"/>
  <c r="O41" i="71"/>
  <c r="R41" i="71"/>
  <c r="AD40" i="71"/>
  <c r="AC40" i="71"/>
  <c r="AB40" i="71"/>
  <c r="AA40" i="71"/>
  <c r="Z40" i="71"/>
  <c r="V40" i="71"/>
  <c r="U40" i="71"/>
  <c r="T40" i="71"/>
  <c r="P40" i="71"/>
  <c r="O40" i="71"/>
  <c r="R40" i="71"/>
  <c r="AD39" i="71"/>
  <c r="AC39" i="71"/>
  <c r="AB39" i="71"/>
  <c r="AA39" i="71"/>
  <c r="Z39" i="71"/>
  <c r="T39" i="71"/>
  <c r="P39" i="71"/>
  <c r="Q39" i="71"/>
  <c r="O39" i="71"/>
  <c r="R39" i="71"/>
  <c r="D49" i="71"/>
  <c r="W40" i="71"/>
  <c r="P34" i="71"/>
  <c r="F49" i="71"/>
  <c r="W42" i="71"/>
  <c r="E49" i="71"/>
  <c r="W41" i="71"/>
  <c r="P11" i="71"/>
  <c r="B2" i="71"/>
  <c r="AE11" i="70"/>
  <c r="F34" i="70"/>
  <c r="F33" i="70"/>
  <c r="F49" i="70"/>
  <c r="W42" i="70"/>
  <c r="E34" i="70"/>
  <c r="D34" i="70"/>
  <c r="C34" i="70"/>
  <c r="E33" i="70"/>
  <c r="E49" i="70"/>
  <c r="W41" i="70"/>
  <c r="D33" i="70"/>
  <c r="D49" i="70"/>
  <c r="W40" i="70"/>
  <c r="C33" i="70"/>
  <c r="C49" i="70"/>
  <c r="W39" i="70"/>
  <c r="F48" i="70"/>
  <c r="V42" i="70"/>
  <c r="E48" i="70"/>
  <c r="D48" i="70"/>
  <c r="C48" i="70"/>
  <c r="V39" i="70"/>
  <c r="F46" i="70"/>
  <c r="F47" i="70"/>
  <c r="E46" i="70"/>
  <c r="E47" i="70"/>
  <c r="D46" i="70"/>
  <c r="D47" i="70"/>
  <c r="C46" i="70"/>
  <c r="C47" i="70"/>
  <c r="AD42" i="70"/>
  <c r="AC42" i="70"/>
  <c r="AB42" i="70"/>
  <c r="AA42" i="70"/>
  <c r="Z42" i="70"/>
  <c r="T42" i="70"/>
  <c r="R42" i="70"/>
  <c r="P42" i="70"/>
  <c r="O42" i="70"/>
  <c r="AD41" i="70"/>
  <c r="AC41" i="70"/>
  <c r="AB41" i="70"/>
  <c r="AA41" i="70"/>
  <c r="Z41" i="70"/>
  <c r="V41" i="70"/>
  <c r="T41" i="70"/>
  <c r="P41" i="70"/>
  <c r="O41" i="70"/>
  <c r="R41" i="70"/>
  <c r="AD40" i="70"/>
  <c r="AC40" i="70"/>
  <c r="AB40" i="70"/>
  <c r="AA40" i="70"/>
  <c r="Z40" i="70"/>
  <c r="V40" i="70"/>
  <c r="T40" i="70"/>
  <c r="P40" i="70"/>
  <c r="O40" i="70"/>
  <c r="R40" i="70"/>
  <c r="AD39" i="70"/>
  <c r="AC39" i="70"/>
  <c r="AB39" i="70"/>
  <c r="AA39" i="70"/>
  <c r="Z39" i="70"/>
  <c r="T39" i="70"/>
  <c r="P39" i="70"/>
  <c r="Q39" i="70"/>
  <c r="O39" i="70"/>
  <c r="R39" i="70"/>
  <c r="P34" i="70"/>
  <c r="P11" i="70"/>
  <c r="B2" i="70"/>
  <c r="AE11" i="69"/>
  <c r="F34" i="69"/>
  <c r="E34" i="69"/>
  <c r="D34" i="69"/>
  <c r="D33" i="69"/>
  <c r="D49" i="69"/>
  <c r="W40" i="69"/>
  <c r="C34" i="69"/>
  <c r="F33" i="69"/>
  <c r="E33" i="69"/>
  <c r="E49" i="69"/>
  <c r="W41" i="69"/>
  <c r="C33" i="69"/>
  <c r="C49" i="69"/>
  <c r="W39" i="69"/>
  <c r="F48" i="69"/>
  <c r="E48" i="69"/>
  <c r="D48" i="69"/>
  <c r="C48" i="69"/>
  <c r="V39" i="69"/>
  <c r="F47" i="69"/>
  <c r="D47" i="69"/>
  <c r="F46" i="69"/>
  <c r="E46" i="69"/>
  <c r="U41" i="69"/>
  <c r="D46" i="69"/>
  <c r="C46" i="69"/>
  <c r="C47" i="69"/>
  <c r="AD42" i="69"/>
  <c r="AC42" i="69"/>
  <c r="AB42" i="69"/>
  <c r="AA42" i="69"/>
  <c r="Z42" i="69"/>
  <c r="V42" i="69"/>
  <c r="U42" i="69"/>
  <c r="T42" i="69"/>
  <c r="R42" i="69"/>
  <c r="P42" i="69"/>
  <c r="O42" i="69"/>
  <c r="AD41" i="69"/>
  <c r="AC41" i="69"/>
  <c r="AB41" i="69"/>
  <c r="AA41" i="69"/>
  <c r="Z41" i="69"/>
  <c r="V41" i="69"/>
  <c r="T41" i="69"/>
  <c r="P41" i="69"/>
  <c r="O41" i="69"/>
  <c r="R41" i="69"/>
  <c r="AD40" i="69"/>
  <c r="AC40" i="69"/>
  <c r="AB40" i="69"/>
  <c r="AA40" i="69"/>
  <c r="Z40" i="69"/>
  <c r="V40" i="69"/>
  <c r="U40" i="69"/>
  <c r="T40" i="69"/>
  <c r="R40" i="69"/>
  <c r="P40" i="69"/>
  <c r="O40" i="69"/>
  <c r="AD39" i="69"/>
  <c r="AC39" i="69"/>
  <c r="AB39" i="69"/>
  <c r="AA39" i="69"/>
  <c r="Z39" i="69"/>
  <c r="T39" i="69"/>
  <c r="P39" i="69"/>
  <c r="Q39" i="69"/>
  <c r="O39" i="69"/>
  <c r="R39" i="69"/>
  <c r="P34" i="69"/>
  <c r="F49" i="69"/>
  <c r="W42" i="69"/>
  <c r="P11" i="69"/>
  <c r="B2" i="69"/>
  <c r="AR14" i="68"/>
  <c r="AP14" i="68"/>
  <c r="AN14" i="68"/>
  <c r="AL14" i="68"/>
  <c r="AJ14" i="68"/>
  <c r="AE11" i="68"/>
  <c r="F34" i="68"/>
  <c r="E34" i="68"/>
  <c r="D34" i="68"/>
  <c r="C34" i="68"/>
  <c r="F33" i="68"/>
  <c r="F49" i="68"/>
  <c r="W42" i="68"/>
  <c r="E33" i="68"/>
  <c r="E49" i="68"/>
  <c r="W41" i="68"/>
  <c r="D33" i="68"/>
  <c r="D49" i="68"/>
  <c r="W40" i="68"/>
  <c r="C33" i="68"/>
  <c r="F48" i="68"/>
  <c r="E48" i="68"/>
  <c r="V41" i="68"/>
  <c r="D48" i="68"/>
  <c r="C48" i="68"/>
  <c r="V39" i="68"/>
  <c r="F47" i="68"/>
  <c r="F46" i="68"/>
  <c r="U42" i="68"/>
  <c r="E46" i="68"/>
  <c r="E47" i="68"/>
  <c r="D46" i="68"/>
  <c r="D47" i="68"/>
  <c r="C46" i="68"/>
  <c r="C47" i="68"/>
  <c r="AD42" i="68"/>
  <c r="AC42" i="68"/>
  <c r="AB42" i="68"/>
  <c r="AA42" i="68"/>
  <c r="Z42" i="68"/>
  <c r="V42" i="68"/>
  <c r="T42" i="68"/>
  <c r="P42" i="68"/>
  <c r="O42" i="68"/>
  <c r="R42" i="68"/>
  <c r="AD41" i="68"/>
  <c r="AC41" i="68"/>
  <c r="AB41" i="68"/>
  <c r="AA41" i="68"/>
  <c r="Z41" i="68"/>
  <c r="T41" i="68"/>
  <c r="P41" i="68"/>
  <c r="O41" i="68"/>
  <c r="R41" i="68"/>
  <c r="AD40" i="68"/>
  <c r="AC40" i="68"/>
  <c r="AB40" i="68"/>
  <c r="AA40" i="68"/>
  <c r="Z40" i="68"/>
  <c r="V40" i="68"/>
  <c r="U40" i="68"/>
  <c r="T40" i="68"/>
  <c r="P40" i="68"/>
  <c r="O40" i="68"/>
  <c r="R40" i="68"/>
  <c r="AD39" i="68"/>
  <c r="AC39" i="68"/>
  <c r="AB39" i="68"/>
  <c r="AA39" i="68"/>
  <c r="Z39" i="68"/>
  <c r="T39" i="68"/>
  <c r="R39" i="68"/>
  <c r="P39" i="68"/>
  <c r="Q39" i="68"/>
  <c r="O39" i="68"/>
  <c r="P34" i="68"/>
  <c r="P11" i="68"/>
  <c r="B2" i="68"/>
  <c r="V39" i="62"/>
  <c r="V40" i="62"/>
  <c r="U42" i="62"/>
  <c r="U41" i="62"/>
  <c r="U40" i="62"/>
  <c r="U39" i="62"/>
  <c r="O42" i="62"/>
  <c r="O41" i="62"/>
  <c r="O40" i="62"/>
  <c r="O39" i="62"/>
  <c r="R39" i="62"/>
  <c r="AR86" i="62"/>
  <c r="AP86" i="62"/>
  <c r="AN86" i="62"/>
  <c r="AL86" i="62"/>
  <c r="AJ86" i="62"/>
  <c r="AE83" i="62"/>
  <c r="F111" i="62"/>
  <c r="D111" i="62"/>
  <c r="F106" i="62"/>
  <c r="E106" i="62"/>
  <c r="E105" i="62"/>
  <c r="E121" i="62"/>
  <c r="W113" i="62"/>
  <c r="D106" i="62"/>
  <c r="C106" i="62"/>
  <c r="C105" i="62"/>
  <c r="F105" i="62"/>
  <c r="F121" i="62"/>
  <c r="W114" i="62"/>
  <c r="D105" i="62"/>
  <c r="F101" i="62"/>
  <c r="F118" i="62"/>
  <c r="E101" i="62"/>
  <c r="E111" i="62"/>
  <c r="D101" i="62"/>
  <c r="C101" i="62"/>
  <c r="C111" i="62"/>
  <c r="H84" i="62"/>
  <c r="F84" i="62"/>
  <c r="E84" i="62"/>
  <c r="D84" i="62"/>
  <c r="C84" i="62"/>
  <c r="J83" i="62"/>
  <c r="J84" i="62"/>
  <c r="I83" i="62"/>
  <c r="I84" i="62"/>
  <c r="H83" i="62"/>
  <c r="G83" i="62"/>
  <c r="G84" i="62"/>
  <c r="F120" i="62"/>
  <c r="V114" i="62"/>
  <c r="E120" i="62"/>
  <c r="D120" i="62"/>
  <c r="C120" i="62"/>
  <c r="V111" i="62"/>
  <c r="D118" i="62"/>
  <c r="D119" i="62"/>
  <c r="AD114" i="62"/>
  <c r="AC114" i="62"/>
  <c r="AB114" i="62"/>
  <c r="AA114" i="62"/>
  <c r="Z114" i="62"/>
  <c r="T114" i="62"/>
  <c r="P114" i="62"/>
  <c r="AD113" i="62"/>
  <c r="AC113" i="62"/>
  <c r="AB113" i="62"/>
  <c r="AA113" i="62"/>
  <c r="Z113" i="62"/>
  <c r="V113" i="62"/>
  <c r="T113" i="62"/>
  <c r="P113" i="62"/>
  <c r="AD112" i="62"/>
  <c r="AC112" i="62"/>
  <c r="AB112" i="62"/>
  <c r="AA112" i="62"/>
  <c r="Z112" i="62"/>
  <c r="V112" i="62"/>
  <c r="T112" i="62"/>
  <c r="P112" i="62"/>
  <c r="AD111" i="62"/>
  <c r="AC111" i="62"/>
  <c r="AB111" i="62"/>
  <c r="AA111" i="62"/>
  <c r="Z111" i="62"/>
  <c r="T111" i="62"/>
  <c r="P111" i="62"/>
  <c r="Q111" i="62"/>
  <c r="D121" i="62"/>
  <c r="W112" i="62"/>
  <c r="O114" i="62"/>
  <c r="R114" i="62"/>
  <c r="O111" i="62"/>
  <c r="R111" i="62"/>
  <c r="P83" i="62"/>
  <c r="O113" i="62"/>
  <c r="R113" i="62"/>
  <c r="AP14" i="62"/>
  <c r="AN14" i="62"/>
  <c r="AC14" i="62"/>
  <c r="AR14" i="62"/>
  <c r="Y14" i="62"/>
  <c r="W14" i="62"/>
  <c r="AL14" i="62"/>
  <c r="U14" i="62"/>
  <c r="AJ14" i="62"/>
  <c r="AE11" i="62"/>
  <c r="F39" i="62"/>
  <c r="E39" i="62"/>
  <c r="D39" i="62"/>
  <c r="C39" i="62"/>
  <c r="F34" i="62"/>
  <c r="E34" i="62"/>
  <c r="E33" i="62"/>
  <c r="D34" i="62"/>
  <c r="D33" i="62"/>
  <c r="D49" i="62"/>
  <c r="W40" i="62"/>
  <c r="C34" i="62"/>
  <c r="P34" i="62"/>
  <c r="F33" i="62"/>
  <c r="I12" i="62"/>
  <c r="C12" i="62"/>
  <c r="I11" i="62"/>
  <c r="H11" i="62"/>
  <c r="H12" i="62"/>
  <c r="G11" i="62"/>
  <c r="G12" i="62"/>
  <c r="F11" i="62"/>
  <c r="F12" i="62"/>
  <c r="E11" i="62"/>
  <c r="E12" i="62"/>
  <c r="D11" i="62"/>
  <c r="D12" i="62"/>
  <c r="AH18" i="64"/>
  <c r="AH17" i="64"/>
  <c r="AH16" i="64"/>
  <c r="AH15" i="64"/>
  <c r="AR14" i="64"/>
  <c r="AP14" i="64"/>
  <c r="AN14" i="64"/>
  <c r="AL14" i="64"/>
  <c r="AJ14" i="64"/>
  <c r="AH14" i="64"/>
  <c r="AH13" i="64"/>
  <c r="AH12" i="64"/>
  <c r="AH11" i="64"/>
  <c r="AE11" i="64"/>
  <c r="C66" i="64"/>
  <c r="F34" i="64"/>
  <c r="F33" i="64"/>
  <c r="E34" i="64"/>
  <c r="E33" i="64"/>
  <c r="D34" i="64"/>
  <c r="D33" i="64"/>
  <c r="D49" i="64"/>
  <c r="W40" i="64"/>
  <c r="C34" i="64"/>
  <c r="C33" i="64"/>
  <c r="C49" i="64"/>
  <c r="W39" i="64"/>
  <c r="AH18" i="65"/>
  <c r="AH17" i="65"/>
  <c r="AH16" i="65"/>
  <c r="AH15" i="65"/>
  <c r="AR14" i="65"/>
  <c r="AP14" i="65"/>
  <c r="AN14" i="65"/>
  <c r="AL14" i="65"/>
  <c r="AJ14" i="65"/>
  <c r="AH14" i="65"/>
  <c r="AH13" i="65"/>
  <c r="AH12" i="65"/>
  <c r="AH11" i="65"/>
  <c r="AE11" i="65"/>
  <c r="F45" i="65"/>
  <c r="E45" i="65"/>
  <c r="D45" i="65"/>
  <c r="C45" i="65"/>
  <c r="F34" i="65"/>
  <c r="E34" i="65"/>
  <c r="D34" i="65"/>
  <c r="D33" i="65"/>
  <c r="D49" i="65"/>
  <c r="W40" i="65"/>
  <c r="C34" i="65"/>
  <c r="C33" i="65"/>
  <c r="C49" i="65"/>
  <c r="W39" i="65"/>
  <c r="F33" i="65"/>
  <c r="E33" i="65"/>
  <c r="AR19" i="66"/>
  <c r="AP19" i="66"/>
  <c r="AN19" i="66"/>
  <c r="AL19" i="66"/>
  <c r="AJ19" i="66"/>
  <c r="AC19" i="66"/>
  <c r="AA19" i="66"/>
  <c r="Y19" i="66"/>
  <c r="W19" i="66"/>
  <c r="U19" i="66"/>
  <c r="AE11" i="66"/>
  <c r="F34" i="66"/>
  <c r="F33" i="66"/>
  <c r="F49" i="66"/>
  <c r="W42" i="66"/>
  <c r="E34" i="66"/>
  <c r="D34" i="66"/>
  <c r="D33" i="66"/>
  <c r="C34" i="66"/>
  <c r="E33" i="66"/>
  <c r="C33" i="66"/>
  <c r="C49" i="66"/>
  <c r="W39" i="66"/>
  <c r="J12" i="66"/>
  <c r="I12" i="66"/>
  <c r="H12" i="66"/>
  <c r="G12" i="66"/>
  <c r="F12" i="66"/>
  <c r="E12" i="66"/>
  <c r="D12" i="66"/>
  <c r="C12" i="66"/>
  <c r="O39" i="66"/>
  <c r="R39" i="66"/>
  <c r="F48" i="66"/>
  <c r="E48" i="66"/>
  <c r="V41" i="66"/>
  <c r="D48" i="66"/>
  <c r="C48" i="66"/>
  <c r="F47" i="66"/>
  <c r="F46" i="66"/>
  <c r="E46" i="66"/>
  <c r="E47" i="66"/>
  <c r="D46" i="66"/>
  <c r="D47" i="66"/>
  <c r="C46" i="66"/>
  <c r="C47" i="66"/>
  <c r="AD42" i="66"/>
  <c r="AC42" i="66"/>
  <c r="AB42" i="66"/>
  <c r="AA42" i="66"/>
  <c r="Z42" i="66"/>
  <c r="V42" i="66"/>
  <c r="U42" i="66"/>
  <c r="T42" i="66"/>
  <c r="P42" i="66"/>
  <c r="AD41" i="66"/>
  <c r="AC41" i="66"/>
  <c r="AB41" i="66"/>
  <c r="AA41" i="66"/>
  <c r="Z41" i="66"/>
  <c r="T41" i="66"/>
  <c r="P41" i="66"/>
  <c r="AD40" i="66"/>
  <c r="AC40" i="66"/>
  <c r="AB40" i="66"/>
  <c r="AA40" i="66"/>
  <c r="Z40" i="66"/>
  <c r="V40" i="66"/>
  <c r="T40" i="66"/>
  <c r="P40" i="66"/>
  <c r="AD39" i="66"/>
  <c r="AC39" i="66"/>
  <c r="AB39" i="66"/>
  <c r="AA39" i="66"/>
  <c r="Z39" i="66"/>
  <c r="V39" i="66"/>
  <c r="U39" i="66"/>
  <c r="T39" i="66"/>
  <c r="Q39" i="66"/>
  <c r="P39" i="66"/>
  <c r="P34" i="66"/>
  <c r="P11" i="66"/>
  <c r="B2" i="66"/>
  <c r="F48" i="65"/>
  <c r="V42" i="65"/>
  <c r="E48" i="65"/>
  <c r="V41" i="65"/>
  <c r="D48" i="65"/>
  <c r="C48" i="65"/>
  <c r="F46" i="65"/>
  <c r="F47" i="65"/>
  <c r="E46" i="65"/>
  <c r="E47" i="65"/>
  <c r="D46" i="65"/>
  <c r="D47" i="65"/>
  <c r="C46" i="65"/>
  <c r="C47" i="65"/>
  <c r="AD42" i="65"/>
  <c r="AC42" i="65"/>
  <c r="AB42" i="65"/>
  <c r="AA42" i="65"/>
  <c r="Z42" i="65"/>
  <c r="T42" i="65"/>
  <c r="P42" i="65"/>
  <c r="AD41" i="65"/>
  <c r="AC41" i="65"/>
  <c r="AB41" i="65"/>
  <c r="AA41" i="65"/>
  <c r="Z41" i="65"/>
  <c r="T41" i="65"/>
  <c r="P41" i="65"/>
  <c r="AD40" i="65"/>
  <c r="AC40" i="65"/>
  <c r="AB40" i="65"/>
  <c r="AA40" i="65"/>
  <c r="Z40" i="65"/>
  <c r="V40" i="65"/>
  <c r="U40" i="65"/>
  <c r="T40" i="65"/>
  <c r="P40" i="65"/>
  <c r="AD39" i="65"/>
  <c r="AC39" i="65"/>
  <c r="AB39" i="65"/>
  <c r="AA39" i="65"/>
  <c r="V39" i="65"/>
  <c r="U39" i="65"/>
  <c r="T39" i="65"/>
  <c r="R39" i="65"/>
  <c r="P39" i="65"/>
  <c r="Q39" i="65"/>
  <c r="O39" i="65"/>
  <c r="F49" i="65"/>
  <c r="W42" i="65"/>
  <c r="E49" i="65"/>
  <c r="W41" i="65"/>
  <c r="O42" i="65"/>
  <c r="R42" i="65"/>
  <c r="O41" i="65"/>
  <c r="R41" i="65"/>
  <c r="O40" i="65"/>
  <c r="R40" i="65"/>
  <c r="P11" i="65"/>
  <c r="B2" i="65"/>
  <c r="F48" i="64"/>
  <c r="V42" i="64"/>
  <c r="E48" i="64"/>
  <c r="V41" i="64"/>
  <c r="D48" i="64"/>
  <c r="C48" i="64"/>
  <c r="V39" i="64"/>
  <c r="F46" i="64"/>
  <c r="U42" i="64"/>
  <c r="E46" i="64"/>
  <c r="E47" i="64"/>
  <c r="D46" i="64"/>
  <c r="D47" i="64"/>
  <c r="C46" i="64"/>
  <c r="C47" i="64"/>
  <c r="AD42" i="64"/>
  <c r="AC42" i="64"/>
  <c r="AB42" i="64"/>
  <c r="AA42" i="64"/>
  <c r="Z42" i="64"/>
  <c r="T42" i="64"/>
  <c r="P42" i="64"/>
  <c r="AD41" i="64"/>
  <c r="AC41" i="64"/>
  <c r="AB41" i="64"/>
  <c r="AA41" i="64"/>
  <c r="Z41" i="64"/>
  <c r="U41" i="64"/>
  <c r="T41" i="64"/>
  <c r="P41" i="64"/>
  <c r="AD40" i="64"/>
  <c r="AC40" i="64"/>
  <c r="AB40" i="64"/>
  <c r="AA40" i="64"/>
  <c r="Z40" i="64"/>
  <c r="V40" i="64"/>
  <c r="U40" i="64"/>
  <c r="T40" i="64"/>
  <c r="P40" i="64"/>
  <c r="AD39" i="64"/>
  <c r="AC39" i="64"/>
  <c r="AB39" i="64"/>
  <c r="AA39" i="64"/>
  <c r="Z39" i="64"/>
  <c r="U39" i="64"/>
  <c r="T39" i="64"/>
  <c r="P39" i="64"/>
  <c r="Q39" i="64"/>
  <c r="P34" i="64"/>
  <c r="O39" i="64"/>
  <c r="R39" i="64"/>
  <c r="P11" i="64"/>
  <c r="B2" i="64"/>
  <c r="F48" i="63"/>
  <c r="V42" i="63"/>
  <c r="E48" i="63"/>
  <c r="V41" i="63"/>
  <c r="D48" i="63"/>
  <c r="C48" i="63"/>
  <c r="V39" i="63"/>
  <c r="D47" i="63"/>
  <c r="F47" i="63"/>
  <c r="E47" i="63"/>
  <c r="C47" i="63"/>
  <c r="AD42" i="63"/>
  <c r="AC42" i="63"/>
  <c r="AB42" i="63"/>
  <c r="AA42" i="63"/>
  <c r="Z42" i="63"/>
  <c r="U42" i="63"/>
  <c r="T42" i="63"/>
  <c r="P42" i="63"/>
  <c r="AD41" i="63"/>
  <c r="AC41" i="63"/>
  <c r="AB41" i="63"/>
  <c r="AA41" i="63"/>
  <c r="Z41" i="63"/>
  <c r="T41" i="63"/>
  <c r="P41" i="63"/>
  <c r="AD40" i="63"/>
  <c r="AC40" i="63"/>
  <c r="AB40" i="63"/>
  <c r="AA40" i="63"/>
  <c r="Z40" i="63"/>
  <c r="V40" i="63"/>
  <c r="U40" i="63"/>
  <c r="T40" i="63"/>
  <c r="P40" i="63"/>
  <c r="AD39" i="63"/>
  <c r="AC39" i="63"/>
  <c r="AB39" i="63"/>
  <c r="AA39" i="63"/>
  <c r="Z39" i="63"/>
  <c r="T39" i="63"/>
  <c r="P39" i="63"/>
  <c r="Q39" i="63"/>
  <c r="R39" i="63"/>
  <c r="F39" i="63"/>
  <c r="E39" i="63"/>
  <c r="D39" i="63"/>
  <c r="C39" i="63"/>
  <c r="E35" i="63"/>
  <c r="F34" i="63"/>
  <c r="F33" i="63"/>
  <c r="E34" i="63"/>
  <c r="D34" i="63"/>
  <c r="C34" i="63"/>
  <c r="P34" i="63"/>
  <c r="D33" i="63"/>
  <c r="D49" i="63"/>
  <c r="W40" i="63"/>
  <c r="C33" i="63"/>
  <c r="C49" i="63"/>
  <c r="W39" i="63"/>
  <c r="AR14" i="63"/>
  <c r="AJ14" i="63"/>
  <c r="AC14" i="63"/>
  <c r="AA14" i="63"/>
  <c r="AP14" i="63"/>
  <c r="Y14" i="63"/>
  <c r="AN14" i="63"/>
  <c r="W14" i="63"/>
  <c r="AL14" i="63"/>
  <c r="U14" i="63"/>
  <c r="H12" i="63"/>
  <c r="G12" i="63"/>
  <c r="F12" i="63"/>
  <c r="R42" i="63"/>
  <c r="E12" i="63"/>
  <c r="R41" i="63"/>
  <c r="D12" i="63"/>
  <c r="R40" i="63"/>
  <c r="C12" i="63"/>
  <c r="AE11" i="63"/>
  <c r="P11" i="63"/>
  <c r="J11" i="63"/>
  <c r="J12" i="63"/>
  <c r="I11" i="63"/>
  <c r="I12" i="63"/>
  <c r="H11" i="63"/>
  <c r="G11" i="63"/>
  <c r="B2" i="63"/>
  <c r="F48" i="62"/>
  <c r="V42" i="62"/>
  <c r="E48" i="62"/>
  <c r="V41" i="62"/>
  <c r="D48" i="62"/>
  <c r="C48" i="62"/>
  <c r="F47" i="62"/>
  <c r="F46" i="62"/>
  <c r="E46" i="62"/>
  <c r="E47" i="62"/>
  <c r="D46" i="62"/>
  <c r="D47" i="62"/>
  <c r="C46" i="62"/>
  <c r="C47" i="62"/>
  <c r="AD42" i="62"/>
  <c r="AC42" i="62"/>
  <c r="AB42" i="62"/>
  <c r="AA42" i="62"/>
  <c r="Z42" i="62"/>
  <c r="T42" i="62"/>
  <c r="P42" i="62"/>
  <c r="AD41" i="62"/>
  <c r="AC41" i="62"/>
  <c r="AB41" i="62"/>
  <c r="AA41" i="62"/>
  <c r="Z41" i="62"/>
  <c r="T41" i="62"/>
  <c r="P41" i="62"/>
  <c r="AD40" i="62"/>
  <c r="AC40" i="62"/>
  <c r="AB40" i="62"/>
  <c r="AA40" i="62"/>
  <c r="Z40" i="62"/>
  <c r="T40" i="62"/>
  <c r="P40" i="62"/>
  <c r="AD39" i="62"/>
  <c r="AC39" i="62"/>
  <c r="AB39" i="62"/>
  <c r="AA39" i="62"/>
  <c r="Z39" i="62"/>
  <c r="T39" i="62"/>
  <c r="P39" i="62"/>
  <c r="Q39" i="62"/>
  <c r="P11" i="62"/>
  <c r="B2" i="62"/>
  <c r="O121" i="55"/>
  <c r="O120" i="55"/>
  <c r="O119" i="55"/>
  <c r="O118" i="55"/>
  <c r="O42" i="55"/>
  <c r="R42" i="55"/>
  <c r="O41" i="55"/>
  <c r="R41" i="55"/>
  <c r="O40" i="55"/>
  <c r="R40" i="55"/>
  <c r="O39" i="55"/>
  <c r="O42" i="57"/>
  <c r="R42" i="57"/>
  <c r="O41" i="57"/>
  <c r="R41" i="57"/>
  <c r="O40" i="57"/>
  <c r="R40" i="57"/>
  <c r="O39" i="57"/>
  <c r="O348" i="56"/>
  <c r="O347" i="56"/>
  <c r="R347" i="56"/>
  <c r="O346" i="56"/>
  <c r="R346" i="56"/>
  <c r="O345" i="56"/>
  <c r="F49" i="57"/>
  <c r="W42" i="57"/>
  <c r="F47" i="57"/>
  <c r="D47" i="57"/>
  <c r="F46" i="57"/>
  <c r="E46" i="57"/>
  <c r="E47" i="57"/>
  <c r="D46" i="57"/>
  <c r="C46" i="57"/>
  <c r="C47" i="57"/>
  <c r="AD42" i="57"/>
  <c r="AC42" i="57"/>
  <c r="AB42" i="57"/>
  <c r="AA42" i="57"/>
  <c r="Z42" i="57"/>
  <c r="U42" i="57"/>
  <c r="T42" i="57"/>
  <c r="P42" i="57"/>
  <c r="AD41" i="57"/>
  <c r="AC41" i="57"/>
  <c r="AB41" i="57"/>
  <c r="AA41" i="57"/>
  <c r="Z41" i="57"/>
  <c r="T41" i="57"/>
  <c r="P41" i="57"/>
  <c r="AD40" i="57"/>
  <c r="AC40" i="57"/>
  <c r="AB40" i="57"/>
  <c r="AA40" i="57"/>
  <c r="Z40" i="57"/>
  <c r="U40" i="57"/>
  <c r="T40" i="57"/>
  <c r="P40" i="57"/>
  <c r="AD39" i="57"/>
  <c r="AC39" i="57"/>
  <c r="AB39" i="57"/>
  <c r="AA39" i="57"/>
  <c r="Z39" i="57"/>
  <c r="T39" i="57"/>
  <c r="P39" i="57"/>
  <c r="Q39" i="57"/>
  <c r="R39" i="57"/>
  <c r="P34" i="57"/>
  <c r="P33" i="57"/>
  <c r="F33" i="57"/>
  <c r="E33" i="57"/>
  <c r="E49" i="57"/>
  <c r="W41" i="57"/>
  <c r="D33" i="57"/>
  <c r="D49" i="57"/>
  <c r="W40" i="57"/>
  <c r="C33" i="57"/>
  <c r="C49" i="57"/>
  <c r="W39" i="57"/>
  <c r="F32" i="57"/>
  <c r="F48" i="57"/>
  <c r="V42" i="57"/>
  <c r="E32" i="57"/>
  <c r="E48" i="57"/>
  <c r="V41" i="57"/>
  <c r="D32" i="57"/>
  <c r="D48" i="57"/>
  <c r="V40" i="57"/>
  <c r="C32" i="57"/>
  <c r="C48" i="57"/>
  <c r="V39" i="57"/>
  <c r="P11" i="57"/>
  <c r="AE11" i="57"/>
  <c r="F353" i="56"/>
  <c r="D353" i="56"/>
  <c r="F352" i="56"/>
  <c r="E352" i="56"/>
  <c r="U347" i="56"/>
  <c r="D352" i="56"/>
  <c r="C352" i="56"/>
  <c r="C353" i="56"/>
  <c r="AD348" i="56"/>
  <c r="AC348" i="56"/>
  <c r="AB348" i="56"/>
  <c r="AA348" i="56"/>
  <c r="Z348" i="56"/>
  <c r="U348" i="56"/>
  <c r="T348" i="56"/>
  <c r="R348" i="56"/>
  <c r="P348" i="56"/>
  <c r="AD347" i="56"/>
  <c r="AC347" i="56"/>
  <c r="AB347" i="56"/>
  <c r="AA347" i="56"/>
  <c r="Z347" i="56"/>
  <c r="T347" i="56"/>
  <c r="P347" i="56"/>
  <c r="AD346" i="56"/>
  <c r="AC346" i="56"/>
  <c r="AB346" i="56"/>
  <c r="AA346" i="56"/>
  <c r="Z346" i="56"/>
  <c r="U346" i="56"/>
  <c r="T346" i="56"/>
  <c r="P346" i="56"/>
  <c r="AD345" i="56"/>
  <c r="AC345" i="56"/>
  <c r="AB345" i="56"/>
  <c r="AA345" i="56"/>
  <c r="Z345" i="56"/>
  <c r="T345" i="56"/>
  <c r="P345" i="56"/>
  <c r="Q345" i="56"/>
  <c r="R345" i="56"/>
  <c r="F340" i="56"/>
  <c r="F339" i="56"/>
  <c r="F355" i="56"/>
  <c r="W348" i="56"/>
  <c r="E340" i="56"/>
  <c r="D340" i="56"/>
  <c r="C340" i="56"/>
  <c r="P340" i="56"/>
  <c r="E339" i="56"/>
  <c r="E355" i="56"/>
  <c r="W347" i="56"/>
  <c r="D339" i="56"/>
  <c r="D355" i="56"/>
  <c r="W346" i="56"/>
  <c r="F338" i="56"/>
  <c r="F354" i="56"/>
  <c r="V348" i="56"/>
  <c r="E338" i="56"/>
  <c r="E354" i="56"/>
  <c r="V347" i="56"/>
  <c r="D338" i="56"/>
  <c r="D354" i="56"/>
  <c r="V346" i="56"/>
  <c r="C338" i="56"/>
  <c r="C354" i="56"/>
  <c r="V345" i="56"/>
  <c r="V331" i="56"/>
  <c r="U331" i="56"/>
  <c r="T331" i="56"/>
  <c r="AH317" i="56"/>
  <c r="P317" i="56"/>
  <c r="AE317" i="56"/>
  <c r="AD282" i="56"/>
  <c r="AC282" i="56"/>
  <c r="AB282" i="56"/>
  <c r="AA282" i="56"/>
  <c r="Z282" i="56"/>
  <c r="T282" i="56"/>
  <c r="P282" i="56"/>
  <c r="AD281" i="56"/>
  <c r="AC281" i="56"/>
  <c r="AB281" i="56"/>
  <c r="AA281" i="56"/>
  <c r="Z281" i="56"/>
  <c r="T281" i="56"/>
  <c r="P281" i="56"/>
  <c r="AD280" i="56"/>
  <c r="AC280" i="56"/>
  <c r="AB280" i="56"/>
  <c r="AA280" i="56"/>
  <c r="Z280" i="56"/>
  <c r="T280" i="56"/>
  <c r="P280" i="56"/>
  <c r="AD279" i="56"/>
  <c r="AC279" i="56"/>
  <c r="AB279" i="56"/>
  <c r="AA279" i="56"/>
  <c r="Z279" i="56"/>
  <c r="T279" i="56"/>
  <c r="P279" i="56"/>
  <c r="F274" i="56"/>
  <c r="E274" i="56"/>
  <c r="D274" i="56"/>
  <c r="C274" i="56"/>
  <c r="C275" i="56"/>
  <c r="P273" i="56"/>
  <c r="F273" i="56"/>
  <c r="F289" i="56"/>
  <c r="W282" i="56"/>
  <c r="E273" i="56"/>
  <c r="E289" i="56"/>
  <c r="W281" i="56"/>
  <c r="D273" i="56"/>
  <c r="C273" i="56"/>
  <c r="C289" i="56"/>
  <c r="W279" i="56"/>
  <c r="F272" i="56"/>
  <c r="F288" i="56"/>
  <c r="V282" i="56"/>
  <c r="E272" i="56"/>
  <c r="E288" i="56"/>
  <c r="V281" i="56"/>
  <c r="D272" i="56"/>
  <c r="D288" i="56"/>
  <c r="V280" i="56"/>
  <c r="C272" i="56"/>
  <c r="C288" i="56"/>
  <c r="V279" i="56"/>
  <c r="F271" i="56"/>
  <c r="E271" i="56"/>
  <c r="D271" i="56"/>
  <c r="C271" i="56"/>
  <c r="F269" i="56"/>
  <c r="F286" i="56"/>
  <c r="U282" i="56"/>
  <c r="E269" i="56"/>
  <c r="E286" i="56"/>
  <c r="U281" i="56"/>
  <c r="D269" i="56"/>
  <c r="D286" i="56"/>
  <c r="C269" i="56"/>
  <c r="C286" i="56"/>
  <c r="V265" i="56"/>
  <c r="U265" i="56"/>
  <c r="T265" i="56"/>
  <c r="AR254" i="56"/>
  <c r="AP254" i="56"/>
  <c r="AN254" i="56"/>
  <c r="AL254" i="56"/>
  <c r="AJ254" i="56"/>
  <c r="J252" i="56"/>
  <c r="I252" i="56"/>
  <c r="H252" i="56"/>
  <c r="G252" i="56"/>
  <c r="F252" i="56"/>
  <c r="E252" i="56"/>
  <c r="O281" i="56"/>
  <c r="D252" i="56"/>
  <c r="O280" i="56"/>
  <c r="C252" i="56"/>
  <c r="O279" i="56"/>
  <c r="AE251" i="56"/>
  <c r="C207" i="56"/>
  <c r="C208" i="56"/>
  <c r="AD203" i="56"/>
  <c r="AC203" i="56"/>
  <c r="AB203" i="56"/>
  <c r="AA203" i="56"/>
  <c r="Z203" i="56"/>
  <c r="T203" i="56"/>
  <c r="P203" i="56"/>
  <c r="AD202" i="56"/>
  <c r="AC202" i="56"/>
  <c r="AB202" i="56"/>
  <c r="AA202" i="56"/>
  <c r="Z202" i="56"/>
  <c r="T202" i="56"/>
  <c r="P202" i="56"/>
  <c r="AD201" i="56"/>
  <c r="AC201" i="56"/>
  <c r="AB201" i="56"/>
  <c r="AA201" i="56"/>
  <c r="Z201" i="56"/>
  <c r="T201" i="56"/>
  <c r="P201" i="56"/>
  <c r="AD200" i="56"/>
  <c r="AC200" i="56"/>
  <c r="AB200" i="56"/>
  <c r="AA200" i="56"/>
  <c r="Z200" i="56"/>
  <c r="T200" i="56"/>
  <c r="P200" i="56"/>
  <c r="F195" i="56"/>
  <c r="E195" i="56"/>
  <c r="D195" i="56"/>
  <c r="C195" i="56"/>
  <c r="P195" i="56"/>
  <c r="F194" i="56"/>
  <c r="F210" i="56"/>
  <c r="W203" i="56"/>
  <c r="E194" i="56"/>
  <c r="E210" i="56"/>
  <c r="W202" i="56"/>
  <c r="D194" i="56"/>
  <c r="D210" i="56"/>
  <c r="W201" i="56"/>
  <c r="C194" i="56"/>
  <c r="P194" i="56"/>
  <c r="F193" i="56"/>
  <c r="F209" i="56"/>
  <c r="V203" i="56"/>
  <c r="E193" i="56"/>
  <c r="E209" i="56"/>
  <c r="V202" i="56"/>
  <c r="D193" i="56"/>
  <c r="D209" i="56"/>
  <c r="V201" i="56"/>
  <c r="C193" i="56"/>
  <c r="C209" i="56"/>
  <c r="V200" i="56"/>
  <c r="F192" i="56"/>
  <c r="E192" i="56"/>
  <c r="D192" i="56"/>
  <c r="C192" i="56"/>
  <c r="F190" i="56"/>
  <c r="F207" i="56"/>
  <c r="E190" i="56"/>
  <c r="E207" i="56"/>
  <c r="D190" i="56"/>
  <c r="D207" i="56"/>
  <c r="D208" i="56"/>
  <c r="C190" i="56"/>
  <c r="V186" i="56"/>
  <c r="U186" i="56"/>
  <c r="T186" i="56"/>
  <c r="AR175" i="56"/>
  <c r="AP175" i="56"/>
  <c r="AN175" i="56"/>
  <c r="AL175" i="56"/>
  <c r="AJ175" i="56"/>
  <c r="J173" i="56"/>
  <c r="I173" i="56"/>
  <c r="H173" i="56"/>
  <c r="G173" i="56"/>
  <c r="C173" i="56"/>
  <c r="O200" i="56"/>
  <c r="AE172" i="56"/>
  <c r="D172" i="56"/>
  <c r="E172" i="56"/>
  <c r="E173" i="56"/>
  <c r="O202" i="56"/>
  <c r="F125" i="56"/>
  <c r="F126" i="56"/>
  <c r="E125" i="56"/>
  <c r="E126" i="56"/>
  <c r="D125" i="56"/>
  <c r="D126" i="56"/>
  <c r="C125" i="56"/>
  <c r="C126" i="56"/>
  <c r="AD121" i="56"/>
  <c r="AC121" i="56"/>
  <c r="AB121" i="56"/>
  <c r="AA121" i="56"/>
  <c r="Z121" i="56"/>
  <c r="U121" i="56"/>
  <c r="T121" i="56"/>
  <c r="P121" i="56"/>
  <c r="AD120" i="56"/>
  <c r="AC120" i="56"/>
  <c r="AB120" i="56"/>
  <c r="AA120" i="56"/>
  <c r="Z120" i="56"/>
  <c r="T120" i="56"/>
  <c r="P120" i="56"/>
  <c r="AD119" i="56"/>
  <c r="AC119" i="56"/>
  <c r="AB119" i="56"/>
  <c r="AA119" i="56"/>
  <c r="Z119" i="56"/>
  <c r="U119" i="56"/>
  <c r="T119" i="56"/>
  <c r="P119" i="56"/>
  <c r="AD118" i="56"/>
  <c r="AC118" i="56"/>
  <c r="AB118" i="56"/>
  <c r="AA118" i="56"/>
  <c r="Z118" i="56"/>
  <c r="T118" i="56"/>
  <c r="P118" i="56"/>
  <c r="F113" i="56"/>
  <c r="E113" i="56"/>
  <c r="E114" i="56"/>
  <c r="D113" i="56"/>
  <c r="C113" i="56"/>
  <c r="P113" i="56"/>
  <c r="F112" i="56"/>
  <c r="F128" i="56"/>
  <c r="W121" i="56"/>
  <c r="E112" i="56"/>
  <c r="E128" i="56"/>
  <c r="W120" i="56"/>
  <c r="D112" i="56"/>
  <c r="D128" i="56"/>
  <c r="W119" i="56"/>
  <c r="C112" i="56"/>
  <c r="P112" i="56"/>
  <c r="F111" i="56"/>
  <c r="F127" i="56"/>
  <c r="V121" i="56"/>
  <c r="E111" i="56"/>
  <c r="E127" i="56"/>
  <c r="V120" i="56"/>
  <c r="D111" i="56"/>
  <c r="D127" i="56"/>
  <c r="V119" i="56"/>
  <c r="C111" i="56"/>
  <c r="C127" i="56"/>
  <c r="V118" i="56"/>
  <c r="F110" i="56"/>
  <c r="E110" i="56"/>
  <c r="D110" i="56"/>
  <c r="C110" i="56"/>
  <c r="V104" i="56"/>
  <c r="U104" i="56"/>
  <c r="T104" i="56"/>
  <c r="J91" i="56"/>
  <c r="I91" i="56"/>
  <c r="H91" i="56"/>
  <c r="G91" i="56"/>
  <c r="F91" i="56"/>
  <c r="O121" i="56"/>
  <c r="E91" i="56"/>
  <c r="O120" i="56"/>
  <c r="D91" i="56"/>
  <c r="O119" i="56"/>
  <c r="C91" i="56"/>
  <c r="O118" i="56"/>
  <c r="P90" i="56"/>
  <c r="AE90" i="56"/>
  <c r="AD42" i="56"/>
  <c r="AC42" i="56"/>
  <c r="AB42" i="56"/>
  <c r="AA42" i="56"/>
  <c r="Z42" i="56"/>
  <c r="T42" i="56"/>
  <c r="P42" i="56"/>
  <c r="AD41" i="56"/>
  <c r="AC41" i="56"/>
  <c r="AB41" i="56"/>
  <c r="AA41" i="56"/>
  <c r="Z41" i="56"/>
  <c r="T41" i="56"/>
  <c r="P41" i="56"/>
  <c r="AD40" i="56"/>
  <c r="AC40" i="56"/>
  <c r="AB40" i="56"/>
  <c r="AA40" i="56"/>
  <c r="Z40" i="56"/>
  <c r="T40" i="56"/>
  <c r="P40" i="56"/>
  <c r="AD39" i="56"/>
  <c r="AC39" i="56"/>
  <c r="AB39" i="56"/>
  <c r="AA39" i="56"/>
  <c r="Z39" i="56"/>
  <c r="T39" i="56"/>
  <c r="P39" i="56"/>
  <c r="F34" i="56"/>
  <c r="E34" i="56"/>
  <c r="D34" i="56"/>
  <c r="C34" i="56"/>
  <c r="P34" i="56"/>
  <c r="F33" i="56"/>
  <c r="F35" i="56"/>
  <c r="E33" i="56"/>
  <c r="D33" i="56"/>
  <c r="D49" i="56"/>
  <c r="W40" i="56"/>
  <c r="C33" i="56"/>
  <c r="C49" i="56"/>
  <c r="W39" i="56"/>
  <c r="F32" i="56"/>
  <c r="F48" i="56"/>
  <c r="V42" i="56"/>
  <c r="E32" i="56"/>
  <c r="E48" i="56"/>
  <c r="V41" i="56"/>
  <c r="D32" i="56"/>
  <c r="D48" i="56"/>
  <c r="V40" i="56"/>
  <c r="C32" i="56"/>
  <c r="C48" i="56"/>
  <c r="V39" i="56"/>
  <c r="F31" i="56"/>
  <c r="E31" i="56"/>
  <c r="D31" i="56"/>
  <c r="C31" i="56"/>
  <c r="F29" i="56"/>
  <c r="F46" i="56"/>
  <c r="U42" i="56"/>
  <c r="E29" i="56"/>
  <c r="E46" i="56"/>
  <c r="D29" i="56"/>
  <c r="D46" i="56"/>
  <c r="C29" i="56"/>
  <c r="C46" i="56"/>
  <c r="V25" i="56"/>
  <c r="U25" i="56"/>
  <c r="T25" i="56"/>
  <c r="J12" i="56"/>
  <c r="I12" i="56"/>
  <c r="H12" i="56"/>
  <c r="G12" i="56"/>
  <c r="D12" i="56"/>
  <c r="O40" i="56"/>
  <c r="C12" i="56"/>
  <c r="O39" i="56"/>
  <c r="AE11" i="56"/>
  <c r="D11" i="56"/>
  <c r="F11" i="56"/>
  <c r="F12" i="56"/>
  <c r="O42" i="56"/>
  <c r="J10" i="56"/>
  <c r="I10" i="56"/>
  <c r="H10" i="56"/>
  <c r="G10" i="56"/>
  <c r="F10" i="56"/>
  <c r="E10" i="56"/>
  <c r="D10" i="56"/>
  <c r="C10" i="56"/>
  <c r="F128" i="55"/>
  <c r="W121" i="55"/>
  <c r="E128" i="55"/>
  <c r="D128" i="55"/>
  <c r="W119" i="55"/>
  <c r="F127" i="55"/>
  <c r="E127" i="55"/>
  <c r="D127" i="55"/>
  <c r="F126" i="55"/>
  <c r="E126" i="55"/>
  <c r="D126" i="55"/>
  <c r="F125" i="55"/>
  <c r="E125" i="55"/>
  <c r="U120" i="55"/>
  <c r="D125" i="55"/>
  <c r="C125" i="55"/>
  <c r="C126" i="55"/>
  <c r="AD121" i="55"/>
  <c r="AC121" i="55"/>
  <c r="AB121" i="55"/>
  <c r="AA121" i="55"/>
  <c r="Z121" i="55"/>
  <c r="V121" i="55"/>
  <c r="U121" i="55"/>
  <c r="T121" i="55"/>
  <c r="R121" i="55"/>
  <c r="P121" i="55"/>
  <c r="AD120" i="55"/>
  <c r="AC120" i="55"/>
  <c r="AB120" i="55"/>
  <c r="AA120" i="55"/>
  <c r="Z120" i="55"/>
  <c r="W120" i="55"/>
  <c r="V120" i="55"/>
  <c r="T120" i="55"/>
  <c r="P120" i="55"/>
  <c r="R120" i="55"/>
  <c r="AD119" i="55"/>
  <c r="AC119" i="55"/>
  <c r="AB119" i="55"/>
  <c r="AA119" i="55"/>
  <c r="Z119" i="55"/>
  <c r="V119" i="55"/>
  <c r="U119" i="55"/>
  <c r="T119" i="55"/>
  <c r="R119" i="55"/>
  <c r="P119" i="55"/>
  <c r="AD118" i="55"/>
  <c r="AC118" i="55"/>
  <c r="AB118" i="55"/>
  <c r="AA118" i="55"/>
  <c r="Z118" i="55"/>
  <c r="T118" i="55"/>
  <c r="P118" i="55"/>
  <c r="Q118" i="55"/>
  <c r="R118" i="55"/>
  <c r="P113" i="55"/>
  <c r="P112" i="55"/>
  <c r="F112" i="55"/>
  <c r="E112" i="55"/>
  <c r="D112" i="55"/>
  <c r="C112" i="55"/>
  <c r="C128" i="55"/>
  <c r="W118" i="55"/>
  <c r="C111" i="55"/>
  <c r="C127" i="55"/>
  <c r="V118" i="55"/>
  <c r="AE90" i="55"/>
  <c r="F49" i="55"/>
  <c r="W42" i="55"/>
  <c r="F48" i="55"/>
  <c r="V42" i="55"/>
  <c r="E48" i="55"/>
  <c r="V41" i="55"/>
  <c r="D48" i="55"/>
  <c r="V40" i="55"/>
  <c r="C48" i="55"/>
  <c r="V39" i="55"/>
  <c r="F47" i="55"/>
  <c r="F46" i="55"/>
  <c r="E46" i="55"/>
  <c r="E47" i="55"/>
  <c r="D46" i="55"/>
  <c r="D47" i="55"/>
  <c r="C46" i="55"/>
  <c r="U39" i="55"/>
  <c r="AD42" i="55"/>
  <c r="AC42" i="55"/>
  <c r="AB42" i="55"/>
  <c r="AA42" i="55"/>
  <c r="Z42" i="55"/>
  <c r="U42" i="55"/>
  <c r="T42" i="55"/>
  <c r="P42" i="55"/>
  <c r="AD41" i="55"/>
  <c r="AC41" i="55"/>
  <c r="AB41" i="55"/>
  <c r="AA41" i="55"/>
  <c r="Z41" i="55"/>
  <c r="T41" i="55"/>
  <c r="P41" i="55"/>
  <c r="AD40" i="55"/>
  <c r="AC40" i="55"/>
  <c r="AB40" i="55"/>
  <c r="AA40" i="55"/>
  <c r="Z40" i="55"/>
  <c r="U40" i="55"/>
  <c r="T40" i="55"/>
  <c r="P40" i="55"/>
  <c r="AD39" i="55"/>
  <c r="AC39" i="55"/>
  <c r="AB39" i="55"/>
  <c r="AA39" i="55"/>
  <c r="Z39" i="55"/>
  <c r="T39" i="55"/>
  <c r="P39" i="55"/>
  <c r="Q39" i="55"/>
  <c r="R39" i="55"/>
  <c r="P34" i="55"/>
  <c r="F33" i="55"/>
  <c r="E33" i="55"/>
  <c r="E49" i="55"/>
  <c r="W41" i="55"/>
  <c r="D33" i="55"/>
  <c r="D49" i="55"/>
  <c r="W40" i="55"/>
  <c r="C33" i="55"/>
  <c r="C49" i="55"/>
  <c r="W39" i="55"/>
  <c r="V25" i="55"/>
  <c r="U25" i="55"/>
  <c r="T25" i="55"/>
  <c r="P11" i="55"/>
  <c r="AE11" i="55"/>
  <c r="U206" i="73"/>
  <c r="C211" i="73"/>
  <c r="W204" i="73"/>
  <c r="P198" i="73"/>
  <c r="P33" i="56"/>
  <c r="C339" i="56"/>
  <c r="C355" i="56"/>
  <c r="W345" i="56"/>
  <c r="E353" i="56"/>
  <c r="E196" i="56"/>
  <c r="E275" i="56"/>
  <c r="E11" i="56"/>
  <c r="E12" i="56"/>
  <c r="O41" i="56"/>
  <c r="Q118" i="56"/>
  <c r="C35" i="56"/>
  <c r="Q279" i="56"/>
  <c r="E35" i="56"/>
  <c r="D35" i="56"/>
  <c r="F114" i="56"/>
  <c r="Q200" i="56"/>
  <c r="Q39" i="56"/>
  <c r="C33" i="72"/>
  <c r="C49" i="72"/>
  <c r="W39" i="72"/>
  <c r="D287" i="72"/>
  <c r="U280" i="72"/>
  <c r="E287" i="72"/>
  <c r="U281" i="72"/>
  <c r="P273" i="72"/>
  <c r="F286" i="72"/>
  <c r="U279" i="72"/>
  <c r="U202" i="72"/>
  <c r="E208" i="72"/>
  <c r="U203" i="72"/>
  <c r="U201" i="72"/>
  <c r="P194" i="72"/>
  <c r="U200" i="72"/>
  <c r="U119" i="72"/>
  <c r="U121" i="72"/>
  <c r="U41" i="72"/>
  <c r="F47" i="72"/>
  <c r="P33" i="72"/>
  <c r="U118" i="72"/>
  <c r="U120" i="72"/>
  <c r="C128" i="72"/>
  <c r="W118" i="72"/>
  <c r="D275" i="56"/>
  <c r="P274" i="56"/>
  <c r="R282" i="56"/>
  <c r="U201" i="56"/>
  <c r="F196" i="56"/>
  <c r="U42" i="71"/>
  <c r="U39" i="71"/>
  <c r="U41" i="71"/>
  <c r="U42" i="70"/>
  <c r="U40" i="70"/>
  <c r="U41" i="70"/>
  <c r="P33" i="70"/>
  <c r="U39" i="70"/>
  <c r="E47" i="69"/>
  <c r="P33" i="69"/>
  <c r="U39" i="69"/>
  <c r="U39" i="68"/>
  <c r="U41" i="68"/>
  <c r="F119" i="62"/>
  <c r="U114" i="62"/>
  <c r="U112" i="62"/>
  <c r="C118" i="62"/>
  <c r="C119" i="62"/>
  <c r="E118" i="62"/>
  <c r="P106" i="62"/>
  <c r="O112" i="62"/>
  <c r="R112" i="62"/>
  <c r="U111" i="62"/>
  <c r="J11" i="62"/>
  <c r="J12" i="62"/>
  <c r="C33" i="62"/>
  <c r="C49" i="62"/>
  <c r="W39" i="62"/>
  <c r="F47" i="64"/>
  <c r="P34" i="65"/>
  <c r="D49" i="66"/>
  <c r="W40" i="66"/>
  <c r="E49" i="66"/>
  <c r="W41" i="66"/>
  <c r="U41" i="66"/>
  <c r="P33" i="66"/>
  <c r="U40" i="66"/>
  <c r="O40" i="66"/>
  <c r="R40" i="66"/>
  <c r="U42" i="65"/>
  <c r="P33" i="65"/>
  <c r="U41" i="65"/>
  <c r="F49" i="64"/>
  <c r="W42" i="64"/>
  <c r="E49" i="64"/>
  <c r="W41" i="64"/>
  <c r="P33" i="64"/>
  <c r="O40" i="64"/>
  <c r="R40" i="64"/>
  <c r="F49" i="63"/>
  <c r="W42" i="63"/>
  <c r="E33" i="63"/>
  <c r="E49" i="63"/>
  <c r="W41" i="63"/>
  <c r="P33" i="63"/>
  <c r="U39" i="63"/>
  <c r="U41" i="63"/>
  <c r="F49" i="62"/>
  <c r="W42" i="62"/>
  <c r="E49" i="62"/>
  <c r="W41" i="62"/>
  <c r="R40" i="62"/>
  <c r="R120" i="56"/>
  <c r="R39" i="56"/>
  <c r="U39" i="57"/>
  <c r="U41" i="57"/>
  <c r="U39" i="56"/>
  <c r="C47" i="56"/>
  <c r="U41" i="56"/>
  <c r="E47" i="56"/>
  <c r="E208" i="56"/>
  <c r="U202" i="56"/>
  <c r="U280" i="56"/>
  <c r="D287" i="56"/>
  <c r="D47" i="56"/>
  <c r="U40" i="56"/>
  <c r="C287" i="56"/>
  <c r="U279" i="56"/>
  <c r="U203" i="56"/>
  <c r="F208" i="56"/>
  <c r="R42" i="56"/>
  <c r="R40" i="56"/>
  <c r="D289" i="56"/>
  <c r="W280" i="56"/>
  <c r="F47" i="56"/>
  <c r="F49" i="56"/>
  <c r="W42" i="56"/>
  <c r="C114" i="56"/>
  <c r="C196" i="56"/>
  <c r="F275" i="56"/>
  <c r="E287" i="56"/>
  <c r="P339" i="56"/>
  <c r="U118" i="56"/>
  <c r="U120" i="56"/>
  <c r="C128" i="56"/>
  <c r="W118" i="56"/>
  <c r="D196" i="56"/>
  <c r="U200" i="56"/>
  <c r="C210" i="56"/>
  <c r="W200" i="56"/>
  <c r="R279" i="56"/>
  <c r="F287" i="56"/>
  <c r="E49" i="56"/>
  <c r="W41" i="56"/>
  <c r="F172" i="56"/>
  <c r="F173" i="56"/>
  <c r="O203" i="56"/>
  <c r="D114" i="56"/>
  <c r="R121" i="56"/>
  <c r="R281" i="56"/>
  <c r="R41" i="56"/>
  <c r="R119" i="56"/>
  <c r="D173" i="56"/>
  <c r="O201" i="56"/>
  <c r="U345" i="56"/>
  <c r="R118" i="56"/>
  <c r="R280" i="56"/>
  <c r="C47" i="55"/>
  <c r="P33" i="55"/>
  <c r="U41" i="55"/>
  <c r="U118" i="55"/>
  <c r="F287" i="72"/>
  <c r="U282" i="72"/>
  <c r="C49" i="71"/>
  <c r="W39" i="71"/>
  <c r="P33" i="71"/>
  <c r="C49" i="68"/>
  <c r="W39" i="68"/>
  <c r="P33" i="68"/>
  <c r="E119" i="62"/>
  <c r="U113" i="62"/>
  <c r="P105" i="62"/>
  <c r="C121" i="62"/>
  <c r="W111" i="62"/>
  <c r="P33" i="62"/>
  <c r="O41" i="66"/>
  <c r="R41" i="66"/>
  <c r="O41" i="64"/>
  <c r="R41" i="64"/>
  <c r="R41" i="62"/>
  <c r="R202" i="56"/>
  <c r="R200" i="56"/>
  <c r="R203" i="56"/>
  <c r="R201" i="56"/>
  <c r="O42" i="66"/>
  <c r="R42" i="66"/>
  <c r="O42" i="64"/>
  <c r="R42" i="64"/>
  <c r="R42" i="62"/>
  <c r="D5" i="35"/>
  <c r="L42" i="14"/>
  <c r="L41" i="14"/>
  <c r="L40" i="14"/>
  <c r="L39" i="14"/>
  <c r="O41" i="14"/>
  <c r="O39" i="14"/>
  <c r="N39" i="14"/>
  <c r="Q42" i="14"/>
  <c r="O42" i="14"/>
  <c r="Q41" i="14"/>
  <c r="Q40" i="14"/>
  <c r="O40" i="14"/>
  <c r="Q39" i="14"/>
  <c r="P40" i="14"/>
  <c r="P41" i="14"/>
  <c r="P42" i="14"/>
  <c r="P39" i="14"/>
  <c r="D6" i="35"/>
  <c r="N42" i="14"/>
  <c r="N41" i="14"/>
  <c r="N40" i="14"/>
  <c r="F134" i="14"/>
  <c r="E134" i="14"/>
  <c r="D134" i="14"/>
  <c r="F133" i="14"/>
  <c r="D133" i="14"/>
  <c r="F131" i="14"/>
  <c r="E131" i="14"/>
  <c r="D131" i="14"/>
  <c r="C30" i="14"/>
  <c r="C29" i="14"/>
  <c r="E60" i="13"/>
  <c r="Q52" i="13"/>
  <c r="Q54" i="13"/>
  <c r="Q55" i="13"/>
  <c r="C88" i="13"/>
  <c r="J52" i="13"/>
  <c r="J54" i="13"/>
  <c r="J55" i="13"/>
  <c r="D59" i="13"/>
  <c r="O41" i="13"/>
  <c r="E59" i="13"/>
  <c r="O42" i="13"/>
  <c r="F59" i="13"/>
  <c r="O43" i="13"/>
  <c r="O40" i="13"/>
  <c r="D60" i="13"/>
  <c r="F60" i="13"/>
  <c r="J62" i="13"/>
  <c r="J63" i="13"/>
  <c r="D31" i="14"/>
  <c r="E31" i="14"/>
  <c r="F31" i="14"/>
  <c r="C31" i="14"/>
  <c r="C58" i="14"/>
  <c r="C60" i="14"/>
  <c r="D40" i="34"/>
  <c r="M9" i="19"/>
  <c r="D117" i="13"/>
  <c r="E117" i="13"/>
  <c r="F117" i="13"/>
  <c r="Q99" i="13"/>
  <c r="C117" i="13"/>
  <c r="Q96" i="13"/>
  <c r="D89" i="13"/>
  <c r="Q69" i="13"/>
  <c r="E89" i="13"/>
  <c r="Q70" i="13"/>
  <c r="F89" i="13"/>
  <c r="C89" i="13"/>
  <c r="D33" i="13"/>
  <c r="E33" i="13"/>
  <c r="F33" i="13"/>
  <c r="Q15" i="13"/>
  <c r="C33" i="13"/>
  <c r="I42" i="4"/>
  <c r="L42" i="4"/>
  <c r="I41" i="4"/>
  <c r="L41" i="4"/>
  <c r="I39" i="4"/>
  <c r="L39" i="4"/>
  <c r="I40" i="4"/>
  <c r="L40" i="4"/>
  <c r="L13" i="34"/>
  <c r="L12" i="34"/>
  <c r="L15" i="34"/>
  <c r="L14" i="34"/>
  <c r="L39" i="6"/>
  <c r="L42" i="6"/>
  <c r="L40" i="6"/>
  <c r="L41" i="6"/>
  <c r="D23" i="35"/>
  <c r="D24" i="35"/>
  <c r="D25" i="35"/>
  <c r="D26" i="35"/>
  <c r="D27" i="35"/>
  <c r="W15" i="34"/>
  <c r="W14" i="34"/>
  <c r="W13" i="34"/>
  <c r="W12" i="34"/>
  <c r="V15" i="34"/>
  <c r="V14" i="34"/>
  <c r="V13" i="34"/>
  <c r="V12" i="34"/>
  <c r="N15" i="34"/>
  <c r="N14" i="34"/>
  <c r="N13" i="34"/>
  <c r="N12" i="34"/>
  <c r="F26" i="34"/>
  <c r="E26" i="34"/>
  <c r="D26" i="34"/>
  <c r="C26" i="34"/>
  <c r="F23" i="34"/>
  <c r="O15" i="34"/>
  <c r="E23" i="34"/>
  <c r="O14" i="34"/>
  <c r="D23" i="34"/>
  <c r="C23" i="34"/>
  <c r="O12" i="34"/>
  <c r="U15" i="34"/>
  <c r="T15" i="34"/>
  <c r="J15" i="34"/>
  <c r="U14" i="34"/>
  <c r="T14" i="34"/>
  <c r="J14" i="34"/>
  <c r="U13" i="34"/>
  <c r="T13" i="34"/>
  <c r="J13" i="34"/>
  <c r="U12" i="34"/>
  <c r="T12" i="34"/>
  <c r="J12" i="34"/>
  <c r="J6" i="34"/>
  <c r="Q98" i="13"/>
  <c r="F116" i="13"/>
  <c r="E116" i="13"/>
  <c r="P98" i="13"/>
  <c r="D116" i="13"/>
  <c r="P97" i="13"/>
  <c r="C116" i="13"/>
  <c r="P96" i="13"/>
  <c r="F115" i="13"/>
  <c r="E115" i="13"/>
  <c r="D115" i="13"/>
  <c r="C115" i="13"/>
  <c r="O99" i="13"/>
  <c r="O98" i="13"/>
  <c r="O97" i="13"/>
  <c r="O96" i="13"/>
  <c r="P43" i="13"/>
  <c r="P42" i="13"/>
  <c r="P41" i="13"/>
  <c r="D13" i="27"/>
  <c r="L13" i="27"/>
  <c r="T12" i="10"/>
  <c r="T12" i="11"/>
  <c r="T12" i="9"/>
  <c r="F17" i="24"/>
  <c r="U15" i="24"/>
  <c r="E17" i="24"/>
  <c r="U14" i="24"/>
  <c r="C17" i="24"/>
  <c r="U12" i="24"/>
  <c r="D17" i="24"/>
  <c r="U13" i="24"/>
  <c r="E14" i="30"/>
  <c r="N14" i="30"/>
  <c r="F14" i="30"/>
  <c r="N15" i="30"/>
  <c r="D14" i="30"/>
  <c r="N13" i="30"/>
  <c r="C14" i="30"/>
  <c r="N12" i="30"/>
  <c r="F17" i="30"/>
  <c r="U15" i="30"/>
  <c r="E17" i="30"/>
  <c r="U14" i="30"/>
  <c r="D17" i="30"/>
  <c r="U13" i="30"/>
  <c r="C17" i="30"/>
  <c r="U12" i="30"/>
  <c r="F18" i="27"/>
  <c r="V15" i="27"/>
  <c r="F17" i="27"/>
  <c r="U15" i="27"/>
  <c r="E14" i="24"/>
  <c r="N14" i="24"/>
  <c r="F14" i="24"/>
  <c r="N15" i="24"/>
  <c r="D14" i="24"/>
  <c r="N13" i="24"/>
  <c r="C14" i="24"/>
  <c r="C86" i="6"/>
  <c r="Q66" i="6"/>
  <c r="D86" i="6"/>
  <c r="Q67" i="6"/>
  <c r="E86" i="6"/>
  <c r="F86" i="6"/>
  <c r="Q69" i="6"/>
  <c r="F18" i="4"/>
  <c r="F17" i="4"/>
  <c r="U15" i="4"/>
  <c r="P13" i="14"/>
  <c r="P14" i="14"/>
  <c r="D58" i="14"/>
  <c r="E58" i="14"/>
  <c r="F58" i="14"/>
  <c r="P12" i="14"/>
  <c r="Q71" i="13"/>
  <c r="Q68" i="13"/>
  <c r="Q12" i="13"/>
  <c r="C32" i="4"/>
  <c r="Q12" i="4"/>
  <c r="C30" i="11"/>
  <c r="C112" i="10"/>
  <c r="P93" i="10"/>
  <c r="C110" i="10"/>
  <c r="C111" i="10"/>
  <c r="C56" i="10"/>
  <c r="C31" i="10"/>
  <c r="P12" i="10"/>
  <c r="C31" i="9"/>
  <c r="P12" i="9"/>
  <c r="F22" i="9"/>
  <c r="E22" i="9"/>
  <c r="D22" i="9"/>
  <c r="C22" i="9"/>
  <c r="C29" i="9"/>
  <c r="O12" i="9"/>
  <c r="F32" i="4"/>
  <c r="Q15" i="4"/>
  <c r="E32" i="4"/>
  <c r="D32" i="4"/>
  <c r="Q13" i="4"/>
  <c r="F56" i="14"/>
  <c r="E56" i="14"/>
  <c r="D56" i="14"/>
  <c r="C56" i="14"/>
  <c r="C63" i="28"/>
  <c r="C64" i="28"/>
  <c r="L50" i="4"/>
  <c r="L49" i="4"/>
  <c r="X15" i="30"/>
  <c r="W15" i="30"/>
  <c r="V15" i="30"/>
  <c r="T15" i="30"/>
  <c r="L15" i="30"/>
  <c r="J15" i="30"/>
  <c r="X14" i="30"/>
  <c r="W14" i="30"/>
  <c r="V14" i="30"/>
  <c r="T14" i="30"/>
  <c r="L14" i="30"/>
  <c r="J14" i="30"/>
  <c r="X13" i="30"/>
  <c r="W13" i="30"/>
  <c r="V13" i="30"/>
  <c r="T13" i="30"/>
  <c r="L13" i="30"/>
  <c r="J13" i="30"/>
  <c r="X12" i="30"/>
  <c r="W12" i="30"/>
  <c r="V12" i="30"/>
  <c r="T12" i="30"/>
  <c r="L12" i="30"/>
  <c r="J12" i="30"/>
  <c r="X15" i="24"/>
  <c r="W15" i="24"/>
  <c r="V15" i="24"/>
  <c r="T15" i="24"/>
  <c r="L15" i="24"/>
  <c r="J15" i="24"/>
  <c r="X14" i="24"/>
  <c r="W14" i="24"/>
  <c r="V14" i="24"/>
  <c r="T14" i="24"/>
  <c r="L14" i="24"/>
  <c r="J14" i="24"/>
  <c r="X13" i="24"/>
  <c r="W13" i="24"/>
  <c r="V13" i="24"/>
  <c r="T13" i="24"/>
  <c r="L13" i="24"/>
  <c r="J13" i="24"/>
  <c r="X12" i="24"/>
  <c r="W12" i="24"/>
  <c r="V12" i="24"/>
  <c r="T12" i="24"/>
  <c r="N12" i="24"/>
  <c r="L12" i="24"/>
  <c r="J12" i="24"/>
  <c r="K12" i="24"/>
  <c r="F32" i="30"/>
  <c r="Q15" i="30"/>
  <c r="E32" i="30"/>
  <c r="Q14" i="30"/>
  <c r="D32" i="30"/>
  <c r="Q13" i="30"/>
  <c r="C32" i="30"/>
  <c r="Q12" i="30"/>
  <c r="F31" i="30"/>
  <c r="P15" i="30"/>
  <c r="E31" i="30"/>
  <c r="P14" i="30"/>
  <c r="D31" i="30"/>
  <c r="P13" i="30"/>
  <c r="C31" i="30"/>
  <c r="P12" i="30"/>
  <c r="F30" i="30"/>
  <c r="F29" i="30"/>
  <c r="O15" i="30"/>
  <c r="E30" i="30"/>
  <c r="E29" i="30"/>
  <c r="O14" i="30"/>
  <c r="D30" i="30"/>
  <c r="D29" i="30"/>
  <c r="O13" i="30"/>
  <c r="C30" i="30"/>
  <c r="C29" i="30"/>
  <c r="O12" i="30"/>
  <c r="X15" i="27"/>
  <c r="W15" i="27"/>
  <c r="T15" i="27"/>
  <c r="N15" i="27"/>
  <c r="J15" i="27"/>
  <c r="X14" i="27"/>
  <c r="W14" i="27"/>
  <c r="V14" i="27"/>
  <c r="U14" i="27"/>
  <c r="T14" i="27"/>
  <c r="N14" i="27"/>
  <c r="J14" i="27"/>
  <c r="X13" i="27"/>
  <c r="W13" i="27"/>
  <c r="V13" i="27"/>
  <c r="U13" i="27"/>
  <c r="T13" i="27"/>
  <c r="N13" i="27"/>
  <c r="J13" i="27"/>
  <c r="X12" i="27"/>
  <c r="W12" i="27"/>
  <c r="V12" i="27"/>
  <c r="U12" i="27"/>
  <c r="T12" i="27"/>
  <c r="N12" i="27"/>
  <c r="L12" i="27"/>
  <c r="J12" i="27"/>
  <c r="X15" i="28"/>
  <c r="W15" i="28"/>
  <c r="V15" i="28"/>
  <c r="U15" i="28"/>
  <c r="T15" i="28"/>
  <c r="N15" i="28"/>
  <c r="L15" i="28"/>
  <c r="J15" i="28"/>
  <c r="X14" i="28"/>
  <c r="W14" i="28"/>
  <c r="V14" i="28"/>
  <c r="U14" i="28"/>
  <c r="T14" i="28"/>
  <c r="N14" i="28"/>
  <c r="L14" i="28"/>
  <c r="J14" i="28"/>
  <c r="X13" i="28"/>
  <c r="W13" i="28"/>
  <c r="V13" i="28"/>
  <c r="U13" i="28"/>
  <c r="T13" i="28"/>
  <c r="N13" i="28"/>
  <c r="L13" i="28"/>
  <c r="J13" i="28"/>
  <c r="X12" i="28"/>
  <c r="W12" i="28"/>
  <c r="V12" i="28"/>
  <c r="U12" i="28"/>
  <c r="T12" i="28"/>
  <c r="N12" i="28"/>
  <c r="L12" i="28"/>
  <c r="J12" i="28"/>
  <c r="X15" i="11"/>
  <c r="W15" i="11"/>
  <c r="V15" i="11"/>
  <c r="U15" i="11"/>
  <c r="T15" i="11"/>
  <c r="N15" i="11"/>
  <c r="L15" i="11"/>
  <c r="J15" i="11"/>
  <c r="X14" i="11"/>
  <c r="W14" i="11"/>
  <c r="V14" i="11"/>
  <c r="U14" i="11"/>
  <c r="T14" i="11"/>
  <c r="N14" i="11"/>
  <c r="L14" i="11"/>
  <c r="J14" i="11"/>
  <c r="X13" i="11"/>
  <c r="W13" i="11"/>
  <c r="V13" i="11"/>
  <c r="U13" i="11"/>
  <c r="T13" i="11"/>
  <c r="N13" i="11"/>
  <c r="L13" i="11"/>
  <c r="J13" i="11"/>
  <c r="X12" i="11"/>
  <c r="W12" i="11"/>
  <c r="V12" i="11"/>
  <c r="U12" i="11"/>
  <c r="N12" i="11"/>
  <c r="L12" i="11"/>
  <c r="J12" i="11"/>
  <c r="X15" i="10"/>
  <c r="W15" i="10"/>
  <c r="V15" i="10"/>
  <c r="U15" i="10"/>
  <c r="N15" i="10"/>
  <c r="L15" i="10"/>
  <c r="J15" i="10"/>
  <c r="X14" i="10"/>
  <c r="W14" i="10"/>
  <c r="V14" i="10"/>
  <c r="U14" i="10"/>
  <c r="T14" i="10"/>
  <c r="N14" i="10"/>
  <c r="L14" i="10"/>
  <c r="J14" i="10"/>
  <c r="X13" i="10"/>
  <c r="W13" i="10"/>
  <c r="V13" i="10"/>
  <c r="U13" i="10"/>
  <c r="T13" i="10"/>
  <c r="N13" i="10"/>
  <c r="L13" i="10"/>
  <c r="J13" i="10"/>
  <c r="X12" i="10"/>
  <c r="W12" i="10"/>
  <c r="V12" i="10"/>
  <c r="U12" i="10"/>
  <c r="N12" i="10"/>
  <c r="L12" i="10"/>
  <c r="J12" i="10"/>
  <c r="X15" i="9"/>
  <c r="W15" i="9"/>
  <c r="V15" i="9"/>
  <c r="U15" i="9"/>
  <c r="T15" i="9"/>
  <c r="N15" i="9"/>
  <c r="L15" i="9"/>
  <c r="J15" i="9"/>
  <c r="X14" i="9"/>
  <c r="W14" i="9"/>
  <c r="V14" i="9"/>
  <c r="U14" i="9"/>
  <c r="T14" i="9"/>
  <c r="N14" i="9"/>
  <c r="L14" i="9"/>
  <c r="J14" i="9"/>
  <c r="X13" i="9"/>
  <c r="W13" i="9"/>
  <c r="V13" i="9"/>
  <c r="U13" i="9"/>
  <c r="T13" i="9"/>
  <c r="N13" i="9"/>
  <c r="L13" i="9"/>
  <c r="J13" i="9"/>
  <c r="X12" i="9"/>
  <c r="W12" i="9"/>
  <c r="V12" i="9"/>
  <c r="U12" i="9"/>
  <c r="N12" i="9"/>
  <c r="L12" i="9"/>
  <c r="J12" i="9"/>
  <c r="F32" i="27"/>
  <c r="Q15" i="27"/>
  <c r="E32" i="27"/>
  <c r="Q14" i="27"/>
  <c r="D32" i="27"/>
  <c r="Q13" i="27"/>
  <c r="C32" i="27"/>
  <c r="Q12" i="27"/>
  <c r="F31" i="27"/>
  <c r="P15" i="27"/>
  <c r="E31" i="27"/>
  <c r="P14" i="27"/>
  <c r="D31" i="27"/>
  <c r="P13" i="27"/>
  <c r="C31" i="27"/>
  <c r="P12" i="27"/>
  <c r="F32" i="24"/>
  <c r="Q15" i="24"/>
  <c r="E32" i="24"/>
  <c r="Q14" i="24"/>
  <c r="D32" i="24"/>
  <c r="Q13" i="24"/>
  <c r="C32" i="24"/>
  <c r="Q12" i="24"/>
  <c r="F31" i="24"/>
  <c r="P15" i="24"/>
  <c r="E31" i="24"/>
  <c r="P14" i="24"/>
  <c r="D31" i="24"/>
  <c r="P13" i="24"/>
  <c r="C31" i="24"/>
  <c r="P12" i="24"/>
  <c r="F23" i="24"/>
  <c r="E23" i="24"/>
  <c r="E30" i="24"/>
  <c r="E29" i="24"/>
  <c r="O14" i="24"/>
  <c r="D23" i="24"/>
  <c r="D30" i="24"/>
  <c r="C23" i="24"/>
  <c r="C30" i="29"/>
  <c r="C29" i="29"/>
  <c r="O12" i="29"/>
  <c r="X15" i="29"/>
  <c r="W15" i="29"/>
  <c r="V15" i="29"/>
  <c r="U15" i="29"/>
  <c r="T15" i="29"/>
  <c r="N15" i="29"/>
  <c r="L15" i="29"/>
  <c r="J15" i="29"/>
  <c r="X14" i="29"/>
  <c r="W14" i="29"/>
  <c r="V14" i="29"/>
  <c r="U14" i="29"/>
  <c r="T14" i="29"/>
  <c r="N14" i="29"/>
  <c r="L14" i="29"/>
  <c r="J14" i="29"/>
  <c r="X13" i="29"/>
  <c r="W13" i="29"/>
  <c r="V13" i="29"/>
  <c r="U13" i="29"/>
  <c r="T13" i="29"/>
  <c r="N13" i="29"/>
  <c r="L13" i="29"/>
  <c r="J13" i="29"/>
  <c r="X12" i="29"/>
  <c r="W12" i="29"/>
  <c r="V12" i="29"/>
  <c r="U12" i="29"/>
  <c r="T12" i="29"/>
  <c r="N12" i="29"/>
  <c r="L12" i="29"/>
  <c r="J12" i="29"/>
  <c r="F32" i="28"/>
  <c r="Q15" i="28"/>
  <c r="E32" i="28"/>
  <c r="Q14" i="28"/>
  <c r="D32" i="28"/>
  <c r="Q13" i="28"/>
  <c r="C32" i="28"/>
  <c r="Q12" i="28"/>
  <c r="D113" i="6"/>
  <c r="Q94" i="6"/>
  <c r="E113" i="6"/>
  <c r="Q95" i="6"/>
  <c r="F113" i="6"/>
  <c r="Q96" i="6"/>
  <c r="C113" i="6"/>
  <c r="D59" i="6"/>
  <c r="E59" i="6"/>
  <c r="F59" i="6"/>
  <c r="Q42" i="6"/>
  <c r="C59" i="6"/>
  <c r="Q39" i="6"/>
  <c r="D32" i="6"/>
  <c r="Q13" i="6"/>
  <c r="E32" i="6"/>
  <c r="Q14" i="6"/>
  <c r="F32" i="6"/>
  <c r="C32" i="6"/>
  <c r="C23" i="27"/>
  <c r="D23" i="27"/>
  <c r="D30" i="27"/>
  <c r="D29" i="27"/>
  <c r="O13" i="27"/>
  <c r="E23" i="27"/>
  <c r="F23" i="27"/>
  <c r="F22" i="27"/>
  <c r="F50" i="29"/>
  <c r="F57" i="29"/>
  <c r="F56" i="29"/>
  <c r="O42" i="29"/>
  <c r="E50" i="29"/>
  <c r="E57" i="29"/>
  <c r="E56" i="29"/>
  <c r="O41" i="29"/>
  <c r="D50" i="29"/>
  <c r="D57" i="29"/>
  <c r="D56" i="29"/>
  <c r="O40" i="29"/>
  <c r="C50" i="29"/>
  <c r="C57" i="29"/>
  <c r="C56" i="29"/>
  <c r="O39" i="29"/>
  <c r="F26" i="29"/>
  <c r="E26" i="29"/>
  <c r="D26" i="29"/>
  <c r="C26" i="29"/>
  <c r="F32" i="29"/>
  <c r="Q15" i="29"/>
  <c r="E32" i="29"/>
  <c r="Q14" i="29"/>
  <c r="D32" i="29"/>
  <c r="Q13" i="29"/>
  <c r="C32" i="29"/>
  <c r="Q12" i="29"/>
  <c r="F58" i="29"/>
  <c r="P42" i="29"/>
  <c r="E58" i="29"/>
  <c r="P41" i="29"/>
  <c r="D58" i="29"/>
  <c r="P40" i="29"/>
  <c r="C58" i="29"/>
  <c r="P39" i="29"/>
  <c r="F30" i="24"/>
  <c r="F29" i="24"/>
  <c r="O15" i="24"/>
  <c r="D29" i="24"/>
  <c r="O13" i="24"/>
  <c r="C30" i="24"/>
  <c r="C29" i="24"/>
  <c r="O12" i="24"/>
  <c r="J7" i="30"/>
  <c r="J6" i="30"/>
  <c r="J7" i="24"/>
  <c r="J6" i="24"/>
  <c r="F31" i="29"/>
  <c r="P15" i="29"/>
  <c r="E31" i="29"/>
  <c r="P14" i="29"/>
  <c r="D31" i="29"/>
  <c r="P13" i="29"/>
  <c r="C31" i="29"/>
  <c r="P12" i="29"/>
  <c r="F58" i="28"/>
  <c r="P42" i="28"/>
  <c r="E58" i="28"/>
  <c r="P41" i="28"/>
  <c r="D58" i="28"/>
  <c r="P40" i="28"/>
  <c r="C58" i="28"/>
  <c r="P39" i="28"/>
  <c r="F31" i="28"/>
  <c r="P15" i="28"/>
  <c r="E31" i="28"/>
  <c r="P14" i="28"/>
  <c r="D31" i="28"/>
  <c r="P13" i="28"/>
  <c r="C31" i="28"/>
  <c r="P12" i="28"/>
  <c r="F112" i="11"/>
  <c r="P96" i="11"/>
  <c r="E112" i="11"/>
  <c r="P95" i="11"/>
  <c r="D112" i="11"/>
  <c r="P94" i="11"/>
  <c r="C112" i="11"/>
  <c r="P93" i="11"/>
  <c r="F85" i="11"/>
  <c r="E85" i="11"/>
  <c r="P68" i="11"/>
  <c r="D85" i="11"/>
  <c r="P67" i="11"/>
  <c r="C85" i="11"/>
  <c r="P66" i="11"/>
  <c r="F31" i="9"/>
  <c r="P15" i="9"/>
  <c r="E31" i="9"/>
  <c r="P14" i="9"/>
  <c r="D31" i="9"/>
  <c r="P13" i="9"/>
  <c r="C85" i="10"/>
  <c r="P66" i="10"/>
  <c r="C58" i="10"/>
  <c r="P39" i="10"/>
  <c r="J42" i="14"/>
  <c r="J41" i="14"/>
  <c r="J40" i="14"/>
  <c r="J39" i="14"/>
  <c r="K39" i="14"/>
  <c r="C57" i="14"/>
  <c r="F113" i="10"/>
  <c r="Q96" i="10"/>
  <c r="E113" i="10"/>
  <c r="Q95" i="10"/>
  <c r="D113" i="10"/>
  <c r="Q94" i="10"/>
  <c r="C113" i="10"/>
  <c r="Q93" i="10"/>
  <c r="F112" i="10"/>
  <c r="P96" i="10"/>
  <c r="E112" i="10"/>
  <c r="P95" i="10"/>
  <c r="D112" i="10"/>
  <c r="P94" i="10"/>
  <c r="C84" i="10"/>
  <c r="D84" i="10"/>
  <c r="E84" i="10"/>
  <c r="F84" i="10"/>
  <c r="D85" i="10"/>
  <c r="P67" i="10"/>
  <c r="E85" i="10"/>
  <c r="P68" i="10"/>
  <c r="F85" i="10"/>
  <c r="P69" i="10"/>
  <c r="C86" i="10"/>
  <c r="Q66" i="10"/>
  <c r="D86" i="10"/>
  <c r="Q67" i="10"/>
  <c r="E86" i="10"/>
  <c r="F86" i="10"/>
  <c r="F58" i="10"/>
  <c r="P42" i="10"/>
  <c r="E58" i="10"/>
  <c r="P41" i="10"/>
  <c r="D58" i="10"/>
  <c r="P40" i="10"/>
  <c r="F31" i="10"/>
  <c r="P15" i="10"/>
  <c r="E31" i="10"/>
  <c r="P14" i="10"/>
  <c r="D31" i="10"/>
  <c r="P13" i="10"/>
  <c r="F112" i="6"/>
  <c r="P96" i="6"/>
  <c r="E112" i="6"/>
  <c r="D112" i="6"/>
  <c r="C112" i="6"/>
  <c r="P93" i="6"/>
  <c r="F110" i="6"/>
  <c r="F111" i="6"/>
  <c r="E110" i="6"/>
  <c r="D110" i="6"/>
  <c r="D111" i="6"/>
  <c r="C110" i="6"/>
  <c r="F85" i="6"/>
  <c r="P69" i="6"/>
  <c r="E85" i="6"/>
  <c r="P68" i="6"/>
  <c r="D85" i="6"/>
  <c r="P67" i="6"/>
  <c r="C85" i="6"/>
  <c r="P66" i="6"/>
  <c r="F56" i="6"/>
  <c r="F57" i="6"/>
  <c r="E56" i="6"/>
  <c r="E57" i="6"/>
  <c r="D56" i="6"/>
  <c r="D57" i="6"/>
  <c r="C56" i="6"/>
  <c r="C57" i="6"/>
  <c r="C58" i="6"/>
  <c r="P39" i="6"/>
  <c r="F31" i="4"/>
  <c r="E31" i="4"/>
  <c r="P14" i="4"/>
  <c r="D31" i="4"/>
  <c r="P13" i="4"/>
  <c r="C31" i="4"/>
  <c r="Q41" i="29"/>
  <c r="Q40" i="29"/>
  <c r="X42" i="29"/>
  <c r="W42" i="29"/>
  <c r="V42" i="29"/>
  <c r="U42" i="29"/>
  <c r="T42" i="29"/>
  <c r="Q42" i="29"/>
  <c r="N42" i="29"/>
  <c r="L42" i="29"/>
  <c r="J42" i="29"/>
  <c r="X41" i="29"/>
  <c r="W41" i="29"/>
  <c r="V41" i="29"/>
  <c r="U41" i="29"/>
  <c r="T41" i="29"/>
  <c r="N41" i="29"/>
  <c r="L41" i="29"/>
  <c r="J41" i="29"/>
  <c r="X40" i="29"/>
  <c r="W40" i="29"/>
  <c r="V40" i="29"/>
  <c r="U40" i="29"/>
  <c r="T40" i="29"/>
  <c r="N40" i="29"/>
  <c r="L40" i="29"/>
  <c r="J40" i="29"/>
  <c r="X39" i="29"/>
  <c r="W39" i="29"/>
  <c r="V39" i="29"/>
  <c r="U39" i="29"/>
  <c r="T39" i="29"/>
  <c r="Q39" i="29"/>
  <c r="N39" i="29"/>
  <c r="L39" i="29"/>
  <c r="J39" i="29"/>
  <c r="K39" i="29"/>
  <c r="J34" i="29"/>
  <c r="J33" i="29"/>
  <c r="F30" i="29"/>
  <c r="F29" i="29"/>
  <c r="O15" i="29"/>
  <c r="E30" i="29"/>
  <c r="E29" i="29"/>
  <c r="O14" i="29"/>
  <c r="D30" i="29"/>
  <c r="D29" i="29"/>
  <c r="O13" i="29"/>
  <c r="J7" i="29"/>
  <c r="J6" i="29"/>
  <c r="F57" i="28"/>
  <c r="F56" i="28"/>
  <c r="O42" i="28"/>
  <c r="E57" i="28"/>
  <c r="E56" i="28"/>
  <c r="O41" i="28"/>
  <c r="D57" i="28"/>
  <c r="D56" i="28"/>
  <c r="O40" i="28"/>
  <c r="C57" i="28"/>
  <c r="C56" i="28"/>
  <c r="O39" i="28"/>
  <c r="X42" i="28"/>
  <c r="W42" i="28"/>
  <c r="V42" i="28"/>
  <c r="U42" i="28"/>
  <c r="T42" i="28"/>
  <c r="N42" i="28"/>
  <c r="L42" i="28"/>
  <c r="J42" i="28"/>
  <c r="X41" i="28"/>
  <c r="W41" i="28"/>
  <c r="V41" i="28"/>
  <c r="U41" i="28"/>
  <c r="T41" i="28"/>
  <c r="N41" i="28"/>
  <c r="L41" i="28"/>
  <c r="J41" i="28"/>
  <c r="X40" i="28"/>
  <c r="W40" i="28"/>
  <c r="V40" i="28"/>
  <c r="U40" i="28"/>
  <c r="T40" i="28"/>
  <c r="N40" i="28"/>
  <c r="L40" i="28"/>
  <c r="J40" i="28"/>
  <c r="X39" i="28"/>
  <c r="W39" i="28"/>
  <c r="V39" i="28"/>
  <c r="U39" i="28"/>
  <c r="T39" i="28"/>
  <c r="N39" i="28"/>
  <c r="L39" i="28"/>
  <c r="J39" i="28"/>
  <c r="K39" i="28"/>
  <c r="J34" i="28"/>
  <c r="J33" i="28"/>
  <c r="F30" i="28"/>
  <c r="F29" i="28"/>
  <c r="O15" i="28"/>
  <c r="E30" i="28"/>
  <c r="E29" i="28"/>
  <c r="O14" i="28"/>
  <c r="D30" i="28"/>
  <c r="D29" i="28"/>
  <c r="O13" i="28"/>
  <c r="C30" i="28"/>
  <c r="C29" i="28"/>
  <c r="O12" i="28"/>
  <c r="J7" i="28"/>
  <c r="J6" i="28"/>
  <c r="J6" i="27"/>
  <c r="J7" i="27"/>
  <c r="H22" i="27"/>
  <c r="I22" i="27"/>
  <c r="Q14" i="13"/>
  <c r="K29" i="13"/>
  <c r="C31" i="11"/>
  <c r="P12" i="11"/>
  <c r="F58" i="11"/>
  <c r="P42" i="11"/>
  <c r="E58" i="11"/>
  <c r="P41" i="11"/>
  <c r="D58" i="11"/>
  <c r="P40" i="11"/>
  <c r="C58" i="11"/>
  <c r="P39" i="11"/>
  <c r="F31" i="11"/>
  <c r="P15" i="11"/>
  <c r="E31" i="11"/>
  <c r="P14" i="11"/>
  <c r="D31" i="11"/>
  <c r="P13" i="11"/>
  <c r="P99" i="13"/>
  <c r="N99" i="13"/>
  <c r="L99" i="13"/>
  <c r="J99" i="13"/>
  <c r="N98" i="13"/>
  <c r="L98" i="13"/>
  <c r="J98" i="13"/>
  <c r="Q97" i="13"/>
  <c r="N97" i="13"/>
  <c r="L97" i="13"/>
  <c r="J97" i="13"/>
  <c r="N96" i="13"/>
  <c r="L96" i="13"/>
  <c r="J96" i="13"/>
  <c r="K96" i="13"/>
  <c r="N71" i="13"/>
  <c r="L71" i="13"/>
  <c r="J71" i="13"/>
  <c r="N70" i="13"/>
  <c r="L70" i="13"/>
  <c r="J70" i="13"/>
  <c r="N69" i="13"/>
  <c r="L69" i="13"/>
  <c r="J69" i="13"/>
  <c r="N68" i="13"/>
  <c r="L68" i="13"/>
  <c r="J68" i="13"/>
  <c r="K68" i="13"/>
  <c r="N43" i="13"/>
  <c r="L43" i="13"/>
  <c r="J43" i="13"/>
  <c r="N42" i="13"/>
  <c r="L42" i="13"/>
  <c r="J42" i="13"/>
  <c r="N41" i="13"/>
  <c r="L41" i="13"/>
  <c r="J41" i="13"/>
  <c r="N40" i="13"/>
  <c r="L40" i="13"/>
  <c r="J40" i="13"/>
  <c r="K40" i="13"/>
  <c r="N15" i="13"/>
  <c r="L15" i="13"/>
  <c r="N14" i="13"/>
  <c r="L14" i="13"/>
  <c r="Q13" i="13"/>
  <c r="N13" i="13"/>
  <c r="L13" i="13"/>
  <c r="N12" i="13"/>
  <c r="L12" i="13"/>
  <c r="J15" i="13"/>
  <c r="J14" i="13"/>
  <c r="J13" i="13"/>
  <c r="J12" i="13"/>
  <c r="J7" i="13"/>
  <c r="J6" i="13"/>
  <c r="F59" i="14"/>
  <c r="E59" i="14"/>
  <c r="D59" i="14"/>
  <c r="C59" i="14"/>
  <c r="G57" i="14"/>
  <c r="F57" i="14"/>
  <c r="E57" i="14"/>
  <c r="D57" i="14"/>
  <c r="F32" i="14"/>
  <c r="Q15" i="14"/>
  <c r="E32" i="14"/>
  <c r="Q14" i="14"/>
  <c r="D32" i="14"/>
  <c r="Q13" i="14"/>
  <c r="C32" i="14"/>
  <c r="Q12" i="14"/>
  <c r="P15" i="14"/>
  <c r="G30" i="14"/>
  <c r="F30" i="14"/>
  <c r="F29" i="14"/>
  <c r="O15" i="14"/>
  <c r="E30" i="14"/>
  <c r="E29" i="14"/>
  <c r="O14" i="14"/>
  <c r="D30" i="14"/>
  <c r="D29" i="14"/>
  <c r="O13" i="14"/>
  <c r="O12" i="14"/>
  <c r="Q99" i="14"/>
  <c r="P99" i="14"/>
  <c r="O99" i="14"/>
  <c r="N99" i="14"/>
  <c r="L99" i="14"/>
  <c r="J99" i="14"/>
  <c r="Q98" i="14"/>
  <c r="P98" i="14"/>
  <c r="O98" i="14"/>
  <c r="N98" i="14"/>
  <c r="L98" i="14"/>
  <c r="J98" i="14"/>
  <c r="Q97" i="14"/>
  <c r="P97" i="14"/>
  <c r="O97" i="14"/>
  <c r="N97" i="14"/>
  <c r="L97" i="14"/>
  <c r="J97" i="14"/>
  <c r="Q96" i="14"/>
  <c r="P96" i="14"/>
  <c r="O96" i="14"/>
  <c r="N96" i="14"/>
  <c r="L96" i="14"/>
  <c r="J96" i="14"/>
  <c r="K96" i="14"/>
  <c r="J91" i="14"/>
  <c r="J90" i="14"/>
  <c r="Q71" i="14"/>
  <c r="P71" i="14"/>
  <c r="O71" i="14"/>
  <c r="N71" i="14"/>
  <c r="L71" i="14"/>
  <c r="J71" i="14"/>
  <c r="Q70" i="14"/>
  <c r="P70" i="14"/>
  <c r="O70" i="14"/>
  <c r="N70" i="14"/>
  <c r="L70" i="14"/>
  <c r="J70" i="14"/>
  <c r="Q69" i="14"/>
  <c r="P69" i="14"/>
  <c r="O69" i="14"/>
  <c r="N69" i="14"/>
  <c r="L69" i="14"/>
  <c r="J69" i="14"/>
  <c r="Q68" i="14"/>
  <c r="P68" i="14"/>
  <c r="O68" i="14"/>
  <c r="N68" i="14"/>
  <c r="L68" i="14"/>
  <c r="J68" i="14"/>
  <c r="K68" i="14"/>
  <c r="J63" i="14"/>
  <c r="J62" i="14"/>
  <c r="N15" i="14"/>
  <c r="L15" i="14"/>
  <c r="J15" i="14"/>
  <c r="N14" i="14"/>
  <c r="L14" i="14"/>
  <c r="J14" i="14"/>
  <c r="N13" i="14"/>
  <c r="L13" i="14"/>
  <c r="J13" i="14"/>
  <c r="N12" i="14"/>
  <c r="L12" i="14"/>
  <c r="J12" i="14"/>
  <c r="J7" i="14"/>
  <c r="J6" i="14"/>
  <c r="J91" i="13"/>
  <c r="J90" i="13"/>
  <c r="J35" i="13"/>
  <c r="J34" i="13"/>
  <c r="G115" i="13"/>
  <c r="F88" i="13"/>
  <c r="P71" i="13"/>
  <c r="E88" i="13"/>
  <c r="P70" i="13"/>
  <c r="D88" i="13"/>
  <c r="P69" i="13"/>
  <c r="G87" i="13"/>
  <c r="F87" i="13"/>
  <c r="E87" i="13"/>
  <c r="D87" i="13"/>
  <c r="F86" i="13"/>
  <c r="O71" i="13"/>
  <c r="E86" i="13"/>
  <c r="O70" i="13"/>
  <c r="D86" i="13"/>
  <c r="O69" i="13"/>
  <c r="G31" i="13"/>
  <c r="E32" i="13"/>
  <c r="P14" i="13"/>
  <c r="F31" i="13"/>
  <c r="E31" i="13"/>
  <c r="D31" i="13"/>
  <c r="C31" i="13"/>
  <c r="F30" i="13"/>
  <c r="O15" i="13"/>
  <c r="E30" i="13"/>
  <c r="O14" i="13"/>
  <c r="D30" i="13"/>
  <c r="O13" i="13"/>
  <c r="C30" i="13"/>
  <c r="O12" i="13"/>
  <c r="X42" i="4"/>
  <c r="W42" i="4"/>
  <c r="V42" i="4"/>
  <c r="U42" i="4"/>
  <c r="T42" i="4"/>
  <c r="N42" i="4"/>
  <c r="X41" i="4"/>
  <c r="W41" i="4"/>
  <c r="V41" i="4"/>
  <c r="U41" i="4"/>
  <c r="T41" i="4"/>
  <c r="N41" i="4"/>
  <c r="X40" i="4"/>
  <c r="W40" i="4"/>
  <c r="V40" i="4"/>
  <c r="U40" i="4"/>
  <c r="T40" i="4"/>
  <c r="N40" i="4"/>
  <c r="X39" i="4"/>
  <c r="W39" i="4"/>
  <c r="V39" i="4"/>
  <c r="U39" i="4"/>
  <c r="T39" i="4"/>
  <c r="N39" i="4"/>
  <c r="N13" i="4"/>
  <c r="T13" i="4"/>
  <c r="U13" i="4"/>
  <c r="V13" i="4"/>
  <c r="W13" i="4"/>
  <c r="X13" i="4"/>
  <c r="N14" i="4"/>
  <c r="T14" i="4"/>
  <c r="U14" i="4"/>
  <c r="V14" i="4"/>
  <c r="W14" i="4"/>
  <c r="X14" i="4"/>
  <c r="N15" i="4"/>
  <c r="T15" i="4"/>
  <c r="V15" i="4"/>
  <c r="W15" i="4"/>
  <c r="X15" i="4"/>
  <c r="N12" i="4"/>
  <c r="T12" i="4"/>
  <c r="U12" i="4"/>
  <c r="V12" i="4"/>
  <c r="W12" i="4"/>
  <c r="X12" i="4"/>
  <c r="J13" i="4"/>
  <c r="J14" i="4"/>
  <c r="J15" i="4"/>
  <c r="X96" i="6"/>
  <c r="W96" i="6"/>
  <c r="V96" i="6"/>
  <c r="U96" i="6"/>
  <c r="T96" i="6"/>
  <c r="X95" i="6"/>
  <c r="W95" i="6"/>
  <c r="V95" i="6"/>
  <c r="U95" i="6"/>
  <c r="T95" i="6"/>
  <c r="X94" i="6"/>
  <c r="W94" i="6"/>
  <c r="V94" i="6"/>
  <c r="U94" i="6"/>
  <c r="T94" i="6"/>
  <c r="X93" i="6"/>
  <c r="W93" i="6"/>
  <c r="V93" i="6"/>
  <c r="U93" i="6"/>
  <c r="T93" i="6"/>
  <c r="X69" i="6"/>
  <c r="W69" i="6"/>
  <c r="V69" i="6"/>
  <c r="U69" i="6"/>
  <c r="T69" i="6"/>
  <c r="X68" i="6"/>
  <c r="W68" i="6"/>
  <c r="V68" i="6"/>
  <c r="U68" i="6"/>
  <c r="T68" i="6"/>
  <c r="X67" i="6"/>
  <c r="W67" i="6"/>
  <c r="V67" i="6"/>
  <c r="U67" i="6"/>
  <c r="T67" i="6"/>
  <c r="X66" i="6"/>
  <c r="W66" i="6"/>
  <c r="V66" i="6"/>
  <c r="U66" i="6"/>
  <c r="T66" i="6"/>
  <c r="X42" i="6"/>
  <c r="W42" i="6"/>
  <c r="V42" i="6"/>
  <c r="U42" i="6"/>
  <c r="T42" i="6"/>
  <c r="X41" i="6"/>
  <c r="W41" i="6"/>
  <c r="V41" i="6"/>
  <c r="U41" i="6"/>
  <c r="T41" i="6"/>
  <c r="X40" i="6"/>
  <c r="W40" i="6"/>
  <c r="V40" i="6"/>
  <c r="U40" i="6"/>
  <c r="T40" i="6"/>
  <c r="X39" i="6"/>
  <c r="W39" i="6"/>
  <c r="V39" i="6"/>
  <c r="U39" i="6"/>
  <c r="T39" i="6"/>
  <c r="X15" i="6"/>
  <c r="W15" i="6"/>
  <c r="V15" i="6"/>
  <c r="U15" i="6"/>
  <c r="T15" i="6"/>
  <c r="X14" i="6"/>
  <c r="W14" i="6"/>
  <c r="V14" i="6"/>
  <c r="U14" i="6"/>
  <c r="T14" i="6"/>
  <c r="X13" i="6"/>
  <c r="W13" i="6"/>
  <c r="V13" i="6"/>
  <c r="U13" i="6"/>
  <c r="T13" i="6"/>
  <c r="X12" i="6"/>
  <c r="W12" i="6"/>
  <c r="V12" i="6"/>
  <c r="U12" i="6"/>
  <c r="T12" i="6"/>
  <c r="N96" i="11"/>
  <c r="L96" i="11"/>
  <c r="J96" i="11"/>
  <c r="N95" i="11"/>
  <c r="L95" i="11"/>
  <c r="J95" i="11"/>
  <c r="N94" i="11"/>
  <c r="L94" i="11"/>
  <c r="J94" i="11"/>
  <c r="N93" i="11"/>
  <c r="L93" i="11"/>
  <c r="J93" i="11"/>
  <c r="K93" i="11"/>
  <c r="J88" i="11"/>
  <c r="J87" i="11"/>
  <c r="P69" i="11"/>
  <c r="N69" i="11"/>
  <c r="L69" i="11"/>
  <c r="J69" i="11"/>
  <c r="N68" i="11"/>
  <c r="L68" i="11"/>
  <c r="J68" i="11"/>
  <c r="N67" i="11"/>
  <c r="L67" i="11"/>
  <c r="J67" i="11"/>
  <c r="N66" i="11"/>
  <c r="L66" i="11"/>
  <c r="J66" i="11"/>
  <c r="K66" i="11"/>
  <c r="J61" i="11"/>
  <c r="J60" i="11"/>
  <c r="N42" i="11"/>
  <c r="L42" i="11"/>
  <c r="J42" i="11"/>
  <c r="N41" i="11"/>
  <c r="L41" i="11"/>
  <c r="J41" i="11"/>
  <c r="N40" i="11"/>
  <c r="L40" i="11"/>
  <c r="J40" i="11"/>
  <c r="N39" i="11"/>
  <c r="L39" i="11"/>
  <c r="J39" i="11"/>
  <c r="K39" i="11"/>
  <c r="J34" i="11"/>
  <c r="J33" i="11"/>
  <c r="J7" i="11"/>
  <c r="J6" i="11"/>
  <c r="F113" i="11"/>
  <c r="Q96" i="11"/>
  <c r="E113" i="11"/>
  <c r="Q95" i="11"/>
  <c r="D113" i="11"/>
  <c r="Q94" i="11"/>
  <c r="C113" i="11"/>
  <c r="Q93" i="11"/>
  <c r="F111" i="11"/>
  <c r="E111" i="11"/>
  <c r="D111" i="11"/>
  <c r="C111" i="11"/>
  <c r="F110" i="11"/>
  <c r="O96" i="11"/>
  <c r="E110" i="11"/>
  <c r="O95" i="11"/>
  <c r="D110" i="11"/>
  <c r="O94" i="11"/>
  <c r="C110" i="11"/>
  <c r="O93" i="11"/>
  <c r="F86" i="11"/>
  <c r="Q69" i="11"/>
  <c r="E86" i="11"/>
  <c r="Q68" i="11"/>
  <c r="D86" i="11"/>
  <c r="Q67" i="11"/>
  <c r="C86" i="11"/>
  <c r="Q66" i="11"/>
  <c r="G84" i="11"/>
  <c r="F84" i="11"/>
  <c r="E84" i="11"/>
  <c r="D84" i="11"/>
  <c r="C84" i="11"/>
  <c r="F83" i="11"/>
  <c r="O69" i="11"/>
  <c r="E83" i="11"/>
  <c r="O68" i="11"/>
  <c r="D83" i="11"/>
  <c r="O67" i="11"/>
  <c r="C83" i="11"/>
  <c r="O66" i="11"/>
  <c r="F59" i="11"/>
  <c r="Q42" i="11"/>
  <c r="E59" i="11"/>
  <c r="Q41" i="11"/>
  <c r="D59" i="11"/>
  <c r="Q40" i="11"/>
  <c r="C59" i="11"/>
  <c r="Q39" i="11"/>
  <c r="F57" i="11"/>
  <c r="E57" i="11"/>
  <c r="D57" i="11"/>
  <c r="C57" i="11"/>
  <c r="F56" i="11"/>
  <c r="O42" i="11"/>
  <c r="E56" i="11"/>
  <c r="O41" i="11"/>
  <c r="D56" i="11"/>
  <c r="O40" i="11"/>
  <c r="C56" i="11"/>
  <c r="O39" i="11"/>
  <c r="F32" i="11"/>
  <c r="Q15" i="11"/>
  <c r="E32" i="11"/>
  <c r="Q14" i="11"/>
  <c r="D32" i="11"/>
  <c r="Q13" i="11"/>
  <c r="C32" i="11"/>
  <c r="Q12" i="11"/>
  <c r="G30" i="11"/>
  <c r="G22" i="11"/>
  <c r="F30" i="11"/>
  <c r="E30" i="11"/>
  <c r="D30" i="11"/>
  <c r="H22" i="11"/>
  <c r="F22" i="11"/>
  <c r="F29" i="11"/>
  <c r="O15" i="11"/>
  <c r="E22" i="11"/>
  <c r="E29" i="11"/>
  <c r="O14" i="11"/>
  <c r="D22" i="11"/>
  <c r="D29" i="11"/>
  <c r="O13" i="11"/>
  <c r="C22" i="11"/>
  <c r="C29" i="11"/>
  <c r="O12" i="11"/>
  <c r="F58" i="6"/>
  <c r="P42" i="6"/>
  <c r="E58" i="6"/>
  <c r="P41" i="6"/>
  <c r="D58" i="6"/>
  <c r="P40" i="6"/>
  <c r="F76" i="6"/>
  <c r="E76" i="6"/>
  <c r="D76" i="6"/>
  <c r="H76" i="6"/>
  <c r="G76" i="6"/>
  <c r="C76" i="6"/>
  <c r="F22" i="6"/>
  <c r="F29" i="6"/>
  <c r="O15" i="6"/>
  <c r="E22" i="6"/>
  <c r="E29" i="6"/>
  <c r="E30" i="6"/>
  <c r="D22" i="6"/>
  <c r="D29" i="6"/>
  <c r="O13" i="6"/>
  <c r="C22" i="6"/>
  <c r="C29" i="6"/>
  <c r="C30" i="6"/>
  <c r="H22" i="6"/>
  <c r="G22" i="6"/>
  <c r="I15" i="4"/>
  <c r="L15" i="4"/>
  <c r="I14" i="4"/>
  <c r="L14" i="4"/>
  <c r="I13" i="4"/>
  <c r="L13" i="4"/>
  <c r="I12" i="4"/>
  <c r="L12" i="4"/>
  <c r="I10" i="4"/>
  <c r="I38" i="4"/>
  <c r="H50" i="4"/>
  <c r="G50" i="4"/>
  <c r="H22" i="4"/>
  <c r="G22" i="4"/>
  <c r="J33" i="4"/>
  <c r="H22" i="9"/>
  <c r="H76" i="10"/>
  <c r="D32" i="10"/>
  <c r="Q13" i="10"/>
  <c r="E32" i="10"/>
  <c r="Q14" i="10"/>
  <c r="F32" i="10"/>
  <c r="Q15" i="10"/>
  <c r="C32" i="10"/>
  <c r="Q12" i="10"/>
  <c r="J88" i="10"/>
  <c r="J87" i="10"/>
  <c r="J61" i="10"/>
  <c r="J60" i="10"/>
  <c r="J34" i="10"/>
  <c r="J33" i="10"/>
  <c r="J7" i="10"/>
  <c r="J6" i="10"/>
  <c r="J7" i="9"/>
  <c r="J6" i="9"/>
  <c r="J34" i="4"/>
  <c r="J6" i="4"/>
  <c r="J5" i="4"/>
  <c r="J88" i="6"/>
  <c r="J87" i="6"/>
  <c r="J7" i="6"/>
  <c r="J6" i="6"/>
  <c r="J34" i="6"/>
  <c r="J33" i="6"/>
  <c r="J61" i="6"/>
  <c r="J60" i="6"/>
  <c r="N96" i="6"/>
  <c r="L96" i="6"/>
  <c r="J96" i="6"/>
  <c r="P95" i="6"/>
  <c r="N95" i="6"/>
  <c r="L95" i="6"/>
  <c r="J95" i="6"/>
  <c r="P94" i="6"/>
  <c r="N94" i="6"/>
  <c r="L94" i="6"/>
  <c r="J94" i="6"/>
  <c r="Q93" i="6"/>
  <c r="N93" i="6"/>
  <c r="L93" i="6"/>
  <c r="J93" i="6"/>
  <c r="K93" i="6"/>
  <c r="N69" i="6"/>
  <c r="L69" i="6"/>
  <c r="J69" i="6"/>
  <c r="Q68" i="6"/>
  <c r="N68" i="6"/>
  <c r="L68" i="6"/>
  <c r="J68" i="6"/>
  <c r="N67" i="6"/>
  <c r="L67" i="6"/>
  <c r="J67" i="6"/>
  <c r="N66" i="6"/>
  <c r="L66" i="6"/>
  <c r="J66" i="6"/>
  <c r="K66" i="6"/>
  <c r="N42" i="6"/>
  <c r="J42" i="6"/>
  <c r="N41" i="6"/>
  <c r="J41" i="6"/>
  <c r="N40" i="6"/>
  <c r="J40" i="6"/>
  <c r="N39" i="6"/>
  <c r="J39" i="6"/>
  <c r="K39" i="6"/>
  <c r="N15" i="6"/>
  <c r="L15" i="6"/>
  <c r="J15" i="6"/>
  <c r="N14" i="6"/>
  <c r="L14" i="6"/>
  <c r="J14" i="6"/>
  <c r="N13" i="6"/>
  <c r="L13" i="6"/>
  <c r="J13" i="6"/>
  <c r="Q12" i="6"/>
  <c r="N12" i="6"/>
  <c r="L12" i="6"/>
  <c r="J12" i="6"/>
  <c r="J42" i="4"/>
  <c r="J41" i="4"/>
  <c r="J40" i="4"/>
  <c r="J39" i="4"/>
  <c r="K39" i="4"/>
  <c r="J12" i="4"/>
  <c r="N96" i="10"/>
  <c r="L96" i="10"/>
  <c r="J96" i="10"/>
  <c r="N95" i="10"/>
  <c r="L95" i="10"/>
  <c r="J95" i="10"/>
  <c r="N94" i="10"/>
  <c r="L94" i="10"/>
  <c r="J94" i="10"/>
  <c r="N93" i="10"/>
  <c r="L93" i="10"/>
  <c r="J93" i="10"/>
  <c r="K93" i="10"/>
  <c r="N69" i="10"/>
  <c r="L69" i="10"/>
  <c r="J69" i="10"/>
  <c r="N68" i="10"/>
  <c r="L68" i="10"/>
  <c r="J68" i="10"/>
  <c r="N67" i="10"/>
  <c r="L67" i="10"/>
  <c r="J67" i="10"/>
  <c r="N66" i="10"/>
  <c r="L66" i="10"/>
  <c r="J66" i="10"/>
  <c r="K66" i="10"/>
  <c r="N42" i="10"/>
  <c r="L42" i="10"/>
  <c r="J42" i="10"/>
  <c r="N41" i="10"/>
  <c r="L41" i="10"/>
  <c r="J41" i="10"/>
  <c r="N40" i="10"/>
  <c r="L40" i="10"/>
  <c r="J40" i="10"/>
  <c r="N39" i="10"/>
  <c r="L39" i="10"/>
  <c r="J39" i="10"/>
  <c r="K39" i="10"/>
  <c r="F110" i="10"/>
  <c r="O96" i="10"/>
  <c r="E110" i="10"/>
  <c r="E111" i="10"/>
  <c r="D110" i="10"/>
  <c r="O94" i="10"/>
  <c r="D111" i="10"/>
  <c r="G84" i="10"/>
  <c r="G76" i="10"/>
  <c r="G30" i="10"/>
  <c r="G22" i="10"/>
  <c r="Q69" i="10"/>
  <c r="Q68" i="10"/>
  <c r="F76" i="10"/>
  <c r="F83" i="10"/>
  <c r="O69" i="10"/>
  <c r="E76" i="10"/>
  <c r="E83" i="10"/>
  <c r="O68" i="10"/>
  <c r="D76" i="10"/>
  <c r="D83" i="10"/>
  <c r="O67" i="10"/>
  <c r="C76" i="10"/>
  <c r="C83" i="10"/>
  <c r="O66" i="10"/>
  <c r="F59" i="10"/>
  <c r="Q42" i="10"/>
  <c r="E59" i="10"/>
  <c r="Q41" i="10"/>
  <c r="D59" i="10"/>
  <c r="Q40" i="10"/>
  <c r="C59" i="10"/>
  <c r="Q39" i="10"/>
  <c r="F56" i="10"/>
  <c r="F57" i="10"/>
  <c r="E56" i="10"/>
  <c r="D56" i="10"/>
  <c r="D57" i="10"/>
  <c r="O40" i="10"/>
  <c r="C30" i="10"/>
  <c r="F30" i="10"/>
  <c r="E30" i="10"/>
  <c r="D30" i="10"/>
  <c r="F22" i="10"/>
  <c r="F29" i="10"/>
  <c r="O15" i="10"/>
  <c r="E22" i="10"/>
  <c r="E29" i="10"/>
  <c r="O14" i="10"/>
  <c r="D22" i="10"/>
  <c r="D29" i="10"/>
  <c r="O13" i="10"/>
  <c r="C22" i="10"/>
  <c r="C29" i="10"/>
  <c r="O12" i="10"/>
  <c r="D30" i="9"/>
  <c r="E30" i="9"/>
  <c r="F30" i="9"/>
  <c r="C30" i="9"/>
  <c r="F29" i="9"/>
  <c r="O15" i="9"/>
  <c r="D29" i="9"/>
  <c r="O13" i="9"/>
  <c r="F32" i="9"/>
  <c r="Q15" i="9"/>
  <c r="E32" i="9"/>
  <c r="Q14" i="9"/>
  <c r="D32" i="9"/>
  <c r="Q13" i="9"/>
  <c r="C32" i="9"/>
  <c r="Q12" i="9"/>
  <c r="E29" i="9"/>
  <c r="O14" i="9"/>
  <c r="F22" i="4"/>
  <c r="F29" i="4"/>
  <c r="O15" i="4"/>
  <c r="E22" i="4"/>
  <c r="E29" i="4"/>
  <c r="O14" i="4"/>
  <c r="D22" i="4"/>
  <c r="D29" i="4"/>
  <c r="O13" i="4"/>
  <c r="C22" i="4"/>
  <c r="C29" i="4"/>
  <c r="O12" i="4"/>
  <c r="D30" i="4"/>
  <c r="E30" i="4"/>
  <c r="F30" i="4"/>
  <c r="C30" i="4"/>
  <c r="F50" i="4"/>
  <c r="F57" i="4"/>
  <c r="O42" i="4"/>
  <c r="E50" i="4"/>
  <c r="E57" i="4"/>
  <c r="O41" i="4"/>
  <c r="D50" i="4"/>
  <c r="D57" i="4"/>
  <c r="D58" i="4"/>
  <c r="C50" i="4"/>
  <c r="C57" i="4"/>
  <c r="O39" i="4"/>
  <c r="O42" i="10"/>
  <c r="O42" i="6"/>
  <c r="Q41" i="6"/>
  <c r="Q40" i="6"/>
  <c r="Q15" i="6"/>
  <c r="C31" i="6"/>
  <c r="P12" i="6"/>
  <c r="D31" i="6"/>
  <c r="P13" i="6"/>
  <c r="E31" i="6"/>
  <c r="P14" i="6"/>
  <c r="F31" i="6"/>
  <c r="P15" i="6"/>
  <c r="P12" i="4"/>
  <c r="D59" i="4"/>
  <c r="P40" i="4"/>
  <c r="E59" i="4"/>
  <c r="P41" i="4"/>
  <c r="F59" i="4"/>
  <c r="P42" i="4"/>
  <c r="D60" i="4"/>
  <c r="Q40" i="4"/>
  <c r="E60" i="4"/>
  <c r="Q41" i="4"/>
  <c r="F60" i="4"/>
  <c r="Q42" i="4"/>
  <c r="C60" i="4"/>
  <c r="Q39" i="4"/>
  <c r="C59" i="4"/>
  <c r="P39" i="4"/>
  <c r="Q14" i="4"/>
  <c r="P15" i="4"/>
  <c r="E24" i="34"/>
  <c r="K12" i="34"/>
  <c r="D32" i="13"/>
  <c r="P13" i="13"/>
  <c r="C32" i="13"/>
  <c r="P12" i="13"/>
  <c r="K12" i="27"/>
  <c r="K12" i="30"/>
  <c r="D83" i="6"/>
  <c r="P13" i="34"/>
  <c r="Q13" i="34"/>
  <c r="Q15" i="34"/>
  <c r="P15" i="34"/>
  <c r="P14" i="34"/>
  <c r="Q14" i="34"/>
  <c r="P12" i="34"/>
  <c r="Q12" i="34"/>
  <c r="O95" i="10"/>
  <c r="M50" i="4"/>
  <c r="O39" i="6"/>
  <c r="K12" i="28"/>
  <c r="C24" i="34"/>
  <c r="O40" i="6"/>
  <c r="K12" i="6"/>
  <c r="D30" i="6"/>
  <c r="F30" i="6"/>
  <c r="F83" i="6"/>
  <c r="F84" i="6"/>
  <c r="E13" i="27"/>
  <c r="L14" i="27"/>
  <c r="F30" i="27"/>
  <c r="F29" i="27"/>
  <c r="O15" i="27"/>
  <c r="O93" i="10"/>
  <c r="O12" i="6"/>
  <c r="F59" i="28"/>
  <c r="Q42" i="28"/>
  <c r="C59" i="28"/>
  <c r="Q39" i="28"/>
  <c r="O41" i="6"/>
  <c r="O94" i="6"/>
  <c r="F58" i="4"/>
  <c r="D22" i="27"/>
  <c r="C83" i="6"/>
  <c r="O66" i="6"/>
  <c r="K12" i="29"/>
  <c r="O40" i="4"/>
  <c r="O14" i="6"/>
  <c r="C111" i="6"/>
  <c r="O93" i="6"/>
  <c r="K12" i="10"/>
  <c r="K12" i="11"/>
  <c r="K12" i="9"/>
  <c r="E58" i="4"/>
  <c r="F24" i="34"/>
  <c r="F111" i="10"/>
  <c r="C58" i="4"/>
  <c r="K12" i="14"/>
  <c r="D24" i="34"/>
  <c r="O13" i="34"/>
  <c r="D84" i="6"/>
  <c r="O67" i="6"/>
  <c r="K12" i="4"/>
  <c r="K12" i="13"/>
  <c r="D59" i="28"/>
  <c r="Q40" i="28"/>
  <c r="E111" i="6"/>
  <c r="O95" i="6"/>
  <c r="E30" i="27"/>
  <c r="E29" i="27"/>
  <c r="O14" i="27"/>
  <c r="E22" i="27"/>
  <c r="C57" i="10"/>
  <c r="O39" i="10"/>
  <c r="C84" i="6"/>
  <c r="O69" i="6"/>
  <c r="E57" i="10"/>
  <c r="O41" i="10"/>
  <c r="E83" i="6"/>
  <c r="F32" i="13"/>
  <c r="P15" i="13"/>
  <c r="C30" i="27"/>
  <c r="C29" i="27"/>
  <c r="O12" i="27"/>
  <c r="C22" i="27"/>
  <c r="F13" i="27"/>
  <c r="L15" i="27"/>
  <c r="E59" i="28"/>
  <c r="Q41" i="28"/>
  <c r="C66" i="28"/>
  <c r="O96" i="6"/>
  <c r="D61" i="13"/>
  <c r="Q41" i="13"/>
  <c r="C61" i="13"/>
  <c r="Q40" i="13"/>
  <c r="F130" i="14"/>
  <c r="E130" i="14"/>
  <c r="D130" i="14"/>
  <c r="F61" i="13"/>
  <c r="Q43" i="13"/>
  <c r="E61" i="13"/>
  <c r="Q42" i="13"/>
  <c r="E84" i="6"/>
  <c r="O68" i="6"/>
  <c r="AB104" i="94"/>
  <c r="AB145" i="74"/>
  <c r="Y76" i="93"/>
  <c r="N129" i="94"/>
  <c r="AB138" i="94"/>
  <c r="I123" i="83" l="1"/>
  <c r="G40" i="83"/>
  <c r="E300" i="85"/>
  <c r="G48" i="87"/>
  <c r="I89" i="87"/>
  <c r="I92" i="87"/>
  <c r="I175" i="87"/>
  <c r="I71" i="88"/>
  <c r="I74" i="88"/>
  <c r="I136" i="88"/>
  <c r="I167" i="88"/>
  <c r="I107" i="91"/>
  <c r="E66" i="85"/>
  <c r="D66" i="85" s="1"/>
  <c r="D239" i="85" s="1"/>
  <c r="E168" i="88"/>
  <c r="E188" i="82"/>
  <c r="D188" i="82" s="1"/>
  <c r="D280" i="82" s="1"/>
  <c r="H190" i="82"/>
  <c r="I166" i="83"/>
  <c r="H87" i="85"/>
  <c r="E87" i="85" s="1"/>
  <c r="G38" i="87"/>
  <c r="I105" i="87"/>
  <c r="I116" i="87"/>
  <c r="I153" i="87"/>
  <c r="G50" i="88"/>
  <c r="I84" i="88"/>
  <c r="I147" i="88"/>
  <c r="H19" i="89"/>
  <c r="G40" i="91"/>
  <c r="I104" i="91"/>
  <c r="E188" i="84"/>
  <c r="D188" i="84" s="1"/>
  <c r="D280" i="84" s="1"/>
  <c r="H190" i="84"/>
  <c r="E188" i="81"/>
  <c r="D188" i="81" s="1"/>
  <c r="D280" i="81" s="1"/>
  <c r="H190" i="81"/>
  <c r="E188" i="74"/>
  <c r="H190" i="74"/>
  <c r="E187" i="88"/>
  <c r="D187" i="88" s="1"/>
  <c r="D279" i="88" s="1"/>
  <c r="H189" i="88"/>
  <c r="E162" i="85"/>
  <c r="E187" i="81"/>
  <c r="H189" i="81"/>
  <c r="H194" i="81"/>
  <c r="E194" i="81" s="1"/>
  <c r="D194" i="81" s="1"/>
  <c r="D285" i="81" s="1"/>
  <c r="E218" i="91"/>
  <c r="E27" i="74"/>
  <c r="H66" i="74"/>
  <c r="E66" i="74" s="1"/>
  <c r="H37" i="74"/>
  <c r="G50" i="74"/>
  <c r="I145" i="74"/>
  <c r="I63" i="74"/>
  <c r="I68" i="74"/>
  <c r="H27" i="81"/>
  <c r="E135" i="81"/>
  <c r="H138" i="81"/>
  <c r="E138" i="81" s="1"/>
  <c r="D138" i="81" s="1"/>
  <c r="D263" i="81" s="1"/>
  <c r="E132" i="82"/>
  <c r="I156" i="82"/>
  <c r="H75" i="82"/>
  <c r="E75" i="82" s="1"/>
  <c r="H49" i="83"/>
  <c r="H47" i="84"/>
  <c r="H192" i="84"/>
  <c r="E192" i="84" s="1"/>
  <c r="I70" i="85"/>
  <c r="I79" i="85"/>
  <c r="I149" i="85"/>
  <c r="I88" i="85"/>
  <c r="I138" i="85"/>
  <c r="E299" i="81"/>
  <c r="I113" i="83"/>
  <c r="I161" i="83"/>
  <c r="I97" i="83"/>
  <c r="I167" i="83"/>
  <c r="G10" i="83"/>
  <c r="G56" i="87"/>
  <c r="I99" i="87"/>
  <c r="I140" i="87"/>
  <c r="I142" i="87"/>
  <c r="I164" i="87"/>
  <c r="I66" i="88"/>
  <c r="I67" i="88"/>
  <c r="I104" i="88"/>
  <c r="I151" i="88"/>
  <c r="H45" i="91"/>
  <c r="G32" i="89"/>
  <c r="I91" i="89"/>
  <c r="H198" i="91"/>
  <c r="E51" i="74"/>
  <c r="H69" i="74"/>
  <c r="E69" i="74" s="1"/>
  <c r="H25" i="74"/>
  <c r="G24" i="74"/>
  <c r="I137" i="74"/>
  <c r="I167" i="74"/>
  <c r="I146" i="74"/>
  <c r="H39" i="81"/>
  <c r="H123" i="81"/>
  <c r="I118" i="82"/>
  <c r="H129" i="82"/>
  <c r="H108" i="83"/>
  <c r="H59" i="84"/>
  <c r="H150" i="84"/>
  <c r="E150" i="84" s="1"/>
  <c r="D150" i="84" s="1"/>
  <c r="D267" i="84" s="1"/>
  <c r="I82" i="85"/>
  <c r="I85" i="85"/>
  <c r="I159" i="85"/>
  <c r="I100" i="85"/>
  <c r="I140" i="85"/>
  <c r="D296" i="81"/>
  <c r="X6" i="81" s="1"/>
  <c r="G36" i="83"/>
  <c r="I173" i="83"/>
  <c r="I109" i="83"/>
  <c r="I177" i="83"/>
  <c r="H214" i="84"/>
  <c r="G62" i="87"/>
  <c r="I115" i="87"/>
  <c r="I148" i="87"/>
  <c r="I154" i="87"/>
  <c r="I174" i="87"/>
  <c r="E84" i="88"/>
  <c r="I68" i="88"/>
  <c r="I79" i="88"/>
  <c r="I114" i="88"/>
  <c r="I163" i="88"/>
  <c r="H214" i="87"/>
  <c r="I70" i="89"/>
  <c r="I115" i="89"/>
  <c r="H198" i="85"/>
  <c r="E198" i="85" s="1"/>
  <c r="D198" i="85" s="1"/>
  <c r="D286" i="85" s="1"/>
  <c r="H194" i="88"/>
  <c r="E84" i="74"/>
  <c r="D84" i="74" s="1"/>
  <c r="D245" i="74" s="1"/>
  <c r="H90" i="74"/>
  <c r="E90" i="74" s="1"/>
  <c r="G36" i="74"/>
  <c r="I105" i="74"/>
  <c r="I135" i="74"/>
  <c r="I144" i="74"/>
  <c r="E132" i="81"/>
  <c r="D132" i="81" s="1"/>
  <c r="D261" i="81" s="1"/>
  <c r="H99" i="81"/>
  <c r="E99" i="81" s="1"/>
  <c r="E9" i="81"/>
  <c r="H177" i="81"/>
  <c r="E187" i="82"/>
  <c r="I163" i="82"/>
  <c r="H138" i="82"/>
  <c r="E138" i="82" s="1"/>
  <c r="D138" i="82" s="1"/>
  <c r="D263" i="82" s="1"/>
  <c r="H57" i="83"/>
  <c r="H37" i="84"/>
  <c r="E87" i="84"/>
  <c r="D87" i="84" s="1"/>
  <c r="D246" i="84" s="1"/>
  <c r="G58" i="85"/>
  <c r="I161" i="85"/>
  <c r="I132" i="85"/>
  <c r="I144" i="85"/>
  <c r="I164" i="85"/>
  <c r="I90" i="83"/>
  <c r="I105" i="83"/>
  <c r="I135" i="83"/>
  <c r="I169" i="83"/>
  <c r="I68" i="87"/>
  <c r="I95" i="87"/>
  <c r="I80" i="87"/>
  <c r="I134" i="87"/>
  <c r="H27" i="87"/>
  <c r="E27" i="87" s="1"/>
  <c r="D27" i="87" s="1"/>
  <c r="D232" i="87" s="1"/>
  <c r="E126" i="88"/>
  <c r="G38" i="88"/>
  <c r="I103" i="88"/>
  <c r="I138" i="88"/>
  <c r="I141" i="88"/>
  <c r="H117" i="91"/>
  <c r="G40" i="89"/>
  <c r="I166" i="89"/>
  <c r="E190" i="74"/>
  <c r="D190" i="74" s="1"/>
  <c r="D282" i="74" s="1"/>
  <c r="E189" i="74"/>
  <c r="E218" i="74"/>
  <c r="E291" i="74" s="1"/>
  <c r="AI21" i="74"/>
  <c r="H218" i="74" s="1"/>
  <c r="H194" i="91"/>
  <c r="E180" i="82"/>
  <c r="D180" i="82" s="1"/>
  <c r="D277" i="82" s="1"/>
  <c r="E189" i="82"/>
  <c r="AI21" i="82"/>
  <c r="H218" i="82" s="1"/>
  <c r="E218" i="82" s="1"/>
  <c r="E291" i="82" s="1"/>
  <c r="D298" i="84"/>
  <c r="Z6" i="84" s="1"/>
  <c r="AI21" i="84"/>
  <c r="H218" i="84" s="1"/>
  <c r="E218" i="84" s="1"/>
  <c r="E291" i="84" s="1"/>
  <c r="E301" i="87"/>
  <c r="E218" i="87"/>
  <c r="E75" i="84"/>
  <c r="E120" i="87"/>
  <c r="D120" i="87" s="1"/>
  <c r="D257" i="87" s="1"/>
  <c r="E159" i="74"/>
  <c r="E299" i="74"/>
  <c r="H135" i="74"/>
  <c r="E135" i="74" s="1"/>
  <c r="D135" i="74" s="1"/>
  <c r="D262" i="74" s="1"/>
  <c r="I132" i="74"/>
  <c r="I165" i="74"/>
  <c r="I71" i="74"/>
  <c r="I158" i="74"/>
  <c r="H78" i="81"/>
  <c r="E78" i="81" s="1"/>
  <c r="D78" i="81" s="1"/>
  <c r="D243" i="81" s="1"/>
  <c r="H69" i="81"/>
  <c r="E69" i="81" s="1"/>
  <c r="H87" i="82"/>
  <c r="E87" i="82" s="1"/>
  <c r="H11" i="82"/>
  <c r="H177" i="82"/>
  <c r="E177" i="82" s="1"/>
  <c r="D177" i="82" s="1"/>
  <c r="D276" i="82" s="1"/>
  <c r="H144" i="83"/>
  <c r="H45" i="84"/>
  <c r="E45" i="84" s="1"/>
  <c r="D45" i="84" s="1"/>
  <c r="D235" i="84" s="1"/>
  <c r="G20" i="85"/>
  <c r="G56" i="85"/>
  <c r="I114" i="85"/>
  <c r="I108" i="85"/>
  <c r="I151" i="85"/>
  <c r="D300" i="82"/>
  <c r="AB6" i="82" s="1"/>
  <c r="I81" i="83"/>
  <c r="I124" i="83"/>
  <c r="I154" i="83"/>
  <c r="G62" i="83"/>
  <c r="E297" i="85"/>
  <c r="I65" i="87"/>
  <c r="I107" i="87"/>
  <c r="I109" i="87"/>
  <c r="I128" i="87"/>
  <c r="I163" i="87"/>
  <c r="H135" i="87"/>
  <c r="E135" i="87" s="1"/>
  <c r="D135" i="87" s="1"/>
  <c r="D262" i="87" s="1"/>
  <c r="E159" i="88"/>
  <c r="D159" i="88" s="1"/>
  <c r="D270" i="88" s="1"/>
  <c r="I63" i="88"/>
  <c r="I107" i="88"/>
  <c r="I128" i="88"/>
  <c r="I174" i="88"/>
  <c r="I84" i="89"/>
  <c r="I137" i="89"/>
  <c r="AI21" i="89"/>
  <c r="H218" i="89" s="1"/>
  <c r="E218" i="89" s="1"/>
  <c r="E291" i="89" s="1"/>
  <c r="H198" i="92"/>
  <c r="H194" i="82"/>
  <c r="E190" i="82"/>
  <c r="H198" i="74"/>
  <c r="H194" i="84"/>
  <c r="G10" i="74"/>
  <c r="I107" i="74"/>
  <c r="I163" i="74"/>
  <c r="I77" i="74"/>
  <c r="I118" i="74"/>
  <c r="H141" i="81"/>
  <c r="E141" i="81" s="1"/>
  <c r="D141" i="81" s="1"/>
  <c r="D264" i="81" s="1"/>
  <c r="H108" i="81"/>
  <c r="E108" i="81" s="1"/>
  <c r="D108" i="81" s="1"/>
  <c r="D253" i="81" s="1"/>
  <c r="H9" i="83"/>
  <c r="H171" i="83"/>
  <c r="H123" i="84"/>
  <c r="E123" i="84" s="1"/>
  <c r="D123" i="84" s="1"/>
  <c r="D258" i="84" s="1"/>
  <c r="G10" i="85"/>
  <c r="I77" i="85"/>
  <c r="I103" i="85"/>
  <c r="I158" i="85"/>
  <c r="I129" i="85"/>
  <c r="I76" i="83"/>
  <c r="I92" i="83"/>
  <c r="I149" i="83"/>
  <c r="I156" i="83"/>
  <c r="I80" i="83"/>
  <c r="I63" i="87"/>
  <c r="I87" i="87"/>
  <c r="I113" i="87"/>
  <c r="I139" i="87"/>
  <c r="G18" i="88"/>
  <c r="I97" i="88"/>
  <c r="I88" i="88"/>
  <c r="I99" i="88"/>
  <c r="H61" i="89"/>
  <c r="G18" i="89"/>
  <c r="I123" i="89"/>
  <c r="H198" i="82"/>
  <c r="H198" i="84"/>
  <c r="H194" i="87"/>
  <c r="H198" i="87"/>
  <c r="H194" i="89"/>
  <c r="E296" i="81"/>
  <c r="E190" i="81"/>
  <c r="AI21" i="81"/>
  <c r="H218" i="81" s="1"/>
  <c r="E189" i="81"/>
  <c r="D189" i="81" s="1"/>
  <c r="D281" i="81" s="1"/>
  <c r="AI21" i="83"/>
  <c r="H218" i="83" s="1"/>
  <c r="E218" i="85"/>
  <c r="D297" i="88"/>
  <c r="Y6" i="88" s="1"/>
  <c r="E189" i="88"/>
  <c r="D189" i="88" s="1"/>
  <c r="D281" i="88" s="1"/>
  <c r="AI21" i="88"/>
  <c r="H218" i="88" s="1"/>
  <c r="E218" i="88" s="1"/>
  <c r="E291" i="88" s="1"/>
  <c r="H187" i="83"/>
  <c r="H189" i="83" s="1"/>
  <c r="E189" i="83" s="1"/>
  <c r="D189" i="83" s="1"/>
  <c r="D281" i="83" s="1"/>
  <c r="H61" i="88"/>
  <c r="H174" i="83"/>
  <c r="H53" i="85"/>
  <c r="H23" i="88"/>
  <c r="H84" i="81"/>
  <c r="E84" i="81" s="1"/>
  <c r="D84" i="81" s="1"/>
  <c r="D245" i="81" s="1"/>
  <c r="E168" i="81"/>
  <c r="D168" i="81" s="1"/>
  <c r="D273" i="81" s="1"/>
  <c r="E123" i="81"/>
  <c r="E105" i="82"/>
  <c r="I109" i="82"/>
  <c r="E66" i="82"/>
  <c r="D66" i="82" s="1"/>
  <c r="D239" i="82" s="1"/>
  <c r="H66" i="83"/>
  <c r="H191" i="83"/>
  <c r="H117" i="84"/>
  <c r="E117" i="84" s="1"/>
  <c r="I84" i="85"/>
  <c r="I76" i="85"/>
  <c r="I110" i="85"/>
  <c r="I178" i="85"/>
  <c r="I91" i="83"/>
  <c r="I96" i="83"/>
  <c r="I160" i="83"/>
  <c r="I134" i="83"/>
  <c r="I159" i="83"/>
  <c r="H39" i="85"/>
  <c r="E39" i="85" s="1"/>
  <c r="D39" i="85" s="1"/>
  <c r="D234" i="85" s="1"/>
  <c r="E75" i="88"/>
  <c r="D75" i="88" s="1"/>
  <c r="D242" i="88" s="1"/>
  <c r="H11" i="88"/>
  <c r="H53" i="88"/>
  <c r="G34" i="88"/>
  <c r="I70" i="88"/>
  <c r="I112" i="88"/>
  <c r="I89" i="88"/>
  <c r="I164" i="88"/>
  <c r="H102" i="91"/>
  <c r="G24" i="89"/>
  <c r="I139" i="89"/>
  <c r="I157" i="89"/>
  <c r="I170" i="89"/>
  <c r="I79" i="91"/>
  <c r="I124" i="91"/>
  <c r="H159" i="83"/>
  <c r="H29" i="85"/>
  <c r="H21" i="88"/>
  <c r="E21" i="88" s="1"/>
  <c r="D21" i="88" s="1"/>
  <c r="D231" i="88" s="1"/>
  <c r="E194" i="88"/>
  <c r="H180" i="83"/>
  <c r="I146" i="83"/>
  <c r="G52" i="83"/>
  <c r="H78" i="85"/>
  <c r="E78" i="85" s="1"/>
  <c r="H49" i="88"/>
  <c r="H150" i="91"/>
  <c r="D298" i="88"/>
  <c r="Z6" i="88" s="1"/>
  <c r="G30" i="89"/>
  <c r="G46" i="89"/>
  <c r="I161" i="89"/>
  <c r="I182" i="89"/>
  <c r="H17" i="83"/>
  <c r="H99" i="85"/>
  <c r="E99" i="85" s="1"/>
  <c r="H59" i="88"/>
  <c r="G54" i="89"/>
  <c r="I95" i="89"/>
  <c r="I141" i="89"/>
  <c r="H55" i="83"/>
  <c r="H111" i="85"/>
  <c r="E111" i="85" s="1"/>
  <c r="D111" i="85" s="1"/>
  <c r="D254" i="85" s="1"/>
  <c r="H69" i="88"/>
  <c r="E69" i="88" s="1"/>
  <c r="D69" i="88" s="1"/>
  <c r="D240" i="88" s="1"/>
  <c r="H78" i="83"/>
  <c r="H126" i="85"/>
  <c r="E126" i="85" s="1"/>
  <c r="D126" i="85" s="1"/>
  <c r="D259" i="85" s="1"/>
  <c r="H96" i="88"/>
  <c r="E96" i="88" s="1"/>
  <c r="D96" i="88" s="1"/>
  <c r="D249" i="88" s="1"/>
  <c r="H19" i="83"/>
  <c r="H187" i="85"/>
  <c r="H132" i="85"/>
  <c r="H117" i="88"/>
  <c r="E117" i="88" s="1"/>
  <c r="D117" i="88" s="1"/>
  <c r="D256" i="88" s="1"/>
  <c r="I79" i="89"/>
  <c r="I129" i="89"/>
  <c r="I155" i="89"/>
  <c r="H39" i="83"/>
  <c r="H93" i="85"/>
  <c r="E93" i="85" s="1"/>
  <c r="H141" i="85"/>
  <c r="E141" i="85" s="1"/>
  <c r="D141" i="85" s="1"/>
  <c r="D264" i="85" s="1"/>
  <c r="H150" i="88"/>
  <c r="E150" i="88" s="1"/>
  <c r="D150" i="88" s="1"/>
  <c r="D267" i="88" s="1"/>
  <c r="H72" i="91"/>
  <c r="D300" i="88"/>
  <c r="AB6" i="88" s="1"/>
  <c r="G20" i="89"/>
  <c r="I103" i="89"/>
  <c r="I160" i="89"/>
  <c r="I165" i="89"/>
  <c r="H53" i="83"/>
  <c r="H31" i="85"/>
  <c r="H153" i="85"/>
  <c r="E153" i="85" s="1"/>
  <c r="D153" i="85" s="1"/>
  <c r="D268" i="85" s="1"/>
  <c r="H90" i="88"/>
  <c r="E90" i="88" s="1"/>
  <c r="D90" i="88" s="1"/>
  <c r="D247" i="88" s="1"/>
  <c r="H87" i="91"/>
  <c r="H15" i="83"/>
  <c r="H17" i="85"/>
  <c r="H19" i="85"/>
  <c r="H174" i="85"/>
  <c r="E174" i="85" s="1"/>
  <c r="H102" i="88"/>
  <c r="E102" i="88" s="1"/>
  <c r="E300" i="88"/>
  <c r="G44" i="89"/>
  <c r="I69" i="89"/>
  <c r="I149" i="89"/>
  <c r="I177" i="89"/>
  <c r="D300" i="89"/>
  <c r="AB6" i="89" s="1"/>
  <c r="H93" i="81"/>
  <c r="E93" i="81" s="1"/>
  <c r="E45" i="82"/>
  <c r="E144" i="82"/>
  <c r="H75" i="83"/>
  <c r="H27" i="83"/>
  <c r="H61" i="84"/>
  <c r="H147" i="85"/>
  <c r="E147" i="85" s="1"/>
  <c r="D147" i="85" s="1"/>
  <c r="D266" i="85" s="1"/>
  <c r="D296" i="82"/>
  <c r="X6" i="82" s="1"/>
  <c r="I89" i="83"/>
  <c r="I93" i="83"/>
  <c r="I85" i="83"/>
  <c r="I129" i="83"/>
  <c r="G42" i="83"/>
  <c r="H105" i="85"/>
  <c r="E105" i="85" s="1"/>
  <c r="D105" i="85" s="1"/>
  <c r="D252" i="85" s="1"/>
  <c r="H191" i="85"/>
  <c r="E191" i="85" s="1"/>
  <c r="H138" i="88"/>
  <c r="E138" i="88" s="1"/>
  <c r="H147" i="88"/>
  <c r="E147" i="88" s="1"/>
  <c r="I166" i="88"/>
  <c r="H126" i="91"/>
  <c r="G50" i="89"/>
  <c r="I71" i="89"/>
  <c r="I102" i="89"/>
  <c r="I181" i="89"/>
  <c r="I89" i="91"/>
  <c r="I166" i="91"/>
  <c r="H43" i="83"/>
  <c r="H159" i="85"/>
  <c r="E159" i="85" s="1"/>
  <c r="D159" i="85" s="1"/>
  <c r="D270" i="85" s="1"/>
  <c r="H43" i="85"/>
  <c r="H180" i="85"/>
  <c r="H123" i="88"/>
  <c r="E123" i="88" s="1"/>
  <c r="H31" i="83"/>
  <c r="H15" i="85"/>
  <c r="E15" i="85" s="1"/>
  <c r="D15" i="85" s="1"/>
  <c r="D230" i="85" s="1"/>
  <c r="H41" i="85"/>
  <c r="H108" i="88"/>
  <c r="E108" i="88" s="1"/>
  <c r="D108" i="88" s="1"/>
  <c r="D253" i="88" s="1"/>
  <c r="I114" i="89"/>
  <c r="I138" i="89"/>
  <c r="H27" i="85"/>
  <c r="E27" i="85" s="1"/>
  <c r="H57" i="88"/>
  <c r="E57" i="88" s="1"/>
  <c r="D57" i="88" s="1"/>
  <c r="D237" i="88" s="1"/>
  <c r="H129" i="88"/>
  <c r="E129" i="88" s="1"/>
  <c r="H51" i="83"/>
  <c r="H174" i="74"/>
  <c r="H153" i="81"/>
  <c r="E153" i="81" s="1"/>
  <c r="D153" i="81" s="1"/>
  <c r="D268" i="81" s="1"/>
  <c r="E120" i="82"/>
  <c r="D120" i="82" s="1"/>
  <c r="D257" i="82" s="1"/>
  <c r="E21" i="82"/>
  <c r="D21" i="82" s="1"/>
  <c r="D231" i="82" s="1"/>
  <c r="E192" i="82"/>
  <c r="H102" i="83"/>
  <c r="H41" i="83"/>
  <c r="H57" i="84"/>
  <c r="E57" i="84" s="1"/>
  <c r="D57" i="84" s="1"/>
  <c r="D237" i="84" s="1"/>
  <c r="G38" i="85"/>
  <c r="I89" i="85"/>
  <c r="I121" i="85"/>
  <c r="I107" i="85"/>
  <c r="D297" i="82"/>
  <c r="Y6" i="82" s="1"/>
  <c r="I69" i="83"/>
  <c r="I117" i="83"/>
  <c r="I127" i="83"/>
  <c r="I153" i="83"/>
  <c r="G16" i="83"/>
  <c r="H51" i="85"/>
  <c r="E51" i="85" s="1"/>
  <c r="H214" i="85"/>
  <c r="H9" i="88"/>
  <c r="H144" i="88"/>
  <c r="E144" i="88" s="1"/>
  <c r="D144" i="88" s="1"/>
  <c r="D265" i="88" s="1"/>
  <c r="H153" i="88"/>
  <c r="E153" i="88" s="1"/>
  <c r="D153" i="88" s="1"/>
  <c r="D268" i="88" s="1"/>
  <c r="I81" i="88"/>
  <c r="I91" i="88"/>
  <c r="I132" i="88"/>
  <c r="I139" i="88"/>
  <c r="H21" i="91"/>
  <c r="D298" i="89"/>
  <c r="Z6" i="89" s="1"/>
  <c r="G48" i="89"/>
  <c r="I101" i="89"/>
  <c r="I126" i="89"/>
  <c r="I162" i="89"/>
  <c r="I122" i="91"/>
  <c r="I175" i="91"/>
  <c r="H29" i="83"/>
  <c r="H84" i="85"/>
  <c r="E84" i="85" s="1"/>
  <c r="H37" i="88"/>
  <c r="H156" i="88"/>
  <c r="E156" i="88" s="1"/>
  <c r="H84" i="83"/>
  <c r="H55" i="85"/>
  <c r="H188" i="88"/>
  <c r="H165" i="88"/>
  <c r="E165" i="88" s="1"/>
  <c r="D165" i="88" s="1"/>
  <c r="D272" i="88" s="1"/>
  <c r="I63" i="89"/>
  <c r="I90" i="89"/>
  <c r="I131" i="89"/>
  <c r="I176" i="89"/>
  <c r="H93" i="83"/>
  <c r="H47" i="88"/>
  <c r="H177" i="88"/>
  <c r="E177" i="88" s="1"/>
  <c r="D177" i="88" s="1"/>
  <c r="D276" i="88" s="1"/>
  <c r="H105" i="83"/>
  <c r="E105" i="83" s="1"/>
  <c r="D105" i="83" s="1"/>
  <c r="D252" i="83" s="1"/>
  <c r="H66" i="88"/>
  <c r="E66" i="88" s="1"/>
  <c r="D66" i="88" s="1"/>
  <c r="D239" i="88" s="1"/>
  <c r="H192" i="88"/>
  <c r="E192" i="88" s="1"/>
  <c r="D192" i="88" s="1"/>
  <c r="D284" i="88" s="1"/>
  <c r="H25" i="88"/>
  <c r="H171" i="88"/>
  <c r="E171" i="88" s="1"/>
  <c r="D171" i="88" s="1"/>
  <c r="D274" i="88" s="1"/>
  <c r="H126" i="83"/>
  <c r="H69" i="85"/>
  <c r="E69" i="85" s="1"/>
  <c r="D69" i="85" s="1"/>
  <c r="D240" i="85" s="1"/>
  <c r="H180" i="74"/>
  <c r="E180" i="74" s="1"/>
  <c r="H159" i="81"/>
  <c r="E159" i="81" s="1"/>
  <c r="D159" i="81" s="1"/>
  <c r="D270" i="81" s="1"/>
  <c r="E27" i="82"/>
  <c r="H188" i="83"/>
  <c r="H190" i="83" s="1"/>
  <c r="E190" i="83" s="1"/>
  <c r="D190" i="83" s="1"/>
  <c r="D282" i="83" s="1"/>
  <c r="H141" i="83"/>
  <c r="H25" i="85"/>
  <c r="G12" i="83"/>
  <c r="I102" i="83"/>
  <c r="I112" i="83"/>
  <c r="I171" i="83"/>
  <c r="I181" i="83"/>
  <c r="G38" i="83"/>
  <c r="H45" i="88"/>
  <c r="E45" i="88" s="1"/>
  <c r="D45" i="88" s="1"/>
  <c r="D235" i="88" s="1"/>
  <c r="H29" i="88"/>
  <c r="I131" i="88"/>
  <c r="H59" i="91"/>
  <c r="E300" i="89"/>
  <c r="I142" i="89"/>
  <c r="I73" i="89"/>
  <c r="I151" i="89"/>
  <c r="G48" i="91"/>
  <c r="I92" i="91"/>
  <c r="H147" i="83"/>
  <c r="H81" i="88"/>
  <c r="E81" i="88" s="1"/>
  <c r="I82" i="89"/>
  <c r="I85" i="89"/>
  <c r="H99" i="83"/>
  <c r="H45" i="85"/>
  <c r="E45" i="85" s="1"/>
  <c r="D45" i="85" s="1"/>
  <c r="D235" i="85" s="1"/>
  <c r="H84" i="91"/>
  <c r="I77" i="91"/>
  <c r="I176" i="91"/>
  <c r="H171" i="85"/>
  <c r="E171" i="85" s="1"/>
  <c r="H141" i="91"/>
  <c r="H108" i="85"/>
  <c r="E108" i="85" s="1"/>
  <c r="D108" i="85" s="1"/>
  <c r="D253" i="85" s="1"/>
  <c r="H132" i="91"/>
  <c r="E132" i="91" s="1"/>
  <c r="D132" i="91" s="1"/>
  <c r="D261" i="91" s="1"/>
  <c r="I99" i="91"/>
  <c r="I94" i="91"/>
  <c r="E183" i="88"/>
  <c r="H123" i="85"/>
  <c r="E123" i="85" s="1"/>
  <c r="D123" i="85" s="1"/>
  <c r="D258" i="85" s="1"/>
  <c r="H117" i="85"/>
  <c r="E117" i="85" s="1"/>
  <c r="D117" i="85" s="1"/>
  <c r="D256" i="85" s="1"/>
  <c r="G52" i="88"/>
  <c r="G44" i="88"/>
  <c r="I126" i="88"/>
  <c r="I161" i="88"/>
  <c r="H93" i="91"/>
  <c r="E93" i="91" s="1"/>
  <c r="D93" i="91" s="1"/>
  <c r="D248" i="91" s="1"/>
  <c r="H214" i="91"/>
  <c r="I116" i="91"/>
  <c r="I106" i="91"/>
  <c r="H202" i="81"/>
  <c r="E202" i="81" s="1"/>
  <c r="H210" i="81"/>
  <c r="H206" i="81"/>
  <c r="H188" i="85"/>
  <c r="H90" i="85"/>
  <c r="E90" i="85" s="1"/>
  <c r="D90" i="85" s="1"/>
  <c r="D247" i="85" s="1"/>
  <c r="H147" i="91"/>
  <c r="E147" i="91" s="1"/>
  <c r="D147" i="91" s="1"/>
  <c r="D266" i="91" s="1"/>
  <c r="H210" i="83"/>
  <c r="E210" i="83" s="1"/>
  <c r="H206" i="83"/>
  <c r="H202" i="83"/>
  <c r="E202" i="83" s="1"/>
  <c r="H35" i="85"/>
  <c r="H102" i="85"/>
  <c r="E102" i="85" s="1"/>
  <c r="H153" i="91"/>
  <c r="H210" i="85"/>
  <c r="H202" i="85"/>
  <c r="E202" i="85" s="1"/>
  <c r="H206" i="85"/>
  <c r="H13" i="85"/>
  <c r="H144" i="85"/>
  <c r="E144" i="85" s="1"/>
  <c r="H159" i="91"/>
  <c r="D301" i="83"/>
  <c r="H49" i="85"/>
  <c r="H156" i="85"/>
  <c r="E156" i="85" s="1"/>
  <c r="H174" i="91"/>
  <c r="D301" i="85"/>
  <c r="H206" i="88"/>
  <c r="E206" i="88" s="1"/>
  <c r="H210" i="88"/>
  <c r="E210" i="88" s="1"/>
  <c r="H202" i="88"/>
  <c r="H75" i="85"/>
  <c r="E75" i="85" s="1"/>
  <c r="D75" i="85" s="1"/>
  <c r="D242" i="85" s="1"/>
  <c r="H165" i="85"/>
  <c r="E165" i="85" s="1"/>
  <c r="D165" i="85" s="1"/>
  <c r="D272" i="85" s="1"/>
  <c r="H187" i="91"/>
  <c r="H189" i="91" s="1"/>
  <c r="H11" i="85"/>
  <c r="H177" i="85"/>
  <c r="E177" i="85" s="1"/>
  <c r="D177" i="85" s="1"/>
  <c r="D276" i="85" s="1"/>
  <c r="H191" i="91"/>
  <c r="E296" i="87"/>
  <c r="I178" i="88"/>
  <c r="H210" i="91"/>
  <c r="H202" i="91"/>
  <c r="H206" i="91"/>
  <c r="H47" i="85"/>
  <c r="H192" i="85"/>
  <c r="E192" i="85" s="1"/>
  <c r="H180" i="91"/>
  <c r="H150" i="85"/>
  <c r="E150" i="85" s="1"/>
  <c r="I172" i="91"/>
  <c r="H9" i="85"/>
  <c r="E9" i="85" s="1"/>
  <c r="D114" i="85"/>
  <c r="D255" i="85" s="1"/>
  <c r="H21" i="85"/>
  <c r="E21" i="85" s="1"/>
  <c r="H55" i="91"/>
  <c r="G24" i="91"/>
  <c r="I81" i="91"/>
  <c r="I170" i="91"/>
  <c r="E162" i="89"/>
  <c r="D162" i="89" s="1"/>
  <c r="D271" i="89" s="1"/>
  <c r="H23" i="85"/>
  <c r="H31" i="91"/>
  <c r="E194" i="82"/>
  <c r="H33" i="85"/>
  <c r="E33" i="85" s="1"/>
  <c r="D33" i="85" s="1"/>
  <c r="D233" i="85" s="1"/>
  <c r="H51" i="91"/>
  <c r="H162" i="88"/>
  <c r="E162" i="88" s="1"/>
  <c r="D162" i="88" s="1"/>
  <c r="D271" i="88" s="1"/>
  <c r="E198" i="74"/>
  <c r="H61" i="85"/>
  <c r="H41" i="91"/>
  <c r="H63" i="88"/>
  <c r="E63" i="88" s="1"/>
  <c r="H96" i="85"/>
  <c r="E96" i="85" s="1"/>
  <c r="I69" i="88"/>
  <c r="G48" i="88"/>
  <c r="I160" i="88"/>
  <c r="I134" i="88"/>
  <c r="I168" i="88"/>
  <c r="H78" i="91"/>
  <c r="H87" i="88"/>
  <c r="E87" i="88" s="1"/>
  <c r="D87" i="88" s="1"/>
  <c r="D246" i="88" s="1"/>
  <c r="G12" i="91"/>
  <c r="I98" i="91"/>
  <c r="I141" i="91"/>
  <c r="H210" i="74"/>
  <c r="E210" i="74" s="1"/>
  <c r="H206" i="74"/>
  <c r="H202" i="74"/>
  <c r="E214" i="74" s="1"/>
  <c r="D214" i="74" s="1"/>
  <c r="D290" i="74" s="1"/>
  <c r="E194" i="87"/>
  <c r="D194" i="87" s="1"/>
  <c r="D285" i="87" s="1"/>
  <c r="E27" i="89"/>
  <c r="D27" i="89" s="1"/>
  <c r="D232" i="89" s="1"/>
  <c r="H129" i="85"/>
  <c r="E129" i="85" s="1"/>
  <c r="D129" i="85" s="1"/>
  <c r="D260" i="85" s="1"/>
  <c r="H15" i="91"/>
  <c r="E15" i="91" s="1"/>
  <c r="D15" i="91" s="1"/>
  <c r="D230" i="91" s="1"/>
  <c r="H72" i="88"/>
  <c r="E72" i="88" s="1"/>
  <c r="D72" i="88" s="1"/>
  <c r="D241" i="88" s="1"/>
  <c r="H202" i="82"/>
  <c r="E202" i="82" s="1"/>
  <c r="H206" i="82"/>
  <c r="H210" i="82"/>
  <c r="E210" i="82" s="1"/>
  <c r="H59" i="85"/>
  <c r="H39" i="91"/>
  <c r="E39" i="91" s="1"/>
  <c r="D39" i="91" s="1"/>
  <c r="D234" i="91" s="1"/>
  <c r="H114" i="88"/>
  <c r="E114" i="88" s="1"/>
  <c r="D114" i="88" s="1"/>
  <c r="D255" i="88" s="1"/>
  <c r="G52" i="91"/>
  <c r="I148" i="91"/>
  <c r="I165" i="91"/>
  <c r="D301" i="74"/>
  <c r="H135" i="88"/>
  <c r="E135" i="88" s="1"/>
  <c r="D301" i="82"/>
  <c r="H81" i="85"/>
  <c r="E81" i="85" s="1"/>
  <c r="H27" i="91"/>
  <c r="H120" i="88"/>
  <c r="H206" i="87"/>
  <c r="H210" i="87"/>
  <c r="E210" i="87" s="1"/>
  <c r="H202" i="87"/>
  <c r="E202" i="87" s="1"/>
  <c r="H37" i="85"/>
  <c r="H17" i="91"/>
  <c r="H57" i="85"/>
  <c r="E57" i="85" s="1"/>
  <c r="D57" i="85" s="1"/>
  <c r="D237" i="85" s="1"/>
  <c r="H19" i="91"/>
  <c r="E210" i="85"/>
  <c r="E206" i="85"/>
  <c r="D206" i="85" s="1"/>
  <c r="D288" i="85" s="1"/>
  <c r="H202" i="89"/>
  <c r="E202" i="89" s="1"/>
  <c r="H210" i="89"/>
  <c r="H206" i="89"/>
  <c r="H138" i="85"/>
  <c r="E138" i="85" s="1"/>
  <c r="D138" i="85" s="1"/>
  <c r="D263" i="85" s="1"/>
  <c r="H43" i="91"/>
  <c r="H53" i="91"/>
  <c r="H206" i="84"/>
  <c r="H210" i="84"/>
  <c r="H202" i="84"/>
  <c r="E9" i="88"/>
  <c r="E297" i="87"/>
  <c r="I118" i="88"/>
  <c r="I169" i="88"/>
  <c r="H165" i="91"/>
  <c r="D299" i="87"/>
  <c r="AA6" i="87" s="1"/>
  <c r="H177" i="91"/>
  <c r="E177" i="91" s="1"/>
  <c r="D177" i="91" s="1"/>
  <c r="D276" i="91" s="1"/>
  <c r="D296" i="87"/>
  <c r="X6" i="87" s="1"/>
  <c r="H183" i="93"/>
  <c r="E183" i="93" s="1"/>
  <c r="H11" i="91"/>
  <c r="H63" i="91"/>
  <c r="E63" i="91" s="1"/>
  <c r="H81" i="91"/>
  <c r="E81" i="91" s="1"/>
  <c r="D81" i="91" s="1"/>
  <c r="D244" i="91" s="1"/>
  <c r="H69" i="91"/>
  <c r="E69" i="91" s="1"/>
  <c r="D69" i="91" s="1"/>
  <c r="D240" i="91" s="1"/>
  <c r="H47" i="91"/>
  <c r="H111" i="84"/>
  <c r="E111" i="84" s="1"/>
  <c r="D229" i="82"/>
  <c r="E229" i="82" s="1"/>
  <c r="H105" i="84"/>
  <c r="E105" i="84" s="1"/>
  <c r="E191" i="87"/>
  <c r="D191" i="87" s="1"/>
  <c r="D283" i="87" s="1"/>
  <c r="H126" i="84"/>
  <c r="E126" i="84" s="1"/>
  <c r="D126" i="84" s="1"/>
  <c r="D259" i="84" s="1"/>
  <c r="H141" i="84"/>
  <c r="E141" i="84" s="1"/>
  <c r="D141" i="84" s="1"/>
  <c r="D264" i="84" s="1"/>
  <c r="H153" i="84"/>
  <c r="E153" i="84" s="1"/>
  <c r="H187" i="84"/>
  <c r="H189" i="84" s="1"/>
  <c r="H174" i="84"/>
  <c r="E174" i="84" s="1"/>
  <c r="D174" i="84" s="1"/>
  <c r="D275" i="84" s="1"/>
  <c r="H191" i="84"/>
  <c r="E191" i="84" s="1"/>
  <c r="D191" i="84" s="1"/>
  <c r="D283" i="84" s="1"/>
  <c r="H78" i="93"/>
  <c r="E78" i="93" s="1"/>
  <c r="H147" i="84"/>
  <c r="E147" i="84" s="1"/>
  <c r="D156" i="88"/>
  <c r="D269" i="88" s="1"/>
  <c r="H27" i="93"/>
  <c r="E27" i="93" s="1"/>
  <c r="H159" i="84"/>
  <c r="E159" i="84" s="1"/>
  <c r="D159" i="84" s="1"/>
  <c r="D270" i="84" s="1"/>
  <c r="H180" i="84"/>
  <c r="E180" i="84" s="1"/>
  <c r="D180" i="84" s="1"/>
  <c r="D277" i="84" s="1"/>
  <c r="H168" i="93"/>
  <c r="E168" i="93" s="1"/>
  <c r="E183" i="81"/>
  <c r="D180" i="74"/>
  <c r="D277" i="74" s="1"/>
  <c r="H31" i="84"/>
  <c r="H66" i="94"/>
  <c r="E66" i="94" s="1"/>
  <c r="H29" i="84"/>
  <c r="E298" i="87"/>
  <c r="H90" i="94"/>
  <c r="E90" i="94" s="1"/>
  <c r="D90" i="94" s="1"/>
  <c r="D247" i="94" s="1"/>
  <c r="H93" i="84"/>
  <c r="E93" i="84" s="1"/>
  <c r="H41" i="84"/>
  <c r="H35" i="94"/>
  <c r="D72" i="81"/>
  <c r="D241" i="81" s="1"/>
  <c r="H15" i="84"/>
  <c r="E15" i="84" s="1"/>
  <c r="E299" i="87"/>
  <c r="G34" i="91"/>
  <c r="I91" i="91"/>
  <c r="I157" i="91"/>
  <c r="H138" i="94"/>
  <c r="E138" i="94" s="1"/>
  <c r="H55" i="84"/>
  <c r="H27" i="84"/>
  <c r="E27" i="84" s="1"/>
  <c r="D27" i="84" s="1"/>
  <c r="D232" i="84" s="1"/>
  <c r="D300" i="87"/>
  <c r="AB6" i="87" s="1"/>
  <c r="G58" i="91"/>
  <c r="I102" i="91"/>
  <c r="I178" i="91"/>
  <c r="H39" i="84"/>
  <c r="E39" i="84" s="1"/>
  <c r="D39" i="84" s="1"/>
  <c r="D234" i="84" s="1"/>
  <c r="I69" i="91"/>
  <c r="I123" i="91"/>
  <c r="I134" i="91"/>
  <c r="H51" i="84"/>
  <c r="E51" i="84" s="1"/>
  <c r="D51" i="84" s="1"/>
  <c r="D236" i="84" s="1"/>
  <c r="H17" i="84"/>
  <c r="H84" i="84"/>
  <c r="H99" i="91"/>
  <c r="E99" i="91" s="1"/>
  <c r="H9" i="91"/>
  <c r="H214" i="88"/>
  <c r="G60" i="91"/>
  <c r="I97" i="91"/>
  <c r="I158" i="91"/>
  <c r="H19" i="84"/>
  <c r="H53" i="84"/>
  <c r="H43" i="84"/>
  <c r="E33" i="91"/>
  <c r="D33" i="91" s="1"/>
  <c r="D233" i="91" s="1"/>
  <c r="H132" i="84"/>
  <c r="E132" i="84" s="1"/>
  <c r="H78" i="84"/>
  <c r="E78" i="84" s="1"/>
  <c r="D78" i="84" s="1"/>
  <c r="D243" i="84" s="1"/>
  <c r="I65" i="91"/>
  <c r="I114" i="91"/>
  <c r="I129" i="91"/>
  <c r="H99" i="84"/>
  <c r="E99" i="84" s="1"/>
  <c r="E198" i="82"/>
  <c r="D198" i="82" s="1"/>
  <c r="D286" i="82" s="1"/>
  <c r="E194" i="84"/>
  <c r="D194" i="84" s="1"/>
  <c r="D285" i="84" s="1"/>
  <c r="E198" i="84"/>
  <c r="D198" i="84" s="1"/>
  <c r="D286" i="84" s="1"/>
  <c r="D301" i="84"/>
  <c r="I181" i="84"/>
  <c r="I116" i="84"/>
  <c r="I111" i="84"/>
  <c r="I70" i="84"/>
  <c r="G40" i="84"/>
  <c r="I132" i="84"/>
  <c r="I172" i="84"/>
  <c r="I114" i="84"/>
  <c r="I101" i="84"/>
  <c r="I118" i="84"/>
  <c r="G28" i="84"/>
  <c r="I108" i="84"/>
  <c r="I160" i="84"/>
  <c r="I156" i="84"/>
  <c r="I99" i="84"/>
  <c r="I96" i="84"/>
  <c r="G20" i="84"/>
  <c r="I177" i="84"/>
  <c r="I144" i="84"/>
  <c r="I89" i="84"/>
  <c r="I86" i="84"/>
  <c r="I65" i="84"/>
  <c r="I167" i="84"/>
  <c r="I126" i="84"/>
  <c r="I87" i="84"/>
  <c r="I85" i="84"/>
  <c r="G14" i="84"/>
  <c r="I165" i="84"/>
  <c r="I134" i="84"/>
  <c r="I77" i="84"/>
  <c r="G38" i="84"/>
  <c r="G12" i="84"/>
  <c r="I155" i="84"/>
  <c r="I119" i="84"/>
  <c r="I75" i="84"/>
  <c r="G30" i="84"/>
  <c r="G62" i="84"/>
  <c r="I153" i="84"/>
  <c r="I117" i="84"/>
  <c r="I112" i="84"/>
  <c r="G22" i="84"/>
  <c r="G50" i="84"/>
  <c r="I152" i="84"/>
  <c r="I159" i="84"/>
  <c r="I125" i="84"/>
  <c r="I94" i="84"/>
  <c r="I149" i="84"/>
  <c r="I97" i="84"/>
  <c r="I71" i="84"/>
  <c r="I143" i="84"/>
  <c r="I170" i="84"/>
  <c r="I100" i="84"/>
  <c r="I121" i="84"/>
  <c r="G18" i="84"/>
  <c r="I141" i="84"/>
  <c r="I147" i="84"/>
  <c r="I84" i="84"/>
  <c r="I107" i="84"/>
  <c r="G24" i="84"/>
  <c r="I131" i="84"/>
  <c r="I137" i="84"/>
  <c r="I74" i="84"/>
  <c r="I106" i="84"/>
  <c r="G10" i="84"/>
  <c r="I129" i="84"/>
  <c r="I115" i="84"/>
  <c r="I73" i="84"/>
  <c r="I90" i="84"/>
  <c r="G56" i="84"/>
  <c r="I182" i="84"/>
  <c r="I103" i="84"/>
  <c r="I124" i="84"/>
  <c r="I80" i="84"/>
  <c r="G44" i="84"/>
  <c r="I98" i="84"/>
  <c r="I123" i="84"/>
  <c r="I138" i="84"/>
  <c r="I146" i="84"/>
  <c r="I113" i="84"/>
  <c r="I76" i="84"/>
  <c r="I63" i="84"/>
  <c r="I175" i="84"/>
  <c r="I91" i="84"/>
  <c r="I105" i="84"/>
  <c r="I68" i="84"/>
  <c r="G32" i="84"/>
  <c r="I163" i="84"/>
  <c r="I79" i="84"/>
  <c r="I136" i="84"/>
  <c r="I66" i="84"/>
  <c r="G16" i="84"/>
  <c r="I179" i="84"/>
  <c r="I151" i="84"/>
  <c r="I135" i="84"/>
  <c r="I110" i="84"/>
  <c r="G60" i="84"/>
  <c r="I102" i="84"/>
  <c r="I140" i="84"/>
  <c r="I169" i="84"/>
  <c r="I139" i="84"/>
  <c r="I128" i="84"/>
  <c r="I109" i="84"/>
  <c r="G52" i="84"/>
  <c r="I92" i="84"/>
  <c r="I157" i="84"/>
  <c r="I178" i="84"/>
  <c r="I122" i="84"/>
  <c r="I88" i="84"/>
  <c r="I95" i="84"/>
  <c r="G54" i="84"/>
  <c r="I145" i="84"/>
  <c r="I166" i="84"/>
  <c r="I120" i="84"/>
  <c r="I67" i="84"/>
  <c r="I78" i="84"/>
  <c r="G42" i="84"/>
  <c r="I133" i="84"/>
  <c r="I154" i="84"/>
  <c r="I130" i="84"/>
  <c r="I104" i="84"/>
  <c r="I69" i="84"/>
  <c r="G26" i="84"/>
  <c r="I161" i="84"/>
  <c r="I176" i="84"/>
  <c r="I142" i="84"/>
  <c r="I127" i="84"/>
  <c r="I93" i="84"/>
  <c r="I64" i="84"/>
  <c r="G48" i="84"/>
  <c r="I174" i="84"/>
  <c r="I180" i="84"/>
  <c r="I168" i="84"/>
  <c r="I83" i="84"/>
  <c r="I81" i="84"/>
  <c r="G36" i="84"/>
  <c r="I164" i="84"/>
  <c r="I173" i="84"/>
  <c r="I158" i="84"/>
  <c r="I82" i="84"/>
  <c r="G58" i="84"/>
  <c r="I150" i="84"/>
  <c r="I162" i="84"/>
  <c r="I171" i="84"/>
  <c r="I148" i="84"/>
  <c r="I72" i="84"/>
  <c r="G46" i="84"/>
  <c r="G34" i="84"/>
  <c r="H39" i="87"/>
  <c r="E39" i="87" s="1"/>
  <c r="H69" i="89"/>
  <c r="E27" i="91"/>
  <c r="D27" i="91" s="1"/>
  <c r="D232" i="91" s="1"/>
  <c r="E57" i="91"/>
  <c r="D57" i="91" s="1"/>
  <c r="D237" i="91" s="1"/>
  <c r="H135" i="91"/>
  <c r="E135" i="91" s="1"/>
  <c r="H19" i="87"/>
  <c r="H81" i="89"/>
  <c r="E81" i="89" s="1"/>
  <c r="H114" i="91"/>
  <c r="D153" i="82"/>
  <c r="D268" i="82" s="1"/>
  <c r="H51" i="87"/>
  <c r="E51" i="87" s="1"/>
  <c r="H57" i="89"/>
  <c r="E57" i="89" s="1"/>
  <c r="H162" i="91"/>
  <c r="E162" i="91" s="1"/>
  <c r="D162" i="91" s="1"/>
  <c r="D271" i="91" s="1"/>
  <c r="I182" i="74"/>
  <c r="E171" i="91"/>
  <c r="D171" i="91" s="1"/>
  <c r="D274" i="91" s="1"/>
  <c r="H29" i="87"/>
  <c r="H123" i="89"/>
  <c r="E123" i="89" s="1"/>
  <c r="H120" i="91"/>
  <c r="E120" i="91" s="1"/>
  <c r="D120" i="91" s="1"/>
  <c r="D257" i="91" s="1"/>
  <c r="H93" i="94"/>
  <c r="I181" i="74"/>
  <c r="H53" i="87"/>
  <c r="H66" i="89"/>
  <c r="E66" i="89" s="1"/>
  <c r="D66" i="89" s="1"/>
  <c r="D239" i="89" s="1"/>
  <c r="H132" i="94"/>
  <c r="E132" i="94" s="1"/>
  <c r="D132" i="94" s="1"/>
  <c r="D261" i="94" s="1"/>
  <c r="I180" i="74"/>
  <c r="E141" i="91"/>
  <c r="D141" i="91" s="1"/>
  <c r="D264" i="91" s="1"/>
  <c r="H17" i="87"/>
  <c r="H90" i="89"/>
  <c r="E90" i="89" s="1"/>
  <c r="D90" i="89" s="1"/>
  <c r="D247" i="89" s="1"/>
  <c r="I179" i="74"/>
  <c r="H31" i="87"/>
  <c r="H75" i="89"/>
  <c r="E75" i="89" s="1"/>
  <c r="D102" i="82"/>
  <c r="D251" i="82" s="1"/>
  <c r="I178" i="74"/>
  <c r="E96" i="91"/>
  <c r="D96" i="91" s="1"/>
  <c r="D249" i="91" s="1"/>
  <c r="H43" i="87"/>
  <c r="H96" i="89"/>
  <c r="H55" i="87"/>
  <c r="H108" i="89"/>
  <c r="E108" i="89" s="1"/>
  <c r="D9" i="85"/>
  <c r="D51" i="88"/>
  <c r="D236" i="88" s="1"/>
  <c r="D33" i="89"/>
  <c r="D233" i="89" s="1"/>
  <c r="E111" i="91"/>
  <c r="D111" i="91" s="1"/>
  <c r="D254" i="91" s="1"/>
  <c r="H15" i="87"/>
  <c r="E15" i="87" s="1"/>
  <c r="H117" i="89"/>
  <c r="E117" i="89" s="1"/>
  <c r="D117" i="89" s="1"/>
  <c r="D256" i="89" s="1"/>
  <c r="AI16" i="92"/>
  <c r="D144" i="82"/>
  <c r="D265" i="82" s="1"/>
  <c r="H93" i="87"/>
  <c r="E93" i="87" s="1"/>
  <c r="D93" i="87" s="1"/>
  <c r="D248" i="87" s="1"/>
  <c r="H129" i="89"/>
  <c r="E129" i="89" s="1"/>
  <c r="E138" i="91"/>
  <c r="D138" i="91" s="1"/>
  <c r="D263" i="91" s="1"/>
  <c r="H111" i="87"/>
  <c r="E111" i="87" s="1"/>
  <c r="H156" i="89"/>
  <c r="E126" i="91"/>
  <c r="E296" i="91"/>
  <c r="H144" i="92"/>
  <c r="D87" i="85"/>
  <c r="D246" i="85" s="1"/>
  <c r="D168" i="88"/>
  <c r="D273" i="88" s="1"/>
  <c r="G14" i="74"/>
  <c r="I155" i="74"/>
  <c r="I125" i="74"/>
  <c r="I87" i="74"/>
  <c r="I80" i="74"/>
  <c r="D78" i="85"/>
  <c r="D243" i="85" s="1"/>
  <c r="E102" i="91"/>
  <c r="D102" i="91" s="1"/>
  <c r="D251" i="91" s="1"/>
  <c r="H99" i="87"/>
  <c r="E99" i="87" s="1"/>
  <c r="H51" i="89"/>
  <c r="E51" i="89" s="1"/>
  <c r="D51" i="89" s="1"/>
  <c r="D236" i="89" s="1"/>
  <c r="H188" i="89"/>
  <c r="H123" i="91"/>
  <c r="E123" i="91" s="1"/>
  <c r="D123" i="91" s="1"/>
  <c r="D258" i="91" s="1"/>
  <c r="E301" i="89"/>
  <c r="E297" i="91"/>
  <c r="E298" i="92"/>
  <c r="H183" i="87"/>
  <c r="E183" i="87" s="1"/>
  <c r="D183" i="87" s="1"/>
  <c r="D278" i="87" s="1"/>
  <c r="E75" i="91"/>
  <c r="D75" i="91" s="1"/>
  <c r="D242" i="91" s="1"/>
  <c r="H41" i="87"/>
  <c r="H102" i="89"/>
  <c r="E102" i="89" s="1"/>
  <c r="D102" i="89" s="1"/>
  <c r="D251" i="89" s="1"/>
  <c r="E300" i="91"/>
  <c r="E159" i="91"/>
  <c r="D159" i="91" s="1"/>
  <c r="D270" i="91" s="1"/>
  <c r="H105" i="87"/>
  <c r="E105" i="87" s="1"/>
  <c r="D105" i="87" s="1"/>
  <c r="D252" i="87" s="1"/>
  <c r="H21" i="89"/>
  <c r="E21" i="89" s="1"/>
  <c r="D21" i="89" s="1"/>
  <c r="H150" i="89"/>
  <c r="E150" i="89" s="1"/>
  <c r="D150" i="89" s="1"/>
  <c r="D267" i="89" s="1"/>
  <c r="E90" i="91"/>
  <c r="D90" i="91" s="1"/>
  <c r="D247" i="91" s="1"/>
  <c r="D298" i="91"/>
  <c r="Z6" i="91" s="1"/>
  <c r="E84" i="91"/>
  <c r="D84" i="91" s="1"/>
  <c r="D245" i="91" s="1"/>
  <c r="H84" i="87"/>
  <c r="E84" i="87" s="1"/>
  <c r="D84" i="87" s="1"/>
  <c r="D245" i="87" s="1"/>
  <c r="H11" i="89"/>
  <c r="H138" i="89"/>
  <c r="E138" i="89" s="1"/>
  <c r="D138" i="89" s="1"/>
  <c r="D263" i="89" s="1"/>
  <c r="E174" i="91"/>
  <c r="D174" i="91" s="1"/>
  <c r="D275" i="91" s="1"/>
  <c r="E298" i="91"/>
  <c r="E183" i="91"/>
  <c r="D99" i="91"/>
  <c r="D250" i="91" s="1"/>
  <c r="H78" i="87"/>
  <c r="E78" i="87" s="1"/>
  <c r="D78" i="87" s="1"/>
  <c r="D243" i="87" s="1"/>
  <c r="H45" i="89"/>
  <c r="E45" i="89" s="1"/>
  <c r="H144" i="89"/>
  <c r="E144" i="89" s="1"/>
  <c r="D144" i="89" s="1"/>
  <c r="D265" i="89" s="1"/>
  <c r="E187" i="91"/>
  <c r="D187" i="91" s="1"/>
  <c r="D279" i="91" s="1"/>
  <c r="D299" i="91"/>
  <c r="AA6" i="91" s="1"/>
  <c r="H33" i="87"/>
  <c r="E33" i="87" s="1"/>
  <c r="D33" i="87" s="1"/>
  <c r="D233" i="87" s="1"/>
  <c r="E9" i="91"/>
  <c r="D9" i="91" s="1"/>
  <c r="G40" i="74"/>
  <c r="I138" i="74"/>
  <c r="I147" i="74"/>
  <c r="I109" i="74"/>
  <c r="I150" i="74"/>
  <c r="E165" i="91"/>
  <c r="H126" i="87"/>
  <c r="E126" i="87" s="1"/>
  <c r="D126" i="87" s="1"/>
  <c r="D259" i="87" s="1"/>
  <c r="H9" i="89"/>
  <c r="E9" i="89" s="1"/>
  <c r="D9" i="89" s="1"/>
  <c r="H165" i="89"/>
  <c r="E165" i="89" s="1"/>
  <c r="D165" i="89" s="1"/>
  <c r="D272" i="89" s="1"/>
  <c r="E191" i="91"/>
  <c r="D191" i="91" s="1"/>
  <c r="D283" i="91" s="1"/>
  <c r="H108" i="91"/>
  <c r="E108" i="91" s="1"/>
  <c r="D108" i="91" s="1"/>
  <c r="D253" i="91" s="1"/>
  <c r="E299" i="91"/>
  <c r="E72" i="91"/>
  <c r="D72" i="91" s="1"/>
  <c r="D241" i="91" s="1"/>
  <c r="E153" i="91"/>
  <c r="D153" i="91" s="1"/>
  <c r="D268" i="91" s="1"/>
  <c r="H141" i="87"/>
  <c r="E141" i="87" s="1"/>
  <c r="D141" i="87" s="1"/>
  <c r="D264" i="87" s="1"/>
  <c r="H23" i="89"/>
  <c r="H177" i="89"/>
  <c r="E180" i="91"/>
  <c r="D180" i="91" s="1"/>
  <c r="D277" i="91" s="1"/>
  <c r="E150" i="91"/>
  <c r="D296" i="91"/>
  <c r="X6" i="91" s="1"/>
  <c r="D126" i="82"/>
  <c r="D259" i="82" s="1"/>
  <c r="D180" i="87"/>
  <c r="D277" i="87" s="1"/>
  <c r="E188" i="91"/>
  <c r="D188" i="91" s="1"/>
  <c r="D280" i="91" s="1"/>
  <c r="E105" i="91"/>
  <c r="H147" i="87"/>
  <c r="E147" i="87" s="1"/>
  <c r="D147" i="87" s="1"/>
  <c r="D266" i="87" s="1"/>
  <c r="H35" i="89"/>
  <c r="H192" i="89"/>
  <c r="E192" i="89" s="1"/>
  <c r="E198" i="91"/>
  <c r="D198" i="91" s="1"/>
  <c r="D286" i="91" s="1"/>
  <c r="E183" i="84"/>
  <c r="D183" i="84" s="1"/>
  <c r="D278" i="84" s="1"/>
  <c r="E214" i="85"/>
  <c r="D214" i="85" s="1"/>
  <c r="D290" i="85" s="1"/>
  <c r="E117" i="91"/>
  <c r="H153" i="87"/>
  <c r="E153" i="87" s="1"/>
  <c r="H47" i="89"/>
  <c r="H171" i="89"/>
  <c r="E171" i="89" s="1"/>
  <c r="E66" i="91"/>
  <c r="D66" i="91" s="1"/>
  <c r="D239" i="91" s="1"/>
  <c r="E144" i="91"/>
  <c r="D144" i="91" s="1"/>
  <c r="D265" i="91" s="1"/>
  <c r="D300" i="91"/>
  <c r="AB6" i="91" s="1"/>
  <c r="E87" i="91"/>
  <c r="H132" i="87"/>
  <c r="E132" i="87" s="1"/>
  <c r="H25" i="89"/>
  <c r="E51" i="91"/>
  <c r="D51" i="91" s="1"/>
  <c r="D236" i="91" s="1"/>
  <c r="D297" i="91"/>
  <c r="Y6" i="91" s="1"/>
  <c r="E168" i="91"/>
  <c r="D168" i="91" s="1"/>
  <c r="D273" i="91" s="1"/>
  <c r="E129" i="91"/>
  <c r="H187" i="87"/>
  <c r="H37" i="89"/>
  <c r="E301" i="91"/>
  <c r="D297" i="87"/>
  <c r="Y6" i="87" s="1"/>
  <c r="E45" i="91"/>
  <c r="H174" i="87"/>
  <c r="H49" i="89"/>
  <c r="E78" i="91"/>
  <c r="E192" i="91"/>
  <c r="D192" i="91" s="1"/>
  <c r="D284" i="91" s="1"/>
  <c r="D99" i="81"/>
  <c r="D250" i="81" s="1"/>
  <c r="E21" i="91"/>
  <c r="D21" i="91" s="1"/>
  <c r="D231" i="91" s="1"/>
  <c r="E194" i="91"/>
  <c r="D105" i="74"/>
  <c r="D252" i="74" s="1"/>
  <c r="H25" i="87"/>
  <c r="H153" i="94"/>
  <c r="E153" i="94" s="1"/>
  <c r="AJ20" i="91"/>
  <c r="H45" i="87"/>
  <c r="E45" i="87" s="1"/>
  <c r="D135" i="93"/>
  <c r="D262" i="93" s="1"/>
  <c r="H81" i="87"/>
  <c r="E81" i="87" s="1"/>
  <c r="D81" i="87" s="1"/>
  <c r="D244" i="87" s="1"/>
  <c r="H156" i="92"/>
  <c r="E156" i="92" s="1"/>
  <c r="H102" i="87"/>
  <c r="E102" i="87" s="1"/>
  <c r="D102" i="87" s="1"/>
  <c r="D251" i="87" s="1"/>
  <c r="H188" i="92"/>
  <c r="H190" i="92" s="1"/>
  <c r="D188" i="74"/>
  <c r="D280" i="74" s="1"/>
  <c r="H117" i="87"/>
  <c r="E117" i="87" s="1"/>
  <c r="D117" i="87" s="1"/>
  <c r="D256" i="87" s="1"/>
  <c r="AJ20" i="81"/>
  <c r="H123" i="87"/>
  <c r="E123" i="87" s="1"/>
  <c r="H75" i="87"/>
  <c r="AJ20" i="83"/>
  <c r="H21" i="87"/>
  <c r="E21" i="87" s="1"/>
  <c r="H49" i="87"/>
  <c r="H69" i="87"/>
  <c r="E69" i="87" s="1"/>
  <c r="AJ20" i="85"/>
  <c r="H90" i="87"/>
  <c r="E90" i="87" s="1"/>
  <c r="D299" i="92"/>
  <c r="AA6" i="92" s="1"/>
  <c r="E183" i="82"/>
  <c r="D183" i="82" s="1"/>
  <c r="D278" i="82" s="1"/>
  <c r="D81" i="85"/>
  <c r="D244" i="85" s="1"/>
  <c r="D141" i="88"/>
  <c r="D264" i="88" s="1"/>
  <c r="H66" i="87"/>
  <c r="E66" i="87" s="1"/>
  <c r="D66" i="87" s="1"/>
  <c r="D239" i="87" s="1"/>
  <c r="H25" i="94"/>
  <c r="D296" i="92"/>
  <c r="X6" i="92" s="1"/>
  <c r="AJ20" i="88"/>
  <c r="H96" i="87"/>
  <c r="H49" i="94"/>
  <c r="D300" i="92"/>
  <c r="AB6" i="92" s="1"/>
  <c r="D114" i="74"/>
  <c r="D255" i="74" s="1"/>
  <c r="E153" i="74"/>
  <c r="D153" i="74" s="1"/>
  <c r="D268" i="74" s="1"/>
  <c r="E147" i="74"/>
  <c r="D147" i="74" s="1"/>
  <c r="D266" i="74" s="1"/>
  <c r="H188" i="87"/>
  <c r="D135" i="88"/>
  <c r="D262" i="88" s="1"/>
  <c r="H72" i="89"/>
  <c r="H57" i="94"/>
  <c r="E57" i="94" s="1"/>
  <c r="D57" i="94" s="1"/>
  <c r="D237" i="94" s="1"/>
  <c r="D297" i="92"/>
  <c r="Y6" i="92" s="1"/>
  <c r="H150" i="87"/>
  <c r="E150" i="87" s="1"/>
  <c r="D150" i="87" s="1"/>
  <c r="D267" i="87" s="1"/>
  <c r="H87" i="89"/>
  <c r="E87" i="89" s="1"/>
  <c r="H138" i="87"/>
  <c r="E138" i="87" s="1"/>
  <c r="D138" i="87" s="1"/>
  <c r="D263" i="87" s="1"/>
  <c r="H63" i="89"/>
  <c r="E63" i="89" s="1"/>
  <c r="D63" i="89" s="1"/>
  <c r="D238" i="89" s="1"/>
  <c r="D192" i="74"/>
  <c r="D284" i="74" s="1"/>
  <c r="D192" i="81"/>
  <c r="D284" i="81" s="1"/>
  <c r="D138" i="84"/>
  <c r="D263" i="84" s="1"/>
  <c r="D174" i="81"/>
  <c r="D275" i="81" s="1"/>
  <c r="H129" i="87"/>
  <c r="E129" i="87" s="1"/>
  <c r="D129" i="87" s="1"/>
  <c r="D260" i="87" s="1"/>
  <c r="H120" i="89"/>
  <c r="E120" i="89" s="1"/>
  <c r="H171" i="94"/>
  <c r="D21" i="74"/>
  <c r="D231" i="74" s="1"/>
  <c r="H57" i="87"/>
  <c r="E57" i="87" s="1"/>
  <c r="H108" i="87"/>
  <c r="H114" i="89"/>
  <c r="E114" i="89" s="1"/>
  <c r="D114" i="89" s="1"/>
  <c r="D255" i="89" s="1"/>
  <c r="E183" i="74"/>
  <c r="D150" i="74"/>
  <c r="D267" i="74" s="1"/>
  <c r="D33" i="81"/>
  <c r="D233" i="81" s="1"/>
  <c r="H23" i="87"/>
  <c r="H144" i="87"/>
  <c r="E144" i="87" s="1"/>
  <c r="D144" i="87" s="1"/>
  <c r="D265" i="87" s="1"/>
  <c r="H135" i="89"/>
  <c r="E135" i="89" s="1"/>
  <c r="D135" i="89" s="1"/>
  <c r="D262" i="89" s="1"/>
  <c r="H61" i="94"/>
  <c r="H35" i="87"/>
  <c r="H156" i="87"/>
  <c r="E156" i="87" s="1"/>
  <c r="D156" i="87" s="1"/>
  <c r="D269" i="87" s="1"/>
  <c r="H168" i="89"/>
  <c r="E168" i="89" s="1"/>
  <c r="D168" i="89" s="1"/>
  <c r="D273" i="89" s="1"/>
  <c r="AJ20" i="82"/>
  <c r="D57" i="74"/>
  <c r="D237" i="74" s="1"/>
  <c r="D138" i="74"/>
  <c r="D263" i="74" s="1"/>
  <c r="H13" i="87"/>
  <c r="H165" i="87"/>
  <c r="E165" i="87" s="1"/>
  <c r="D165" i="87" s="1"/>
  <c r="D272" i="87" s="1"/>
  <c r="H144" i="94"/>
  <c r="E299" i="92"/>
  <c r="H47" i="87"/>
  <c r="H177" i="87"/>
  <c r="H165" i="94"/>
  <c r="E165" i="94" s="1"/>
  <c r="AJ20" i="84"/>
  <c r="H59" i="87"/>
  <c r="H192" i="87"/>
  <c r="E192" i="87" s="1"/>
  <c r="D192" i="87" s="1"/>
  <c r="D284" i="87" s="1"/>
  <c r="H37" i="87"/>
  <c r="H171" i="87"/>
  <c r="E171" i="87" s="1"/>
  <c r="D171" i="87" s="1"/>
  <c r="D274" i="87" s="1"/>
  <c r="H51" i="94"/>
  <c r="D165" i="81"/>
  <c r="D272" i="81" s="1"/>
  <c r="D147" i="82"/>
  <c r="D266" i="82" s="1"/>
  <c r="H61" i="87"/>
  <c r="H19" i="94"/>
  <c r="AJ20" i="87"/>
  <c r="H9" i="87"/>
  <c r="E9" i="87" s="1"/>
  <c r="D135" i="81"/>
  <c r="D262" i="81" s="1"/>
  <c r="D84" i="88"/>
  <c r="D245" i="88" s="1"/>
  <c r="E214" i="91"/>
  <c r="H111" i="94"/>
  <c r="E111" i="94" s="1"/>
  <c r="AJ20" i="89"/>
  <c r="H99" i="93"/>
  <c r="E99" i="93" s="1"/>
  <c r="D99" i="93" s="1"/>
  <c r="D250" i="93" s="1"/>
  <c r="H53" i="93"/>
  <c r="H29" i="93"/>
  <c r="H84" i="93"/>
  <c r="E84" i="93" s="1"/>
  <c r="D84" i="93" s="1"/>
  <c r="D245" i="93" s="1"/>
  <c r="H162" i="93"/>
  <c r="E162" i="93" s="1"/>
  <c r="D162" i="93" s="1"/>
  <c r="D271" i="93" s="1"/>
  <c r="D168" i="93"/>
  <c r="D273" i="93" s="1"/>
  <c r="H63" i="93"/>
  <c r="E63" i="93" s="1"/>
  <c r="H87" i="93"/>
  <c r="E87" i="93" s="1"/>
  <c r="D87" i="93" s="1"/>
  <c r="D246" i="93" s="1"/>
  <c r="H120" i="93"/>
  <c r="E120" i="93" s="1"/>
  <c r="H102" i="94"/>
  <c r="H150" i="94"/>
  <c r="E150" i="94" s="1"/>
  <c r="H84" i="94"/>
  <c r="E84" i="94" s="1"/>
  <c r="H17" i="94"/>
  <c r="H191" i="94"/>
  <c r="H96" i="94"/>
  <c r="E96" i="94" s="1"/>
  <c r="D96" i="94" s="1"/>
  <c r="D249" i="94" s="1"/>
  <c r="H55" i="94"/>
  <c r="H23" i="94"/>
  <c r="H99" i="94"/>
  <c r="H81" i="94"/>
  <c r="H43" i="94"/>
  <c r="H11" i="94"/>
  <c r="H53" i="94"/>
  <c r="H9" i="94"/>
  <c r="H105" i="94"/>
  <c r="H47" i="94"/>
  <c r="H174" i="94"/>
  <c r="E174" i="94" s="1"/>
  <c r="D174" i="94" s="1"/>
  <c r="D275" i="94" s="1"/>
  <c r="H69" i="94"/>
  <c r="E69" i="94" s="1"/>
  <c r="D69" i="94" s="1"/>
  <c r="D240" i="94" s="1"/>
  <c r="H187" i="94"/>
  <c r="H129" i="94"/>
  <c r="E129" i="94" s="1"/>
  <c r="D129" i="94" s="1"/>
  <c r="D260" i="94" s="1"/>
  <c r="H180" i="94"/>
  <c r="H159" i="94"/>
  <c r="E159" i="94" s="1"/>
  <c r="D159" i="94" s="1"/>
  <c r="D270" i="94" s="1"/>
  <c r="E214" i="84"/>
  <c r="D214" i="84" s="1"/>
  <c r="D290" i="84" s="1"/>
  <c r="E198" i="87"/>
  <c r="D198" i="87" s="1"/>
  <c r="D286" i="87" s="1"/>
  <c r="E194" i="89"/>
  <c r="D194" i="89" s="1"/>
  <c r="D285" i="89" s="1"/>
  <c r="E156" i="91"/>
  <c r="D156" i="91" s="1"/>
  <c r="D269" i="91" s="1"/>
  <c r="D301" i="81"/>
  <c r="I160" i="81"/>
  <c r="I149" i="81"/>
  <c r="I163" i="81"/>
  <c r="I74" i="81"/>
  <c r="G52" i="81"/>
  <c r="G50" i="81"/>
  <c r="I177" i="81"/>
  <c r="I147" i="81"/>
  <c r="I151" i="81"/>
  <c r="I72" i="81"/>
  <c r="I107" i="81"/>
  <c r="I167" i="81"/>
  <c r="I150" i="81"/>
  <c r="I126" i="81"/>
  <c r="G44" i="81"/>
  <c r="G46" i="81"/>
  <c r="I165" i="81"/>
  <c r="I182" i="81"/>
  <c r="I124" i="81"/>
  <c r="G36" i="81"/>
  <c r="G26" i="81"/>
  <c r="I155" i="81"/>
  <c r="I174" i="81"/>
  <c r="I112" i="81"/>
  <c r="G28" i="81"/>
  <c r="G10" i="81"/>
  <c r="I153" i="81"/>
  <c r="I164" i="81"/>
  <c r="I100" i="81"/>
  <c r="I86" i="81"/>
  <c r="I67" i="81"/>
  <c r="I143" i="81"/>
  <c r="I135" i="81"/>
  <c r="I175" i="81"/>
  <c r="I70" i="81"/>
  <c r="G30" i="81"/>
  <c r="I141" i="81"/>
  <c r="I133" i="81"/>
  <c r="I115" i="81"/>
  <c r="G58" i="81"/>
  <c r="G22" i="81"/>
  <c r="I131" i="81"/>
  <c r="I125" i="81"/>
  <c r="I103" i="81"/>
  <c r="I96" i="81"/>
  <c r="G60" i="81"/>
  <c r="I129" i="81"/>
  <c r="I123" i="81"/>
  <c r="I91" i="81"/>
  <c r="I85" i="81"/>
  <c r="G16" i="81"/>
  <c r="G34" i="81"/>
  <c r="I170" i="81"/>
  <c r="I148" i="81"/>
  <c r="I79" i="81"/>
  <c r="I77" i="81"/>
  <c r="G54" i="81"/>
  <c r="I158" i="81"/>
  <c r="I118" i="81"/>
  <c r="I65" i="81"/>
  <c r="I168" i="81"/>
  <c r="I139" i="81"/>
  <c r="I122" i="81"/>
  <c r="I75" i="81"/>
  <c r="G42" i="81"/>
  <c r="I138" i="81"/>
  <c r="I156" i="81"/>
  <c r="I137" i="81"/>
  <c r="I113" i="81"/>
  <c r="I63" i="81"/>
  <c r="G14" i="81"/>
  <c r="I146" i="81"/>
  <c r="I136" i="81"/>
  <c r="I89" i="81"/>
  <c r="G56" i="81"/>
  <c r="G12" i="81"/>
  <c r="I144" i="81"/>
  <c r="I128" i="81"/>
  <c r="I88" i="81"/>
  <c r="G48" i="81"/>
  <c r="G24" i="81"/>
  <c r="I134" i="81"/>
  <c r="I127" i="81"/>
  <c r="I76" i="81"/>
  <c r="G40" i="81"/>
  <c r="G20" i="81"/>
  <c r="I132" i="81"/>
  <c r="I121" i="81"/>
  <c r="I93" i="81"/>
  <c r="I162" i="81"/>
  <c r="I111" i="81"/>
  <c r="I145" i="81"/>
  <c r="I178" i="81"/>
  <c r="I176" i="81"/>
  <c r="I83" i="81"/>
  <c r="I108" i="81"/>
  <c r="I95" i="81"/>
  <c r="I166" i="81"/>
  <c r="I140" i="81"/>
  <c r="I82" i="81"/>
  <c r="I106" i="81"/>
  <c r="I68" i="81"/>
  <c r="I81" i="81"/>
  <c r="I154" i="81"/>
  <c r="I116" i="81"/>
  <c r="I71" i="81"/>
  <c r="I105" i="81"/>
  <c r="I110" i="81"/>
  <c r="I179" i="81"/>
  <c r="I142" i="81"/>
  <c r="I114" i="81"/>
  <c r="I69" i="81"/>
  <c r="I99" i="81"/>
  <c r="I94" i="81"/>
  <c r="I152" i="81"/>
  <c r="G62" i="81"/>
  <c r="I130" i="81"/>
  <c r="I104" i="81"/>
  <c r="G32" i="81"/>
  <c r="I98" i="81"/>
  <c r="I66" i="81"/>
  <c r="I171" i="81"/>
  <c r="I73" i="81"/>
  <c r="I169" i="81"/>
  <c r="I180" i="81"/>
  <c r="I102" i="81"/>
  <c r="I119" i="81"/>
  <c r="I97" i="81"/>
  <c r="G18" i="81"/>
  <c r="I157" i="81"/>
  <c r="I173" i="81"/>
  <c r="I92" i="81"/>
  <c r="I87" i="81"/>
  <c r="I84" i="81"/>
  <c r="I117" i="81"/>
  <c r="I90" i="81"/>
  <c r="I109" i="81"/>
  <c r="I181" i="81"/>
  <c r="I161" i="81"/>
  <c r="I80" i="81"/>
  <c r="I120" i="81"/>
  <c r="G38" i="81"/>
  <c r="I101" i="81"/>
  <c r="I172" i="81"/>
  <c r="I159" i="81"/>
  <c r="I78" i="81"/>
  <c r="I64" i="81"/>
  <c r="E63" i="83"/>
  <c r="D63" i="83" s="1"/>
  <c r="D238" i="83" s="1"/>
  <c r="D194" i="74"/>
  <c r="D285" i="74" s="1"/>
  <c r="E99" i="83"/>
  <c r="D99" i="83" s="1"/>
  <c r="D250" i="83" s="1"/>
  <c r="G14" i="82"/>
  <c r="I76" i="82"/>
  <c r="I97" i="82"/>
  <c r="I138" i="82"/>
  <c r="I181" i="82"/>
  <c r="E300" i="83"/>
  <c r="H15" i="89"/>
  <c r="E214" i="88"/>
  <c r="D214" i="88" s="1"/>
  <c r="D290" i="88" s="1"/>
  <c r="E183" i="83"/>
  <c r="E132" i="83"/>
  <c r="D132" i="83" s="1"/>
  <c r="D261" i="83" s="1"/>
  <c r="E114" i="83"/>
  <c r="D114" i="83" s="1"/>
  <c r="D255" i="83" s="1"/>
  <c r="E144" i="83"/>
  <c r="D144" i="83" s="1"/>
  <c r="D265" i="83" s="1"/>
  <c r="G56" i="82"/>
  <c r="I101" i="82"/>
  <c r="I121" i="82"/>
  <c r="I149" i="82"/>
  <c r="I152" i="82"/>
  <c r="D297" i="83"/>
  <c r="Y6" i="83" s="1"/>
  <c r="H17" i="89"/>
  <c r="D198" i="74"/>
  <c r="D286" i="74" s="1"/>
  <c r="E120" i="83"/>
  <c r="E177" i="83"/>
  <c r="D177" i="83" s="1"/>
  <c r="D276" i="83" s="1"/>
  <c r="I82" i="82"/>
  <c r="I65" i="82"/>
  <c r="I111" i="82"/>
  <c r="I140" i="82"/>
  <c r="I103" i="82"/>
  <c r="I162" i="82"/>
  <c r="E174" i="83"/>
  <c r="D174" i="83" s="1"/>
  <c r="D275" i="83" s="1"/>
  <c r="E301" i="83"/>
  <c r="D27" i="85"/>
  <c r="D232" i="85" s="1"/>
  <c r="H29" i="89"/>
  <c r="E138" i="83"/>
  <c r="D138" i="83" s="1"/>
  <c r="D263" i="83" s="1"/>
  <c r="E102" i="83"/>
  <c r="E150" i="83"/>
  <c r="E129" i="83"/>
  <c r="D129" i="83" s="1"/>
  <c r="D260" i="83" s="1"/>
  <c r="I107" i="82"/>
  <c r="G22" i="82"/>
  <c r="I66" i="82"/>
  <c r="I142" i="82"/>
  <c r="I115" i="82"/>
  <c r="I164" i="82"/>
  <c r="E162" i="83"/>
  <c r="D162" i="83" s="1"/>
  <c r="D271" i="83" s="1"/>
  <c r="D135" i="91"/>
  <c r="D262" i="91" s="1"/>
  <c r="H41" i="89"/>
  <c r="D105" i="91"/>
  <c r="D252" i="91" s="1"/>
  <c r="D45" i="74"/>
  <c r="D235" i="74" s="1"/>
  <c r="D75" i="84"/>
  <c r="D242" i="84" s="1"/>
  <c r="G28" i="82"/>
  <c r="G10" i="82"/>
  <c r="I68" i="82"/>
  <c r="I161" i="82"/>
  <c r="I133" i="82"/>
  <c r="I174" i="82"/>
  <c r="H31" i="89"/>
  <c r="D183" i="88"/>
  <c r="D278" i="88" s="1"/>
  <c r="E96" i="83"/>
  <c r="D96" i="83" s="1"/>
  <c r="D249" i="83" s="1"/>
  <c r="G40" i="82"/>
  <c r="I63" i="82"/>
  <c r="I78" i="82"/>
  <c r="I171" i="82"/>
  <c r="I151" i="82"/>
  <c r="I176" i="82"/>
  <c r="D123" i="88"/>
  <c r="D258" i="88" s="1"/>
  <c r="D75" i="89"/>
  <c r="D242" i="89" s="1"/>
  <c r="H55" i="89"/>
  <c r="D78" i="74"/>
  <c r="D243" i="74" s="1"/>
  <c r="D84" i="82"/>
  <c r="D245" i="82" s="1"/>
  <c r="E81" i="83"/>
  <c r="D81" i="83" s="1"/>
  <c r="D244" i="83" s="1"/>
  <c r="E108" i="83"/>
  <c r="D108" i="83" s="1"/>
  <c r="D253" i="83" s="1"/>
  <c r="E33" i="83"/>
  <c r="D33" i="83" s="1"/>
  <c r="D233" i="83" s="1"/>
  <c r="D144" i="85"/>
  <c r="D265" i="85" s="1"/>
  <c r="G52" i="82"/>
  <c r="I70" i="82"/>
  <c r="I80" i="82"/>
  <c r="I123" i="82"/>
  <c r="I117" i="82"/>
  <c r="I157" i="82"/>
  <c r="H214" i="82"/>
  <c r="H43" i="89"/>
  <c r="H183" i="89"/>
  <c r="E183" i="89" s="1"/>
  <c r="D183" i="89" s="1"/>
  <c r="D278" i="89" s="1"/>
  <c r="E187" i="83"/>
  <c r="I113" i="82"/>
  <c r="I74" i="82"/>
  <c r="I91" i="82"/>
  <c r="I125" i="82"/>
  <c r="I119" i="82"/>
  <c r="I169" i="82"/>
  <c r="D87" i="87"/>
  <c r="D246" i="87" s="1"/>
  <c r="H53" i="89"/>
  <c r="D15" i="74"/>
  <c r="D230" i="74" s="1"/>
  <c r="E21" i="83"/>
  <c r="D21" i="83" s="1"/>
  <c r="D231" i="83" s="1"/>
  <c r="I72" i="82"/>
  <c r="I84" i="82"/>
  <c r="I105" i="82"/>
  <c r="I132" i="82"/>
  <c r="I136" i="82"/>
  <c r="I179" i="82"/>
  <c r="D159" i="87"/>
  <c r="D270" i="87" s="1"/>
  <c r="H99" i="89"/>
  <c r="H39" i="93"/>
  <c r="D75" i="82"/>
  <c r="D242" i="82" s="1"/>
  <c r="E111" i="83"/>
  <c r="D111" i="83" s="1"/>
  <c r="D254" i="83" s="1"/>
  <c r="D66" i="84"/>
  <c r="D239" i="84" s="1"/>
  <c r="I93" i="82"/>
  <c r="G46" i="82"/>
  <c r="I126" i="82"/>
  <c r="I145" i="82"/>
  <c r="I170" i="82"/>
  <c r="H84" i="89"/>
  <c r="E84" i="89" s="1"/>
  <c r="D84" i="89" s="1"/>
  <c r="D245" i="89" s="1"/>
  <c r="D33" i="74"/>
  <c r="D233" i="74" s="1"/>
  <c r="H39" i="89"/>
  <c r="E39" i="89" s="1"/>
  <c r="D39" i="89" s="1"/>
  <c r="D234" i="89" s="1"/>
  <c r="E159" i="83"/>
  <c r="D159" i="83" s="1"/>
  <c r="D270" i="83" s="1"/>
  <c r="E27" i="83"/>
  <c r="D27" i="83" s="1"/>
  <c r="D232" i="83" s="1"/>
  <c r="E57" i="83"/>
  <c r="D57" i="83" s="1"/>
  <c r="D237" i="83" s="1"/>
  <c r="D72" i="74"/>
  <c r="D241" i="74" s="1"/>
  <c r="D99" i="82"/>
  <c r="D250" i="82" s="1"/>
  <c r="E39" i="83"/>
  <c r="D39" i="83" s="1"/>
  <c r="D234" i="83" s="1"/>
  <c r="E147" i="83"/>
  <c r="D147" i="83" s="1"/>
  <c r="D266" i="83" s="1"/>
  <c r="E168" i="84"/>
  <c r="D168" i="84" s="1"/>
  <c r="D273" i="84" s="1"/>
  <c r="D162" i="81"/>
  <c r="D271" i="81" s="1"/>
  <c r="G30" i="82"/>
  <c r="G62" i="82"/>
  <c r="I85" i="82"/>
  <c r="I94" i="82"/>
  <c r="I166" i="82"/>
  <c r="D33" i="82"/>
  <c r="D233" i="82" s="1"/>
  <c r="H93" i="89"/>
  <c r="H17" i="93"/>
  <c r="E168" i="83"/>
  <c r="D168" i="83" s="1"/>
  <c r="D273" i="83" s="1"/>
  <c r="D132" i="82"/>
  <c r="D261" i="82" s="1"/>
  <c r="G42" i="82"/>
  <c r="I67" i="82"/>
  <c r="I89" i="82"/>
  <c r="I106" i="82"/>
  <c r="I178" i="82"/>
  <c r="E75" i="83"/>
  <c r="D75" i="83" s="1"/>
  <c r="D242" i="83" s="1"/>
  <c r="H111" i="89"/>
  <c r="E111" i="89" s="1"/>
  <c r="D111" i="89" s="1"/>
  <c r="D254" i="89" s="1"/>
  <c r="H19" i="93"/>
  <c r="H43" i="93"/>
  <c r="H132" i="89"/>
  <c r="E192" i="83"/>
  <c r="D192" i="83" s="1"/>
  <c r="D284" i="83" s="1"/>
  <c r="G60" i="82"/>
  <c r="I90" i="82"/>
  <c r="I116" i="82"/>
  <c r="I127" i="82"/>
  <c r="I175" i="82"/>
  <c r="E214" i="83"/>
  <c r="D214" i="83" s="1"/>
  <c r="D290" i="83" s="1"/>
  <c r="H78" i="89"/>
  <c r="E78" i="89" s="1"/>
  <c r="D78" i="89" s="1"/>
  <c r="D243" i="89" s="1"/>
  <c r="D162" i="87"/>
  <c r="D271" i="87" s="1"/>
  <c r="E117" i="83"/>
  <c r="D117" i="83" s="1"/>
  <c r="D256" i="83" s="1"/>
  <c r="G18" i="82"/>
  <c r="I112" i="82"/>
  <c r="I75" i="82"/>
  <c r="I135" i="82"/>
  <c r="I182" i="82"/>
  <c r="D102" i="88"/>
  <c r="D251" i="88" s="1"/>
  <c r="D126" i="88"/>
  <c r="D259" i="88" s="1"/>
  <c r="H105" i="89"/>
  <c r="D78" i="93"/>
  <c r="D243" i="93" s="1"/>
  <c r="D45" i="81"/>
  <c r="D235" i="81" s="1"/>
  <c r="E90" i="83"/>
  <c r="D90" i="83" s="1"/>
  <c r="D247" i="83" s="1"/>
  <c r="E191" i="83"/>
  <c r="D191" i="83" s="1"/>
  <c r="D283" i="83" s="1"/>
  <c r="G36" i="82"/>
  <c r="I134" i="82"/>
  <c r="I77" i="82"/>
  <c r="I148" i="82"/>
  <c r="I129" i="82"/>
  <c r="E51" i="83"/>
  <c r="D138" i="88"/>
  <c r="D263" i="88" s="1"/>
  <c r="D147" i="88"/>
  <c r="D266" i="88" s="1"/>
  <c r="H126" i="89"/>
  <c r="H51" i="93"/>
  <c r="E78" i="83"/>
  <c r="D78" i="83" s="1"/>
  <c r="D243" i="83" s="1"/>
  <c r="D120" i="74"/>
  <c r="D257" i="74" s="1"/>
  <c r="E141" i="83"/>
  <c r="D141" i="83" s="1"/>
  <c r="D264" i="83" s="1"/>
  <c r="G48" i="82"/>
  <c r="I173" i="82"/>
  <c r="I87" i="82"/>
  <c r="I159" i="82"/>
  <c r="I131" i="82"/>
  <c r="D192" i="85"/>
  <c r="D284" i="85" s="1"/>
  <c r="E194" i="83"/>
  <c r="D194" i="83" s="1"/>
  <c r="D285" i="83" s="1"/>
  <c r="H147" i="89"/>
  <c r="E147" i="89" s="1"/>
  <c r="D147" i="89" s="1"/>
  <c r="D266" i="89" s="1"/>
  <c r="H41" i="93"/>
  <c r="E296" i="83"/>
  <c r="D156" i="74"/>
  <c r="D269" i="74" s="1"/>
  <c r="E66" i="83"/>
  <c r="I99" i="82"/>
  <c r="G24" i="82"/>
  <c r="I92" i="82"/>
  <c r="I180" i="82"/>
  <c r="I141" i="82"/>
  <c r="E123" i="83"/>
  <c r="D150" i="85"/>
  <c r="D267" i="85" s="1"/>
  <c r="E297" i="83"/>
  <c r="D93" i="88"/>
  <c r="D248" i="88" s="1"/>
  <c r="H153" i="89"/>
  <c r="E153" i="89" s="1"/>
  <c r="D153" i="89" s="1"/>
  <c r="D268" i="89" s="1"/>
  <c r="E153" i="83"/>
  <c r="D153" i="83" s="1"/>
  <c r="D268" i="83" s="1"/>
  <c r="E69" i="83"/>
  <c r="D69" i="83" s="1"/>
  <c r="D240" i="83" s="1"/>
  <c r="D162" i="85"/>
  <c r="D271" i="85" s="1"/>
  <c r="I144" i="82"/>
  <c r="G32" i="82"/>
  <c r="I104" i="82"/>
  <c r="I96" i="82"/>
  <c r="I143" i="82"/>
  <c r="E84" i="83"/>
  <c r="D69" i="87"/>
  <c r="D240" i="87" s="1"/>
  <c r="D129" i="88"/>
  <c r="D260" i="88" s="1"/>
  <c r="H159" i="89"/>
  <c r="E159" i="89" s="1"/>
  <c r="D159" i="89" s="1"/>
  <c r="D270" i="89" s="1"/>
  <c r="E135" i="83"/>
  <c r="D135" i="83" s="1"/>
  <c r="D262" i="83" s="1"/>
  <c r="E93" i="83"/>
  <c r="D93" i="83" s="1"/>
  <c r="D248" i="83" s="1"/>
  <c r="E9" i="83"/>
  <c r="E72" i="83"/>
  <c r="D72" i="83" s="1"/>
  <c r="D241" i="83" s="1"/>
  <c r="G20" i="82"/>
  <c r="I69" i="82"/>
  <c r="I114" i="82"/>
  <c r="I98" i="82"/>
  <c r="I153" i="82"/>
  <c r="D298" i="83"/>
  <c r="Z6" i="83" s="1"/>
  <c r="D27" i="88"/>
  <c r="D232" i="88" s="1"/>
  <c r="H141" i="89"/>
  <c r="E141" i="89" s="1"/>
  <c r="D141" i="89" s="1"/>
  <c r="D264" i="89" s="1"/>
  <c r="H13" i="91"/>
  <c r="H141" i="93"/>
  <c r="E141" i="93" s="1"/>
  <c r="D126" i="74"/>
  <c r="D259" i="74" s="1"/>
  <c r="D93" i="81"/>
  <c r="D248" i="81" s="1"/>
  <c r="D81" i="82"/>
  <c r="D244" i="82" s="1"/>
  <c r="D198" i="81"/>
  <c r="D286" i="81" s="1"/>
  <c r="G26" i="82"/>
  <c r="I71" i="82"/>
  <c r="I124" i="82"/>
  <c r="I108" i="82"/>
  <c r="I155" i="82"/>
  <c r="E298" i="83"/>
  <c r="H187" i="89"/>
  <c r="H189" i="89" s="1"/>
  <c r="E189" i="89" s="1"/>
  <c r="D189" i="89" s="1"/>
  <c r="D281" i="89" s="1"/>
  <c r="H93" i="93"/>
  <c r="H194" i="93"/>
  <c r="D194" i="88"/>
  <c r="D285" i="88" s="1"/>
  <c r="E15" i="83"/>
  <c r="D15" i="83" s="1"/>
  <c r="D230" i="83" s="1"/>
  <c r="E156" i="83"/>
  <c r="D156" i="83" s="1"/>
  <c r="D269" i="83" s="1"/>
  <c r="D177" i="74"/>
  <c r="D276" i="74" s="1"/>
  <c r="G38" i="82"/>
  <c r="I81" i="82"/>
  <c r="I137" i="82"/>
  <c r="I110" i="82"/>
  <c r="I165" i="82"/>
  <c r="E188" i="83"/>
  <c r="E126" i="83"/>
  <c r="D126" i="83" s="1"/>
  <c r="D259" i="83" s="1"/>
  <c r="D299" i="83"/>
  <c r="AA6" i="83" s="1"/>
  <c r="H174" i="89"/>
  <c r="E93" i="94"/>
  <c r="D93" i="94" s="1"/>
  <c r="D248" i="94" s="1"/>
  <c r="H105" i="93"/>
  <c r="E87" i="83"/>
  <c r="D87" i="83" s="1"/>
  <c r="D246" i="83" s="1"/>
  <c r="E45" i="83"/>
  <c r="D45" i="83" s="1"/>
  <c r="D235" i="83" s="1"/>
  <c r="G50" i="82"/>
  <c r="I83" i="82"/>
  <c r="I139" i="82"/>
  <c r="I120" i="82"/>
  <c r="I167" i="82"/>
  <c r="E299" i="83"/>
  <c r="H191" i="89"/>
  <c r="E191" i="89" s="1"/>
  <c r="D191" i="89" s="1"/>
  <c r="D283" i="89" s="1"/>
  <c r="H174" i="93"/>
  <c r="E174" i="93" s="1"/>
  <c r="D174" i="93" s="1"/>
  <c r="D275" i="93" s="1"/>
  <c r="E180" i="83"/>
  <c r="D180" i="83" s="1"/>
  <c r="D277" i="83" s="1"/>
  <c r="D87" i="82"/>
  <c r="D246" i="82" s="1"/>
  <c r="I86" i="82"/>
  <c r="I95" i="82"/>
  <c r="I147" i="82"/>
  <c r="I122" i="82"/>
  <c r="I177" i="82"/>
  <c r="D296" i="83"/>
  <c r="X6" i="83" s="1"/>
  <c r="H180" i="89"/>
  <c r="E180" i="89" s="1"/>
  <c r="H147" i="93"/>
  <c r="E147" i="93" s="1"/>
  <c r="D147" i="93" s="1"/>
  <c r="D266" i="93" s="1"/>
  <c r="G34" i="82"/>
  <c r="I102" i="82"/>
  <c r="I158" i="82"/>
  <c r="I128" i="82"/>
  <c r="I160" i="82"/>
  <c r="E198" i="83"/>
  <c r="D198" i="83" s="1"/>
  <c r="D286" i="83" s="1"/>
  <c r="D300" i="83"/>
  <c r="AB6" i="83" s="1"/>
  <c r="D15" i="88"/>
  <c r="D230" i="88" s="1"/>
  <c r="H159" i="93"/>
  <c r="E159" i="93" s="1"/>
  <c r="M57" i="94"/>
  <c r="T9" i="88"/>
  <c r="X80" i="93"/>
  <c r="O83" i="92"/>
  <c r="Y130" i="92"/>
  <c r="AA39" i="94"/>
  <c r="D45" i="89" l="1"/>
  <c r="D235" i="89" s="1"/>
  <c r="E187" i="87"/>
  <c r="H189" i="87"/>
  <c r="E189" i="87" s="1"/>
  <c r="E188" i="85"/>
  <c r="H190" i="85"/>
  <c r="E190" i="85" s="1"/>
  <c r="D190" i="85" s="1"/>
  <c r="D282" i="85" s="1"/>
  <c r="E189" i="91"/>
  <c r="D189" i="91" s="1"/>
  <c r="D281" i="91" s="1"/>
  <c r="E187" i="94"/>
  <c r="D187" i="94" s="1"/>
  <c r="D279" i="94" s="1"/>
  <c r="H189" i="94"/>
  <c r="E189" i="94" s="1"/>
  <c r="D189" i="94" s="1"/>
  <c r="D281" i="94" s="1"/>
  <c r="E188" i="87"/>
  <c r="D188" i="87" s="1"/>
  <c r="D280" i="87" s="1"/>
  <c r="H190" i="87"/>
  <c r="E190" i="87" s="1"/>
  <c r="D190" i="87" s="1"/>
  <c r="D282" i="87" s="1"/>
  <c r="E188" i="88"/>
  <c r="D188" i="88" s="1"/>
  <c r="D280" i="88" s="1"/>
  <c r="H190" i="88"/>
  <c r="E190" i="88" s="1"/>
  <c r="E187" i="85"/>
  <c r="D187" i="85" s="1"/>
  <c r="D279" i="85" s="1"/>
  <c r="H189" i="85"/>
  <c r="E189" i="85" s="1"/>
  <c r="E188" i="89"/>
  <c r="D188" i="89" s="1"/>
  <c r="D280" i="89" s="1"/>
  <c r="H190" i="89"/>
  <c r="E190" i="89" s="1"/>
  <c r="H194" i="92"/>
  <c r="D99" i="87"/>
  <c r="D250" i="87" s="1"/>
  <c r="D218" i="89"/>
  <c r="D291" i="89" s="1"/>
  <c r="E218" i="81"/>
  <c r="E291" i="81" s="1"/>
  <c r="D190" i="89"/>
  <c r="D282" i="89" s="1"/>
  <c r="D218" i="74"/>
  <c r="D291" i="74" s="1"/>
  <c r="D189" i="82"/>
  <c r="D281" i="82" s="1"/>
  <c r="E291" i="87"/>
  <c r="D218" i="87"/>
  <c r="D291" i="87" s="1"/>
  <c r="D218" i="88"/>
  <c r="D291" i="88" s="1"/>
  <c r="E291" i="85"/>
  <c r="D218" i="85"/>
  <c r="D291" i="85" s="1"/>
  <c r="D189" i="74"/>
  <c r="D281" i="74" s="1"/>
  <c r="E189" i="84"/>
  <c r="D189" i="84" s="1"/>
  <c r="D281" i="84" s="1"/>
  <c r="D218" i="84"/>
  <c r="D291" i="84" s="1"/>
  <c r="D189" i="85"/>
  <c r="D281" i="85" s="1"/>
  <c r="E190" i="91"/>
  <c r="D190" i="91" s="1"/>
  <c r="D282" i="91" s="1"/>
  <c r="D190" i="82"/>
  <c r="D282" i="82" s="1"/>
  <c r="E190" i="84"/>
  <c r="D190" i="84" s="1"/>
  <c r="D282" i="84" s="1"/>
  <c r="E291" i="91"/>
  <c r="D218" i="91"/>
  <c r="D291" i="91" s="1"/>
  <c r="D190" i="81"/>
  <c r="D282" i="81" s="1"/>
  <c r="E218" i="83"/>
  <c r="E291" i="83" s="1"/>
  <c r="D218" i="82"/>
  <c r="D291" i="82" s="1"/>
  <c r="E206" i="83"/>
  <c r="D206" i="83" s="1"/>
  <c r="D288" i="83" s="1"/>
  <c r="D174" i="85"/>
  <c r="D275" i="85" s="1"/>
  <c r="E206" i="89"/>
  <c r="D206" i="89" s="1"/>
  <c r="D288" i="89" s="1"/>
  <c r="E210" i="81"/>
  <c r="D210" i="81" s="1"/>
  <c r="D289" i="81" s="1"/>
  <c r="D202" i="81"/>
  <c r="E214" i="81"/>
  <c r="D214" i="81" s="1"/>
  <c r="D290" i="81" s="1"/>
  <c r="E210" i="89"/>
  <c r="D210" i="89" s="1"/>
  <c r="D289" i="89" s="1"/>
  <c r="D202" i="89"/>
  <c r="D287" i="89" s="1"/>
  <c r="E214" i="89"/>
  <c r="D214" i="89" s="1"/>
  <c r="D290" i="89" s="1"/>
  <c r="E206" i="91"/>
  <c r="D206" i="91" s="1"/>
  <c r="D288" i="91" s="1"/>
  <c r="D202" i="85"/>
  <c r="D287" i="85" s="1"/>
  <c r="D210" i="85"/>
  <c r="D289" i="85" s="1"/>
  <c r="D210" i="82"/>
  <c r="D289" i="82" s="1"/>
  <c r="E206" i="74"/>
  <c r="D206" i="74" s="1"/>
  <c r="D288" i="74" s="1"/>
  <c r="E206" i="82"/>
  <c r="D206" i="82" s="1"/>
  <c r="D288" i="82" s="1"/>
  <c r="D202" i="82"/>
  <c r="D287" i="82" s="1"/>
  <c r="E210" i="91"/>
  <c r="D210" i="91" s="1"/>
  <c r="D289" i="91" s="1"/>
  <c r="D202" i="83"/>
  <c r="D287" i="83" s="1"/>
  <c r="E202" i="91"/>
  <c r="D202" i="91" s="1"/>
  <c r="D287" i="91" s="1"/>
  <c r="D202" i="87"/>
  <c r="D287" i="87" s="1"/>
  <c r="E214" i="87"/>
  <c r="D214" i="87" s="1"/>
  <c r="D290" i="87" s="1"/>
  <c r="D210" i="87"/>
  <c r="D289" i="87" s="1"/>
  <c r="E202" i="74"/>
  <c r="D202" i="74" s="1"/>
  <c r="D210" i="83"/>
  <c r="D289" i="83" s="1"/>
  <c r="E206" i="87"/>
  <c r="D206" i="87" s="1"/>
  <c r="D288" i="87" s="1"/>
  <c r="E202" i="88"/>
  <c r="D202" i="88"/>
  <c r="D287" i="88" s="1"/>
  <c r="D210" i="74"/>
  <c r="D289" i="74" s="1"/>
  <c r="D210" i="88"/>
  <c r="D289" i="88" s="1"/>
  <c r="E206" i="81"/>
  <c r="D206" i="81" s="1"/>
  <c r="D288" i="81" s="1"/>
  <c r="D206" i="88"/>
  <c r="D288" i="88" s="1"/>
  <c r="D66" i="94"/>
  <c r="D239" i="94" s="1"/>
  <c r="E202" i="84"/>
  <c r="D202" i="84" s="1"/>
  <c r="D287" i="84" s="1"/>
  <c r="E210" i="84"/>
  <c r="D210" i="84" s="1"/>
  <c r="D289" i="84" s="1"/>
  <c r="E206" i="84"/>
  <c r="D206" i="84" s="1"/>
  <c r="D288" i="84" s="1"/>
  <c r="D153" i="84"/>
  <c r="D268" i="84" s="1"/>
  <c r="D183" i="93"/>
  <c r="D278" i="93" s="1"/>
  <c r="D108" i="89"/>
  <c r="D253" i="89" s="1"/>
  <c r="E232" i="91"/>
  <c r="D21" i="87"/>
  <c r="D231" i="87" s="1"/>
  <c r="D105" i="84"/>
  <c r="D252" i="84" s="1"/>
  <c r="D147" i="84"/>
  <c r="D266" i="84" s="1"/>
  <c r="D192" i="89"/>
  <c r="D284" i="89" s="1"/>
  <c r="D229" i="89"/>
  <c r="E229" i="89" s="1"/>
  <c r="E84" i="84"/>
  <c r="D84" i="84" s="1"/>
  <c r="D245" i="84" s="1"/>
  <c r="H123" i="92"/>
  <c r="E123" i="92" s="1"/>
  <c r="D123" i="92" s="1"/>
  <c r="D258" i="92" s="1"/>
  <c r="E233" i="91"/>
  <c r="D229" i="85"/>
  <c r="E229" i="85" s="1"/>
  <c r="H66" i="92"/>
  <c r="E66" i="92" s="1"/>
  <c r="D66" i="92" s="1"/>
  <c r="D239" i="92" s="1"/>
  <c r="D15" i="84"/>
  <c r="D230" i="84" s="1"/>
  <c r="E187" i="84"/>
  <c r="D187" i="84" s="1"/>
  <c r="D279" i="84" s="1"/>
  <c r="E144" i="92"/>
  <c r="D144" i="92" s="1"/>
  <c r="D265" i="92" s="1"/>
  <c r="H45" i="92"/>
  <c r="E45" i="92" s="1"/>
  <c r="H96" i="92"/>
  <c r="E96" i="92" s="1"/>
  <c r="D96" i="92" s="1"/>
  <c r="D249" i="92" s="1"/>
  <c r="H177" i="92"/>
  <c r="H165" i="92"/>
  <c r="E165" i="92" s="1"/>
  <c r="D165" i="92" s="1"/>
  <c r="D272" i="92" s="1"/>
  <c r="H150" i="92"/>
  <c r="H102" i="92"/>
  <c r="E102" i="92" s="1"/>
  <c r="H37" i="92"/>
  <c r="H59" i="92"/>
  <c r="H81" i="92"/>
  <c r="E81" i="92" s="1"/>
  <c r="D81" i="92" s="1"/>
  <c r="D244" i="92" s="1"/>
  <c r="H75" i="92"/>
  <c r="E75" i="92" s="1"/>
  <c r="D75" i="92" s="1"/>
  <c r="D242" i="92" s="1"/>
  <c r="H23" i="92"/>
  <c r="H33" i="92"/>
  <c r="E33" i="92" s="1"/>
  <c r="D33" i="92" s="1"/>
  <c r="D233" i="92" s="1"/>
  <c r="H13" i="92"/>
  <c r="E156" i="89"/>
  <c r="D156" i="89" s="1"/>
  <c r="D269" i="89" s="1"/>
  <c r="H192" i="92"/>
  <c r="D171" i="89"/>
  <c r="D274" i="89" s="1"/>
  <c r="E69" i="89"/>
  <c r="D69" i="89" s="1"/>
  <c r="D240" i="89" s="1"/>
  <c r="D150" i="94"/>
  <c r="D267" i="94" s="1"/>
  <c r="H69" i="92"/>
  <c r="H108" i="92"/>
  <c r="E108" i="92" s="1"/>
  <c r="D129" i="89"/>
  <c r="D260" i="89" s="1"/>
  <c r="D15" i="87"/>
  <c r="D230" i="87" s="1"/>
  <c r="D187" i="87"/>
  <c r="D279" i="87" s="1"/>
  <c r="E177" i="89"/>
  <c r="D177" i="89" s="1"/>
  <c r="D276" i="89" s="1"/>
  <c r="E174" i="87"/>
  <c r="D174" i="87" s="1"/>
  <c r="D275" i="87" s="1"/>
  <c r="D51" i="87"/>
  <c r="D236" i="87" s="1"/>
  <c r="H129" i="92"/>
  <c r="E129" i="92" s="1"/>
  <c r="H35" i="92"/>
  <c r="H49" i="92"/>
  <c r="D45" i="87"/>
  <c r="D235" i="87" s="1"/>
  <c r="D57" i="89"/>
  <c r="D237" i="89" s="1"/>
  <c r="H61" i="92"/>
  <c r="E75" i="87"/>
  <c r="D75" i="87" s="1"/>
  <c r="D242" i="87" s="1"/>
  <c r="E108" i="87"/>
  <c r="D108" i="87" s="1"/>
  <c r="D253" i="87" s="1"/>
  <c r="E96" i="87"/>
  <c r="D96" i="87" s="1"/>
  <c r="D249" i="87" s="1"/>
  <c r="E177" i="87"/>
  <c r="D177" i="87" s="1"/>
  <c r="D276" i="87" s="1"/>
  <c r="D120" i="89"/>
  <c r="D257" i="89" s="1"/>
  <c r="E144" i="94"/>
  <c r="D144" i="94" s="1"/>
  <c r="D265" i="94" s="1"/>
  <c r="D57" i="87"/>
  <c r="D237" i="87" s="1"/>
  <c r="E72" i="89"/>
  <c r="D72" i="89" s="1"/>
  <c r="D241" i="89" s="1"/>
  <c r="E105" i="94"/>
  <c r="D105" i="94" s="1"/>
  <c r="D252" i="94" s="1"/>
  <c r="E81" i="94"/>
  <c r="D81" i="94" s="1"/>
  <c r="D244" i="94" s="1"/>
  <c r="E99" i="94"/>
  <c r="D99" i="94" s="1"/>
  <c r="D250" i="94" s="1"/>
  <c r="E105" i="89"/>
  <c r="D105" i="89" s="1"/>
  <c r="D252" i="89" s="1"/>
  <c r="E105" i="93"/>
  <c r="D105" i="93" s="1"/>
  <c r="D252" i="93" s="1"/>
  <c r="E132" i="89"/>
  <c r="D132" i="89" s="1"/>
  <c r="D261" i="89" s="1"/>
  <c r="E93" i="89"/>
  <c r="D93" i="89" s="1"/>
  <c r="D248" i="89" s="1"/>
  <c r="E234" i="91"/>
  <c r="E93" i="93"/>
  <c r="D93" i="93" s="1"/>
  <c r="D248" i="93" s="1"/>
  <c r="E174" i="89"/>
  <c r="D174" i="89" s="1"/>
  <c r="D275" i="89" s="1"/>
  <c r="E99" i="89"/>
  <c r="D99" i="89" s="1"/>
  <c r="D250" i="89" s="1"/>
  <c r="E15" i="89"/>
  <c r="D15" i="89" s="1"/>
  <c r="E51" i="93"/>
  <c r="D51" i="93" s="1"/>
  <c r="D236" i="93" s="1"/>
  <c r="E126" i="89"/>
  <c r="D126" i="89" s="1"/>
  <c r="D259" i="89" s="1"/>
  <c r="E187" i="89"/>
  <c r="D187" i="89" s="1"/>
  <c r="D279" i="89" s="1"/>
  <c r="AA159" i="87"/>
  <c r="P99" i="94"/>
  <c r="L162" i="92"/>
  <c r="AB77" i="91"/>
  <c r="X136" i="92"/>
  <c r="P100" i="93"/>
  <c r="D190" i="88" l="1"/>
  <c r="D282" i="88" s="1"/>
  <c r="D189" i="87"/>
  <c r="D281" i="87" s="1"/>
  <c r="D218" i="81"/>
  <c r="D291" i="81" s="1"/>
  <c r="E190" i="92"/>
  <c r="D190" i="92" s="1"/>
  <c r="D282" i="92" s="1"/>
  <c r="D218" i="83"/>
  <c r="D291" i="83" s="1"/>
  <c r="D108" i="92"/>
  <c r="D253" i="92" s="1"/>
  <c r="E192" i="92"/>
  <c r="D192" i="92" s="1"/>
  <c r="D284" i="92" s="1"/>
  <c r="E150" i="92"/>
  <c r="D150" i="92" s="1"/>
  <c r="D267" i="92" s="1"/>
  <c r="D230" i="89"/>
  <c r="E230" i="89" s="1"/>
  <c r="E239" i="89"/>
  <c r="E236" i="89"/>
  <c r="D66" i="83" l="1"/>
  <c r="D239" i="83" s="1"/>
  <c r="D117" i="74"/>
  <c r="D256" i="74" s="1"/>
  <c r="D231" i="89"/>
  <c r="E231" i="89" s="1"/>
  <c r="D287" i="74"/>
  <c r="D90" i="81"/>
  <c r="D247" i="81" s="1"/>
  <c r="E51" i="82"/>
  <c r="D51" i="82" s="1"/>
  <c r="D51" i="74"/>
  <c r="D236" i="74" s="1"/>
  <c r="D90" i="74"/>
  <c r="D247" i="74" s="1"/>
  <c r="E87" i="74"/>
  <c r="D87" i="74" s="1"/>
  <c r="D246" i="74" s="1"/>
  <c r="D57" i="81"/>
  <c r="D237" i="81" s="1"/>
  <c r="E234" i="89"/>
  <c r="D123" i="74"/>
  <c r="D258" i="74" s="1"/>
  <c r="D81" i="81"/>
  <c r="D244" i="81" s="1"/>
  <c r="D27" i="82"/>
  <c r="D232" i="82" s="1"/>
  <c r="D120" i="81"/>
  <c r="D257" i="81" s="1"/>
  <c r="E242" i="89"/>
  <c r="D168" i="74"/>
  <c r="D273" i="74" s="1"/>
  <c r="E232" i="89"/>
  <c r="E129" i="74"/>
  <c r="D129" i="74" s="1"/>
  <c r="D260" i="74" s="1"/>
  <c r="D90" i="84"/>
  <c r="D247" i="84" s="1"/>
  <c r="D93" i="85"/>
  <c r="D248" i="85" s="1"/>
  <c r="E144" i="74"/>
  <c r="D144" i="74" s="1"/>
  <c r="D265" i="74" s="1"/>
  <c r="D123" i="81"/>
  <c r="D258" i="81" s="1"/>
  <c r="D159" i="74"/>
  <c r="D270" i="74" s="1"/>
  <c r="E230" i="85"/>
  <c r="E233" i="89"/>
  <c r="D162" i="74"/>
  <c r="D271" i="74" s="1"/>
  <c r="D105" i="82"/>
  <c r="D252" i="82" s="1"/>
  <c r="D105" i="81"/>
  <c r="D252" i="81" s="1"/>
  <c r="D9" i="81"/>
  <c r="E177" i="81"/>
  <c r="D177" i="81" s="1"/>
  <c r="D276" i="81" s="1"/>
  <c r="D126" i="81"/>
  <c r="D259" i="81" s="1"/>
  <c r="D150" i="83"/>
  <c r="D267" i="83" s="1"/>
  <c r="E39" i="81"/>
  <c r="D39" i="81" s="1"/>
  <c r="D234" i="81" s="1"/>
  <c r="D69" i="74"/>
  <c r="D240" i="74" s="1"/>
  <c r="E174" i="74"/>
  <c r="D174" i="74" s="1"/>
  <c r="D275" i="74" s="1"/>
  <c r="E165" i="74"/>
  <c r="D165" i="74" s="1"/>
  <c r="D272" i="74" s="1"/>
  <c r="E33" i="84"/>
  <c r="D33" i="84" s="1"/>
  <c r="D233" i="84" s="1"/>
  <c r="E238" i="89"/>
  <c r="D108" i="74"/>
  <c r="D253" i="74" s="1"/>
  <c r="E241" i="89"/>
  <c r="D191" i="81"/>
  <c r="D283" i="81" s="1"/>
  <c r="D69" i="81"/>
  <c r="D240" i="81" s="1"/>
  <c r="D191" i="74"/>
  <c r="D283" i="74" s="1"/>
  <c r="D66" i="74"/>
  <c r="D239" i="74" s="1"/>
  <c r="D15" i="82"/>
  <c r="E63" i="82"/>
  <c r="D63" i="82" s="1"/>
  <c r="D238" i="82" s="1"/>
  <c r="E165" i="83"/>
  <c r="D165" i="83" s="1"/>
  <c r="D272" i="83" s="1"/>
  <c r="D63" i="74"/>
  <c r="D238" i="74" s="1"/>
  <c r="E72" i="82"/>
  <c r="D72" i="82" s="1"/>
  <c r="D241" i="82" s="1"/>
  <c r="E187" i="74"/>
  <c r="D187" i="74" s="1"/>
  <c r="D279" i="74" s="1"/>
  <c r="D75" i="74"/>
  <c r="D242" i="74" s="1"/>
  <c r="D96" i="85"/>
  <c r="D249" i="85" s="1"/>
  <c r="E243" i="89"/>
  <c r="E231" i="91"/>
  <c r="D111" i="74"/>
  <c r="D254" i="74" s="1"/>
  <c r="D9" i="74"/>
  <c r="D96" i="74"/>
  <c r="D249" i="74" s="1"/>
  <c r="E114" i="82"/>
  <c r="D114" i="82" s="1"/>
  <c r="D255" i="82" s="1"/>
  <c r="E171" i="83"/>
  <c r="D171" i="83" s="1"/>
  <c r="D274" i="83" s="1"/>
  <c r="D120" i="84"/>
  <c r="D257" i="84" s="1"/>
  <c r="E237" i="89"/>
  <c r="E27" i="81"/>
  <c r="D27" i="81" s="1"/>
  <c r="D232" i="81" s="1"/>
  <c r="D75" i="81"/>
  <c r="D242" i="81" s="1"/>
  <c r="D229" i="91"/>
  <c r="E229" i="91" s="1"/>
  <c r="D63" i="91"/>
  <c r="D238" i="91" s="1"/>
  <c r="D188" i="85"/>
  <c r="D280" i="85" s="1"/>
  <c r="D187" i="83"/>
  <c r="D279" i="83" s="1"/>
  <c r="D192" i="84"/>
  <c r="D284" i="84" s="1"/>
  <c r="D51" i="85"/>
  <c r="D236" i="85" s="1"/>
  <c r="D99" i="85"/>
  <c r="D250" i="85" s="1"/>
  <c r="D111" i="87"/>
  <c r="D254" i="87" s="1"/>
  <c r="D87" i="91"/>
  <c r="D246" i="91" s="1"/>
  <c r="D99" i="88"/>
  <c r="D250" i="88" s="1"/>
  <c r="D287" i="81"/>
  <c r="D84" i="85"/>
  <c r="D245" i="85" s="1"/>
  <c r="E240" i="89"/>
  <c r="E114" i="91"/>
  <c r="D114" i="91" s="1"/>
  <c r="D255" i="91" s="1"/>
  <c r="D90" i="87"/>
  <c r="D247" i="87" s="1"/>
  <c r="D39" i="88"/>
  <c r="D234" i="88" s="1"/>
  <c r="D192" i="82"/>
  <c r="D284" i="82" s="1"/>
  <c r="D187" i="82"/>
  <c r="D279" i="82" s="1"/>
  <c r="D188" i="83"/>
  <c r="D280" i="83" s="1"/>
  <c r="D27" i="74"/>
  <c r="D232" i="74" s="1"/>
  <c r="E232" i="74" s="1"/>
  <c r="E129" i="82"/>
  <c r="D129" i="82" s="1"/>
  <c r="D260" i="82" s="1"/>
  <c r="D120" i="83"/>
  <c r="D257" i="83" s="1"/>
  <c r="D9" i="84"/>
  <c r="D132" i="84"/>
  <c r="D261" i="84" s="1"/>
  <c r="D171" i="85"/>
  <c r="D274" i="85" s="1"/>
  <c r="E132" i="85"/>
  <c r="D132" i="85" s="1"/>
  <c r="D261" i="85" s="1"/>
  <c r="D81" i="88"/>
  <c r="D244" i="88" s="1"/>
  <c r="E235" i="89"/>
  <c r="D168" i="85"/>
  <c r="D273" i="85" s="1"/>
  <c r="E214" i="82"/>
  <c r="D214" i="82" s="1"/>
  <c r="D290" i="82" s="1"/>
  <c r="D123" i="87"/>
  <c r="D258" i="87" s="1"/>
  <c r="D126" i="91"/>
  <c r="D259" i="91" s="1"/>
  <c r="D45" i="82"/>
  <c r="D235" i="82" s="1"/>
  <c r="D153" i="87"/>
  <c r="D268" i="87" s="1"/>
  <c r="D135" i="84"/>
  <c r="D262" i="84" s="1"/>
  <c r="D132" i="87"/>
  <c r="D261" i="87" s="1"/>
  <c r="D117" i="91"/>
  <c r="D256" i="91" s="1"/>
  <c r="D156" i="85"/>
  <c r="D269" i="85" s="1"/>
  <c r="D81" i="74"/>
  <c r="D244" i="74" s="1"/>
  <c r="D93" i="84"/>
  <c r="D248" i="84" s="1"/>
  <c r="D111" i="84"/>
  <c r="D254" i="84" s="1"/>
  <c r="D191" i="85"/>
  <c r="D283" i="85" s="1"/>
  <c r="D9" i="88"/>
  <c r="E281" i="88" s="1"/>
  <c r="D102" i="83"/>
  <c r="D251" i="83" s="1"/>
  <c r="D129" i="91"/>
  <c r="D260" i="91" s="1"/>
  <c r="D194" i="85"/>
  <c r="D285" i="85" s="1"/>
  <c r="D191" i="88"/>
  <c r="D283" i="88" s="1"/>
  <c r="E165" i="84"/>
  <c r="D272" i="84" s="1"/>
  <c r="D51" i="83"/>
  <c r="D236" i="83" s="1"/>
  <c r="D99" i="84"/>
  <c r="D250" i="84" s="1"/>
  <c r="D180" i="81"/>
  <c r="D277" i="81" s="1"/>
  <c r="D159" i="82"/>
  <c r="D270" i="82" s="1"/>
  <c r="D9" i="83"/>
  <c r="D102" i="85"/>
  <c r="D251" i="85" s="1"/>
  <c r="E180" i="85"/>
  <c r="D180" i="85" s="1"/>
  <c r="D277" i="85" s="1"/>
  <c r="E96" i="89"/>
  <c r="D96" i="89" s="1"/>
  <c r="D249" i="89" s="1"/>
  <c r="D63" i="88"/>
  <c r="D238" i="88" s="1"/>
  <c r="E69" i="92"/>
  <c r="D69" i="92" s="1"/>
  <c r="D240" i="92" s="1"/>
  <c r="D15" i="81"/>
  <c r="D230" i="81" s="1"/>
  <c r="E230" i="81" s="1"/>
  <c r="D39" i="87"/>
  <c r="D234" i="87" s="1"/>
  <c r="D9" i="87"/>
  <c r="E282" i="87" s="1"/>
  <c r="D150" i="91"/>
  <c r="D267" i="91" s="1"/>
  <c r="D180" i="89"/>
  <c r="D81" i="89"/>
  <c r="E230" i="91"/>
  <c r="E171" i="81"/>
  <c r="D171" i="81" s="1"/>
  <c r="D274" i="81" s="1"/>
  <c r="D187" i="81"/>
  <c r="D279" i="81" s="1"/>
  <c r="D84" i="83"/>
  <c r="D245" i="83" s="1"/>
  <c r="D135" i="82"/>
  <c r="D262" i="82" s="1"/>
  <c r="D87" i="89"/>
  <c r="D246" i="89" s="1"/>
  <c r="D123" i="89"/>
  <c r="D258" i="89" s="1"/>
  <c r="D165" i="91"/>
  <c r="D272" i="91" s="1"/>
  <c r="D123" i="83"/>
  <c r="D258" i="83" s="1"/>
  <c r="D171" i="84"/>
  <c r="D274" i="84" s="1"/>
  <c r="D117" i="84"/>
  <c r="D256" i="84" s="1"/>
  <c r="D21" i="85"/>
  <c r="D135" i="85"/>
  <c r="D262" i="85" s="1"/>
  <c r="D194" i="82"/>
  <c r="D285" i="82" s="1"/>
  <c r="E120" i="88"/>
  <c r="D120" i="88" s="1"/>
  <c r="D257" i="88" s="1"/>
  <c r="D111" i="94"/>
  <c r="D254" i="94" s="1"/>
  <c r="G50" i="91"/>
  <c r="I133" i="91"/>
  <c r="I152" i="91"/>
  <c r="D126" i="93"/>
  <c r="D259" i="93" s="1"/>
  <c r="D183" i="91"/>
  <c r="D278" i="91" s="1"/>
  <c r="D153" i="94"/>
  <c r="D268" i="94" s="1"/>
  <c r="I165" i="87"/>
  <c r="I125" i="87"/>
  <c r="I151" i="87"/>
  <c r="I74" i="87"/>
  <c r="G50" i="87"/>
  <c r="D301" i="87"/>
  <c r="I131" i="87"/>
  <c r="I147" i="87"/>
  <c r="I98" i="87"/>
  <c r="I111" i="87"/>
  <c r="G42" i="87"/>
  <c r="I64" i="91"/>
  <c r="I113" i="91"/>
  <c r="D102" i="92"/>
  <c r="D251" i="92" s="1"/>
  <c r="I172" i="89"/>
  <c r="I147" i="89"/>
  <c r="I118" i="89"/>
  <c r="I88" i="89"/>
  <c r="G58" i="89"/>
  <c r="I163" i="89"/>
  <c r="I92" i="89"/>
  <c r="I110" i="89"/>
  <c r="I98" i="89"/>
  <c r="G42" i="89"/>
  <c r="I158" i="89"/>
  <c r="I112" i="89"/>
  <c r="I80" i="89"/>
  <c r="I74" i="89"/>
  <c r="G14" i="89"/>
  <c r="I156" i="89"/>
  <c r="I100" i="89"/>
  <c r="I78" i="89"/>
  <c r="I72" i="89"/>
  <c r="G12" i="89"/>
  <c r="D301" i="89"/>
  <c r="I179" i="89"/>
  <c r="I144" i="89"/>
  <c r="I169" i="89"/>
  <c r="I134" i="89"/>
  <c r="I119" i="89"/>
  <c r="I76" i="89"/>
  <c r="I99" i="89"/>
  <c r="G60" i="89"/>
  <c r="I164" i="89"/>
  <c r="I125" i="89"/>
  <c r="I105" i="89"/>
  <c r="I97" i="89"/>
  <c r="I152" i="89"/>
  <c r="I178" i="89"/>
  <c r="I93" i="89"/>
  <c r="I83" i="89"/>
  <c r="I75" i="89"/>
  <c r="G16" i="89"/>
  <c r="I150" i="89"/>
  <c r="I173" i="89"/>
  <c r="I180" i="89"/>
  <c r="I81" i="89"/>
  <c r="D138" i="94"/>
  <c r="D263" i="94" s="1"/>
  <c r="E183" i="85"/>
  <c r="D183" i="85" s="1"/>
  <c r="D278" i="85" s="1"/>
  <c r="I182" i="91"/>
  <c r="I118" i="91"/>
  <c r="I145" i="91"/>
  <c r="I115" i="91"/>
  <c r="G42" i="91"/>
  <c r="I146" i="91"/>
  <c r="I164" i="91"/>
  <c r="I83" i="91"/>
  <c r="I63" i="91"/>
  <c r="I132" i="91"/>
  <c r="I112" i="91"/>
  <c r="I117" i="91"/>
  <c r="G62" i="91"/>
  <c r="I68" i="91"/>
  <c r="I154" i="91"/>
  <c r="I110" i="91"/>
  <c r="I111" i="91"/>
  <c r="I71" i="91"/>
  <c r="I67" i="91"/>
  <c r="D301" i="91"/>
  <c r="I142" i="91"/>
  <c r="I109" i="91"/>
  <c r="I101" i="91"/>
  <c r="I70" i="91"/>
  <c r="G44" i="91"/>
  <c r="I179" i="91"/>
  <c r="I180" i="91"/>
  <c r="I130" i="91"/>
  <c r="I86" i="91"/>
  <c r="G38" i="91"/>
  <c r="G28" i="91"/>
  <c r="I169" i="91"/>
  <c r="I159" i="91"/>
  <c r="I125" i="91"/>
  <c r="I84" i="91"/>
  <c r="G30" i="91"/>
  <c r="G16" i="91"/>
  <c r="I167" i="91"/>
  <c r="I150" i="91"/>
  <c r="I103" i="91"/>
  <c r="I135" i="91"/>
  <c r="G54" i="91"/>
  <c r="I82" i="91"/>
  <c r="I155" i="91"/>
  <c r="I162" i="91"/>
  <c r="I140" i="91"/>
  <c r="I121" i="91"/>
  <c r="G20" i="91"/>
  <c r="G26" i="91"/>
  <c r="I153" i="91"/>
  <c r="I161" i="91"/>
  <c r="I119" i="91"/>
  <c r="I105" i="91"/>
  <c r="I93" i="91"/>
  <c r="D165" i="94"/>
  <c r="D272" i="94" s="1"/>
  <c r="D287" i="93"/>
  <c r="E214" i="93"/>
  <c r="D214" i="93" s="1"/>
  <c r="D290" i="93" s="1"/>
  <c r="D156" i="92"/>
  <c r="D269" i="92" s="1"/>
  <c r="D159" i="93"/>
  <c r="D270" i="93" s="1"/>
  <c r="D177" i="94"/>
  <c r="D276" i="94" s="1"/>
  <c r="D214" i="91"/>
  <c r="D290" i="91" s="1"/>
  <c r="E188" i="92"/>
  <c r="D188" i="92" s="1"/>
  <c r="D280" i="92" s="1"/>
  <c r="D129" i="92"/>
  <c r="D260" i="92" s="1"/>
  <c r="D63" i="93"/>
  <c r="D238" i="93" s="1"/>
  <c r="E194" i="94"/>
  <c r="D194" i="94" s="1"/>
  <c r="D285" i="94" s="1"/>
  <c r="D45" i="91"/>
  <c r="D183" i="74"/>
  <c r="D278" i="74" s="1"/>
  <c r="D120" i="93"/>
  <c r="D257" i="93" s="1"/>
  <c r="E198" i="92"/>
  <c r="D198" i="92" s="1"/>
  <c r="D286" i="92" s="1"/>
  <c r="I179" i="88"/>
  <c r="D301" i="88"/>
  <c r="I172" i="88"/>
  <c r="I113" i="88"/>
  <c r="I80" i="88"/>
  <c r="I106" i="88"/>
  <c r="I85" i="88"/>
  <c r="I153" i="88"/>
  <c r="I87" i="88"/>
  <c r="I148" i="88"/>
  <c r="G54" i="88"/>
  <c r="G30" i="88"/>
  <c r="D45" i="92"/>
  <c r="D235" i="92" s="1"/>
  <c r="D194" i="91"/>
  <c r="D285" i="91" s="1"/>
  <c r="E126" i="94"/>
  <c r="D126" i="94" s="1"/>
  <c r="D259" i="94" s="1"/>
  <c r="D27" i="93"/>
  <c r="D232" i="93" s="1"/>
  <c r="D78" i="91"/>
  <c r="D243" i="91" s="1"/>
  <c r="H11" i="92"/>
  <c r="H132" i="93"/>
  <c r="H72" i="93"/>
  <c r="H45" i="94"/>
  <c r="H147" i="94"/>
  <c r="E296" i="92"/>
  <c r="D300" i="93"/>
  <c r="AB6" i="93" s="1"/>
  <c r="E180" i="94"/>
  <c r="D180" i="94" s="1"/>
  <c r="D277" i="94" s="1"/>
  <c r="H21" i="92"/>
  <c r="E194" i="92"/>
  <c r="D194" i="92" s="1"/>
  <c r="D285" i="92" s="1"/>
  <c r="H153" i="93"/>
  <c r="H114" i="93"/>
  <c r="H117" i="94"/>
  <c r="H141" i="94"/>
  <c r="AI19" i="92"/>
  <c r="H214" i="92" s="1"/>
  <c r="E300" i="92"/>
  <c r="D296" i="94"/>
  <c r="X6" i="94" s="1"/>
  <c r="H9" i="92"/>
  <c r="H187" i="93"/>
  <c r="H75" i="94"/>
  <c r="H31" i="94"/>
  <c r="H183" i="94"/>
  <c r="E194" i="93"/>
  <c r="D194" i="93" s="1"/>
  <c r="D285" i="93" s="1"/>
  <c r="D300" i="94"/>
  <c r="AB6" i="94" s="1"/>
  <c r="D183" i="83"/>
  <c r="D278" i="83" s="1"/>
  <c r="AI20" i="92"/>
  <c r="AJ14" i="92"/>
  <c r="AJ15" i="92"/>
  <c r="AJ16" i="92"/>
  <c r="E177" i="92"/>
  <c r="D177" i="92" s="1"/>
  <c r="D276" i="92" s="1"/>
  <c r="D141" i="93"/>
  <c r="D264" i="93" s="1"/>
  <c r="E39" i="93"/>
  <c r="D39" i="93" s="1"/>
  <c r="D234" i="93" s="1"/>
  <c r="E191" i="94"/>
  <c r="D191" i="94" s="1"/>
  <c r="D283" i="94" s="1"/>
  <c r="D84" i="94"/>
  <c r="D245" i="94" s="1"/>
  <c r="E102" i="94"/>
  <c r="D102" i="94" s="1"/>
  <c r="D251" i="94" s="1"/>
  <c r="H57" i="92"/>
  <c r="H180" i="93"/>
  <c r="H123" i="94"/>
  <c r="E123" i="94" s="1"/>
  <c r="H15" i="94"/>
  <c r="AJ17" i="92"/>
  <c r="H47" i="92"/>
  <c r="H191" i="93"/>
  <c r="H192" i="94"/>
  <c r="H29" i="94"/>
  <c r="D297" i="93"/>
  <c r="Y6" i="93" s="1"/>
  <c r="D297" i="94"/>
  <c r="Y6" i="94" s="1"/>
  <c r="AJ18" i="92"/>
  <c r="AI18" i="92"/>
  <c r="AJ19" i="92"/>
  <c r="H117" i="92"/>
  <c r="H55" i="93"/>
  <c r="H13" i="94"/>
  <c r="H156" i="94"/>
  <c r="H27" i="94"/>
  <c r="AJ20" i="92"/>
  <c r="H90" i="92"/>
  <c r="H15" i="93"/>
  <c r="H33" i="94"/>
  <c r="H108" i="94"/>
  <c r="H39" i="94"/>
  <c r="AJ13" i="93"/>
  <c r="AJ20" i="74"/>
  <c r="AJ14" i="93"/>
  <c r="AJ15" i="93"/>
  <c r="E9" i="94"/>
  <c r="D9" i="94" s="1"/>
  <c r="H138" i="92"/>
  <c r="H31" i="93"/>
  <c r="H59" i="94"/>
  <c r="H188" i="94"/>
  <c r="H41" i="94"/>
  <c r="E297" i="92"/>
  <c r="H198" i="94"/>
  <c r="AJ16" i="93"/>
  <c r="AJ17" i="93"/>
  <c r="AJ18" i="93"/>
  <c r="H25" i="92"/>
  <c r="H171" i="92"/>
  <c r="H111" i="93"/>
  <c r="H21" i="94"/>
  <c r="H78" i="94"/>
  <c r="D298" i="92"/>
  <c r="Z6" i="92" s="1"/>
  <c r="D183" i="81"/>
  <c r="D278" i="81" s="1"/>
  <c r="AJ19" i="93"/>
  <c r="AJ20" i="93"/>
  <c r="E297" i="93"/>
  <c r="H198" i="93"/>
  <c r="AJ13" i="94"/>
  <c r="AJ14" i="94"/>
  <c r="AJ15" i="94"/>
  <c r="AJ16" i="94"/>
  <c r="AJ17" i="94"/>
  <c r="E171" i="94"/>
  <c r="D171" i="94" s="1"/>
  <c r="D274" i="94" s="1"/>
  <c r="E51" i="94"/>
  <c r="D51" i="94" s="1"/>
  <c r="D236" i="94" s="1"/>
  <c r="D299" i="93"/>
  <c r="AA6" i="93" s="1"/>
  <c r="AJ18" i="94"/>
  <c r="AJ19" i="94"/>
  <c r="U57" i="94"/>
  <c r="U58" i="94" s="1"/>
  <c r="E281" i="82" l="1"/>
  <c r="E282" i="82"/>
  <c r="D244" i="89"/>
  <c r="E244" i="89" s="1"/>
  <c r="E282" i="89"/>
  <c r="E281" i="89"/>
  <c r="E187" i="93"/>
  <c r="H189" i="93"/>
  <c r="E282" i="83"/>
  <c r="E281" i="83"/>
  <c r="E281" i="91"/>
  <c r="E282" i="91"/>
  <c r="E281" i="84"/>
  <c r="E282" i="84"/>
  <c r="E281" i="81"/>
  <c r="E282" i="81"/>
  <c r="E282" i="74"/>
  <c r="E281" i="74"/>
  <c r="E188" i="94"/>
  <c r="H190" i="94"/>
  <c r="E190" i="94" s="1"/>
  <c r="D190" i="94" s="1"/>
  <c r="D282" i="94" s="1"/>
  <c r="E282" i="85"/>
  <c r="E281" i="85"/>
  <c r="E282" i="88"/>
  <c r="E281" i="87"/>
  <c r="H210" i="92"/>
  <c r="H206" i="92"/>
  <c r="D291" i="92" s="1"/>
  <c r="H202" i="92"/>
  <c r="E289" i="89"/>
  <c r="E234" i="87"/>
  <c r="E288" i="88"/>
  <c r="E289" i="88"/>
  <c r="E289" i="87"/>
  <c r="E289" i="82"/>
  <c r="E288" i="83"/>
  <c r="E289" i="83"/>
  <c r="E289" i="85"/>
  <c r="E289" i="84"/>
  <c r="E289" i="91"/>
  <c r="E289" i="74"/>
  <c r="E289" i="81"/>
  <c r="D277" i="89"/>
  <c r="E288" i="89"/>
  <c r="E288" i="87"/>
  <c r="D230" i="82"/>
  <c r="E230" i="82" s="1"/>
  <c r="E288" i="82"/>
  <c r="D231" i="85"/>
  <c r="E231" i="85" s="1"/>
  <c r="E288" i="85"/>
  <c r="E288" i="84"/>
  <c r="D235" i="91"/>
  <c r="E235" i="91" s="1"/>
  <c r="E288" i="91"/>
  <c r="D229" i="94"/>
  <c r="E229" i="94" s="1"/>
  <c r="D229" i="74"/>
  <c r="E229" i="74" s="1"/>
  <c r="E288" i="74"/>
  <c r="E288" i="81"/>
  <c r="E269" i="87"/>
  <c r="E265" i="74"/>
  <c r="E232" i="81"/>
  <c r="E249" i="87"/>
  <c r="E245" i="88"/>
  <c r="E257" i="88"/>
  <c r="E241" i="82"/>
  <c r="E235" i="82"/>
  <c r="E277" i="85"/>
  <c r="E249" i="88"/>
  <c r="E236" i="85"/>
  <c r="E277" i="81"/>
  <c r="E271" i="83"/>
  <c r="E250" i="84"/>
  <c r="E272" i="84"/>
  <c r="E260" i="74"/>
  <c r="E261" i="85"/>
  <c r="E278" i="81"/>
  <c r="E248" i="88"/>
  <c r="E252" i="84"/>
  <c r="E278" i="85"/>
  <c r="E274" i="83"/>
  <c r="E246" i="74"/>
  <c r="E244" i="74"/>
  <c r="E244" i="83"/>
  <c r="E255" i="91"/>
  <c r="E287" i="81"/>
  <c r="E260" i="82"/>
  <c r="E272" i="74"/>
  <c r="E267" i="88"/>
  <c r="E275" i="74"/>
  <c r="E255" i="82"/>
  <c r="D236" i="82"/>
  <c r="E236" i="82" s="1"/>
  <c r="E278" i="82"/>
  <c r="E290" i="81"/>
  <c r="E279" i="74"/>
  <c r="D287" i="94"/>
  <c r="H177" i="93"/>
  <c r="H25" i="93"/>
  <c r="H165" i="93"/>
  <c r="H59" i="93"/>
  <c r="H188" i="93"/>
  <c r="H190" i="93" s="1"/>
  <c r="E190" i="93" s="1"/>
  <c r="D190" i="93" s="1"/>
  <c r="D282" i="93" s="1"/>
  <c r="H47" i="93"/>
  <c r="H156" i="93"/>
  <c r="H69" i="93"/>
  <c r="H192" i="93"/>
  <c r="H9" i="93"/>
  <c r="H138" i="93"/>
  <c r="H108" i="93"/>
  <c r="H123" i="93"/>
  <c r="H57" i="93"/>
  <c r="H81" i="93"/>
  <c r="H49" i="93"/>
  <c r="H144" i="93"/>
  <c r="H61" i="93"/>
  <c r="H33" i="93"/>
  <c r="H129" i="93"/>
  <c r="H90" i="93"/>
  <c r="H75" i="93"/>
  <c r="H35" i="93"/>
  <c r="H102" i="93"/>
  <c r="H45" i="93"/>
  <c r="H171" i="93"/>
  <c r="H150" i="93"/>
  <c r="H117" i="93"/>
  <c r="H96" i="93"/>
  <c r="H37" i="93"/>
  <c r="H23" i="93"/>
  <c r="H13" i="93"/>
  <c r="H66" i="93"/>
  <c r="H21" i="93"/>
  <c r="H11" i="93"/>
  <c r="E15" i="93"/>
  <c r="D15" i="93" s="1"/>
  <c r="D230" i="93" s="1"/>
  <c r="E21" i="92"/>
  <c r="D21" i="92" s="1"/>
  <c r="D231" i="92" s="1"/>
  <c r="E279" i="81"/>
  <c r="E238" i="88"/>
  <c r="E255" i="85"/>
  <c r="E254" i="91"/>
  <c r="E258" i="85"/>
  <c r="E271" i="89"/>
  <c r="E251" i="81"/>
  <c r="E237" i="85"/>
  <c r="E248" i="74"/>
  <c r="E247" i="84"/>
  <c r="E235" i="88"/>
  <c r="E267" i="89"/>
  <c r="E261" i="83"/>
  <c r="E279" i="89"/>
  <c r="E239" i="83"/>
  <c r="E264" i="74"/>
  <c r="E90" i="92"/>
  <c r="D90" i="92" s="1"/>
  <c r="D247" i="92" s="1"/>
  <c r="E272" i="81"/>
  <c r="E259" i="91"/>
  <c r="E280" i="83"/>
  <c r="E274" i="91"/>
  <c r="E232" i="84"/>
  <c r="E255" i="89"/>
  <c r="E254" i="89"/>
  <c r="E271" i="85"/>
  <c r="E234" i="81"/>
  <c r="E259" i="84"/>
  <c r="E237" i="87"/>
  <c r="E260" i="85"/>
  <c r="E265" i="87"/>
  <c r="E274" i="88"/>
  <c r="E239" i="82"/>
  <c r="E272" i="82"/>
  <c r="E273" i="83"/>
  <c r="E78" i="94"/>
  <c r="D78" i="94" s="1"/>
  <c r="D243" i="94" s="1"/>
  <c r="E260" i="91"/>
  <c r="E258" i="87"/>
  <c r="E279" i="82"/>
  <c r="E250" i="88"/>
  <c r="E244" i="91"/>
  <c r="E240" i="83"/>
  <c r="E268" i="84"/>
  <c r="E232" i="88"/>
  <c r="E267" i="85"/>
  <c r="E270" i="83"/>
  <c r="E238" i="84"/>
  <c r="E251" i="84"/>
  <c r="E263" i="89"/>
  <c r="E242" i="82"/>
  <c r="E231" i="84"/>
  <c r="E252" i="87"/>
  <c r="E263" i="81"/>
  <c r="E274" i="87"/>
  <c r="E235" i="84"/>
  <c r="E250" i="82"/>
  <c r="E21" i="94"/>
  <c r="D21" i="94" s="1"/>
  <c r="D231" i="94" s="1"/>
  <c r="H63" i="94"/>
  <c r="H135" i="94"/>
  <c r="H72" i="94"/>
  <c r="H168" i="94"/>
  <c r="H120" i="94"/>
  <c r="H162" i="94"/>
  <c r="H114" i="94"/>
  <c r="E284" i="82"/>
  <c r="E287" i="88"/>
  <c r="E266" i="87"/>
  <c r="E230" i="83"/>
  <c r="E232" i="83"/>
  <c r="E234" i="84"/>
  <c r="E270" i="84"/>
  <c r="E234" i="83"/>
  <c r="E254" i="82"/>
  <c r="E271" i="87"/>
  <c r="E253" i="83"/>
  <c r="E271" i="91"/>
  <c r="E276" i="84"/>
  <c r="E233" i="87"/>
  <c r="E254" i="85"/>
  <c r="E279" i="84"/>
  <c r="E247" i="82"/>
  <c r="E111" i="93"/>
  <c r="D111" i="93" s="1"/>
  <c r="D254" i="93" s="1"/>
  <c r="I135" i="93"/>
  <c r="I93" i="93"/>
  <c r="I139" i="93"/>
  <c r="I111" i="93"/>
  <c r="G12" i="93"/>
  <c r="I179" i="93"/>
  <c r="I83" i="93"/>
  <c r="I124" i="93"/>
  <c r="I109" i="93"/>
  <c r="I114" i="93"/>
  <c r="I169" i="93"/>
  <c r="I81" i="93"/>
  <c r="I146" i="93"/>
  <c r="I108" i="93"/>
  <c r="G46" i="93"/>
  <c r="I157" i="93"/>
  <c r="I131" i="93"/>
  <c r="I74" i="93"/>
  <c r="I102" i="93"/>
  <c r="G24" i="93"/>
  <c r="I181" i="93"/>
  <c r="I115" i="93"/>
  <c r="G44" i="93"/>
  <c r="I100" i="93"/>
  <c r="G16" i="93"/>
  <c r="I160" i="93"/>
  <c r="I91" i="93"/>
  <c r="I87" i="93"/>
  <c r="I92" i="93"/>
  <c r="I121" i="93"/>
  <c r="I136" i="93"/>
  <c r="I164" i="93"/>
  <c r="I70" i="93"/>
  <c r="I73" i="93"/>
  <c r="I67" i="93"/>
  <c r="I175" i="93"/>
  <c r="I167" i="93"/>
  <c r="I130" i="93"/>
  <c r="I163" i="93"/>
  <c r="I165" i="93"/>
  <c r="I152" i="93"/>
  <c r="I99" i="93"/>
  <c r="G28" i="93"/>
  <c r="G18" i="93"/>
  <c r="D301" i="93"/>
  <c r="I168" i="93"/>
  <c r="I153" i="93"/>
  <c r="I143" i="93"/>
  <c r="I96" i="93"/>
  <c r="I110" i="93"/>
  <c r="I112" i="93"/>
  <c r="I158" i="93"/>
  <c r="I162" i="93"/>
  <c r="I142" i="93"/>
  <c r="I90" i="93"/>
  <c r="I68" i="93"/>
  <c r="I104" i="93"/>
  <c r="I156" i="93"/>
  <c r="I134" i="93"/>
  <c r="I129" i="93"/>
  <c r="I89" i="93"/>
  <c r="G10" i="93"/>
  <c r="G60" i="93"/>
  <c r="I178" i="93"/>
  <c r="I133" i="93"/>
  <c r="I118" i="93"/>
  <c r="I88" i="93"/>
  <c r="I66" i="93"/>
  <c r="I166" i="93"/>
  <c r="I138" i="93"/>
  <c r="I106" i="93"/>
  <c r="I86" i="93"/>
  <c r="G42" i="93"/>
  <c r="I154" i="93"/>
  <c r="I128" i="93"/>
  <c r="I94" i="93"/>
  <c r="I80" i="93"/>
  <c r="G22" i="93"/>
  <c r="I180" i="93"/>
  <c r="I176" i="93"/>
  <c r="I82" i="93"/>
  <c r="I79" i="93"/>
  <c r="I76" i="93"/>
  <c r="I173" i="93"/>
  <c r="I151" i="93"/>
  <c r="I126" i="93"/>
  <c r="I77" i="93"/>
  <c r="G62" i="93"/>
  <c r="I171" i="93"/>
  <c r="I132" i="93"/>
  <c r="I122" i="93"/>
  <c r="I75" i="93"/>
  <c r="G50" i="93"/>
  <c r="I159" i="93"/>
  <c r="I117" i="93"/>
  <c r="I140" i="93"/>
  <c r="I63" i="93"/>
  <c r="I78" i="93"/>
  <c r="I149" i="93"/>
  <c r="I107" i="93"/>
  <c r="I71" i="93"/>
  <c r="G56" i="93"/>
  <c r="I64" i="93"/>
  <c r="I147" i="93"/>
  <c r="I98" i="93"/>
  <c r="I137" i="93"/>
  <c r="I84" i="93"/>
  <c r="I145" i="93"/>
  <c r="G38" i="93"/>
  <c r="I172" i="93"/>
  <c r="G54" i="93"/>
  <c r="I148" i="93"/>
  <c r="G26" i="93"/>
  <c r="I177" i="93"/>
  <c r="I123" i="93"/>
  <c r="I155" i="93"/>
  <c r="G52" i="93"/>
  <c r="I119" i="93"/>
  <c r="G14" i="93"/>
  <c r="I105" i="93"/>
  <c r="G20" i="93"/>
  <c r="I95" i="93"/>
  <c r="I150" i="93"/>
  <c r="I127" i="93"/>
  <c r="I113" i="93"/>
  <c r="I103" i="93"/>
  <c r="G34" i="93"/>
  <c r="I174" i="93"/>
  <c r="G30" i="93"/>
  <c r="I141" i="93"/>
  <c r="I120" i="93"/>
  <c r="I144" i="93"/>
  <c r="I116" i="93"/>
  <c r="I69" i="93"/>
  <c r="G32" i="93"/>
  <c r="I72" i="93"/>
  <c r="G36" i="93"/>
  <c r="I85" i="93"/>
  <c r="G58" i="93"/>
  <c r="I125" i="93"/>
  <c r="I97" i="93"/>
  <c r="I65" i="93"/>
  <c r="I182" i="93"/>
  <c r="G48" i="93"/>
  <c r="I170" i="93"/>
  <c r="G40" i="93"/>
  <c r="I161" i="93"/>
  <c r="I101" i="93"/>
  <c r="E278" i="91"/>
  <c r="E251" i="83"/>
  <c r="E234" i="88"/>
  <c r="E287" i="91"/>
  <c r="E249" i="74"/>
  <c r="E236" i="81"/>
  <c r="E248" i="83"/>
  <c r="E267" i="84"/>
  <c r="E252" i="74"/>
  <c r="E269" i="91"/>
  <c r="E264" i="82"/>
  <c r="E280" i="91"/>
  <c r="E275" i="83"/>
  <c r="E264" i="85"/>
  <c r="E268" i="83"/>
  <c r="E276" i="82"/>
  <c r="E241" i="74"/>
  <c r="E171" i="92"/>
  <c r="D171" i="92" s="1"/>
  <c r="D274" i="92" s="1"/>
  <c r="E27" i="94"/>
  <c r="D27" i="94" s="1"/>
  <c r="D232" i="94" s="1"/>
  <c r="E237" i="91"/>
  <c r="E251" i="85"/>
  <c r="E251" i="91"/>
  <c r="E251" i="74"/>
  <c r="E238" i="74"/>
  <c r="E240" i="81"/>
  <c r="E266" i="83"/>
  <c r="E269" i="82"/>
  <c r="E246" i="87"/>
  <c r="E279" i="85"/>
  <c r="E247" i="74"/>
  <c r="E274" i="74"/>
  <c r="E280" i="81"/>
  <c r="E244" i="84"/>
  <c r="E156" i="94"/>
  <c r="D156" i="94" s="1"/>
  <c r="D269" i="94" s="1"/>
  <c r="E236" i="91"/>
  <c r="E290" i="83"/>
  <c r="D229" i="83"/>
  <c r="E229" i="83" s="1"/>
  <c r="E284" i="83"/>
  <c r="E285" i="83"/>
  <c r="E285" i="89"/>
  <c r="E238" i="85"/>
  <c r="E283" i="81"/>
  <c r="E262" i="83"/>
  <c r="E269" i="84"/>
  <c r="E273" i="89"/>
  <c r="E262" i="81"/>
  <c r="E244" i="87"/>
  <c r="E241" i="91"/>
  <c r="E249" i="82"/>
  <c r="E232" i="82"/>
  <c r="E236" i="74"/>
  <c r="E258" i="84"/>
  <c r="E263" i="74"/>
  <c r="E239" i="81"/>
  <c r="E270" i="82"/>
  <c r="E285" i="88"/>
  <c r="E278" i="88"/>
  <c r="D229" i="88"/>
  <c r="E229" i="88" s="1"/>
  <c r="E286" i="89"/>
  <c r="E247" i="87"/>
  <c r="E276" i="88"/>
  <c r="E254" i="74"/>
  <c r="E279" i="88"/>
  <c r="E242" i="84"/>
  <c r="E237" i="83"/>
  <c r="E254" i="88"/>
  <c r="E277" i="91"/>
  <c r="E259" i="87"/>
  <c r="E257" i="74"/>
  <c r="E244" i="81"/>
  <c r="E271" i="88"/>
  <c r="E241" i="83"/>
  <c r="E275" i="82"/>
  <c r="E256" i="81"/>
  <c r="E283" i="85"/>
  <c r="E290" i="82"/>
  <c r="E240" i="91"/>
  <c r="E246" i="91"/>
  <c r="E276" i="87"/>
  <c r="E283" i="91"/>
  <c r="E252" i="83"/>
  <c r="E265" i="82"/>
  <c r="E252" i="88"/>
  <c r="E256" i="85"/>
  <c r="E251" i="89"/>
  <c r="E255" i="88"/>
  <c r="E239" i="84"/>
  <c r="E245" i="91"/>
  <c r="E263" i="82"/>
  <c r="E264" i="81"/>
  <c r="E240" i="84"/>
  <c r="E117" i="92"/>
  <c r="D117" i="92" s="1"/>
  <c r="D256" i="92" s="1"/>
  <c r="E147" i="94"/>
  <c r="D147" i="94" s="1"/>
  <c r="D266" i="94" s="1"/>
  <c r="E254" i="84"/>
  <c r="E273" i="85"/>
  <c r="E248" i="91"/>
  <c r="E254" i="87"/>
  <c r="E277" i="87"/>
  <c r="E287" i="89"/>
  <c r="E252" i="89"/>
  <c r="E243" i="83"/>
  <c r="E253" i="82"/>
  <c r="E276" i="85"/>
  <c r="E259" i="88"/>
  <c r="E242" i="87"/>
  <c r="E272" i="89"/>
  <c r="E258" i="81"/>
  <c r="E290" i="89"/>
  <c r="E255" i="84"/>
  <c r="E253" i="91"/>
  <c r="E256" i="74"/>
  <c r="E260" i="84"/>
  <c r="E256" i="82"/>
  <c r="E198" i="94"/>
  <c r="D198" i="94" s="1"/>
  <c r="D286" i="94" s="1"/>
  <c r="I144" i="92"/>
  <c r="I155" i="92"/>
  <c r="I117" i="92"/>
  <c r="G34" i="92"/>
  <c r="I77" i="92"/>
  <c r="I134" i="92"/>
  <c r="I153" i="92"/>
  <c r="I107" i="92"/>
  <c r="G14" i="92"/>
  <c r="G58" i="92"/>
  <c r="I132" i="92"/>
  <c r="I143" i="92"/>
  <c r="I105" i="92"/>
  <c r="G12" i="92"/>
  <c r="G26" i="92"/>
  <c r="I178" i="92"/>
  <c r="I141" i="92"/>
  <c r="I95" i="92"/>
  <c r="I106" i="92"/>
  <c r="I99" i="92"/>
  <c r="I166" i="92"/>
  <c r="I162" i="92"/>
  <c r="I93" i="92"/>
  <c r="G32" i="92"/>
  <c r="I97" i="92"/>
  <c r="I154" i="92"/>
  <c r="I152" i="92"/>
  <c r="I83" i="92"/>
  <c r="G24" i="92"/>
  <c r="I90" i="92"/>
  <c r="I142" i="92"/>
  <c r="I129" i="92"/>
  <c r="I81" i="92"/>
  <c r="G20" i="92"/>
  <c r="I89" i="92"/>
  <c r="I180" i="92"/>
  <c r="I125" i="92"/>
  <c r="I71" i="92"/>
  <c r="I104" i="92"/>
  <c r="I80" i="92"/>
  <c r="I173" i="92"/>
  <c r="I123" i="92"/>
  <c r="I174" i="92"/>
  <c r="I70" i="92"/>
  <c r="I65" i="92"/>
  <c r="I171" i="92"/>
  <c r="I113" i="92"/>
  <c r="I164" i="92"/>
  <c r="I67" i="92"/>
  <c r="I63" i="92"/>
  <c r="I161" i="92"/>
  <c r="I111" i="92"/>
  <c r="I127" i="92"/>
  <c r="G62" i="92"/>
  <c r="G56" i="92"/>
  <c r="I159" i="92"/>
  <c r="I130" i="92"/>
  <c r="I115" i="92"/>
  <c r="G54" i="92"/>
  <c r="G48" i="92"/>
  <c r="I149" i="92"/>
  <c r="I121" i="92"/>
  <c r="I103" i="92"/>
  <c r="G46" i="92"/>
  <c r="G40" i="92"/>
  <c r="I147" i="92"/>
  <c r="I109" i="92"/>
  <c r="I138" i="92"/>
  <c r="G18" i="92"/>
  <c r="G10" i="92"/>
  <c r="G60" i="92"/>
  <c r="I137" i="92"/>
  <c r="I176" i="92"/>
  <c r="I133" i="92"/>
  <c r="I82" i="92"/>
  <c r="I118" i="92"/>
  <c r="G52" i="92"/>
  <c r="I135" i="92"/>
  <c r="I128" i="92"/>
  <c r="I122" i="92"/>
  <c r="I79" i="92"/>
  <c r="I102" i="92"/>
  <c r="D301" i="92"/>
  <c r="I66" i="92"/>
  <c r="I179" i="92"/>
  <c r="I126" i="92"/>
  <c r="I120" i="92"/>
  <c r="I75" i="92"/>
  <c r="I101" i="92"/>
  <c r="I68" i="92"/>
  <c r="I169" i="92"/>
  <c r="I116" i="92"/>
  <c r="I110" i="92"/>
  <c r="I73" i="92"/>
  <c r="I92" i="92"/>
  <c r="I182" i="92"/>
  <c r="I157" i="92"/>
  <c r="I114" i="92"/>
  <c r="I108" i="92"/>
  <c r="I69" i="92"/>
  <c r="G38" i="92"/>
  <c r="I175" i="92"/>
  <c r="I145" i="92"/>
  <c r="I150" i="92"/>
  <c r="I98" i="92"/>
  <c r="G44" i="92"/>
  <c r="G30" i="92"/>
  <c r="I163" i="92"/>
  <c r="I181" i="92"/>
  <c r="I140" i="92"/>
  <c r="I96" i="92"/>
  <c r="G36" i="92"/>
  <c r="G22" i="92"/>
  <c r="I151" i="92"/>
  <c r="I172" i="92"/>
  <c r="I124" i="92"/>
  <c r="I86" i="92"/>
  <c r="G28" i="92"/>
  <c r="I139" i="92"/>
  <c r="I160" i="92"/>
  <c r="I112" i="92"/>
  <c r="I84" i="92"/>
  <c r="G16" i="92"/>
  <c r="I170" i="92"/>
  <c r="I148" i="92"/>
  <c r="I100" i="92"/>
  <c r="I74" i="92"/>
  <c r="I94" i="92"/>
  <c r="I168" i="92"/>
  <c r="I136" i="92"/>
  <c r="I88" i="92"/>
  <c r="I72" i="92"/>
  <c r="I91" i="92"/>
  <c r="I158" i="92"/>
  <c r="I177" i="92"/>
  <c r="I76" i="92"/>
  <c r="I64" i="92"/>
  <c r="I87" i="92"/>
  <c r="I156" i="92"/>
  <c r="I167" i="92"/>
  <c r="I131" i="92"/>
  <c r="G50" i="92"/>
  <c r="I85" i="92"/>
  <c r="I119" i="92"/>
  <c r="G42" i="92"/>
  <c r="I78" i="92"/>
  <c r="I146" i="92"/>
  <c r="I165" i="92"/>
  <c r="E45" i="94"/>
  <c r="D45" i="94" s="1"/>
  <c r="D235" i="94" s="1"/>
  <c r="E278" i="74"/>
  <c r="E236" i="83"/>
  <c r="E248" i="84"/>
  <c r="E278" i="89"/>
  <c r="E286" i="83"/>
  <c r="E245" i="89"/>
  <c r="E231" i="82"/>
  <c r="E267" i="82"/>
  <c r="E243" i="84"/>
  <c r="E251" i="88"/>
  <c r="E287" i="85"/>
  <c r="E251" i="87"/>
  <c r="E239" i="85"/>
  <c r="E284" i="88"/>
  <c r="E290" i="87"/>
  <c r="E250" i="83"/>
  <c r="E248" i="81"/>
  <c r="E250" i="81"/>
  <c r="D301" i="94"/>
  <c r="I132" i="94"/>
  <c r="I123" i="94"/>
  <c r="I105" i="94"/>
  <c r="G60" i="94"/>
  <c r="I136" i="94"/>
  <c r="I178" i="94"/>
  <c r="I113" i="94"/>
  <c r="I115" i="94"/>
  <c r="G52" i="94"/>
  <c r="I82" i="94"/>
  <c r="I166" i="94"/>
  <c r="I111" i="94"/>
  <c r="I89" i="94"/>
  <c r="I145" i="94"/>
  <c r="G32" i="94"/>
  <c r="I180" i="94"/>
  <c r="I101" i="94"/>
  <c r="I87" i="94"/>
  <c r="I122" i="94"/>
  <c r="G24" i="94"/>
  <c r="I173" i="94"/>
  <c r="I99" i="94"/>
  <c r="I77" i="94"/>
  <c r="I88" i="94"/>
  <c r="G20" i="94"/>
  <c r="I171" i="94"/>
  <c r="I177" i="94"/>
  <c r="I75" i="94"/>
  <c r="I76" i="94"/>
  <c r="I79" i="94"/>
  <c r="I161" i="94"/>
  <c r="I167" i="94"/>
  <c r="I65" i="94"/>
  <c r="I64" i="94"/>
  <c r="G18" i="94"/>
  <c r="I159" i="94"/>
  <c r="I155" i="94"/>
  <c r="I63" i="94"/>
  <c r="G50" i="94"/>
  <c r="I179" i="94"/>
  <c r="I149" i="94"/>
  <c r="I121" i="94"/>
  <c r="G56" i="94"/>
  <c r="I165" i="94"/>
  <c r="I108" i="94"/>
  <c r="I147" i="94"/>
  <c r="I109" i="94"/>
  <c r="G48" i="94"/>
  <c r="I129" i="94"/>
  <c r="I94" i="94"/>
  <c r="I137" i="94"/>
  <c r="I169" i="94"/>
  <c r="G40" i="94"/>
  <c r="I95" i="94"/>
  <c r="G46" i="94"/>
  <c r="I135" i="94"/>
  <c r="I131" i="94"/>
  <c r="I142" i="94"/>
  <c r="I93" i="94"/>
  <c r="G34" i="94"/>
  <c r="I176" i="94"/>
  <c r="I130" i="94"/>
  <c r="I138" i="94"/>
  <c r="I83" i="94"/>
  <c r="G28" i="94"/>
  <c r="I157" i="94"/>
  <c r="I128" i="94"/>
  <c r="I120" i="94"/>
  <c r="I81" i="94"/>
  <c r="G16" i="94"/>
  <c r="I154" i="94"/>
  <c r="I126" i="94"/>
  <c r="I110" i="94"/>
  <c r="I71" i="94"/>
  <c r="I91" i="94"/>
  <c r="I150" i="94"/>
  <c r="I116" i="94"/>
  <c r="I98" i="94"/>
  <c r="I69" i="94"/>
  <c r="G54" i="94"/>
  <c r="I182" i="94"/>
  <c r="I148" i="94"/>
  <c r="I114" i="94"/>
  <c r="I97" i="94"/>
  <c r="I96" i="94"/>
  <c r="G26" i="94"/>
  <c r="I175" i="94"/>
  <c r="I141" i="94"/>
  <c r="I104" i="94"/>
  <c r="I85" i="94"/>
  <c r="I86" i="94"/>
  <c r="G58" i="94"/>
  <c r="I163" i="94"/>
  <c r="I140" i="94"/>
  <c r="I102" i="94"/>
  <c r="I73" i="94"/>
  <c r="I84" i="94"/>
  <c r="G10" i="94"/>
  <c r="I151" i="94"/>
  <c r="I118" i="94"/>
  <c r="I174" i="94"/>
  <c r="G38" i="94"/>
  <c r="I74" i="94"/>
  <c r="G62" i="94"/>
  <c r="I139" i="94"/>
  <c r="I106" i="94"/>
  <c r="I164" i="94"/>
  <c r="I133" i="94"/>
  <c r="I72" i="94"/>
  <c r="G42" i="94"/>
  <c r="I170" i="94"/>
  <c r="I172" i="94"/>
  <c r="I124" i="94"/>
  <c r="I127" i="94"/>
  <c r="G44" i="94"/>
  <c r="G30" i="94"/>
  <c r="I168" i="94"/>
  <c r="I162" i="94"/>
  <c r="I112" i="94"/>
  <c r="I92" i="94"/>
  <c r="G36" i="94"/>
  <c r="G22" i="94"/>
  <c r="I158" i="94"/>
  <c r="I160" i="94"/>
  <c r="I100" i="94"/>
  <c r="I90" i="94"/>
  <c r="I103" i="94"/>
  <c r="I156" i="94"/>
  <c r="I153" i="94"/>
  <c r="I181" i="94"/>
  <c r="I80" i="94"/>
  <c r="I70" i="94"/>
  <c r="I146" i="94"/>
  <c r="I152" i="94"/>
  <c r="I119" i="94"/>
  <c r="I78" i="94"/>
  <c r="I67" i="94"/>
  <c r="I144" i="94"/>
  <c r="I143" i="94"/>
  <c r="I117" i="94"/>
  <c r="I68" i="94"/>
  <c r="G14" i="94"/>
  <c r="I134" i="94"/>
  <c r="I125" i="94"/>
  <c r="I107" i="94"/>
  <c r="I66" i="94"/>
  <c r="G12" i="94"/>
  <c r="E214" i="92"/>
  <c r="D214" i="92" s="1"/>
  <c r="D290" i="92" s="1"/>
  <c r="E278" i="83"/>
  <c r="E72" i="93"/>
  <c r="D72" i="93" s="1"/>
  <c r="D241" i="93" s="1"/>
  <c r="E243" i="85"/>
  <c r="E250" i="85"/>
  <c r="E242" i="81"/>
  <c r="E256" i="88"/>
  <c r="E273" i="81"/>
  <c r="E238" i="81"/>
  <c r="E277" i="82"/>
  <c r="E230" i="87"/>
  <c r="E277" i="84"/>
  <c r="E247" i="85"/>
  <c r="E249" i="84"/>
  <c r="E277" i="88"/>
  <c r="E271" i="82"/>
  <c r="E248" i="87"/>
  <c r="E284" i="81"/>
  <c r="E243" i="74"/>
  <c r="E132" i="93"/>
  <c r="D132" i="93" s="1"/>
  <c r="D261" i="93" s="1"/>
  <c r="E269" i="85"/>
  <c r="E249" i="85"/>
  <c r="E272" i="83"/>
  <c r="E246" i="81"/>
  <c r="E253" i="74"/>
  <c r="E266" i="82"/>
  <c r="E275" i="91"/>
  <c r="E276" i="81"/>
  <c r="E234" i="85"/>
  <c r="E276" i="83"/>
  <c r="E255" i="87"/>
  <c r="E275" i="81"/>
  <c r="E270" i="89"/>
  <c r="E273" i="84"/>
  <c r="E283" i="82"/>
  <c r="E234" i="74"/>
  <c r="E214" i="94"/>
  <c r="D214" i="94" s="1"/>
  <c r="D290" i="94" s="1"/>
  <c r="E285" i="82"/>
  <c r="E277" i="89"/>
  <c r="E246" i="88"/>
  <c r="E284" i="84"/>
  <c r="E264" i="83"/>
  <c r="E260" i="88"/>
  <c r="E286" i="91"/>
  <c r="E240" i="74"/>
  <c r="E233" i="82"/>
  <c r="E244" i="82"/>
  <c r="E239" i="87"/>
  <c r="E258" i="88"/>
  <c r="E258" i="74"/>
  <c r="E257" i="89"/>
  <c r="E246" i="83"/>
  <c r="E245" i="84"/>
  <c r="E183" i="94"/>
  <c r="D183" i="94" s="1"/>
  <c r="D278" i="94" s="1"/>
  <c r="E262" i="85"/>
  <c r="E283" i="88"/>
  <c r="E242" i="91"/>
  <c r="E279" i="83"/>
  <c r="E233" i="83"/>
  <c r="E238" i="82"/>
  <c r="E237" i="88"/>
  <c r="E273" i="88"/>
  <c r="E259" i="74"/>
  <c r="E259" i="89"/>
  <c r="D229" i="81"/>
  <c r="E229" i="81" s="1"/>
  <c r="E286" i="81"/>
  <c r="E286" i="88"/>
  <c r="E261" i="81"/>
  <c r="E273" i="74"/>
  <c r="E247" i="88"/>
  <c r="E235" i="74"/>
  <c r="E233" i="88"/>
  <c r="E245" i="82"/>
  <c r="E236" i="84"/>
  <c r="E280" i="82"/>
  <c r="D188" i="94"/>
  <c r="D280" i="94" s="1"/>
  <c r="E243" i="91"/>
  <c r="E270" i="91"/>
  <c r="E273" i="91"/>
  <c r="E263" i="87"/>
  <c r="E267" i="87"/>
  <c r="E246" i="82"/>
  <c r="E240" i="87"/>
  <c r="E266" i="91"/>
  <c r="E245" i="74"/>
  <c r="E284" i="89"/>
  <c r="E252" i="81"/>
  <c r="E284" i="91"/>
  <c r="E266" i="81"/>
  <c r="E263" i="84"/>
  <c r="E284" i="87"/>
  <c r="E252" i="91"/>
  <c r="E261" i="88"/>
  <c r="E262" i="88"/>
  <c r="E262" i="74"/>
  <c r="E257" i="82"/>
  <c r="E192" i="94"/>
  <c r="D192" i="94" s="1"/>
  <c r="D284" i="94" s="1"/>
  <c r="E75" i="94"/>
  <c r="D75" i="94" s="1"/>
  <c r="D242" i="94" s="1"/>
  <c r="E256" i="84"/>
  <c r="E250" i="91"/>
  <c r="E285" i="85"/>
  <c r="E256" i="91"/>
  <c r="E246" i="85"/>
  <c r="E258" i="91"/>
  <c r="E256" i="83"/>
  <c r="E270" i="81"/>
  <c r="E265" i="88"/>
  <c r="E260" i="83"/>
  <c r="E286" i="85"/>
  <c r="E255" i="83"/>
  <c r="E268" i="85"/>
  <c r="E262" i="91"/>
  <c r="E259" i="85"/>
  <c r="E260" i="87"/>
  <c r="E275" i="84"/>
  <c r="E250" i="74"/>
  <c r="E191" i="93"/>
  <c r="D191" i="93" s="1"/>
  <c r="D283" i="93" s="1"/>
  <c r="D187" i="93"/>
  <c r="D279" i="93" s="1"/>
  <c r="E274" i="84"/>
  <c r="E249" i="91"/>
  <c r="E256" i="87"/>
  <c r="E280" i="85"/>
  <c r="E268" i="82"/>
  <c r="E276" i="74"/>
  <c r="E264" i="89"/>
  <c r="E243" i="81"/>
  <c r="E249" i="83"/>
  <c r="E254" i="83"/>
  <c r="E233" i="81"/>
  <c r="E290" i="84"/>
  <c r="E290" i="85"/>
  <c r="E231" i="81"/>
  <c r="E285" i="81"/>
  <c r="E138" i="92"/>
  <c r="D138" i="92" s="1"/>
  <c r="D263" i="92" s="1"/>
  <c r="E9" i="92"/>
  <c r="D9" i="92" s="1"/>
  <c r="E258" i="83"/>
  <c r="E264" i="88"/>
  <c r="E280" i="89"/>
  <c r="E286" i="82"/>
  <c r="E247" i="89"/>
  <c r="E267" i="81"/>
  <c r="E244" i="85"/>
  <c r="E270" i="88"/>
  <c r="E243" i="87"/>
  <c r="E277" i="74"/>
  <c r="E290" i="88"/>
  <c r="E267" i="74"/>
  <c r="E266" i="89"/>
  <c r="E254" i="81"/>
  <c r="E277" i="83"/>
  <c r="E257" i="85"/>
  <c r="E264" i="87"/>
  <c r="E284" i="85"/>
  <c r="E273" i="82"/>
  <c r="E272" i="87"/>
  <c r="E269" i="89"/>
  <c r="E275" i="88"/>
  <c r="E253" i="89"/>
  <c r="E242" i="74"/>
  <c r="E246" i="84"/>
  <c r="E242" i="88"/>
  <c r="E241" i="85"/>
  <c r="E235" i="83"/>
  <c r="E283" i="89"/>
  <c r="E274" i="89"/>
  <c r="E241" i="84"/>
  <c r="E241" i="81"/>
  <c r="E257" i="81"/>
  <c r="E238" i="83"/>
  <c r="E283" i="83"/>
  <c r="E249" i="81"/>
  <c r="H168" i="92"/>
  <c r="H135" i="92"/>
  <c r="H162" i="92"/>
  <c r="V162" i="92" s="1"/>
  <c r="H114" i="92"/>
  <c r="H63" i="92"/>
  <c r="H120" i="92"/>
  <c r="H87" i="92"/>
  <c r="H72" i="92"/>
  <c r="E290" i="91"/>
  <c r="E272" i="91"/>
  <c r="E267" i="91"/>
  <c r="E239" i="88"/>
  <c r="E244" i="88"/>
  <c r="E256" i="89"/>
  <c r="E276" i="89"/>
  <c r="E237" i="82"/>
  <c r="E253" i="87"/>
  <c r="E253" i="85"/>
  <c r="E280" i="87"/>
  <c r="E269" i="88"/>
  <c r="E273" i="87"/>
  <c r="E250" i="89"/>
  <c r="E255" i="74"/>
  <c r="E235" i="85"/>
  <c r="E280" i="88"/>
  <c r="E266" i="85"/>
  <c r="E265" i="81"/>
  <c r="E286" i="74"/>
  <c r="H55" i="92"/>
  <c r="H51" i="92"/>
  <c r="H53" i="92"/>
  <c r="H19" i="92"/>
  <c r="H183" i="92"/>
  <c r="H17" i="92"/>
  <c r="H141" i="92"/>
  <c r="H191" i="92"/>
  <c r="H147" i="92"/>
  <c r="H174" i="92"/>
  <c r="H111" i="92"/>
  <c r="H43" i="92"/>
  <c r="H153" i="92"/>
  <c r="H180" i="92"/>
  <c r="H159" i="92"/>
  <c r="H187" i="92"/>
  <c r="H189" i="92" s="1"/>
  <c r="H126" i="92"/>
  <c r="H78" i="92"/>
  <c r="H132" i="92"/>
  <c r="H105" i="92"/>
  <c r="H27" i="92"/>
  <c r="H29" i="92"/>
  <c r="H39" i="92"/>
  <c r="H15" i="92"/>
  <c r="H41" i="92"/>
  <c r="H84" i="92"/>
  <c r="H31" i="92"/>
  <c r="H93" i="92"/>
  <c r="H99" i="92"/>
  <c r="E258" i="89"/>
  <c r="D229" i="87"/>
  <c r="E229" i="87" s="1"/>
  <c r="E285" i="87"/>
  <c r="E283" i="87"/>
  <c r="E279" i="87"/>
  <c r="E286" i="87"/>
  <c r="E287" i="87"/>
  <c r="E278" i="87"/>
  <c r="E272" i="88"/>
  <c r="E261" i="87"/>
  <c r="E230" i="88"/>
  <c r="E262" i="87"/>
  <c r="E239" i="74"/>
  <c r="E272" i="85"/>
  <c r="E271" i="84"/>
  <c r="E252" i="85"/>
  <c r="E287" i="83"/>
  <c r="E252" i="82"/>
  <c r="E241" i="87"/>
  <c r="E238" i="87"/>
  <c r="E242" i="83"/>
  <c r="E265" i="84"/>
  <c r="E243" i="82"/>
  <c r="E261" i="74"/>
  <c r="E280" i="74"/>
  <c r="E198" i="93"/>
  <c r="D198" i="93" s="1"/>
  <c r="D286" i="93" s="1"/>
  <c r="E15" i="94"/>
  <c r="D15" i="94" s="1"/>
  <c r="E285" i="91"/>
  <c r="E246" i="89"/>
  <c r="E262" i="84"/>
  <c r="E274" i="85"/>
  <c r="E236" i="88"/>
  <c r="E257" i="84"/>
  <c r="E265" i="91"/>
  <c r="E283" i="74"/>
  <c r="E251" i="82"/>
  <c r="E274" i="82"/>
  <c r="E240" i="85"/>
  <c r="E267" i="83"/>
  <c r="E230" i="84"/>
  <c r="E271" i="81"/>
  <c r="E236" i="87"/>
  <c r="E247" i="91"/>
  <c r="E268" i="74"/>
  <c r="E275" i="85"/>
  <c r="E237" i="84"/>
  <c r="E237" i="74"/>
  <c r="E247" i="83"/>
  <c r="D123" i="94"/>
  <c r="D258" i="94" s="1"/>
  <c r="E141" i="94"/>
  <c r="D141" i="94" s="1"/>
  <c r="D264" i="94" s="1"/>
  <c r="E268" i="89"/>
  <c r="E235" i="87"/>
  <c r="E274" i="81"/>
  <c r="E261" i="84"/>
  <c r="E231" i="88"/>
  <c r="E261" i="91"/>
  <c r="E230" i="74"/>
  <c r="E260" i="81"/>
  <c r="E266" i="88"/>
  <c r="E235" i="81"/>
  <c r="E259" i="81"/>
  <c r="E268" i="81"/>
  <c r="E265" i="83"/>
  <c r="E268" i="91"/>
  <c r="E264" i="91"/>
  <c r="E241" i="88"/>
  <c r="E237" i="81"/>
  <c r="E263" i="83"/>
  <c r="E258" i="82"/>
  <c r="E285" i="74"/>
  <c r="E180" i="93"/>
  <c r="D180" i="93" s="1"/>
  <c r="D277" i="93" s="1"/>
  <c r="E117" i="94"/>
  <c r="D117" i="94" s="1"/>
  <c r="D256" i="94" s="1"/>
  <c r="E275" i="89"/>
  <c r="E242" i="85"/>
  <c r="E278" i="84"/>
  <c r="E280" i="84"/>
  <c r="E283" i="84"/>
  <c r="D229" i="84"/>
  <c r="E229" i="84" s="1"/>
  <c r="E285" i="84"/>
  <c r="E287" i="84"/>
  <c r="E286" i="84"/>
  <c r="E231" i="87"/>
  <c r="E238" i="91"/>
  <c r="E253" i="88"/>
  <c r="E263" i="88"/>
  <c r="E284" i="74"/>
  <c r="E263" i="85"/>
  <c r="E271" i="74"/>
  <c r="E259" i="82"/>
  <c r="E260" i="89"/>
  <c r="E253" i="84"/>
  <c r="E247" i="81"/>
  <c r="E248" i="89"/>
  <c r="E253" i="81"/>
  <c r="E287" i="82"/>
  <c r="E39" i="94"/>
  <c r="D39" i="94" s="1"/>
  <c r="D234" i="94" s="1"/>
  <c r="E57" i="92"/>
  <c r="D57" i="92" s="1"/>
  <c r="D237" i="92" s="1"/>
  <c r="E114" i="93"/>
  <c r="D114" i="93" s="1"/>
  <c r="D255" i="93" s="1"/>
  <c r="E275" i="87"/>
  <c r="E257" i="83"/>
  <c r="E257" i="87"/>
  <c r="E232" i="87"/>
  <c r="E250" i="87"/>
  <c r="E239" i="91"/>
  <c r="E233" i="85"/>
  <c r="E266" i="74"/>
  <c r="E269" i="74"/>
  <c r="E279" i="91"/>
  <c r="E264" i="84"/>
  <c r="E269" i="81"/>
  <c r="E240" i="88"/>
  <c r="E234" i="82"/>
  <c r="E259" i="83"/>
  <c r="E108" i="94"/>
  <c r="D108" i="94" s="1"/>
  <c r="D253" i="94" s="1"/>
  <c r="E153" i="93"/>
  <c r="D153" i="93" s="1"/>
  <c r="D268" i="93" s="1"/>
  <c r="E262" i="82"/>
  <c r="E268" i="87"/>
  <c r="E245" i="85"/>
  <c r="E265" i="89"/>
  <c r="E276" i="91"/>
  <c r="E257" i="91"/>
  <c r="E231" i="83"/>
  <c r="E266" i="84"/>
  <c r="E233" i="74"/>
  <c r="E270" i="87"/>
  <c r="E261" i="89"/>
  <c r="E269" i="83"/>
  <c r="E231" i="74"/>
  <c r="E243" i="88"/>
  <c r="E248" i="82"/>
  <c r="E255" i="81"/>
  <c r="E33" i="94"/>
  <c r="D33" i="94" s="1"/>
  <c r="D233" i="94" s="1"/>
  <c r="E245" i="83"/>
  <c r="E249" i="89"/>
  <c r="E270" i="85"/>
  <c r="E245" i="87"/>
  <c r="E262" i="89"/>
  <c r="E263" i="91"/>
  <c r="E233" i="84"/>
  <c r="E240" i="82"/>
  <c r="E261" i="82"/>
  <c r="E270" i="74"/>
  <c r="E248" i="85"/>
  <c r="E268" i="88"/>
  <c r="E265" i="85"/>
  <c r="E287" i="74"/>
  <c r="E232" i="85"/>
  <c r="E245" i="81"/>
  <c r="E290" i="74"/>
  <c r="E189" i="92" l="1"/>
  <c r="D189" i="92"/>
  <c r="D281" i="92" s="1"/>
  <c r="E189" i="93"/>
  <c r="D189" i="93"/>
  <c r="D281" i="93" s="1"/>
  <c r="E202" i="92"/>
  <c r="D202" i="92" s="1"/>
  <c r="D287" i="92" s="1"/>
  <c r="E206" i="92"/>
  <c r="D206" i="92" s="1"/>
  <c r="D288" i="92" s="1"/>
  <c r="E210" i="92"/>
  <c r="D210" i="92" s="1"/>
  <c r="D289" i="92" s="1"/>
  <c r="E232" i="94"/>
  <c r="D229" i="92"/>
  <c r="E229" i="92" s="1"/>
  <c r="D230" i="94"/>
  <c r="E230" i="94" s="1"/>
  <c r="E236" i="94"/>
  <c r="E237" i="94"/>
  <c r="E141" i="92"/>
  <c r="D141" i="92" s="1"/>
  <c r="D264" i="92" s="1"/>
  <c r="E235" i="94"/>
  <c r="E192" i="93"/>
  <c r="D192" i="93" s="1"/>
  <c r="D284" i="93" s="1"/>
  <c r="E174" i="92"/>
  <c r="D174" i="92" s="1"/>
  <c r="D275" i="92" s="1"/>
  <c r="E191" i="92"/>
  <c r="D191" i="92" s="1"/>
  <c r="D283" i="92" s="1"/>
  <c r="E9" i="93"/>
  <c r="D9" i="93" s="1"/>
  <c r="E282" i="93" s="1"/>
  <c r="E72" i="92"/>
  <c r="D72" i="92" s="1"/>
  <c r="D241" i="92" s="1"/>
  <c r="E87" i="92"/>
  <c r="D87" i="92" s="1"/>
  <c r="D246" i="92" s="1"/>
  <c r="E69" i="93"/>
  <c r="D69" i="93" s="1"/>
  <c r="D240" i="93" s="1"/>
  <c r="E153" i="92"/>
  <c r="D153" i="92" s="1"/>
  <c r="D268" i="92" s="1"/>
  <c r="E183" i="92"/>
  <c r="D183" i="92" s="1"/>
  <c r="D278" i="92" s="1"/>
  <c r="E120" i="92"/>
  <c r="D120" i="92" s="1"/>
  <c r="D257" i="92" s="1"/>
  <c r="E156" i="93"/>
  <c r="D156" i="93" s="1"/>
  <c r="D269" i="93" s="1"/>
  <c r="E63" i="92"/>
  <c r="D63" i="92" s="1"/>
  <c r="D238" i="92" s="1"/>
  <c r="E21" i="93"/>
  <c r="D21" i="93" s="1"/>
  <c r="D231" i="93" s="1"/>
  <c r="E114" i="92"/>
  <c r="D114" i="92" s="1"/>
  <c r="D255" i="92" s="1"/>
  <c r="E66" i="93"/>
  <c r="D66" i="93" s="1"/>
  <c r="D239" i="93" s="1"/>
  <c r="E188" i="93"/>
  <c r="D188" i="93" s="1"/>
  <c r="D280" i="93" s="1"/>
  <c r="E51" i="92"/>
  <c r="D51" i="92" s="1"/>
  <c r="D236" i="92" s="1"/>
  <c r="E162" i="92"/>
  <c r="D162" i="92" s="1"/>
  <c r="D271" i="92" s="1"/>
  <c r="E234" i="94"/>
  <c r="E99" i="92"/>
  <c r="D99" i="92" s="1"/>
  <c r="D250" i="92" s="1"/>
  <c r="E135" i="92"/>
  <c r="D135" i="92" s="1"/>
  <c r="D262" i="92" s="1"/>
  <c r="E87" i="94"/>
  <c r="D87" i="94" s="1"/>
  <c r="D246" i="94" s="1"/>
  <c r="E165" i="93"/>
  <c r="D165" i="93" s="1"/>
  <c r="D272" i="93" s="1"/>
  <c r="E93" i="92"/>
  <c r="D93" i="92" s="1"/>
  <c r="D248" i="92" s="1"/>
  <c r="E168" i="92"/>
  <c r="D168" i="92" s="1"/>
  <c r="D273" i="92" s="1"/>
  <c r="E114" i="94"/>
  <c r="D114" i="94" s="1"/>
  <c r="D255" i="94" s="1"/>
  <c r="E162" i="94"/>
  <c r="D162" i="94" s="1"/>
  <c r="D271" i="94" s="1"/>
  <c r="E96" i="93"/>
  <c r="D96" i="93" s="1"/>
  <c r="D249" i="93" s="1"/>
  <c r="E177" i="93"/>
  <c r="D177" i="93" s="1"/>
  <c r="D276" i="93" s="1"/>
  <c r="E84" i="92"/>
  <c r="D84" i="92" s="1"/>
  <c r="D245" i="92" s="1"/>
  <c r="E120" i="94"/>
  <c r="D120" i="94" s="1"/>
  <c r="D257" i="94" s="1"/>
  <c r="E117" i="93"/>
  <c r="D117" i="93" s="1"/>
  <c r="D256" i="93" s="1"/>
  <c r="E233" i="94"/>
  <c r="E168" i="94"/>
  <c r="D168" i="94" s="1"/>
  <c r="D273" i="94" s="1"/>
  <c r="E150" i="93"/>
  <c r="D150" i="93" s="1"/>
  <c r="D267" i="93" s="1"/>
  <c r="E15" i="92"/>
  <c r="D15" i="92" s="1"/>
  <c r="E282" i="92" s="1"/>
  <c r="E72" i="94"/>
  <c r="D72" i="94" s="1"/>
  <c r="D241" i="94" s="1"/>
  <c r="E171" i="93"/>
  <c r="D171" i="93" s="1"/>
  <c r="D274" i="93" s="1"/>
  <c r="E39" i="92"/>
  <c r="D39" i="92" s="1"/>
  <c r="D234" i="92" s="1"/>
  <c r="E135" i="94"/>
  <c r="D135" i="94" s="1"/>
  <c r="D262" i="94" s="1"/>
  <c r="E45" i="93"/>
  <c r="D45" i="93" s="1"/>
  <c r="D235" i="93" s="1"/>
  <c r="E63" i="94"/>
  <c r="D63" i="94" s="1"/>
  <c r="E282" i="94" s="1"/>
  <c r="E102" i="93"/>
  <c r="D102" i="93" s="1"/>
  <c r="D251" i="93" s="1"/>
  <c r="E105" i="92"/>
  <c r="D105" i="92" s="1"/>
  <c r="D252" i="92" s="1"/>
  <c r="E231" i="94"/>
  <c r="E75" i="93"/>
  <c r="D75" i="93" s="1"/>
  <c r="D242" i="93" s="1"/>
  <c r="E132" i="92"/>
  <c r="D132" i="92" s="1"/>
  <c r="D261" i="92" s="1"/>
  <c r="E90" i="93"/>
  <c r="D90" i="93" s="1"/>
  <c r="D247" i="93" s="1"/>
  <c r="E78" i="92"/>
  <c r="D78" i="92" s="1"/>
  <c r="D243" i="92" s="1"/>
  <c r="E129" i="93"/>
  <c r="D129" i="93" s="1"/>
  <c r="D260" i="93" s="1"/>
  <c r="E126" i="92"/>
  <c r="D126" i="92" s="1"/>
  <c r="D259" i="92" s="1"/>
  <c r="E33" i="93"/>
  <c r="D33" i="93" s="1"/>
  <c r="D233" i="93" s="1"/>
  <c r="E27" i="92"/>
  <c r="D27" i="92" s="1"/>
  <c r="D232" i="92" s="1"/>
  <c r="E187" i="92"/>
  <c r="D187" i="92" s="1"/>
  <c r="D279" i="92" s="1"/>
  <c r="E144" i="93"/>
  <c r="D144" i="93" s="1"/>
  <c r="D265" i="93" s="1"/>
  <c r="E180" i="92"/>
  <c r="D180" i="92" s="1"/>
  <c r="D277" i="92" s="1"/>
  <c r="E81" i="93"/>
  <c r="D81" i="93" s="1"/>
  <c r="D244" i="93" s="1"/>
  <c r="E57" i="93"/>
  <c r="D57" i="93" s="1"/>
  <c r="D237" i="93" s="1"/>
  <c r="E111" i="92"/>
  <c r="D111" i="92" s="1"/>
  <c r="D254" i="92" s="1"/>
  <c r="E123" i="93"/>
  <c r="D123" i="93" s="1"/>
  <c r="D258" i="93" s="1"/>
  <c r="E108" i="93"/>
  <c r="D108" i="93" s="1"/>
  <c r="D253" i="93" s="1"/>
  <c r="E159" i="92"/>
  <c r="D159" i="92" s="1"/>
  <c r="D270" i="92" s="1"/>
  <c r="E147" i="92"/>
  <c r="D147" i="92" s="1"/>
  <c r="D266" i="92" s="1"/>
  <c r="E138" i="93"/>
  <c r="D138" i="93" s="1"/>
  <c r="D263" i="93" s="1"/>
  <c r="E281" i="93" l="1"/>
  <c r="E281" i="92"/>
  <c r="E231" i="93"/>
  <c r="E281" i="94"/>
  <c r="E289" i="92"/>
  <c r="E289" i="93"/>
  <c r="E288" i="92"/>
  <c r="E289" i="94"/>
  <c r="E288" i="93"/>
  <c r="E288" i="94"/>
  <c r="E246" i="94"/>
  <c r="E246" i="92"/>
  <c r="E259" i="92"/>
  <c r="E255" i="94"/>
  <c r="E252" i="92"/>
  <c r="E258" i="93"/>
  <c r="E232" i="92"/>
  <c r="E239" i="93"/>
  <c r="E240" i="93"/>
  <c r="E243" i="92"/>
  <c r="E272" i="93"/>
  <c r="E254" i="92"/>
  <c r="E273" i="94"/>
  <c r="E235" i="93"/>
  <c r="E269" i="93"/>
  <c r="E250" i="92"/>
  <c r="E275" i="92"/>
  <c r="D230" i="92"/>
  <c r="E230" i="92" s="1"/>
  <c r="E269" i="92"/>
  <c r="E240" i="92"/>
  <c r="E256" i="92"/>
  <c r="E247" i="92"/>
  <c r="E231" i="92"/>
  <c r="E233" i="92"/>
  <c r="E265" i="92"/>
  <c r="E258" i="92"/>
  <c r="E274" i="92"/>
  <c r="E267" i="92"/>
  <c r="E237" i="92"/>
  <c r="E287" i="92"/>
  <c r="E242" i="92"/>
  <c r="E253" i="92"/>
  <c r="E244" i="92"/>
  <c r="E272" i="92"/>
  <c r="E249" i="92"/>
  <c r="E239" i="92"/>
  <c r="E284" i="92"/>
  <c r="E286" i="92"/>
  <c r="E290" i="92"/>
  <c r="E285" i="92"/>
  <c r="E280" i="92"/>
  <c r="E276" i="92"/>
  <c r="E260" i="92"/>
  <c r="E251" i="92"/>
  <c r="E263" i="92"/>
  <c r="E235" i="92"/>
  <c r="E256" i="93"/>
  <c r="E257" i="92"/>
  <c r="E278" i="92"/>
  <c r="E244" i="93"/>
  <c r="E271" i="92"/>
  <c r="D238" i="94"/>
  <c r="E238" i="94" s="1"/>
  <c r="E283" i="94"/>
  <c r="E256" i="94"/>
  <c r="E269" i="94"/>
  <c r="E240" i="94"/>
  <c r="E284" i="94"/>
  <c r="E287" i="94"/>
  <c r="E276" i="94"/>
  <c r="E279" i="94"/>
  <c r="E266" i="94"/>
  <c r="E247" i="94"/>
  <c r="E264" i="94"/>
  <c r="E286" i="94"/>
  <c r="E278" i="94"/>
  <c r="E249" i="94"/>
  <c r="E270" i="94"/>
  <c r="E252" i="94"/>
  <c r="E245" i="94"/>
  <c r="E250" i="94"/>
  <c r="E285" i="94"/>
  <c r="E275" i="94"/>
  <c r="E274" i="94"/>
  <c r="E244" i="94"/>
  <c r="E277" i="94"/>
  <c r="E280" i="94"/>
  <c r="E242" i="94"/>
  <c r="E260" i="94"/>
  <c r="E290" i="94"/>
  <c r="E267" i="94"/>
  <c r="E239" i="94"/>
  <c r="E265" i="94"/>
  <c r="E259" i="94"/>
  <c r="E248" i="94"/>
  <c r="E268" i="94"/>
  <c r="E251" i="94"/>
  <c r="E263" i="94"/>
  <c r="E261" i="94"/>
  <c r="E258" i="94"/>
  <c r="E254" i="94"/>
  <c r="E272" i="94"/>
  <c r="E253" i="94"/>
  <c r="E243" i="94"/>
  <c r="E273" i="92"/>
  <c r="D229" i="93"/>
  <c r="E229" i="93" s="1"/>
  <c r="E273" i="93"/>
  <c r="E266" i="93"/>
  <c r="E246" i="93"/>
  <c r="E271" i="93"/>
  <c r="E250" i="93"/>
  <c r="E262" i="93"/>
  <c r="E275" i="93"/>
  <c r="E278" i="93"/>
  <c r="E252" i="93"/>
  <c r="E245" i="93"/>
  <c r="E236" i="93"/>
  <c r="E243" i="93"/>
  <c r="E248" i="93"/>
  <c r="E285" i="93"/>
  <c r="E232" i="93"/>
  <c r="E290" i="93"/>
  <c r="E238" i="93"/>
  <c r="E259" i="93"/>
  <c r="E234" i="93"/>
  <c r="E264" i="93"/>
  <c r="E257" i="93"/>
  <c r="E270" i="93"/>
  <c r="E287" i="93"/>
  <c r="E286" i="93"/>
  <c r="E279" i="93"/>
  <c r="E255" i="93"/>
  <c r="E254" i="93"/>
  <c r="E277" i="93"/>
  <c r="E230" i="93"/>
  <c r="E241" i="93"/>
  <c r="E283" i="93"/>
  <c r="E268" i="93"/>
  <c r="E261" i="93"/>
  <c r="E264" i="92"/>
  <c r="E247" i="93"/>
  <c r="E261" i="92"/>
  <c r="E268" i="92"/>
  <c r="E277" i="92"/>
  <c r="E280" i="93"/>
  <c r="E257" i="94"/>
  <c r="E266" i="92"/>
  <c r="E279" i="92"/>
  <c r="E245" i="92"/>
  <c r="E267" i="93"/>
  <c r="E260" i="93"/>
  <c r="E251" i="93"/>
  <c r="E253" i="93"/>
  <c r="E236" i="92"/>
  <c r="E248" i="92"/>
  <c r="E283" i="92"/>
  <c r="E249" i="93"/>
  <c r="E265" i="93"/>
  <c r="E284" i="93"/>
  <c r="E271" i="94"/>
  <c r="E262" i="94"/>
  <c r="E233" i="93"/>
  <c r="E234" i="92"/>
  <c r="E263" i="93"/>
  <c r="E237" i="93"/>
  <c r="E242" i="93"/>
  <c r="E255" i="92"/>
  <c r="E262" i="92"/>
  <c r="E274" i="93"/>
  <c r="E238" i="92"/>
  <c r="E270" i="92"/>
  <c r="E241" i="92"/>
  <c r="E241" i="94"/>
  <c r="E276" i="93"/>
  <c r="V108" i="84" l="1"/>
  <c r="V90" i="84"/>
  <c r="V138" i="84"/>
  <c r="V135" i="84"/>
  <c r="V172" i="84"/>
  <c r="V130" i="84"/>
  <c r="V151" i="84"/>
  <c r="V140" i="84"/>
  <c r="V164" i="84"/>
  <c r="V145" i="84"/>
  <c r="V144" i="84"/>
  <c r="V129" i="84"/>
  <c r="V122" i="84"/>
  <c r="V83" i="83"/>
  <c r="V110" i="84"/>
  <c r="V115" i="84"/>
  <c r="V157" i="84"/>
  <c r="V116" i="84"/>
  <c r="V91" i="84"/>
  <c r="V114" i="84"/>
  <c r="V82" i="83"/>
  <c r="V146" i="84"/>
  <c r="V120" i="84"/>
  <c r="V96" i="84"/>
  <c r="V179" i="84"/>
  <c r="V150" i="84"/>
  <c r="V131" i="84"/>
  <c r="V105" i="84"/>
  <c r="V152" i="84"/>
  <c r="V173" i="84"/>
  <c r="V106" i="84"/>
  <c r="V107" i="84"/>
  <c r="V170" i="84"/>
  <c r="V84" i="83"/>
  <c r="V121" i="84"/>
  <c r="V109" i="84"/>
  <c r="V92" i="84"/>
  <c r="V163" i="84"/>
  <c r="V171" i="84"/>
  <c r="V103" i="84"/>
  <c r="V177" i="84"/>
  <c r="V158" i="84"/>
  <c r="V178" i="84"/>
  <c r="V102" i="84"/>
  <c r="V168" i="84"/>
  <c r="V137" i="84"/>
  <c r="V169" i="84"/>
  <c r="V85" i="83"/>
  <c r="V87" i="84"/>
  <c r="V88" i="84"/>
  <c r="V156" i="84"/>
  <c r="V81" i="83"/>
  <c r="V162" i="84"/>
  <c r="V136" i="84"/>
  <c r="V89" i="84"/>
  <c r="V139" i="84"/>
  <c r="V98" i="84"/>
  <c r="V104" i="84"/>
  <c r="V97" i="84"/>
  <c r="V124" i="84" l="1"/>
  <c r="V123" i="84"/>
  <c r="V125" i="84"/>
  <c r="P162" i="94"/>
  <c r="Q140" i="93"/>
  <c r="L170" i="93"/>
  <c r="AA111" i="94"/>
  <c r="Q23" i="91"/>
  <c r="Y146" i="93"/>
  <c r="AA31" i="88"/>
  <c r="Z169" i="91"/>
  <c r="P106" i="88"/>
  <c r="AA144" i="91"/>
  <c r="Z100" i="93"/>
  <c r="Y155" i="84"/>
  <c r="Z41" i="93"/>
  <c r="AB119" i="91"/>
  <c r="AB142" i="84"/>
  <c r="Y144" i="91"/>
  <c r="O172" i="93"/>
  <c r="AA177" i="89"/>
  <c r="N45" i="84"/>
  <c r="O107" i="89"/>
  <c r="Z59" i="93"/>
  <c r="Z130" i="94"/>
  <c r="M43" i="93"/>
  <c r="O132" i="94"/>
  <c r="AA67" i="89"/>
  <c r="AA66" i="85"/>
  <c r="AB95" i="94"/>
  <c r="Z171" i="92"/>
  <c r="L75" i="92"/>
  <c r="AA67" i="92"/>
  <c r="AB153" i="89"/>
  <c r="Y111" i="85"/>
  <c r="X149" i="94"/>
  <c r="O183" i="82"/>
  <c r="L128" i="89"/>
  <c r="N72" i="92"/>
  <c r="AB167" i="93"/>
  <c r="AA113" i="93"/>
  <c r="X105" i="89"/>
  <c r="X67" i="93"/>
  <c r="AB114" i="94"/>
  <c r="O57" i="81"/>
  <c r="P19" i="93"/>
  <c r="AB134" i="87"/>
  <c r="P70" i="94"/>
  <c r="AB116" i="91"/>
  <c r="AB129" i="87"/>
  <c r="L109" i="87"/>
  <c r="AA65" i="93"/>
  <c r="Z104" i="74"/>
  <c r="O174" i="74"/>
  <c r="X118" i="94"/>
  <c r="P78" i="92"/>
  <c r="Y80" i="91"/>
  <c r="Q137" i="93"/>
  <c r="AA168" i="84"/>
  <c r="AA148" i="87"/>
  <c r="AB67" i="92"/>
  <c r="T111" i="87"/>
  <c r="Q125" i="82"/>
  <c r="X121" i="94"/>
  <c r="Q125" i="88"/>
  <c r="Q93" i="81"/>
  <c r="P139" i="92"/>
  <c r="Z41" i="92"/>
  <c r="Y168" i="89"/>
  <c r="Q68" i="93"/>
  <c r="Y93" i="91"/>
  <c r="P94" i="88"/>
  <c r="Q84" i="94"/>
  <c r="Z123" i="81"/>
  <c r="X75" i="84"/>
  <c r="P183" i="81"/>
  <c r="AB65" i="88"/>
  <c r="O143" i="89"/>
  <c r="AB132" i="91"/>
  <c r="Q126" i="91"/>
  <c r="O121" i="81"/>
  <c r="Q25" i="92"/>
  <c r="X116" i="93"/>
  <c r="Y79" i="84"/>
  <c r="L158" i="94"/>
  <c r="X41" i="92"/>
  <c r="X41" i="87"/>
  <c r="X162" i="82"/>
  <c r="Y158" i="81"/>
  <c r="AA80" i="87"/>
  <c r="Z133" i="81"/>
  <c r="P63" i="92"/>
  <c r="Z117" i="92"/>
  <c r="AA167" i="92"/>
  <c r="P33" i="91"/>
  <c r="Q174" i="89"/>
  <c r="AB90" i="92"/>
  <c r="Z171" i="89"/>
  <c r="P147" i="92"/>
  <c r="AB164" i="93"/>
  <c r="Q130" i="85"/>
  <c r="P182" i="91"/>
  <c r="Y102" i="94"/>
  <c r="X106" i="91"/>
  <c r="O171" i="94"/>
  <c r="Q161" i="85"/>
  <c r="P153" i="88"/>
  <c r="O103" i="92"/>
  <c r="Y81" i="89"/>
  <c r="X151" i="93"/>
  <c r="L128" i="87"/>
  <c r="AA72" i="93"/>
  <c r="X111" i="93"/>
  <c r="Y166" i="94"/>
  <c r="L183" i="87"/>
  <c r="X175" i="93"/>
  <c r="O23" i="91"/>
  <c r="AA120" i="83"/>
  <c r="T75" i="91"/>
  <c r="Q141" i="89"/>
  <c r="L165" i="88"/>
  <c r="AA112" i="93"/>
  <c r="Y72" i="89"/>
  <c r="L107" i="88"/>
  <c r="P96" i="91"/>
  <c r="X159" i="87"/>
  <c r="Z77" i="94"/>
  <c r="Z110" i="93"/>
  <c r="P70" i="93"/>
  <c r="AA113" i="91"/>
  <c r="Z82" i="94"/>
  <c r="O96" i="92"/>
  <c r="X103" i="85"/>
  <c r="X76" i="74"/>
  <c r="AB145" i="94"/>
  <c r="Y59" i="94"/>
  <c r="N39" i="94"/>
  <c r="Y162" i="91"/>
  <c r="T162" i="88"/>
  <c r="L184" i="82"/>
  <c r="AA49" i="92"/>
  <c r="P133" i="85"/>
  <c r="Q153" i="91"/>
  <c r="P31" i="88"/>
  <c r="AA145" i="93"/>
  <c r="O102" i="83"/>
  <c r="AA27" i="74"/>
  <c r="Q143" i="91"/>
  <c r="P84" i="87"/>
  <c r="L141" i="92"/>
  <c r="Z11" i="93"/>
  <c r="O96" i="89"/>
  <c r="Y19" i="89"/>
  <c r="O17" i="91"/>
  <c r="Z55" i="85"/>
  <c r="T141" i="88"/>
  <c r="AB106" i="82"/>
  <c r="AB164" i="92"/>
  <c r="Y149" i="94"/>
  <c r="P122" i="93"/>
  <c r="Z139" i="94"/>
  <c r="Q161" i="93"/>
  <c r="Z61" i="93"/>
  <c r="AB164" i="94"/>
  <c r="X138" i="93"/>
  <c r="L134" i="88"/>
  <c r="AB175" i="93"/>
  <c r="L140" i="87"/>
  <c r="P59" i="93"/>
  <c r="L77" i="93"/>
  <c r="Y104" i="94"/>
  <c r="P119" i="94"/>
  <c r="AB149" i="84"/>
  <c r="P139" i="93"/>
  <c r="Y61" i="88"/>
  <c r="Z155" i="85"/>
  <c r="O144" i="94"/>
  <c r="Y74" i="83"/>
  <c r="L125" i="93"/>
  <c r="Y97" i="84"/>
  <c r="L70" i="94"/>
  <c r="Y92" i="93"/>
  <c r="Z117" i="93"/>
  <c r="Q21" i="93"/>
  <c r="X130" i="88"/>
  <c r="AB51" i="88"/>
  <c r="L94" i="82"/>
  <c r="X161" i="74"/>
  <c r="O72" i="82"/>
  <c r="L133" i="92"/>
  <c r="X122" i="94"/>
  <c r="Z147" i="92"/>
  <c r="Y157" i="94"/>
  <c r="M45" i="94"/>
  <c r="Q153" i="93"/>
  <c r="AB11" i="89"/>
  <c r="Z158" i="93"/>
  <c r="T141" i="81"/>
  <c r="X153" i="84"/>
  <c r="AA70" i="93"/>
  <c r="X102" i="94"/>
  <c r="P112" i="91"/>
  <c r="Z122" i="88"/>
  <c r="Y82" i="94"/>
  <c r="Y95" i="87"/>
  <c r="P153" i="89"/>
  <c r="Q67" i="92"/>
  <c r="AA140" i="89"/>
  <c r="Q75" i="93"/>
  <c r="L83" i="89"/>
  <c r="Q86" i="93"/>
  <c r="Y124" i="85"/>
  <c r="Z153" i="94"/>
  <c r="L156" i="89"/>
  <c r="L80" i="89"/>
  <c r="Q125" i="92"/>
  <c r="AB78" i="88"/>
  <c r="X77" i="91"/>
  <c r="O135" i="94"/>
  <c r="AA123" i="92"/>
  <c r="Z86" i="83"/>
  <c r="Q166" i="93"/>
  <c r="X171" i="92"/>
  <c r="O165" i="74"/>
  <c r="Z88" i="92"/>
  <c r="Z163" i="92"/>
  <c r="Q96" i="87"/>
  <c r="P23" i="94"/>
  <c r="X162" i="84"/>
  <c r="Y37" i="92"/>
  <c r="X21" i="93"/>
  <c r="P122" i="89"/>
  <c r="Z80" i="93"/>
  <c r="AB104" i="88"/>
  <c r="Z53" i="85"/>
  <c r="Y134" i="83"/>
  <c r="L143" i="81"/>
  <c r="Q135" i="91"/>
  <c r="X169" i="93"/>
  <c r="AA119" i="94"/>
  <c r="O116" i="93"/>
  <c r="X109" i="93"/>
  <c r="L168" i="94"/>
  <c r="L167" i="88"/>
  <c r="AA132" i="93"/>
  <c r="Q154" i="94"/>
  <c r="AA67" i="93"/>
  <c r="Z88" i="91"/>
  <c r="O151" i="85"/>
  <c r="L94" i="93"/>
  <c r="P63" i="93"/>
  <c r="P159" i="83"/>
  <c r="M43" i="89"/>
  <c r="Y174" i="83"/>
  <c r="AA71" i="83"/>
  <c r="AA99" i="91"/>
  <c r="X88" i="92"/>
  <c r="Z129" i="84"/>
  <c r="O163" i="94"/>
  <c r="AA140" i="83"/>
  <c r="M33" i="74"/>
  <c r="O76" i="94"/>
  <c r="O107" i="88"/>
  <c r="X57" i="94"/>
  <c r="AA78" i="87"/>
  <c r="AB25" i="89"/>
  <c r="P148" i="93"/>
  <c r="Y83" i="93"/>
  <c r="P19" i="81"/>
  <c r="Z160" i="89"/>
  <c r="O37" i="89"/>
  <c r="Z130" i="92"/>
  <c r="N171" i="89"/>
  <c r="Q87" i="91"/>
  <c r="L123" i="88"/>
  <c r="P184" i="88"/>
  <c r="X63" i="93"/>
  <c r="Q95" i="92"/>
  <c r="X166" i="93"/>
  <c r="L120" i="93"/>
  <c r="O89" i="92"/>
  <c r="Z108" i="94"/>
  <c r="O55" i="94"/>
  <c r="X80" i="91"/>
  <c r="Y101" i="91"/>
  <c r="T120" i="85"/>
  <c r="M45" i="88"/>
  <c r="L185" i="91"/>
  <c r="P86" i="94"/>
  <c r="AA71" i="94"/>
  <c r="Q172" i="88"/>
  <c r="AA102" i="94"/>
  <c r="Z159" i="91"/>
  <c r="AA135" i="92"/>
  <c r="Q19" i="89"/>
  <c r="O175" i="89"/>
  <c r="AA124" i="93"/>
  <c r="Q65" i="91"/>
  <c r="X97" i="83"/>
  <c r="Y139" i="92"/>
  <c r="L97" i="89"/>
  <c r="N96" i="84"/>
  <c r="Z49" i="88"/>
  <c r="L147" i="92"/>
  <c r="Y144" i="93"/>
  <c r="X143" i="88"/>
  <c r="Z65" i="83"/>
  <c r="Z146" i="91"/>
  <c r="Q31" i="83"/>
  <c r="P143" i="87"/>
  <c r="L138" i="89"/>
  <c r="P173" i="91"/>
  <c r="Y121" i="94"/>
  <c r="Q21" i="94"/>
  <c r="L99" i="94"/>
  <c r="Q132" i="93"/>
  <c r="Y91" i="94"/>
  <c r="AB96" i="89"/>
  <c r="Z72" i="94"/>
  <c r="Z78" i="91"/>
  <c r="AB66" i="92"/>
  <c r="O122" i="74"/>
  <c r="O130" i="88"/>
  <c r="AB145" i="81"/>
  <c r="AB66" i="94"/>
  <c r="L73" i="93"/>
  <c r="Q53" i="94"/>
  <c r="X19" i="94"/>
  <c r="AB15" i="94"/>
  <c r="Y146" i="83"/>
  <c r="AA171" i="88"/>
  <c r="Q116" i="93"/>
  <c r="AB153" i="84"/>
  <c r="Y127" i="89"/>
  <c r="Y106" i="93"/>
  <c r="X125" i="89"/>
  <c r="Y120" i="88"/>
  <c r="AA39" i="88"/>
  <c r="Q77" i="93"/>
  <c r="X89" i="81"/>
  <c r="X152" i="83"/>
  <c r="L83" i="84"/>
  <c r="O177" i="93"/>
  <c r="Q130" i="74"/>
  <c r="O53" i="89"/>
  <c r="X160" i="93"/>
  <c r="AA80" i="92"/>
  <c r="AA108" i="93"/>
  <c r="Y137" i="93"/>
  <c r="AB37" i="89"/>
  <c r="P21" i="74"/>
  <c r="AA157" i="94"/>
  <c r="AA151" i="92"/>
  <c r="Q91" i="92"/>
  <c r="Y114" i="91"/>
  <c r="M13" i="92"/>
  <c r="AA138" i="83"/>
  <c r="P51" i="92"/>
  <c r="Y136" i="93"/>
  <c r="X104" i="94"/>
  <c r="P35" i="91"/>
  <c r="Q23" i="94"/>
  <c r="Z133" i="93"/>
  <c r="X23" i="92"/>
  <c r="Z23" i="84"/>
  <c r="AB120" i="92"/>
  <c r="AB92" i="91"/>
  <c r="Z107" i="94"/>
  <c r="Q94" i="92"/>
  <c r="O143" i="93"/>
  <c r="AB156" i="93"/>
  <c r="M59" i="93"/>
  <c r="Z99" i="87"/>
  <c r="AA53" i="93"/>
  <c r="AA131" i="84"/>
  <c r="L120" i="83"/>
  <c r="AB115" i="92"/>
  <c r="Z160" i="87"/>
  <c r="O64" i="93"/>
  <c r="X128" i="87"/>
  <c r="AB124" i="92"/>
  <c r="P94" i="93"/>
  <c r="O66" i="94"/>
  <c r="AB147" i="89"/>
  <c r="O178" i="94"/>
  <c r="P181" i="93"/>
  <c r="X82" i="88"/>
  <c r="Y17" i="92"/>
  <c r="AB127" i="92"/>
  <c r="Y115" i="94"/>
  <c r="P183" i="74"/>
  <c r="AB139" i="93"/>
  <c r="Q165" i="92"/>
  <c r="Q98" i="94"/>
  <c r="O183" i="84"/>
  <c r="X122" i="93"/>
  <c r="X117" i="83"/>
  <c r="N153" i="88"/>
  <c r="X39" i="89"/>
  <c r="X164" i="74"/>
  <c r="X149" i="92"/>
  <c r="O49" i="93"/>
  <c r="Q180" i="88"/>
  <c r="AA11" i="94"/>
  <c r="AB86" i="87"/>
  <c r="Q126" i="88"/>
  <c r="Q45" i="74"/>
  <c r="AB123" i="85"/>
  <c r="Z156" i="74"/>
  <c r="O95" i="88"/>
  <c r="AA76" i="87"/>
  <c r="L63" i="94"/>
  <c r="N156" i="93"/>
  <c r="Q91" i="81"/>
  <c r="N39" i="91"/>
  <c r="O185" i="81"/>
  <c r="Q115" i="83"/>
  <c r="AB170" i="94"/>
  <c r="L169" i="83"/>
  <c r="Y130" i="91"/>
  <c r="X31" i="82"/>
  <c r="Q66" i="91"/>
  <c r="Z146" i="94"/>
  <c r="AB68" i="89"/>
  <c r="X93" i="84"/>
  <c r="O89" i="89"/>
  <c r="X123" i="92"/>
  <c r="L75" i="93"/>
  <c r="Y75" i="81"/>
  <c r="Z39" i="93"/>
  <c r="O37" i="93"/>
  <c r="Z157" i="84"/>
  <c r="Q183" i="87"/>
  <c r="O53" i="88"/>
  <c r="P175" i="88"/>
  <c r="P119" i="87"/>
  <c r="N84" i="87"/>
  <c r="M15" i="93"/>
  <c r="AA102" i="92"/>
  <c r="P184" i="81"/>
  <c r="Y73" i="93"/>
  <c r="Q82" i="89"/>
  <c r="O133" i="92"/>
  <c r="P98" i="87"/>
  <c r="M13" i="93"/>
  <c r="L157" i="88"/>
  <c r="P134" i="91"/>
  <c r="P130" i="88"/>
  <c r="O96" i="85"/>
  <c r="O182" i="94"/>
  <c r="Q179" i="89"/>
  <c r="Y136" i="94"/>
  <c r="X137" i="93"/>
  <c r="AA131" i="87"/>
  <c r="AB164" i="89"/>
  <c r="P76" i="91"/>
  <c r="L105" i="91"/>
  <c r="Y133" i="91"/>
  <c r="Y19" i="94"/>
  <c r="L103" i="93"/>
  <c r="Q88" i="92"/>
  <c r="O93" i="85"/>
  <c r="T174" i="87"/>
  <c r="Q123" i="94"/>
  <c r="Q165" i="88"/>
  <c r="L94" i="91"/>
  <c r="Q61" i="92"/>
  <c r="Y141" i="84"/>
  <c r="N15" i="83"/>
  <c r="Y106" i="94"/>
  <c r="AB149" i="88"/>
  <c r="Q66" i="82"/>
  <c r="T99" i="81"/>
  <c r="Q171" i="94"/>
  <c r="L110" i="94"/>
  <c r="Y148" i="91"/>
  <c r="Y39" i="82"/>
  <c r="AB167" i="91"/>
  <c r="Q11" i="92"/>
  <c r="Y75" i="89"/>
  <c r="AB121" i="82"/>
  <c r="X59" i="89"/>
  <c r="M11" i="88"/>
  <c r="Z27" i="93"/>
  <c r="Q99" i="93"/>
  <c r="Z45" i="93"/>
  <c r="O105" i="94"/>
  <c r="Q119" i="88"/>
  <c r="O84" i="88"/>
  <c r="O136" i="88"/>
  <c r="L113" i="84"/>
  <c r="Y142" i="88"/>
  <c r="AA80" i="74"/>
  <c r="M23" i="93"/>
  <c r="L79" i="93"/>
  <c r="P66" i="85"/>
  <c r="Q75" i="91"/>
  <c r="Y80" i="87"/>
  <c r="Q35" i="88"/>
  <c r="Q99" i="92"/>
  <c r="P147" i="93"/>
  <c r="X84" i="89"/>
  <c r="O126" i="74"/>
  <c r="Z83" i="91"/>
  <c r="N177" i="91"/>
  <c r="Z57" i="94"/>
  <c r="AA29" i="94"/>
  <c r="Y175" i="91"/>
  <c r="Y73" i="91"/>
  <c r="Z89" i="92"/>
  <c r="P185" i="74"/>
  <c r="O89" i="82"/>
  <c r="AB45" i="94"/>
  <c r="Z121" i="91"/>
  <c r="Q83" i="91"/>
  <c r="Z90" i="91"/>
  <c r="Z74" i="82"/>
  <c r="X72" i="93"/>
  <c r="P97" i="82"/>
  <c r="P180" i="88"/>
  <c r="Z155" i="91"/>
  <c r="O61" i="83"/>
  <c r="X98" i="92"/>
  <c r="X101" i="94"/>
  <c r="Z134" i="87"/>
  <c r="P133" i="93"/>
  <c r="AB59" i="89"/>
  <c r="AA148" i="89"/>
  <c r="O108" i="92"/>
  <c r="Z128" i="83"/>
  <c r="L110" i="87"/>
  <c r="Z129" i="93"/>
  <c r="X65" i="93"/>
  <c r="M17" i="92"/>
  <c r="L80" i="93"/>
  <c r="Q90" i="82"/>
  <c r="P172" i="82"/>
  <c r="Y33" i="87"/>
  <c r="O142" i="91"/>
  <c r="L115" i="93"/>
  <c r="Y111" i="88"/>
  <c r="Y33" i="81"/>
  <c r="X155" i="74"/>
  <c r="Z83" i="87"/>
  <c r="P180" i="92"/>
  <c r="Z68" i="87"/>
  <c r="N90" i="94"/>
  <c r="Z74" i="88"/>
  <c r="AA31" i="81"/>
  <c r="Z146" i="81"/>
  <c r="Y33" i="92"/>
  <c r="AA145" i="91"/>
  <c r="AA120" i="93"/>
  <c r="P159" i="94"/>
  <c r="AA128" i="74"/>
  <c r="AB83" i="93"/>
  <c r="Y95" i="92"/>
  <c r="L76" i="87"/>
  <c r="AB163" i="88"/>
  <c r="P138" i="89"/>
  <c r="O104" i="94"/>
  <c r="X140" i="91"/>
  <c r="P37" i="85"/>
  <c r="N78" i="88"/>
  <c r="Q183" i="92"/>
  <c r="Z47" i="91"/>
  <c r="Q138" i="82"/>
  <c r="AB17" i="81"/>
  <c r="AA177" i="92"/>
  <c r="Y135" i="85"/>
  <c r="P87" i="88"/>
  <c r="P95" i="87"/>
  <c r="X148" i="89"/>
  <c r="Q161" i="91"/>
  <c r="O87" i="94"/>
  <c r="M53" i="87"/>
  <c r="AA137" i="74"/>
  <c r="Z177" i="92"/>
  <c r="AB109" i="87"/>
  <c r="AB78" i="81"/>
  <c r="AA85" i="89"/>
  <c r="T114" i="87"/>
  <c r="P45" i="91"/>
  <c r="Y27" i="93"/>
  <c r="T51" i="87"/>
  <c r="X147" i="92"/>
  <c r="O171" i="88"/>
  <c r="L68" i="84"/>
  <c r="X131" i="91"/>
  <c r="Z114" i="92"/>
  <c r="M27" i="93"/>
  <c r="Z101" i="92"/>
  <c r="Y25" i="82"/>
  <c r="Z23" i="93"/>
  <c r="N99" i="89"/>
  <c r="AA72" i="88"/>
  <c r="Y98" i="93"/>
  <c r="Y73" i="92"/>
  <c r="Q131" i="87"/>
  <c r="L140" i="88"/>
  <c r="AB80" i="91"/>
  <c r="Z152" i="91"/>
  <c r="X53" i="88"/>
  <c r="P115" i="88"/>
  <c r="Q107" i="85"/>
  <c r="AA153" i="84"/>
  <c r="Z156" i="89"/>
  <c r="AA123" i="94"/>
  <c r="O97" i="89"/>
  <c r="P37" i="92"/>
  <c r="Q37" i="94"/>
  <c r="O79" i="93"/>
  <c r="AA77" i="94"/>
  <c r="Y84" i="94"/>
  <c r="O80" i="84"/>
  <c r="O125" i="81"/>
  <c r="Z72" i="93"/>
  <c r="Y51" i="93"/>
  <c r="AA143" i="91"/>
  <c r="L160" i="85"/>
  <c r="X69" i="91"/>
  <c r="O35" i="93"/>
  <c r="N99" i="93"/>
  <c r="AB166" i="83"/>
  <c r="L111" i="94"/>
  <c r="L176" i="89"/>
  <c r="AB51" i="89"/>
  <c r="AA47" i="84"/>
  <c r="X98" i="93"/>
  <c r="P123" i="91"/>
  <c r="Q167" i="89"/>
  <c r="Z67" i="84"/>
  <c r="Y29" i="93"/>
  <c r="AA91" i="93"/>
  <c r="Q167" i="93"/>
  <c r="L92" i="93"/>
  <c r="Y98" i="87"/>
  <c r="X61" i="93"/>
  <c r="O43" i="89"/>
  <c r="AB108" i="88"/>
  <c r="O177" i="94"/>
  <c r="X11" i="89"/>
  <c r="Z55" i="89"/>
  <c r="X72" i="94"/>
  <c r="Z49" i="93"/>
  <c r="AA27" i="89"/>
  <c r="M19" i="82"/>
  <c r="O169" i="92"/>
  <c r="Q181" i="89"/>
  <c r="AA131" i="93"/>
  <c r="Q159" i="85"/>
  <c r="Z68" i="82"/>
  <c r="X128" i="94"/>
  <c r="AB169" i="88"/>
  <c r="Z172" i="88"/>
  <c r="Q37" i="85"/>
  <c r="T174" i="88"/>
  <c r="Q129" i="89"/>
  <c r="AB67" i="91"/>
  <c r="L131" i="94"/>
  <c r="N184" i="84"/>
  <c r="P107" i="89"/>
  <c r="AA172" i="87"/>
  <c r="M27" i="92"/>
  <c r="Y53" i="82"/>
  <c r="X136" i="91"/>
  <c r="Z174" i="88"/>
  <c r="AB122" i="93"/>
  <c r="Z165" i="88"/>
  <c r="O176" i="92"/>
  <c r="L107" i="87"/>
  <c r="Z136" i="92"/>
  <c r="Z59" i="92"/>
  <c r="AB137" i="94"/>
  <c r="AB31" i="94"/>
  <c r="P184" i="84"/>
  <c r="AA107" i="92"/>
  <c r="Q140" i="92"/>
  <c r="Z107" i="88"/>
  <c r="Q97" i="92"/>
  <c r="AB35" i="87"/>
  <c r="AA151" i="93"/>
  <c r="Z35" i="81"/>
  <c r="Y131" i="93"/>
  <c r="X133" i="91"/>
  <c r="X77" i="92"/>
  <c r="X127" i="94"/>
  <c r="P93" i="93"/>
  <c r="N174" i="89"/>
  <c r="Y90" i="92"/>
  <c r="O64" i="89"/>
  <c r="AA130" i="91"/>
  <c r="Y176" i="91"/>
  <c r="Z79" i="74"/>
  <c r="Q35" i="81"/>
  <c r="N177" i="82"/>
  <c r="L102" i="87"/>
  <c r="P75" i="87"/>
  <c r="Q96" i="94"/>
  <c r="P65" i="93"/>
  <c r="O73" i="89"/>
  <c r="N117" i="92"/>
  <c r="P168" i="91"/>
  <c r="L168" i="92"/>
  <c r="L149" i="85"/>
  <c r="Q47" i="89"/>
  <c r="P127" i="93"/>
  <c r="Z45" i="94"/>
  <c r="N105" i="94"/>
  <c r="AA133" i="87"/>
  <c r="X47" i="94"/>
  <c r="Z19" i="91"/>
  <c r="X11" i="91"/>
  <c r="P122" i="87"/>
  <c r="P164" i="81"/>
  <c r="L88" i="88"/>
  <c r="AA89" i="83"/>
  <c r="AA25" i="87"/>
  <c r="Z111" i="89"/>
  <c r="AA162" i="92"/>
  <c r="Y86" i="94"/>
  <c r="Q164" i="92"/>
  <c r="P31" i="87"/>
  <c r="X180" i="84"/>
  <c r="N108" i="93"/>
  <c r="X135" i="94"/>
  <c r="N185" i="87"/>
  <c r="X128" i="89"/>
  <c r="P25" i="93"/>
  <c r="Z127" i="85"/>
  <c r="Y157" i="93"/>
  <c r="AA131" i="82"/>
  <c r="AA155" i="85"/>
  <c r="AA168" i="91"/>
  <c r="P79" i="91"/>
  <c r="Y173" i="81"/>
  <c r="Z108" i="84"/>
  <c r="AB21" i="91"/>
  <c r="Q97" i="83"/>
  <c r="L102" i="91"/>
  <c r="O84" i="91"/>
  <c r="AB127" i="93"/>
  <c r="O116" i="92"/>
  <c r="X108" i="93"/>
  <c r="N126" i="93"/>
  <c r="AB153" i="94"/>
  <c r="L146" i="91"/>
  <c r="Q103" i="81"/>
  <c r="P72" i="88"/>
  <c r="L127" i="84"/>
  <c r="O139" i="81"/>
  <c r="N75" i="83"/>
  <c r="P141" i="89"/>
  <c r="AB31" i="91"/>
  <c r="Z114" i="91"/>
  <c r="X153" i="92"/>
  <c r="N141" i="92"/>
  <c r="Y47" i="94"/>
  <c r="X139" i="85"/>
  <c r="P149" i="81"/>
  <c r="Q109" i="94"/>
  <c r="O180" i="88"/>
  <c r="L72" i="92"/>
  <c r="X86" i="91"/>
  <c r="Q99" i="91"/>
  <c r="P19" i="94"/>
  <c r="P95" i="74"/>
  <c r="Z108" i="93"/>
  <c r="O184" i="84"/>
  <c r="Y25" i="84"/>
  <c r="Q94" i="87"/>
  <c r="Q103" i="91"/>
  <c r="Q29" i="92"/>
  <c r="Q107" i="92"/>
  <c r="Y100" i="87"/>
  <c r="P43" i="93"/>
  <c r="X132" i="94"/>
  <c r="O177" i="91"/>
  <c r="AA91" i="94"/>
  <c r="X64" i="89"/>
  <c r="T81" i="88"/>
  <c r="AA103" i="92"/>
  <c r="X15" i="94"/>
  <c r="AB127" i="91"/>
  <c r="X57" i="81"/>
  <c r="L65" i="94"/>
  <c r="X100" i="93"/>
  <c r="O70" i="93"/>
  <c r="Y141" i="87"/>
  <c r="P105" i="82"/>
  <c r="N57" i="88"/>
  <c r="Y168" i="92"/>
  <c r="AA152" i="92"/>
  <c r="L64" i="94"/>
  <c r="X84" i="92"/>
  <c r="Y65" i="83"/>
  <c r="Y141" i="74"/>
  <c r="Z49" i="85"/>
  <c r="X113" i="83"/>
  <c r="AB166" i="88"/>
  <c r="Q163" i="94"/>
  <c r="N9" i="93"/>
  <c r="AA156" i="93"/>
  <c r="P106" i="92"/>
  <c r="O25" i="94"/>
  <c r="O100" i="92"/>
  <c r="M41" i="89"/>
  <c r="AA122" i="94"/>
  <c r="AB135" i="88"/>
  <c r="O71" i="88"/>
  <c r="Q61" i="84"/>
  <c r="AA157" i="93"/>
  <c r="O139" i="92"/>
  <c r="P41" i="87"/>
  <c r="P63" i="91"/>
  <c r="X103" i="89"/>
  <c r="P103" i="87"/>
  <c r="AB35" i="91"/>
  <c r="P93" i="94"/>
  <c r="AA69" i="88"/>
  <c r="X73" i="89"/>
  <c r="AA74" i="87"/>
  <c r="L175" i="94"/>
  <c r="Z81" i="92"/>
  <c r="Y103" i="93"/>
  <c r="AA107" i="87"/>
  <c r="Z43" i="94"/>
  <c r="X133" i="85"/>
  <c r="P172" i="87"/>
  <c r="P183" i="84"/>
  <c r="Q93" i="91"/>
  <c r="M25" i="94"/>
  <c r="L66" i="83"/>
  <c r="Y92" i="81"/>
  <c r="L137" i="92"/>
  <c r="Y9" i="84"/>
  <c r="O82" i="81"/>
  <c r="O139" i="87"/>
  <c r="N183" i="93"/>
  <c r="Q117" i="91"/>
  <c r="AB130" i="92"/>
  <c r="Y156" i="91"/>
  <c r="AA91" i="88"/>
  <c r="AB156" i="81"/>
  <c r="O182" i="81"/>
  <c r="AA59" i="88"/>
  <c r="Z102" i="74"/>
  <c r="L165" i="82"/>
  <c r="N21" i="88"/>
  <c r="Q75" i="92"/>
  <c r="P82" i="83"/>
  <c r="AB114" i="81"/>
  <c r="AA31" i="91"/>
  <c r="Q183" i="93"/>
  <c r="Y37" i="91"/>
  <c r="Z41" i="89"/>
  <c r="N174" i="93"/>
  <c r="Z170" i="92"/>
  <c r="P90" i="87"/>
  <c r="Z41" i="83"/>
  <c r="O68" i="85"/>
  <c r="Y146" i="82"/>
  <c r="AB118" i="92"/>
  <c r="AB81" i="92"/>
  <c r="Y114" i="94"/>
  <c r="AA112" i="82"/>
  <c r="AA88" i="87"/>
  <c r="Z177" i="88"/>
  <c r="AA9" i="94"/>
  <c r="Q72" i="84"/>
  <c r="P63" i="85"/>
  <c r="Z151" i="88"/>
  <c r="Q184" i="82"/>
  <c r="Z45" i="87"/>
  <c r="AB175" i="87"/>
  <c r="L107" i="94"/>
  <c r="AB117" i="85"/>
  <c r="L136" i="92"/>
  <c r="Q169" i="92"/>
  <c r="O109" i="91"/>
  <c r="O139" i="83"/>
  <c r="L103" i="87"/>
  <c r="Y85" i="87"/>
  <c r="N129" i="87"/>
  <c r="AA47" i="91"/>
  <c r="P43" i="94"/>
  <c r="X180" i="93"/>
  <c r="P75" i="85"/>
  <c r="O103" i="89"/>
  <c r="L175" i="91"/>
  <c r="Y122" i="92"/>
  <c r="Y95" i="94"/>
  <c r="N93" i="91"/>
  <c r="Q115" i="94"/>
  <c r="AA172" i="92"/>
  <c r="O105" i="83"/>
  <c r="Z161" i="92"/>
  <c r="P91" i="88"/>
  <c r="AB161" i="89"/>
  <c r="X173" i="92"/>
  <c r="X136" i="93"/>
  <c r="AA61" i="87"/>
  <c r="L79" i="94"/>
  <c r="Q106" i="94"/>
  <c r="P138" i="91"/>
  <c r="AA86" i="84"/>
  <c r="AA101" i="89"/>
  <c r="L71" i="94"/>
  <c r="N177" i="83"/>
  <c r="P109" i="92"/>
  <c r="P63" i="89"/>
  <c r="N168" i="91"/>
  <c r="Y149" i="92"/>
  <c r="Y110" i="83"/>
  <c r="O136" i="84"/>
  <c r="N174" i="91"/>
  <c r="P71" i="92"/>
  <c r="Z92" i="83"/>
  <c r="Z138" i="92"/>
  <c r="AA107" i="89"/>
  <c r="X143" i="87"/>
  <c r="L155" i="84"/>
  <c r="N78" i="82"/>
  <c r="O92" i="92"/>
  <c r="O98" i="94"/>
  <c r="O123" i="93"/>
  <c r="O110" i="93"/>
  <c r="P35" i="94"/>
  <c r="AB176" i="87"/>
  <c r="Q115" i="92"/>
  <c r="X155" i="89"/>
  <c r="AB68" i="92"/>
  <c r="O127" i="89"/>
  <c r="P57" i="91"/>
  <c r="Y23" i="93"/>
  <c r="L71" i="91"/>
  <c r="L108" i="88"/>
  <c r="Z19" i="87"/>
  <c r="Z146" i="93"/>
  <c r="Q80" i="94"/>
  <c r="T21" i="88"/>
  <c r="X141" i="84"/>
  <c r="L127" i="81"/>
  <c r="P33" i="84"/>
  <c r="X66" i="94"/>
  <c r="O124" i="81"/>
  <c r="Q49" i="94"/>
  <c r="Q164" i="94"/>
  <c r="L139" i="81"/>
  <c r="Q134" i="83"/>
  <c r="P96" i="94"/>
  <c r="Z171" i="84"/>
  <c r="AB53" i="91"/>
  <c r="T117" i="91"/>
  <c r="L95" i="88"/>
  <c r="AB176" i="88"/>
  <c r="AB135" i="94"/>
  <c r="AB159" i="89"/>
  <c r="N120" i="84"/>
  <c r="Q89" i="88"/>
  <c r="Q84" i="89"/>
  <c r="Q87" i="87"/>
  <c r="O135" i="85"/>
  <c r="AB82" i="94"/>
  <c r="Z176" i="92"/>
  <c r="N102" i="93"/>
  <c r="AB165" i="93"/>
  <c r="Q167" i="92"/>
  <c r="X81" i="93"/>
  <c r="Q31" i="93"/>
  <c r="L93" i="93"/>
  <c r="AA103" i="94"/>
  <c r="P170" i="92"/>
  <c r="AB70" i="89"/>
  <c r="O182" i="91"/>
  <c r="L169" i="82"/>
  <c r="AB159" i="93"/>
  <c r="L112" i="91"/>
  <c r="N184" i="82"/>
  <c r="Z27" i="91"/>
  <c r="L82" i="88"/>
  <c r="Y83" i="87"/>
  <c r="Y112" i="85"/>
  <c r="L166" i="82"/>
  <c r="X152" i="94"/>
  <c r="P121" i="91"/>
  <c r="O171" i="93"/>
  <c r="L113" i="88"/>
  <c r="X107" i="88"/>
  <c r="Y136" i="88"/>
  <c r="Y63" i="83"/>
  <c r="P66" i="82"/>
  <c r="L182" i="92"/>
  <c r="AA92" i="88"/>
  <c r="P90" i="94"/>
  <c r="Z159" i="74"/>
  <c r="P45" i="89"/>
  <c r="Z98" i="88"/>
  <c r="AA70" i="94"/>
  <c r="O130" i="91"/>
  <c r="Y13" i="91"/>
  <c r="X141" i="93"/>
  <c r="AB126" i="87"/>
  <c r="L86" i="84"/>
  <c r="X102" i="91"/>
  <c r="Z105" i="94"/>
  <c r="Z162" i="92"/>
  <c r="M39" i="84"/>
  <c r="Y43" i="74"/>
  <c r="Z111" i="91"/>
  <c r="Y35" i="94"/>
  <c r="N144" i="89"/>
  <c r="L185" i="88"/>
  <c r="P174" i="92"/>
  <c r="AB156" i="92"/>
  <c r="Z39" i="92"/>
  <c r="Z124" i="92"/>
  <c r="AB124" i="88"/>
  <c r="Y147" i="93"/>
  <c r="P166" i="82"/>
  <c r="P65" i="84"/>
  <c r="Q165" i="94"/>
  <c r="O174" i="93"/>
  <c r="Z120" i="81"/>
  <c r="O33" i="82"/>
  <c r="AB173" i="92"/>
  <c r="AA83" i="74"/>
  <c r="P100" i="94"/>
  <c r="P9" i="89"/>
  <c r="Q89" i="89"/>
  <c r="N33" i="93"/>
  <c r="X96" i="94"/>
  <c r="O29" i="94"/>
  <c r="P150" i="93"/>
  <c r="P89" i="92"/>
  <c r="Q159" i="84"/>
  <c r="Z151" i="85"/>
  <c r="Z134" i="88"/>
  <c r="AA108" i="92"/>
  <c r="Z161" i="84"/>
  <c r="AB68" i="93"/>
  <c r="P124" i="89"/>
  <c r="N21" i="93"/>
  <c r="AA168" i="87"/>
  <c r="P184" i="83"/>
  <c r="O152" i="88"/>
  <c r="Z118" i="88"/>
  <c r="P178" i="94"/>
  <c r="Z115" i="94"/>
  <c r="Q78" i="89"/>
  <c r="Z61" i="87"/>
  <c r="X51" i="92"/>
  <c r="AB154" i="88"/>
  <c r="L115" i="87"/>
  <c r="AA152" i="94"/>
  <c r="Q122" i="92"/>
  <c r="N120" i="94"/>
  <c r="L183" i="91"/>
  <c r="L180" i="84"/>
  <c r="Y152" i="87"/>
  <c r="AA84" i="89"/>
  <c r="Y66" i="89"/>
  <c r="O25" i="74"/>
  <c r="AB107" i="94"/>
  <c r="Y132" i="94"/>
  <c r="X139" i="93"/>
  <c r="O185" i="88"/>
  <c r="Q160" i="74"/>
  <c r="O91" i="91"/>
  <c r="Z123" i="87"/>
  <c r="O123" i="91"/>
  <c r="Q165" i="89"/>
  <c r="P142" i="93"/>
  <c r="AA117" i="94"/>
  <c r="AA71" i="89"/>
  <c r="O151" i="87"/>
  <c r="L155" i="85"/>
  <c r="P87" i="92"/>
  <c r="X31" i="93"/>
  <c r="N129" i="93"/>
  <c r="N57" i="91"/>
  <c r="AA97" i="84"/>
  <c r="AB93" i="87"/>
  <c r="Q68" i="92"/>
  <c r="T177" i="81"/>
  <c r="L124" i="91"/>
  <c r="X144" i="94"/>
  <c r="AA170" i="87"/>
  <c r="AB91" i="94"/>
  <c r="X100" i="94"/>
  <c r="AB107" i="87"/>
  <c r="P109" i="94"/>
  <c r="X71" i="82"/>
  <c r="T171" i="88"/>
  <c r="Z164" i="94"/>
  <c r="Q138" i="91"/>
  <c r="Q176" i="93"/>
  <c r="X85" i="93"/>
  <c r="O95" i="94"/>
  <c r="O73" i="87"/>
  <c r="Q70" i="92"/>
  <c r="Y99" i="87"/>
  <c r="N183" i="91"/>
  <c r="O98" i="93"/>
  <c r="Z168" i="89"/>
  <c r="L139" i="93"/>
  <c r="X92" i="92"/>
  <c r="N75" i="92"/>
  <c r="Z47" i="92"/>
  <c r="L104" i="92"/>
  <c r="AB39" i="84"/>
  <c r="X61" i="84"/>
  <c r="O167" i="81"/>
  <c r="Q176" i="94"/>
  <c r="T168" i="89"/>
  <c r="P131" i="89"/>
  <c r="X129" i="93"/>
  <c r="N93" i="82"/>
  <c r="Z120" i="92"/>
  <c r="O45" i="94"/>
  <c r="O59" i="74"/>
  <c r="AA55" i="82"/>
  <c r="M29" i="94"/>
  <c r="AB148" i="92"/>
  <c r="AA168" i="94"/>
  <c r="Q127" i="85"/>
  <c r="O137" i="94"/>
  <c r="P102" i="74"/>
  <c r="AA137" i="83"/>
  <c r="X17" i="74"/>
  <c r="AB115" i="88"/>
  <c r="AA150" i="81"/>
  <c r="AA173" i="92"/>
  <c r="Y168" i="94"/>
  <c r="Q76" i="88"/>
  <c r="T126" i="91"/>
  <c r="P145" i="87"/>
  <c r="L154" i="92"/>
  <c r="Z136" i="93"/>
  <c r="Q98" i="89"/>
  <c r="Q145" i="85"/>
  <c r="X112" i="89"/>
  <c r="AB76" i="94"/>
  <c r="AB133" i="92"/>
  <c r="Z41" i="87"/>
  <c r="L145" i="94"/>
  <c r="O100" i="91"/>
  <c r="Z173" i="92"/>
  <c r="O86" i="93"/>
  <c r="O67" i="87"/>
  <c r="X25" i="91"/>
  <c r="O45" i="84"/>
  <c r="P21" i="92"/>
  <c r="N141" i="94"/>
  <c r="N123" i="94"/>
  <c r="Q166" i="81"/>
  <c r="X61" i="88"/>
  <c r="T156" i="85"/>
  <c r="AB126" i="84"/>
  <c r="Q21" i="85"/>
  <c r="X119" i="93"/>
  <c r="O102" i="82"/>
  <c r="AA15" i="93"/>
  <c r="X13" i="92"/>
  <c r="L96" i="85"/>
  <c r="AB124" i="87"/>
  <c r="T162" i="93"/>
  <c r="O59" i="89"/>
  <c r="AA131" i="91"/>
  <c r="AB143" i="93"/>
  <c r="P110" i="91"/>
  <c r="Q121" i="91"/>
  <c r="O74" i="87"/>
  <c r="X124" i="92"/>
  <c r="AA163" i="83"/>
  <c r="X29" i="94"/>
  <c r="L183" i="93"/>
  <c r="M19" i="89"/>
  <c r="P132" i="92"/>
  <c r="AA133" i="88"/>
  <c r="L154" i="81"/>
  <c r="Q114" i="94"/>
  <c r="X158" i="94"/>
  <c r="X31" i="84"/>
  <c r="Z76" i="92"/>
  <c r="Y154" i="92"/>
  <c r="O11" i="94"/>
  <c r="X124" i="82"/>
  <c r="AB105" i="87"/>
  <c r="Q144" i="92"/>
  <c r="P81" i="91"/>
  <c r="P33" i="94"/>
  <c r="AA61" i="92"/>
  <c r="O106" i="85"/>
  <c r="N69" i="91"/>
  <c r="L124" i="93"/>
  <c r="Y15" i="94"/>
  <c r="AA149" i="93"/>
  <c r="N141" i="93"/>
  <c r="Z87" i="91"/>
  <c r="N126" i="85"/>
  <c r="Q153" i="87"/>
  <c r="X29" i="87"/>
  <c r="Q132" i="92"/>
  <c r="O155" i="82"/>
  <c r="AA175" i="88"/>
  <c r="X39" i="88"/>
  <c r="AB142" i="92"/>
  <c r="N185" i="84"/>
  <c r="AB126" i="92"/>
  <c r="L74" i="92"/>
  <c r="O106" i="92"/>
  <c r="AB98" i="93"/>
  <c r="O152" i="91"/>
  <c r="P175" i="94"/>
  <c r="Q74" i="92"/>
  <c r="Z92" i="87"/>
  <c r="L101" i="94"/>
  <c r="Z102" i="92"/>
  <c r="AB148" i="87"/>
  <c r="AA87" i="92"/>
  <c r="P57" i="94"/>
  <c r="Y133" i="92"/>
  <c r="P184" i="82"/>
  <c r="O161" i="93"/>
  <c r="Y145" i="89"/>
  <c r="Q131" i="83"/>
  <c r="T168" i="82"/>
  <c r="L80" i="85"/>
  <c r="O89" i="94"/>
  <c r="AA137" i="85"/>
  <c r="Q95" i="93"/>
  <c r="Q139" i="89"/>
  <c r="AA165" i="91"/>
  <c r="N33" i="85"/>
  <c r="X123" i="84"/>
  <c r="L141" i="87"/>
  <c r="Y69" i="88"/>
  <c r="O84" i="94"/>
  <c r="T87" i="74"/>
  <c r="X124" i="93"/>
  <c r="P114" i="92"/>
  <c r="AB133" i="94"/>
  <c r="Y125" i="94"/>
  <c r="AB132" i="94"/>
  <c r="P41" i="94"/>
  <c r="P181" i="88"/>
  <c r="Q88" i="83"/>
  <c r="L135" i="92"/>
  <c r="AA65" i="85"/>
  <c r="Q39" i="91"/>
  <c r="Z29" i="87"/>
  <c r="O71" i="84"/>
  <c r="X170" i="89"/>
  <c r="Z61" i="74"/>
  <c r="AB150" i="88"/>
  <c r="Q72" i="94"/>
  <c r="Q39" i="83"/>
  <c r="Y89" i="83"/>
  <c r="Q55" i="92"/>
  <c r="O55" i="87"/>
  <c r="L103" i="94"/>
  <c r="O159" i="88"/>
  <c r="Z138" i="87"/>
  <c r="P82" i="94"/>
  <c r="Y158" i="89"/>
  <c r="P107" i="92"/>
  <c r="AB57" i="81"/>
  <c r="Z115" i="88"/>
  <c r="L175" i="81"/>
  <c r="O11" i="93"/>
  <c r="Y163" i="82"/>
  <c r="X116" i="92"/>
  <c r="Y108" i="88"/>
  <c r="Z55" i="94"/>
  <c r="Z66" i="93"/>
  <c r="Q129" i="93"/>
  <c r="M19" i="91"/>
  <c r="AB112" i="92"/>
  <c r="P136" i="84"/>
  <c r="Q71" i="92"/>
  <c r="AA64" i="89"/>
  <c r="AB31" i="93"/>
  <c r="Y146" i="88"/>
  <c r="N9" i="81"/>
  <c r="X145" i="91"/>
  <c r="P185" i="82"/>
  <c r="L147" i="89"/>
  <c r="AA153" i="93"/>
  <c r="Q51" i="94"/>
  <c r="Z86" i="93"/>
  <c r="AB120" i="93"/>
  <c r="AB33" i="89"/>
  <c r="Y31" i="94"/>
  <c r="Y177" i="89"/>
  <c r="P149" i="94"/>
  <c r="P15" i="91"/>
  <c r="Z109" i="94"/>
  <c r="N183" i="84"/>
  <c r="Z128" i="94"/>
  <c r="L150" i="92"/>
  <c r="Z88" i="85"/>
  <c r="L153" i="82"/>
  <c r="X51" i="83"/>
  <c r="AB113" i="94"/>
  <c r="Y128" i="93"/>
  <c r="O33" i="93"/>
  <c r="X170" i="92"/>
  <c r="P126" i="88"/>
  <c r="Z31" i="93"/>
  <c r="Z129" i="74"/>
  <c r="AB71" i="91"/>
  <c r="Z123" i="82"/>
  <c r="P113" i="92"/>
  <c r="Z63" i="82"/>
  <c r="X121" i="93"/>
  <c r="AB51" i="94"/>
  <c r="P45" i="92"/>
  <c r="N171" i="85"/>
  <c r="X13" i="94"/>
  <c r="Q103" i="87"/>
  <c r="Q27" i="93"/>
  <c r="N90" i="81"/>
  <c r="P79" i="92"/>
  <c r="P109" i="74"/>
  <c r="AA138" i="93"/>
  <c r="AB107" i="92"/>
  <c r="O27" i="89"/>
  <c r="Y139" i="89"/>
  <c r="P99" i="91"/>
  <c r="X85" i="81"/>
  <c r="AA157" i="91"/>
  <c r="L117" i="94"/>
  <c r="AA31" i="92"/>
  <c r="AA142" i="92"/>
  <c r="N159" i="92"/>
  <c r="AB41" i="94"/>
  <c r="O178" i="92"/>
  <c r="P110" i="93"/>
  <c r="L163" i="93"/>
  <c r="Q80" i="93"/>
  <c r="Q73" i="94"/>
  <c r="Y79" i="87"/>
  <c r="Y102" i="84"/>
  <c r="AB13" i="88"/>
  <c r="N105" i="82"/>
  <c r="P178" i="89"/>
  <c r="O100" i="93"/>
  <c r="Z135" i="93"/>
  <c r="Z69" i="89"/>
  <c r="X123" i="88"/>
  <c r="X13" i="89"/>
  <c r="AA127" i="92"/>
  <c r="Y81" i="83"/>
  <c r="L69" i="74"/>
  <c r="Q137" i="89"/>
  <c r="O119" i="89"/>
  <c r="Q134" i="89"/>
  <c r="Y113" i="94"/>
  <c r="Q75" i="89"/>
  <c r="X177" i="87"/>
  <c r="O75" i="83"/>
  <c r="Q83" i="82"/>
  <c r="Q68" i="87"/>
  <c r="Q105" i="89"/>
  <c r="AA106" i="94"/>
  <c r="P180" i="94"/>
  <c r="P83" i="93"/>
  <c r="Q51" i="83"/>
  <c r="X119" i="89"/>
  <c r="P127" i="91"/>
  <c r="AB105" i="89"/>
  <c r="L182" i="93"/>
  <c r="O171" i="87"/>
  <c r="O148" i="88"/>
  <c r="N78" i="89"/>
  <c r="L154" i="94"/>
  <c r="O59" i="91"/>
  <c r="Y167" i="85"/>
  <c r="O145" i="93"/>
  <c r="Y78" i="88"/>
  <c r="P112" i="94"/>
  <c r="P155" i="91"/>
  <c r="P102" i="88"/>
  <c r="AB132" i="92"/>
  <c r="AA166" i="88"/>
  <c r="X130" i="89"/>
  <c r="AA110" i="94"/>
  <c r="N63" i="94"/>
  <c r="O132" i="88"/>
  <c r="Y75" i="85"/>
  <c r="L146" i="93"/>
  <c r="AB100" i="93"/>
  <c r="Z78" i="93"/>
  <c r="O118" i="94"/>
  <c r="P39" i="92"/>
  <c r="Z15" i="83"/>
  <c r="Z140" i="85"/>
  <c r="Z169" i="74"/>
  <c r="Z118" i="93"/>
  <c r="Z107" i="91"/>
  <c r="P133" i="92"/>
  <c r="Y146" i="91"/>
  <c r="AA79" i="93"/>
  <c r="O86" i="83"/>
  <c r="Z174" i="93"/>
  <c r="AA176" i="93"/>
  <c r="X167" i="82"/>
  <c r="P72" i="93"/>
  <c r="M17" i="85"/>
  <c r="AA127" i="94"/>
  <c r="AA76" i="93"/>
  <c r="Z35" i="91"/>
  <c r="Z64" i="93"/>
  <c r="P148" i="91"/>
  <c r="AA103" i="89"/>
  <c r="L158" i="88"/>
  <c r="AA107" i="88"/>
  <c r="Z86" i="92"/>
  <c r="AA136" i="87"/>
  <c r="X69" i="92"/>
  <c r="L143" i="85"/>
  <c r="Z13" i="93"/>
  <c r="AB91" i="88"/>
  <c r="P98" i="92"/>
  <c r="Y176" i="93"/>
  <c r="Q19" i="74"/>
  <c r="Y104" i="88"/>
  <c r="L125" i="94"/>
  <c r="AA72" i="84"/>
  <c r="X37" i="91"/>
  <c r="P31" i="92"/>
  <c r="Q131" i="92"/>
  <c r="X163" i="88"/>
  <c r="P82" i="89"/>
  <c r="M15" i="94"/>
  <c r="P89" i="89"/>
  <c r="X156" i="93"/>
  <c r="AB139" i="92"/>
  <c r="O176" i="93"/>
  <c r="Z104" i="92"/>
  <c r="X171" i="87"/>
  <c r="L70" i="92"/>
  <c r="AB25" i="84"/>
  <c r="Q141" i="88"/>
  <c r="L84" i="89"/>
  <c r="N33" i="87"/>
  <c r="N184" i="92"/>
  <c r="Q47" i="92"/>
  <c r="T129" i="83"/>
  <c r="Y120" i="93"/>
  <c r="AB163" i="87"/>
  <c r="X77" i="85"/>
  <c r="Z57" i="93"/>
  <c r="P100" i="92"/>
  <c r="T138" i="83"/>
  <c r="O163" i="84"/>
  <c r="AA91" i="82"/>
  <c r="Y64" i="82"/>
  <c r="Q151" i="89"/>
  <c r="Q31" i="94"/>
  <c r="O107" i="87"/>
  <c r="AA101" i="88"/>
  <c r="Z100" i="88"/>
  <c r="AA17" i="91"/>
  <c r="AB172" i="88"/>
  <c r="AA151" i="94"/>
  <c r="AB132" i="87"/>
  <c r="AB127" i="85"/>
  <c r="AB110" i="88"/>
  <c r="Z112" i="88"/>
  <c r="T141" i="83"/>
  <c r="T135" i="88"/>
  <c r="L114" i="85"/>
  <c r="M41" i="92"/>
  <c r="N153" i="94"/>
  <c r="L84" i="88"/>
  <c r="L121" i="88"/>
  <c r="AB76" i="81"/>
  <c r="P76" i="93"/>
  <c r="N185" i="88"/>
  <c r="Q157" i="92"/>
  <c r="T156" i="91"/>
  <c r="Z75" i="84"/>
  <c r="O103" i="88"/>
  <c r="Q142" i="87"/>
  <c r="O74" i="93"/>
  <c r="L106" i="82"/>
  <c r="Z149" i="88"/>
  <c r="O99" i="94"/>
  <c r="Z97" i="92"/>
  <c r="O15" i="84"/>
  <c r="O15" i="93"/>
  <c r="P123" i="94"/>
  <c r="P171" i="88"/>
  <c r="O177" i="87"/>
  <c r="X151" i="88"/>
  <c r="Q90" i="88"/>
  <c r="Q128" i="94"/>
  <c r="M17" i="91"/>
  <c r="Y164" i="92"/>
  <c r="AB172" i="93"/>
  <c r="AA84" i="92"/>
  <c r="Y144" i="88"/>
  <c r="Q154" i="89"/>
  <c r="L173" i="87"/>
  <c r="Z120" i="93"/>
  <c r="X70" i="94"/>
  <c r="Y29" i="89"/>
  <c r="O175" i="91"/>
  <c r="AB171" i="88"/>
  <c r="O41" i="94"/>
  <c r="AA125" i="91"/>
  <c r="P134" i="93"/>
  <c r="T144" i="89"/>
  <c r="Q49" i="88"/>
  <c r="L141" i="81"/>
  <c r="Q171" i="92"/>
  <c r="O19" i="92"/>
  <c r="AB64" i="94"/>
  <c r="Q162" i="94"/>
  <c r="O119" i="94"/>
  <c r="Z89" i="83"/>
  <c r="AB83" i="92"/>
  <c r="X49" i="91"/>
  <c r="N99" i="74"/>
  <c r="AB152" i="94"/>
  <c r="Y137" i="94"/>
  <c r="Z171" i="93"/>
  <c r="AB119" i="94"/>
  <c r="L106" i="92"/>
  <c r="M39" i="82"/>
  <c r="Z74" i="92"/>
  <c r="L156" i="93"/>
  <c r="Q130" i="87"/>
  <c r="X163" i="94"/>
  <c r="AA141" i="93"/>
  <c r="P47" i="82"/>
  <c r="AB171" i="94"/>
  <c r="O77" i="88"/>
  <c r="Q119" i="89"/>
  <c r="P145" i="93"/>
  <c r="AB106" i="92"/>
  <c r="AB57" i="87"/>
  <c r="AB161" i="93"/>
  <c r="Q15" i="81"/>
  <c r="Z97" i="84"/>
  <c r="Q175" i="94"/>
  <c r="Z172" i="85"/>
  <c r="Q123" i="84"/>
  <c r="AB122" i="88"/>
  <c r="O88" i="88"/>
  <c r="AB124" i="94"/>
  <c r="P11" i="93"/>
  <c r="Q81" i="94"/>
  <c r="X78" i="93"/>
  <c r="AA83" i="94"/>
  <c r="X125" i="91"/>
  <c r="Y47" i="87"/>
  <c r="O155" i="92"/>
  <c r="AB94" i="91"/>
  <c r="AA51" i="84"/>
  <c r="Z115" i="85"/>
  <c r="Q84" i="88"/>
  <c r="O184" i="93"/>
  <c r="Y151" i="91"/>
  <c r="N108" i="94"/>
  <c r="AB142" i="89"/>
  <c r="N123" i="93"/>
  <c r="Y103" i="94"/>
  <c r="O128" i="94"/>
  <c r="AA100" i="83"/>
  <c r="L76" i="89"/>
  <c r="AB15" i="92"/>
  <c r="P134" i="83"/>
  <c r="AA155" i="92"/>
  <c r="AB86" i="92"/>
  <c r="X164" i="83"/>
  <c r="L172" i="88"/>
  <c r="P144" i="88"/>
  <c r="X161" i="88"/>
  <c r="Z98" i="91"/>
  <c r="AB137" i="92"/>
  <c r="AA112" i="83"/>
  <c r="Y35" i="92"/>
  <c r="Y121" i="93"/>
  <c r="AA154" i="87"/>
  <c r="P120" i="88"/>
  <c r="Q112" i="92"/>
  <c r="AA169" i="87"/>
  <c r="X167" i="91"/>
  <c r="X115" i="94"/>
  <c r="L123" i="92"/>
  <c r="Q121" i="94"/>
  <c r="P117" i="92"/>
  <c r="L136" i="88"/>
  <c r="P110" i="92"/>
  <c r="AA31" i="93"/>
  <c r="X165" i="84"/>
  <c r="Z117" i="89"/>
  <c r="X96" i="88"/>
  <c r="Y118" i="83"/>
  <c r="O9" i="92"/>
  <c r="N185" i="94"/>
  <c r="AA169" i="82"/>
  <c r="AA90" i="93"/>
  <c r="AB114" i="87"/>
  <c r="L144" i="88"/>
  <c r="O15" i="94"/>
  <c r="L146" i="89"/>
  <c r="O129" i="92"/>
  <c r="N147" i="89"/>
  <c r="P142" i="92"/>
  <c r="L104" i="93"/>
  <c r="O29" i="92"/>
  <c r="X29" i="88"/>
  <c r="P31" i="94"/>
  <c r="Q37" i="91"/>
  <c r="AB166" i="89"/>
  <c r="L176" i="87"/>
  <c r="L177" i="92"/>
  <c r="X155" i="82"/>
  <c r="AA152" i="91"/>
  <c r="AA149" i="85"/>
  <c r="Y65" i="89"/>
  <c r="Y9" i="93"/>
  <c r="AB116" i="89"/>
  <c r="P101" i="88"/>
  <c r="X37" i="93"/>
  <c r="P138" i="74"/>
  <c r="AA33" i="92"/>
  <c r="L96" i="88"/>
  <c r="L146" i="94"/>
  <c r="AB70" i="84"/>
  <c r="P15" i="81"/>
  <c r="Y165" i="81"/>
  <c r="Z100" i="85"/>
  <c r="AB77" i="93"/>
  <c r="Q69" i="89"/>
  <c r="AA111" i="92"/>
  <c r="Z153" i="92"/>
  <c r="Z147" i="91"/>
  <c r="Y88" i="92"/>
  <c r="AB101" i="91"/>
  <c r="AB88" i="94"/>
  <c r="AB156" i="87"/>
  <c r="T51" i="88"/>
  <c r="AA61" i="93"/>
  <c r="O128" i="93"/>
  <c r="Y87" i="94"/>
  <c r="AB146" i="83"/>
  <c r="L108" i="94"/>
  <c r="AA160" i="88"/>
  <c r="AA142" i="84"/>
  <c r="Z33" i="83"/>
  <c r="P37" i="87"/>
  <c r="L69" i="89"/>
  <c r="Z126" i="92"/>
  <c r="Y77" i="87"/>
  <c r="Q100" i="89"/>
  <c r="L112" i="83"/>
  <c r="L179" i="91"/>
  <c r="Y51" i="92"/>
  <c r="T63" i="91"/>
  <c r="O140" i="93"/>
  <c r="L87" i="87"/>
  <c r="X41" i="91"/>
  <c r="O89" i="91"/>
  <c r="X66" i="93"/>
  <c r="AB97" i="94"/>
  <c r="O105" i="93"/>
  <c r="L66" i="85"/>
  <c r="Q122" i="91"/>
  <c r="Y68" i="93"/>
  <c r="Y98" i="94"/>
  <c r="O93" i="93"/>
  <c r="L99" i="84"/>
  <c r="P85" i="93"/>
  <c r="N150" i="94"/>
  <c r="X53" i="94"/>
  <c r="X77" i="94"/>
  <c r="AB144" i="92"/>
  <c r="X106" i="83"/>
  <c r="AA39" i="92"/>
  <c r="AA159" i="93"/>
  <c r="Z119" i="92"/>
  <c r="O11" i="91"/>
  <c r="T171" i="89"/>
  <c r="Z87" i="87"/>
  <c r="O145" i="92"/>
  <c r="L152" i="85"/>
  <c r="P13" i="82"/>
  <c r="P127" i="89"/>
  <c r="L133" i="93"/>
  <c r="Z104" i="94"/>
  <c r="X27" i="92"/>
  <c r="Q133" i="93"/>
  <c r="AA155" i="87"/>
  <c r="Y64" i="88"/>
  <c r="P106" i="85"/>
  <c r="Z47" i="81"/>
  <c r="Y9" i="82"/>
  <c r="O21" i="87"/>
  <c r="P81" i="84"/>
  <c r="P122" i="94"/>
  <c r="O31" i="93"/>
  <c r="AA114" i="93"/>
  <c r="Q88" i="81"/>
  <c r="Y121" i="91"/>
  <c r="T132" i="88"/>
  <c r="L175" i="85"/>
  <c r="Z129" i="92"/>
  <c r="N84" i="93"/>
  <c r="Y84" i="92"/>
  <c r="AB114" i="93"/>
  <c r="AB103" i="91"/>
  <c r="Z101" i="83"/>
  <c r="L89" i="94"/>
  <c r="AB47" i="92"/>
  <c r="T69" i="89"/>
  <c r="Q57" i="84"/>
  <c r="Y134" i="88"/>
  <c r="AA110" i="91"/>
  <c r="P135" i="94"/>
  <c r="X126" i="94"/>
  <c r="X83" i="94"/>
  <c r="AB93" i="91"/>
  <c r="AA43" i="87"/>
  <c r="Q165" i="93"/>
  <c r="Q79" i="92"/>
  <c r="AA139" i="88"/>
  <c r="O13" i="87"/>
  <c r="Y72" i="93"/>
  <c r="Y27" i="94"/>
  <c r="P103" i="93"/>
  <c r="L98" i="92"/>
  <c r="P75" i="94"/>
  <c r="Z125" i="89"/>
  <c r="AA123" i="85"/>
  <c r="P169" i="84"/>
  <c r="Z167" i="89"/>
  <c r="P179" i="91"/>
  <c r="Z35" i="93"/>
  <c r="Q87" i="93"/>
  <c r="L85" i="94"/>
  <c r="AA89" i="85"/>
  <c r="L122" i="87"/>
  <c r="AB49" i="88"/>
  <c r="AB90" i="89"/>
  <c r="N108" i="82"/>
  <c r="Q109" i="87"/>
  <c r="Q147" i="85"/>
  <c r="P51" i="74"/>
  <c r="Z177" i="93"/>
  <c r="O140" i="81"/>
  <c r="O124" i="94"/>
  <c r="AB111" i="93"/>
  <c r="AB109" i="88"/>
  <c r="Y84" i="89"/>
  <c r="N15" i="91"/>
  <c r="N9" i="88"/>
  <c r="O183" i="81"/>
  <c r="AB160" i="85"/>
  <c r="Q142" i="91"/>
  <c r="Y23" i="94"/>
  <c r="AA169" i="94"/>
  <c r="Z140" i="91"/>
  <c r="O31" i="87"/>
  <c r="AA69" i="85"/>
  <c r="Y79" i="92"/>
  <c r="Q126" i="87"/>
  <c r="Z90" i="81"/>
  <c r="AB49" i="91"/>
  <c r="O113" i="94"/>
  <c r="AA59" i="87"/>
  <c r="Q59" i="92"/>
  <c r="O76" i="93"/>
  <c r="P113" i="88"/>
  <c r="P157" i="94"/>
  <c r="X137" i="84"/>
  <c r="Y122" i="81"/>
  <c r="L96" i="93"/>
  <c r="AB77" i="85"/>
  <c r="N90" i="91"/>
  <c r="AB141" i="94"/>
  <c r="N171" i="84"/>
  <c r="L89" i="89"/>
  <c r="Z96" i="89"/>
  <c r="L75" i="88"/>
  <c r="X155" i="92"/>
  <c r="M47" i="89"/>
  <c r="AA23" i="92"/>
  <c r="Z73" i="87"/>
  <c r="X67" i="94"/>
  <c r="O179" i="94"/>
  <c r="Y155" i="82"/>
  <c r="T57" i="82"/>
  <c r="Y17" i="74"/>
  <c r="Z83" i="84"/>
  <c r="Q11" i="93"/>
  <c r="AB33" i="93"/>
  <c r="O87" i="92"/>
  <c r="L153" i="91"/>
  <c r="P125" i="94"/>
  <c r="P80" i="87"/>
  <c r="P153" i="83"/>
  <c r="N120" i="87"/>
  <c r="X142" i="92"/>
  <c r="AB98" i="88"/>
  <c r="O142" i="88"/>
  <c r="O63" i="94"/>
  <c r="L95" i="94"/>
  <c r="P126" i="85"/>
  <c r="AB173" i="91"/>
  <c r="L110" i="92"/>
  <c r="T171" i="91"/>
  <c r="P120" i="85"/>
  <c r="P104" i="92"/>
  <c r="Q113" i="93"/>
  <c r="X90" i="88"/>
  <c r="AB140" i="94"/>
  <c r="X164" i="89"/>
  <c r="Q178" i="94"/>
  <c r="P37" i="93"/>
  <c r="L103" i="89"/>
  <c r="Q84" i="93"/>
  <c r="L83" i="94"/>
  <c r="Z153" i="91"/>
  <c r="O119" i="82"/>
  <c r="AB55" i="85"/>
  <c r="Z126" i="91"/>
  <c r="P109" i="82"/>
  <c r="P127" i="82"/>
  <c r="O133" i="93"/>
  <c r="Y31" i="82"/>
  <c r="O74" i="89"/>
  <c r="Q105" i="81"/>
  <c r="Y157" i="74"/>
  <c r="Q120" i="94"/>
  <c r="X157" i="92"/>
  <c r="X15" i="89"/>
  <c r="AB43" i="93"/>
  <c r="X155" i="84"/>
  <c r="AA150" i="94"/>
  <c r="Y126" i="92"/>
  <c r="AB93" i="84"/>
  <c r="AA149" i="89"/>
  <c r="X11" i="88"/>
  <c r="Q15" i="85"/>
  <c r="AB149" i="89"/>
  <c r="Q39" i="93"/>
  <c r="AB115" i="93"/>
  <c r="Z25" i="93"/>
  <c r="O119" i="92"/>
  <c r="X158" i="83"/>
  <c r="O107" i="91"/>
  <c r="Q76" i="84"/>
  <c r="O107" i="94"/>
  <c r="AA84" i="84"/>
  <c r="Y81" i="91"/>
  <c r="X107" i="84"/>
  <c r="Y166" i="88"/>
  <c r="O31" i="94"/>
  <c r="O43" i="88"/>
  <c r="L134" i="82"/>
  <c r="N183" i="81"/>
  <c r="AB17" i="85"/>
  <c r="AA78" i="94"/>
  <c r="AB29" i="87"/>
  <c r="Q144" i="81"/>
  <c r="Z45" i="92"/>
  <c r="AA171" i="87"/>
  <c r="L177" i="89"/>
  <c r="O79" i="87"/>
  <c r="L130" i="94"/>
  <c r="P83" i="91"/>
  <c r="AB94" i="92"/>
  <c r="L183" i="74"/>
  <c r="P169" i="91"/>
  <c r="AA157" i="89"/>
  <c r="AA147" i="82"/>
  <c r="O17" i="94"/>
  <c r="Q77" i="87"/>
  <c r="P125" i="88"/>
  <c r="M43" i="92"/>
  <c r="M55" i="94"/>
  <c r="O126" i="88"/>
  <c r="Q184" i="92"/>
  <c r="P128" i="92"/>
  <c r="X119" i="92"/>
  <c r="X37" i="89"/>
  <c r="P133" i="88"/>
  <c r="P89" i="91"/>
  <c r="X55" i="91"/>
  <c r="AA119" i="89"/>
  <c r="Y176" i="89"/>
  <c r="M31" i="92"/>
  <c r="Y170" i="91"/>
  <c r="Q124" i="88"/>
  <c r="Z71" i="94"/>
  <c r="O149" i="87"/>
  <c r="P100" i="88"/>
  <c r="P168" i="87"/>
  <c r="AA163" i="92"/>
  <c r="X147" i="84"/>
  <c r="Y174" i="92"/>
  <c r="O19" i="81"/>
  <c r="L148" i="88"/>
  <c r="AA173" i="89"/>
  <c r="L76" i="91"/>
  <c r="X175" i="92"/>
  <c r="O51" i="88"/>
  <c r="X127" i="93"/>
  <c r="X81" i="94"/>
  <c r="Y61" i="94"/>
  <c r="AB98" i="91"/>
  <c r="Q67" i="74"/>
  <c r="O109" i="92"/>
  <c r="O173" i="87"/>
  <c r="T81" i="87"/>
  <c r="Y170" i="89"/>
  <c r="Q177" i="94"/>
  <c r="O127" i="94"/>
  <c r="N183" i="83"/>
  <c r="X174" i="93"/>
  <c r="P97" i="83"/>
  <c r="Y164" i="91"/>
  <c r="Y176" i="87"/>
  <c r="O13" i="88"/>
  <c r="Y80" i="84"/>
  <c r="AA145" i="89"/>
  <c r="P121" i="84"/>
  <c r="O94" i="92"/>
  <c r="AB72" i="92"/>
  <c r="Z21" i="92"/>
  <c r="Y155" i="92"/>
  <c r="N45" i="82"/>
  <c r="L134" i="74"/>
  <c r="AA145" i="94"/>
  <c r="P73" i="93"/>
  <c r="X27" i="93"/>
  <c r="Q147" i="88"/>
  <c r="L119" i="94"/>
  <c r="AA175" i="94"/>
  <c r="P130" i="83"/>
  <c r="X165" i="92"/>
  <c r="AA174" i="92"/>
  <c r="AA162" i="84"/>
  <c r="Z99" i="94"/>
  <c r="P13" i="91"/>
  <c r="X102" i="93"/>
  <c r="X49" i="89"/>
  <c r="Q111" i="92"/>
  <c r="AA180" i="89"/>
  <c r="L169" i="85"/>
  <c r="X95" i="94"/>
  <c r="Q184" i="91"/>
  <c r="Q94" i="94"/>
  <c r="O166" i="94"/>
  <c r="Q124" i="94"/>
  <c r="P179" i="84"/>
  <c r="Z89" i="93"/>
  <c r="AB131" i="93"/>
  <c r="P171" i="93"/>
  <c r="X120" i="93"/>
  <c r="AA162" i="93"/>
  <c r="Z95" i="81"/>
  <c r="P161" i="94"/>
  <c r="Y172" i="93"/>
  <c r="Z33" i="93"/>
  <c r="T75" i="81"/>
  <c r="Q178" i="87"/>
  <c r="AA121" i="92"/>
  <c r="X33" i="87"/>
  <c r="P55" i="88"/>
  <c r="Q82" i="85"/>
  <c r="Q136" i="92"/>
  <c r="Q183" i="74"/>
  <c r="X105" i="81"/>
  <c r="Q55" i="84"/>
  <c r="L169" i="89"/>
  <c r="Q29" i="91"/>
  <c r="X117" i="93"/>
  <c r="O27" i="92"/>
  <c r="Y83" i="85"/>
  <c r="AA81" i="74"/>
  <c r="AB175" i="94"/>
  <c r="Y69" i="85"/>
  <c r="O43" i="92"/>
  <c r="Q89" i="93"/>
  <c r="AA138" i="84"/>
  <c r="AB106" i="94"/>
  <c r="P181" i="85"/>
  <c r="AB65" i="92"/>
  <c r="O113" i="92"/>
  <c r="N114" i="89"/>
  <c r="AB67" i="89"/>
  <c r="P151" i="89"/>
  <c r="Z43" i="85"/>
  <c r="AA116" i="92"/>
  <c r="AA150" i="91"/>
  <c r="O29" i="74"/>
  <c r="X139" i="94"/>
  <c r="Q89" i="92"/>
  <c r="AA73" i="92"/>
  <c r="X124" i="84"/>
  <c r="P75" i="82"/>
  <c r="N78" i="87"/>
  <c r="O153" i="81"/>
  <c r="P153" i="85"/>
  <c r="AB69" i="94"/>
  <c r="Z151" i="93"/>
  <c r="AB132" i="89"/>
  <c r="Y162" i="94"/>
  <c r="X147" i="82"/>
  <c r="Y147" i="94"/>
  <c r="O92" i="83"/>
  <c r="AA21" i="89"/>
  <c r="AA155" i="89"/>
  <c r="P89" i="87"/>
  <c r="L116" i="92"/>
  <c r="L78" i="92"/>
  <c r="Q174" i="93"/>
  <c r="P51" i="93"/>
  <c r="P23" i="93"/>
  <c r="AB123" i="91"/>
  <c r="Q122" i="87"/>
  <c r="L121" i="74"/>
  <c r="AA103" i="87"/>
  <c r="P183" i="87"/>
  <c r="X119" i="91"/>
  <c r="AB108" i="92"/>
  <c r="O27" i="94"/>
  <c r="O88" i="94"/>
  <c r="N75" i="84"/>
  <c r="Z97" i="88"/>
  <c r="AA19" i="92"/>
  <c r="Y132" i="93"/>
  <c r="P82" i="92"/>
  <c r="Y103" i="92"/>
  <c r="P51" i="89"/>
  <c r="AB157" i="81"/>
  <c r="X87" i="93"/>
  <c r="N57" i="92"/>
  <c r="AB163" i="84"/>
  <c r="Z148" i="87"/>
  <c r="AB95" i="92"/>
  <c r="X45" i="88"/>
  <c r="P9" i="94"/>
  <c r="AB71" i="92"/>
  <c r="X96" i="93"/>
  <c r="P98" i="74"/>
  <c r="Z78" i="84"/>
  <c r="X102" i="92"/>
  <c r="AA96" i="88"/>
  <c r="O43" i="83"/>
  <c r="M29" i="82"/>
  <c r="L150" i="93"/>
  <c r="O109" i="87"/>
  <c r="AB19" i="91"/>
  <c r="Z125" i="82"/>
  <c r="AA37" i="83"/>
  <c r="Q43" i="89"/>
  <c r="Q133" i="94"/>
  <c r="M25" i="87"/>
  <c r="Q183" i="85"/>
  <c r="P71" i="94"/>
  <c r="X73" i="94"/>
  <c r="P163" i="91"/>
  <c r="O65" i="89"/>
  <c r="AA122" i="84"/>
  <c r="X136" i="94"/>
  <c r="P143" i="94"/>
  <c r="L87" i="81"/>
  <c r="Z61" i="92"/>
  <c r="X148" i="92"/>
  <c r="Y123" i="91"/>
  <c r="X154" i="74"/>
  <c r="X132" i="88"/>
  <c r="X103" i="92"/>
  <c r="AA164" i="92"/>
  <c r="L152" i="87"/>
  <c r="N63" i="93"/>
  <c r="Z134" i="93"/>
  <c r="X103" i="91"/>
  <c r="P150" i="92"/>
  <c r="L148" i="92"/>
  <c r="AB105" i="83"/>
  <c r="Y33" i="84"/>
  <c r="AA71" i="93"/>
  <c r="Q159" i="91"/>
  <c r="AB111" i="92"/>
  <c r="Y165" i="88"/>
  <c r="Y144" i="94"/>
  <c r="O67" i="88"/>
  <c r="AB125" i="92"/>
  <c r="L123" i="94"/>
  <c r="L178" i="92"/>
  <c r="O145" i="94"/>
  <c r="Q94" i="85"/>
  <c r="X94" i="93"/>
  <c r="Q177" i="89"/>
  <c r="X166" i="88"/>
  <c r="Q88" i="88"/>
  <c r="AA151" i="88"/>
  <c r="P104" i="93"/>
  <c r="O153" i="88"/>
  <c r="Q51" i="88"/>
  <c r="Z140" i="89"/>
  <c r="P23" i="88"/>
  <c r="X88" i="87"/>
  <c r="N156" i="85"/>
  <c r="N171" i="94"/>
  <c r="X81" i="88"/>
  <c r="N168" i="93"/>
  <c r="AB27" i="93"/>
  <c r="AA170" i="82"/>
  <c r="X126" i="93"/>
  <c r="Q165" i="83"/>
  <c r="O59" i="85"/>
  <c r="T84" i="74"/>
  <c r="Q137" i="87"/>
  <c r="Q85" i="93"/>
  <c r="L106" i="94"/>
  <c r="X123" i="89"/>
  <c r="O178" i="93"/>
  <c r="O109" i="82"/>
  <c r="Z108" i="87"/>
  <c r="L127" i="85"/>
  <c r="Q100" i="94"/>
  <c r="Z68" i="93"/>
  <c r="L173" i="83"/>
  <c r="O158" i="94"/>
  <c r="X135" i="92"/>
  <c r="P152" i="81"/>
  <c r="AA154" i="83"/>
  <c r="O49" i="94"/>
  <c r="Y155" i="88"/>
  <c r="Y152" i="92"/>
  <c r="Y152" i="89"/>
  <c r="AB57" i="84"/>
  <c r="X144" i="92"/>
  <c r="Z153" i="93"/>
  <c r="AA43" i="92"/>
  <c r="Z98" i="92"/>
  <c r="Q104" i="92"/>
  <c r="AA101" i="93"/>
  <c r="P123" i="89"/>
  <c r="Q170" i="93"/>
  <c r="AA177" i="94"/>
  <c r="X143" i="74"/>
  <c r="X120" i="74"/>
  <c r="AB152" i="92"/>
  <c r="P132" i="85"/>
  <c r="P93" i="89"/>
  <c r="Q92" i="92"/>
  <c r="O164" i="83"/>
  <c r="Z108" i="92"/>
  <c r="Q162" i="92"/>
  <c r="P100" i="91"/>
  <c r="Z142" i="91"/>
  <c r="Q185" i="82"/>
  <c r="P95" i="83"/>
  <c r="X154" i="93"/>
  <c r="P81" i="88"/>
  <c r="Y119" i="82"/>
  <c r="O59" i="92"/>
  <c r="Z77" i="93"/>
  <c r="P97" i="92"/>
  <c r="Q49" i="82"/>
  <c r="X143" i="94"/>
  <c r="X132" i="92"/>
  <c r="L165" i="74"/>
  <c r="AB139" i="87"/>
  <c r="Z104" i="88"/>
  <c r="L148" i="91"/>
  <c r="Q154" i="92"/>
  <c r="P151" i="85"/>
  <c r="L166" i="81"/>
  <c r="L117" i="89"/>
  <c r="Y78" i="93"/>
  <c r="P53" i="94"/>
  <c r="X110" i="85"/>
  <c r="Y177" i="88"/>
  <c r="Z103" i="93"/>
  <c r="AA161" i="87"/>
  <c r="N147" i="94"/>
  <c r="P148" i="94"/>
  <c r="O93" i="88"/>
  <c r="Z21" i="89"/>
  <c r="Q127" i="91"/>
  <c r="M35" i="85"/>
  <c r="O183" i="87"/>
  <c r="T123" i="82"/>
  <c r="AB103" i="93"/>
  <c r="AB138" i="93"/>
  <c r="Q178" i="91"/>
  <c r="Y117" i="92"/>
  <c r="N165" i="85"/>
  <c r="Z41" i="88"/>
  <c r="Q109" i="93"/>
  <c r="Z39" i="89"/>
  <c r="X57" i="84"/>
  <c r="X149" i="88"/>
  <c r="AB99" i="91"/>
  <c r="Y137" i="92"/>
  <c r="AA148" i="92"/>
  <c r="P27" i="81"/>
  <c r="AB19" i="88"/>
  <c r="Z125" i="94"/>
  <c r="AB76" i="91"/>
  <c r="Y101" i="81"/>
  <c r="P65" i="94"/>
  <c r="Z119" i="82"/>
  <c r="N117" i="83"/>
  <c r="X140" i="88"/>
  <c r="O146" i="94"/>
  <c r="Y13" i="85"/>
  <c r="Q155" i="83"/>
  <c r="L174" i="88"/>
  <c r="X99" i="87"/>
  <c r="O127" i="81"/>
  <c r="O110" i="94"/>
  <c r="Q174" i="88"/>
  <c r="M31" i="87"/>
  <c r="Z155" i="93"/>
  <c r="Z160" i="94"/>
  <c r="Z163" i="82"/>
  <c r="Z81" i="94"/>
  <c r="N180" i="93"/>
  <c r="P126" i="94"/>
  <c r="Q75" i="94"/>
  <c r="AA119" i="91"/>
  <c r="P91" i="92"/>
  <c r="O156" i="92"/>
  <c r="Q156" i="93"/>
  <c r="X105" i="87"/>
  <c r="Q182" i="93"/>
  <c r="AA108" i="83"/>
  <c r="O138" i="91"/>
  <c r="Q15" i="94"/>
  <c r="AB86" i="91"/>
  <c r="L101" i="92"/>
  <c r="L123" i="87"/>
  <c r="Q112" i="93"/>
  <c r="O167" i="93"/>
  <c r="Y110" i="84"/>
  <c r="T108" i="91"/>
  <c r="AA57" i="87"/>
  <c r="O95" i="91"/>
  <c r="AA104" i="81"/>
  <c r="Z157" i="89"/>
  <c r="Z71" i="92"/>
  <c r="P141" i="92"/>
  <c r="P76" i="89"/>
  <c r="AB141" i="92"/>
  <c r="X150" i="91"/>
  <c r="X45" i="94"/>
  <c r="O87" i="81"/>
  <c r="X80" i="88"/>
  <c r="AA164" i="74"/>
  <c r="P125" i="92"/>
  <c r="Y29" i="87"/>
  <c r="AA83" i="84"/>
  <c r="AA41" i="94"/>
  <c r="T144" i="84"/>
  <c r="Y13" i="88"/>
  <c r="O176" i="91"/>
  <c r="O164" i="93"/>
  <c r="AB158" i="89"/>
  <c r="M51" i="87"/>
  <c r="X9" i="93"/>
  <c r="L69" i="92"/>
  <c r="O55" i="85"/>
  <c r="L84" i="91"/>
  <c r="T63" i="88"/>
  <c r="Q73" i="92"/>
  <c r="AA152" i="93"/>
  <c r="Z123" i="94"/>
  <c r="P163" i="83"/>
  <c r="N27" i="74"/>
  <c r="AB81" i="83"/>
  <c r="AA116" i="89"/>
  <c r="N153" i="89"/>
  <c r="X92" i="94"/>
  <c r="X130" i="92"/>
  <c r="Z17" i="89"/>
  <c r="O163" i="83"/>
  <c r="O184" i="92"/>
  <c r="O19" i="94"/>
  <c r="L83" i="93"/>
  <c r="Q84" i="92"/>
  <c r="N63" i="87"/>
  <c r="Y172" i="81"/>
  <c r="Z25" i="94"/>
  <c r="Z43" i="83"/>
  <c r="AB135" i="84"/>
  <c r="O163" i="92"/>
  <c r="O149" i="92"/>
  <c r="AA156" i="84"/>
  <c r="P168" i="89"/>
  <c r="AA105" i="87"/>
  <c r="L148" i="87"/>
  <c r="AB39" i="92"/>
  <c r="Y160" i="88"/>
  <c r="P179" i="94"/>
  <c r="AA141" i="94"/>
  <c r="P66" i="87"/>
  <c r="X55" i="92"/>
  <c r="X97" i="94"/>
  <c r="L68" i="94"/>
  <c r="AB83" i="81"/>
  <c r="AB35" i="92"/>
  <c r="AB43" i="92"/>
  <c r="L140" i="94"/>
  <c r="Y149" i="93"/>
  <c r="Y106" i="92"/>
  <c r="X180" i="88"/>
  <c r="AA158" i="93"/>
  <c r="AA75" i="94"/>
  <c r="X37" i="82"/>
  <c r="P80" i="93"/>
  <c r="L158" i="83"/>
  <c r="AB161" i="94"/>
  <c r="P75" i="92"/>
  <c r="L185" i="84"/>
  <c r="AB136" i="87"/>
  <c r="AB105" i="82"/>
  <c r="Y157" i="82"/>
  <c r="Z103" i="94"/>
  <c r="AB43" i="83"/>
  <c r="Y168" i="88"/>
  <c r="Q17" i="92"/>
  <c r="O159" i="89"/>
  <c r="O142" i="92"/>
  <c r="Y129" i="81"/>
  <c r="Y87" i="92"/>
  <c r="Z124" i="89"/>
  <c r="AB141" i="84"/>
  <c r="Y69" i="94"/>
  <c r="X162" i="92"/>
  <c r="X119" i="94"/>
  <c r="AB73" i="83"/>
  <c r="M37" i="94"/>
  <c r="AA70" i="82"/>
  <c r="P146" i="92"/>
  <c r="N135" i="89"/>
  <c r="X86" i="92"/>
  <c r="O53" i="81"/>
  <c r="Z122" i="93"/>
  <c r="Q123" i="88"/>
  <c r="Q153" i="81"/>
  <c r="AB165" i="81"/>
  <c r="P94" i="91"/>
  <c r="AA172" i="93"/>
  <c r="AB133" i="88"/>
  <c r="AA176" i="89"/>
  <c r="Q115" i="81"/>
  <c r="M59" i="88"/>
  <c r="Q184" i="89"/>
  <c r="Y123" i="92"/>
  <c r="L162" i="89"/>
  <c r="P75" i="88"/>
  <c r="L112" i="92"/>
  <c r="Y57" i="89"/>
  <c r="P84" i="93"/>
  <c r="Q55" i="94"/>
  <c r="AA92" i="87"/>
  <c r="Y148" i="87"/>
  <c r="Z143" i="87"/>
  <c r="X17" i="91"/>
  <c r="AA53" i="94"/>
  <c r="X147" i="94"/>
  <c r="Y103" i="91"/>
  <c r="P160" i="94"/>
  <c r="X76" i="89"/>
  <c r="Z13" i="83"/>
  <c r="O169" i="88"/>
  <c r="O91" i="89"/>
  <c r="AA86" i="88"/>
  <c r="O184" i="87"/>
  <c r="Z162" i="84"/>
  <c r="L77" i="94"/>
  <c r="X161" i="89"/>
  <c r="Z57" i="82"/>
  <c r="X167" i="93"/>
  <c r="Y128" i="89"/>
  <c r="L111" i="93"/>
  <c r="M35" i="92"/>
  <c r="AB83" i="94"/>
  <c r="AB83" i="84"/>
  <c r="Q184" i="81"/>
  <c r="P155" i="89"/>
  <c r="T180" i="94"/>
  <c r="Y180" i="93"/>
  <c r="AB114" i="89"/>
  <c r="AA154" i="92"/>
  <c r="Z156" i="94"/>
  <c r="AB66" i="93"/>
  <c r="P89" i="74"/>
  <c r="P88" i="93"/>
  <c r="Z114" i="81"/>
  <c r="O47" i="88"/>
  <c r="N96" i="89"/>
  <c r="AB74" i="92"/>
  <c r="Q85" i="91"/>
  <c r="AA109" i="92"/>
  <c r="L176" i="85"/>
  <c r="X159" i="81"/>
  <c r="AB162" i="83"/>
  <c r="Q107" i="74"/>
  <c r="L114" i="94"/>
  <c r="M57" i="93"/>
  <c r="O75" i="87"/>
  <c r="AB177" i="92"/>
  <c r="Z143" i="74"/>
  <c r="P180" i="91"/>
  <c r="X116" i="74"/>
  <c r="O95" i="92"/>
  <c r="L128" i="74"/>
  <c r="O147" i="85"/>
  <c r="L150" i="87"/>
  <c r="O134" i="88"/>
  <c r="Z82" i="91"/>
  <c r="L84" i="94"/>
  <c r="P184" i="74"/>
  <c r="AB86" i="83"/>
  <c r="N159" i="83"/>
  <c r="T153" i="81"/>
  <c r="X98" i="91"/>
  <c r="P87" i="89"/>
  <c r="AB164" i="88"/>
  <c r="Q135" i="89"/>
  <c r="O53" i="94"/>
  <c r="O184" i="82"/>
  <c r="L142" i="92"/>
  <c r="O166" i="89"/>
  <c r="AA144" i="93"/>
  <c r="AA61" i="94"/>
  <c r="AB136" i="94"/>
  <c r="Y106" i="91"/>
  <c r="O82" i="91"/>
  <c r="O112" i="93"/>
  <c r="P21" i="89"/>
  <c r="X77" i="84"/>
  <c r="Z37" i="93"/>
  <c r="X49" i="94"/>
  <c r="L132" i="89"/>
  <c r="Q92" i="94"/>
  <c r="M39" i="94"/>
  <c r="Q128" i="92"/>
  <c r="P173" i="81"/>
  <c r="O132" i="87"/>
  <c r="Y153" i="91"/>
  <c r="N180" i="74"/>
  <c r="Z119" i="87"/>
  <c r="Y97" i="91"/>
  <c r="X21" i="91"/>
  <c r="X98" i="74"/>
  <c r="Z149" i="92"/>
  <c r="AB169" i="92"/>
  <c r="N184" i="87"/>
  <c r="AA142" i="88"/>
  <c r="AB97" i="92"/>
  <c r="Q93" i="89"/>
  <c r="L65" i="85"/>
  <c r="Q184" i="83"/>
  <c r="AB174" i="83"/>
  <c r="Y134" i="91"/>
  <c r="Y153" i="89"/>
  <c r="Z162" i="85"/>
  <c r="O174" i="87"/>
  <c r="L90" i="82"/>
  <c r="AA112" i="92"/>
  <c r="L165" i="84"/>
  <c r="L163" i="92"/>
  <c r="Z156" i="88"/>
  <c r="L66" i="88"/>
  <c r="X161" i="91"/>
  <c r="Y93" i="94"/>
  <c r="X118" i="84"/>
  <c r="N84" i="94"/>
  <c r="P167" i="87"/>
  <c r="N66" i="88"/>
  <c r="AA146" i="89"/>
  <c r="AB176" i="92"/>
  <c r="Z29" i="92"/>
  <c r="AB126" i="88"/>
  <c r="Q142" i="93"/>
  <c r="AA90" i="88"/>
  <c r="AA154" i="94"/>
  <c r="L131" i="92"/>
  <c r="Z68" i="92"/>
  <c r="P147" i="88"/>
  <c r="O11" i="74"/>
  <c r="AA113" i="92"/>
  <c r="Q127" i="92"/>
  <c r="L158" i="92"/>
  <c r="AB67" i="87"/>
  <c r="X171" i="89"/>
  <c r="Q70" i="93"/>
  <c r="M53" i="94"/>
  <c r="O172" i="87"/>
  <c r="Q150" i="83"/>
  <c r="AA114" i="83"/>
  <c r="Z174" i="94"/>
  <c r="L153" i="88"/>
  <c r="L155" i="94"/>
  <c r="X96" i="91"/>
  <c r="AA94" i="92"/>
  <c r="O71" i="94"/>
  <c r="Y66" i="92"/>
  <c r="AB57" i="94"/>
  <c r="AA137" i="82"/>
  <c r="Z90" i="92"/>
  <c r="Z65" i="92"/>
  <c r="Q172" i="93"/>
  <c r="AB78" i="93"/>
  <c r="P139" i="91"/>
  <c r="Z115" i="89"/>
  <c r="O102" i="93"/>
  <c r="L183" i="92"/>
  <c r="X78" i="91"/>
  <c r="Y161" i="91"/>
  <c r="AB79" i="83"/>
  <c r="X176" i="83"/>
  <c r="Y74" i="93"/>
  <c r="P65" i="81"/>
  <c r="M45" i="92"/>
  <c r="P114" i="87"/>
  <c r="P177" i="85"/>
  <c r="L134" i="93"/>
  <c r="X137" i="94"/>
  <c r="AB133" i="87"/>
  <c r="O136" i="89"/>
  <c r="Y131" i="91"/>
  <c r="P145" i="89"/>
  <c r="Q21" i="88"/>
  <c r="P11" i="92"/>
  <c r="AA180" i="88"/>
  <c r="O154" i="92"/>
  <c r="N51" i="92"/>
  <c r="Y114" i="84"/>
  <c r="P152" i="91"/>
  <c r="Y100" i="92"/>
  <c r="N15" i="88"/>
  <c r="O77" i="94"/>
  <c r="P150" i="94"/>
  <c r="O49" i="88"/>
  <c r="Z104" i="91"/>
  <c r="Y162" i="92"/>
  <c r="Y39" i="81"/>
  <c r="AB91" i="91"/>
  <c r="Z109" i="88"/>
  <c r="N165" i="92"/>
  <c r="AB110" i="84"/>
  <c r="Y176" i="92"/>
  <c r="M43" i="91"/>
  <c r="Y160" i="91"/>
  <c r="Y118" i="94"/>
  <c r="Z159" i="83"/>
  <c r="L91" i="94"/>
  <c r="T129" i="89"/>
  <c r="O97" i="87"/>
  <c r="Y147" i="92"/>
  <c r="N156" i="82"/>
  <c r="Z175" i="93"/>
  <c r="Q41" i="87"/>
  <c r="AA25" i="93"/>
  <c r="L175" i="93"/>
  <c r="X140" i="94"/>
  <c r="AB93" i="94"/>
  <c r="N132" i="91"/>
  <c r="O53" i="92"/>
  <c r="Z86" i="94"/>
  <c r="Y100" i="94"/>
  <c r="X84" i="88"/>
  <c r="X124" i="89"/>
  <c r="AB49" i="83"/>
  <c r="O124" i="89"/>
  <c r="Z85" i="87"/>
  <c r="M15" i="87"/>
  <c r="Q106" i="92"/>
  <c r="X47" i="91"/>
  <c r="AA57" i="93"/>
  <c r="P15" i="92"/>
  <c r="O180" i="92"/>
  <c r="AB99" i="81"/>
  <c r="X51" i="91"/>
  <c r="Y35" i="93"/>
  <c r="P164" i="89"/>
  <c r="Q74" i="84"/>
  <c r="L121" i="92"/>
  <c r="P185" i="92"/>
  <c r="O65" i="93"/>
  <c r="O49" i="92"/>
  <c r="Z57" i="89"/>
  <c r="L177" i="94"/>
  <c r="Q72" i="89"/>
  <c r="Q9" i="93"/>
  <c r="Q147" i="94"/>
  <c r="O45" i="93"/>
  <c r="Q76" i="91"/>
  <c r="Z82" i="92"/>
  <c r="Y145" i="92"/>
  <c r="AB78" i="91"/>
  <c r="AB166" i="92"/>
  <c r="Y158" i="83"/>
  <c r="AB85" i="88"/>
  <c r="Q122" i="94"/>
  <c r="Z65" i="91"/>
  <c r="P183" i="91"/>
  <c r="M39" i="89"/>
  <c r="P82" i="91"/>
  <c r="Q166" i="89"/>
  <c r="AA84" i="85"/>
  <c r="Z95" i="89"/>
  <c r="L179" i="94"/>
  <c r="AB70" i="87"/>
  <c r="L184" i="88"/>
  <c r="X152" i="87"/>
  <c r="L73" i="94"/>
  <c r="AA21" i="88"/>
  <c r="Y33" i="88"/>
  <c r="O144" i="87"/>
  <c r="Z175" i="74"/>
  <c r="P143" i="92"/>
  <c r="AB33" i="91"/>
  <c r="T69" i="88"/>
  <c r="Q116" i="74"/>
  <c r="P33" i="83"/>
  <c r="O91" i="82"/>
  <c r="Z161" i="88"/>
  <c r="P149" i="92"/>
  <c r="AA63" i="89"/>
  <c r="X142" i="93"/>
  <c r="P132" i="74"/>
  <c r="Y67" i="91"/>
  <c r="Q164" i="93"/>
  <c r="O145" i="89"/>
  <c r="X136" i="87"/>
  <c r="P158" i="93"/>
  <c r="M59" i="87"/>
  <c r="AA141" i="89"/>
  <c r="Q101" i="93"/>
  <c r="Q118" i="94"/>
  <c r="AB13" i="91"/>
  <c r="Z116" i="91"/>
  <c r="Q125" i="94"/>
  <c r="N66" i="84"/>
  <c r="Y173" i="93"/>
  <c r="X177" i="82"/>
  <c r="AB76" i="85"/>
  <c r="AB135" i="92"/>
  <c r="Q173" i="93"/>
  <c r="AB123" i="87"/>
  <c r="Z147" i="83"/>
  <c r="L142" i="91"/>
  <c r="P118" i="89"/>
  <c r="AB77" i="88"/>
  <c r="Q97" i="88"/>
  <c r="Q88" i="89"/>
  <c r="Z69" i="84"/>
  <c r="AB122" i="82"/>
  <c r="O74" i="94"/>
  <c r="X75" i="82"/>
  <c r="Y64" i="93"/>
  <c r="L167" i="81"/>
  <c r="AA120" i="91"/>
  <c r="O130" i="94"/>
  <c r="T162" i="85"/>
  <c r="Y177" i="92"/>
  <c r="X152" i="93"/>
  <c r="Y69" i="83"/>
  <c r="Y110" i="92"/>
  <c r="O65" i="94"/>
  <c r="P23" i="92"/>
  <c r="AB43" i="88"/>
  <c r="Y55" i="92"/>
  <c r="P141" i="93"/>
  <c r="AA113" i="94"/>
  <c r="AA144" i="87"/>
  <c r="Z123" i="89"/>
  <c r="O83" i="89"/>
  <c r="AA117" i="92"/>
  <c r="L109" i="94"/>
  <c r="O176" i="85"/>
  <c r="Z138" i="89"/>
  <c r="N81" i="88"/>
  <c r="Y49" i="92"/>
  <c r="P140" i="93"/>
  <c r="AB85" i="93"/>
  <c r="L147" i="93"/>
  <c r="AB100" i="88"/>
  <c r="X120" i="84"/>
  <c r="M45" i="93"/>
  <c r="X140" i="89"/>
  <c r="AA81" i="82"/>
  <c r="AA29" i="93"/>
  <c r="AA160" i="92"/>
  <c r="Z157" i="92"/>
  <c r="Y21" i="93"/>
  <c r="P51" i="88"/>
  <c r="O41" i="93"/>
  <c r="AB164" i="91"/>
  <c r="X11" i="93"/>
  <c r="AB29" i="94"/>
  <c r="Q105" i="92"/>
  <c r="X120" i="85"/>
  <c r="Q136" i="74"/>
  <c r="X173" i="94"/>
  <c r="X145" i="93"/>
  <c r="X83" i="85"/>
  <c r="L96" i="87"/>
  <c r="L72" i="93"/>
  <c r="O68" i="92"/>
  <c r="N132" i="81"/>
  <c r="X92" i="83"/>
  <c r="AA106" i="93"/>
  <c r="Q182" i="94"/>
  <c r="L185" i="85"/>
  <c r="O91" i="93"/>
  <c r="AB160" i="94"/>
  <c r="Y65" i="92"/>
  <c r="AB84" i="93"/>
  <c r="X119" i="74"/>
  <c r="AA45" i="91"/>
  <c r="M13" i="94"/>
  <c r="M53" i="89"/>
  <c r="Z88" i="87"/>
  <c r="Z147" i="94"/>
  <c r="Q101" i="89"/>
  <c r="AA93" i="89"/>
  <c r="L87" i="93"/>
  <c r="AA84" i="82"/>
  <c r="Q161" i="89"/>
  <c r="P83" i="88"/>
  <c r="P9" i="91"/>
  <c r="Z161" i="91"/>
  <c r="T81" i="81"/>
  <c r="O21" i="74"/>
  <c r="AB89" i="94"/>
  <c r="AA146" i="85"/>
  <c r="Z65" i="94"/>
  <c r="AB112" i="94"/>
  <c r="X59" i="87"/>
  <c r="X102" i="88"/>
  <c r="X164" i="93"/>
  <c r="O184" i="81"/>
  <c r="L103" i="91"/>
  <c r="L145" i="93"/>
  <c r="Q125" i="85"/>
  <c r="X49" i="82"/>
  <c r="M51" i="94"/>
  <c r="X116" i="94"/>
  <c r="AA92" i="93"/>
  <c r="X39" i="92"/>
  <c r="O118" i="92"/>
  <c r="T132" i="87"/>
  <c r="AA100" i="87"/>
  <c r="AB170" i="93"/>
  <c r="Z170" i="82"/>
  <c r="AB90" i="87"/>
  <c r="AA33" i="93"/>
  <c r="Z55" i="93"/>
  <c r="AA138" i="92"/>
  <c r="Q79" i="84"/>
  <c r="P142" i="94"/>
  <c r="P68" i="88"/>
  <c r="Q127" i="93"/>
  <c r="O15" i="92"/>
  <c r="P43" i="92"/>
  <c r="P185" i="85"/>
  <c r="Y91" i="93"/>
  <c r="Z131" i="89"/>
  <c r="AB110" i="93"/>
  <c r="AB103" i="94"/>
  <c r="P144" i="93"/>
  <c r="O41" i="88"/>
  <c r="Y87" i="89"/>
  <c r="AB101" i="94"/>
  <c r="AB121" i="94"/>
  <c r="AB66" i="81"/>
  <c r="Y71" i="83"/>
  <c r="AB162" i="92"/>
  <c r="Q169" i="87"/>
  <c r="N183" i="88"/>
  <c r="Q25" i="88"/>
  <c r="AA74" i="89"/>
  <c r="N111" i="94"/>
  <c r="O78" i="91"/>
  <c r="L100" i="93"/>
  <c r="P130" i="82"/>
  <c r="X106" i="85"/>
  <c r="AB55" i="84"/>
  <c r="AB94" i="89"/>
  <c r="Y115" i="91"/>
  <c r="AB160" i="81"/>
  <c r="N183" i="94"/>
  <c r="AA137" i="91"/>
  <c r="AB140" i="88"/>
  <c r="Y142" i="93"/>
  <c r="P116" i="88"/>
  <c r="AB66" i="89"/>
  <c r="P41" i="74"/>
  <c r="AA85" i="93"/>
  <c r="AA11" i="74"/>
  <c r="P109" i="88"/>
  <c r="L148" i="84"/>
  <c r="X156" i="87"/>
  <c r="Q37" i="92"/>
  <c r="N87" i="89"/>
  <c r="Q126" i="93"/>
  <c r="AB81" i="94"/>
  <c r="Q159" i="87"/>
  <c r="AB152" i="93"/>
  <c r="O156" i="87"/>
  <c r="N150" i="93"/>
  <c r="X112" i="94"/>
  <c r="Y126" i="84"/>
  <c r="Q159" i="83"/>
  <c r="P171" i="91"/>
  <c r="Y171" i="94"/>
  <c r="Z85" i="81"/>
  <c r="Y78" i="91"/>
  <c r="Y116" i="91"/>
  <c r="AB11" i="94"/>
  <c r="Z47" i="87"/>
  <c r="X169" i="87"/>
  <c r="P47" i="87"/>
  <c r="AA131" i="74"/>
  <c r="N135" i="93"/>
  <c r="X70" i="87"/>
  <c r="L98" i="88"/>
  <c r="P107" i="94"/>
  <c r="AA65" i="92"/>
  <c r="X92" i="93"/>
  <c r="AA146" i="88"/>
  <c r="O102" i="94"/>
  <c r="Q29" i="88"/>
  <c r="Y128" i="82"/>
  <c r="P184" i="87"/>
  <c r="X70" i="88"/>
  <c r="Q49" i="87"/>
  <c r="AA81" i="89"/>
  <c r="Y144" i="89"/>
  <c r="Z135" i="94"/>
  <c r="O153" i="92"/>
  <c r="X114" i="89"/>
  <c r="X113" i="93"/>
  <c r="P118" i="81"/>
  <c r="Y110" i="87"/>
  <c r="N75" i="82"/>
  <c r="P29" i="91"/>
  <c r="P183" i="93"/>
  <c r="X17" i="92"/>
  <c r="AA128" i="93"/>
  <c r="AA139" i="87"/>
  <c r="Z112" i="94"/>
  <c r="L71" i="93"/>
  <c r="Q64" i="93"/>
  <c r="N93" i="74"/>
  <c r="N66" i="91"/>
  <c r="O19" i="87"/>
  <c r="Q144" i="94"/>
  <c r="AA90" i="84"/>
  <c r="AB147" i="93"/>
  <c r="Y49" i="93"/>
  <c r="AA97" i="94"/>
  <c r="L165" i="85"/>
  <c r="P53" i="92"/>
  <c r="L146" i="92"/>
  <c r="P167" i="94"/>
  <c r="O31" i="89"/>
  <c r="AB134" i="85"/>
  <c r="AA151" i="89"/>
  <c r="AB128" i="88"/>
  <c r="Y162" i="83"/>
  <c r="Z162" i="88"/>
  <c r="P101" i="93"/>
  <c r="AA88" i="74"/>
  <c r="L130" i="85"/>
  <c r="N72" i="88"/>
  <c r="AB11" i="82"/>
  <c r="L86" i="89"/>
  <c r="Y146" i="92"/>
  <c r="Y147" i="85"/>
  <c r="Y175" i="93"/>
  <c r="N78" i="92"/>
  <c r="X151" i="91"/>
  <c r="AA93" i="92"/>
  <c r="T99" i="84"/>
  <c r="AB45" i="92"/>
  <c r="Q179" i="87"/>
  <c r="Q85" i="82"/>
  <c r="X91" i="94"/>
  <c r="N185" i="89"/>
  <c r="O132" i="84"/>
  <c r="O75" i="93"/>
  <c r="Z164" i="93"/>
  <c r="Z138" i="83"/>
  <c r="L168" i="93"/>
  <c r="AB155" i="91"/>
  <c r="O66" i="91"/>
  <c r="AA90" i="89"/>
  <c r="AB66" i="84"/>
  <c r="AA138" i="88"/>
  <c r="AB124" i="93"/>
  <c r="Z149" i="82"/>
  <c r="AA149" i="88"/>
  <c r="N117" i="88"/>
  <c r="P134" i="89"/>
  <c r="M43" i="94"/>
  <c r="AB129" i="89"/>
  <c r="AB43" i="89"/>
  <c r="O72" i="91"/>
  <c r="Z165" i="91"/>
  <c r="AB99" i="93"/>
  <c r="P141" i="88"/>
  <c r="P35" i="93"/>
  <c r="Q45" i="89"/>
  <c r="Y98" i="92"/>
  <c r="L146" i="82"/>
  <c r="Y66" i="91"/>
  <c r="Y134" i="74"/>
  <c r="P118" i="83"/>
  <c r="O183" i="83"/>
  <c r="AA156" i="94"/>
  <c r="P72" i="82"/>
  <c r="O182" i="92"/>
  <c r="Q93" i="94"/>
  <c r="O151" i="94"/>
  <c r="X74" i="81"/>
  <c r="X139" i="91"/>
  <c r="O85" i="88"/>
  <c r="Q167" i="88"/>
  <c r="X68" i="94"/>
  <c r="O156" i="85"/>
  <c r="Q55" i="93"/>
  <c r="AB93" i="88"/>
  <c r="Y134" i="93"/>
  <c r="Q80" i="91"/>
  <c r="Z134" i="82"/>
  <c r="AB159" i="94"/>
  <c r="Y97" i="94"/>
  <c r="AB9" i="88"/>
  <c r="X137" i="89"/>
  <c r="Z134" i="94"/>
  <c r="Q143" i="88"/>
  <c r="Z148" i="94"/>
  <c r="Y151" i="94"/>
  <c r="X71" i="89"/>
  <c r="AB82" i="91"/>
  <c r="AA27" i="92"/>
  <c r="Z131" i="94"/>
  <c r="Z53" i="89"/>
  <c r="AA134" i="83"/>
  <c r="AB125" i="87"/>
  <c r="Y25" i="93"/>
  <c r="Q141" i="91"/>
  <c r="Q13" i="87"/>
  <c r="AB134" i="91"/>
  <c r="O154" i="93"/>
  <c r="N180" i="81"/>
  <c r="N114" i="92"/>
  <c r="Q118" i="89"/>
  <c r="Q111" i="91"/>
  <c r="L72" i="89"/>
  <c r="Z39" i="87"/>
  <c r="AA65" i="91"/>
  <c r="AB143" i="83"/>
  <c r="AA92" i="83"/>
  <c r="Q53" i="84"/>
  <c r="O161" i="89"/>
  <c r="N120" i="93"/>
  <c r="L111" i="89"/>
  <c r="O43" i="84"/>
  <c r="X47" i="93"/>
  <c r="AA23" i="93"/>
  <c r="Q51" i="91"/>
  <c r="Q66" i="94"/>
  <c r="Z108" i="91"/>
  <c r="N171" i="92"/>
  <c r="X145" i="94"/>
  <c r="Y76" i="94"/>
  <c r="P106" i="84"/>
  <c r="L91" i="87"/>
  <c r="L130" i="91"/>
  <c r="Y81" i="94"/>
  <c r="AB9" i="93"/>
  <c r="Z85" i="94"/>
  <c r="AA133" i="81"/>
  <c r="AA130" i="87"/>
  <c r="Y111" i="87"/>
  <c r="P108" i="94"/>
  <c r="Z159" i="92"/>
  <c r="Y55" i="87"/>
  <c r="M21" i="87"/>
  <c r="O165" i="88"/>
  <c r="X86" i="93"/>
  <c r="P165" i="82"/>
  <c r="X82" i="92"/>
  <c r="Q169" i="74"/>
  <c r="X141" i="92"/>
  <c r="Z100" i="91"/>
  <c r="Q85" i="87"/>
  <c r="AB73" i="85"/>
  <c r="O142" i="89"/>
  <c r="X80" i="94"/>
  <c r="P162" i="87"/>
  <c r="AB118" i="94"/>
  <c r="O132" i="91"/>
  <c r="Y171" i="92"/>
  <c r="Z78" i="92"/>
  <c r="M9" i="92"/>
  <c r="AA167" i="94"/>
  <c r="X41" i="93"/>
  <c r="AA158" i="92"/>
  <c r="AA68" i="85"/>
  <c r="AA120" i="88"/>
  <c r="X133" i="87"/>
  <c r="X169" i="91"/>
  <c r="X59" i="93"/>
  <c r="T69" i="91"/>
  <c r="Z144" i="84"/>
  <c r="AA33" i="94"/>
  <c r="Q41" i="84"/>
  <c r="Y106" i="82"/>
  <c r="X139" i="88"/>
  <c r="O21" i="89"/>
  <c r="X57" i="88"/>
  <c r="AB165" i="91"/>
  <c r="Q15" i="91"/>
  <c r="P43" i="83"/>
  <c r="X57" i="92"/>
  <c r="P76" i="88"/>
  <c r="AB165" i="88"/>
  <c r="Z132" i="91"/>
  <c r="Q110" i="92"/>
  <c r="Y129" i="92"/>
  <c r="Z110" i="87"/>
  <c r="X140" i="92"/>
  <c r="AB69" i="89"/>
  <c r="O147" i="92"/>
  <c r="Y95" i="74"/>
  <c r="L163" i="91"/>
  <c r="P184" i="94"/>
  <c r="AA147" i="94"/>
  <c r="L120" i="92"/>
  <c r="P130" i="87"/>
  <c r="O161" i="88"/>
  <c r="Z131" i="85"/>
  <c r="X138" i="89"/>
  <c r="X70" i="93"/>
  <c r="L91" i="82"/>
  <c r="Z149" i="89"/>
  <c r="L148" i="81"/>
  <c r="P132" i="89"/>
  <c r="P121" i="87"/>
  <c r="AA147" i="88"/>
  <c r="L73" i="83"/>
  <c r="Q160" i="91"/>
  <c r="O86" i="89"/>
  <c r="AA82" i="91"/>
  <c r="AA174" i="87"/>
  <c r="AB119" i="93"/>
  <c r="X57" i="82"/>
  <c r="Q69" i="91"/>
  <c r="X41" i="94"/>
  <c r="O88" i="82"/>
  <c r="P172" i="89"/>
  <c r="Y143" i="87"/>
  <c r="Z65" i="87"/>
  <c r="M21" i="93"/>
  <c r="Y117" i="91"/>
  <c r="O139" i="91"/>
  <c r="Y135" i="88"/>
  <c r="P73" i="87"/>
  <c r="Z144" i="88"/>
  <c r="Y117" i="94"/>
  <c r="T39" i="89"/>
  <c r="O170" i="88"/>
  <c r="M33" i="94"/>
  <c r="O51" i="87"/>
  <c r="X104" i="93"/>
  <c r="AA119" i="93"/>
  <c r="L108" i="92"/>
  <c r="X109" i="82"/>
  <c r="X87" i="94"/>
  <c r="AA152" i="87"/>
  <c r="Z31" i="82"/>
  <c r="O120" i="94"/>
  <c r="X158" i="82"/>
  <c r="L179" i="83"/>
  <c r="Y133" i="93"/>
  <c r="O150" i="92"/>
  <c r="Y13" i="81"/>
  <c r="AA143" i="94"/>
  <c r="Q70" i="85"/>
  <c r="P169" i="92"/>
  <c r="Y161" i="87"/>
  <c r="O128" i="89"/>
  <c r="L119" i="92"/>
  <c r="O90" i="94"/>
  <c r="AA134" i="89"/>
  <c r="Z136" i="74"/>
  <c r="Y70" i="93"/>
  <c r="AB91" i="87"/>
  <c r="M17" i="88"/>
  <c r="X93" i="89"/>
  <c r="O135" i="91"/>
  <c r="O102" i="91"/>
  <c r="O175" i="87"/>
  <c r="AA79" i="85"/>
  <c r="AA64" i="87"/>
  <c r="X72" i="92"/>
  <c r="Q89" i="94"/>
  <c r="AA19" i="91"/>
  <c r="Z147" i="93"/>
  <c r="AA21" i="93"/>
  <c r="Z13" i="92"/>
  <c r="Y142" i="81"/>
  <c r="Y83" i="92"/>
  <c r="AA123" i="89"/>
  <c r="Y146" i="89"/>
  <c r="X157" i="82"/>
  <c r="P47" i="94"/>
  <c r="AA141" i="91"/>
  <c r="Y135" i="94"/>
  <c r="X160" i="89"/>
  <c r="Q115" i="89"/>
  <c r="X63" i="94"/>
  <c r="AA47" i="94"/>
  <c r="N132" i="93"/>
  <c r="P165" i="93"/>
  <c r="AA75" i="91"/>
  <c r="Z19" i="94"/>
  <c r="L173" i="94"/>
  <c r="P97" i="91"/>
  <c r="L157" i="93"/>
  <c r="O119" i="81"/>
  <c r="Q83" i="87"/>
  <c r="P147" i="94"/>
  <c r="AA17" i="94"/>
  <c r="X109" i="81"/>
  <c r="O149" i="82"/>
  <c r="P179" i="93"/>
  <c r="Q39" i="92"/>
  <c r="X89" i="87"/>
  <c r="P112" i="85"/>
  <c r="O23" i="87"/>
  <c r="AB155" i="94"/>
  <c r="P84" i="92"/>
  <c r="O96" i="88"/>
  <c r="M37" i="92"/>
  <c r="Q17" i="91"/>
  <c r="Q59" i="89"/>
  <c r="O84" i="87"/>
  <c r="Y174" i="93"/>
  <c r="Z168" i="87"/>
  <c r="X124" i="81"/>
  <c r="Q74" i="82"/>
  <c r="N51" i="94"/>
  <c r="P131" i="88"/>
  <c r="Q145" i="91"/>
  <c r="Z85" i="89"/>
  <c r="AB87" i="87"/>
  <c r="P19" i="92"/>
  <c r="L64" i="88"/>
  <c r="N132" i="92"/>
  <c r="P69" i="83"/>
  <c r="AA127" i="81"/>
  <c r="T132" i="89"/>
  <c r="L121" i="82"/>
  <c r="AB124" i="91"/>
  <c r="L170" i="74"/>
  <c r="Z84" i="87"/>
  <c r="P164" i="74"/>
  <c r="X122" i="92"/>
  <c r="Z81" i="88"/>
  <c r="Z102" i="94"/>
  <c r="AB152" i="87"/>
  <c r="L65" i="87"/>
  <c r="P59" i="92"/>
  <c r="Q115" i="93"/>
  <c r="AA175" i="89"/>
  <c r="X146" i="74"/>
  <c r="P53" i="93"/>
  <c r="O183" i="74"/>
  <c r="P138" i="83"/>
  <c r="X146" i="92"/>
  <c r="O128" i="85"/>
  <c r="Z154" i="74"/>
  <c r="AB117" i="88"/>
  <c r="Z160" i="92"/>
  <c r="X37" i="94"/>
  <c r="T147" i="87"/>
  <c r="Q181" i="93"/>
  <c r="AA95" i="94"/>
  <c r="N165" i="94"/>
  <c r="AA107" i="93"/>
  <c r="Y132" i="84"/>
  <c r="O150" i="87"/>
  <c r="M57" i="81"/>
  <c r="Z154" i="92"/>
  <c r="AA25" i="92"/>
  <c r="X59" i="91"/>
  <c r="P136" i="91"/>
  <c r="AB166" i="91"/>
  <c r="Y13" i="94"/>
  <c r="X135" i="81"/>
  <c r="X152" i="92"/>
  <c r="AB55" i="93"/>
  <c r="Q89" i="84"/>
  <c r="Y51" i="82"/>
  <c r="P112" i="92"/>
  <c r="Q142" i="92"/>
  <c r="Y125" i="89"/>
  <c r="Z114" i="93"/>
  <c r="O144" i="92"/>
  <c r="P174" i="94"/>
  <c r="O158" i="92"/>
  <c r="X93" i="93"/>
  <c r="AA150" i="84"/>
  <c r="Y99" i="93"/>
  <c r="X127" i="89"/>
  <c r="P162" i="89"/>
  <c r="AA87" i="94"/>
  <c r="AB125" i="94"/>
  <c r="Y9" i="87"/>
  <c r="AA17" i="93"/>
  <c r="AA75" i="89"/>
  <c r="L97" i="91"/>
  <c r="P169" i="89"/>
  <c r="P154" i="93"/>
  <c r="P95" i="93"/>
  <c r="Z127" i="88"/>
  <c r="Q70" i="88"/>
  <c r="P130" i="93"/>
  <c r="X31" i="85"/>
  <c r="P92" i="92"/>
  <c r="Z131" i="93"/>
  <c r="AB100" i="94"/>
  <c r="X144" i="88"/>
  <c r="L130" i="92"/>
  <c r="AB65" i="94"/>
  <c r="Q119" i="94"/>
  <c r="Q107" i="87"/>
  <c r="Z137" i="91"/>
  <c r="O167" i="94"/>
  <c r="P140" i="94"/>
  <c r="X125" i="81"/>
  <c r="X91" i="74"/>
  <c r="AA132" i="92"/>
  <c r="P147" i="87"/>
  <c r="Q71" i="93"/>
  <c r="P164" i="84"/>
  <c r="L170" i="91"/>
  <c r="X13" i="88"/>
  <c r="X110" i="92"/>
  <c r="Q173" i="88"/>
  <c r="Z157" i="94"/>
  <c r="Z150" i="82"/>
  <c r="N153" i="92"/>
  <c r="X125" i="83"/>
  <c r="M41" i="88"/>
  <c r="Y75" i="91"/>
  <c r="P91" i="89"/>
  <c r="P100" i="81"/>
  <c r="X53" i="93"/>
  <c r="Y17" i="88"/>
  <c r="AA145" i="82"/>
  <c r="T87" i="93"/>
  <c r="T162" i="81"/>
  <c r="P123" i="83"/>
  <c r="P68" i="93"/>
  <c r="Y162" i="93"/>
  <c r="AA132" i="94"/>
  <c r="N174" i="92"/>
  <c r="Y88" i="84"/>
  <c r="O9" i="93"/>
  <c r="Y15" i="91"/>
  <c r="Y115" i="89"/>
  <c r="AB63" i="83"/>
  <c r="X125" i="87"/>
  <c r="O33" i="92"/>
  <c r="X55" i="81"/>
  <c r="Z123" i="92"/>
  <c r="Q33" i="92"/>
  <c r="Q107" i="81"/>
  <c r="AB119" i="84"/>
  <c r="T174" i="93"/>
  <c r="O185" i="82"/>
  <c r="Z176" i="89"/>
  <c r="L88" i="85"/>
  <c r="X120" i="89"/>
  <c r="AA134" i="93"/>
  <c r="N156" i="94"/>
  <c r="X95" i="83"/>
  <c r="P153" i="93"/>
  <c r="O31" i="74"/>
  <c r="N150" i="82"/>
  <c r="AB146" i="91"/>
  <c r="AA175" i="91"/>
  <c r="T120" i="93"/>
  <c r="Z35" i="88"/>
  <c r="Q84" i="82"/>
  <c r="AA137" i="88"/>
  <c r="O47" i="81"/>
  <c r="L63" i="82"/>
  <c r="X168" i="89"/>
  <c r="Y123" i="93"/>
  <c r="AB143" i="91"/>
  <c r="L78" i="94"/>
  <c r="P122" i="92"/>
  <c r="AB117" i="93"/>
  <c r="Q23" i="85"/>
  <c r="Y68" i="84"/>
  <c r="N159" i="87"/>
  <c r="O86" i="92"/>
  <c r="X33" i="88"/>
  <c r="O105" i="91"/>
  <c r="O80" i="92"/>
  <c r="Q121" i="89"/>
  <c r="Z161" i="89"/>
  <c r="P29" i="89"/>
  <c r="AA133" i="89"/>
  <c r="Y137" i="88"/>
  <c r="P117" i="83"/>
  <c r="Y140" i="92"/>
  <c r="AA73" i="89"/>
  <c r="Q85" i="94"/>
  <c r="O138" i="89"/>
  <c r="Y174" i="88"/>
  <c r="M33" i="84"/>
  <c r="AA82" i="87"/>
  <c r="AA81" i="93"/>
  <c r="X141" i="91"/>
  <c r="O177" i="84"/>
  <c r="Y86" i="88"/>
  <c r="Z173" i="94"/>
  <c r="Q77" i="88"/>
  <c r="O174" i="92"/>
  <c r="O143" i="92"/>
  <c r="O21" i="91"/>
  <c r="AB113" i="91"/>
  <c r="AA29" i="92"/>
  <c r="P85" i="94"/>
  <c r="N27" i="88"/>
  <c r="P156" i="88"/>
  <c r="O127" i="88"/>
  <c r="Z96" i="87"/>
  <c r="P138" i="92"/>
  <c r="X131" i="93"/>
  <c r="AB157" i="89"/>
  <c r="AA168" i="92"/>
  <c r="Q95" i="91"/>
  <c r="O45" i="89"/>
  <c r="Z84" i="84"/>
  <c r="Y173" i="83"/>
  <c r="AA143" i="93"/>
  <c r="AA15" i="88"/>
  <c r="Q41" i="89"/>
  <c r="P89" i="94"/>
  <c r="Q168" i="92"/>
  <c r="N117" i="94"/>
  <c r="AB159" i="88"/>
  <c r="AA126" i="82"/>
  <c r="Q9" i="91"/>
  <c r="P162" i="91"/>
  <c r="Y98" i="88"/>
  <c r="L66" i="87"/>
  <c r="AB68" i="91"/>
  <c r="P170" i="89"/>
  <c r="O157" i="88"/>
  <c r="X147" i="87"/>
  <c r="L155" i="93"/>
  <c r="AA21" i="94"/>
  <c r="X71" i="92"/>
  <c r="Q23" i="82"/>
  <c r="O23" i="85"/>
  <c r="N90" i="74"/>
  <c r="AA175" i="74"/>
  <c r="N162" i="93"/>
  <c r="Z138" i="93"/>
  <c r="Q154" i="85"/>
  <c r="Z118" i="81"/>
  <c r="Q146" i="92"/>
  <c r="AA149" i="94"/>
  <c r="AA139" i="91"/>
  <c r="Y130" i="93"/>
  <c r="O43" i="94"/>
  <c r="AA153" i="89"/>
  <c r="AA159" i="88"/>
  <c r="Z89" i="89"/>
  <c r="AB175" i="85"/>
  <c r="AB21" i="92"/>
  <c r="O71" i="92"/>
  <c r="P107" i="87"/>
  <c r="X102" i="85"/>
  <c r="AB76" i="83"/>
  <c r="Q138" i="89"/>
  <c r="N72" i="89"/>
  <c r="AB136" i="92"/>
  <c r="AB23" i="88"/>
  <c r="O45" i="85"/>
  <c r="AB104" i="82"/>
  <c r="Q185" i="74"/>
  <c r="Q19" i="94"/>
  <c r="Z135" i="87"/>
  <c r="Q148" i="94"/>
  <c r="AA96" i="91"/>
  <c r="AA93" i="94"/>
  <c r="Q115" i="87"/>
  <c r="Z133" i="94"/>
  <c r="Q156" i="89"/>
  <c r="X15" i="91"/>
  <c r="P80" i="88"/>
  <c r="Y89" i="82"/>
  <c r="Y118" i="84"/>
  <c r="AB141" i="93"/>
  <c r="Z164" i="82"/>
  <c r="L84" i="93"/>
  <c r="T63" i="81"/>
  <c r="O17" i="85"/>
  <c r="M39" i="74"/>
  <c r="Y33" i="93"/>
  <c r="N183" i="85"/>
  <c r="O173" i="89"/>
  <c r="Z73" i="94"/>
  <c r="AB61" i="89"/>
  <c r="Q21" i="92"/>
  <c r="Q21" i="83"/>
  <c r="X80" i="92"/>
  <c r="Z143" i="94"/>
  <c r="Y70" i="85"/>
  <c r="Q122" i="93"/>
  <c r="N185" i="92"/>
  <c r="Z152" i="93"/>
  <c r="AB59" i="94"/>
  <c r="X64" i="94"/>
  <c r="Y11" i="83"/>
  <c r="Y151" i="81"/>
  <c r="AB80" i="82"/>
  <c r="O96" i="84"/>
  <c r="Y33" i="91"/>
  <c r="L66" i="92"/>
  <c r="P25" i="92"/>
  <c r="AB137" i="89"/>
  <c r="Y11" i="88"/>
  <c r="T57" i="74"/>
  <c r="AA104" i="93"/>
  <c r="Y107" i="93"/>
  <c r="AB157" i="91"/>
  <c r="X103" i="88"/>
  <c r="Y138" i="94"/>
  <c r="Y173" i="87"/>
  <c r="X153" i="93"/>
  <c r="Q124" i="82"/>
  <c r="O101" i="91"/>
  <c r="O172" i="94"/>
  <c r="O148" i="84"/>
  <c r="X71" i="93"/>
  <c r="P61" i="93"/>
  <c r="AA25" i="84"/>
  <c r="Q137" i="94"/>
  <c r="Q141" i="87"/>
  <c r="O19" i="83"/>
  <c r="AB53" i="87"/>
  <c r="AB139" i="91"/>
  <c r="N135" i="81"/>
  <c r="N156" i="91"/>
  <c r="Q145" i="92"/>
  <c r="Z27" i="83"/>
  <c r="AA82" i="81"/>
  <c r="Q171" i="88"/>
  <c r="M9" i="93"/>
  <c r="AB130" i="85"/>
  <c r="AB15" i="91"/>
  <c r="Z93" i="91"/>
  <c r="AB127" i="94"/>
  <c r="AA115" i="87"/>
  <c r="Z158" i="81"/>
  <c r="AA163" i="85"/>
  <c r="X160" i="92"/>
  <c r="Y174" i="89"/>
  <c r="P84" i="89"/>
  <c r="Y23" i="91"/>
  <c r="Z37" i="83"/>
  <c r="Z69" i="91"/>
  <c r="X152" i="89"/>
  <c r="Q174" i="94"/>
  <c r="L74" i="94"/>
  <c r="Z115" i="91"/>
  <c r="L87" i="92"/>
  <c r="N165" i="93"/>
  <c r="X47" i="89"/>
  <c r="Q61" i="94"/>
  <c r="P110" i="88"/>
  <c r="P132" i="93"/>
  <c r="O158" i="83"/>
  <c r="L111" i="85"/>
  <c r="AA106" i="88"/>
  <c r="Z137" i="88"/>
  <c r="M13" i="89"/>
  <c r="AB13" i="87"/>
  <c r="P161" i="91"/>
  <c r="P178" i="93"/>
  <c r="AA136" i="85"/>
  <c r="Y144" i="87"/>
  <c r="AB135" i="89"/>
  <c r="AA153" i="92"/>
  <c r="P142" i="88"/>
  <c r="AB39" i="94"/>
  <c r="L185" i="93"/>
  <c r="AA13" i="92"/>
  <c r="O45" i="88"/>
  <c r="Q146" i="82"/>
  <c r="Z79" i="91"/>
  <c r="Z113" i="83"/>
  <c r="Q121" i="92"/>
  <c r="X108" i="89"/>
  <c r="Y112" i="94"/>
  <c r="Z117" i="83"/>
  <c r="O136" i="83"/>
  <c r="T150" i="83"/>
  <c r="L63" i="74"/>
  <c r="P37" i="94"/>
  <c r="T93" i="91"/>
  <c r="L118" i="92"/>
  <c r="Y120" i="74"/>
  <c r="Q101" i="81"/>
  <c r="Z151" i="87"/>
  <c r="AA153" i="83"/>
  <c r="AA59" i="93"/>
  <c r="O13" i="81"/>
  <c r="AA110" i="92"/>
  <c r="AA99" i="94"/>
  <c r="T123" i="87"/>
  <c r="L115" i="92"/>
  <c r="AA123" i="93"/>
  <c r="X108" i="91"/>
  <c r="N150" i="92"/>
  <c r="P166" i="94"/>
  <c r="Z116" i="88"/>
  <c r="Q181" i="92"/>
  <c r="AB93" i="92"/>
  <c r="L127" i="83"/>
  <c r="X150" i="81"/>
  <c r="L151" i="92"/>
  <c r="O178" i="91"/>
  <c r="AB176" i="83"/>
  <c r="Y39" i="91"/>
  <c r="Q19" i="83"/>
  <c r="Q95" i="94"/>
  <c r="O35" i="92"/>
  <c r="Y53" i="87"/>
  <c r="AB17" i="93"/>
  <c r="AA15" i="89"/>
  <c r="N93" i="92"/>
  <c r="AB143" i="94"/>
  <c r="P106" i="94"/>
  <c r="Q95" i="89"/>
  <c r="Z150" i="91"/>
  <c r="T174" i="89"/>
  <c r="P111" i="94"/>
  <c r="X129" i="87"/>
  <c r="P152" i="92"/>
  <c r="P92" i="88"/>
  <c r="M51" i="74"/>
  <c r="O169" i="87"/>
  <c r="X99" i="83"/>
  <c r="P17" i="93"/>
  <c r="Q35" i="91"/>
  <c r="AA114" i="85"/>
  <c r="L170" i="92"/>
  <c r="Q144" i="89"/>
  <c r="Y109" i="74"/>
  <c r="Z90" i="94"/>
  <c r="AA140" i="88"/>
  <c r="O115" i="82"/>
  <c r="AA158" i="94"/>
  <c r="L85" i="91"/>
  <c r="M35" i="94"/>
  <c r="P143" i="84"/>
  <c r="Y125" i="91"/>
  <c r="X151" i="92"/>
  <c r="Q162" i="85"/>
  <c r="AB77" i="82"/>
  <c r="O183" i="93"/>
  <c r="X101" i="91"/>
  <c r="O115" i="91"/>
  <c r="Z33" i="92"/>
  <c r="Y161" i="92"/>
  <c r="O86" i="94"/>
  <c r="Y63" i="74"/>
  <c r="P75" i="91"/>
  <c r="AA129" i="88"/>
  <c r="L140" i="89"/>
  <c r="L180" i="91"/>
  <c r="Q9" i="83"/>
  <c r="T138" i="92"/>
  <c r="Y159" i="82"/>
  <c r="Q177" i="83"/>
  <c r="Y64" i="87"/>
  <c r="AA35" i="89"/>
  <c r="Y74" i="94"/>
  <c r="Y105" i="91"/>
  <c r="Z169" i="93"/>
  <c r="Z112" i="87"/>
  <c r="Q72" i="93"/>
  <c r="L83" i="85"/>
  <c r="P149" i="93"/>
  <c r="O168" i="92"/>
  <c r="Y151" i="93"/>
  <c r="Y164" i="89"/>
  <c r="L91" i="91"/>
  <c r="Z160" i="88"/>
  <c r="X76" i="93"/>
  <c r="P118" i="88"/>
  <c r="N114" i="94"/>
  <c r="P162" i="93"/>
  <c r="AB151" i="89"/>
  <c r="N21" i="94"/>
  <c r="AA121" i="89"/>
  <c r="P135" i="85"/>
  <c r="Z74" i="89"/>
  <c r="Z91" i="89"/>
  <c r="Q183" i="83"/>
  <c r="O141" i="94"/>
  <c r="Y120" i="94"/>
  <c r="X170" i="94"/>
  <c r="Y144" i="83"/>
  <c r="AB110" i="91"/>
  <c r="Q114" i="84"/>
  <c r="L97" i="92"/>
  <c r="Z66" i="94"/>
  <c r="Y103" i="85"/>
  <c r="O25" i="91"/>
  <c r="X166" i="87"/>
  <c r="AB168" i="94"/>
  <c r="X73" i="91"/>
  <c r="Q27" i="92"/>
  <c r="X21" i="89"/>
  <c r="AA116" i="94"/>
  <c r="Z63" i="92"/>
  <c r="P95" i="92"/>
  <c r="O111" i="84"/>
  <c r="X120" i="87"/>
  <c r="Z82" i="85"/>
  <c r="O115" i="81"/>
  <c r="L116" i="85"/>
  <c r="P107" i="83"/>
  <c r="Y163" i="87"/>
  <c r="X23" i="94"/>
  <c r="Y143" i="85"/>
  <c r="P108" i="83"/>
  <c r="M17" i="93"/>
  <c r="Y107" i="94"/>
  <c r="Z95" i="87"/>
  <c r="Q130" i="93"/>
  <c r="Q174" i="87"/>
  <c r="Y115" i="81"/>
  <c r="X133" i="74"/>
  <c r="X27" i="94"/>
  <c r="X166" i="92"/>
  <c r="O71" i="93"/>
  <c r="X61" i="89"/>
  <c r="Q93" i="93"/>
  <c r="Z165" i="92"/>
  <c r="AB73" i="93"/>
  <c r="AA63" i="85"/>
  <c r="Q95" i="74"/>
  <c r="Z140" i="87"/>
  <c r="O137" i="92"/>
  <c r="O94" i="94"/>
  <c r="Z148" i="88"/>
  <c r="Q183" i="91"/>
  <c r="X140" i="84"/>
  <c r="Q185" i="87"/>
  <c r="L85" i="92"/>
  <c r="Y79" i="91"/>
  <c r="N156" i="92"/>
  <c r="Z27" i="92"/>
  <c r="O39" i="88"/>
  <c r="Q151" i="87"/>
  <c r="AB180" i="94"/>
  <c r="AA173" i="88"/>
  <c r="T120" i="91"/>
  <c r="Z112" i="81"/>
  <c r="L171" i="82"/>
  <c r="L131" i="87"/>
  <c r="AB85" i="83"/>
  <c r="T141" i="91"/>
  <c r="X77" i="89"/>
  <c r="Y140" i="83"/>
  <c r="P158" i="81"/>
  <c r="L161" i="92"/>
  <c r="P95" i="91"/>
  <c r="AA153" i="94"/>
  <c r="Y87" i="91"/>
  <c r="Q114" i="93"/>
  <c r="X145" i="87"/>
  <c r="X129" i="88"/>
  <c r="X97" i="93"/>
  <c r="Q53" i="88"/>
  <c r="O61" i="93"/>
  <c r="O37" i="87"/>
  <c r="Q163" i="93"/>
  <c r="O61" i="92"/>
  <c r="O133" i="91"/>
  <c r="L168" i="74"/>
  <c r="Q41" i="92"/>
  <c r="Y89" i="91"/>
  <c r="AB167" i="84"/>
  <c r="AA82" i="94"/>
  <c r="Z71" i="93"/>
  <c r="Y51" i="74"/>
  <c r="O103" i="94"/>
  <c r="AA25" i="82"/>
  <c r="Y109" i="85"/>
  <c r="Q133" i="91"/>
  <c r="AA146" i="94"/>
  <c r="T81" i="93"/>
  <c r="Z100" i="92"/>
  <c r="AB171" i="83"/>
  <c r="Q110" i="94"/>
  <c r="T69" i="81"/>
  <c r="AB148" i="82"/>
  <c r="O159" i="93"/>
  <c r="Z164" i="84"/>
  <c r="Q23" i="88"/>
  <c r="Q178" i="93"/>
  <c r="O63" i="83"/>
  <c r="Y114" i="93"/>
  <c r="Q87" i="92"/>
  <c r="AB169" i="82"/>
  <c r="L106" i="87"/>
  <c r="N129" i="89"/>
  <c r="Y61" i="85"/>
  <c r="L164" i="92"/>
  <c r="X140" i="85"/>
  <c r="P169" i="94"/>
  <c r="L121" i="94"/>
  <c r="Y173" i="92"/>
  <c r="M41" i="74"/>
  <c r="AB144" i="82"/>
  <c r="AA170" i="88"/>
  <c r="T165" i="91"/>
  <c r="X114" i="87"/>
  <c r="O116" i="74"/>
  <c r="P140" i="84"/>
  <c r="N159" i="89"/>
  <c r="X112" i="91"/>
  <c r="O59" i="83"/>
  <c r="X45" i="89"/>
  <c r="AB9" i="91"/>
  <c r="AB180" i="92"/>
  <c r="Y85" i="91"/>
  <c r="Y115" i="88"/>
  <c r="O96" i="93"/>
  <c r="X177" i="92"/>
  <c r="Y143" i="74"/>
  <c r="Y118" i="91"/>
  <c r="L97" i="93"/>
  <c r="Q77" i="92"/>
  <c r="Z167" i="82"/>
  <c r="Q162" i="89"/>
  <c r="Y104" i="74"/>
  <c r="P129" i="89"/>
  <c r="AB33" i="83"/>
  <c r="AB174" i="94"/>
  <c r="AA99" i="92"/>
  <c r="Q164" i="88"/>
  <c r="O95" i="83"/>
  <c r="Q150" i="92"/>
  <c r="P179" i="83"/>
  <c r="AB47" i="84"/>
  <c r="Z23" i="89"/>
  <c r="Y21" i="92"/>
  <c r="AA161" i="92"/>
  <c r="Y79" i="82"/>
  <c r="M41" i="91"/>
  <c r="AA63" i="94"/>
  <c r="Q104" i="87"/>
  <c r="X93" i="94"/>
  <c r="Z128" i="89"/>
  <c r="Q86" i="83"/>
  <c r="O9" i="89"/>
  <c r="Q166" i="94"/>
  <c r="AA27" i="94"/>
  <c r="P98" i="85"/>
  <c r="AA80" i="82"/>
  <c r="L170" i="88"/>
  <c r="Z166" i="91"/>
  <c r="AB134" i="82"/>
  <c r="Y84" i="88"/>
  <c r="L159" i="94"/>
  <c r="L116" i="87"/>
  <c r="X128" i="92"/>
  <c r="L65" i="88"/>
  <c r="N39" i="88"/>
  <c r="M61" i="93"/>
  <c r="Y148" i="93"/>
  <c r="AA105" i="94"/>
  <c r="M53" i="88"/>
  <c r="O147" i="91"/>
  <c r="Z157" i="93"/>
  <c r="L95" i="89"/>
  <c r="O19" i="89"/>
  <c r="Q99" i="82"/>
  <c r="Q158" i="88"/>
  <c r="Q175" i="91"/>
  <c r="AB74" i="87"/>
  <c r="Y146" i="87"/>
  <c r="X161" i="93"/>
  <c r="AB82" i="89"/>
  <c r="Q139" i="87"/>
  <c r="Y134" i="92"/>
  <c r="O93" i="92"/>
  <c r="L164" i="87"/>
  <c r="L114" i="89"/>
  <c r="AB127" i="82"/>
  <c r="X123" i="91"/>
  <c r="Y91" i="92"/>
  <c r="L184" i="84"/>
  <c r="AA154" i="88"/>
  <c r="X83" i="82"/>
  <c r="Y157" i="92"/>
  <c r="Z136" i="88"/>
  <c r="M39" i="83"/>
  <c r="Z37" i="85"/>
  <c r="AA86" i="93"/>
  <c r="O31" i="84"/>
  <c r="Y113" i="85"/>
  <c r="X70" i="91"/>
  <c r="L127" i="91"/>
  <c r="X85" i="84"/>
  <c r="L184" i="81"/>
  <c r="Y155" i="89"/>
  <c r="X124" i="94"/>
  <c r="L63" i="91"/>
  <c r="Q99" i="85"/>
  <c r="AA141" i="81"/>
  <c r="AA85" i="87"/>
  <c r="N63" i="91"/>
  <c r="X116" i="88"/>
  <c r="Y158" i="93"/>
  <c r="Q78" i="94"/>
  <c r="O127" i="85"/>
  <c r="Q155" i="93"/>
  <c r="Z158" i="91"/>
  <c r="Y70" i="87"/>
  <c r="X93" i="92"/>
  <c r="P70" i="83"/>
  <c r="O90" i="92"/>
  <c r="P66" i="94"/>
  <c r="AA90" i="74"/>
  <c r="Y132" i="89"/>
  <c r="L128" i="91"/>
  <c r="AA128" i="92"/>
  <c r="P99" i="84"/>
  <c r="Z74" i="91"/>
  <c r="Z156" i="93"/>
  <c r="L143" i="94"/>
  <c r="AB70" i="91"/>
  <c r="Y126" i="89"/>
  <c r="O90" i="88"/>
  <c r="L172" i="94"/>
  <c r="Y151" i="82"/>
  <c r="Z133" i="91"/>
  <c r="Y138" i="74"/>
  <c r="AA135" i="94"/>
  <c r="O157" i="92"/>
  <c r="Y47" i="89"/>
  <c r="P69" i="92"/>
  <c r="O140" i="89"/>
  <c r="X134" i="84"/>
  <c r="Q111" i="88"/>
  <c r="AB43" i="87"/>
  <c r="X165" i="88"/>
  <c r="X177" i="93"/>
  <c r="N72" i="87"/>
  <c r="M17" i="94"/>
  <c r="Z113" i="88"/>
  <c r="P162" i="84"/>
  <c r="N9" i="84"/>
  <c r="L165" i="94"/>
  <c r="O122" i="91"/>
  <c r="AA111" i="84"/>
  <c r="X163" i="91"/>
  <c r="Z119" i="88"/>
  <c r="Y135" i="91"/>
  <c r="Z98" i="85"/>
  <c r="Z139" i="87"/>
  <c r="Z111" i="94"/>
  <c r="T117" i="89"/>
  <c r="L94" i="92"/>
  <c r="X33" i="94"/>
  <c r="Z11" i="92"/>
  <c r="AA140" i="93"/>
  <c r="X45" i="83"/>
  <c r="T51" i="89"/>
  <c r="AB73" i="84"/>
  <c r="X123" i="94"/>
  <c r="AB98" i="92"/>
  <c r="AB146" i="94"/>
  <c r="AA114" i="94"/>
  <c r="P128" i="83"/>
  <c r="T15" i="91"/>
  <c r="T81" i="83"/>
  <c r="O153" i="93"/>
  <c r="O101" i="92"/>
  <c r="O149" i="84"/>
  <c r="Q150" i="88"/>
  <c r="P141" i="87"/>
  <c r="AA84" i="93"/>
  <c r="AB87" i="92"/>
  <c r="L78" i="74"/>
  <c r="AA170" i="81"/>
  <c r="AA95" i="91"/>
  <c r="L166" i="93"/>
  <c r="AA137" i="93"/>
  <c r="O156" i="93"/>
  <c r="AA118" i="93"/>
  <c r="AB115" i="84"/>
  <c r="L163" i="83"/>
  <c r="Y145" i="91"/>
  <c r="X139" i="92"/>
  <c r="Q185" i="81"/>
  <c r="Y82" i="92"/>
  <c r="Q70" i="94"/>
  <c r="X90" i="93"/>
  <c r="X77" i="88"/>
  <c r="X43" i="94"/>
  <c r="X115" i="91"/>
  <c r="L127" i="89"/>
  <c r="AB180" i="87"/>
  <c r="L182" i="89"/>
  <c r="O180" i="94"/>
  <c r="Z65" i="82"/>
  <c r="Q80" i="92"/>
  <c r="O143" i="81"/>
  <c r="AB145" i="92"/>
  <c r="AB138" i="91"/>
  <c r="N51" i="83"/>
  <c r="Q183" i="82"/>
  <c r="O165" i="94"/>
  <c r="Y180" i="89"/>
  <c r="Y177" i="87"/>
  <c r="O96" i="83"/>
  <c r="Y129" i="91"/>
  <c r="L169" i="87"/>
  <c r="L69" i="87"/>
  <c r="P74" i="84"/>
  <c r="O97" i="83"/>
  <c r="P96" i="81"/>
  <c r="M37" i="84"/>
  <c r="Q113" i="92"/>
  <c r="L100" i="92"/>
  <c r="AA135" i="87"/>
  <c r="M49" i="94"/>
  <c r="O170" i="92"/>
  <c r="Y127" i="92"/>
  <c r="L161" i="84"/>
  <c r="P90" i="93"/>
  <c r="M41" i="87"/>
  <c r="AB163" i="93"/>
  <c r="M33" i="89"/>
  <c r="Q121" i="93"/>
  <c r="AB86" i="93"/>
  <c r="Q147" i="92"/>
  <c r="X35" i="85"/>
  <c r="X72" i="84"/>
  <c r="AB142" i="94"/>
  <c r="AB111" i="94"/>
  <c r="X122" i="89"/>
  <c r="M51" i="85"/>
  <c r="X87" i="92"/>
  <c r="P21" i="93"/>
  <c r="Z119" i="91"/>
  <c r="X180" i="83"/>
  <c r="Z150" i="84"/>
  <c r="AB170" i="84"/>
  <c r="P51" i="82"/>
  <c r="X151" i="94"/>
  <c r="X137" i="74"/>
  <c r="AA72" i="89"/>
  <c r="X135" i="89"/>
  <c r="Z77" i="89"/>
  <c r="Z53" i="92"/>
  <c r="X91" i="87"/>
  <c r="AB112" i="91"/>
  <c r="L117" i="84"/>
  <c r="X82" i="94"/>
  <c r="P74" i="91"/>
  <c r="T165" i="81"/>
  <c r="Y157" i="89"/>
  <c r="Q118" i="85"/>
  <c r="AB158" i="94"/>
  <c r="AB138" i="87"/>
  <c r="N63" i="88"/>
  <c r="N135" i="74"/>
  <c r="X164" i="94"/>
  <c r="Y113" i="91"/>
  <c r="AA159" i="92"/>
  <c r="Z125" i="93"/>
  <c r="N144" i="74"/>
  <c r="Z148" i="92"/>
  <c r="L110" i="82"/>
  <c r="L135" i="93"/>
  <c r="L90" i="92"/>
  <c r="AA89" i="93"/>
  <c r="X152" i="88"/>
  <c r="AB80" i="88"/>
  <c r="L184" i="87"/>
  <c r="Z67" i="81"/>
  <c r="Z147" i="85"/>
  <c r="AA130" i="83"/>
  <c r="L129" i="89"/>
  <c r="Z175" i="92"/>
  <c r="Q128" i="93"/>
  <c r="Z91" i="84"/>
  <c r="AB83" i="88"/>
  <c r="Z59" i="85"/>
  <c r="Y180" i="88"/>
  <c r="P173" i="82"/>
  <c r="AB94" i="94"/>
  <c r="AA177" i="87"/>
  <c r="Q128" i="91"/>
  <c r="AB136" i="93"/>
  <c r="L183" i="82"/>
  <c r="L142" i="94"/>
  <c r="P181" i="84"/>
  <c r="Y49" i="87"/>
  <c r="Y142" i="92"/>
  <c r="Z75" i="94"/>
  <c r="Z66" i="87"/>
  <c r="Y154" i="93"/>
  <c r="Y115" i="92"/>
  <c r="Y151" i="87"/>
  <c r="AA118" i="74"/>
  <c r="Z80" i="89"/>
  <c r="N159" i="94"/>
  <c r="Q177" i="81"/>
  <c r="AA85" i="91"/>
  <c r="Q130" i="82"/>
  <c r="P99" i="74"/>
  <c r="L111" i="81"/>
  <c r="O165" i="81"/>
  <c r="P9" i="74"/>
  <c r="Y119" i="91"/>
  <c r="AB29" i="93"/>
  <c r="AB109" i="85"/>
  <c r="Q175" i="81"/>
  <c r="O178" i="84"/>
  <c r="L130" i="93"/>
  <c r="L126" i="84"/>
  <c r="AA155" i="88"/>
  <c r="M39" i="93"/>
  <c r="L120" i="74"/>
  <c r="Q168" i="82"/>
  <c r="Y152" i="93"/>
  <c r="P149" i="74"/>
  <c r="Z162" i="89"/>
  <c r="X49" i="87"/>
  <c r="AA159" i="85"/>
  <c r="P164" i="93"/>
  <c r="M21" i="94"/>
  <c r="AB160" i="92"/>
  <c r="AB130" i="81"/>
  <c r="Z161" i="82"/>
  <c r="AB102" i="93"/>
  <c r="P73" i="94"/>
  <c r="Q155" i="91"/>
  <c r="AB145" i="88"/>
  <c r="AB68" i="94"/>
  <c r="P168" i="94"/>
  <c r="L69" i="88"/>
  <c r="P164" i="94"/>
  <c r="Y81" i="87"/>
  <c r="Z94" i="87"/>
  <c r="P148" i="84"/>
  <c r="X47" i="87"/>
  <c r="AA75" i="87"/>
  <c r="O91" i="94"/>
  <c r="Z43" i="81"/>
  <c r="Q184" i="87"/>
  <c r="P57" i="93"/>
  <c r="P105" i="91"/>
  <c r="Q29" i="93"/>
  <c r="L75" i="87"/>
  <c r="Y43" i="94"/>
  <c r="Y120" i="92"/>
  <c r="P35" i="81"/>
  <c r="X77" i="82"/>
  <c r="AB148" i="81"/>
  <c r="Z150" i="88"/>
  <c r="X150" i="87"/>
  <c r="P163" i="93"/>
  <c r="Y94" i="93"/>
  <c r="X79" i="84"/>
  <c r="O23" i="89"/>
  <c r="AA55" i="87"/>
  <c r="O110" i="89"/>
  <c r="Y155" i="94"/>
  <c r="P181" i="94"/>
  <c r="X88" i="89"/>
  <c r="P150" i="85"/>
  <c r="Y90" i="84"/>
  <c r="T135" i="93"/>
  <c r="X104" i="89"/>
  <c r="O80" i="87"/>
  <c r="X68" i="85"/>
  <c r="O110" i="91"/>
  <c r="O159" i="92"/>
  <c r="N147" i="93"/>
  <c r="O41" i="89"/>
  <c r="X98" i="94"/>
  <c r="P23" i="91"/>
  <c r="L167" i="93"/>
  <c r="X108" i="94"/>
  <c r="P179" i="82"/>
  <c r="N93" i="88"/>
  <c r="AB71" i="94"/>
  <c r="P75" i="81"/>
  <c r="AB151" i="94"/>
  <c r="AB156" i="91"/>
  <c r="Z79" i="88"/>
  <c r="Z166" i="87"/>
  <c r="Q181" i="91"/>
  <c r="Z169" i="92"/>
  <c r="Q170" i="88"/>
  <c r="M33" i="81"/>
  <c r="P175" i="74"/>
  <c r="AB169" i="93"/>
  <c r="P159" i="92"/>
  <c r="P61" i="89"/>
  <c r="Q135" i="94"/>
  <c r="O185" i="83"/>
  <c r="Y126" i="87"/>
  <c r="Q101" i="92"/>
  <c r="AA68" i="89"/>
  <c r="P84" i="94"/>
  <c r="P150" i="81"/>
  <c r="Y25" i="92"/>
  <c r="AA180" i="93"/>
  <c r="AA158" i="85"/>
  <c r="P130" i="89"/>
  <c r="N39" i="89"/>
  <c r="P55" i="93"/>
  <c r="Y115" i="84"/>
  <c r="P64" i="87"/>
  <c r="AB158" i="91"/>
  <c r="P86" i="93"/>
  <c r="X25" i="88"/>
  <c r="M59" i="89"/>
  <c r="X27" i="83"/>
  <c r="Z70" i="89"/>
  <c r="T21" i="91"/>
  <c r="O104" i="93"/>
  <c r="P91" i="82"/>
  <c r="AB171" i="89"/>
  <c r="AB9" i="82"/>
  <c r="Z174" i="91"/>
  <c r="Q133" i="83"/>
  <c r="Q136" i="83"/>
  <c r="L155" i="92"/>
  <c r="Z175" i="81"/>
  <c r="L140" i="83"/>
  <c r="L85" i="87"/>
  <c r="AA53" i="85"/>
  <c r="N63" i="92"/>
  <c r="AA39" i="89"/>
  <c r="L185" i="92"/>
  <c r="L102" i="89"/>
  <c r="AA116" i="93"/>
  <c r="O11" i="84"/>
  <c r="O89" i="81"/>
  <c r="Q119" i="93"/>
  <c r="AA148" i="94"/>
  <c r="Q97" i="87"/>
  <c r="O68" i="89"/>
  <c r="P85" i="92"/>
  <c r="AA161" i="82"/>
  <c r="L122" i="81"/>
  <c r="Q37" i="82"/>
  <c r="Y27" i="92"/>
  <c r="L94" i="94"/>
  <c r="AB139" i="94"/>
  <c r="Y159" i="89"/>
  <c r="Q136" i="85"/>
  <c r="P74" i="94"/>
  <c r="AB170" i="83"/>
  <c r="X103" i="84"/>
  <c r="O125" i="89"/>
  <c r="N185" i="81"/>
  <c r="Y71" i="91"/>
  <c r="AB37" i="94"/>
  <c r="O101" i="94"/>
  <c r="Q119" i="91"/>
  <c r="AB162" i="85"/>
  <c r="AB160" i="91"/>
  <c r="AB65" i="89"/>
  <c r="P105" i="84"/>
  <c r="AA150" i="93"/>
  <c r="AB93" i="89"/>
  <c r="L137" i="91"/>
  <c r="Q77" i="84"/>
  <c r="Y93" i="89"/>
  <c r="X159" i="91"/>
  <c r="Y114" i="81"/>
  <c r="O47" i="84"/>
  <c r="P55" i="87"/>
  <c r="AA104" i="92"/>
  <c r="Q65" i="93"/>
  <c r="M57" i="91"/>
  <c r="P182" i="88"/>
  <c r="Q57" i="93"/>
  <c r="N183" i="82"/>
  <c r="AA35" i="74"/>
  <c r="AB172" i="92"/>
  <c r="X149" i="87"/>
  <c r="O59" i="87"/>
  <c r="P166" i="87"/>
  <c r="Y139" i="94"/>
  <c r="T99" i="91"/>
  <c r="AA176" i="88"/>
  <c r="P73" i="92"/>
  <c r="X64" i="81"/>
  <c r="AA169" i="91"/>
  <c r="Z82" i="88"/>
  <c r="O114" i="87"/>
  <c r="O78" i="92"/>
  <c r="X81" i="84"/>
  <c r="P176" i="92"/>
  <c r="O97" i="84"/>
  <c r="P63" i="74"/>
  <c r="Y69" i="93"/>
  <c r="Z102" i="91"/>
  <c r="Z90" i="85"/>
  <c r="Q91" i="87"/>
  <c r="Z17" i="93"/>
  <c r="AA11" i="84"/>
  <c r="P33" i="85"/>
  <c r="AB130" i="91"/>
  <c r="X154" i="92"/>
  <c r="T135" i="89"/>
  <c r="N165" i="91"/>
  <c r="AA164" i="91"/>
  <c r="Y94" i="94"/>
  <c r="Q144" i="93"/>
  <c r="N177" i="88"/>
  <c r="AA17" i="87"/>
  <c r="L180" i="74"/>
  <c r="N27" i="91"/>
  <c r="N144" i="82"/>
  <c r="Y47" i="93"/>
  <c r="AA122" i="89"/>
  <c r="T15" i="82"/>
  <c r="AA88" i="88"/>
  <c r="O159" i="91"/>
  <c r="N153" i="93"/>
  <c r="Q133" i="84"/>
  <c r="Y136" i="92"/>
  <c r="O135" i="88"/>
  <c r="O155" i="94"/>
  <c r="Z139" i="88"/>
  <c r="L170" i="83"/>
  <c r="AB49" i="85"/>
  <c r="AA96" i="84"/>
  <c r="Q51" i="87"/>
  <c r="Q82" i="82"/>
  <c r="L105" i="94"/>
  <c r="T150" i="92"/>
  <c r="AB96" i="94"/>
  <c r="AB163" i="85"/>
  <c r="Z132" i="93"/>
  <c r="AB122" i="89"/>
  <c r="T147" i="82"/>
  <c r="P61" i="92"/>
  <c r="X176" i="91"/>
  <c r="P82" i="85"/>
  <c r="O55" i="88"/>
  <c r="AB164" i="85"/>
  <c r="O132" i="93"/>
  <c r="Z76" i="81"/>
  <c r="L116" i="83"/>
  <c r="P133" i="84"/>
  <c r="Y153" i="88"/>
  <c r="P80" i="89"/>
  <c r="P49" i="74"/>
  <c r="L180" i="87"/>
  <c r="L101" i="85"/>
  <c r="Q64" i="89"/>
  <c r="AB59" i="84"/>
  <c r="AA133" i="93"/>
  <c r="X125" i="93"/>
  <c r="L143" i="91"/>
  <c r="X128" i="82"/>
  <c r="X167" i="88"/>
  <c r="M43" i="85"/>
  <c r="Z95" i="93"/>
  <c r="P130" i="91"/>
  <c r="L68" i="91"/>
  <c r="L106" i="93"/>
  <c r="AB137" i="85"/>
  <c r="X75" i="88"/>
  <c r="Q61" i="88"/>
  <c r="Q144" i="82"/>
  <c r="O87" i="88"/>
  <c r="X170" i="93"/>
  <c r="AB167" i="92"/>
  <c r="L184" i="93"/>
  <c r="AA173" i="87"/>
  <c r="Q146" i="91"/>
  <c r="L106" i="83"/>
  <c r="Y131" i="89"/>
  <c r="AB103" i="89"/>
  <c r="Z89" i="88"/>
  <c r="AB59" i="93"/>
  <c r="O120" i="92"/>
  <c r="O169" i="94"/>
  <c r="Y90" i="91"/>
  <c r="Q102" i="87"/>
  <c r="X96" i="92"/>
  <c r="Z31" i="92"/>
  <c r="L121" i="87"/>
  <c r="Q21" i="84"/>
  <c r="AA125" i="89"/>
  <c r="AA81" i="94"/>
  <c r="AB104" i="92"/>
  <c r="Q19" i="82"/>
  <c r="AB25" i="85"/>
  <c r="N183" i="89"/>
  <c r="M11" i="84"/>
  <c r="L185" i="87"/>
  <c r="L183" i="84"/>
  <c r="P31" i="89"/>
  <c r="Y63" i="94"/>
  <c r="P137" i="93"/>
  <c r="O33" i="74"/>
  <c r="Z84" i="92"/>
  <c r="N114" i="93"/>
  <c r="AA43" i="85"/>
  <c r="Y81" i="88"/>
  <c r="Q99" i="94"/>
  <c r="X19" i="93"/>
  <c r="O110" i="87"/>
  <c r="Y88" i="94"/>
  <c r="Q82" i="87"/>
  <c r="O103" i="91"/>
  <c r="N185" i="83"/>
  <c r="Q81" i="87"/>
  <c r="Z160" i="93"/>
  <c r="P183" i="85"/>
  <c r="Z148" i="93"/>
  <c r="P148" i="92"/>
  <c r="Y88" i="88"/>
  <c r="O80" i="93"/>
  <c r="N99" i="94"/>
  <c r="AB88" i="83"/>
  <c r="O68" i="91"/>
  <c r="Z11" i="88"/>
  <c r="L168" i="91"/>
  <c r="O105" i="92"/>
  <c r="O150" i="82"/>
  <c r="Q155" i="89"/>
  <c r="P122" i="83"/>
  <c r="L100" i="87"/>
  <c r="Y157" i="87"/>
  <c r="AA53" i="74"/>
  <c r="Q132" i="94"/>
  <c r="Q95" i="82"/>
  <c r="P134" i="92"/>
  <c r="Z128" i="88"/>
  <c r="X134" i="88"/>
  <c r="L111" i="87"/>
  <c r="Q21" i="91"/>
  <c r="AB169" i="87"/>
  <c r="X112" i="82"/>
  <c r="P162" i="83"/>
  <c r="Z74" i="94"/>
  <c r="L139" i="88"/>
  <c r="AA163" i="93"/>
  <c r="P9" i="92"/>
  <c r="AB123" i="94"/>
  <c r="N69" i="94"/>
  <c r="M35" i="91"/>
  <c r="O138" i="88"/>
  <c r="AA9" i="81"/>
  <c r="AA119" i="87"/>
  <c r="Y95" i="93"/>
  <c r="AB101" i="81"/>
  <c r="P161" i="87"/>
  <c r="O98" i="74"/>
  <c r="X134" i="92"/>
  <c r="N15" i="84"/>
  <c r="L73" i="89"/>
  <c r="AB45" i="91"/>
  <c r="Q43" i="74"/>
  <c r="T78" i="82"/>
  <c r="Z37" i="89"/>
  <c r="AB100" i="81"/>
  <c r="Z97" i="91"/>
  <c r="Q68" i="94"/>
  <c r="X66" i="89"/>
  <c r="X154" i="82"/>
  <c r="Z71" i="82"/>
  <c r="AA76" i="94"/>
  <c r="M41" i="81"/>
  <c r="Y119" i="85"/>
  <c r="AB71" i="93"/>
  <c r="AA177" i="93"/>
  <c r="AB116" i="88"/>
  <c r="AB49" i="93"/>
  <c r="AB61" i="94"/>
  <c r="M33" i="87"/>
  <c r="Y72" i="92"/>
  <c r="AA104" i="74"/>
  <c r="AB113" i="83"/>
  <c r="Q99" i="87"/>
  <c r="Q29" i="84"/>
  <c r="Z143" i="92"/>
  <c r="Z97" i="82"/>
  <c r="O110" i="74"/>
  <c r="Z156" i="91"/>
  <c r="X39" i="94"/>
  <c r="O99" i="92"/>
  <c r="Y117" i="84"/>
  <c r="N150" i="91"/>
  <c r="L184" i="91"/>
  <c r="N9" i="92"/>
  <c r="N132" i="84"/>
  <c r="L173" i="89"/>
  <c r="P96" i="93"/>
  <c r="X172" i="84"/>
  <c r="AB180" i="88"/>
  <c r="AB73" i="88"/>
  <c r="AA102" i="74"/>
  <c r="P146" i="93"/>
  <c r="P76" i="81"/>
  <c r="Y170" i="93"/>
  <c r="O135" i="92"/>
  <c r="AB33" i="88"/>
  <c r="O111" i="91"/>
  <c r="T123" i="74"/>
  <c r="M47" i="81"/>
  <c r="Z129" i="81"/>
  <c r="Y111" i="92"/>
  <c r="P63" i="84"/>
  <c r="T15" i="89"/>
  <c r="Q142" i="94"/>
  <c r="X166" i="89"/>
  <c r="Z57" i="85"/>
  <c r="AB43" i="82"/>
  <c r="O85" i="89"/>
  <c r="T129" i="81"/>
  <c r="Q172" i="94"/>
  <c r="Y59" i="93"/>
  <c r="Q177" i="91"/>
  <c r="Y153" i="94"/>
  <c r="Q43" i="82"/>
  <c r="Y141" i="93"/>
  <c r="T75" i="85"/>
  <c r="L141" i="94"/>
  <c r="AB81" i="91"/>
  <c r="AA166" i="94"/>
  <c r="O81" i="87"/>
  <c r="Q87" i="88"/>
  <c r="X101" i="84"/>
  <c r="Q71" i="87"/>
  <c r="Z94" i="82"/>
  <c r="P154" i="92"/>
  <c r="Z13" i="94"/>
  <c r="Q139" i="94"/>
  <c r="Y35" i="91"/>
  <c r="AA171" i="92"/>
  <c r="AA90" i="94"/>
  <c r="O118" i="74"/>
  <c r="L93" i="94"/>
  <c r="Q83" i="94"/>
  <c r="AA143" i="74"/>
  <c r="P97" i="88"/>
  <c r="AA126" i="91"/>
  <c r="AA148" i="91"/>
  <c r="X101" i="87"/>
  <c r="P29" i="87"/>
  <c r="Y11" i="87"/>
  <c r="Q112" i="74"/>
  <c r="Z172" i="93"/>
  <c r="Y61" i="93"/>
  <c r="AA45" i="87"/>
  <c r="O78" i="94"/>
  <c r="AA67" i="82"/>
  <c r="X76" i="92"/>
  <c r="L142" i="93"/>
  <c r="Y94" i="81"/>
  <c r="AA64" i="94"/>
  <c r="P85" i="87"/>
  <c r="AB171" i="91"/>
  <c r="L93" i="85"/>
  <c r="L141" i="93"/>
  <c r="O113" i="91"/>
  <c r="AB76" i="92"/>
  <c r="Z79" i="89"/>
  <c r="L164" i="94"/>
  <c r="AA118" i="92"/>
  <c r="O45" i="87"/>
  <c r="AB63" i="93"/>
  <c r="Y49" i="83"/>
  <c r="Z150" i="94"/>
  <c r="X141" i="94"/>
  <c r="Y27" i="91"/>
  <c r="Z138" i="91"/>
  <c r="AA156" i="91"/>
  <c r="AB74" i="94"/>
  <c r="X151" i="87"/>
  <c r="P102" i="81"/>
  <c r="P70" i="91"/>
  <c r="Y167" i="92"/>
  <c r="Z79" i="81"/>
  <c r="Y165" i="83"/>
  <c r="X114" i="93"/>
  <c r="P74" i="93"/>
  <c r="Q49" i="93"/>
  <c r="O172" i="91"/>
  <c r="Y104" i="93"/>
  <c r="AA78" i="92"/>
  <c r="Q116" i="83"/>
  <c r="AA116" i="82"/>
  <c r="X91" i="82"/>
  <c r="Z140" i="93"/>
  <c r="O176" i="94"/>
  <c r="Z93" i="92"/>
  <c r="AA172" i="85"/>
  <c r="AA147" i="93"/>
  <c r="AB91" i="82"/>
  <c r="Q134" i="93"/>
  <c r="N120" i="81"/>
  <c r="AB177" i="91"/>
  <c r="P101" i="94"/>
  <c r="Q142" i="82"/>
  <c r="X23" i="89"/>
  <c r="Y107" i="81"/>
  <c r="P164" i="91"/>
  <c r="Z101" i="88"/>
  <c r="L65" i="81"/>
  <c r="AB153" i="93"/>
  <c r="Z100" i="89"/>
  <c r="AA45" i="85"/>
  <c r="Q98" i="85"/>
  <c r="Y65" i="94"/>
  <c r="Q131" i="82"/>
  <c r="X120" i="92"/>
  <c r="Y25" i="94"/>
  <c r="Z21" i="88"/>
  <c r="L71" i="87"/>
  <c r="P167" i="84"/>
  <c r="P76" i="92"/>
  <c r="M55" i="91"/>
  <c r="Y81" i="93"/>
  <c r="X97" i="91"/>
  <c r="O143" i="91"/>
  <c r="AB70" i="93"/>
  <c r="O146" i="88"/>
  <c r="P140" i="89"/>
  <c r="Z94" i="92"/>
  <c r="P107" i="88"/>
  <c r="AB117" i="92"/>
  <c r="O142" i="85"/>
  <c r="Q65" i="87"/>
  <c r="AA118" i="88"/>
  <c r="Y117" i="87"/>
  <c r="AA159" i="94"/>
  <c r="AB75" i="88"/>
  <c r="P177" i="94"/>
  <c r="L159" i="89"/>
  <c r="Y57" i="82"/>
  <c r="O49" i="84"/>
  <c r="Z64" i="83"/>
  <c r="Y100" i="93"/>
  <c r="L104" i="91"/>
  <c r="X51" i="93"/>
  <c r="AA63" i="84"/>
  <c r="L174" i="84"/>
  <c r="P159" i="93"/>
  <c r="Y31" i="89"/>
  <c r="M31" i="89"/>
  <c r="Z13" i="89"/>
  <c r="O33" i="91"/>
  <c r="X17" i="83"/>
  <c r="O98" i="91"/>
  <c r="X141" i="89"/>
  <c r="P49" i="85"/>
  <c r="T63" i="83"/>
  <c r="Y79" i="89"/>
  <c r="L120" i="94"/>
  <c r="O78" i="93"/>
  <c r="N111" i="92"/>
  <c r="Y148" i="88"/>
  <c r="L64" i="83"/>
  <c r="AA19" i="83"/>
  <c r="L136" i="74"/>
  <c r="Q57" i="94"/>
  <c r="AB174" i="85"/>
  <c r="Z29" i="83"/>
  <c r="Y13" i="84"/>
  <c r="AA73" i="84"/>
  <c r="X155" i="93"/>
  <c r="L149" i="82"/>
  <c r="Q77" i="85"/>
  <c r="Y133" i="89"/>
  <c r="AB55" i="94"/>
  <c r="Z67" i="91"/>
  <c r="Q157" i="88"/>
  <c r="P89" i="88"/>
  <c r="O166" i="92"/>
  <c r="O15" i="88"/>
  <c r="P33" i="92"/>
  <c r="X111" i="89"/>
  <c r="AB145" i="91"/>
  <c r="O124" i="92"/>
  <c r="O171" i="84"/>
  <c r="Y119" i="92"/>
  <c r="AB160" i="93"/>
  <c r="P120" i="83"/>
  <c r="Y106" i="89"/>
  <c r="O164" i="92"/>
  <c r="Y79" i="93"/>
  <c r="Q68" i="91"/>
  <c r="AB27" i="91"/>
  <c r="Q150" i="94"/>
  <c r="X107" i="89"/>
  <c r="Q171" i="87"/>
  <c r="AA98" i="93"/>
  <c r="Z109" i="91"/>
  <c r="P9" i="85"/>
  <c r="P183" i="94"/>
  <c r="Z53" i="88"/>
  <c r="Z70" i="93"/>
  <c r="Z142" i="88"/>
  <c r="L151" i="89"/>
  <c r="Z176" i="82"/>
  <c r="AB124" i="81"/>
  <c r="O72" i="85"/>
  <c r="O83" i="93"/>
  <c r="L119" i="93"/>
  <c r="Q92" i="93"/>
  <c r="O129" i="94"/>
  <c r="N33" i="92"/>
  <c r="Q123" i="92"/>
  <c r="O91" i="87"/>
  <c r="AB155" i="92"/>
  <c r="AB173" i="87"/>
  <c r="Y11" i="74"/>
  <c r="Q173" i="74"/>
  <c r="L153" i="74"/>
  <c r="Q74" i="93"/>
  <c r="AA9" i="93"/>
  <c r="Y167" i="89"/>
  <c r="Y149" i="82"/>
  <c r="AA45" i="94"/>
  <c r="Z53" i="93"/>
  <c r="O143" i="94"/>
  <c r="Q82" i="92"/>
  <c r="AB27" i="94"/>
  <c r="AB154" i="83"/>
  <c r="AB13" i="83"/>
  <c r="AB126" i="85"/>
  <c r="O184" i="91"/>
  <c r="AA105" i="83"/>
  <c r="O72" i="94"/>
  <c r="Y169" i="94"/>
  <c r="P64" i="94"/>
  <c r="AB151" i="91"/>
  <c r="AA119" i="85"/>
  <c r="X110" i="89"/>
  <c r="Z110" i="92"/>
  <c r="AA121" i="94"/>
  <c r="Q45" i="85"/>
  <c r="Y108" i="94"/>
  <c r="Q108" i="84"/>
  <c r="P176" i="94"/>
  <c r="Y76" i="92"/>
  <c r="O64" i="88"/>
  <c r="AA85" i="85"/>
  <c r="T69" i="84"/>
  <c r="Q27" i="88"/>
  <c r="AB126" i="91"/>
  <c r="P90" i="92"/>
  <c r="N171" i="93"/>
  <c r="P163" i="81"/>
  <c r="N66" i="74"/>
  <c r="P127" i="88"/>
  <c r="AA51" i="93"/>
  <c r="N117" i="85"/>
  <c r="L145" i="88"/>
  <c r="N39" i="93"/>
  <c r="T57" i="88"/>
  <c r="Y13" i="87"/>
  <c r="AA132" i="91"/>
  <c r="AA127" i="87"/>
  <c r="Y93" i="84"/>
  <c r="Y92" i="92"/>
  <c r="Y37" i="88"/>
  <c r="P172" i="93"/>
  <c r="O141" i="92"/>
  <c r="Q130" i="91"/>
  <c r="AA33" i="83"/>
  <c r="O9" i="91"/>
  <c r="M49" i="93"/>
  <c r="Z127" i="82"/>
  <c r="Q51" i="92"/>
  <c r="AA132" i="85"/>
  <c r="L185" i="94"/>
  <c r="L73" i="84"/>
  <c r="N168" i="94"/>
  <c r="Z86" i="88"/>
  <c r="Q184" i="94"/>
  <c r="O125" i="83"/>
  <c r="P177" i="84"/>
  <c r="AA110" i="85"/>
  <c r="Z120" i="94"/>
  <c r="AA96" i="92"/>
  <c r="L132" i="94"/>
  <c r="X17" i="93"/>
  <c r="T84" i="87"/>
  <c r="P119" i="93"/>
  <c r="Q111" i="93"/>
  <c r="AA72" i="94"/>
  <c r="Z133" i="92"/>
  <c r="P118" i="85"/>
  <c r="Q89" i="81"/>
  <c r="P95" i="89"/>
  <c r="M55" i="92"/>
  <c r="O65" i="87"/>
  <c r="Z113" i="87"/>
  <c r="AA169" i="92"/>
  <c r="T120" i="94"/>
  <c r="X55" i="93"/>
  <c r="AA80" i="91"/>
  <c r="O85" i="92"/>
  <c r="O73" i="91"/>
  <c r="AA113" i="81"/>
  <c r="L93" i="91"/>
  <c r="P149" i="83"/>
  <c r="T75" i="88"/>
  <c r="P145" i="91"/>
  <c r="O126" i="91"/>
  <c r="T81" i="89"/>
  <c r="Q130" i="94"/>
  <c r="P113" i="94"/>
  <c r="X70" i="92"/>
  <c r="Q13" i="91"/>
  <c r="O111" i="87"/>
  <c r="Y68" i="88"/>
  <c r="O85" i="94"/>
  <c r="N39" i="92"/>
  <c r="P125" i="89"/>
  <c r="AB11" i="87"/>
  <c r="X19" i="83"/>
  <c r="AB96" i="84"/>
  <c r="Y27" i="84"/>
  <c r="AA121" i="83"/>
  <c r="X121" i="91"/>
  <c r="L154" i="74"/>
  <c r="O87" i="85"/>
  <c r="Y110" i="93"/>
  <c r="Q74" i="89"/>
  <c r="X68" i="92"/>
  <c r="O37" i="91"/>
  <c r="P51" i="87"/>
  <c r="Z43" i="92"/>
  <c r="P184" i="92"/>
  <c r="Y74" i="81"/>
  <c r="P78" i="93"/>
  <c r="Q11" i="91"/>
  <c r="Z29" i="93"/>
  <c r="AA88" i="89"/>
  <c r="AB166" i="81"/>
  <c r="AB123" i="89"/>
  <c r="AA122" i="88"/>
  <c r="AA174" i="94"/>
  <c r="AA156" i="85"/>
  <c r="P11" i="94"/>
  <c r="X88" i="93"/>
  <c r="P80" i="83"/>
  <c r="AA96" i="87"/>
  <c r="AB137" i="82"/>
  <c r="Q15" i="83"/>
  <c r="N84" i="85"/>
  <c r="P133" i="91"/>
  <c r="Z137" i="94"/>
  <c r="P70" i="82"/>
  <c r="AB55" i="88"/>
  <c r="Z37" i="94"/>
  <c r="AA77" i="93"/>
  <c r="Q47" i="91"/>
  <c r="Z174" i="83"/>
  <c r="Z63" i="93"/>
  <c r="M57" i="89"/>
  <c r="X157" i="81"/>
  <c r="L109" i="85"/>
  <c r="AB158" i="88"/>
  <c r="Y138" i="82"/>
  <c r="P89" i="93"/>
  <c r="Q75" i="88"/>
  <c r="P47" i="92"/>
  <c r="O138" i="92"/>
  <c r="O135" i="89"/>
  <c r="P41" i="91"/>
  <c r="N114" i="81"/>
  <c r="Q93" i="92"/>
  <c r="M33" i="91"/>
  <c r="Q117" i="93"/>
  <c r="L106" i="89"/>
  <c r="AA122" i="92"/>
  <c r="Y109" i="93"/>
  <c r="Y156" i="94"/>
  <c r="Y72" i="94"/>
  <c r="AB75" i="93"/>
  <c r="L137" i="94"/>
  <c r="Q152" i="89"/>
  <c r="Z70" i="91"/>
  <c r="N87" i="93"/>
  <c r="L137" i="87"/>
  <c r="P79" i="82"/>
  <c r="Z63" i="84"/>
  <c r="Q157" i="91"/>
  <c r="X158" i="89"/>
  <c r="Q67" i="83"/>
  <c r="Q108" i="94"/>
  <c r="L171" i="93"/>
  <c r="X71" i="88"/>
  <c r="O142" i="83"/>
  <c r="Z45" i="91"/>
  <c r="Z91" i="85"/>
  <c r="Y69" i="92"/>
  <c r="Y75" i="84"/>
  <c r="Z175" i="91"/>
  <c r="P21" i="88"/>
  <c r="Q82" i="91"/>
  <c r="L160" i="91"/>
  <c r="P162" i="74"/>
  <c r="AB170" i="88"/>
  <c r="P73" i="91"/>
  <c r="AB147" i="91"/>
  <c r="X79" i="85"/>
  <c r="AB131" i="88"/>
  <c r="AA123" i="91"/>
  <c r="O113" i="87"/>
  <c r="L161" i="93"/>
  <c r="O51" i="91"/>
  <c r="N105" i="84"/>
  <c r="Y146" i="94"/>
  <c r="X72" i="89"/>
  <c r="Y96" i="89"/>
  <c r="Q57" i="91"/>
  <c r="AB102" i="91"/>
  <c r="Z180" i="93"/>
  <c r="Q64" i="91"/>
  <c r="Q131" i="88"/>
  <c r="Z167" i="88"/>
  <c r="Y135" i="89"/>
  <c r="AA69" i="89"/>
  <c r="X55" i="88"/>
  <c r="AA109" i="91"/>
  <c r="O162" i="87"/>
  <c r="P161" i="88"/>
  <c r="Z136" i="85"/>
  <c r="X97" i="88"/>
  <c r="Q124" i="83"/>
  <c r="AB94" i="83"/>
  <c r="L90" i="85"/>
  <c r="Q128" i="88"/>
  <c r="P57" i="89"/>
  <c r="N138" i="94"/>
  <c r="X129" i="82"/>
  <c r="Q135" i="81"/>
  <c r="O88" i="84"/>
  <c r="N51" i="93"/>
  <c r="O107" i="85"/>
  <c r="M59" i="81"/>
  <c r="AA115" i="92"/>
  <c r="L90" i="93"/>
  <c r="O119" i="91"/>
  <c r="AB63" i="87"/>
  <c r="AB33" i="94"/>
  <c r="P49" i="93"/>
  <c r="Z81" i="85"/>
  <c r="AB157" i="93"/>
  <c r="AA15" i="92"/>
  <c r="L118" i="94"/>
  <c r="T177" i="91"/>
  <c r="AB84" i="91"/>
  <c r="AA77" i="88"/>
  <c r="X104" i="88"/>
  <c r="AB43" i="81"/>
  <c r="O113" i="93"/>
  <c r="AB159" i="81"/>
  <c r="AA15" i="82"/>
  <c r="N105" i="93"/>
  <c r="L155" i="88"/>
  <c r="Z144" i="94"/>
  <c r="Q74" i="94"/>
  <c r="O148" i="91"/>
  <c r="Q86" i="92"/>
  <c r="Z175" i="88"/>
  <c r="Q55" i="82"/>
  <c r="Z146" i="87"/>
  <c r="N150" i="87"/>
  <c r="O147" i="83"/>
  <c r="T117" i="92"/>
  <c r="P15" i="93"/>
  <c r="Z102" i="87"/>
  <c r="P96" i="88"/>
  <c r="T63" i="93"/>
  <c r="Z11" i="91"/>
  <c r="AB41" i="87"/>
  <c r="AA67" i="88"/>
  <c r="Q97" i="93"/>
  <c r="O84" i="92"/>
  <c r="Q174" i="91"/>
  <c r="Q76" i="74"/>
  <c r="X11" i="74"/>
  <c r="AA113" i="88"/>
  <c r="O177" i="88"/>
  <c r="P160" i="87"/>
  <c r="Y130" i="88"/>
  <c r="O70" i="92"/>
  <c r="Z31" i="81"/>
  <c r="Z103" i="81"/>
  <c r="X110" i="93"/>
  <c r="P72" i="87"/>
  <c r="X92" i="87"/>
  <c r="X168" i="91"/>
  <c r="O133" i="88"/>
  <c r="O133" i="83"/>
  <c r="Q100" i="92"/>
  <c r="Z137" i="85"/>
  <c r="Y180" i="81"/>
  <c r="Q172" i="83"/>
  <c r="Z143" i="89"/>
  <c r="P80" i="92"/>
  <c r="AB150" i="84"/>
  <c r="X146" i="89"/>
  <c r="L149" i="88"/>
  <c r="L116" i="93"/>
  <c r="X143" i="92"/>
  <c r="Z37" i="82"/>
  <c r="P41" i="93"/>
  <c r="O161" i="91"/>
  <c r="Z138" i="85"/>
  <c r="Z159" i="93"/>
  <c r="AA108" i="88"/>
  <c r="Y41" i="94"/>
  <c r="L76" i="94"/>
  <c r="Z137" i="74"/>
  <c r="X171" i="93"/>
  <c r="AB176" i="85"/>
  <c r="Y160" i="89"/>
  <c r="Z144" i="92"/>
  <c r="Y177" i="85"/>
  <c r="P107" i="91"/>
  <c r="X101" i="85"/>
  <c r="AA91" i="89"/>
  <c r="Y96" i="91"/>
  <c r="X72" i="91"/>
  <c r="P55" i="92"/>
  <c r="X85" i="92"/>
  <c r="P124" i="92"/>
  <c r="AA115" i="88"/>
  <c r="Z118" i="94"/>
  <c r="Q182" i="88"/>
  <c r="AB146" i="84"/>
  <c r="Z29" i="84"/>
  <c r="Y128" i="94"/>
  <c r="Y41" i="93"/>
  <c r="Q180" i="91"/>
  <c r="AB9" i="85"/>
  <c r="AB89" i="88"/>
  <c r="AA152" i="83"/>
  <c r="Z41" i="91"/>
  <c r="AA85" i="83"/>
  <c r="Y172" i="91"/>
  <c r="O183" i="88"/>
  <c r="O109" i="81"/>
  <c r="Q85" i="84"/>
  <c r="O129" i="93"/>
  <c r="P135" i="81"/>
  <c r="P49" i="88"/>
  <c r="AB165" i="89"/>
  <c r="AB108" i="91"/>
  <c r="Q78" i="92"/>
  <c r="L77" i="89"/>
  <c r="AA73" i="81"/>
  <c r="Z102" i="84"/>
  <c r="AA119" i="92"/>
  <c r="AA108" i="84"/>
  <c r="P163" i="82"/>
  <c r="O29" i="82"/>
  <c r="AB123" i="93"/>
  <c r="P92" i="83"/>
  <c r="Y144" i="92"/>
  <c r="L183" i="81"/>
  <c r="AA128" i="91"/>
  <c r="L97" i="85"/>
  <c r="P13" i="93"/>
  <c r="AB168" i="91"/>
  <c r="AB89" i="92"/>
  <c r="Z139" i="83"/>
  <c r="O148" i="93"/>
  <c r="Z118" i="89"/>
  <c r="AB97" i="82"/>
  <c r="Z51" i="87"/>
  <c r="Q115" i="88"/>
  <c r="Q170" i="92"/>
  <c r="N138" i="92"/>
  <c r="AB175" i="89"/>
  <c r="Z144" i="82"/>
  <c r="Z127" i="87"/>
  <c r="L155" i="89"/>
  <c r="Y158" i="92"/>
  <c r="AB173" i="93"/>
  <c r="AB157" i="82"/>
  <c r="O49" i="89"/>
  <c r="X98" i="89"/>
  <c r="N129" i="92"/>
  <c r="M31" i="94"/>
  <c r="AB94" i="87"/>
  <c r="Q130" i="92"/>
  <c r="Z91" i="87"/>
  <c r="Y57" i="83"/>
  <c r="Q29" i="94"/>
  <c r="AB31" i="83"/>
  <c r="X110" i="94"/>
  <c r="Y19" i="81"/>
  <c r="AB127" i="81"/>
  <c r="Q151" i="83"/>
  <c r="N87" i="91"/>
  <c r="O99" i="91"/>
  <c r="Z107" i="92"/>
  <c r="AA122" i="93"/>
  <c r="N162" i="92"/>
  <c r="P165" i="89"/>
  <c r="Q102" i="91"/>
  <c r="X94" i="81"/>
  <c r="Z106" i="89"/>
  <c r="AB83" i="91"/>
  <c r="Q137" i="88"/>
  <c r="AB19" i="92"/>
  <c r="L72" i="82"/>
  <c r="X90" i="94"/>
  <c r="Q86" i="91"/>
  <c r="AB64" i="92"/>
  <c r="AA98" i="84"/>
  <c r="AA142" i="94"/>
  <c r="O68" i="93"/>
  <c r="Z132" i="85"/>
  <c r="P25" i="89"/>
  <c r="AA115" i="93"/>
  <c r="AA100" i="93"/>
  <c r="L90" i="83"/>
  <c r="Z95" i="94"/>
  <c r="Z78" i="74"/>
  <c r="P130" i="74"/>
  <c r="P181" i="81"/>
  <c r="O72" i="81"/>
  <c r="Q106" i="81"/>
  <c r="L143" i="74"/>
  <c r="Q173" i="87"/>
  <c r="Z13" i="91"/>
  <c r="L144" i="85"/>
  <c r="X113" i="85"/>
  <c r="Q11" i="89"/>
  <c r="AA94" i="94"/>
  <c r="AB154" i="89"/>
  <c r="AB174" i="92"/>
  <c r="Y120" i="91"/>
  <c r="X94" i="88"/>
  <c r="AA129" i="93"/>
  <c r="Y81" i="85"/>
  <c r="X94" i="91"/>
  <c r="X39" i="93"/>
  <c r="AA136" i="82"/>
  <c r="Y33" i="94"/>
  <c r="O98" i="88"/>
  <c r="AB87" i="93"/>
  <c r="P138" i="93"/>
  <c r="AB117" i="94"/>
  <c r="O93" i="87"/>
  <c r="L156" i="85"/>
  <c r="Q129" i="81"/>
  <c r="T111" i="83"/>
  <c r="Q100" i="81"/>
  <c r="Z57" i="88"/>
  <c r="P129" i="84"/>
  <c r="Y138" i="92"/>
  <c r="X63" i="88"/>
  <c r="L134" i="84"/>
  <c r="Z180" i="94"/>
  <c r="Y165" i="91"/>
  <c r="L171" i="74"/>
  <c r="AB69" i="81"/>
  <c r="Y161" i="94"/>
  <c r="O155" i="91"/>
  <c r="M21" i="82"/>
  <c r="M47" i="87"/>
  <c r="X130" i="87"/>
  <c r="Y154" i="91"/>
  <c r="O166" i="87"/>
  <c r="AA72" i="85"/>
  <c r="X124" i="91"/>
  <c r="AB68" i="83"/>
  <c r="L120" i="87"/>
  <c r="O120" i="93"/>
  <c r="X81" i="82"/>
  <c r="O133" i="94"/>
  <c r="AB116" i="93"/>
  <c r="M35" i="74"/>
  <c r="O25" i="82"/>
  <c r="X170" i="81"/>
  <c r="L77" i="85"/>
  <c r="AA170" i="85"/>
  <c r="Q118" i="93"/>
  <c r="Y15" i="85"/>
  <c r="X127" i="91"/>
  <c r="Y125" i="87"/>
  <c r="M61" i="92"/>
  <c r="X118" i="87"/>
  <c r="AA154" i="82"/>
  <c r="Q79" i="89"/>
  <c r="L162" i="94"/>
  <c r="Q27" i="74"/>
  <c r="AB126" i="93"/>
  <c r="Z117" i="85"/>
  <c r="AB148" i="93"/>
  <c r="L134" i="94"/>
  <c r="O104" i="85"/>
  <c r="AB23" i="83"/>
  <c r="X158" i="92"/>
  <c r="O179" i="89"/>
  <c r="AA165" i="89"/>
  <c r="O82" i="93"/>
  <c r="X35" i="94"/>
  <c r="O35" i="84"/>
  <c r="Z118" i="87"/>
  <c r="X113" i="92"/>
  <c r="P98" i="88"/>
  <c r="Z130" i="91"/>
  <c r="Y78" i="92"/>
  <c r="P9" i="88"/>
  <c r="Q17" i="93"/>
  <c r="AA13" i="74"/>
  <c r="P96" i="87"/>
  <c r="AB121" i="88"/>
  <c r="AB120" i="94"/>
  <c r="L130" i="74"/>
  <c r="Q179" i="94"/>
  <c r="AB173" i="89"/>
  <c r="O97" i="85"/>
  <c r="N78" i="94"/>
  <c r="AB78" i="94"/>
  <c r="X142" i="88"/>
  <c r="X119" i="87"/>
  <c r="L115" i="91"/>
  <c r="Q177" i="93"/>
  <c r="Z106" i="88"/>
  <c r="L127" i="74"/>
  <c r="Z90" i="88"/>
  <c r="AB148" i="89"/>
  <c r="Z141" i="94"/>
  <c r="Z75" i="81"/>
  <c r="Q143" i="92"/>
  <c r="Q82" i="81"/>
  <c r="Q17" i="84"/>
  <c r="O184" i="89"/>
  <c r="P80" i="91"/>
  <c r="Z130" i="81"/>
  <c r="O83" i="87"/>
  <c r="P175" i="93"/>
  <c r="X140" i="83"/>
  <c r="Q13" i="88"/>
  <c r="AA86" i="92"/>
  <c r="N120" i="92"/>
  <c r="AB125" i="91"/>
  <c r="Z9" i="83"/>
  <c r="P94" i="87"/>
  <c r="P158" i="85"/>
  <c r="O147" i="82"/>
  <c r="AA70" i="89"/>
  <c r="X99" i="85"/>
  <c r="Z154" i="94"/>
  <c r="O102" i="87"/>
  <c r="P113" i="93"/>
  <c r="Z103" i="82"/>
  <c r="Q37" i="87"/>
  <c r="AB43" i="85"/>
  <c r="Z123" i="93"/>
  <c r="Q82" i="88"/>
  <c r="O145" i="82"/>
  <c r="X45" i="82"/>
  <c r="L167" i="94"/>
  <c r="AA76" i="88"/>
  <c r="L119" i="82"/>
  <c r="AB67" i="88"/>
  <c r="AB176" i="91"/>
  <c r="P151" i="91"/>
  <c r="O185" i="85"/>
  <c r="P130" i="92"/>
  <c r="Y106" i="83"/>
  <c r="Q147" i="89"/>
  <c r="P153" i="91"/>
  <c r="L149" i="93"/>
  <c r="Q132" i="91"/>
  <c r="AB123" i="81"/>
  <c r="Z159" i="94"/>
  <c r="Q17" i="88"/>
  <c r="O164" i="87"/>
  <c r="L126" i="88"/>
  <c r="N123" i="92"/>
  <c r="L148" i="93"/>
  <c r="X142" i="89"/>
  <c r="AB111" i="89"/>
  <c r="O138" i="93"/>
  <c r="P158" i="92"/>
  <c r="Z143" i="93"/>
  <c r="AB45" i="89"/>
  <c r="L88" i="89"/>
  <c r="Z169" i="94"/>
  <c r="Y59" i="87"/>
  <c r="O109" i="83"/>
  <c r="Q100" i="93"/>
  <c r="AA112" i="88"/>
  <c r="AB85" i="91"/>
  <c r="AA169" i="93"/>
  <c r="AA130" i="88"/>
  <c r="Y101" i="93"/>
  <c r="Z39" i="83"/>
  <c r="Q183" i="89"/>
  <c r="L114" i="81"/>
  <c r="Z148" i="85"/>
  <c r="Y175" i="88"/>
  <c r="P107" i="82"/>
  <c r="AB141" i="89"/>
  <c r="Z141" i="93"/>
  <c r="X91" i="93"/>
  <c r="AA89" i="94"/>
  <c r="P78" i="88"/>
  <c r="AB120" i="85"/>
  <c r="O180" i="83"/>
  <c r="T57" i="81"/>
  <c r="X115" i="89"/>
  <c r="AA82" i="92"/>
  <c r="X172" i="89"/>
  <c r="AA149" i="83"/>
  <c r="O113" i="83"/>
  <c r="AA117" i="93"/>
  <c r="X33" i="85"/>
  <c r="P169" i="82"/>
  <c r="Z146" i="83"/>
  <c r="O72" i="92"/>
  <c r="O137" i="81"/>
  <c r="Y146" i="84"/>
  <c r="Q102" i="85"/>
  <c r="AA146" i="82"/>
  <c r="Q158" i="83"/>
  <c r="Q121" i="74"/>
  <c r="N45" i="88"/>
  <c r="X74" i="87"/>
  <c r="X174" i="92"/>
  <c r="AB146" i="92"/>
  <c r="P134" i="82"/>
  <c r="X65" i="87"/>
  <c r="O73" i="84"/>
  <c r="M47" i="74"/>
  <c r="Q128" i="84"/>
  <c r="AB79" i="82"/>
  <c r="L74" i="88"/>
  <c r="AB21" i="89"/>
  <c r="Q64" i="92"/>
  <c r="AA71" i="87"/>
  <c r="X102" i="89"/>
  <c r="Y73" i="88"/>
  <c r="X51" i="84"/>
  <c r="L113" i="87"/>
  <c r="P170" i="94"/>
  <c r="Y166" i="87"/>
  <c r="Z133" i="88"/>
  <c r="T93" i="89"/>
  <c r="AB150" i="92"/>
  <c r="P130" i="94"/>
  <c r="Q108" i="92"/>
  <c r="L159" i="93"/>
  <c r="P106" i="89"/>
  <c r="Z49" i="92"/>
  <c r="X159" i="84"/>
  <c r="X53" i="92"/>
  <c r="M53" i="83"/>
  <c r="AA79" i="94"/>
  <c r="AB59" i="85"/>
  <c r="L111" i="84"/>
  <c r="L182" i="88"/>
  <c r="N180" i="92"/>
  <c r="AB127" i="84"/>
  <c r="O76" i="81"/>
  <c r="Z127" i="83"/>
  <c r="Y99" i="89"/>
  <c r="Y157" i="83"/>
  <c r="L66" i="93"/>
  <c r="O160" i="87"/>
  <c r="AA167" i="85"/>
  <c r="Q111" i="74"/>
  <c r="Y142" i="89"/>
  <c r="X145" i="83"/>
  <c r="AA76" i="91"/>
  <c r="Z122" i="87"/>
  <c r="P145" i="83"/>
  <c r="AA93" i="91"/>
  <c r="Q47" i="87"/>
  <c r="L149" i="92"/>
  <c r="AB57" i="88"/>
  <c r="O35" i="94"/>
  <c r="Z94" i="94"/>
  <c r="AB108" i="85"/>
  <c r="Y159" i="91"/>
  <c r="Y79" i="94"/>
  <c r="L106" i="88"/>
  <c r="AA73" i="94"/>
  <c r="X66" i="91"/>
  <c r="O94" i="74"/>
  <c r="Y43" i="93"/>
  <c r="Q142" i="84"/>
  <c r="AB91" i="92"/>
  <c r="O131" i="83"/>
  <c r="X120" i="83"/>
  <c r="O47" i="94"/>
  <c r="Q67" i="94"/>
  <c r="P57" i="88"/>
  <c r="O178" i="74"/>
  <c r="L65" i="89"/>
  <c r="Y81" i="92"/>
  <c r="O67" i="89"/>
  <c r="AA11" i="91"/>
  <c r="Z88" i="82"/>
  <c r="O67" i="93"/>
  <c r="O126" i="93"/>
  <c r="N66" i="93"/>
  <c r="Z67" i="89"/>
  <c r="AA139" i="93"/>
  <c r="O135" i="87"/>
  <c r="AB93" i="93"/>
  <c r="X120" i="94"/>
  <c r="Q92" i="74"/>
  <c r="X75" i="92"/>
  <c r="Q134" i="88"/>
  <c r="Y23" i="89"/>
  <c r="Z106" i="87"/>
  <c r="P119" i="92"/>
  <c r="L107" i="85"/>
  <c r="L161" i="83"/>
  <c r="N96" i="74"/>
  <c r="L101" i="81"/>
  <c r="O163" i="85"/>
  <c r="Q126" i="84"/>
  <c r="X169" i="89"/>
  <c r="AA9" i="84"/>
  <c r="X13" i="93"/>
  <c r="Y140" i="82"/>
  <c r="AA113" i="82"/>
  <c r="L153" i="92"/>
  <c r="P67" i="91"/>
  <c r="Y55" i="82"/>
  <c r="P182" i="89"/>
  <c r="O57" i="93"/>
  <c r="Q160" i="83"/>
  <c r="Q96" i="85"/>
  <c r="Q53" i="87"/>
  <c r="L162" i="93"/>
  <c r="Z114" i="94"/>
  <c r="O15" i="91"/>
  <c r="Y74" i="92"/>
  <c r="L100" i="74"/>
  <c r="N184" i="88"/>
  <c r="AA37" i="93"/>
  <c r="X49" i="93"/>
  <c r="O166" i="82"/>
  <c r="Q108" i="74"/>
  <c r="Y150" i="94"/>
  <c r="Z33" i="91"/>
  <c r="O109" i="89"/>
  <c r="X69" i="87"/>
  <c r="P71" i="88"/>
  <c r="P138" i="82"/>
  <c r="O143" i="88"/>
  <c r="M33" i="92"/>
  <c r="Z51" i="94"/>
  <c r="AB122" i="85"/>
  <c r="Q141" i="81"/>
  <c r="AB122" i="91"/>
  <c r="Q125" i="93"/>
  <c r="O93" i="91"/>
  <c r="X72" i="82"/>
  <c r="Z23" i="83"/>
  <c r="Z161" i="87"/>
  <c r="Y77" i="83"/>
  <c r="P128" i="91"/>
  <c r="Y148" i="94"/>
  <c r="Z79" i="87"/>
  <c r="L75" i="81"/>
  <c r="Z92" i="94"/>
  <c r="Z96" i="94"/>
  <c r="Z105" i="93"/>
  <c r="O113" i="84"/>
  <c r="O133" i="87"/>
  <c r="Z155" i="89"/>
  <c r="M35" i="93"/>
  <c r="Z31" i="94"/>
  <c r="P106" i="93"/>
  <c r="Y114" i="82"/>
  <c r="O83" i="88"/>
  <c r="AB96" i="92"/>
  <c r="P13" i="94"/>
  <c r="X97" i="89"/>
  <c r="X87" i="89"/>
  <c r="AB13" i="94"/>
  <c r="O146" i="91"/>
  <c r="AB129" i="92"/>
  <c r="Z83" i="93"/>
  <c r="Z141" i="91"/>
  <c r="P29" i="94"/>
  <c r="L113" i="81"/>
  <c r="T27" i="82"/>
  <c r="P15" i="87"/>
  <c r="Y45" i="81"/>
  <c r="AA68" i="74"/>
  <c r="O91" i="88"/>
  <c r="Y177" i="91"/>
  <c r="Q33" i="87"/>
  <c r="L147" i="83"/>
  <c r="M39" i="85"/>
  <c r="AB152" i="88"/>
  <c r="AA134" i="88"/>
  <c r="O104" i="84"/>
  <c r="Y131" i="74"/>
  <c r="AA169" i="84"/>
  <c r="Y171" i="93"/>
  <c r="AB163" i="92"/>
  <c r="T72" i="81"/>
  <c r="Z120" i="82"/>
  <c r="N111" i="93"/>
  <c r="P105" i="89"/>
  <c r="Z157" i="88"/>
  <c r="X65" i="94"/>
  <c r="P78" i="84"/>
  <c r="Y107" i="92"/>
  <c r="Y115" i="93"/>
  <c r="AB109" i="91"/>
  <c r="N45" i="83"/>
  <c r="P83" i="92"/>
  <c r="AA155" i="94"/>
  <c r="X69" i="84"/>
  <c r="P142" i="91"/>
  <c r="P149" i="89"/>
  <c r="AB9" i="89"/>
  <c r="O27" i="93"/>
  <c r="L137" i="93"/>
  <c r="X143" i="91"/>
  <c r="L127" i="94"/>
  <c r="X91" i="83"/>
  <c r="AB103" i="88"/>
  <c r="X106" i="87"/>
  <c r="AA134" i="94"/>
  <c r="Z180" i="85"/>
  <c r="P148" i="82"/>
  <c r="X131" i="94"/>
  <c r="L78" i="93"/>
  <c r="P68" i="94"/>
  <c r="Y160" i="87"/>
  <c r="P175" i="91"/>
  <c r="AA51" i="89"/>
  <c r="P13" i="84"/>
  <c r="N174" i="88"/>
  <c r="Y130" i="89"/>
  <c r="O120" i="89"/>
  <c r="O96" i="91"/>
  <c r="P59" i="83"/>
  <c r="P73" i="83"/>
  <c r="O67" i="94"/>
  <c r="X128" i="88"/>
  <c r="O124" i="87"/>
  <c r="Y112" i="91"/>
  <c r="N180" i="91"/>
  <c r="Y94" i="88"/>
  <c r="AA177" i="83"/>
  <c r="Q81" i="85"/>
  <c r="Q111" i="85"/>
  <c r="AB21" i="93"/>
  <c r="M45" i="83"/>
  <c r="X109" i="88"/>
  <c r="Q109" i="88"/>
  <c r="Y53" i="94"/>
  <c r="X95" i="81"/>
  <c r="X162" i="88"/>
  <c r="AA13" i="94"/>
  <c r="AB116" i="92"/>
  <c r="Z128" i="85"/>
  <c r="Z31" i="88"/>
  <c r="P81" i="93"/>
  <c r="P9" i="93"/>
  <c r="AB65" i="93"/>
  <c r="AA118" i="89"/>
  <c r="AA99" i="84"/>
  <c r="Q95" i="87"/>
  <c r="Y163" i="94"/>
  <c r="P27" i="93"/>
  <c r="L143" i="93"/>
  <c r="AB105" i="85"/>
  <c r="O103" i="93"/>
  <c r="Q79" i="87"/>
  <c r="X128" i="84"/>
  <c r="T63" i="87"/>
  <c r="Y104" i="87"/>
  <c r="AB144" i="89"/>
  <c r="P13" i="87"/>
  <c r="AB132" i="84"/>
  <c r="T81" i="94"/>
  <c r="Y151" i="89"/>
  <c r="X157" i="94"/>
  <c r="AB104" i="91"/>
  <c r="Q105" i="74"/>
  <c r="X173" i="87"/>
  <c r="Q115" i="91"/>
  <c r="Y45" i="92"/>
  <c r="N135" i="94"/>
  <c r="Z53" i="91"/>
  <c r="Z66" i="85"/>
  <c r="AA64" i="92"/>
  <c r="AA45" i="92"/>
  <c r="X154" i="94"/>
  <c r="T84" i="84"/>
  <c r="Q73" i="91"/>
  <c r="P138" i="87"/>
  <c r="N126" i="92"/>
  <c r="X135" i="88"/>
  <c r="P163" i="94"/>
  <c r="Q68" i="81"/>
  <c r="Q120" i="93"/>
  <c r="Y174" i="85"/>
  <c r="X11" i="87"/>
  <c r="AA116" i="91"/>
  <c r="P177" i="91"/>
  <c r="Z124" i="91"/>
  <c r="AB100" i="85"/>
  <c r="Q124" i="87"/>
  <c r="P157" i="84"/>
  <c r="X167" i="83"/>
  <c r="P155" i="87"/>
  <c r="O175" i="88"/>
  <c r="L180" i="81"/>
  <c r="P175" i="85"/>
  <c r="AB39" i="81"/>
  <c r="O168" i="74"/>
  <c r="Q87" i="89"/>
  <c r="AA140" i="94"/>
  <c r="N138" i="93"/>
  <c r="N147" i="88"/>
  <c r="O141" i="93"/>
  <c r="L127" i="93"/>
  <c r="Z109" i="84"/>
  <c r="P113" i="83"/>
  <c r="Y152" i="82"/>
  <c r="O25" i="89"/>
  <c r="Q92" i="89"/>
  <c r="Z9" i="93"/>
  <c r="O126" i="84"/>
  <c r="AB90" i="93"/>
  <c r="Q171" i="82"/>
  <c r="Z122" i="81"/>
  <c r="AB71" i="88"/>
  <c r="X153" i="74"/>
  <c r="AA114" i="88"/>
  <c r="Q49" i="89"/>
  <c r="Q108" i="85"/>
  <c r="Q49" i="91"/>
  <c r="Z111" i="93"/>
  <c r="P70" i="87"/>
  <c r="O126" i="89"/>
  <c r="Y137" i="87"/>
  <c r="Z122" i="89"/>
  <c r="L96" i="92"/>
  <c r="Q137" i="85"/>
  <c r="Q183" i="84"/>
  <c r="Z151" i="89"/>
  <c r="Q133" i="82"/>
  <c r="M45" i="87"/>
  <c r="AB174" i="91"/>
  <c r="M37" i="93"/>
  <c r="Z173" i="85"/>
  <c r="AB90" i="83"/>
  <c r="L160" i="88"/>
  <c r="Y97" i="93"/>
  <c r="L75" i="91"/>
  <c r="AB112" i="93"/>
  <c r="X64" i="91"/>
  <c r="O19" i="93"/>
  <c r="Q45" i="94"/>
  <c r="X27" i="88"/>
  <c r="AB177" i="94"/>
  <c r="O63" i="87"/>
  <c r="N27" i="81"/>
  <c r="Q152" i="82"/>
  <c r="X83" i="88"/>
  <c r="Q176" i="91"/>
  <c r="AB71" i="87"/>
  <c r="L82" i="92"/>
  <c r="X177" i="84"/>
  <c r="Z98" i="94"/>
  <c r="P80" i="85"/>
  <c r="O161" i="81"/>
  <c r="P101" i="91"/>
  <c r="AB174" i="82"/>
  <c r="M55" i="89"/>
  <c r="Z144" i="93"/>
  <c r="Y59" i="88"/>
  <c r="P124" i="88"/>
  <c r="N108" i="74"/>
  <c r="L180" i="83"/>
  <c r="L66" i="81"/>
  <c r="AB158" i="92"/>
  <c r="X17" i="81"/>
  <c r="AA86" i="94"/>
  <c r="P57" i="85"/>
  <c r="X67" i="88"/>
  <c r="Z151" i="82"/>
  <c r="O55" i="91"/>
  <c r="L107" i="93"/>
  <c r="P73" i="84"/>
  <c r="P184" i="91"/>
  <c r="Y131" i="85"/>
  <c r="AA140" i="92"/>
  <c r="O160" i="83"/>
  <c r="Y139" i="88"/>
  <c r="X116" i="87"/>
  <c r="L71" i="74"/>
  <c r="T111" i="88"/>
  <c r="Q37" i="93"/>
  <c r="Z149" i="93"/>
  <c r="N87" i="92"/>
  <c r="L181" i="94"/>
  <c r="Q144" i="88"/>
  <c r="Z152" i="89"/>
  <c r="Q112" i="88"/>
  <c r="O105" i="81"/>
  <c r="AB135" i="83"/>
  <c r="P91" i="94"/>
  <c r="Q91" i="93"/>
  <c r="O139" i="82"/>
  <c r="X116" i="91"/>
  <c r="AB159" i="92"/>
  <c r="L122" i="85"/>
  <c r="T177" i="94"/>
  <c r="P166" i="92"/>
  <c r="AA108" i="82"/>
  <c r="AB172" i="94"/>
  <c r="N117" i="89"/>
  <c r="AB180" i="81"/>
  <c r="Y126" i="93"/>
  <c r="L74" i="87"/>
  <c r="AA124" i="85"/>
  <c r="AA68" i="93"/>
  <c r="AB64" i="88"/>
  <c r="O114" i="92"/>
  <c r="Q120" i="89"/>
  <c r="Y162" i="81"/>
  <c r="Q100" i="74"/>
  <c r="Y23" i="92"/>
  <c r="Q149" i="91"/>
  <c r="Z110" i="94"/>
  <c r="AB173" i="81"/>
  <c r="Q92" i="91"/>
  <c r="L125" i="89"/>
  <c r="L121" i="93"/>
  <c r="AA157" i="88"/>
  <c r="Q152" i="92"/>
  <c r="X120" i="88"/>
  <c r="Y105" i="94"/>
  <c r="Z147" i="87"/>
  <c r="P65" i="91"/>
  <c r="T159" i="91"/>
  <c r="AA125" i="81"/>
  <c r="Q168" i="93"/>
  <c r="Z51" i="93"/>
  <c r="O45" i="91"/>
  <c r="P59" i="91"/>
  <c r="AB158" i="93"/>
  <c r="Q124" i="92"/>
  <c r="O150" i="93"/>
  <c r="AA115" i="84"/>
  <c r="AA144" i="88"/>
  <c r="O82" i="87"/>
  <c r="X21" i="85"/>
  <c r="Q103" i="83"/>
  <c r="T66" i="83"/>
  <c r="AA132" i="81"/>
  <c r="T105" i="81"/>
  <c r="Z132" i="84"/>
  <c r="AA111" i="93"/>
  <c r="X78" i="82"/>
  <c r="AA143" i="81"/>
  <c r="O55" i="83"/>
  <c r="L110" i="81"/>
  <c r="Z108" i="89"/>
  <c r="Y128" i="92"/>
  <c r="Q68" i="85"/>
  <c r="Q79" i="94"/>
  <c r="AA19" i="93"/>
  <c r="L69" i="93"/>
  <c r="AA19" i="88"/>
  <c r="X162" i="81"/>
  <c r="Q43" i="81"/>
  <c r="X106" i="94"/>
  <c r="Z25" i="89"/>
  <c r="Q64" i="88"/>
  <c r="Z13" i="88"/>
  <c r="X88" i="81"/>
  <c r="Z86" i="74"/>
  <c r="Y90" i="89"/>
  <c r="O27" i="85"/>
  <c r="L125" i="82"/>
  <c r="X129" i="83"/>
  <c r="AB25" i="93"/>
  <c r="N84" i="82"/>
  <c r="O77" i="93"/>
  <c r="AA137" i="89"/>
  <c r="Q45" i="84"/>
  <c r="N63" i="83"/>
  <c r="AB87" i="83"/>
  <c r="P168" i="93"/>
  <c r="X11" i="94"/>
  <c r="AB78" i="87"/>
  <c r="AA163" i="94"/>
  <c r="Y80" i="92"/>
  <c r="N150" i="88"/>
  <c r="X88" i="88"/>
  <c r="L117" i="92"/>
  <c r="Q101" i="74"/>
  <c r="Z169" i="81"/>
  <c r="AA177" i="84"/>
  <c r="O140" i="88"/>
  <c r="L100" i="91"/>
  <c r="L177" i="91"/>
  <c r="X134" i="74"/>
  <c r="AB104" i="84"/>
  <c r="Q151" i="74"/>
  <c r="P83" i="82"/>
  <c r="AA171" i="93"/>
  <c r="AB89" i="93"/>
  <c r="L118" i="87"/>
  <c r="Q63" i="89"/>
  <c r="O101" i="88"/>
  <c r="Q25" i="87"/>
  <c r="Y124" i="94"/>
  <c r="Z137" i="92"/>
  <c r="Y116" i="89"/>
  <c r="O134" i="94"/>
  <c r="AA25" i="74"/>
  <c r="Y15" i="92"/>
  <c r="Y108" i="91"/>
  <c r="Y108" i="92"/>
  <c r="AB74" i="83"/>
  <c r="N93" i="94"/>
  <c r="AA124" i="82"/>
  <c r="AB174" i="88"/>
  <c r="Q148" i="89"/>
  <c r="Q146" i="85"/>
  <c r="AB84" i="89"/>
  <c r="L176" i="94"/>
  <c r="P152" i="87"/>
  <c r="Y170" i="85"/>
  <c r="AA166" i="84"/>
  <c r="Y70" i="92"/>
  <c r="Y123" i="88"/>
  <c r="Y142" i="84"/>
  <c r="N180" i="94"/>
  <c r="N184" i="81"/>
  <c r="AA177" i="82"/>
  <c r="X63" i="89"/>
  <c r="AB134" i="93"/>
  <c r="M51" i="91"/>
  <c r="O121" i="94"/>
  <c r="O83" i="94"/>
  <c r="Q79" i="83"/>
  <c r="Q93" i="85"/>
  <c r="AA55" i="93"/>
  <c r="Q21" i="74"/>
  <c r="AA55" i="74"/>
  <c r="O157" i="82"/>
  <c r="L72" i="84"/>
  <c r="L81" i="92"/>
  <c r="Y128" i="88"/>
  <c r="Y170" i="92"/>
  <c r="L134" i="91"/>
  <c r="O180" i="82"/>
  <c r="P17" i="85"/>
  <c r="AB154" i="87"/>
  <c r="T69" i="74"/>
  <c r="AB177" i="93"/>
  <c r="P128" i="93"/>
  <c r="N159" i="91"/>
  <c r="Q154" i="93"/>
  <c r="X168" i="93"/>
  <c r="P156" i="94"/>
  <c r="X99" i="93"/>
  <c r="Y170" i="84"/>
  <c r="X35" i="89"/>
  <c r="Y82" i="88"/>
  <c r="Y127" i="82"/>
  <c r="Z127" i="94"/>
  <c r="Z106" i="93"/>
  <c r="X102" i="83"/>
  <c r="Y167" i="91"/>
  <c r="P88" i="83"/>
  <c r="Y108" i="89"/>
  <c r="X81" i="92"/>
  <c r="AB158" i="82"/>
  <c r="Y102" i="93"/>
  <c r="X143" i="82"/>
  <c r="AB95" i="81"/>
  <c r="Y139" i="82"/>
  <c r="X33" i="92"/>
  <c r="AA29" i="87"/>
  <c r="P139" i="81"/>
  <c r="M59" i="92"/>
  <c r="Q72" i="82"/>
  <c r="Y23" i="83"/>
  <c r="AA119" i="74"/>
  <c r="P148" i="83"/>
  <c r="X17" i="94"/>
  <c r="O117" i="91"/>
  <c r="X156" i="92"/>
  <c r="O41" i="74"/>
  <c r="Z146" i="74"/>
  <c r="P159" i="82"/>
  <c r="Z161" i="94"/>
  <c r="AB29" i="89"/>
  <c r="L175" i="92"/>
  <c r="X90" i="85"/>
  <c r="O97" i="94"/>
  <c r="T114" i="89"/>
  <c r="Q183" i="81"/>
  <c r="N99" i="82"/>
  <c r="P126" i="82"/>
  <c r="Z29" i="91"/>
  <c r="P153" i="82"/>
  <c r="Y139" i="84"/>
  <c r="X163" i="74"/>
  <c r="T63" i="82"/>
  <c r="L131" i="89"/>
  <c r="X74" i="94"/>
  <c r="AB149" i="85"/>
  <c r="AB113" i="92"/>
  <c r="X73" i="84"/>
  <c r="Y39" i="92"/>
  <c r="O111" i="83"/>
  <c r="AA80" i="84"/>
  <c r="O181" i="87"/>
  <c r="L123" i="83"/>
  <c r="Z13" i="82"/>
  <c r="Z129" i="94"/>
  <c r="Q84" i="91"/>
  <c r="T27" i="89"/>
  <c r="Z146" i="92"/>
  <c r="Q175" i="93"/>
  <c r="Q168" i="84"/>
  <c r="AB81" i="93"/>
  <c r="P95" i="88"/>
  <c r="Z154" i="93"/>
  <c r="X65" i="85"/>
  <c r="X121" i="85"/>
  <c r="AA78" i="93"/>
  <c r="AA98" i="91"/>
  <c r="X155" i="88"/>
  <c r="N177" i="93"/>
  <c r="P147" i="81"/>
  <c r="P104" i="87"/>
  <c r="Z122" i="82"/>
  <c r="Y85" i="83"/>
  <c r="X74" i="93"/>
  <c r="P79" i="93"/>
  <c r="Y160" i="83"/>
  <c r="X23" i="87"/>
  <c r="AA82" i="93"/>
  <c r="AA101" i="94"/>
  <c r="Z164" i="92"/>
  <c r="Z141" i="92"/>
  <c r="P23" i="87"/>
  <c r="AA70" i="88"/>
  <c r="P168" i="88"/>
  <c r="AB102" i="84"/>
  <c r="AA116" i="87"/>
  <c r="Z169" i="87"/>
  <c r="P135" i="87"/>
  <c r="Y128" i="91"/>
  <c r="Q99" i="83"/>
  <c r="O78" i="84"/>
  <c r="Y37" i="89"/>
  <c r="Z89" i="81"/>
  <c r="Q137" i="83"/>
  <c r="O137" i="83"/>
  <c r="P149" i="84"/>
  <c r="X95" i="87"/>
  <c r="Z74" i="93"/>
  <c r="AA174" i="88"/>
  <c r="Z131" i="74"/>
  <c r="AB11" i="92"/>
  <c r="O29" i="81"/>
  <c r="AA87" i="93"/>
  <c r="Z97" i="87"/>
  <c r="P21" i="87"/>
  <c r="O82" i="92"/>
  <c r="AA114" i="91"/>
  <c r="Q125" i="83"/>
  <c r="AA136" i="92"/>
  <c r="M41" i="93"/>
  <c r="AA173" i="94"/>
  <c r="O81" i="91"/>
  <c r="P157" i="93"/>
  <c r="AB173" i="94"/>
  <c r="X111" i="91"/>
  <c r="P158" i="89"/>
  <c r="L84" i="82"/>
  <c r="T126" i="89"/>
  <c r="AB161" i="85"/>
  <c r="Q159" i="94"/>
  <c r="Y49" i="94"/>
  <c r="AA53" i="89"/>
  <c r="X129" i="94"/>
  <c r="Q118" i="92"/>
  <c r="L72" i="87"/>
  <c r="X43" i="85"/>
  <c r="AB102" i="81"/>
  <c r="O134" i="91"/>
  <c r="P129" i="88"/>
  <c r="N111" i="87"/>
  <c r="P43" i="89"/>
  <c r="X86" i="87"/>
  <c r="O100" i="94"/>
  <c r="X168" i="85"/>
  <c r="X78" i="88"/>
  <c r="AA161" i="81"/>
  <c r="AB99" i="84"/>
  <c r="AB171" i="92"/>
  <c r="Y145" i="84"/>
  <c r="X134" i="91"/>
  <c r="AB157" i="92"/>
  <c r="O142" i="93"/>
  <c r="X89" i="91"/>
  <c r="Q125" i="87"/>
  <c r="Q98" i="92"/>
  <c r="P177" i="89"/>
  <c r="Q73" i="88"/>
  <c r="P146" i="88"/>
  <c r="AB176" i="93"/>
  <c r="P105" i="87"/>
  <c r="P175" i="87"/>
  <c r="L126" i="93"/>
  <c r="P111" i="91"/>
  <c r="P185" i="91"/>
  <c r="M43" i="88"/>
  <c r="L67" i="91"/>
  <c r="AA118" i="94"/>
  <c r="AA156" i="92"/>
  <c r="P64" i="81"/>
  <c r="T174" i="84"/>
  <c r="Z39" i="81"/>
  <c r="P88" i="88"/>
  <c r="Y165" i="89"/>
  <c r="O29" i="93"/>
  <c r="L183" i="89"/>
  <c r="O170" i="94"/>
  <c r="Q123" i="93"/>
  <c r="P176" i="93"/>
  <c r="O92" i="88"/>
  <c r="Y176" i="85"/>
  <c r="X166" i="85"/>
  <c r="Z171" i="87"/>
  <c r="Y163" i="88"/>
  <c r="Q102" i="93"/>
  <c r="AB79" i="91"/>
  <c r="O19" i="91"/>
  <c r="Q139" i="92"/>
  <c r="M47" i="83"/>
  <c r="Z114" i="87"/>
  <c r="Z19" i="83"/>
  <c r="AA84" i="74"/>
  <c r="Y135" i="92"/>
  <c r="N84" i="92"/>
  <c r="N120" i="85"/>
  <c r="Q41" i="93"/>
  <c r="P105" i="93"/>
  <c r="X67" i="91"/>
  <c r="Z57" i="83"/>
  <c r="P96" i="89"/>
  <c r="P97" i="87"/>
  <c r="Z69" i="88"/>
  <c r="X164" i="84"/>
  <c r="P11" i="87"/>
  <c r="P175" i="89"/>
  <c r="P55" i="94"/>
  <c r="X110" i="88"/>
  <c r="Q153" i="89"/>
  <c r="Y113" i="93"/>
  <c r="X128" i="74"/>
  <c r="AA138" i="89"/>
  <c r="L132" i="92"/>
  <c r="Y76" i="89"/>
  <c r="AB75" i="91"/>
  <c r="O101" i="93"/>
  <c r="Y71" i="88"/>
  <c r="Z166" i="94"/>
  <c r="P109" i="83"/>
  <c r="Z113" i="84"/>
  <c r="Q9" i="88"/>
  <c r="Q55" i="88"/>
  <c r="O94" i="83"/>
  <c r="P140" i="81"/>
  <c r="P84" i="88"/>
  <c r="O95" i="93"/>
  <c r="Y13" i="82"/>
  <c r="Z126" i="94"/>
  <c r="Q132" i="83"/>
  <c r="L93" i="92"/>
  <c r="X150" i="94"/>
  <c r="Y53" i="74"/>
  <c r="N144" i="91"/>
  <c r="O118" i="85"/>
  <c r="L83" i="91"/>
  <c r="X154" i="87"/>
  <c r="AA174" i="74"/>
  <c r="T105" i="87"/>
  <c r="Q185" i="89"/>
  <c r="AB123" i="92"/>
  <c r="Q97" i="84"/>
  <c r="Z23" i="81"/>
  <c r="AB89" i="84"/>
  <c r="X147" i="89"/>
  <c r="Q182" i="87"/>
  <c r="O159" i="82"/>
  <c r="AB77" i="81"/>
  <c r="L132" i="83"/>
  <c r="Z92" i="88"/>
  <c r="AB135" i="93"/>
  <c r="O37" i="84"/>
  <c r="L73" i="92"/>
  <c r="T105" i="74"/>
  <c r="P177" i="83"/>
  <c r="O66" i="93"/>
  <c r="Z99" i="74"/>
  <c r="O27" i="91"/>
  <c r="Z61" i="89"/>
  <c r="Y53" i="92"/>
  <c r="X75" i="89"/>
  <c r="M13" i="91"/>
  <c r="P115" i="91"/>
  <c r="O129" i="91"/>
  <c r="AA113" i="87"/>
  <c r="M49" i="74"/>
  <c r="AB107" i="88"/>
  <c r="X29" i="84"/>
  <c r="Q136" i="91"/>
  <c r="P114" i="83"/>
  <c r="O83" i="85"/>
  <c r="L159" i="85"/>
  <c r="N93" i="84"/>
  <c r="Y141" i="82"/>
  <c r="Z53" i="94"/>
  <c r="X172" i="81"/>
  <c r="L181" i="83"/>
  <c r="X19" i="81"/>
  <c r="O94" i="82"/>
  <c r="AB137" i="93"/>
  <c r="O135" i="84"/>
  <c r="X113" i="88"/>
  <c r="Q140" i="91"/>
  <c r="P138" i="85"/>
  <c r="AB147" i="94"/>
  <c r="O74" i="82"/>
  <c r="X85" i="82"/>
  <c r="AB21" i="81"/>
  <c r="X111" i="82"/>
  <c r="AA25" i="81"/>
  <c r="Z25" i="81"/>
  <c r="L115" i="85"/>
  <c r="O163" i="93"/>
  <c r="AB121" i="83"/>
  <c r="Z101" i="89"/>
  <c r="Z133" i="87"/>
  <c r="X120" i="82"/>
  <c r="AA97" i="89"/>
  <c r="AB104" i="85"/>
  <c r="P177" i="74"/>
  <c r="T111" i="91"/>
  <c r="Y121" i="85"/>
  <c r="T147" i="89"/>
  <c r="Z76" i="87"/>
  <c r="X146" i="81"/>
  <c r="Y105" i="74"/>
  <c r="Y75" i="93"/>
  <c r="AA84" i="94"/>
  <c r="L106" i="85"/>
  <c r="AB27" i="85"/>
  <c r="Z51" i="81"/>
  <c r="X76" i="87"/>
  <c r="O160" i="94"/>
  <c r="Y159" i="92"/>
  <c r="O143" i="74"/>
  <c r="X112" i="88"/>
  <c r="O66" i="89"/>
  <c r="M43" i="74"/>
  <c r="AA127" i="82"/>
  <c r="P121" i="81"/>
  <c r="Y25" i="89"/>
  <c r="AB159" i="91"/>
  <c r="M31" i="91"/>
  <c r="AB128" i="91"/>
  <c r="X158" i="88"/>
  <c r="Y153" i="92"/>
  <c r="L181" i="92"/>
  <c r="Q124" i="93"/>
  <c r="O121" i="82"/>
  <c r="AB109" i="84"/>
  <c r="L82" i="94"/>
  <c r="Z93" i="89"/>
  <c r="P114" i="84"/>
  <c r="AA151" i="84"/>
  <c r="Y175" i="74"/>
  <c r="X126" i="82"/>
  <c r="X99" i="92"/>
  <c r="Z59" i="87"/>
  <c r="AB41" i="81"/>
  <c r="Y116" i="87"/>
  <c r="Q112" i="84"/>
  <c r="AA37" i="81"/>
  <c r="AB25" i="91"/>
  <c r="Q59" i="88"/>
  <c r="Y166" i="93"/>
  <c r="L147" i="82"/>
  <c r="AB149" i="93"/>
  <c r="Q110" i="84"/>
  <c r="X118" i="74"/>
  <c r="AB17" i="91"/>
  <c r="Q132" i="85"/>
  <c r="O118" i="93"/>
  <c r="P66" i="88"/>
  <c r="X128" i="93"/>
  <c r="O145" i="88"/>
  <c r="AB63" i="94"/>
  <c r="Q177" i="84"/>
  <c r="AA165" i="87"/>
  <c r="X117" i="87"/>
  <c r="L174" i="93"/>
  <c r="P153" i="92"/>
  <c r="L123" i="91"/>
  <c r="Y103" i="84"/>
  <c r="Q139" i="84"/>
  <c r="Y11" i="91"/>
  <c r="X29" i="81"/>
  <c r="N177" i="84"/>
  <c r="AB98" i="84"/>
  <c r="Z174" i="89"/>
  <c r="L78" i="84"/>
  <c r="Z160" i="85"/>
  <c r="L150" i="81"/>
  <c r="O131" i="82"/>
  <c r="Y64" i="92"/>
  <c r="O122" i="94"/>
  <c r="X165" i="94"/>
  <c r="Y66" i="94"/>
  <c r="T96" i="87"/>
  <c r="P64" i="82"/>
  <c r="L89" i="92"/>
  <c r="P92" i="74"/>
  <c r="Y90" i="85"/>
  <c r="Z154" i="85"/>
  <c r="Y45" i="93"/>
  <c r="M29" i="81"/>
  <c r="O98" i="89"/>
  <c r="P105" i="81"/>
  <c r="Q45" i="91"/>
  <c r="L112" i="84"/>
  <c r="P102" i="94"/>
  <c r="AA84" i="83"/>
  <c r="X174" i="91"/>
  <c r="N72" i="91"/>
  <c r="M15" i="92"/>
  <c r="AA143" i="92"/>
  <c r="Q61" i="93"/>
  <c r="Z117" i="94"/>
  <c r="O90" i="93"/>
  <c r="Z69" i="85"/>
  <c r="Y143" i="94"/>
  <c r="X135" i="93"/>
  <c r="N81" i="85"/>
  <c r="L86" i="83"/>
  <c r="Y96" i="93"/>
  <c r="P39" i="94"/>
  <c r="Y75" i="88"/>
  <c r="Z61" i="94"/>
  <c r="Y55" i="94"/>
  <c r="AB175" i="91"/>
  <c r="X37" i="92"/>
  <c r="AB97" i="88"/>
  <c r="Z49" i="84"/>
  <c r="Z84" i="93"/>
  <c r="O76" i="92"/>
  <c r="AA175" i="84"/>
  <c r="Q103" i="93"/>
  <c r="AB74" i="88"/>
  <c r="O63" i="85"/>
  <c r="Y72" i="87"/>
  <c r="O175" i="84"/>
  <c r="O108" i="81"/>
  <c r="O130" i="85"/>
  <c r="Y166" i="89"/>
  <c r="Z144" i="81"/>
  <c r="Y64" i="94"/>
  <c r="AA129" i="94"/>
  <c r="Z119" i="89"/>
  <c r="P53" i="84"/>
  <c r="Q94" i="74"/>
  <c r="Q146" i="94"/>
  <c r="T21" i="87"/>
  <c r="L74" i="84"/>
  <c r="AA93" i="93"/>
  <c r="O182" i="93"/>
  <c r="O162" i="82"/>
  <c r="AA105" i="81"/>
  <c r="Q120" i="84"/>
  <c r="X33" i="81"/>
  <c r="L99" i="93"/>
  <c r="Z67" i="92"/>
  <c r="O125" i="92"/>
  <c r="O146" i="93"/>
  <c r="Z68" i="91"/>
  <c r="Y37" i="85"/>
  <c r="L152" i="93"/>
  <c r="X160" i="91"/>
  <c r="Y166" i="91"/>
  <c r="Q158" i="87"/>
  <c r="AB43" i="91"/>
  <c r="P77" i="94"/>
  <c r="P65" i="88"/>
  <c r="Y166" i="92"/>
  <c r="O173" i="81"/>
  <c r="AA134" i="81"/>
  <c r="L150" i="91"/>
  <c r="T129" i="87"/>
  <c r="N135" i="91"/>
  <c r="X75" i="94"/>
  <c r="X27" i="82"/>
  <c r="Y111" i="94"/>
  <c r="AB92" i="94"/>
  <c r="Q114" i="91"/>
  <c r="N93" i="85"/>
  <c r="X79" i="87"/>
  <c r="O76" i="87"/>
  <c r="O64" i="87"/>
  <c r="P106" i="87"/>
  <c r="AA86" i="91"/>
  <c r="AA37" i="92"/>
  <c r="Y108" i="84"/>
  <c r="N81" i="94"/>
  <c r="Q132" i="84"/>
  <c r="P33" i="93"/>
  <c r="M11" i="92"/>
  <c r="AA133" i="92"/>
  <c r="AB149" i="94"/>
  <c r="O23" i="88"/>
  <c r="Q152" i="93"/>
  <c r="P160" i="89"/>
  <c r="Q13" i="93"/>
  <c r="AB69" i="88"/>
  <c r="Q71" i="94"/>
  <c r="M55" i="88"/>
  <c r="Y96" i="92"/>
  <c r="P129" i="93"/>
  <c r="X127" i="74"/>
  <c r="Y136" i="81"/>
  <c r="AA166" i="81"/>
  <c r="Y71" i="84"/>
  <c r="T57" i="91"/>
  <c r="P120" i="87"/>
  <c r="P93" i="84"/>
  <c r="L130" i="87"/>
  <c r="Y92" i="94"/>
  <c r="Z163" i="84"/>
  <c r="P11" i="81"/>
  <c r="P76" i="83"/>
  <c r="Q132" i="89"/>
  <c r="P85" i="89"/>
  <c r="M37" i="89"/>
  <c r="Q117" i="89"/>
  <c r="Y151" i="92"/>
  <c r="X65" i="91"/>
  <c r="P108" i="74"/>
  <c r="N184" i="89"/>
  <c r="AA35" i="81"/>
  <c r="X136" i="81"/>
  <c r="O162" i="83"/>
  <c r="AA165" i="82"/>
  <c r="N21" i="82"/>
  <c r="L86" i="82"/>
  <c r="O71" i="89"/>
  <c r="Z100" i="83"/>
  <c r="AB146" i="87"/>
  <c r="P68" i="89"/>
  <c r="Z105" i="83"/>
  <c r="P17" i="88"/>
  <c r="X81" i="91"/>
  <c r="AA103" i="83"/>
  <c r="N171" i="91"/>
  <c r="Z124" i="94"/>
  <c r="AA77" i="84"/>
  <c r="T150" i="88"/>
  <c r="Z49" i="87"/>
  <c r="Q156" i="84"/>
  <c r="AB166" i="94"/>
  <c r="Z148" i="74"/>
  <c r="X149" i="74"/>
  <c r="AB101" i="89"/>
  <c r="Q135" i="87"/>
  <c r="AA153" i="88"/>
  <c r="Q31" i="74"/>
  <c r="O128" i="88"/>
  <c r="P77" i="93"/>
  <c r="M23" i="81"/>
  <c r="O174" i="94"/>
  <c r="P91" i="87"/>
  <c r="Q133" i="85"/>
  <c r="Q163" i="92"/>
  <c r="AB130" i="94"/>
  <c r="X107" i="83"/>
  <c r="Q39" i="89"/>
  <c r="Z115" i="87"/>
  <c r="O53" i="87"/>
  <c r="X116" i="81"/>
  <c r="L171" i="91"/>
  <c r="O154" i="94"/>
  <c r="Z145" i="92"/>
  <c r="Q49" i="74"/>
  <c r="O81" i="94"/>
  <c r="AB137" i="87"/>
  <c r="X172" i="94"/>
  <c r="Y131" i="81"/>
  <c r="Y174" i="87"/>
  <c r="AB99" i="92"/>
  <c r="L142" i="81"/>
  <c r="Y164" i="88"/>
  <c r="Z163" i="88"/>
  <c r="AA161" i="94"/>
  <c r="AB19" i="94"/>
  <c r="Z101" i="84"/>
  <c r="O71" i="74"/>
  <c r="O102" i="89"/>
  <c r="P110" i="94"/>
  <c r="O23" i="81"/>
  <c r="AA87" i="83"/>
  <c r="Y76" i="74"/>
  <c r="L68" i="74"/>
  <c r="Q148" i="91"/>
  <c r="P88" i="85"/>
  <c r="X105" i="91"/>
  <c r="Q11" i="81"/>
  <c r="AB83" i="89"/>
  <c r="X13" i="84"/>
  <c r="T63" i="94"/>
  <c r="M51" i="88"/>
  <c r="P173" i="92"/>
  <c r="Y25" i="83"/>
  <c r="Y11" i="92"/>
  <c r="Z130" i="87"/>
  <c r="Q167" i="81"/>
  <c r="Y31" i="93"/>
  <c r="L132" i="91"/>
  <c r="T138" i="81"/>
  <c r="X137" i="92"/>
  <c r="AA141" i="74"/>
  <c r="Y82" i="87"/>
  <c r="Q72" i="92"/>
  <c r="AA175" i="93"/>
  <c r="Q99" i="89"/>
  <c r="P112" i="93"/>
  <c r="O117" i="87"/>
  <c r="O76" i="74"/>
  <c r="Z47" i="93"/>
  <c r="L113" i="94"/>
  <c r="AA21" i="91"/>
  <c r="Y86" i="89"/>
  <c r="AA110" i="89"/>
  <c r="Y107" i="84"/>
  <c r="X17" i="85"/>
  <c r="AB15" i="87"/>
  <c r="Z111" i="92"/>
  <c r="Z143" i="91"/>
  <c r="O162" i="94"/>
  <c r="O75" i="84"/>
  <c r="AA157" i="87"/>
  <c r="L160" i="94"/>
  <c r="AB160" i="87"/>
  <c r="Z137" i="89"/>
  <c r="X176" i="93"/>
  <c r="P29" i="92"/>
  <c r="P163" i="88"/>
  <c r="O33" i="85"/>
  <c r="L154" i="93"/>
  <c r="P21" i="94"/>
  <c r="Z64" i="88"/>
  <c r="Q147" i="74"/>
  <c r="X78" i="94"/>
  <c r="P135" i="89"/>
  <c r="L136" i="94"/>
  <c r="Z172" i="94"/>
  <c r="Z57" i="81"/>
  <c r="O68" i="74"/>
  <c r="O142" i="87"/>
  <c r="M61" i="94"/>
  <c r="Q139" i="82"/>
  <c r="Z74" i="81"/>
  <c r="AA109" i="87"/>
  <c r="Q57" i="92"/>
  <c r="X57" i="83"/>
  <c r="AA167" i="93"/>
  <c r="P95" i="94"/>
  <c r="Q89" i="87"/>
  <c r="Q91" i="84"/>
  <c r="P85" i="84"/>
  <c r="Y160" i="92"/>
  <c r="AA66" i="94"/>
  <c r="AB180" i="85"/>
  <c r="X134" i="93"/>
  <c r="AB126" i="83"/>
  <c r="P159" i="81"/>
  <c r="L67" i="83"/>
  <c r="Y100" i="91"/>
  <c r="P17" i="89"/>
  <c r="Z51" i="89"/>
  <c r="L152" i="92"/>
  <c r="Z97" i="93"/>
  <c r="L156" i="92"/>
  <c r="N150" i="85"/>
  <c r="Q113" i="88"/>
  <c r="AB87" i="89"/>
  <c r="Y124" i="88"/>
  <c r="L160" i="81"/>
  <c r="Z180" i="91"/>
  <c r="Y160" i="93"/>
  <c r="AA165" i="93"/>
  <c r="M29" i="93"/>
  <c r="P105" i="92"/>
  <c r="AA66" i="92"/>
  <c r="Q173" i="85"/>
  <c r="AA75" i="84"/>
  <c r="P105" i="85"/>
  <c r="Z112" i="91"/>
  <c r="P122" i="82"/>
  <c r="O72" i="88"/>
  <c r="X137" i="87"/>
  <c r="X157" i="85"/>
  <c r="Z172" i="82"/>
  <c r="Y85" i="82"/>
  <c r="P107" i="93"/>
  <c r="AB163" i="94"/>
  <c r="Q97" i="91"/>
  <c r="O111" i="85"/>
  <c r="Q83" i="93"/>
  <c r="Q169" i="93"/>
  <c r="P166" i="74"/>
  <c r="O74" i="92"/>
  <c r="AB152" i="84"/>
  <c r="O31" i="91"/>
  <c r="O127" i="91"/>
  <c r="AA141" i="87"/>
  <c r="P137" i="94"/>
  <c r="T84" i="88"/>
  <c r="O61" i="91"/>
  <c r="X57" i="93"/>
  <c r="L168" i="82"/>
  <c r="AA21" i="74"/>
  <c r="Y63" i="93"/>
  <c r="P110" i="85"/>
  <c r="T69" i="85"/>
  <c r="Q179" i="82"/>
  <c r="P135" i="84"/>
  <c r="Z112" i="92"/>
  <c r="Y156" i="74"/>
  <c r="Z64" i="87"/>
  <c r="AA21" i="87"/>
  <c r="Y116" i="83"/>
  <c r="P176" i="89"/>
  <c r="P72" i="89"/>
  <c r="AA103" i="74"/>
  <c r="AA125" i="94"/>
  <c r="L153" i="94"/>
  <c r="O122" i="89"/>
  <c r="N174" i="74"/>
  <c r="Q116" i="91"/>
  <c r="Q185" i="93"/>
  <c r="AB84" i="94"/>
  <c r="P97" i="94"/>
  <c r="AA109" i="82"/>
  <c r="AB143" i="87"/>
  <c r="Q180" i="83"/>
  <c r="X69" i="94"/>
  <c r="O99" i="87"/>
  <c r="Q140" i="81"/>
  <c r="P121" i="85"/>
  <c r="P147" i="83"/>
  <c r="X70" i="74"/>
  <c r="Z63" i="74"/>
  <c r="X77" i="93"/>
  <c r="Z106" i="92"/>
  <c r="Q121" i="85"/>
  <c r="AA136" i="94"/>
  <c r="AA67" i="74"/>
  <c r="AB115" i="89"/>
  <c r="X31" i="87"/>
  <c r="L126" i="92"/>
  <c r="Y68" i="81"/>
  <c r="T114" i="91"/>
  <c r="P185" i="89"/>
  <c r="O151" i="88"/>
  <c r="T141" i="84"/>
  <c r="X45" i="91"/>
  <c r="Z150" i="92"/>
  <c r="AA173" i="82"/>
  <c r="L82" i="85"/>
  <c r="Y29" i="81"/>
  <c r="M29" i="85"/>
  <c r="O37" i="83"/>
  <c r="AB154" i="93"/>
  <c r="Z84" i="94"/>
  <c r="AA106" i="92"/>
  <c r="AB113" i="93"/>
  <c r="AA121" i="87"/>
  <c r="P70" i="85"/>
  <c r="N102" i="94"/>
  <c r="T159" i="81"/>
  <c r="Q97" i="81"/>
  <c r="Y67" i="92"/>
  <c r="Z163" i="89"/>
  <c r="P93" i="85"/>
  <c r="T99" i="88"/>
  <c r="Y161" i="89"/>
  <c r="X109" i="94"/>
  <c r="L166" i="88"/>
  <c r="P21" i="82"/>
  <c r="Z153" i="88"/>
  <c r="Q19" i="85"/>
  <c r="O131" i="91"/>
  <c r="Z106" i="82"/>
  <c r="X169" i="92"/>
  <c r="N171" i="88"/>
  <c r="Y109" i="92"/>
  <c r="P96" i="83"/>
  <c r="AA25" i="91"/>
  <c r="Q59" i="94"/>
  <c r="AA115" i="94"/>
  <c r="L149" i="87"/>
  <c r="O118" i="84"/>
  <c r="AB138" i="89"/>
  <c r="X130" i="82"/>
  <c r="Z165" i="81"/>
  <c r="Z124" i="87"/>
  <c r="L117" i="88"/>
  <c r="AB112" i="88"/>
  <c r="Q160" i="94"/>
  <c r="Z158" i="92"/>
  <c r="Z78" i="87"/>
  <c r="AA95" i="83"/>
  <c r="AB106" i="89"/>
  <c r="AB109" i="93"/>
  <c r="Q25" i="83"/>
  <c r="P172" i="92"/>
  <c r="X180" i="81"/>
  <c r="AA53" i="92"/>
  <c r="O137" i="93"/>
  <c r="X164" i="87"/>
  <c r="AA165" i="81"/>
  <c r="Y88" i="91"/>
  <c r="L180" i="93"/>
  <c r="Y41" i="84"/>
  <c r="T165" i="85"/>
  <c r="Y93" i="93"/>
  <c r="M21" i="89"/>
  <c r="M25" i="85"/>
  <c r="AB138" i="82"/>
  <c r="N168" i="88"/>
  <c r="AB152" i="85"/>
  <c r="P177" i="92"/>
  <c r="Y139" i="81"/>
  <c r="L177" i="93"/>
  <c r="M11" i="89"/>
  <c r="Z33" i="87"/>
  <c r="Q120" i="88"/>
  <c r="AB102" i="94"/>
  <c r="X69" i="93"/>
  <c r="P124" i="81"/>
  <c r="N96" i="82"/>
  <c r="X153" i="94"/>
  <c r="AB99" i="82"/>
  <c r="Z171" i="85"/>
  <c r="X83" i="93"/>
  <c r="AB47" i="81"/>
  <c r="O76" i="82"/>
  <c r="L175" i="82"/>
  <c r="T117" i="87"/>
  <c r="AA114" i="74"/>
  <c r="X141" i="81"/>
  <c r="AB63" i="84"/>
  <c r="L136" i="91"/>
  <c r="Z15" i="94"/>
  <c r="P23" i="85"/>
  <c r="P153" i="81"/>
  <c r="Q149" i="87"/>
  <c r="Z29" i="74"/>
  <c r="O164" i="88"/>
  <c r="Q80" i="88"/>
  <c r="Q121" i="88"/>
  <c r="X123" i="93"/>
  <c r="X15" i="92"/>
  <c r="O81" i="84"/>
  <c r="L128" i="92"/>
  <c r="AA142" i="93"/>
  <c r="O29" i="91"/>
  <c r="P161" i="83"/>
  <c r="Z66" i="91"/>
  <c r="AB175" i="92"/>
  <c r="Z122" i="94"/>
  <c r="AA143" i="87"/>
  <c r="L90" i="88"/>
  <c r="Z71" i="81"/>
  <c r="O116" i="89"/>
  <c r="M47" i="88"/>
  <c r="P63" i="94"/>
  <c r="Y157" i="85"/>
  <c r="Q185" i="85"/>
  <c r="P152" i="83"/>
  <c r="Z130" i="84"/>
  <c r="P145" i="85"/>
  <c r="P88" i="94"/>
  <c r="AA89" i="91"/>
  <c r="X119" i="85"/>
  <c r="L104" i="85"/>
  <c r="AA41" i="92"/>
  <c r="Z106" i="85"/>
  <c r="X69" i="89"/>
  <c r="X89" i="94"/>
  <c r="O21" i="85"/>
  <c r="Y151" i="88"/>
  <c r="Q169" i="89"/>
  <c r="O132" i="92"/>
  <c r="Y89" i="81"/>
  <c r="AB161" i="88"/>
  <c r="P143" i="91"/>
  <c r="O121" i="88"/>
  <c r="Q33" i="91"/>
  <c r="AB55" i="87"/>
  <c r="Z147" i="81"/>
  <c r="L152" i="82"/>
  <c r="X71" i="94"/>
  <c r="O89" i="85"/>
  <c r="L98" i="74"/>
  <c r="N72" i="93"/>
  <c r="AB151" i="84"/>
  <c r="P53" i="85"/>
  <c r="O131" i="74"/>
  <c r="X25" i="94"/>
  <c r="Z122" i="92"/>
  <c r="Z101" i="81"/>
  <c r="P108" i="84"/>
  <c r="Q116" i="89"/>
  <c r="Z103" i="91"/>
  <c r="AB92" i="82"/>
  <c r="P97" i="93"/>
  <c r="P78" i="94"/>
  <c r="Q118" i="81"/>
  <c r="T171" i="85"/>
  <c r="X113" i="81"/>
  <c r="AA87" i="88"/>
  <c r="P154" i="89"/>
  <c r="AA168" i="74"/>
  <c r="AB39" i="87"/>
  <c r="O96" i="94"/>
  <c r="L167" i="89"/>
  <c r="X168" i="92"/>
  <c r="AB140" i="91"/>
  <c r="AB41" i="91"/>
  <c r="Y86" i="81"/>
  <c r="Z137" i="93"/>
  <c r="Z93" i="87"/>
  <c r="AB143" i="89"/>
  <c r="P11" i="74"/>
  <c r="L151" i="93"/>
  <c r="AA111" i="88"/>
  <c r="L135" i="85"/>
  <c r="X75" i="93"/>
  <c r="P177" i="93"/>
  <c r="Q133" i="81"/>
  <c r="Z75" i="82"/>
  <c r="P117" i="74"/>
  <c r="AA74" i="93"/>
  <c r="AB176" i="84"/>
  <c r="AA154" i="85"/>
  <c r="Q81" i="74"/>
  <c r="AA135" i="83"/>
  <c r="Q81" i="89"/>
  <c r="P178" i="91"/>
  <c r="AA125" i="92"/>
  <c r="X15" i="83"/>
  <c r="O150" i="94"/>
  <c r="Y45" i="83"/>
  <c r="O152" i="92"/>
  <c r="L131" i="93"/>
  <c r="Q109" i="85"/>
  <c r="AA90" i="85"/>
  <c r="Z64" i="94"/>
  <c r="Y155" i="93"/>
  <c r="P170" i="74"/>
  <c r="L170" i="94"/>
  <c r="AA165" i="92"/>
  <c r="T105" i="82"/>
  <c r="Y124" i="93"/>
  <c r="X89" i="89"/>
  <c r="L152" i="74"/>
  <c r="O59" i="88"/>
  <c r="P39" i="81"/>
  <c r="Z55" i="81"/>
  <c r="Q118" i="74"/>
  <c r="L154" i="91"/>
  <c r="Z139" i="92"/>
  <c r="Z114" i="89"/>
  <c r="Z125" i="83"/>
  <c r="Y65" i="91"/>
  <c r="P84" i="84"/>
  <c r="Y138" i="83"/>
  <c r="O157" i="87"/>
  <c r="Q156" i="92"/>
  <c r="X124" i="87"/>
  <c r="Y11" i="82"/>
  <c r="M37" i="88"/>
  <c r="P110" i="84"/>
  <c r="P148" i="81"/>
  <c r="Z61" i="84"/>
  <c r="Q112" i="89"/>
  <c r="O150" i="88"/>
  <c r="Q43" i="94"/>
  <c r="Y180" i="87"/>
  <c r="Q71" i="88"/>
  <c r="AB106" i="81"/>
  <c r="O174" i="82"/>
  <c r="O78" i="74"/>
  <c r="AB155" i="87"/>
  <c r="O153" i="91"/>
  <c r="N111" i="85"/>
  <c r="Q128" i="82"/>
  <c r="Q51" i="93"/>
  <c r="Y78" i="81"/>
  <c r="P27" i="74"/>
  <c r="P120" i="89"/>
  <c r="M55" i="74"/>
  <c r="O150" i="83"/>
  <c r="L172" i="87"/>
  <c r="AA136" i="84"/>
  <c r="P31" i="84"/>
  <c r="Y149" i="87"/>
  <c r="AB107" i="93"/>
  <c r="O151" i="89"/>
  <c r="P96" i="84"/>
  <c r="N57" i="94"/>
  <c r="O135" i="83"/>
  <c r="P121" i="83"/>
  <c r="P122" i="88"/>
  <c r="Z21" i="91"/>
  <c r="X93" i="91"/>
  <c r="P84" i="81"/>
  <c r="Y116" i="88"/>
  <c r="AA35" i="88"/>
  <c r="Z92" i="89"/>
  <c r="L159" i="91"/>
  <c r="AB101" i="87"/>
  <c r="Q155" i="85"/>
  <c r="Z75" i="89"/>
  <c r="Z72" i="88"/>
  <c r="AA89" i="82"/>
  <c r="Z134" i="91"/>
  <c r="Z49" i="89"/>
  <c r="M49" i="84"/>
  <c r="Q164" i="91"/>
  <c r="AA157" i="82"/>
  <c r="Q21" i="89"/>
  <c r="L158" i="81"/>
  <c r="Q59" i="84"/>
  <c r="P118" i="82"/>
  <c r="X114" i="88"/>
  <c r="AA59" i="94"/>
  <c r="Y90" i="93"/>
  <c r="AA139" i="92"/>
  <c r="X151" i="85"/>
  <c r="AB153" i="92"/>
  <c r="X47" i="82"/>
  <c r="Q31" i="88"/>
  <c r="Z143" i="85"/>
  <c r="Q176" i="92"/>
  <c r="AA136" i="91"/>
  <c r="Z93" i="94"/>
  <c r="X131" i="89"/>
  <c r="L134" i="87"/>
  <c r="L82" i="74"/>
  <c r="Q125" i="89"/>
  <c r="Y96" i="74"/>
  <c r="AA137" i="94"/>
  <c r="AA101" i="84"/>
  <c r="O112" i="91"/>
  <c r="AB149" i="91"/>
  <c r="N111" i="83"/>
  <c r="X171" i="91"/>
  <c r="Y41" i="92"/>
  <c r="L107" i="92"/>
  <c r="N168" i="92"/>
  <c r="P83" i="85"/>
  <c r="AA55" i="91"/>
  <c r="AA82" i="89"/>
  <c r="AB102" i="92"/>
  <c r="Q78" i="82"/>
  <c r="L93" i="87"/>
  <c r="Y169" i="92"/>
  <c r="X164" i="81"/>
  <c r="N147" i="92"/>
  <c r="X126" i="92"/>
  <c r="AB140" i="92"/>
  <c r="Q149" i="94"/>
  <c r="Y77" i="82"/>
  <c r="Z131" i="92"/>
  <c r="Y110" i="74"/>
  <c r="P154" i="85"/>
  <c r="L77" i="82"/>
  <c r="AB64" i="85"/>
  <c r="X144" i="87"/>
  <c r="Y70" i="84"/>
  <c r="X11" i="84"/>
  <c r="Y149" i="88"/>
  <c r="O183" i="89"/>
  <c r="P169" i="87"/>
  <c r="Q92" i="88"/>
  <c r="Y76" i="91"/>
  <c r="O145" i="83"/>
  <c r="AB127" i="87"/>
  <c r="O64" i="94"/>
  <c r="X127" i="83"/>
  <c r="O140" i="84"/>
  <c r="X75" i="91"/>
  <c r="L113" i="93"/>
  <c r="P64" i="91"/>
  <c r="L65" i="92"/>
  <c r="L129" i="88"/>
  <c r="Z128" i="93"/>
  <c r="AA101" i="87"/>
  <c r="O179" i="91"/>
  <c r="Q9" i="81"/>
  <c r="Z107" i="93"/>
  <c r="N135" i="88"/>
  <c r="X21" i="92"/>
  <c r="Q41" i="94"/>
  <c r="AA11" i="85"/>
  <c r="AA167" i="83"/>
  <c r="X148" i="84"/>
  <c r="N185" i="74"/>
  <c r="AB51" i="91"/>
  <c r="AA164" i="87"/>
  <c r="O121" i="85"/>
  <c r="AB106" i="87"/>
  <c r="Z11" i="94"/>
  <c r="N162" i="88"/>
  <c r="Q115" i="85"/>
  <c r="O162" i="92"/>
  <c r="Y37" i="94"/>
  <c r="AA145" i="88"/>
  <c r="AA100" i="84"/>
  <c r="Z139" i="85"/>
  <c r="P140" i="91"/>
  <c r="N33" i="82"/>
  <c r="Z59" i="89"/>
  <c r="L127" i="92"/>
  <c r="M33" i="88"/>
  <c r="O31" i="92"/>
  <c r="AB80" i="93"/>
  <c r="T87" i="87"/>
  <c r="O75" i="88"/>
  <c r="AB95" i="83"/>
  <c r="Q19" i="93"/>
  <c r="AA92" i="94"/>
  <c r="O88" i="89"/>
  <c r="P88" i="92"/>
  <c r="P117" i="84"/>
  <c r="Z131" i="84"/>
  <c r="P183" i="82"/>
  <c r="AB21" i="88"/>
  <c r="AB122" i="94"/>
  <c r="Q31" i="92"/>
  <c r="X41" i="88"/>
  <c r="Z169" i="89"/>
  <c r="Z70" i="92"/>
  <c r="Y177" i="81"/>
  <c r="Z167" i="92"/>
  <c r="P103" i="83"/>
  <c r="P45" i="94"/>
  <c r="Z71" i="88"/>
  <c r="AB100" i="91"/>
  <c r="Z96" i="81"/>
  <c r="AA94" i="93"/>
  <c r="X29" i="93"/>
  <c r="N99" i="87"/>
  <c r="AB172" i="89"/>
  <c r="Z76" i="93"/>
  <c r="X159" i="93"/>
  <c r="Z73" i="91"/>
  <c r="O37" i="94"/>
  <c r="AB63" i="89"/>
  <c r="AB156" i="94"/>
  <c r="AA164" i="84"/>
  <c r="L108" i="74"/>
  <c r="AB88" i="92"/>
  <c r="AA33" i="88"/>
  <c r="AA151" i="83"/>
  <c r="Q110" i="93"/>
  <c r="X81" i="83"/>
  <c r="AA173" i="74"/>
  <c r="Q104" i="93"/>
  <c r="AB174" i="89"/>
  <c r="M39" i="87"/>
  <c r="P122" i="85"/>
  <c r="Z127" i="93"/>
  <c r="O163" i="74"/>
  <c r="Z80" i="92"/>
  <c r="Q182" i="92"/>
  <c r="Y114" i="88"/>
  <c r="O169" i="85"/>
  <c r="Y107" i="89"/>
  <c r="Q66" i="92"/>
  <c r="Q146" i="88"/>
  <c r="Z83" i="89"/>
  <c r="T99" i="83"/>
  <c r="Q81" i="84"/>
  <c r="AB131" i="94"/>
  <c r="L160" i="93"/>
  <c r="O89" i="87"/>
  <c r="M35" i="87"/>
  <c r="P185" i="81"/>
  <c r="Q170" i="94"/>
  <c r="N84" i="74"/>
  <c r="M35" i="89"/>
  <c r="L87" i="89"/>
  <c r="AA107" i="84"/>
  <c r="AA80" i="93"/>
  <c r="Y141" i="92"/>
  <c r="L122" i="93"/>
  <c r="Z138" i="81"/>
  <c r="Y147" i="89"/>
  <c r="Z155" i="92"/>
  <c r="Q83" i="92"/>
  <c r="Z176" i="74"/>
  <c r="AA144" i="94"/>
  <c r="P161" i="92"/>
  <c r="T72" i="91"/>
  <c r="Q135" i="88"/>
  <c r="Y116" i="92"/>
  <c r="Z47" i="94"/>
  <c r="Y127" i="74"/>
  <c r="X177" i="88"/>
  <c r="Z80" i="87"/>
  <c r="Y157" i="91"/>
  <c r="X92" i="74"/>
  <c r="O88" i="92"/>
  <c r="AA35" i="93"/>
  <c r="P185" i="87"/>
  <c r="O79" i="94"/>
  <c r="Q173" i="94"/>
  <c r="O160" i="81"/>
  <c r="X78" i="85"/>
  <c r="AA152" i="84"/>
  <c r="Q76" i="82"/>
  <c r="AB15" i="84"/>
  <c r="N33" i="84"/>
  <c r="L140" i="91"/>
  <c r="L153" i="93"/>
  <c r="X126" i="89"/>
  <c r="Z151" i="92"/>
  <c r="X180" i="91"/>
  <c r="X74" i="91"/>
  <c r="Q93" i="87"/>
  <c r="L76" i="93"/>
  <c r="Y91" i="83"/>
  <c r="P133" i="83"/>
  <c r="N120" i="74"/>
  <c r="Y163" i="91"/>
  <c r="AA51" i="92"/>
  <c r="AB110" i="94"/>
  <c r="X67" i="89"/>
  <c r="Q53" i="92"/>
  <c r="AA97" i="87"/>
  <c r="X97" i="87"/>
  <c r="L159" i="87"/>
  <c r="Z27" i="81"/>
  <c r="L170" i="82"/>
  <c r="Z79" i="94"/>
  <c r="P127" i="84"/>
  <c r="O77" i="91"/>
  <c r="L141" i="89"/>
  <c r="Y157" i="88"/>
  <c r="P37" i="81"/>
  <c r="L104" i="89"/>
  <c r="P73" i="81"/>
  <c r="AA23" i="81"/>
  <c r="P139" i="89"/>
  <c r="AB135" i="85"/>
  <c r="P171" i="92"/>
  <c r="Y87" i="83"/>
  <c r="AA100" i="74"/>
  <c r="T120" i="92"/>
  <c r="Y80" i="93"/>
  <c r="X114" i="92"/>
  <c r="AB138" i="83"/>
  <c r="Q152" i="91"/>
  <c r="AB130" i="89"/>
  <c r="T126" i="87"/>
  <c r="AB61" i="85"/>
  <c r="Z87" i="88"/>
  <c r="X140" i="93"/>
  <c r="AA99" i="89"/>
  <c r="L115" i="94"/>
  <c r="Y29" i="94"/>
  <c r="T177" i="82"/>
  <c r="Q116" i="87"/>
  <c r="Y165" i="93"/>
  <c r="Z142" i="93"/>
  <c r="Q101" i="94"/>
  <c r="AB89" i="91"/>
  <c r="O112" i="87"/>
  <c r="AB91" i="83"/>
  <c r="Z150" i="89"/>
  <c r="X176" i="89"/>
  <c r="P101" i="89"/>
  <c r="O91" i="81"/>
  <c r="Z95" i="84"/>
  <c r="P139" i="94"/>
  <c r="Q155" i="87"/>
  <c r="Q86" i="81"/>
  <c r="N99" i="92"/>
  <c r="Y133" i="94"/>
  <c r="AB148" i="94"/>
  <c r="T168" i="74"/>
  <c r="Y31" i="74"/>
  <c r="Z126" i="85"/>
  <c r="X165" i="93"/>
  <c r="P81" i="74"/>
  <c r="L108" i="87"/>
  <c r="M51" i="89"/>
  <c r="P112" i="82"/>
  <c r="AA77" i="91"/>
  <c r="Z35" i="85"/>
  <c r="Q99" i="84"/>
  <c r="O21" i="92"/>
  <c r="Y135" i="93"/>
  <c r="Q119" i="84"/>
  <c r="Z94" i="93"/>
  <c r="AA72" i="81"/>
  <c r="AA128" i="84"/>
  <c r="AA33" i="87"/>
  <c r="AB98" i="94"/>
  <c r="Q66" i="84"/>
  <c r="AA180" i="83"/>
  <c r="Y123" i="83"/>
  <c r="Y129" i="93"/>
  <c r="AB144" i="94"/>
  <c r="M27" i="94"/>
  <c r="O168" i="83"/>
  <c r="O135" i="81"/>
  <c r="AB31" i="82"/>
  <c r="Q33" i="89"/>
  <c r="Z99" i="88"/>
  <c r="P25" i="94"/>
  <c r="Y163" i="74"/>
  <c r="L139" i="85"/>
  <c r="P64" i="74"/>
  <c r="Z157" i="74"/>
  <c r="Q94" i="84"/>
  <c r="L63" i="88"/>
  <c r="N105" i="87"/>
  <c r="Q59" i="87"/>
  <c r="Q149" i="93"/>
  <c r="T168" i="88"/>
  <c r="P157" i="74"/>
  <c r="AB118" i="87"/>
  <c r="X113" i="91"/>
  <c r="AB121" i="85"/>
  <c r="L103" i="82"/>
  <c r="O146" i="85"/>
  <c r="L184" i="94"/>
  <c r="AA69" i="94"/>
  <c r="M47" i="94"/>
  <c r="X69" i="83"/>
  <c r="L162" i="91"/>
  <c r="Y172" i="88"/>
  <c r="N69" i="93"/>
  <c r="Z13" i="87"/>
  <c r="Q98" i="93"/>
  <c r="P86" i="92"/>
  <c r="AA9" i="92"/>
  <c r="Q161" i="92"/>
  <c r="P79" i="74"/>
  <c r="X23" i="81"/>
  <c r="P113" i="81"/>
  <c r="AB84" i="92"/>
  <c r="P136" i="89"/>
  <c r="AA72" i="91"/>
  <c r="AB37" i="93"/>
  <c r="Y90" i="94"/>
  <c r="AA98" i="85"/>
  <c r="Y53" i="83"/>
  <c r="L164" i="91"/>
  <c r="AA45" i="89"/>
  <c r="Y41" i="83"/>
  <c r="Z152" i="87"/>
  <c r="Q123" i="89"/>
  <c r="P167" i="85"/>
  <c r="AB55" i="81"/>
  <c r="AA106" i="85"/>
  <c r="O181" i="82"/>
  <c r="AA43" i="89"/>
  <c r="AA139" i="84"/>
  <c r="AA92" i="85"/>
  <c r="Z174" i="85"/>
  <c r="N102" i="83"/>
  <c r="X82" i="74"/>
  <c r="Z145" i="85"/>
  <c r="L81" i="87"/>
  <c r="P144" i="94"/>
  <c r="Q93" i="88"/>
  <c r="P123" i="74"/>
  <c r="Y102" i="81"/>
  <c r="X113" i="84"/>
  <c r="Q61" i="82"/>
  <c r="AA162" i="83"/>
  <c r="L150" i="85"/>
  <c r="Y171" i="83"/>
  <c r="AA41" i="91"/>
  <c r="Y169" i="82"/>
  <c r="X142" i="91"/>
  <c r="P118" i="87"/>
  <c r="AB172" i="84"/>
  <c r="O126" i="92"/>
  <c r="Q43" i="84"/>
  <c r="N87" i="88"/>
  <c r="AB149" i="92"/>
  <c r="P178" i="81"/>
  <c r="T69" i="92"/>
  <c r="P64" i="89"/>
  <c r="Q101" i="88"/>
  <c r="Y112" i="92"/>
  <c r="X145" i="92"/>
  <c r="Y53" i="91"/>
  <c r="Z139" i="74"/>
  <c r="Y142" i="82"/>
  <c r="L139" i="83"/>
  <c r="AA94" i="89"/>
  <c r="X174" i="87"/>
  <c r="O106" i="89"/>
  <c r="Q165" i="84"/>
  <c r="AA118" i="91"/>
  <c r="M21" i="83"/>
  <c r="AB23" i="85"/>
  <c r="Y35" i="83"/>
  <c r="Q121" i="83"/>
  <c r="Z86" i="87"/>
  <c r="M19" i="81"/>
  <c r="Y158" i="91"/>
  <c r="O181" i="88"/>
  <c r="Y53" i="93"/>
  <c r="X148" i="94"/>
  <c r="L93" i="84"/>
  <c r="N117" i="93"/>
  <c r="T84" i="94"/>
  <c r="AB11" i="85"/>
  <c r="X69" i="74"/>
  <c r="AB152" i="81"/>
  <c r="Y70" i="82"/>
  <c r="Q104" i="88"/>
  <c r="N144" i="84"/>
  <c r="Y164" i="84"/>
  <c r="O185" i="89"/>
  <c r="X159" i="74"/>
  <c r="N165" i="87"/>
  <c r="AB138" i="81"/>
  <c r="Z165" i="82"/>
  <c r="P182" i="82"/>
  <c r="T156" i="82"/>
  <c r="X69" i="88"/>
  <c r="P51" i="85"/>
  <c r="AA158" i="82"/>
  <c r="Z121" i="92"/>
  <c r="Z73" i="89"/>
  <c r="AA126" i="87"/>
  <c r="AB132" i="85"/>
  <c r="Q63" i="91"/>
  <c r="L131" i="88"/>
  <c r="X138" i="83"/>
  <c r="X126" i="88"/>
  <c r="P81" i="94"/>
  <c r="AA17" i="88"/>
  <c r="X23" i="85"/>
  <c r="L141" i="91"/>
  <c r="AB89" i="87"/>
  <c r="O17" i="82"/>
  <c r="AB174" i="81"/>
  <c r="Q73" i="87"/>
  <c r="L139" i="87"/>
  <c r="AA95" i="85"/>
  <c r="L126" i="85"/>
  <c r="M61" i="85"/>
  <c r="Y83" i="84"/>
  <c r="T93" i="84"/>
  <c r="Y165" i="87"/>
  <c r="O117" i="92"/>
  <c r="Q94" i="82"/>
  <c r="Y143" i="84"/>
  <c r="Q66" i="93"/>
  <c r="AA128" i="88"/>
  <c r="AA159" i="89"/>
  <c r="Y122" i="94"/>
  <c r="P178" i="82"/>
  <c r="AA27" i="83"/>
  <c r="Z64" i="92"/>
  <c r="Z41" i="94"/>
  <c r="L157" i="87"/>
  <c r="O57" i="94"/>
  <c r="AA53" i="91"/>
  <c r="AB168" i="84"/>
  <c r="P167" i="82"/>
  <c r="AA180" i="92"/>
  <c r="N45" i="94"/>
  <c r="O89" i="88"/>
  <c r="N162" i="94"/>
  <c r="AB108" i="84"/>
  <c r="N138" i="91"/>
  <c r="AB68" i="82"/>
  <c r="AA143" i="84"/>
  <c r="O57" i="83"/>
  <c r="P31" i="83"/>
  <c r="Q149" i="84"/>
  <c r="Y92" i="84"/>
  <c r="AA33" i="74"/>
  <c r="Q113" i="81"/>
  <c r="Y180" i="84"/>
  <c r="L98" i="81"/>
  <c r="Z68" i="74"/>
  <c r="T39" i="93"/>
  <c r="AA94" i="87"/>
  <c r="Z116" i="82"/>
  <c r="Z84" i="91"/>
  <c r="AA172" i="88"/>
  <c r="AA132" i="89"/>
  <c r="T66" i="74"/>
  <c r="N183" i="92"/>
  <c r="L97" i="88"/>
  <c r="Q76" i="94"/>
  <c r="Y9" i="94"/>
  <c r="P151" i="94"/>
  <c r="Q174" i="81"/>
  <c r="N66" i="85"/>
  <c r="Z168" i="85"/>
  <c r="N184" i="83"/>
  <c r="L119" i="89"/>
  <c r="O131" i="85"/>
  <c r="Y41" i="88"/>
  <c r="L151" i="91"/>
  <c r="P160" i="81"/>
  <c r="M47" i="82"/>
  <c r="P134" i="88"/>
  <c r="Y104" i="83"/>
  <c r="L72" i="94"/>
  <c r="O148" i="74"/>
  <c r="O184" i="83"/>
  <c r="Y25" i="85"/>
  <c r="X166" i="82"/>
  <c r="AA147" i="83"/>
  <c r="AB150" i="87"/>
  <c r="AA175" i="85"/>
  <c r="Q106" i="74"/>
  <c r="Z106" i="83"/>
  <c r="Y78" i="82"/>
  <c r="X111" i="92"/>
  <c r="P95" i="84"/>
  <c r="AB125" i="82"/>
  <c r="Q118" i="84"/>
  <c r="AA104" i="82"/>
  <c r="N114" i="84"/>
  <c r="Y116" i="93"/>
  <c r="AB41" i="93"/>
  <c r="AA76" i="92"/>
  <c r="X13" i="91"/>
  <c r="AB53" i="88"/>
  <c r="Y88" i="87"/>
  <c r="M15" i="89"/>
  <c r="P53" i="91"/>
  <c r="P86" i="88"/>
  <c r="AB57" i="93"/>
  <c r="N93" i="89"/>
  <c r="P180" i="93"/>
  <c r="O78" i="82"/>
  <c r="P21" i="84"/>
  <c r="Q108" i="82"/>
  <c r="L183" i="83"/>
  <c r="P98" i="82"/>
  <c r="AA136" i="93"/>
  <c r="Z80" i="91"/>
  <c r="Q149" i="92"/>
  <c r="Q181" i="82"/>
  <c r="L94" i="88"/>
  <c r="P165" i="91"/>
  <c r="P126" i="87"/>
  <c r="O51" i="92"/>
  <c r="L79" i="81"/>
  <c r="L172" i="74"/>
  <c r="P71" i="93"/>
  <c r="Q161" i="88"/>
  <c r="Y113" i="74"/>
  <c r="N184" i="94"/>
  <c r="Z43" i="87"/>
  <c r="L185" i="81"/>
  <c r="P70" i="92"/>
  <c r="T117" i="88"/>
  <c r="P125" i="84"/>
  <c r="X115" i="93"/>
  <c r="AA55" i="92"/>
  <c r="X149" i="85"/>
  <c r="L166" i="87"/>
  <c r="P75" i="93"/>
  <c r="N177" i="94"/>
  <c r="AB118" i="93"/>
  <c r="X67" i="87"/>
  <c r="O23" i="94"/>
  <c r="P94" i="92"/>
  <c r="Y145" i="85"/>
  <c r="AB180" i="84"/>
  <c r="P181" i="92"/>
  <c r="Y173" i="88"/>
  <c r="L76" i="83"/>
  <c r="X114" i="82"/>
  <c r="L86" i="94"/>
  <c r="L109" i="74"/>
  <c r="Y96" i="94"/>
  <c r="L174" i="81"/>
  <c r="AA96" i="85"/>
  <c r="AB90" i="88"/>
  <c r="AA55" i="83"/>
  <c r="Z19" i="93"/>
  <c r="AB23" i="94"/>
  <c r="X106" i="88"/>
  <c r="N81" i="92"/>
  <c r="M57" i="92"/>
  <c r="P66" i="81"/>
  <c r="AA133" i="91"/>
  <c r="Z82" i="89"/>
  <c r="X87" i="88"/>
  <c r="Y114" i="87"/>
  <c r="O51" i="93"/>
  <c r="Z47" i="89"/>
  <c r="L121" i="81"/>
  <c r="O107" i="93"/>
  <c r="T21" i="83"/>
  <c r="Z81" i="93"/>
  <c r="T135" i="82"/>
  <c r="L101" i="91"/>
  <c r="Q124" i="81"/>
  <c r="Y33" i="85"/>
  <c r="AA162" i="94"/>
  <c r="O78" i="87"/>
  <c r="AB140" i="89"/>
  <c r="AA141" i="82"/>
  <c r="O124" i="93"/>
  <c r="Z23" i="74"/>
  <c r="Z21" i="93"/>
  <c r="L70" i="91"/>
  <c r="T51" i="94"/>
  <c r="AA64" i="93"/>
  <c r="AB141" i="82"/>
  <c r="X156" i="88"/>
  <c r="O140" i="87"/>
  <c r="L118" i="85"/>
  <c r="AB31" i="92"/>
  <c r="Q152" i="85"/>
  <c r="N96" i="91"/>
  <c r="Z116" i="94"/>
  <c r="Y81" i="81"/>
  <c r="N141" i="88"/>
  <c r="Y174" i="94"/>
  <c r="Q172" i="91"/>
  <c r="O114" i="84"/>
  <c r="O105" i="88"/>
  <c r="Y49" i="89"/>
  <c r="Z114" i="88"/>
  <c r="Q71" i="83"/>
  <c r="T117" i="94"/>
  <c r="AB11" i="88"/>
  <c r="O88" i="74"/>
  <c r="M19" i="74"/>
  <c r="Y111" i="93"/>
  <c r="Z90" i="84"/>
  <c r="Q176" i="84"/>
  <c r="Y86" i="91"/>
  <c r="Y61" i="83"/>
  <c r="Y105" i="89"/>
  <c r="P15" i="94"/>
  <c r="AB74" i="81"/>
  <c r="N153" i="91"/>
  <c r="AB55" i="83"/>
  <c r="Y154" i="81"/>
  <c r="L98" i="89"/>
  <c r="AA90" i="92"/>
  <c r="X153" i="89"/>
  <c r="P35" i="84"/>
  <c r="P112" i="84"/>
  <c r="L91" i="93"/>
  <c r="O79" i="85"/>
  <c r="Z83" i="83"/>
  <c r="Z35" i="94"/>
  <c r="N156" i="81"/>
  <c r="Z105" i="92"/>
  <c r="X117" i="81"/>
  <c r="P74" i="85"/>
  <c r="X162" i="89"/>
  <c r="Y82" i="93"/>
  <c r="L169" i="93"/>
  <c r="Z110" i="85"/>
  <c r="Y140" i="94"/>
  <c r="O43" i="74"/>
  <c r="Z53" i="84"/>
  <c r="O102" i="74"/>
  <c r="AB129" i="85"/>
  <c r="X171" i="94"/>
  <c r="P142" i="85"/>
  <c r="AB64" i="87"/>
  <c r="Z43" i="93"/>
  <c r="P74" i="81"/>
  <c r="Z150" i="85"/>
  <c r="AA88" i="91"/>
  <c r="P21" i="83"/>
  <c r="Q185" i="94"/>
  <c r="Y125" i="81"/>
  <c r="AA131" i="89"/>
  <c r="O162" i="85"/>
  <c r="O168" i="91"/>
  <c r="Y169" i="85"/>
  <c r="T171" i="87"/>
  <c r="O108" i="88"/>
  <c r="Z99" i="81"/>
  <c r="P55" i="89"/>
  <c r="Y23" i="81"/>
  <c r="X116" i="89"/>
  <c r="O138" i="83"/>
  <c r="O72" i="89"/>
  <c r="Q137" i="81"/>
  <c r="Q104" i="89"/>
  <c r="P25" i="84"/>
  <c r="Q167" i="87"/>
  <c r="X25" i="93"/>
  <c r="L158" i="82"/>
  <c r="O178" i="89"/>
  <c r="AB170" i="91"/>
  <c r="T78" i="94"/>
  <c r="L111" i="88"/>
  <c r="AB69" i="91"/>
  <c r="Z104" i="83"/>
  <c r="O92" i="74"/>
  <c r="N162" i="82"/>
  <c r="O73" i="92"/>
  <c r="O63" i="91"/>
  <c r="L137" i="89"/>
  <c r="P114" i="93"/>
  <c r="Y13" i="74"/>
  <c r="T147" i="85"/>
  <c r="L124" i="87"/>
  <c r="P136" i="92"/>
  <c r="Q29" i="87"/>
  <c r="O49" i="91"/>
  <c r="P111" i="74"/>
  <c r="AA97" i="91"/>
  <c r="Y137" i="85"/>
  <c r="P165" i="92"/>
  <c r="AB126" i="82"/>
  <c r="P129" i="74"/>
  <c r="AA149" i="81"/>
  <c r="Y17" i="81"/>
  <c r="AA102" i="91"/>
  <c r="X83" i="89"/>
  <c r="O138" i="94"/>
  <c r="M41" i="82"/>
  <c r="N129" i="84"/>
  <c r="Q91" i="89"/>
  <c r="L114" i="92"/>
  <c r="Y9" i="83"/>
  <c r="Y129" i="88"/>
  <c r="Z51" i="92"/>
  <c r="Z80" i="83"/>
  <c r="L110" i="93"/>
  <c r="X95" i="82"/>
  <c r="N57" i="87"/>
  <c r="L161" i="81"/>
  <c r="Z100" i="87"/>
  <c r="O21" i="93"/>
  <c r="AA168" i="81"/>
  <c r="L87" i="91"/>
  <c r="X43" i="87"/>
  <c r="Q119" i="74"/>
  <c r="X74" i="74"/>
  <c r="L143" i="88"/>
  <c r="P129" i="82"/>
  <c r="X158" i="85"/>
  <c r="AA146" i="91"/>
  <c r="AA66" i="89"/>
  <c r="Z15" i="84"/>
  <c r="Q151" i="85"/>
  <c r="Z94" i="89"/>
  <c r="N144" i="87"/>
  <c r="P39" i="83"/>
  <c r="AB70" i="82"/>
  <c r="O162" i="74"/>
  <c r="AA108" i="85"/>
  <c r="Z115" i="92"/>
  <c r="AB74" i="91"/>
  <c r="L109" i="91"/>
  <c r="T156" i="84"/>
  <c r="P69" i="94"/>
  <c r="Y118" i="92"/>
  <c r="Q95" i="81"/>
  <c r="AB140" i="93"/>
  <c r="X116" i="85"/>
  <c r="Y107" i="82"/>
  <c r="N45" i="87"/>
  <c r="Y129" i="84"/>
  <c r="X170" i="91"/>
  <c r="Y110" i="85"/>
  <c r="AB123" i="88"/>
  <c r="Y108" i="82"/>
  <c r="L132" i="87"/>
  <c r="O124" i="82"/>
  <c r="Z55" i="87"/>
  <c r="X84" i="93"/>
  <c r="X132" i="84"/>
  <c r="AB97" i="83"/>
  <c r="AB125" i="93"/>
  <c r="P179" i="92"/>
  <c r="X151" i="74"/>
  <c r="Z67" i="94"/>
  <c r="Q45" i="82"/>
  <c r="T15" i="88"/>
  <c r="L97" i="74"/>
  <c r="X132" i="91"/>
  <c r="O144" i="88"/>
  <c r="X175" i="91"/>
  <c r="Z103" i="88"/>
  <c r="L84" i="92"/>
  <c r="T111" i="93"/>
  <c r="N84" i="89"/>
  <c r="N21" i="84"/>
  <c r="Y167" i="94"/>
  <c r="AB63" i="92"/>
  <c r="AB88" i="89"/>
  <c r="Y124" i="87"/>
  <c r="O108" i="84"/>
  <c r="Z176" i="93"/>
  <c r="L111" i="92"/>
  <c r="Q123" i="83"/>
  <c r="Y129" i="82"/>
  <c r="Z140" i="92"/>
  <c r="Z121" i="94"/>
  <c r="AB120" i="81"/>
  <c r="N51" i="89"/>
  <c r="AB84" i="82"/>
  <c r="N93" i="87"/>
  <c r="Y140" i="88"/>
  <c r="Q47" i="85"/>
  <c r="Q175" i="74"/>
  <c r="O49" i="85"/>
  <c r="Z141" i="85"/>
  <c r="AA168" i="85"/>
  <c r="X33" i="84"/>
  <c r="Z114" i="82"/>
  <c r="X59" i="74"/>
  <c r="Q145" i="93"/>
  <c r="Y57" i="92"/>
  <c r="Y69" i="89"/>
  <c r="M9" i="83"/>
  <c r="O75" i="85"/>
  <c r="P155" i="74"/>
  <c r="Q143" i="84"/>
  <c r="Q57" i="83"/>
  <c r="Y81" i="74"/>
  <c r="Z64" i="85"/>
  <c r="Q39" i="84"/>
  <c r="Z163" i="94"/>
  <c r="N27" i="85"/>
  <c r="L168" i="89"/>
  <c r="Z152" i="94"/>
  <c r="X79" i="93"/>
  <c r="AB99" i="83"/>
  <c r="Y11" i="84"/>
  <c r="AB55" i="89"/>
  <c r="AB39" i="91"/>
  <c r="T93" i="93"/>
  <c r="X15" i="93"/>
  <c r="AB148" i="91"/>
  <c r="X131" i="82"/>
  <c r="P115" i="84"/>
  <c r="AA79" i="87"/>
  <c r="X169" i="84"/>
  <c r="L176" i="93"/>
  <c r="L68" i="89"/>
  <c r="O75" i="91"/>
  <c r="X105" i="88"/>
  <c r="X66" i="85"/>
  <c r="Q151" i="94"/>
  <c r="Y29" i="91"/>
  <c r="L126" i="91"/>
  <c r="AB166" i="93"/>
  <c r="O90" i="83"/>
  <c r="X91" i="89"/>
  <c r="Z72" i="87"/>
  <c r="L70" i="93"/>
  <c r="M51" i="81"/>
  <c r="AA67" i="94"/>
  <c r="P25" i="87"/>
  <c r="T177" i="85"/>
  <c r="Q9" i="92"/>
  <c r="X93" i="74"/>
  <c r="AA108" i="87"/>
  <c r="Z81" i="87"/>
  <c r="Y104" i="89"/>
  <c r="X101" i="81"/>
  <c r="L156" i="83"/>
  <c r="AB130" i="87"/>
  <c r="Y61" i="82"/>
  <c r="L67" i="82"/>
  <c r="N150" i="74"/>
  <c r="Y47" i="92"/>
  <c r="O17" i="89"/>
  <c r="X29" i="91"/>
  <c r="M17" i="74"/>
  <c r="O139" i="88"/>
  <c r="Y128" i="87"/>
  <c r="Y140" i="93"/>
  <c r="P92" i="82"/>
  <c r="P161" i="93"/>
  <c r="O106" i="91"/>
  <c r="O115" i="84"/>
  <c r="Y149" i="81"/>
  <c r="N162" i="87"/>
  <c r="O156" i="94"/>
  <c r="L139" i="74"/>
  <c r="AA134" i="85"/>
  <c r="P93" i="87"/>
  <c r="X160" i="84"/>
  <c r="Z129" i="87"/>
  <c r="T108" i="82"/>
  <c r="Y41" i="82"/>
  <c r="P116" i="83"/>
  <c r="O176" i="84"/>
  <c r="X61" i="94"/>
  <c r="Z61" i="81"/>
  <c r="O17" i="74"/>
  <c r="P116" i="89"/>
  <c r="N15" i="81"/>
  <c r="P68" i="74"/>
  <c r="O166" i="88"/>
  <c r="O137" i="88"/>
  <c r="Y84" i="85"/>
  <c r="M49" i="89"/>
  <c r="Y88" i="89"/>
  <c r="X144" i="91"/>
  <c r="Q160" i="84"/>
  <c r="Z112" i="74"/>
  <c r="P65" i="85"/>
  <c r="AA59" i="85"/>
  <c r="X154" i="85"/>
  <c r="P27" i="92"/>
  <c r="Z25" i="84"/>
  <c r="Y25" i="91"/>
  <c r="Z163" i="91"/>
  <c r="AB116" i="82"/>
  <c r="P86" i="87"/>
  <c r="Z104" i="93"/>
  <c r="Y83" i="91"/>
  <c r="AB69" i="93"/>
  <c r="Z25" i="92"/>
  <c r="P27" i="91"/>
  <c r="Z167" i="94"/>
  <c r="Q173" i="91"/>
  <c r="P17" i="91"/>
  <c r="M37" i="87"/>
  <c r="AB144" i="81"/>
  <c r="Q126" i="89"/>
  <c r="P174" i="83"/>
  <c r="Y129" i="89"/>
  <c r="P157" i="81"/>
  <c r="O169" i="93"/>
  <c r="X114" i="85"/>
  <c r="P166" i="93"/>
  <c r="O109" i="74"/>
  <c r="N177" i="74"/>
  <c r="Y136" i="84"/>
  <c r="O167" i="83"/>
  <c r="O118" i="89"/>
  <c r="AB37" i="81"/>
  <c r="AA70" i="92"/>
  <c r="Z139" i="81"/>
  <c r="AA112" i="87"/>
  <c r="P116" i="92"/>
  <c r="AB175" i="82"/>
  <c r="Y27" i="88"/>
  <c r="Y140" i="89"/>
  <c r="X29" i="89"/>
  <c r="N123" i="84"/>
  <c r="P139" i="84"/>
  <c r="AA11" i="92"/>
  <c r="Z73" i="74"/>
  <c r="O67" i="92"/>
  <c r="AA148" i="93"/>
  <c r="Y89" i="94"/>
  <c r="P104" i="89"/>
  <c r="T9" i="87"/>
  <c r="P182" i="93"/>
  <c r="L122" i="88"/>
  <c r="Z180" i="88"/>
  <c r="O92" i="81"/>
  <c r="L109" i="88"/>
  <c r="M9" i="91"/>
  <c r="AB110" i="89"/>
  <c r="Y134" i="81"/>
  <c r="P170" i="87"/>
  <c r="Y101" i="88"/>
  <c r="M49" i="92"/>
  <c r="AA107" i="85"/>
  <c r="O64" i="81"/>
  <c r="AB106" i="91"/>
  <c r="AA110" i="74"/>
  <c r="X159" i="92"/>
  <c r="Q135" i="93"/>
  <c r="L161" i="85"/>
  <c r="AA140" i="82"/>
  <c r="Z172" i="91"/>
  <c r="O117" i="82"/>
  <c r="Q68" i="88"/>
  <c r="N159" i="82"/>
  <c r="Q166" i="88"/>
  <c r="X66" i="88"/>
  <c r="L109" i="82"/>
  <c r="P61" i="88"/>
  <c r="L160" i="92"/>
  <c r="AA141" i="88"/>
  <c r="AA145" i="85"/>
  <c r="AA136" i="88"/>
  <c r="P93" i="82"/>
  <c r="Q167" i="83"/>
  <c r="Q31" i="89"/>
  <c r="N141" i="87"/>
  <c r="P85" i="85"/>
  <c r="AB23" i="84"/>
  <c r="AA104" i="91"/>
  <c r="O151" i="74"/>
  <c r="T177" i="89"/>
  <c r="O112" i="94"/>
  <c r="Q162" i="74"/>
  <c r="P180" i="81"/>
  <c r="Q121" i="82"/>
  <c r="N66" i="89"/>
  <c r="O179" i="92"/>
  <c r="O177" i="85"/>
  <c r="P59" i="94"/>
  <c r="O170" i="82"/>
  <c r="AA157" i="81"/>
  <c r="L104" i="88"/>
  <c r="Q37" i="81"/>
  <c r="N153" i="83"/>
  <c r="Y99" i="88"/>
  <c r="AA33" i="82"/>
  <c r="Q47" i="74"/>
  <c r="P152" i="89"/>
  <c r="P172" i="81"/>
  <c r="AA151" i="82"/>
  <c r="AB19" i="85"/>
  <c r="Q97" i="94"/>
  <c r="Q151" i="88"/>
  <c r="Z123" i="74"/>
  <c r="AB128" i="82"/>
  <c r="AA154" i="89"/>
  <c r="P124" i="93"/>
  <c r="Y150" i="84"/>
  <c r="L80" i="88"/>
  <c r="T9" i="85"/>
  <c r="AB130" i="88"/>
  <c r="O25" i="92"/>
  <c r="Q180" i="93"/>
  <c r="Q174" i="74"/>
  <c r="P157" i="82"/>
  <c r="AB51" i="82"/>
  <c r="AA17" i="83"/>
  <c r="Z134" i="89"/>
  <c r="N138" i="83"/>
  <c r="P173" i="74"/>
  <c r="O47" i="89"/>
  <c r="Z174" i="74"/>
  <c r="O70" i="74"/>
  <c r="AB148" i="88"/>
  <c r="Z144" i="91"/>
  <c r="Z161" i="83"/>
  <c r="X161" i="83"/>
  <c r="Y49" i="82"/>
  <c r="X156" i="74"/>
  <c r="O115" i="85"/>
  <c r="Z166" i="93"/>
  <c r="Q171" i="74"/>
  <c r="L136" i="89"/>
  <c r="AA111" i="74"/>
  <c r="X144" i="84"/>
  <c r="O148" i="83"/>
  <c r="L104" i="82"/>
  <c r="P82" i="87"/>
  <c r="Z166" i="74"/>
  <c r="AB167" i="82"/>
  <c r="O51" i="83"/>
  <c r="Y150" i="74"/>
  <c r="N9" i="83"/>
  <c r="Y47" i="74"/>
  <c r="N144" i="93"/>
  <c r="Z165" i="89"/>
  <c r="N105" i="85"/>
  <c r="Y99" i="85"/>
  <c r="M25" i="82"/>
  <c r="Y175" i="92"/>
  <c r="AA126" i="94"/>
  <c r="AB88" i="91"/>
  <c r="AA51" i="91"/>
  <c r="Q124" i="74"/>
  <c r="O87" i="82"/>
  <c r="X114" i="81"/>
  <c r="X74" i="92"/>
  <c r="Z21" i="94"/>
  <c r="O27" i="83"/>
  <c r="P132" i="94"/>
  <c r="AA66" i="82"/>
  <c r="O158" i="85"/>
  <c r="P146" i="84"/>
  <c r="Q87" i="81"/>
  <c r="P99" i="93"/>
  <c r="Q136" i="93"/>
  <c r="X121" i="87"/>
  <c r="Q66" i="81"/>
  <c r="Q101" i="82"/>
  <c r="Q116" i="94"/>
  <c r="Q125" i="91"/>
  <c r="Y72" i="81"/>
  <c r="O136" i="94"/>
  <c r="AB51" i="93"/>
  <c r="AA131" i="85"/>
  <c r="Q77" i="81"/>
  <c r="AA27" i="87"/>
  <c r="AB57" i="92"/>
  <c r="P146" i="89"/>
  <c r="AB51" i="81"/>
  <c r="L129" i="81"/>
  <c r="AB97" i="87"/>
  <c r="O179" i="85"/>
  <c r="AB27" i="87"/>
  <c r="Q160" i="85"/>
  <c r="X106" i="84"/>
  <c r="T90" i="82"/>
  <c r="Z173" i="89"/>
  <c r="AB99" i="94"/>
  <c r="M53" i="74"/>
  <c r="L183" i="88"/>
  <c r="O132" i="89"/>
  <c r="L185" i="89"/>
  <c r="Y49" i="84"/>
  <c r="O70" i="85"/>
  <c r="AA87" i="82"/>
  <c r="AA165" i="88"/>
  <c r="Y135" i="74"/>
  <c r="L159" i="92"/>
  <c r="Z143" i="82"/>
  <c r="Y23" i="74"/>
  <c r="Q81" i="81"/>
  <c r="Z96" i="93"/>
  <c r="P100" i="85"/>
  <c r="P15" i="82"/>
  <c r="O17" i="81"/>
  <c r="Q96" i="81"/>
  <c r="Z151" i="94"/>
  <c r="Q88" i="87"/>
  <c r="AB64" i="84"/>
  <c r="AA120" i="94"/>
  <c r="AB104" i="87"/>
  <c r="Q102" i="88"/>
  <c r="X161" i="94"/>
  <c r="L174" i="94"/>
  <c r="O181" i="92"/>
  <c r="AA149" i="92"/>
  <c r="Q135" i="92"/>
  <c r="N69" i="88"/>
  <c r="P67" i="88"/>
  <c r="P164" i="88"/>
  <c r="Y166" i="81"/>
  <c r="AB41" i="89"/>
  <c r="L171" i="83"/>
  <c r="T171" i="83"/>
  <c r="Z172" i="87"/>
  <c r="P183" i="89"/>
  <c r="L70" i="87"/>
  <c r="P132" i="88"/>
  <c r="X145" i="82"/>
  <c r="AB29" i="92"/>
  <c r="O43" i="85"/>
  <c r="P88" i="89"/>
  <c r="Q23" i="93"/>
  <c r="O113" i="82"/>
  <c r="O175" i="94"/>
  <c r="M61" i="91"/>
  <c r="Q101" i="84"/>
  <c r="P145" i="88"/>
  <c r="Q146" i="93"/>
  <c r="N81" i="89"/>
  <c r="L174" i="82"/>
  <c r="AA101" i="74"/>
  <c r="AB77" i="92"/>
  <c r="Z23" i="92"/>
  <c r="Z76" i="94"/>
  <c r="L171" i="94"/>
  <c r="Z88" i="93"/>
  <c r="Q178" i="85"/>
  <c r="AA69" i="92"/>
  <c r="Y122" i="93"/>
  <c r="Z89" i="87"/>
  <c r="X150" i="89"/>
  <c r="AA39" i="91"/>
  <c r="O139" i="93"/>
  <c r="O130" i="82"/>
  <c r="P86" i="82"/>
  <c r="N21" i="87"/>
  <c r="X138" i="87"/>
  <c r="O66" i="92"/>
  <c r="P115" i="83"/>
  <c r="AA165" i="83"/>
  <c r="O65" i="92"/>
  <c r="AA17" i="81"/>
  <c r="O90" i="89"/>
  <c r="P170" i="93"/>
  <c r="AB66" i="88"/>
  <c r="P123" i="93"/>
  <c r="Y122" i="87"/>
  <c r="O74" i="85"/>
  <c r="AA125" i="93"/>
  <c r="L83" i="81"/>
  <c r="O155" i="88"/>
  <c r="Y63" i="82"/>
  <c r="X130" i="94"/>
  <c r="AA145" i="84"/>
  <c r="X161" i="92"/>
  <c r="P99" i="88"/>
  <c r="O65" i="85"/>
  <c r="AB167" i="88"/>
  <c r="AA166" i="74"/>
  <c r="AA85" i="81"/>
  <c r="O153" i="94"/>
  <c r="AB84" i="88"/>
  <c r="L66" i="89"/>
  <c r="AB115" i="94"/>
  <c r="O151" i="91"/>
  <c r="L132" i="82"/>
  <c r="O143" i="87"/>
  <c r="N120" i="83"/>
  <c r="X156" i="84"/>
  <c r="L178" i="89"/>
  <c r="Y151" i="74"/>
  <c r="AA170" i="93"/>
  <c r="Z166" i="84"/>
  <c r="N141" i="84"/>
  <c r="X180" i="94"/>
  <c r="M25" i="84"/>
  <c r="O126" i="81"/>
  <c r="M23" i="88"/>
  <c r="O131" i="88"/>
  <c r="Y78" i="83"/>
  <c r="AB158" i="87"/>
  <c r="Y122" i="84"/>
  <c r="L138" i="92"/>
  <c r="Y168" i="93"/>
  <c r="L89" i="87"/>
  <c r="AB61" i="92"/>
  <c r="Q27" i="94"/>
  <c r="AA61" i="74"/>
  <c r="L71" i="83"/>
  <c r="O104" i="92"/>
  <c r="O180" i="89"/>
  <c r="Z110" i="91"/>
  <c r="Q98" i="74"/>
  <c r="T114" i="93"/>
  <c r="O110" i="92"/>
  <c r="P111" i="93"/>
  <c r="L81" i="94"/>
  <c r="P163" i="92"/>
  <c r="Z129" i="91"/>
  <c r="O63" i="74"/>
  <c r="Y21" i="94"/>
  <c r="T63" i="89"/>
  <c r="Q163" i="91"/>
  <c r="N180" i="89"/>
  <c r="Y63" i="88"/>
  <c r="P101" i="84"/>
  <c r="AB149" i="87"/>
  <c r="X133" i="93"/>
  <c r="X117" i="91"/>
  <c r="X15" i="88"/>
  <c r="P174" i="85"/>
  <c r="Q91" i="94"/>
  <c r="Z104" i="84"/>
  <c r="Y130" i="83"/>
  <c r="Y93" i="92"/>
  <c r="P109" i="87"/>
  <c r="O85" i="91"/>
  <c r="AB65" i="82"/>
  <c r="Y11" i="94"/>
  <c r="AA13" i="87"/>
  <c r="AB151" i="93"/>
  <c r="L167" i="87"/>
  <c r="X169" i="88"/>
  <c r="P93" i="81"/>
  <c r="Z128" i="87"/>
  <c r="O93" i="82"/>
  <c r="AB86" i="88"/>
  <c r="O80" i="91"/>
  <c r="L117" i="82"/>
  <c r="Z49" i="94"/>
  <c r="P117" i="88"/>
  <c r="P118" i="92"/>
  <c r="T147" i="74"/>
  <c r="X73" i="83"/>
  <c r="M59" i="85"/>
  <c r="AA91" i="92"/>
  <c r="T132" i="85"/>
  <c r="P101" i="92"/>
  <c r="AA129" i="84"/>
  <c r="P116" i="74"/>
  <c r="AA153" i="82"/>
  <c r="Q156" i="91"/>
  <c r="P166" i="89"/>
  <c r="Q113" i="91"/>
  <c r="Q11" i="84"/>
  <c r="L180" i="94"/>
  <c r="Y86" i="93"/>
  <c r="Q78" i="91"/>
  <c r="P67" i="94"/>
  <c r="AB142" i="91"/>
  <c r="AB152" i="89"/>
  <c r="L172" i="85"/>
  <c r="AA41" i="81"/>
  <c r="Q108" i="91"/>
  <c r="AA128" i="94"/>
  <c r="P103" i="88"/>
  <c r="O111" i="81"/>
  <c r="Z160" i="91"/>
  <c r="Z79" i="93"/>
  <c r="Y117" i="89"/>
  <c r="T84" i="89"/>
  <c r="Y87" i="85"/>
  <c r="P157" i="91"/>
  <c r="O23" i="74"/>
  <c r="AA17" i="82"/>
  <c r="Y163" i="85"/>
  <c r="Q35" i="74"/>
  <c r="L68" i="82"/>
  <c r="Y94" i="92"/>
  <c r="M19" i="94"/>
  <c r="O33" i="84"/>
  <c r="Q78" i="81"/>
  <c r="AB147" i="83"/>
  <c r="Z135" i="89"/>
  <c r="P141" i="84"/>
  <c r="N120" i="89"/>
  <c r="Z173" i="83"/>
  <c r="Q144" i="91"/>
  <c r="O164" i="91"/>
  <c r="N123" i="88"/>
  <c r="Q156" i="88"/>
  <c r="M31" i="74"/>
  <c r="O88" i="87"/>
  <c r="P19" i="89"/>
  <c r="L89" i="91"/>
  <c r="P41" i="84"/>
  <c r="N21" i="85"/>
  <c r="L114" i="91"/>
  <c r="L122" i="92"/>
  <c r="Z77" i="91"/>
  <c r="Q163" i="87"/>
  <c r="Q157" i="94"/>
  <c r="O68" i="82"/>
  <c r="AB120" i="83"/>
  <c r="AB37" i="92"/>
  <c r="AB150" i="91"/>
  <c r="Z153" i="81"/>
  <c r="Z64" i="89"/>
  <c r="AB35" i="94"/>
  <c r="Q104" i="82"/>
  <c r="P81" i="82"/>
  <c r="X64" i="93"/>
  <c r="AB33" i="92"/>
  <c r="Q132" i="82"/>
  <c r="Q161" i="94"/>
  <c r="AA106" i="74"/>
  <c r="Z157" i="83"/>
  <c r="P128" i="89"/>
  <c r="AB156" i="82"/>
  <c r="Z120" i="89"/>
  <c r="P13" i="88"/>
  <c r="N87" i="82"/>
  <c r="P11" i="83"/>
  <c r="AB41" i="85"/>
  <c r="Q185" i="91"/>
  <c r="AB162" i="89"/>
  <c r="N162" i="74"/>
  <c r="N90" i="84"/>
  <c r="Z75" i="85"/>
  <c r="AB99" i="89"/>
  <c r="X133" i="94"/>
  <c r="AB29" i="81"/>
  <c r="Q105" i="83"/>
  <c r="P49" i="89"/>
  <c r="AA63" i="91"/>
  <c r="P25" i="82"/>
  <c r="AA49" i="82"/>
  <c r="O69" i="83"/>
  <c r="O152" i="94"/>
  <c r="N69" i="92"/>
  <c r="P109" i="89"/>
  <c r="X35" i="74"/>
  <c r="O155" i="93"/>
  <c r="X91" i="84"/>
  <c r="Q157" i="89"/>
  <c r="Z152" i="92"/>
  <c r="Q63" i="94"/>
  <c r="X145" i="89"/>
  <c r="AA166" i="92"/>
  <c r="Y152" i="94"/>
  <c r="L70" i="84"/>
  <c r="X90" i="87"/>
  <c r="Y171" i="81"/>
  <c r="AB72" i="88"/>
  <c r="Y68" i="94"/>
  <c r="AB145" i="89"/>
  <c r="O79" i="74"/>
  <c r="O160" i="91"/>
  <c r="AB111" i="81"/>
  <c r="AB25" i="87"/>
  <c r="AA155" i="74"/>
  <c r="Y70" i="94"/>
  <c r="X89" i="84"/>
  <c r="P118" i="93"/>
  <c r="Q71" i="85"/>
  <c r="AB177" i="89"/>
  <c r="Y169" i="74"/>
  <c r="Y118" i="74"/>
  <c r="O167" i="88"/>
  <c r="M37" i="83"/>
  <c r="Y119" i="87"/>
  <c r="AA103" i="88"/>
  <c r="Y156" i="83"/>
  <c r="L68" i="93"/>
  <c r="Z59" i="84"/>
  <c r="Q136" i="94"/>
  <c r="P51" i="94"/>
  <c r="Z104" i="87"/>
  <c r="T144" i="91"/>
  <c r="N39" i="81"/>
  <c r="Q157" i="84"/>
  <c r="P103" i="91"/>
  <c r="Y161" i="93"/>
  <c r="X85" i="88"/>
  <c r="T156" i="83"/>
  <c r="AA25" i="89"/>
  <c r="AB147" i="82"/>
  <c r="X101" i="93"/>
  <c r="AA90" i="87"/>
  <c r="AA173" i="93"/>
  <c r="X104" i="91"/>
  <c r="X156" i="89"/>
  <c r="Z84" i="82"/>
  <c r="AB157" i="83"/>
  <c r="AB107" i="91"/>
  <c r="O179" i="81"/>
  <c r="Z31" i="85"/>
  <c r="N111" i="91"/>
  <c r="L165" i="89"/>
  <c r="O130" i="87"/>
  <c r="T174" i="85"/>
  <c r="Y43" i="87"/>
  <c r="P110" i="89"/>
  <c r="O41" i="85"/>
  <c r="Y164" i="94"/>
  <c r="O128" i="82"/>
  <c r="T78" i="74"/>
  <c r="X96" i="83"/>
  <c r="AA139" i="83"/>
  <c r="AA25" i="83"/>
  <c r="O115" i="88"/>
  <c r="AA175" i="82"/>
  <c r="P167" i="93"/>
  <c r="M45" i="85"/>
  <c r="L146" i="85"/>
  <c r="P125" i="93"/>
  <c r="Z69" i="94"/>
  <c r="N132" i="87"/>
  <c r="X90" i="91"/>
  <c r="L95" i="93"/>
  <c r="AA23" i="88"/>
  <c r="AA73" i="93"/>
  <c r="Q182" i="89"/>
  <c r="Y84" i="82"/>
  <c r="Q184" i="93"/>
  <c r="Z124" i="93"/>
  <c r="Z162" i="91"/>
  <c r="AA21" i="84"/>
  <c r="O89" i="93"/>
  <c r="AB117" i="89"/>
  <c r="T168" i="85"/>
  <c r="O94" i="88"/>
  <c r="AB80" i="84"/>
  <c r="Q74" i="87"/>
  <c r="Q64" i="83"/>
  <c r="P69" i="82"/>
  <c r="T180" i="88"/>
  <c r="Y139" i="91"/>
  <c r="AA133" i="84"/>
  <c r="T123" i="91"/>
  <c r="AA67" i="85"/>
  <c r="AB82" i="88"/>
  <c r="AA13" i="91"/>
  <c r="AB53" i="83"/>
  <c r="O102" i="81"/>
  <c r="AB85" i="85"/>
  <c r="Z174" i="84"/>
  <c r="Z135" i="92"/>
  <c r="Z72" i="91"/>
  <c r="AA167" i="82"/>
  <c r="X165" i="81"/>
  <c r="O140" i="92"/>
  <c r="P156" i="74"/>
  <c r="O123" i="87"/>
  <c r="T90" i="87"/>
  <c r="O156" i="91"/>
  <c r="Y85" i="89"/>
  <c r="P49" i="92"/>
  <c r="AB53" i="93"/>
  <c r="AB82" i="85"/>
  <c r="O61" i="89"/>
  <c r="L93" i="81"/>
  <c r="Y130" i="94"/>
  <c r="Y68" i="92"/>
  <c r="T114" i="83"/>
  <c r="X25" i="84"/>
  <c r="AB157" i="94"/>
  <c r="Q83" i="84"/>
  <c r="P64" i="93"/>
  <c r="Y86" i="84"/>
  <c r="Y162" i="74"/>
  <c r="AA144" i="83"/>
  <c r="AA68" i="82"/>
  <c r="O141" i="82"/>
  <c r="Q185" i="92"/>
  <c r="Y112" i="93"/>
  <c r="AA83" i="91"/>
  <c r="P11" i="89"/>
  <c r="AB21" i="87"/>
  <c r="AB41" i="92"/>
  <c r="AB80" i="92"/>
  <c r="L178" i="82"/>
  <c r="L81" i="74"/>
  <c r="AA171" i="74"/>
  <c r="AB126" i="94"/>
  <c r="X144" i="89"/>
  <c r="Z128" i="92"/>
  <c r="O141" i="74"/>
  <c r="Y19" i="84"/>
  <c r="AA94" i="91"/>
  <c r="X161" i="84"/>
  <c r="Z96" i="85"/>
  <c r="O97" i="88"/>
  <c r="AA155" i="84"/>
  <c r="X53" i="87"/>
  <c r="O55" i="82"/>
  <c r="N177" i="89"/>
  <c r="O93" i="94"/>
  <c r="Y173" i="85"/>
  <c r="Y43" i="88"/>
  <c r="AA23" i="87"/>
  <c r="X126" i="91"/>
  <c r="AB79" i="84"/>
  <c r="O134" i="92"/>
  <c r="O147" i="87"/>
  <c r="Q85" i="88"/>
  <c r="O83" i="91"/>
  <c r="Z169" i="88"/>
  <c r="L64" i="82"/>
  <c r="Q149" i="81"/>
  <c r="Y108" i="87"/>
  <c r="L63" i="83"/>
  <c r="Y66" i="93"/>
  <c r="AB143" i="82"/>
  <c r="X73" i="87"/>
  <c r="Q96" i="93"/>
  <c r="Z147" i="74"/>
  <c r="AB49" i="94"/>
  <c r="AA112" i="81"/>
  <c r="Y9" i="88"/>
  <c r="Y99" i="94"/>
  <c r="Q23" i="87"/>
  <c r="L101" i="93"/>
  <c r="O169" i="89"/>
  <c r="Q123" i="91"/>
  <c r="L104" i="74"/>
  <c r="AA147" i="91"/>
  <c r="P110" i="87"/>
  <c r="Y170" i="82"/>
  <c r="Q104" i="85"/>
  <c r="Q163" i="88"/>
  <c r="L88" i="93"/>
  <c r="Y21" i="81"/>
  <c r="Y103" i="89"/>
  <c r="P166" i="83"/>
  <c r="X132" i="87"/>
  <c r="AB91" i="84"/>
  <c r="O108" i="93"/>
  <c r="O81" i="92"/>
  <c r="N66" i="92"/>
  <c r="O79" i="91"/>
  <c r="P124" i="94"/>
  <c r="Z49" i="83"/>
  <c r="O110" i="84"/>
  <c r="AB95" i="93"/>
  <c r="Q120" i="85"/>
  <c r="P169" i="93"/>
  <c r="T138" i="89"/>
  <c r="Y35" i="88"/>
  <c r="P113" i="82"/>
  <c r="AA68" i="88"/>
  <c r="X176" i="94"/>
  <c r="AB158" i="84"/>
  <c r="AA145" i="87"/>
  <c r="X159" i="82"/>
  <c r="O161" i="82"/>
  <c r="L144" i="93"/>
  <c r="O68" i="83"/>
  <c r="P19" i="87"/>
  <c r="AA135" i="84"/>
  <c r="T180" i="81"/>
  <c r="Q55" i="89"/>
  <c r="Y21" i="89"/>
  <c r="O185" i="94"/>
  <c r="Z87" i="93"/>
  <c r="X133" i="84"/>
  <c r="X151" i="89"/>
  <c r="X166" i="94"/>
  <c r="T135" i="84"/>
  <c r="Q76" i="92"/>
  <c r="O150" i="89"/>
  <c r="Z85" i="91"/>
  <c r="X21" i="88"/>
  <c r="Y128" i="74"/>
  <c r="Q72" i="87"/>
  <c r="T138" i="84"/>
  <c r="P117" i="85"/>
  <c r="T174" i="81"/>
  <c r="P59" i="89"/>
  <c r="P121" i="93"/>
  <c r="L145" i="87"/>
  <c r="T150" i="84"/>
  <c r="X11" i="83"/>
  <c r="AA74" i="88"/>
  <c r="Z101" i="93"/>
  <c r="O151" i="83"/>
  <c r="Q157" i="82"/>
  <c r="AA29" i="89"/>
  <c r="Q131" i="93"/>
  <c r="AB63" i="88"/>
  <c r="Y79" i="81"/>
  <c r="L169" i="92"/>
  <c r="Z91" i="91"/>
  <c r="O139" i="94"/>
  <c r="AB118" i="88"/>
  <c r="L152" i="81"/>
  <c r="AA82" i="74"/>
  <c r="Z68" i="89"/>
  <c r="AA51" i="85"/>
  <c r="Z63" i="88"/>
  <c r="P144" i="87"/>
  <c r="P151" i="93"/>
  <c r="O143" i="84"/>
  <c r="Z116" i="92"/>
  <c r="AA177" i="88"/>
  <c r="N135" i="85"/>
  <c r="Z67" i="74"/>
  <c r="O154" i="89"/>
  <c r="L99" i="87"/>
  <c r="P167" i="88"/>
  <c r="L63" i="87"/>
  <c r="T102" i="87"/>
  <c r="AA77" i="85"/>
  <c r="L165" i="92"/>
  <c r="Y86" i="74"/>
  <c r="O25" i="93"/>
  <c r="T66" i="84"/>
  <c r="AA171" i="94"/>
  <c r="AB79" i="89"/>
  <c r="O86" i="87"/>
  <c r="O118" i="83"/>
  <c r="Z158" i="83"/>
  <c r="AB120" i="89"/>
  <c r="X78" i="74"/>
  <c r="Y102" i="91"/>
  <c r="P53" i="88"/>
  <c r="X136" i="88"/>
  <c r="X165" i="91"/>
  <c r="O81" i="74"/>
  <c r="L111" i="91"/>
  <c r="Z96" i="91"/>
  <c r="Q139" i="91"/>
  <c r="Z86" i="81"/>
  <c r="L142" i="82"/>
  <c r="P94" i="81"/>
  <c r="O81" i="83"/>
  <c r="Y51" i="87"/>
  <c r="O140" i="82"/>
  <c r="AA76" i="85"/>
  <c r="X164" i="88"/>
  <c r="AB101" i="83"/>
  <c r="AA129" i="91"/>
  <c r="Q181" i="83"/>
  <c r="AA81" i="85"/>
  <c r="Y19" i="88"/>
  <c r="Z80" i="82"/>
  <c r="AA39" i="93"/>
  <c r="N126" i="82"/>
  <c r="N51" i="87"/>
  <c r="M57" i="83"/>
  <c r="AB139" i="88"/>
  <c r="Y64" i="85"/>
  <c r="AA176" i="92"/>
  <c r="Q70" i="87"/>
  <c r="Z176" i="91"/>
  <c r="O79" i="84"/>
  <c r="P165" i="85"/>
  <c r="T99" i="82"/>
  <c r="Q90" i="74"/>
  <c r="Z136" i="87"/>
  <c r="Q17" i="89"/>
  <c r="Q53" i="81"/>
  <c r="Q158" i="84"/>
  <c r="P49" i="81"/>
  <c r="AA47" i="81"/>
  <c r="L92" i="89"/>
  <c r="L68" i="92"/>
  <c r="AB86" i="85"/>
  <c r="Y76" i="88"/>
  <c r="Y29" i="85"/>
  <c r="Z109" i="93"/>
  <c r="P165" i="84"/>
  <c r="P141" i="94"/>
  <c r="P33" i="74"/>
  <c r="T90" i="88"/>
  <c r="P15" i="83"/>
  <c r="X160" i="83"/>
  <c r="X163" i="82"/>
  <c r="L138" i="94"/>
  <c r="T72" i="82"/>
  <c r="AB13" i="93"/>
  <c r="X99" i="91"/>
  <c r="Q127" i="83"/>
  <c r="Q71" i="81"/>
  <c r="L169" i="94"/>
  <c r="P126" i="93"/>
  <c r="Q27" i="84"/>
  <c r="AB90" i="82"/>
  <c r="N96" i="92"/>
  <c r="Y83" i="82"/>
  <c r="N123" i="81"/>
  <c r="Y147" i="84"/>
  <c r="AA134" i="82"/>
  <c r="AB92" i="93"/>
  <c r="O174" i="81"/>
  <c r="Q109" i="91"/>
  <c r="Q134" i="85"/>
  <c r="P72" i="91"/>
  <c r="Q177" i="92"/>
  <c r="L111" i="74"/>
  <c r="AB136" i="89"/>
  <c r="O167" i="84"/>
  <c r="AA141" i="92"/>
  <c r="Z17" i="84"/>
  <c r="AB142" i="93"/>
  <c r="X53" i="85"/>
  <c r="L153" i="89"/>
  <c r="X25" i="87"/>
  <c r="P49" i="87"/>
  <c r="Z100" i="82"/>
  <c r="L74" i="91"/>
  <c r="X92" i="82"/>
  <c r="X149" i="81"/>
  <c r="O136" i="87"/>
  <c r="X98" i="81"/>
  <c r="N117" i="82"/>
  <c r="T66" i="91"/>
  <c r="T21" i="89"/>
  <c r="L84" i="87"/>
  <c r="P109" i="93"/>
  <c r="AA69" i="91"/>
  <c r="P87" i="81"/>
  <c r="Z65" i="81"/>
  <c r="Z75" i="93"/>
  <c r="X148" i="85"/>
  <c r="AB91" i="93"/>
  <c r="L118" i="82"/>
  <c r="Q105" i="91"/>
  <c r="O78" i="85"/>
  <c r="M25" i="92"/>
  <c r="AA134" i="92"/>
  <c r="L79" i="91"/>
  <c r="AB177" i="87"/>
  <c r="X53" i="74"/>
  <c r="L120" i="89"/>
  <c r="P82" i="74"/>
  <c r="N45" i="92"/>
  <c r="P142" i="82"/>
  <c r="P172" i="88"/>
  <c r="O92" i="94"/>
  <c r="Q106" i="84"/>
  <c r="T120" i="87"/>
  <c r="X98" i="84"/>
  <c r="M9" i="94"/>
  <c r="T108" i="89"/>
  <c r="AA25" i="94"/>
  <c r="Q17" i="94"/>
  <c r="AB127" i="89"/>
  <c r="T162" i="87"/>
  <c r="O176" i="88"/>
  <c r="Z95" i="83"/>
  <c r="Q102" i="84"/>
  <c r="N108" i="91"/>
  <c r="Z115" i="81"/>
  <c r="Q178" i="92"/>
  <c r="Z149" i="91"/>
  <c r="Y45" i="94"/>
  <c r="Y31" i="83"/>
  <c r="O161" i="94"/>
  <c r="Y123" i="89"/>
  <c r="Q80" i="84"/>
  <c r="AB138" i="92"/>
  <c r="L64" i="93"/>
  <c r="AB156" i="89"/>
  <c r="X132" i="93"/>
  <c r="Z135" i="88"/>
  <c r="Y75" i="82"/>
  <c r="Z65" i="84"/>
  <c r="Y135" i="81"/>
  <c r="AB162" i="93"/>
  <c r="M11" i="91"/>
  <c r="AA150" i="83"/>
  <c r="P121" i="82"/>
  <c r="O93" i="84"/>
  <c r="T165" i="94"/>
  <c r="O122" i="93"/>
  <c r="O19" i="88"/>
  <c r="L92" i="91"/>
  <c r="N78" i="74"/>
  <c r="O125" i="94"/>
  <c r="Q114" i="81"/>
  <c r="Y88" i="93"/>
  <c r="Y150" i="92"/>
  <c r="AA170" i="91"/>
  <c r="Q27" i="89"/>
  <c r="L112" i="89"/>
  <c r="N75" i="81"/>
  <c r="T180" i="87"/>
  <c r="AA154" i="91"/>
  <c r="O185" i="84"/>
  <c r="P59" i="88"/>
  <c r="P118" i="94"/>
  <c r="AB75" i="82"/>
  <c r="L174" i="85"/>
  <c r="Z78" i="82"/>
  <c r="X148" i="83"/>
  <c r="AA156" i="89"/>
  <c r="N33" i="89"/>
  <c r="X109" i="74"/>
  <c r="AB119" i="92"/>
  <c r="AB75" i="84"/>
  <c r="P163" i="87"/>
  <c r="Y127" i="87"/>
  <c r="X159" i="88"/>
  <c r="AB125" i="89"/>
  <c r="P152" i="93"/>
  <c r="AA129" i="89"/>
  <c r="AA156" i="81"/>
  <c r="Y175" i="82"/>
  <c r="AB97" i="91"/>
  <c r="L134" i="81"/>
  <c r="AA73" i="87"/>
  <c r="L147" i="91"/>
  <c r="L173" i="93"/>
  <c r="P170" i="84"/>
  <c r="Q178" i="81"/>
  <c r="Z127" i="92"/>
  <c r="T150" i="87"/>
  <c r="Y138" i="88"/>
  <c r="X167" i="85"/>
  <c r="O64" i="91"/>
  <c r="M35" i="82"/>
  <c r="Q149" i="82"/>
  <c r="M15" i="84"/>
  <c r="AA47" i="88"/>
  <c r="P139" i="85"/>
  <c r="O117" i="84"/>
  <c r="X72" i="74"/>
  <c r="X144" i="83"/>
  <c r="Q166" i="87"/>
  <c r="AA75" i="83"/>
  <c r="Z89" i="74"/>
  <c r="P39" i="84"/>
  <c r="AA67" i="83"/>
  <c r="P29" i="83"/>
  <c r="AA75" i="93"/>
  <c r="X125" i="82"/>
  <c r="P13" i="74"/>
  <c r="X148" i="93"/>
  <c r="AA74" i="85"/>
  <c r="Y72" i="88"/>
  <c r="AA159" i="91"/>
  <c r="O121" i="89"/>
  <c r="P84" i="82"/>
  <c r="L136" i="93"/>
  <c r="O33" i="94"/>
  <c r="X131" i="92"/>
  <c r="O143" i="85"/>
  <c r="Y138" i="87"/>
  <c r="AA157" i="92"/>
  <c r="O64" i="83"/>
  <c r="Q90" i="94"/>
  <c r="Y166" i="85"/>
  <c r="Y39" i="85"/>
  <c r="P70" i="88"/>
  <c r="Q63" i="85"/>
  <c r="AB133" i="81"/>
  <c r="Y175" i="87"/>
  <c r="P57" i="74"/>
  <c r="AA176" i="81"/>
  <c r="Q37" i="88"/>
  <c r="Q80" i="81"/>
  <c r="P65" i="92"/>
  <c r="O183" i="94"/>
  <c r="X19" i="84"/>
  <c r="N156" i="89"/>
  <c r="O158" i="93"/>
  <c r="AB113" i="85"/>
  <c r="AA132" i="82"/>
  <c r="L95" i="92"/>
  <c r="Y161" i="83"/>
  <c r="N159" i="85"/>
  <c r="Y126" i="94"/>
  <c r="AA150" i="87"/>
  <c r="O128" i="92"/>
  <c r="AB93" i="81"/>
  <c r="O37" i="82"/>
  <c r="Z102" i="88"/>
  <c r="O136" i="93"/>
  <c r="L81" i="89"/>
  <c r="AB137" i="91"/>
  <c r="P135" i="92"/>
  <c r="AB132" i="93"/>
  <c r="Z90" i="87"/>
  <c r="Q79" i="88"/>
  <c r="AA173" i="84"/>
  <c r="Y21" i="84"/>
  <c r="O124" i="91"/>
  <c r="M13" i="88"/>
  <c r="O69" i="88"/>
  <c r="Y87" i="84"/>
  <c r="O177" i="89"/>
  <c r="X78" i="92"/>
  <c r="Q107" i="94"/>
  <c r="P111" i="83"/>
  <c r="Y136" i="83"/>
  <c r="X124" i="83"/>
  <c r="P148" i="89"/>
  <c r="L94" i="84"/>
  <c r="Z17" i="94"/>
  <c r="O114" i="74"/>
  <c r="X84" i="82"/>
  <c r="N81" i="93"/>
  <c r="P84" i="83"/>
  <c r="P77" i="91"/>
  <c r="Y163" i="93"/>
  <c r="L110" i="83"/>
  <c r="O13" i="82"/>
  <c r="P29" i="88"/>
  <c r="L163" i="82"/>
  <c r="X41" i="85"/>
  <c r="L86" i="93"/>
  <c r="L149" i="83"/>
  <c r="L166" i="91"/>
  <c r="X135" i="74"/>
  <c r="O125" i="82"/>
  <c r="O77" i="89"/>
  <c r="X19" i="91"/>
  <c r="Q107" i="83"/>
  <c r="O85" i="93"/>
  <c r="AB94" i="81"/>
  <c r="O87" i="83"/>
  <c r="P116" i="85"/>
  <c r="L91" i="88"/>
  <c r="Q119" i="85"/>
  <c r="AA106" i="89"/>
  <c r="N185" i="85"/>
  <c r="T174" i="92"/>
  <c r="Q141" i="94"/>
  <c r="P146" i="85"/>
  <c r="Z96" i="88"/>
  <c r="T39" i="91"/>
  <c r="P162" i="92"/>
  <c r="P13" i="85"/>
  <c r="T126" i="88"/>
  <c r="Q153" i="94"/>
  <c r="N90" i="92"/>
  <c r="L71" i="81"/>
  <c r="Z137" i="87"/>
  <c r="AA68" i="84"/>
  <c r="Q182" i="85"/>
  <c r="Z177" i="89"/>
  <c r="L144" i="91"/>
  <c r="Z121" i="82"/>
  <c r="Q122" i="83"/>
  <c r="Q97" i="82"/>
  <c r="Q142" i="88"/>
  <c r="P167" i="92"/>
  <c r="P176" i="74"/>
  <c r="Y13" i="93"/>
  <c r="Y119" i="83"/>
  <c r="L171" i="87"/>
  <c r="Z73" i="93"/>
  <c r="AA65" i="94"/>
  <c r="Z51" i="84"/>
  <c r="P100" i="89"/>
  <c r="P89" i="83"/>
  <c r="Q138" i="92"/>
  <c r="Y35" i="74"/>
  <c r="Z57" i="91"/>
  <c r="P96" i="92"/>
  <c r="Z164" i="81"/>
  <c r="X148" i="88"/>
  <c r="Z69" i="82"/>
  <c r="AB74" i="93"/>
  <c r="O112" i="92"/>
  <c r="AA174" i="83"/>
  <c r="Z134" i="83"/>
  <c r="O39" i="82"/>
  <c r="Y61" i="81"/>
  <c r="Z72" i="92"/>
  <c r="X92" i="89"/>
  <c r="AA132" i="88"/>
  <c r="Q68" i="83"/>
  <c r="X112" i="84"/>
  <c r="Z76" i="88"/>
  <c r="P159" i="91"/>
  <c r="T57" i="89"/>
  <c r="P82" i="93"/>
  <c r="O61" i="87"/>
  <c r="O151" i="92"/>
  <c r="Y31" i="84"/>
  <c r="Z101" i="94"/>
  <c r="Q108" i="93"/>
  <c r="O86" i="88"/>
  <c r="X168" i="84"/>
  <c r="Y166" i="84"/>
  <c r="Z156" i="87"/>
  <c r="N168" i="87"/>
  <c r="Q159" i="88"/>
  <c r="L97" i="94"/>
  <c r="O177" i="81"/>
  <c r="X146" i="87"/>
  <c r="L63" i="84"/>
  <c r="Z70" i="81"/>
  <c r="O164" i="85"/>
  <c r="P116" i="93"/>
  <c r="AB66" i="87"/>
  <c r="Y157" i="84"/>
  <c r="P143" i="82"/>
  <c r="Y127" i="81"/>
  <c r="Z129" i="85"/>
  <c r="O72" i="93"/>
  <c r="O66" i="88"/>
  <c r="Z21" i="87"/>
  <c r="Q178" i="88"/>
  <c r="AA15" i="94"/>
  <c r="O164" i="82"/>
  <c r="AA147" i="92"/>
  <c r="AB85" i="92"/>
  <c r="P126" i="81"/>
  <c r="X91" i="92"/>
  <c r="X159" i="89"/>
  <c r="N144" i="88"/>
  <c r="AB161" i="92"/>
  <c r="P57" i="84"/>
  <c r="O19" i="74"/>
  <c r="Y134" i="82"/>
  <c r="X76" i="88"/>
  <c r="AA165" i="85"/>
  <c r="Y102" i="92"/>
  <c r="Y172" i="94"/>
  <c r="P117" i="91"/>
  <c r="L167" i="92"/>
  <c r="Z93" i="83"/>
  <c r="AA41" i="89"/>
  <c r="Z65" i="88"/>
  <c r="Y55" i="74"/>
  <c r="L164" i="88"/>
  <c r="AA49" i="94"/>
  <c r="L75" i="94"/>
  <c r="AA164" i="89"/>
  <c r="P90" i="89"/>
  <c r="AA73" i="91"/>
  <c r="O127" i="92"/>
  <c r="Q92" i="83"/>
  <c r="AA59" i="82"/>
  <c r="AA110" i="82"/>
  <c r="AB116" i="87"/>
  <c r="P158" i="91"/>
  <c r="Y96" i="82"/>
  <c r="AA67" i="91"/>
  <c r="X9" i="81"/>
  <c r="AA117" i="88"/>
  <c r="O59" i="94"/>
  <c r="P143" i="74"/>
  <c r="P169" i="81"/>
  <c r="P98" i="89"/>
  <c r="Y132" i="88"/>
  <c r="P104" i="84"/>
  <c r="L97" i="81"/>
  <c r="L100" i="81"/>
  <c r="L149" i="91"/>
  <c r="AA120" i="84"/>
  <c r="AB128" i="94"/>
  <c r="Q160" i="92"/>
  <c r="Q174" i="82"/>
  <c r="AB39" i="89"/>
  <c r="P137" i="88"/>
  <c r="O102" i="88"/>
  <c r="X86" i="94"/>
  <c r="P63" i="88"/>
  <c r="T162" i="84"/>
  <c r="N168" i="82"/>
  <c r="AB104" i="89"/>
  <c r="AB21" i="82"/>
  <c r="Y118" i="82"/>
  <c r="Y90" i="88"/>
  <c r="Z17" i="87"/>
  <c r="Z174" i="92"/>
  <c r="O158" i="87"/>
  <c r="O185" i="74"/>
  <c r="Y169" i="84"/>
  <c r="Y137" i="83"/>
  <c r="AB112" i="85"/>
  <c r="AB165" i="94"/>
  <c r="Z131" i="82"/>
  <c r="AA43" i="94"/>
  <c r="L145" i="89"/>
  <c r="Q110" i="91"/>
  <c r="P173" i="89"/>
  <c r="X160" i="87"/>
  <c r="X93" i="88"/>
  <c r="Z176" i="85"/>
  <c r="X150" i="93"/>
  <c r="AB53" i="92"/>
  <c r="N102" i="84"/>
  <c r="Q79" i="81"/>
  <c r="P144" i="91"/>
  <c r="AA79" i="92"/>
  <c r="Q124" i="84"/>
  <c r="Z95" i="85"/>
  <c r="AA100" i="81"/>
  <c r="O15" i="89"/>
  <c r="P128" i="94"/>
  <c r="Y47" i="91"/>
  <c r="Q154" i="87"/>
  <c r="Q79" i="85"/>
  <c r="L131" i="82"/>
  <c r="O15" i="74"/>
  <c r="T171" i="74"/>
  <c r="Y152" i="83"/>
  <c r="Q170" i="89"/>
  <c r="O43" i="81"/>
  <c r="X43" i="89"/>
  <c r="Z142" i="81"/>
  <c r="AB144" i="85"/>
  <c r="Q105" i="84"/>
  <c r="Z97" i="83"/>
  <c r="Z111" i="81"/>
  <c r="X39" i="91"/>
  <c r="Z19" i="92"/>
  <c r="Q151" i="84"/>
  <c r="X59" i="84"/>
  <c r="Y88" i="85"/>
  <c r="X115" i="83"/>
  <c r="P143" i="85"/>
  <c r="O111" i="92"/>
  <c r="Q139" i="93"/>
  <c r="P144" i="84"/>
  <c r="Z99" i="89"/>
  <c r="L80" i="92"/>
  <c r="O101" i="74"/>
  <c r="Q179" i="74"/>
  <c r="Y144" i="74"/>
  <c r="AA79" i="81"/>
  <c r="O95" i="89"/>
  <c r="O128" i="87"/>
  <c r="Z76" i="85"/>
  <c r="P127" i="74"/>
  <c r="Q33" i="83"/>
  <c r="Y170" i="94"/>
  <c r="N123" i="85"/>
  <c r="O121" i="92"/>
  <c r="O118" i="88"/>
  <c r="Z165" i="74"/>
  <c r="AB85" i="89"/>
  <c r="AA87" i="91"/>
  <c r="O155" i="85"/>
  <c r="L85" i="82"/>
  <c r="T99" i="85"/>
  <c r="Q41" i="83"/>
  <c r="Y126" i="91"/>
  <c r="Z31" i="91"/>
  <c r="AA164" i="94"/>
  <c r="Q161" i="74"/>
  <c r="P104" i="88"/>
  <c r="Y125" i="74"/>
  <c r="Q109" i="74"/>
  <c r="Z59" i="82"/>
  <c r="Y23" i="88"/>
  <c r="Y160" i="94"/>
  <c r="L118" i="84"/>
  <c r="X49" i="84"/>
  <c r="X69" i="85"/>
  <c r="Y119" i="74"/>
  <c r="Z132" i="88"/>
  <c r="AA160" i="89"/>
  <c r="Z166" i="82"/>
  <c r="AA162" i="91"/>
  <c r="X15" i="82"/>
  <c r="AB19" i="93"/>
  <c r="AB75" i="92"/>
  <c r="X125" i="94"/>
  <c r="L65" i="91"/>
  <c r="AB103" i="92"/>
  <c r="AA160" i="83"/>
  <c r="Y150" i="82"/>
  <c r="AA33" i="91"/>
  <c r="O127" i="93"/>
  <c r="Y37" i="74"/>
  <c r="AB67" i="93"/>
  <c r="L104" i="87"/>
  <c r="X143" i="83"/>
  <c r="Z47" i="85"/>
  <c r="Q137" i="92"/>
  <c r="T27" i="91"/>
  <c r="Q151" i="93"/>
  <c r="P74" i="83"/>
  <c r="Y15" i="84"/>
  <c r="Q181" i="81"/>
  <c r="Z70" i="83"/>
  <c r="N153" i="87"/>
  <c r="N150" i="81"/>
  <c r="L144" i="92"/>
  <c r="Q148" i="87"/>
  <c r="T114" i="88"/>
  <c r="L178" i="83"/>
  <c r="Y164" i="87"/>
  <c r="Z128" i="74"/>
  <c r="Q112" i="83"/>
  <c r="O25" i="85"/>
  <c r="X112" i="92"/>
  <c r="N45" i="91"/>
  <c r="P147" i="85"/>
  <c r="AB106" i="88"/>
  <c r="X105" i="84"/>
  <c r="Z77" i="81"/>
  <c r="L156" i="74"/>
  <c r="Z64" i="84"/>
  <c r="Z76" i="84"/>
  <c r="Y37" i="84"/>
  <c r="Y118" i="88"/>
  <c r="Y68" i="85"/>
  <c r="O129" i="74"/>
  <c r="Y140" i="85"/>
  <c r="L77" i="87"/>
  <c r="Z173" i="82"/>
  <c r="X122" i="91"/>
  <c r="P9" i="82"/>
  <c r="X19" i="85"/>
  <c r="N111" i="82"/>
  <c r="X101" i="83"/>
  <c r="O112" i="88"/>
  <c r="N81" i="74"/>
  <c r="AA174" i="82"/>
  <c r="Y81" i="84"/>
  <c r="Z73" i="92"/>
  <c r="Q104" i="83"/>
  <c r="Z86" i="85"/>
  <c r="P176" i="85"/>
  <c r="Q183" i="88"/>
  <c r="X126" i="83"/>
  <c r="N180" i="88"/>
  <c r="L86" i="92"/>
  <c r="AA78" i="89"/>
  <c r="Q174" i="92"/>
  <c r="AA155" i="91"/>
  <c r="O153" i="74"/>
  <c r="T66" i="89"/>
  <c r="Z155" i="94"/>
  <c r="AB115" i="85"/>
  <c r="O162" i="88"/>
  <c r="AA121" i="88"/>
  <c r="X180" i="82"/>
  <c r="Y129" i="94"/>
  <c r="P182" i="81"/>
  <c r="Y84" i="84"/>
  <c r="AA15" i="91"/>
  <c r="Y170" i="81"/>
  <c r="O9" i="83"/>
  <c r="AA80" i="83"/>
  <c r="Y122" i="83"/>
  <c r="O145" i="91"/>
  <c r="O65" i="82"/>
  <c r="Y159" i="93"/>
  <c r="O126" i="94"/>
  <c r="P137" i="87"/>
  <c r="Y165" i="92"/>
  <c r="Q185" i="84"/>
  <c r="AB17" i="94"/>
  <c r="Z140" i="83"/>
  <c r="M57" i="87"/>
  <c r="X68" i="91"/>
  <c r="Z106" i="84"/>
  <c r="Z130" i="82"/>
  <c r="X70" i="84"/>
  <c r="X57" i="89"/>
  <c r="O152" i="74"/>
  <c r="AB78" i="89"/>
  <c r="Y15" i="89"/>
  <c r="Y180" i="74"/>
  <c r="N66" i="83"/>
  <c r="X169" i="85"/>
  <c r="Z25" i="82"/>
  <c r="Y147" i="91"/>
  <c r="X66" i="81"/>
  <c r="O134" i="93"/>
  <c r="O82" i="88"/>
  <c r="Y107" i="88"/>
  <c r="Z9" i="84"/>
  <c r="X94" i="94"/>
  <c r="P142" i="87"/>
  <c r="Q43" i="91"/>
  <c r="Z108" i="82"/>
  <c r="AB9" i="84"/>
  <c r="N45" i="81"/>
  <c r="P129" i="92"/>
  <c r="X137" i="91"/>
  <c r="Y131" i="83"/>
  <c r="X111" i="81"/>
  <c r="AA96" i="89"/>
  <c r="AA45" i="88"/>
  <c r="AA100" i="92"/>
  <c r="P111" i="92"/>
  <c r="Z141" i="74"/>
  <c r="O131" i="92"/>
  <c r="P67" i="89"/>
  <c r="AB143" i="88"/>
  <c r="AB68" i="85"/>
  <c r="X49" i="83"/>
  <c r="N138" i="88"/>
  <c r="O154" i="88"/>
  <c r="Z134" i="85"/>
  <c r="P31" i="91"/>
  <c r="AA29" i="84"/>
  <c r="Q105" i="82"/>
  <c r="X78" i="87"/>
  <c r="O180" i="74"/>
  <c r="P142" i="83"/>
  <c r="O168" i="81"/>
  <c r="O87" i="89"/>
  <c r="L116" i="89"/>
  <c r="X148" i="87"/>
  <c r="Z148" i="91"/>
  <c r="M53" i="84"/>
  <c r="L137" i="82"/>
  <c r="Y21" i="91"/>
  <c r="M53" i="92"/>
  <c r="O184" i="74"/>
  <c r="AB70" i="94"/>
  <c r="Q106" i="88"/>
  <c r="O169" i="81"/>
  <c r="P76" i="94"/>
  <c r="Z154" i="84"/>
  <c r="N126" i="94"/>
  <c r="O152" i="84"/>
  <c r="O81" i="81"/>
  <c r="Z33" i="81"/>
  <c r="Q15" i="89"/>
  <c r="Y95" i="81"/>
  <c r="Q152" i="84"/>
  <c r="X127" i="88"/>
  <c r="Y154" i="84"/>
  <c r="P90" i="84"/>
  <c r="O133" i="84"/>
  <c r="Y35" i="84"/>
  <c r="Z96" i="92"/>
  <c r="AA133" i="82"/>
  <c r="AA141" i="84"/>
  <c r="Z134" i="92"/>
  <c r="Z65" i="74"/>
  <c r="Z99" i="93"/>
  <c r="Q165" i="91"/>
  <c r="X23" i="84"/>
  <c r="AA97" i="81"/>
  <c r="L91" i="92"/>
  <c r="L133" i="89"/>
  <c r="Q127" i="81"/>
  <c r="O154" i="81"/>
  <c r="AA115" i="74"/>
  <c r="Z152" i="81"/>
  <c r="Q64" i="94"/>
  <c r="M53" i="85"/>
  <c r="Z17" i="82"/>
  <c r="AA15" i="85"/>
  <c r="P176" i="87"/>
  <c r="O127" i="87"/>
  <c r="T135" i="83"/>
  <c r="AA35" i="92"/>
  <c r="AB66" i="91"/>
  <c r="N87" i="83"/>
  <c r="L64" i="92"/>
  <c r="L112" i="93"/>
  <c r="Q148" i="93"/>
  <c r="L143" i="87"/>
  <c r="Z117" i="84"/>
  <c r="Y111" i="91"/>
  <c r="Y80" i="85"/>
  <c r="AA161" i="89"/>
  <c r="Q162" i="81"/>
  <c r="X86" i="89"/>
  <c r="AA114" i="81"/>
  <c r="O106" i="83"/>
  <c r="AA43" i="84"/>
  <c r="Q138" i="87"/>
  <c r="Y104" i="92"/>
  <c r="X88" i="94"/>
  <c r="L81" i="82"/>
  <c r="Q168" i="81"/>
  <c r="X108" i="74"/>
  <c r="N174" i="81"/>
  <c r="L172" i="93"/>
  <c r="AB108" i="93"/>
  <c r="P182" i="84"/>
  <c r="Z147" i="88"/>
  <c r="T90" i="85"/>
  <c r="Y109" i="88"/>
  <c r="Q77" i="82"/>
  <c r="AB106" i="84"/>
  <c r="Z9" i="94"/>
  <c r="X137" i="88"/>
  <c r="X55" i="82"/>
  <c r="Q106" i="85"/>
  <c r="Q86" i="85"/>
  <c r="O163" i="89"/>
  <c r="P82" i="82"/>
  <c r="P15" i="84"/>
  <c r="L156" i="82"/>
  <c r="X136" i="89"/>
  <c r="AB115" i="82"/>
  <c r="Q178" i="89"/>
  <c r="P170" i="85"/>
  <c r="P170" i="81"/>
  <c r="O11" i="92"/>
  <c r="L68" i="85"/>
  <c r="X173" i="85"/>
  <c r="Q64" i="87"/>
  <c r="Z71" i="84"/>
  <c r="M59" i="82"/>
  <c r="T78" i="84"/>
  <c r="X119" i="88"/>
  <c r="Y21" i="83"/>
  <c r="O74" i="74"/>
  <c r="Y162" i="82"/>
  <c r="Z168" i="81"/>
  <c r="Z68" i="88"/>
  <c r="O106" i="81"/>
  <c r="P152" i="85"/>
  <c r="AB156" i="84"/>
  <c r="L110" i="85"/>
  <c r="N72" i="83"/>
  <c r="L70" i="82"/>
  <c r="AA88" i="92"/>
  <c r="AA126" i="84"/>
  <c r="Z17" i="74"/>
  <c r="Y180" i="83"/>
  <c r="Y168" i="82"/>
  <c r="Z135" i="74"/>
  <c r="Z115" i="74"/>
  <c r="AB177" i="82"/>
  <c r="Y45" i="88"/>
  <c r="L90" i="87"/>
  <c r="P67" i="87"/>
  <c r="Z116" i="84"/>
  <c r="Y91" i="74"/>
  <c r="O157" i="85"/>
  <c r="Z70" i="94"/>
  <c r="P81" i="92"/>
  <c r="L67" i="87"/>
  <c r="Y53" i="88"/>
  <c r="X59" i="83"/>
  <c r="AB19" i="87"/>
  <c r="AB69" i="85"/>
  <c r="P156" i="92"/>
  <c r="Y98" i="89"/>
  <c r="P17" i="84"/>
  <c r="O98" i="84"/>
  <c r="P99" i="82"/>
  <c r="Z125" i="84"/>
  <c r="T57" i="84"/>
  <c r="X112" i="87"/>
  <c r="Z119" i="81"/>
  <c r="O172" i="85"/>
  <c r="X31" i="91"/>
  <c r="P118" i="84"/>
  <c r="O181" i="93"/>
  <c r="N114" i="82"/>
  <c r="L136" i="83"/>
  <c r="AA169" i="83"/>
  <c r="P185" i="88"/>
  <c r="Q157" i="93"/>
  <c r="P57" i="82"/>
  <c r="P147" i="91"/>
  <c r="Y79" i="88"/>
  <c r="X121" i="83"/>
  <c r="X138" i="82"/>
  <c r="T102" i="74"/>
  <c r="O68" i="94"/>
  <c r="X122" i="88"/>
  <c r="Q179" i="85"/>
  <c r="O107" i="84"/>
  <c r="Q157" i="83"/>
  <c r="AB92" i="89"/>
  <c r="X103" i="74"/>
  <c r="Z41" i="74"/>
  <c r="O96" i="87"/>
  <c r="AA130" i="85"/>
  <c r="L124" i="94"/>
  <c r="O117" i="88"/>
  <c r="Y171" i="88"/>
  <c r="M29" i="88"/>
  <c r="L94" i="74"/>
  <c r="Y71" i="94"/>
  <c r="O152" i="89"/>
  <c r="X87" i="83"/>
  <c r="T159" i="85"/>
  <c r="AA84" i="91"/>
  <c r="Y67" i="74"/>
  <c r="L98" i="82"/>
  <c r="Z31" i="84"/>
  <c r="O155" i="89"/>
  <c r="AB105" i="94"/>
  <c r="L105" i="93"/>
  <c r="Y162" i="84"/>
  <c r="Y128" i="85"/>
  <c r="O106" i="93"/>
  <c r="AB67" i="94"/>
  <c r="AA122" i="82"/>
  <c r="P88" i="84"/>
  <c r="Z119" i="74"/>
  <c r="T9" i="89"/>
  <c r="L181" i="88"/>
  <c r="O140" i="85"/>
  <c r="Q91" i="83"/>
  <c r="AA136" i="89"/>
  <c r="Y89" i="88"/>
  <c r="AB123" i="82"/>
  <c r="Z116" i="85"/>
  <c r="M23" i="89"/>
  <c r="P61" i="87"/>
  <c r="L184" i="89"/>
  <c r="X107" i="93"/>
  <c r="Z125" i="74"/>
  <c r="O152" i="93"/>
  <c r="Y71" i="82"/>
  <c r="T96" i="89"/>
  <c r="Y15" i="81"/>
  <c r="P102" i="91"/>
  <c r="Y153" i="87"/>
  <c r="Q133" i="87"/>
  <c r="AA70" i="85"/>
  <c r="O145" i="85"/>
  <c r="N165" i="82"/>
  <c r="Y155" i="74"/>
  <c r="M31" i="85"/>
  <c r="Q33" i="94"/>
  <c r="Y133" i="87"/>
  <c r="AB72" i="87"/>
  <c r="X95" i="84"/>
  <c r="X103" i="94"/>
  <c r="X138" i="94"/>
  <c r="O124" i="88"/>
  <c r="Q114" i="88"/>
  <c r="Q153" i="88"/>
  <c r="Y85" i="85"/>
  <c r="AA91" i="84"/>
  <c r="AB78" i="82"/>
  <c r="Q39" i="87"/>
  <c r="AB114" i="92"/>
  <c r="AB177" i="88"/>
  <c r="O73" i="81"/>
  <c r="Z144" i="87"/>
  <c r="Z70" i="84"/>
  <c r="P65" i="89"/>
  <c r="O55" i="84"/>
  <c r="Y99" i="84"/>
  <c r="Q111" i="87"/>
  <c r="O108" i="85"/>
  <c r="AA137" i="92"/>
  <c r="Q61" i="85"/>
  <c r="Y96" i="87"/>
  <c r="P102" i="89"/>
  <c r="N78" i="83"/>
  <c r="AB87" i="88"/>
  <c r="L98" i="83"/>
  <c r="L136" i="81"/>
  <c r="X67" i="83"/>
  <c r="Q70" i="82"/>
  <c r="Y101" i="92"/>
  <c r="T69" i="87"/>
  <c r="X130" i="91"/>
  <c r="AB100" i="92"/>
  <c r="AA142" i="81"/>
  <c r="Q137" i="82"/>
  <c r="Y132" i="81"/>
  <c r="O84" i="89"/>
  <c r="Z121" i="84"/>
  <c r="P88" i="91"/>
  <c r="AB128" i="81"/>
  <c r="Z131" i="88"/>
  <c r="L73" i="82"/>
  <c r="L182" i="94"/>
  <c r="Q104" i="84"/>
  <c r="X174" i="82"/>
  <c r="Q17" i="87"/>
  <c r="Q111" i="82"/>
  <c r="Z9" i="87"/>
  <c r="Y94" i="84"/>
  <c r="X108" i="81"/>
  <c r="Z163" i="85"/>
  <c r="P39" i="93"/>
  <c r="X93" i="85"/>
  <c r="T162" i="82"/>
  <c r="P104" i="85"/>
  <c r="Y100" i="82"/>
  <c r="T153" i="92"/>
  <c r="Z9" i="82"/>
  <c r="AA166" i="93"/>
  <c r="X15" i="84"/>
  <c r="AA101" i="92"/>
  <c r="L140" i="93"/>
  <c r="AB72" i="83"/>
  <c r="Z99" i="85"/>
  <c r="AB49" i="89"/>
  <c r="Y55" i="91"/>
  <c r="AA21" i="92"/>
  <c r="Q126" i="94"/>
  <c r="O82" i="89"/>
  <c r="Q148" i="92"/>
  <c r="Q116" i="88"/>
  <c r="Q94" i="93"/>
  <c r="P111" i="89"/>
  <c r="Z15" i="92"/>
  <c r="P118" i="91"/>
  <c r="L95" i="82"/>
  <c r="Y91" i="88"/>
  <c r="M13" i="83"/>
  <c r="AB77" i="94"/>
  <c r="N102" i="85"/>
  <c r="AB49" i="92"/>
  <c r="N135" i="84"/>
  <c r="O146" i="87"/>
  <c r="X11" i="92"/>
  <c r="L139" i="94"/>
  <c r="P104" i="82"/>
  <c r="P68" i="92"/>
  <c r="AB83" i="83"/>
  <c r="AB96" i="91"/>
  <c r="P144" i="85"/>
  <c r="P157" i="87"/>
  <c r="X64" i="82"/>
  <c r="Q55" i="85"/>
  <c r="AA132" i="87"/>
  <c r="AB112" i="89"/>
  <c r="AB169" i="81"/>
  <c r="Z79" i="92"/>
  <c r="O122" i="82"/>
  <c r="AA124" i="89"/>
  <c r="Y173" i="84"/>
  <c r="AA168" i="88"/>
  <c r="Y96" i="83"/>
  <c r="L132" i="93"/>
  <c r="Z163" i="81"/>
  <c r="P171" i="85"/>
  <c r="L95" i="91"/>
  <c r="X63" i="91"/>
  <c r="L178" i="94"/>
  <c r="Y105" i="85"/>
  <c r="X161" i="85"/>
  <c r="X173" i="88"/>
  <c r="T90" i="84"/>
  <c r="X117" i="85"/>
  <c r="L141" i="83"/>
  <c r="Z126" i="83"/>
  <c r="Q41" i="85"/>
  <c r="AB117" i="84"/>
  <c r="AA93" i="83"/>
  <c r="AA116" i="84"/>
  <c r="L87" i="82"/>
  <c r="N45" i="74"/>
  <c r="Y113" i="88"/>
  <c r="O114" i="88"/>
  <c r="Q74" i="88"/>
  <c r="O120" i="82"/>
  <c r="Z113" i="94"/>
  <c r="X136" i="82"/>
  <c r="AB114" i="85"/>
  <c r="AA47" i="89"/>
  <c r="O156" i="89"/>
  <c r="AB11" i="93"/>
  <c r="P134" i="84"/>
  <c r="Y45" i="84"/>
  <c r="Q93" i="74"/>
  <c r="L148" i="89"/>
  <c r="L176" i="82"/>
  <c r="Y17" i="93"/>
  <c r="N138" i="81"/>
  <c r="Y150" i="93"/>
  <c r="O51" i="84"/>
  <c r="Q89" i="82"/>
  <c r="L163" i="87"/>
  <c r="O123" i="84"/>
  <c r="T117" i="85"/>
  <c r="Q23" i="92"/>
  <c r="Z170" i="94"/>
  <c r="P55" i="81"/>
  <c r="Z27" i="87"/>
  <c r="P120" i="82"/>
  <c r="AB175" i="81"/>
  <c r="O90" i="74"/>
  <c r="L103" i="81"/>
  <c r="Z145" i="91"/>
  <c r="Q93" i="83"/>
  <c r="X70" i="89"/>
  <c r="L90" i="94"/>
  <c r="Y172" i="74"/>
  <c r="Q144" i="74"/>
  <c r="Z170" i="83"/>
  <c r="Y154" i="88"/>
  <c r="Z180" i="81"/>
  <c r="AA31" i="87"/>
  <c r="AB76" i="84"/>
  <c r="Z103" i="92"/>
  <c r="L82" i="91"/>
  <c r="O33" i="89"/>
  <c r="T27" i="92"/>
  <c r="AA57" i="84"/>
  <c r="T93" i="74"/>
  <c r="AB168" i="93"/>
  <c r="AA70" i="91"/>
  <c r="X43" i="88"/>
  <c r="Q74" i="81"/>
  <c r="O145" i="84"/>
  <c r="Z83" i="94"/>
  <c r="O129" i="85"/>
  <c r="AA174" i="81"/>
  <c r="AA127" i="85"/>
  <c r="T117" i="74"/>
  <c r="Y100" i="83"/>
  <c r="Y75" i="94"/>
  <c r="O71" i="87"/>
  <c r="Z85" i="84"/>
  <c r="Z100" i="84"/>
  <c r="T162" i="89"/>
  <c r="O160" i="82"/>
  <c r="AB29" i="85"/>
  <c r="AA156" i="87"/>
  <c r="Y57" i="94"/>
  <c r="L129" i="87"/>
  <c r="L114" i="83"/>
  <c r="M35" i="83"/>
  <c r="Z19" i="88"/>
  <c r="AB70" i="85"/>
  <c r="P103" i="74"/>
  <c r="Z75" i="91"/>
  <c r="Z149" i="87"/>
  <c r="AB148" i="84"/>
  <c r="Q63" i="83"/>
  <c r="Y103" i="74"/>
  <c r="P151" i="81"/>
  <c r="Y100" i="81"/>
  <c r="AB92" i="92"/>
  <c r="Z91" i="94"/>
  <c r="M35" i="84"/>
  <c r="P173" i="93"/>
  <c r="O167" i="91"/>
  <c r="X67" i="74"/>
  <c r="N51" i="81"/>
  <c r="X110" i="84"/>
  <c r="P164" i="83"/>
  <c r="L92" i="92"/>
  <c r="Z119" i="93"/>
  <c r="X138" i="88"/>
  <c r="Q169" i="83"/>
  <c r="Q141" i="93"/>
  <c r="P94" i="94"/>
  <c r="P105" i="74"/>
  <c r="AB149" i="83"/>
  <c r="AB67" i="85"/>
  <c r="O92" i="85"/>
  <c r="O137" i="91"/>
  <c r="AA13" i="93"/>
  <c r="Q59" i="82"/>
  <c r="AB97" i="89"/>
  <c r="Y167" i="84"/>
  <c r="Z165" i="83"/>
  <c r="O163" i="81"/>
  <c r="P41" i="88"/>
  <c r="Z25" i="83"/>
  <c r="Y41" i="81"/>
  <c r="T144" i="81"/>
  <c r="L143" i="92"/>
  <c r="AB136" i="85"/>
  <c r="T78" i="87"/>
  <c r="AA106" i="87"/>
  <c r="AB129" i="94"/>
  <c r="O114" i="85"/>
  <c r="L178" i="85"/>
  <c r="Z128" i="84"/>
  <c r="AA118" i="84"/>
  <c r="X146" i="94"/>
  <c r="AA176" i="83"/>
  <c r="Z135" i="83"/>
  <c r="O100" i="83"/>
  <c r="Q158" i="94"/>
  <c r="Y94" i="74"/>
  <c r="X82" i="87"/>
  <c r="L158" i="93"/>
  <c r="AB99" i="87"/>
  <c r="AB78" i="92"/>
  <c r="Y109" i="94"/>
  <c r="Z124" i="88"/>
  <c r="L185" i="74"/>
  <c r="P65" i="87"/>
  <c r="P74" i="88"/>
  <c r="L125" i="88"/>
  <c r="O110" i="88"/>
  <c r="P180" i="87"/>
  <c r="P145" i="92"/>
  <c r="O139" i="74"/>
  <c r="Q175" i="82"/>
  <c r="Q143" i="74"/>
  <c r="AB140" i="87"/>
  <c r="L89" i="93"/>
  <c r="AA43" i="82"/>
  <c r="Y95" i="91"/>
  <c r="Q177" i="87"/>
  <c r="AA156" i="82"/>
  <c r="Q90" i="87"/>
  <c r="X177" i="89"/>
  <c r="Q13" i="89"/>
  <c r="AA25" i="85"/>
  <c r="AA138" i="94"/>
  <c r="Z105" i="74"/>
  <c r="P178" i="92"/>
  <c r="P184" i="93"/>
  <c r="AB163" i="91"/>
  <c r="Q138" i="94"/>
  <c r="P153" i="87"/>
  <c r="Y177" i="82"/>
  <c r="Y133" i="83"/>
  <c r="AB164" i="84"/>
  <c r="P143" i="83"/>
  <c r="AA124" i="91"/>
  <c r="T51" i="91"/>
  <c r="Z66" i="92"/>
  <c r="Q39" i="85"/>
  <c r="O13" i="74"/>
  <c r="Q23" i="74"/>
  <c r="AA177" i="81"/>
  <c r="Z164" i="91"/>
  <c r="Q69" i="92"/>
  <c r="Y93" i="88"/>
  <c r="Q85" i="92"/>
  <c r="X37" i="83"/>
  <c r="Q23" i="83"/>
  <c r="AA89" i="92"/>
  <c r="T180" i="91"/>
  <c r="L168" i="88"/>
  <c r="Q136" i="88"/>
  <c r="P147" i="82"/>
  <c r="P133" i="87"/>
  <c r="P92" i="94"/>
  <c r="O67" i="91"/>
  <c r="X138" i="84"/>
  <c r="AA83" i="87"/>
  <c r="Y111" i="83"/>
  <c r="Y171" i="91"/>
  <c r="AA111" i="81"/>
  <c r="AA109" i="88"/>
  <c r="Z105" i="89"/>
  <c r="Y63" i="91"/>
  <c r="L176" i="92"/>
  <c r="Y105" i="81"/>
  <c r="Q110" i="74"/>
  <c r="Q131" i="89"/>
  <c r="P102" i="83"/>
  <c r="P169" i="85"/>
  <c r="AA117" i="91"/>
  <c r="N185" i="93"/>
  <c r="X138" i="91"/>
  <c r="P122" i="84"/>
  <c r="AB135" i="82"/>
  <c r="Z59" i="88"/>
  <c r="P35" i="88"/>
  <c r="AA63" i="87"/>
  <c r="T72" i="92"/>
  <c r="AA76" i="82"/>
  <c r="O175" i="93"/>
  <c r="Q182" i="74"/>
  <c r="Z165" i="84"/>
  <c r="Z145" i="81"/>
  <c r="Q149" i="89"/>
  <c r="Q140" i="94"/>
  <c r="O39" i="89"/>
  <c r="Q123" i="81"/>
  <c r="M31" i="81"/>
  <c r="AA73" i="83"/>
  <c r="L146" i="88"/>
  <c r="X103" i="83"/>
  <c r="M11" i="85"/>
  <c r="Z172" i="83"/>
  <c r="Q159" i="89"/>
  <c r="P77" i="74"/>
  <c r="Y133" i="82"/>
  <c r="T135" i="87"/>
  <c r="P57" i="92"/>
  <c r="P160" i="92"/>
  <c r="M25" i="91"/>
  <c r="L120" i="85"/>
  <c r="Q150" i="85"/>
  <c r="AB39" i="93"/>
  <c r="AA31" i="84"/>
  <c r="Q172" i="92"/>
  <c r="P177" i="88"/>
  <c r="Q145" i="81"/>
  <c r="O151" i="82"/>
  <c r="AA51" i="87"/>
  <c r="X51" i="85"/>
  <c r="O53" i="82"/>
  <c r="Y55" i="89"/>
  <c r="Q102" i="94"/>
  <c r="T180" i="85"/>
  <c r="AA41" i="84"/>
  <c r="Z9" i="92"/>
  <c r="T150" i="82"/>
  <c r="AA109" i="89"/>
  <c r="Y11" i="81"/>
  <c r="X27" i="91"/>
  <c r="X121" i="88"/>
  <c r="O134" i="83"/>
  <c r="AB147" i="84"/>
  <c r="AA124" i="84"/>
  <c r="X132" i="85"/>
  <c r="O159" i="87"/>
  <c r="AA164" i="93"/>
  <c r="M47" i="84"/>
  <c r="Y141" i="94"/>
  <c r="Q35" i="94"/>
  <c r="Z134" i="74"/>
  <c r="AB45" i="93"/>
  <c r="AB139" i="83"/>
  <c r="M55" i="93"/>
  <c r="Q126" i="92"/>
  <c r="Q170" i="91"/>
  <c r="Q124" i="85"/>
  <c r="L156" i="81"/>
  <c r="O147" i="94"/>
  <c r="O9" i="82"/>
  <c r="Y73" i="89"/>
  <c r="Y124" i="74"/>
  <c r="X100" i="84"/>
  <c r="P174" i="81"/>
  <c r="Q160" i="87"/>
  <c r="Q19" i="91"/>
  <c r="O167" i="92"/>
  <c r="L130" i="88"/>
  <c r="T123" i="93"/>
  <c r="Y110" i="91"/>
  <c r="T105" i="85"/>
  <c r="L143" i="82"/>
  <c r="Y70" i="81"/>
  <c r="AB65" i="91"/>
  <c r="O19" i="82"/>
  <c r="AA122" i="91"/>
  <c r="Y134" i="87"/>
  <c r="AA94" i="85"/>
  <c r="AB47" i="88"/>
  <c r="X105" i="92"/>
  <c r="AB117" i="83"/>
  <c r="L167" i="84"/>
  <c r="O47" i="74"/>
  <c r="Y131" i="88"/>
  <c r="O80" i="83"/>
  <c r="AB128" i="83"/>
  <c r="Y65" i="82"/>
  <c r="Q90" i="81"/>
  <c r="Z168" i="94"/>
  <c r="O57" i="87"/>
  <c r="Z70" i="88"/>
  <c r="AB9" i="92"/>
  <c r="O59" i="93"/>
  <c r="Z120" i="74"/>
  <c r="Y23" i="87"/>
  <c r="O111" i="74"/>
  <c r="AA57" i="89"/>
  <c r="N135" i="87"/>
  <c r="X136" i="83"/>
  <c r="Y29" i="88"/>
  <c r="O105" i="84"/>
  <c r="Z159" i="81"/>
  <c r="AB157" i="88"/>
  <c r="X13" i="82"/>
  <c r="N111" i="74"/>
  <c r="X85" i="85"/>
  <c r="M23" i="87"/>
  <c r="L180" i="82"/>
  <c r="AB29" i="83"/>
  <c r="T99" i="74"/>
  <c r="AB85" i="82"/>
  <c r="T153" i="93"/>
  <c r="Z127" i="74"/>
  <c r="X82" i="82"/>
  <c r="X76" i="94"/>
  <c r="Z104" i="82"/>
  <c r="L159" i="83"/>
  <c r="Q101" i="87"/>
  <c r="Q122" i="88"/>
  <c r="T159" i="83"/>
  <c r="AA160" i="74"/>
  <c r="AA39" i="81"/>
  <c r="Z99" i="82"/>
  <c r="L129" i="93"/>
  <c r="Q64" i="74"/>
  <c r="AB162" i="91"/>
  <c r="M33" i="85"/>
  <c r="AB29" i="88"/>
  <c r="O130" i="89"/>
  <c r="Y65" i="84"/>
  <c r="N159" i="74"/>
  <c r="AA47" i="93"/>
  <c r="O21" i="94"/>
  <c r="P106" i="81"/>
  <c r="AA78" i="85"/>
  <c r="AA23" i="91"/>
  <c r="AB105" i="93"/>
  <c r="P87" i="85"/>
  <c r="O178" i="88"/>
  <c r="AB157" i="85"/>
  <c r="P137" i="84"/>
  <c r="O138" i="84"/>
  <c r="Y135" i="82"/>
  <c r="AA97" i="85"/>
  <c r="Y180" i="91"/>
  <c r="O185" i="87"/>
  <c r="Q152" i="94"/>
  <c r="Z94" i="91"/>
  <c r="Q89" i="91"/>
  <c r="AA139" i="81"/>
  <c r="Y51" i="94"/>
  <c r="O142" i="81"/>
  <c r="N180" i="82"/>
  <c r="AB112" i="87"/>
  <c r="Q21" i="87"/>
  <c r="O39" i="91"/>
  <c r="N21" i="89"/>
  <c r="P182" i="92"/>
  <c r="L75" i="82"/>
  <c r="AA79" i="83"/>
  <c r="O180" i="85"/>
  <c r="Z141" i="87"/>
  <c r="O183" i="91"/>
  <c r="N168" i="89"/>
  <c r="Z155" i="74"/>
  <c r="Z75" i="92"/>
  <c r="X149" i="83"/>
  <c r="X21" i="87"/>
  <c r="Y142" i="91"/>
  <c r="AB169" i="84"/>
  <c r="X100" i="88"/>
  <c r="O177" i="92"/>
  <c r="L108" i="81"/>
  <c r="O170" i="89"/>
  <c r="AA126" i="85"/>
  <c r="P63" i="87"/>
  <c r="Y65" i="93"/>
  <c r="Y99" i="83"/>
  <c r="Y108" i="93"/>
  <c r="O129" i="82"/>
  <c r="Y142" i="83"/>
  <c r="AB79" i="88"/>
  <c r="O43" i="82"/>
  <c r="Q100" i="83"/>
  <c r="O182" i="74"/>
  <c r="X174" i="83"/>
  <c r="T27" i="85"/>
  <c r="AB59" i="88"/>
  <c r="X152" i="82"/>
  <c r="Q117" i="94"/>
  <c r="T66" i="93"/>
  <c r="Q53" i="93"/>
  <c r="O161" i="92"/>
  <c r="O184" i="94"/>
  <c r="O105" i="82"/>
  <c r="AB81" i="82"/>
  <c r="T126" i="81"/>
  <c r="N114" i="83"/>
  <c r="Q118" i="91"/>
  <c r="Q103" i="74"/>
  <c r="L74" i="83"/>
  <c r="AB115" i="87"/>
  <c r="X61" i="92"/>
  <c r="L133" i="94"/>
  <c r="L108" i="89"/>
  <c r="AA39" i="85"/>
  <c r="O137" i="89"/>
  <c r="Y109" i="91"/>
  <c r="T87" i="91"/>
  <c r="X167" i="92"/>
  <c r="Q168" i="89"/>
  <c r="M55" i="84"/>
  <c r="Q125" i="81"/>
  <c r="Z63" i="87"/>
  <c r="L82" i="84"/>
  <c r="M57" i="85"/>
  <c r="Z63" i="81"/>
  <c r="O125" i="93"/>
  <c r="O132" i="82"/>
  <c r="AA29" i="81"/>
  <c r="P126" i="89"/>
  <c r="Z153" i="83"/>
  <c r="Q165" i="87"/>
  <c r="Q65" i="74"/>
  <c r="X76" i="81"/>
  <c r="P53" i="87"/>
  <c r="P157" i="85"/>
  <c r="AB136" i="88"/>
  <c r="X172" i="88"/>
  <c r="AA160" i="91"/>
  <c r="Y31" i="92"/>
  <c r="Y127" i="93"/>
  <c r="L103" i="83"/>
  <c r="O148" i="89"/>
  <c r="Y99" i="82"/>
  <c r="N78" i="91"/>
  <c r="AB15" i="83"/>
  <c r="M47" i="91"/>
  <c r="M61" i="87"/>
  <c r="O87" i="87"/>
  <c r="P67" i="92"/>
  <c r="L102" i="94"/>
  <c r="X90" i="83"/>
  <c r="L149" i="74"/>
  <c r="Y160" i="82"/>
  <c r="L67" i="89"/>
  <c r="AB19" i="81"/>
  <c r="Y21" i="85"/>
  <c r="O15" i="82"/>
  <c r="Y149" i="74"/>
  <c r="P117" i="82"/>
  <c r="O127" i="82"/>
  <c r="L118" i="93"/>
  <c r="Q138" i="74"/>
  <c r="X169" i="82"/>
  <c r="Q78" i="88"/>
  <c r="X29" i="92"/>
  <c r="Z112" i="93"/>
  <c r="AB154" i="91"/>
  <c r="Q83" i="74"/>
  <c r="L143" i="89"/>
  <c r="P95" i="81"/>
  <c r="X96" i="74"/>
  <c r="X104" i="87"/>
  <c r="P79" i="87"/>
  <c r="X137" i="82"/>
  <c r="AA51" i="83"/>
  <c r="Y159" i="94"/>
  <c r="Z102" i="93"/>
  <c r="AB96" i="81"/>
  <c r="P29" i="81"/>
  <c r="T120" i="81"/>
  <c r="Q79" i="91"/>
  <c r="O127" i="83"/>
  <c r="X122" i="74"/>
  <c r="L123" i="93"/>
  <c r="AB81" i="88"/>
  <c r="O39" i="84"/>
  <c r="P139" i="88"/>
  <c r="T39" i="85"/>
  <c r="M55" i="83"/>
  <c r="O123" i="81"/>
  <c r="AB101" i="93"/>
  <c r="O64" i="85"/>
  <c r="L95" i="74"/>
  <c r="X99" i="88"/>
  <c r="AB121" i="87"/>
  <c r="Z85" i="74"/>
  <c r="P41" i="81"/>
  <c r="M11" i="81"/>
  <c r="T177" i="92"/>
  <c r="P111" i="81"/>
  <c r="AA64" i="74"/>
  <c r="X149" i="89"/>
  <c r="X155" i="83"/>
  <c r="M25" i="83"/>
  <c r="AB122" i="84"/>
  <c r="AA47" i="82"/>
  <c r="Z143" i="88"/>
  <c r="P128" i="85"/>
  <c r="Z117" i="82"/>
  <c r="X168" i="81"/>
  <c r="Z33" i="88"/>
  <c r="AB65" i="87"/>
  <c r="AA122" i="74"/>
  <c r="O100" i="87"/>
  <c r="AA57" i="91"/>
  <c r="X150" i="92"/>
  <c r="P155" i="94"/>
  <c r="N174" i="85"/>
  <c r="Z166" i="88"/>
  <c r="AB116" i="84"/>
  <c r="AB9" i="81"/>
  <c r="T174" i="83"/>
  <c r="X174" i="85"/>
  <c r="AA55" i="88"/>
  <c r="Y121" i="88"/>
  <c r="T129" i="92"/>
  <c r="AB168" i="85"/>
  <c r="T150" i="81"/>
  <c r="Y155" i="87"/>
  <c r="Q129" i="82"/>
  <c r="L145" i="74"/>
  <c r="X104" i="92"/>
  <c r="X144" i="93"/>
  <c r="N78" i="81"/>
  <c r="Z45" i="85"/>
  <c r="L79" i="83"/>
  <c r="O68" i="87"/>
  <c r="Y19" i="93"/>
  <c r="X47" i="84"/>
  <c r="Q152" i="74"/>
  <c r="O31" i="81"/>
  <c r="X43" i="84"/>
  <c r="N66" i="94"/>
  <c r="AA121" i="84"/>
  <c r="X106" i="81"/>
  <c r="AA134" i="87"/>
  <c r="M27" i="83"/>
  <c r="Q75" i="82"/>
  <c r="L167" i="83"/>
  <c r="AB116" i="83"/>
  <c r="AA127" i="91"/>
  <c r="X112" i="81"/>
  <c r="Y89" i="84"/>
  <c r="Y92" i="89"/>
  <c r="AA180" i="91"/>
  <c r="X175" i="83"/>
  <c r="T66" i="88"/>
  <c r="O152" i="83"/>
  <c r="L138" i="88"/>
  <c r="P174" i="88"/>
  <c r="T105" i="92"/>
  <c r="X72" i="85"/>
  <c r="P87" i="84"/>
  <c r="Q151" i="81"/>
  <c r="Z150" i="74"/>
  <c r="P88" i="74"/>
  <c r="N177" i="87"/>
  <c r="Z180" i="82"/>
  <c r="Q122" i="82"/>
  <c r="Y123" i="85"/>
  <c r="O95" i="85"/>
  <c r="L75" i="85"/>
  <c r="T111" i="82"/>
  <c r="Z155" i="88"/>
  <c r="AB82" i="83"/>
  <c r="AB74" i="89"/>
  <c r="P129" i="87"/>
  <c r="AB55" i="92"/>
  <c r="Z152" i="74"/>
  <c r="X132" i="81"/>
  <c r="AB112" i="83"/>
  <c r="X128" i="91"/>
  <c r="P86" i="81"/>
  <c r="AA174" i="85"/>
  <c r="L164" i="85"/>
  <c r="O156" i="82"/>
  <c r="X160" i="94"/>
  <c r="X111" i="85"/>
  <c r="T102" i="92"/>
  <c r="O162" i="93"/>
  <c r="AB39" i="85"/>
  <c r="O137" i="87"/>
  <c r="AB167" i="83"/>
  <c r="O17" i="92"/>
  <c r="X99" i="74"/>
  <c r="P23" i="84"/>
  <c r="X9" i="83"/>
  <c r="AB95" i="82"/>
  <c r="T87" i="83"/>
  <c r="P55" i="85"/>
  <c r="Q68" i="74"/>
  <c r="AA162" i="81"/>
  <c r="Q172" i="85"/>
  <c r="Z126" i="87"/>
  <c r="O17" i="88"/>
  <c r="AA64" i="82"/>
  <c r="AA162" i="82"/>
  <c r="P180" i="85"/>
  <c r="Z49" i="82"/>
  <c r="M15" i="74"/>
  <c r="Y145" i="88"/>
  <c r="AA85" i="82"/>
  <c r="AA108" i="81"/>
  <c r="O84" i="85"/>
  <c r="P71" i="81"/>
  <c r="O179" i="88"/>
  <c r="T75" i="83"/>
  <c r="Z114" i="84"/>
  <c r="Q114" i="92"/>
  <c r="Z155" i="81"/>
  <c r="AA75" i="88"/>
  <c r="L158" i="74"/>
  <c r="X77" i="83"/>
  <c r="Z135" i="82"/>
  <c r="N129" i="88"/>
  <c r="AB110" i="92"/>
  <c r="O171" i="89"/>
  <c r="X172" i="91"/>
  <c r="P27" i="82"/>
  <c r="Q177" i="82"/>
  <c r="O119" i="87"/>
  <c r="Q127" i="82"/>
  <c r="Q35" i="85"/>
  <c r="Z70" i="87"/>
  <c r="X139" i="87"/>
  <c r="Z98" i="84"/>
  <c r="Z99" i="92"/>
  <c r="O13" i="94"/>
  <c r="Q119" i="83"/>
  <c r="N126" i="81"/>
  <c r="Q117" i="74"/>
  <c r="AB168" i="83"/>
  <c r="O35" i="89"/>
  <c r="X27" i="87"/>
  <c r="T72" i="88"/>
  <c r="P181" i="89"/>
  <c r="M53" i="93"/>
  <c r="O127" i="74"/>
  <c r="Q169" i="82"/>
  <c r="Z99" i="91"/>
  <c r="Z149" i="85"/>
  <c r="Y43" i="89"/>
  <c r="O139" i="89"/>
  <c r="O49" i="81"/>
  <c r="Q162" i="88"/>
  <c r="AA41" i="83"/>
  <c r="X138" i="92"/>
  <c r="L67" i="93"/>
  <c r="L66" i="82"/>
  <c r="X115" i="81"/>
  <c r="AB15" i="93"/>
  <c r="Q53" i="85"/>
  <c r="AA171" i="91"/>
  <c r="AB134" i="88"/>
  <c r="AA122" i="87"/>
  <c r="Z74" i="85"/>
  <c r="AB59" i="82"/>
  <c r="P168" i="84"/>
  <c r="Q73" i="84"/>
  <c r="L128" i="93"/>
  <c r="O128" i="83"/>
  <c r="O184" i="85"/>
  <c r="P178" i="74"/>
  <c r="O41" i="83"/>
  <c r="AB146" i="89"/>
  <c r="Y117" i="81"/>
  <c r="Y102" i="87"/>
  <c r="O94" i="85"/>
  <c r="Z117" i="81"/>
  <c r="X135" i="83"/>
  <c r="Y74" i="89"/>
  <c r="L152" i="91"/>
  <c r="Q145" i="94"/>
  <c r="AB165" i="82"/>
  <c r="Y61" i="92"/>
  <c r="P86" i="74"/>
  <c r="X169" i="83"/>
  <c r="Y15" i="88"/>
  <c r="AA117" i="89"/>
  <c r="AA149" i="84"/>
  <c r="P145" i="82"/>
  <c r="AA85" i="92"/>
  <c r="T108" i="88"/>
  <c r="Q148" i="81"/>
  <c r="Z160" i="83"/>
  <c r="Z167" i="91"/>
  <c r="M15" i="81"/>
  <c r="Q88" i="91"/>
  <c r="Q176" i="81"/>
  <c r="AA69" i="87"/>
  <c r="N81" i="82"/>
  <c r="Q66" i="74"/>
  <c r="T132" i="94"/>
  <c r="Q174" i="83"/>
  <c r="X68" i="87"/>
  <c r="X27" i="89"/>
  <c r="Z103" i="87"/>
  <c r="AB98" i="83"/>
  <c r="AA96" i="93"/>
  <c r="O112" i="85"/>
  <c r="X118" i="92"/>
  <c r="L164" i="81"/>
  <c r="O59" i="82"/>
  <c r="Z172" i="92"/>
  <c r="O70" i="84"/>
  <c r="AA121" i="74"/>
  <c r="X82" i="89"/>
  <c r="T162" i="83"/>
  <c r="O173" i="94"/>
  <c r="Y106" i="74"/>
  <c r="Y138" i="89"/>
  <c r="O69" i="92"/>
  <c r="X126" i="74"/>
  <c r="AA145" i="83"/>
  <c r="N39" i="87"/>
  <c r="P110" i="74"/>
  <c r="P109" i="85"/>
  <c r="X173" i="91"/>
  <c r="X65" i="92"/>
  <c r="T78" i="89"/>
  <c r="P172" i="83"/>
  <c r="Z154" i="87"/>
  <c r="O165" i="93"/>
  <c r="O125" i="74"/>
  <c r="AB125" i="88"/>
  <c r="L150" i="94"/>
  <c r="P140" i="92"/>
  <c r="L143" i="84"/>
  <c r="AB151" i="82"/>
  <c r="T141" i="89"/>
  <c r="N96" i="83"/>
  <c r="O100" i="82"/>
  <c r="P111" i="85"/>
  <c r="AA120" i="89"/>
  <c r="X112" i="85"/>
  <c r="AA131" i="92"/>
  <c r="P175" i="83"/>
  <c r="L147" i="94"/>
  <c r="Q71" i="89"/>
  <c r="AB73" i="87"/>
  <c r="L88" i="83"/>
  <c r="P168" i="74"/>
  <c r="Z87" i="89"/>
  <c r="Y131" i="92"/>
  <c r="Y127" i="88"/>
  <c r="X104" i="84"/>
  <c r="P108" i="91"/>
  <c r="Q75" i="84"/>
  <c r="Q140" i="89"/>
  <c r="Q91" i="88"/>
  <c r="Z55" i="91"/>
  <c r="P35" i="89"/>
  <c r="P76" i="84"/>
  <c r="T39" i="84"/>
  <c r="L130" i="82"/>
  <c r="O95" i="87"/>
  <c r="O81" i="82"/>
  <c r="AA106" i="83"/>
  <c r="AB146" i="88"/>
  <c r="Y35" i="82"/>
  <c r="Q25" i="91"/>
  <c r="Z157" i="81"/>
  <c r="L157" i="92"/>
  <c r="L93" i="82"/>
  <c r="AB169" i="91"/>
  <c r="P155" i="93"/>
  <c r="O80" i="82"/>
  <c r="Q9" i="74"/>
  <c r="P115" i="93"/>
  <c r="AB170" i="87"/>
  <c r="T117" i="82"/>
  <c r="Y85" i="93"/>
  <c r="P90" i="91"/>
  <c r="X95" i="89"/>
  <c r="Y105" i="84"/>
  <c r="Q98" i="82"/>
  <c r="X128" i="83"/>
  <c r="Z118" i="91"/>
  <c r="Y9" i="85"/>
  <c r="AB118" i="83"/>
  <c r="L138" i="87"/>
  <c r="Q172" i="74"/>
  <c r="L176" i="74"/>
  <c r="Q113" i="84"/>
  <c r="Y31" i="91"/>
  <c r="Q15" i="92"/>
  <c r="L94" i="87"/>
  <c r="Y39" i="89"/>
  <c r="Q122" i="89"/>
  <c r="Y120" i="82"/>
  <c r="L70" i="85"/>
  <c r="AB102" i="87"/>
  <c r="P175" i="81"/>
  <c r="Z132" i="89"/>
  <c r="Q103" i="82"/>
  <c r="AB144" i="93"/>
  <c r="O59" i="84"/>
  <c r="Z139" i="91"/>
  <c r="P41" i="82"/>
  <c r="P128" i="87"/>
  <c r="Z83" i="88"/>
  <c r="AA142" i="89"/>
  <c r="O37" i="92"/>
  <c r="P155" i="92"/>
  <c r="AA89" i="89"/>
  <c r="Z173" i="81"/>
  <c r="T21" i="84"/>
  <c r="Y119" i="89"/>
  <c r="P156" i="91"/>
  <c r="AA91" i="91"/>
  <c r="AB132" i="88"/>
  <c r="N78" i="93"/>
  <c r="X171" i="84"/>
  <c r="AB124" i="82"/>
  <c r="Z145" i="94"/>
  <c r="Z107" i="81"/>
  <c r="X25" i="81"/>
  <c r="Q25" i="82"/>
  <c r="T96" i="84"/>
  <c r="Y103" i="83"/>
  <c r="O110" i="81"/>
  <c r="L102" i="83"/>
  <c r="X43" i="93"/>
  <c r="L79" i="89"/>
  <c r="O82" i="83"/>
  <c r="O114" i="91"/>
  <c r="Q166" i="84"/>
  <c r="AA120" i="87"/>
  <c r="O99" i="89"/>
  <c r="Q106" i="91"/>
  <c r="Q67" i="88"/>
  <c r="L142" i="88"/>
  <c r="Q103" i="92"/>
  <c r="Y130" i="87"/>
  <c r="O129" i="89"/>
  <c r="Q162" i="84"/>
  <c r="X86" i="84"/>
  <c r="Z128" i="81"/>
  <c r="O129" i="88"/>
  <c r="L175" i="88"/>
  <c r="Z93" i="93"/>
  <c r="T156" i="81"/>
  <c r="X100" i="91"/>
  <c r="AA161" i="93"/>
  <c r="P120" i="84"/>
  <c r="AA132" i="74"/>
  <c r="Y59" i="84"/>
  <c r="X45" i="85"/>
  <c r="L147" i="87"/>
  <c r="Q112" i="82"/>
  <c r="P131" i="92"/>
  <c r="L71" i="82"/>
  <c r="Z180" i="89"/>
  <c r="AA164" i="83"/>
  <c r="Y156" i="87"/>
  <c r="AB111" i="84"/>
  <c r="M13" i="87"/>
  <c r="O74" i="84"/>
  <c r="Z109" i="87"/>
  <c r="Z112" i="83"/>
  <c r="X97" i="92"/>
  <c r="P131" i="81"/>
  <c r="Y107" i="85"/>
  <c r="X37" i="81"/>
  <c r="Y97" i="89"/>
  <c r="M29" i="83"/>
  <c r="P123" i="87"/>
  <c r="L96" i="81"/>
  <c r="O73" i="82"/>
  <c r="AB131" i="89"/>
  <c r="AA165" i="74"/>
  <c r="N132" i="88"/>
  <c r="O122" i="85"/>
  <c r="L133" i="74"/>
  <c r="X107" i="85"/>
  <c r="Z109" i="92"/>
  <c r="X13" i="83"/>
  <c r="L174" i="87"/>
  <c r="Z155" i="82"/>
  <c r="Q47" i="94"/>
  <c r="L96" i="74"/>
  <c r="AA170" i="74"/>
  <c r="L71" i="92"/>
  <c r="AB63" i="82"/>
  <c r="O130" i="92"/>
  <c r="X64" i="92"/>
  <c r="Z15" i="85"/>
  <c r="Y137" i="89"/>
  <c r="AA110" i="93"/>
  <c r="AB169" i="94"/>
  <c r="Q74" i="85"/>
  <c r="P138" i="81"/>
  <c r="AB23" i="89"/>
  <c r="L158" i="89"/>
  <c r="O21" i="81"/>
  <c r="T57" i="87"/>
  <c r="L112" i="85"/>
  <c r="L182" i="83"/>
  <c r="O149" i="93"/>
  <c r="Y124" i="92"/>
  <c r="P114" i="82"/>
  <c r="O114" i="89"/>
  <c r="Z59" i="91"/>
  <c r="O174" i="88"/>
  <c r="L168" i="83"/>
  <c r="Y89" i="89"/>
  <c r="P81" i="81"/>
  <c r="Q104" i="94"/>
  <c r="Y172" i="85"/>
  <c r="N102" i="92"/>
  <c r="Q55" i="87"/>
  <c r="M51" i="93"/>
  <c r="Z92" i="84"/>
  <c r="Z165" i="94"/>
  <c r="Z159" i="89"/>
  <c r="Y91" i="87"/>
  <c r="AB47" i="89"/>
  <c r="N123" i="82"/>
  <c r="AA98" i="94"/>
  <c r="P117" i="89"/>
  <c r="P176" i="91"/>
  <c r="P43" i="74"/>
  <c r="X130" i="81"/>
  <c r="Y49" i="91"/>
  <c r="X63" i="83"/>
  <c r="P117" i="93"/>
  <c r="N162" i="91"/>
  <c r="Q118" i="88"/>
  <c r="X66" i="83"/>
  <c r="AA85" i="84"/>
  <c r="O159" i="85"/>
  <c r="P13" i="92"/>
  <c r="Y116" i="94"/>
  <c r="Y31" i="85"/>
  <c r="Q167" i="74"/>
  <c r="Y180" i="92"/>
  <c r="AA93" i="85"/>
  <c r="O131" i="93"/>
  <c r="T21" i="94"/>
  <c r="X100" i="89"/>
  <c r="L174" i="92"/>
  <c r="N183" i="74"/>
  <c r="X41" i="84"/>
  <c r="Q117" i="85"/>
  <c r="Y144" i="84"/>
  <c r="X168" i="88"/>
  <c r="X35" i="87"/>
  <c r="P174" i="91"/>
  <c r="Y49" i="85"/>
  <c r="P176" i="81"/>
  <c r="Q156" i="94"/>
  <c r="P160" i="88"/>
  <c r="X175" i="82"/>
  <c r="Y51" i="89"/>
  <c r="Y72" i="84"/>
  <c r="AA134" i="84"/>
  <c r="X81" i="74"/>
  <c r="L138" i="83"/>
  <c r="AB119" i="89"/>
  <c r="P15" i="89"/>
  <c r="AB142" i="81"/>
  <c r="Q181" i="94"/>
  <c r="Q76" i="83"/>
  <c r="P159" i="88"/>
  <c r="AA88" i="94"/>
  <c r="L125" i="92"/>
  <c r="M33" i="82"/>
  <c r="Q144" i="84"/>
  <c r="AA37" i="85"/>
  <c r="X39" i="83"/>
  <c r="L105" i="83"/>
  <c r="AA78" i="88"/>
  <c r="AB21" i="94"/>
  <c r="O83" i="74"/>
  <c r="X141" i="82"/>
  <c r="O157" i="74"/>
  <c r="Z129" i="82"/>
  <c r="Q150" i="74"/>
  <c r="O164" i="84"/>
  <c r="O51" i="94"/>
  <c r="L114" i="93"/>
  <c r="L123" i="82"/>
  <c r="O130" i="81"/>
  <c r="Z123" i="84"/>
  <c r="Z84" i="81"/>
  <c r="Z79" i="82"/>
  <c r="L77" i="88"/>
  <c r="O55" i="81"/>
  <c r="AB39" i="88"/>
  <c r="AB102" i="83"/>
  <c r="T165" i="82"/>
  <c r="X95" i="85"/>
  <c r="O158" i="82"/>
  <c r="Z121" i="85"/>
  <c r="X118" i="91"/>
  <c r="N159" i="84"/>
  <c r="AB99" i="85"/>
  <c r="Q92" i="82"/>
  <c r="P118" i="74"/>
  <c r="AA127" i="88"/>
  <c r="Q96" i="83"/>
  <c r="Q175" i="87"/>
  <c r="Y104" i="91"/>
  <c r="L179" i="88"/>
  <c r="P105" i="94"/>
  <c r="P142" i="81"/>
  <c r="L98" i="94"/>
  <c r="N168" i="83"/>
  <c r="Y135" i="87"/>
  <c r="Z53" i="74"/>
  <c r="Z19" i="84"/>
  <c r="X25" i="82"/>
  <c r="O168" i="82"/>
  <c r="AA88" i="85"/>
  <c r="P67" i="74"/>
  <c r="O93" i="83"/>
  <c r="P76" i="74"/>
  <c r="M35" i="88"/>
  <c r="Z39" i="91"/>
  <c r="X55" i="74"/>
  <c r="AA171" i="84"/>
  <c r="AA41" i="93"/>
  <c r="AA159" i="83"/>
  <c r="AB143" i="81"/>
  <c r="Q87" i="82"/>
  <c r="L123" i="89"/>
  <c r="T81" i="91"/>
  <c r="Q167" i="91"/>
  <c r="P163" i="74"/>
  <c r="Q102" i="83"/>
  <c r="X139" i="89"/>
  <c r="L117" i="91"/>
  <c r="X109" i="92"/>
  <c r="P150" i="89"/>
  <c r="Y120" i="89"/>
  <c r="P117" i="94"/>
  <c r="M13" i="81"/>
  <c r="AA162" i="74"/>
  <c r="AA64" i="83"/>
  <c r="P121" i="89"/>
  <c r="AA23" i="89"/>
  <c r="X158" i="93"/>
  <c r="X172" i="92"/>
  <c r="AA101" i="91"/>
  <c r="M37" i="85"/>
  <c r="Z173" i="93"/>
  <c r="X51" i="87"/>
  <c r="AB59" i="87"/>
  <c r="Z139" i="84"/>
  <c r="X174" i="84"/>
  <c r="Q181" i="88"/>
  <c r="L154" i="82"/>
  <c r="Z170" i="74"/>
  <c r="Q98" i="84"/>
  <c r="Z47" i="83"/>
  <c r="Z158" i="94"/>
  <c r="Y27" i="85"/>
  <c r="P115" i="85"/>
  <c r="X137" i="85"/>
  <c r="Z172" i="89"/>
  <c r="P100" i="84"/>
  <c r="Z120" i="85"/>
  <c r="T150" i="74"/>
  <c r="Z80" i="81"/>
  <c r="X55" i="84"/>
  <c r="Y31" i="88"/>
  <c r="Q64" i="82"/>
  <c r="X117" i="82"/>
  <c r="P43" i="85"/>
  <c r="Q112" i="94"/>
  <c r="AA66" i="93"/>
  <c r="O144" i="85"/>
  <c r="AA150" i="85"/>
  <c r="Q180" i="92"/>
  <c r="O147" i="88"/>
  <c r="L69" i="82"/>
  <c r="Y27" i="89"/>
  <c r="AA45" i="82"/>
  <c r="L157" i="85"/>
  <c r="T162" i="74"/>
  <c r="O71" i="81"/>
  <c r="O170" i="91"/>
  <c r="X63" i="92"/>
  <c r="AB135" i="91"/>
  <c r="Q108" i="89"/>
  <c r="AA74" i="91"/>
  <c r="O123" i="82"/>
  <c r="X139" i="84"/>
  <c r="N21" i="81"/>
  <c r="X146" i="82"/>
  <c r="L131" i="83"/>
  <c r="Z125" i="91"/>
  <c r="AB158" i="83"/>
  <c r="T168" i="92"/>
  <c r="X90" i="92"/>
  <c r="O9" i="87"/>
  <c r="P100" i="83"/>
  <c r="Q184" i="74"/>
  <c r="Y147" i="82"/>
  <c r="AA78" i="74"/>
  <c r="Q57" i="87"/>
  <c r="Q39" i="74"/>
  <c r="M23" i="83"/>
  <c r="P68" i="82"/>
  <c r="Q121" i="81"/>
  <c r="P63" i="82"/>
  <c r="X160" i="82"/>
  <c r="L64" i="81"/>
  <c r="L73" i="87"/>
  <c r="Y104" i="82"/>
  <c r="L176" i="84"/>
  <c r="N105" i="81"/>
  <c r="X174" i="81"/>
  <c r="Z143" i="83"/>
  <c r="Y87" i="87"/>
  <c r="M61" i="89"/>
  <c r="L80" i="94"/>
  <c r="P163" i="85"/>
  <c r="O126" i="87"/>
  <c r="O65" i="83"/>
  <c r="Q168" i="91"/>
  <c r="Q107" i="89"/>
  <c r="X107" i="92"/>
  <c r="AB119" i="87"/>
  <c r="P173" i="87"/>
  <c r="AA116" i="88"/>
  <c r="X85" i="94"/>
  <c r="X121" i="82"/>
  <c r="Q43" i="92"/>
  <c r="X83" i="92"/>
  <c r="O151" i="84"/>
  <c r="O100" i="85"/>
  <c r="O74" i="91"/>
  <c r="P133" i="94"/>
  <c r="L100" i="83"/>
  <c r="X162" i="91"/>
  <c r="AB37" i="85"/>
  <c r="Q94" i="89"/>
  <c r="AA109" i="74"/>
  <c r="O185" i="93"/>
  <c r="Y101" i="85"/>
  <c r="N162" i="85"/>
  <c r="Y150" i="91"/>
  <c r="P96" i="82"/>
  <c r="Z66" i="89"/>
  <c r="X108" i="88"/>
  <c r="P115" i="82"/>
  <c r="AB166" i="85"/>
  <c r="Q158" i="81"/>
  <c r="AA98" i="88"/>
  <c r="Q150" i="91"/>
  <c r="P134" i="94"/>
  <c r="Z69" i="93"/>
  <c r="L107" i="89"/>
  <c r="AA138" i="85"/>
  <c r="O86" i="82"/>
  <c r="T39" i="88"/>
  <c r="AA150" i="88"/>
  <c r="AB130" i="84"/>
  <c r="L108" i="93"/>
  <c r="Y144" i="81"/>
  <c r="Q73" i="89"/>
  <c r="AA9" i="74"/>
  <c r="O134" i="87"/>
  <c r="N184" i="74"/>
  <c r="AB94" i="85"/>
  <c r="O106" i="94"/>
  <c r="L100" i="94"/>
  <c r="O9" i="94"/>
  <c r="Z125" i="92"/>
  <c r="L162" i="87"/>
  <c r="AB134" i="89"/>
  <c r="Z126" i="88"/>
  <c r="Y132" i="91"/>
  <c r="O158" i="88"/>
  <c r="P112" i="81"/>
  <c r="L74" i="74"/>
  <c r="T180" i="83"/>
  <c r="Z77" i="74"/>
  <c r="Z63" i="94"/>
  <c r="AA130" i="82"/>
  <c r="P33" i="87"/>
  <c r="X95" i="88"/>
  <c r="AA124" i="94"/>
  <c r="Y97" i="74"/>
  <c r="O92" i="84"/>
  <c r="Z91" i="93"/>
  <c r="Z116" i="87"/>
  <c r="L114" i="88"/>
  <c r="X174" i="89"/>
  <c r="Q160" i="89"/>
  <c r="Y164" i="93"/>
  <c r="Q79" i="93"/>
  <c r="P136" i="81"/>
  <c r="P75" i="74"/>
  <c r="X155" i="87"/>
  <c r="L128" i="82"/>
  <c r="X95" i="74"/>
  <c r="AB162" i="94"/>
  <c r="P172" i="94"/>
  <c r="Y77" i="74"/>
  <c r="Y84" i="81"/>
  <c r="O135" i="82"/>
  <c r="Q158" i="92"/>
  <c r="Q179" i="92"/>
  <c r="L148" i="94"/>
  <c r="AB151" i="87"/>
  <c r="X71" i="87"/>
  <c r="X91" i="88"/>
  <c r="Y152" i="74"/>
  <c r="P98" i="93"/>
  <c r="O81" i="93"/>
  <c r="AA71" i="92"/>
  <c r="AB176" i="94"/>
  <c r="L81" i="84"/>
  <c r="AA152" i="88"/>
  <c r="O49" i="74"/>
  <c r="P15" i="88"/>
  <c r="X68" i="81"/>
  <c r="Y177" i="84"/>
  <c r="X169" i="94"/>
  <c r="O69" i="94"/>
  <c r="Q31" i="91"/>
  <c r="O131" i="89"/>
  <c r="X156" i="81"/>
  <c r="X165" i="89"/>
  <c r="Q105" i="94"/>
  <c r="AA151" i="85"/>
  <c r="X145" i="84"/>
  <c r="Z111" i="83"/>
  <c r="Q74" i="74"/>
  <c r="Z27" i="89"/>
  <c r="Y172" i="92"/>
  <c r="O138" i="74"/>
  <c r="X143" i="93"/>
  <c r="P64" i="85"/>
  <c r="Y105" i="87"/>
  <c r="AA104" i="89"/>
  <c r="O136" i="85"/>
  <c r="L140" i="85"/>
  <c r="Q37" i="84"/>
  <c r="AB92" i="84"/>
  <c r="X100" i="85"/>
  <c r="M57" i="84"/>
  <c r="Q67" i="84"/>
  <c r="X68" i="88"/>
  <c r="P79" i="84"/>
  <c r="Z144" i="85"/>
  <c r="O76" i="89"/>
  <c r="L99" i="92"/>
  <c r="Q66" i="87"/>
  <c r="X131" i="83"/>
  <c r="AA25" i="88"/>
  <c r="O51" i="81"/>
  <c r="P159" i="89"/>
  <c r="Z68" i="83"/>
  <c r="T147" i="94"/>
  <c r="Z27" i="74"/>
  <c r="X94" i="85"/>
  <c r="AB120" i="91"/>
  <c r="Q159" i="92"/>
  <c r="X55" i="87"/>
  <c r="Z88" i="74"/>
  <c r="L105" i="92"/>
  <c r="O73" i="88"/>
  <c r="P77" i="92"/>
  <c r="Y96" i="88"/>
  <c r="X168" i="74"/>
  <c r="N141" i="85"/>
  <c r="AA57" i="94"/>
  <c r="Z113" i="85"/>
  <c r="X25" i="85"/>
  <c r="X94" i="83"/>
  <c r="X61" i="81"/>
  <c r="Y135" i="83"/>
  <c r="L174" i="74"/>
  <c r="T108" i="74"/>
  <c r="Z113" i="89"/>
  <c r="P83" i="83"/>
  <c r="Q93" i="82"/>
  <c r="O141" i="88"/>
  <c r="O61" i="94"/>
  <c r="AA163" i="91"/>
  <c r="X82" i="93"/>
  <c r="N9" i="87"/>
  <c r="P157" i="83"/>
  <c r="T87" i="85"/>
  <c r="Y39" i="88"/>
  <c r="AA59" i="89"/>
  <c r="O122" i="88"/>
  <c r="AA120" i="82"/>
  <c r="Z146" i="89"/>
  <c r="AA65" i="82"/>
  <c r="Y45" i="85"/>
  <c r="P65" i="83"/>
  <c r="T156" i="87"/>
  <c r="AB128" i="84"/>
  <c r="P151" i="74"/>
  <c r="X85" i="89"/>
  <c r="Y69" i="81"/>
  <c r="O150" i="85"/>
  <c r="AA35" i="82"/>
  <c r="Z93" i="84"/>
  <c r="X114" i="84"/>
  <c r="T123" i="83"/>
  <c r="AB73" i="91"/>
  <c r="L155" i="91"/>
  <c r="X167" i="87"/>
  <c r="AA59" i="91"/>
  <c r="O45" i="92"/>
  <c r="O90" i="85"/>
  <c r="O68" i="88"/>
  <c r="AB152" i="91"/>
  <c r="Q133" i="88"/>
  <c r="Z152" i="85"/>
  <c r="Q161" i="87"/>
  <c r="AB114" i="84"/>
  <c r="Y175" i="83"/>
  <c r="Q142" i="89"/>
  <c r="Y84" i="83"/>
  <c r="AA97" i="93"/>
  <c r="O21" i="88"/>
  <c r="T138" i="85"/>
  <c r="Y82" i="85"/>
  <c r="T123" i="89"/>
  <c r="Y29" i="92"/>
  <c r="L128" i="81"/>
  <c r="O178" i="87"/>
  <c r="N108" i="92"/>
  <c r="AA91" i="81"/>
  <c r="Y117" i="74"/>
  <c r="L99" i="74"/>
  <c r="Y91" i="89"/>
  <c r="Y175" i="89"/>
  <c r="T168" i="93"/>
  <c r="Z133" i="85"/>
  <c r="N153" i="82"/>
  <c r="AA111" i="82"/>
  <c r="Q94" i="88"/>
  <c r="O106" i="87"/>
  <c r="AA96" i="83"/>
  <c r="Y119" i="93"/>
  <c r="AB35" i="93"/>
  <c r="X49" i="74"/>
  <c r="P17" i="92"/>
  <c r="X39" i="81"/>
  <c r="M19" i="88"/>
  <c r="Z72" i="85"/>
  <c r="Z176" i="87"/>
  <c r="AB31" i="88"/>
  <c r="Q77" i="89"/>
  <c r="T72" i="94"/>
  <c r="P135" i="82"/>
  <c r="AB101" i="92"/>
  <c r="L179" i="81"/>
  <c r="T93" i="87"/>
  <c r="Q71" i="82"/>
  <c r="Z117" i="91"/>
  <c r="Y168" i="91"/>
  <c r="Z122" i="83"/>
  <c r="Y55" i="85"/>
  <c r="M29" i="74"/>
  <c r="N105" i="88"/>
  <c r="Y77" i="89"/>
  <c r="T135" i="81"/>
  <c r="Q142" i="81"/>
  <c r="AB49" i="82"/>
  <c r="P103" i="94"/>
  <c r="P70" i="81"/>
  <c r="P74" i="87"/>
  <c r="X73" i="93"/>
  <c r="AB13" i="82"/>
  <c r="Z141" i="83"/>
  <c r="Y174" i="91"/>
  <c r="X33" i="89"/>
  <c r="O81" i="85"/>
  <c r="O63" i="93"/>
  <c r="AA95" i="88"/>
  <c r="O35" i="74"/>
  <c r="X91" i="81"/>
  <c r="O164" i="81"/>
  <c r="AA66" i="84"/>
  <c r="Q53" i="91"/>
  <c r="Z101" i="91"/>
  <c r="Y111" i="84"/>
  <c r="X93" i="81"/>
  <c r="Z163" i="93"/>
  <c r="P119" i="83"/>
  <c r="Z90" i="82"/>
  <c r="L124" i="89"/>
  <c r="AB173" i="84"/>
  <c r="Q113" i="94"/>
  <c r="AA80" i="94"/>
  <c r="Y94" i="82"/>
  <c r="P180" i="89"/>
  <c r="X117" i="88"/>
  <c r="P155" i="84"/>
  <c r="Q185" i="83"/>
  <c r="Q117" i="92"/>
  <c r="L83" i="88"/>
  <c r="Y47" i="84"/>
  <c r="P179" i="85"/>
  <c r="AA99" i="87"/>
  <c r="X147" i="93"/>
  <c r="AA43" i="81"/>
  <c r="AA155" i="81"/>
  <c r="AB61" i="93"/>
  <c r="AB146" i="93"/>
  <c r="Q130" i="88"/>
  <c r="AB35" i="81"/>
  <c r="AA162" i="88"/>
  <c r="L112" i="88"/>
  <c r="L73" i="81"/>
  <c r="T63" i="84"/>
  <c r="O109" i="88"/>
  <c r="T168" i="81"/>
  <c r="AB144" i="87"/>
  <c r="L116" i="88"/>
  <c r="O61" i="82"/>
  <c r="Q107" i="84"/>
  <c r="AA172" i="91"/>
  <c r="Y57" i="88"/>
  <c r="O69" i="81"/>
  <c r="AB79" i="94"/>
  <c r="AA81" i="91"/>
  <c r="X177" i="83"/>
  <c r="O70" i="91"/>
  <c r="T90" i="91"/>
  <c r="AB100" i="84"/>
  <c r="AA47" i="85"/>
  <c r="AA43" i="88"/>
  <c r="Q131" i="94"/>
  <c r="Z90" i="89"/>
  <c r="L118" i="91"/>
  <c r="P59" i="84"/>
  <c r="Q100" i="87"/>
  <c r="O144" i="93"/>
  <c r="Q177" i="74"/>
  <c r="L79" i="74"/>
  <c r="AA127" i="83"/>
  <c r="Q67" i="87"/>
  <c r="L87" i="94"/>
  <c r="P45" i="93"/>
  <c r="X51" i="74"/>
  <c r="AA98" i="92"/>
  <c r="L174" i="91"/>
  <c r="AA43" i="93"/>
  <c r="N184" i="93"/>
  <c r="P146" i="82"/>
  <c r="AB105" i="81"/>
  <c r="O159" i="81"/>
  <c r="Q35" i="93"/>
  <c r="X117" i="94"/>
  <c r="O113" i="89"/>
  <c r="P9" i="84"/>
  <c r="Z33" i="89"/>
  <c r="X102" i="81"/>
  <c r="P131" i="84"/>
  <c r="Q139" i="74"/>
  <c r="P145" i="84"/>
  <c r="M21" i="92"/>
  <c r="AB104" i="81"/>
  <c r="Y27" i="81"/>
  <c r="P161" i="82"/>
  <c r="Q67" i="89"/>
  <c r="AA152" i="85"/>
  <c r="Z79" i="85"/>
  <c r="Y102" i="85"/>
  <c r="AA139" i="74"/>
  <c r="P112" i="89"/>
  <c r="AB49" i="84"/>
  <c r="Q95" i="84"/>
  <c r="Y77" i="94"/>
  <c r="Z107" i="83"/>
  <c r="Z124" i="81"/>
  <c r="Y78" i="87"/>
  <c r="AB113" i="89"/>
  <c r="P146" i="87"/>
  <c r="P152" i="88"/>
  <c r="AA41" i="74"/>
  <c r="Y175" i="84"/>
  <c r="N33" i="74"/>
  <c r="L99" i="82"/>
  <c r="L118" i="74"/>
  <c r="Z156" i="81"/>
  <c r="Z80" i="85"/>
  <c r="P57" i="81"/>
  <c r="X80" i="89"/>
  <c r="Q117" i="84"/>
  <c r="Q86" i="74"/>
  <c r="T165" i="74"/>
  <c r="Z146" i="88"/>
  <c r="Q59" i="93"/>
  <c r="Z156" i="92"/>
  <c r="Q168" i="94"/>
  <c r="Y143" i="92"/>
  <c r="AA57" i="92"/>
  <c r="O23" i="82"/>
  <c r="Q51" i="84"/>
  <c r="O139" i="85"/>
  <c r="O55" i="92"/>
  <c r="O160" i="92"/>
  <c r="P119" i="82"/>
  <c r="X122" i="82"/>
  <c r="Y123" i="94"/>
  <c r="X65" i="74"/>
  <c r="P35" i="85"/>
  <c r="O75" i="92"/>
  <c r="O148" i="92"/>
  <c r="AA41" i="88"/>
  <c r="P103" i="85"/>
  <c r="Y133" i="85"/>
  <c r="L75" i="83"/>
  <c r="P75" i="89"/>
  <c r="Q70" i="84"/>
  <c r="T66" i="85"/>
  <c r="M23" i="91"/>
  <c r="AB67" i="81"/>
  <c r="Z162" i="94"/>
  <c r="L97" i="87"/>
  <c r="Z81" i="91"/>
  <c r="Y130" i="82"/>
  <c r="Z136" i="81"/>
  <c r="Q86" i="94"/>
  <c r="L136" i="82"/>
  <c r="X84" i="81"/>
  <c r="AB75" i="81"/>
  <c r="X146" i="85"/>
  <c r="L79" i="87"/>
  <c r="P100" i="87"/>
  <c r="AB101" i="85"/>
  <c r="P156" i="89"/>
  <c r="O69" i="74"/>
  <c r="AA27" i="93"/>
  <c r="O104" i="91"/>
  <c r="AB126" i="89"/>
  <c r="AA138" i="91"/>
  <c r="M13" i="85"/>
  <c r="AA94" i="88"/>
  <c r="P182" i="94"/>
  <c r="T156" i="92"/>
  <c r="AA37" i="88"/>
  <c r="Q23" i="81"/>
  <c r="O77" i="92"/>
  <c r="L162" i="82"/>
  <c r="Q138" i="81"/>
  <c r="X47" i="83"/>
  <c r="Y69" i="82"/>
  <c r="L93" i="88"/>
  <c r="Q147" i="81"/>
  <c r="Q65" i="84"/>
  <c r="O142" i="82"/>
  <c r="X79" i="74"/>
  <c r="N114" i="88"/>
  <c r="Z77" i="84"/>
  <c r="P68" i="91"/>
  <c r="O83" i="83"/>
  <c r="AB121" i="93"/>
  <c r="O124" i="74"/>
  <c r="L68" i="87"/>
  <c r="O91" i="83"/>
  <c r="O29" i="88"/>
  <c r="Y45" i="91"/>
  <c r="O146" i="92"/>
  <c r="Y161" i="82"/>
  <c r="Z134" i="81"/>
  <c r="Y130" i="85"/>
  <c r="AA83" i="85"/>
  <c r="T120" i="74"/>
  <c r="AB31" i="81"/>
  <c r="X165" i="85"/>
  <c r="Z88" i="89"/>
  <c r="AA161" i="85"/>
  <c r="T66" i="82"/>
  <c r="AA135" i="88"/>
  <c r="Q158" i="93"/>
  <c r="O173" i="82"/>
  <c r="Q9" i="84"/>
  <c r="X164" i="91"/>
  <c r="Z158" i="74"/>
  <c r="Q110" i="85"/>
  <c r="Q115" i="74"/>
  <c r="L78" i="87"/>
  <c r="X172" i="85"/>
  <c r="Z19" i="89"/>
  <c r="AB53" i="94"/>
  <c r="X142" i="82"/>
  <c r="O112" i="84"/>
  <c r="X66" i="84"/>
  <c r="L125" i="81"/>
  <c r="Q96" i="92"/>
  <c r="AA134" i="91"/>
  <c r="X129" i="84"/>
  <c r="AA86" i="74"/>
  <c r="AB134" i="83"/>
  <c r="L177" i="83"/>
  <c r="Q49" i="92"/>
  <c r="Z25" i="91"/>
  <c r="M59" i="91"/>
  <c r="AA105" i="85"/>
  <c r="L70" i="74"/>
  <c r="AB51" i="92"/>
  <c r="O94" i="91"/>
  <c r="X127" i="82"/>
  <c r="N87" i="84"/>
  <c r="N96" i="88"/>
  <c r="AB87" i="91"/>
  <c r="O156" i="81"/>
  <c r="Y43" i="92"/>
  <c r="P81" i="83"/>
  <c r="L102" i="93"/>
  <c r="M39" i="91"/>
  <c r="Z135" i="84"/>
  <c r="Z98" i="93"/>
  <c r="AB64" i="91"/>
  <c r="X105" i="82"/>
  <c r="Y93" i="82"/>
  <c r="P164" i="92"/>
  <c r="Y139" i="87"/>
  <c r="AB175" i="88"/>
  <c r="Z27" i="82"/>
  <c r="L154" i="88"/>
  <c r="N138" i="89"/>
  <c r="Y115" i="85"/>
  <c r="Y167" i="88"/>
  <c r="L179" i="87"/>
  <c r="AA70" i="83"/>
  <c r="P61" i="84"/>
  <c r="AB35" i="89"/>
  <c r="X122" i="85"/>
  <c r="X61" i="91"/>
  <c r="X57" i="91"/>
  <c r="X108" i="83"/>
  <c r="AB161" i="83"/>
  <c r="X123" i="85"/>
  <c r="Z180" i="92"/>
  <c r="Y92" i="88"/>
  <c r="M15" i="85"/>
  <c r="O9" i="81"/>
  <c r="N96" i="93"/>
  <c r="Z39" i="94"/>
  <c r="L88" i="92"/>
  <c r="AA162" i="85"/>
  <c r="X177" i="94"/>
  <c r="X23" i="88"/>
  <c r="P11" i="85"/>
  <c r="Y130" i="84"/>
  <c r="Z125" i="87"/>
  <c r="Z92" i="85"/>
  <c r="AA93" i="74"/>
  <c r="N132" i="85"/>
  <c r="Z63" i="91"/>
  <c r="X169" i="81"/>
  <c r="Z156" i="83"/>
  <c r="L89" i="88"/>
  <c r="L179" i="92"/>
  <c r="Q35" i="92"/>
  <c r="P157" i="88"/>
  <c r="AA135" i="91"/>
  <c r="Q69" i="83"/>
  <c r="P181" i="87"/>
  <c r="Y112" i="83"/>
  <c r="L178" i="88"/>
  <c r="Q96" i="74"/>
  <c r="P37" i="91"/>
  <c r="O11" i="87"/>
  <c r="AB59" i="81"/>
  <c r="Q127" i="88"/>
  <c r="X67" i="85"/>
  <c r="P179" i="74"/>
  <c r="AB73" i="89"/>
  <c r="Z97" i="81"/>
  <c r="T138" i="93"/>
  <c r="Z108" i="81"/>
  <c r="Q179" i="91"/>
  <c r="Q162" i="93"/>
  <c r="O53" i="83"/>
  <c r="O179" i="93"/>
  <c r="O87" i="74"/>
  <c r="AA161" i="88"/>
  <c r="O115" i="92"/>
  <c r="T171" i="92"/>
  <c r="Q179" i="88"/>
  <c r="X158" i="81"/>
  <c r="Y41" i="91"/>
  <c r="Q78" i="74"/>
  <c r="Y72" i="83"/>
  <c r="X17" i="87"/>
  <c r="Z55" i="83"/>
  <c r="P69" i="88"/>
  <c r="AA116" i="83"/>
  <c r="Z164" i="85"/>
  <c r="O117" i="81"/>
  <c r="X139" i="82"/>
  <c r="Y35" i="85"/>
  <c r="Q128" i="89"/>
  <c r="Q144" i="83"/>
  <c r="P86" i="83"/>
  <c r="O123" i="85"/>
  <c r="L128" i="85"/>
  <c r="T171" i="84"/>
  <c r="P66" i="89"/>
  <c r="Q141" i="83"/>
  <c r="N57" i="82"/>
  <c r="L71" i="89"/>
  <c r="T156" i="93"/>
  <c r="Z139" i="89"/>
  <c r="Y45" i="82"/>
  <c r="AB170" i="92"/>
  <c r="N75" i="93"/>
  <c r="AB118" i="82"/>
  <c r="O106" i="88"/>
  <c r="Z175" i="82"/>
  <c r="AB150" i="94"/>
  <c r="AA115" i="82"/>
  <c r="AA163" i="88"/>
  <c r="Y76" i="81"/>
  <c r="AA41" i="82"/>
  <c r="T96" i="92"/>
  <c r="Q115" i="82"/>
  <c r="Z9" i="88"/>
  <c r="AA83" i="93"/>
  <c r="O144" i="82"/>
  <c r="O86" i="85"/>
  <c r="O134" i="84"/>
  <c r="O145" i="81"/>
  <c r="X118" i="93"/>
  <c r="T135" i="74"/>
  <c r="P185" i="83"/>
  <c r="L109" i="83"/>
  <c r="Q27" i="83"/>
  <c r="Q177" i="88"/>
  <c r="AA113" i="84"/>
  <c r="P94" i="82"/>
  <c r="O156" i="83"/>
  <c r="X85" i="91"/>
  <c r="P125" i="83"/>
  <c r="O35" i="88"/>
  <c r="Y37" i="93"/>
  <c r="X111" i="87"/>
  <c r="N57" i="84"/>
  <c r="AA57" i="88"/>
  <c r="O120" i="85"/>
  <c r="AB82" i="92"/>
  <c r="AA139" i="94"/>
  <c r="Y67" i="88"/>
  <c r="P49" i="94"/>
  <c r="AA71" i="81"/>
  <c r="T96" i="93"/>
  <c r="O61" i="84"/>
  <c r="AA61" i="84"/>
  <c r="N180" i="84"/>
  <c r="Y51" i="81"/>
  <c r="AB162" i="81"/>
  <c r="Y136" i="87"/>
  <c r="X170" i="87"/>
  <c r="X100" i="82"/>
  <c r="P133" i="81"/>
  <c r="L162" i="83"/>
  <c r="X104" i="82"/>
  <c r="Z121" i="93"/>
  <c r="P160" i="91"/>
  <c r="Q180" i="82"/>
  <c r="AA87" i="84"/>
  <c r="Q68" i="84"/>
  <c r="AA68" i="91"/>
  <c r="AB25" i="81"/>
  <c r="Q152" i="87"/>
  <c r="Y122" i="85"/>
  <c r="AA108" i="94"/>
  <c r="Q134" i="74"/>
  <c r="Z59" i="74"/>
  <c r="P43" i="81"/>
  <c r="Z159" i="85"/>
  <c r="L139" i="91"/>
  <c r="Q149" i="88"/>
  <c r="O176" i="74"/>
  <c r="L84" i="84"/>
  <c r="X86" i="83"/>
  <c r="X157" i="89"/>
  <c r="M45" i="84"/>
  <c r="AA23" i="85"/>
  <c r="O35" i="82"/>
  <c r="L80" i="74"/>
  <c r="P120" i="92"/>
  <c r="AB66" i="82"/>
  <c r="X37" i="85"/>
  <c r="Q147" i="87"/>
  <c r="Q102" i="81"/>
  <c r="Z167" i="83"/>
  <c r="L69" i="84"/>
  <c r="AA160" i="94"/>
  <c r="Y138" i="84"/>
  <c r="L150" i="74"/>
  <c r="P135" i="91"/>
  <c r="AB31" i="89"/>
  <c r="O39" i="94"/>
  <c r="N96" i="87"/>
  <c r="AA69" i="84"/>
  <c r="AB133" i="89"/>
  <c r="P170" i="88"/>
  <c r="AB138" i="88"/>
  <c r="L85" i="89"/>
  <c r="X175" i="94"/>
  <c r="X105" i="94"/>
  <c r="M31" i="84"/>
  <c r="P108" i="81"/>
  <c r="T174" i="91"/>
  <c r="L142" i="85"/>
  <c r="AA97" i="92"/>
  <c r="Z116" i="93"/>
  <c r="P77" i="82"/>
  <c r="L155" i="81"/>
  <c r="X168" i="82"/>
  <c r="L128" i="83"/>
  <c r="Y64" i="74"/>
  <c r="AA105" i="82"/>
  <c r="Z11" i="89"/>
  <c r="Y67" i="85"/>
  <c r="Y163" i="89"/>
  <c r="P150" i="74"/>
  <c r="L99" i="83"/>
  <c r="O70" i="94"/>
  <c r="T129" i="93"/>
  <c r="N57" i="83"/>
  <c r="AB172" i="83"/>
  <c r="Q112" i="85"/>
  <c r="L180" i="89"/>
  <c r="Q61" i="87"/>
  <c r="Y65" i="74"/>
  <c r="X132" i="82"/>
  <c r="Z89" i="91"/>
  <c r="T15" i="83"/>
  <c r="Y122" i="88"/>
  <c r="AA59" i="84"/>
  <c r="Y160" i="81"/>
  <c r="AA103" i="93"/>
  <c r="X129" i="74"/>
  <c r="Z97" i="89"/>
  <c r="Y153" i="93"/>
  <c r="Z131" i="83"/>
  <c r="AA176" i="74"/>
  <c r="P130" i="85"/>
  <c r="Z136" i="82"/>
  <c r="Z97" i="94"/>
  <c r="AA126" i="92"/>
  <c r="AB70" i="81"/>
  <c r="P178" i="87"/>
  <c r="Z171" i="94"/>
  <c r="Q120" i="92"/>
  <c r="P126" i="91"/>
  <c r="AA80" i="88"/>
  <c r="X106" i="92"/>
  <c r="AB155" i="85"/>
  <c r="O169" i="82"/>
  <c r="AA105" i="92"/>
  <c r="AA117" i="85"/>
  <c r="Y162" i="88"/>
  <c r="AA160" i="93"/>
  <c r="P139" i="74"/>
  <c r="O175" i="85"/>
  <c r="Q170" i="81"/>
  <c r="Y177" i="83"/>
  <c r="O128" i="91"/>
  <c r="Q47" i="81"/>
  <c r="Q173" i="92"/>
  <c r="Y172" i="89"/>
  <c r="AA109" i="93"/>
  <c r="N63" i="74"/>
  <c r="AB27" i="81"/>
  <c r="X164" i="85"/>
  <c r="P163" i="89"/>
  <c r="AA51" i="94"/>
  <c r="O140" i="94"/>
  <c r="Z101" i="85"/>
  <c r="O156" i="88"/>
  <c r="Y131" i="84"/>
  <c r="P183" i="83"/>
  <c r="AA115" i="85"/>
  <c r="Y115" i="87"/>
  <c r="AB11" i="91"/>
  <c r="P97" i="84"/>
  <c r="Y80" i="81"/>
  <c r="AA11" i="87"/>
  <c r="Y141" i="89"/>
  <c r="P80" i="84"/>
  <c r="N150" i="89"/>
  <c r="Y103" i="82"/>
  <c r="X15" i="85"/>
  <c r="P17" i="87"/>
  <c r="Y89" i="93"/>
  <c r="O153" i="89"/>
  <c r="P101" i="83"/>
  <c r="X132" i="83"/>
  <c r="Y177" i="93"/>
  <c r="P17" i="94"/>
  <c r="P115" i="92"/>
  <c r="AA37" i="91"/>
  <c r="Q158" i="91"/>
  <c r="T165" i="84"/>
  <c r="AB82" i="93"/>
  <c r="Y169" i="93"/>
  <c r="AA150" i="92"/>
  <c r="Q155" i="88"/>
  <c r="P64" i="83"/>
  <c r="X118" i="89"/>
  <c r="X98" i="83"/>
  <c r="N27" i="87"/>
  <c r="X130" i="74"/>
  <c r="AA144" i="85"/>
  <c r="L158" i="85"/>
  <c r="O69" i="87"/>
  <c r="AB87" i="94"/>
  <c r="P19" i="91"/>
  <c r="P156" i="85"/>
  <c r="P136" i="94"/>
  <c r="Q126" i="83"/>
  <c r="L99" i="81"/>
  <c r="Z106" i="94"/>
  <c r="AB110" i="87"/>
  <c r="T159" i="89"/>
  <c r="Z73" i="81"/>
  <c r="L76" i="88"/>
  <c r="AB136" i="82"/>
  <c r="AA13" i="83"/>
  <c r="Q172" i="89"/>
  <c r="T21" i="92"/>
  <c r="Q27" i="91"/>
  <c r="Q97" i="74"/>
  <c r="T129" i="82"/>
  <c r="T123" i="94"/>
  <c r="T81" i="82"/>
  <c r="O80" i="74"/>
  <c r="X63" i="82"/>
  <c r="O13" i="83"/>
  <c r="P110" i="82"/>
  <c r="P184" i="85"/>
  <c r="Y92" i="87"/>
  <c r="P142" i="84"/>
  <c r="T144" i="83"/>
  <c r="O146" i="74"/>
  <c r="Q66" i="88"/>
  <c r="AB155" i="88"/>
  <c r="Q92" i="87"/>
  <c r="AA121" i="93"/>
  <c r="Q97" i="89"/>
  <c r="AA70" i="81"/>
  <c r="Z174" i="81"/>
  <c r="P102" i="85"/>
  <c r="X173" i="93"/>
  <c r="P136" i="93"/>
  <c r="Y137" i="84"/>
  <c r="Q134" i="91"/>
  <c r="L91" i="89"/>
  <c r="AB124" i="85"/>
  <c r="L66" i="94"/>
  <c r="Q75" i="81"/>
  <c r="T141" i="92"/>
  <c r="L163" i="74"/>
  <c r="AB69" i="92"/>
  <c r="Y37" i="83"/>
  <c r="AB81" i="84"/>
  <c r="Y37" i="87"/>
  <c r="L162" i="88"/>
  <c r="AB9" i="87"/>
  <c r="AB167" i="89"/>
  <c r="AA143" i="88"/>
  <c r="L154" i="89"/>
  <c r="Q25" i="94"/>
  <c r="L144" i="74"/>
  <c r="X108" i="87"/>
  <c r="AB35" i="85"/>
  <c r="L117" i="74"/>
  <c r="Q182" i="83"/>
  <c r="O88" i="93"/>
  <c r="X103" i="87"/>
  <c r="Y128" i="81"/>
  <c r="O96" i="74"/>
  <c r="AA95" i="84"/>
  <c r="L95" i="83"/>
  <c r="Z101" i="87"/>
  <c r="O86" i="81"/>
  <c r="O166" i="74"/>
  <c r="L128" i="88"/>
  <c r="L166" i="94"/>
  <c r="L76" i="84"/>
  <c r="Y112" i="89"/>
  <c r="P115" i="94"/>
  <c r="Y167" i="87"/>
  <c r="L117" i="87"/>
  <c r="Y173" i="94"/>
  <c r="T144" i="85"/>
  <c r="Q72" i="91"/>
  <c r="Q138" i="93"/>
  <c r="T27" i="88"/>
  <c r="X131" i="74"/>
  <c r="P179" i="87"/>
  <c r="Q31" i="82"/>
  <c r="P183" i="92"/>
  <c r="T144" i="92"/>
  <c r="L97" i="82"/>
  <c r="O76" i="88"/>
  <c r="N78" i="85"/>
  <c r="AA94" i="81"/>
  <c r="AA121" i="91"/>
  <c r="O9" i="88"/>
  <c r="P157" i="92"/>
  <c r="T159" i="74"/>
  <c r="L93" i="89"/>
  <c r="L168" i="81"/>
  <c r="X94" i="89"/>
  <c r="Z21" i="83"/>
  <c r="L141" i="88"/>
  <c r="N9" i="74"/>
  <c r="N165" i="88"/>
  <c r="Z153" i="89"/>
  <c r="X176" i="92"/>
  <c r="P119" i="91"/>
  <c r="L96" i="82"/>
  <c r="Y124" i="84"/>
  <c r="AA102" i="93"/>
  <c r="X19" i="89"/>
  <c r="AA146" i="93"/>
  <c r="AA159" i="84"/>
  <c r="Z29" i="94"/>
  <c r="Y120" i="83"/>
  <c r="L171" i="92"/>
  <c r="L83" i="74"/>
  <c r="Y125" i="93"/>
  <c r="O139" i="84"/>
  <c r="AB138" i="85"/>
  <c r="P102" i="93"/>
  <c r="P159" i="84"/>
  <c r="X141" i="74"/>
  <c r="L184" i="85"/>
  <c r="O73" i="94"/>
  <c r="AB124" i="84"/>
  <c r="X96" i="82"/>
  <c r="P47" i="88"/>
  <c r="AA111" i="91"/>
  <c r="AA88" i="93"/>
  <c r="X157" i="91"/>
  <c r="AA95" i="89"/>
  <c r="AA15" i="74"/>
  <c r="AA49" i="83"/>
  <c r="L82" i="93"/>
  <c r="N57" i="93"/>
  <c r="Q129" i="91"/>
  <c r="O126" i="83"/>
  <c r="O15" i="81"/>
  <c r="P156" i="84"/>
  <c r="AB165" i="85"/>
  <c r="AB105" i="92"/>
  <c r="AB150" i="82"/>
  <c r="AA166" i="85"/>
  <c r="L89" i="83"/>
  <c r="Y134" i="85"/>
  <c r="Z29" i="81"/>
  <c r="O131" i="94"/>
  <c r="Q43" i="93"/>
  <c r="N9" i="82"/>
  <c r="Q80" i="87"/>
  <c r="Q134" i="81"/>
  <c r="Q111" i="94"/>
  <c r="N72" i="81"/>
  <c r="X39" i="84"/>
  <c r="AB147" i="87"/>
  <c r="Q23" i="84"/>
  <c r="AA77" i="82"/>
  <c r="Q84" i="85"/>
  <c r="Y101" i="83"/>
  <c r="O76" i="85"/>
  <c r="O66" i="83"/>
  <c r="L122" i="94"/>
  <c r="M9" i="82"/>
  <c r="P88" i="81"/>
  <c r="X177" i="85"/>
  <c r="Z21" i="81"/>
  <c r="L100" i="85"/>
  <c r="AA174" i="93"/>
  <c r="P47" i="93"/>
  <c r="Q63" i="92"/>
  <c r="N75" i="94"/>
  <c r="AA93" i="81"/>
  <c r="AA123" i="84"/>
  <c r="Y91" i="85"/>
  <c r="AA149" i="82"/>
  <c r="AA138" i="74"/>
  <c r="AA9" i="83"/>
  <c r="AA157" i="84"/>
  <c r="N75" i="88"/>
  <c r="X9" i="85"/>
  <c r="AB151" i="92"/>
  <c r="X146" i="83"/>
  <c r="Y59" i="85"/>
  <c r="L88" i="94"/>
  <c r="M45" i="91"/>
  <c r="AB85" i="84"/>
  <c r="Q65" i="85"/>
  <c r="N168" i="84"/>
  <c r="L90" i="91"/>
  <c r="O55" i="89"/>
  <c r="Y61" i="74"/>
  <c r="Y83" i="74"/>
  <c r="O77" i="74"/>
  <c r="Z69" i="87"/>
  <c r="Y74" i="84"/>
  <c r="T84" i="81"/>
  <c r="Z92" i="82"/>
  <c r="O66" i="81"/>
  <c r="O84" i="84"/>
  <c r="Y154" i="82"/>
  <c r="Z105" i="84"/>
  <c r="O107" i="92"/>
  <c r="L116" i="94"/>
  <c r="O140" i="91"/>
  <c r="X110" i="82"/>
  <c r="Z161" i="85"/>
  <c r="Q179" i="93"/>
  <c r="AA106" i="81"/>
  <c r="Q17" i="74"/>
  <c r="T120" i="83"/>
  <c r="Y55" i="83"/>
  <c r="AA132" i="84"/>
  <c r="Q154" i="84"/>
  <c r="L125" i="74"/>
  <c r="P149" i="87"/>
  <c r="AB47" i="93"/>
  <c r="AB129" i="82"/>
  <c r="L165" i="87"/>
  <c r="O70" i="81"/>
  <c r="L166" i="89"/>
  <c r="AB167" i="87"/>
  <c r="AB139" i="85"/>
  <c r="L177" i="87"/>
  <c r="P181" i="83"/>
  <c r="O65" i="88"/>
  <c r="P140" i="87"/>
  <c r="L102" i="92"/>
  <c r="T93" i="83"/>
  <c r="O174" i="85"/>
  <c r="Y172" i="82"/>
  <c r="AB71" i="85"/>
  <c r="T15" i="84"/>
  <c r="AA83" i="92"/>
  <c r="O129" i="84"/>
  <c r="AA180" i="85"/>
  <c r="AB129" i="81"/>
  <c r="Z91" i="88"/>
  <c r="Q21" i="81"/>
  <c r="P19" i="85"/>
  <c r="X132" i="89"/>
  <c r="N185" i="82"/>
  <c r="Z122" i="84"/>
  <c r="L147" i="81"/>
  <c r="L122" i="83"/>
  <c r="T165" i="87"/>
  <c r="X98" i="82"/>
  <c r="P72" i="94"/>
  <c r="X107" i="94"/>
  <c r="N51" i="88"/>
  <c r="O21" i="84"/>
  <c r="O121" i="74"/>
  <c r="Q13" i="84"/>
  <c r="P125" i="81"/>
  <c r="O78" i="83"/>
  <c r="O57" i="84"/>
  <c r="N87" i="94"/>
  <c r="AB143" i="85"/>
  <c r="O72" i="84"/>
  <c r="Q73" i="82"/>
  <c r="AB98" i="89"/>
  <c r="X89" i="74"/>
  <c r="Y73" i="83"/>
  <c r="AB106" i="83"/>
  <c r="AB59" i="92"/>
  <c r="T21" i="74"/>
  <c r="AA110" i="84"/>
  <c r="Y168" i="84"/>
  <c r="AA123" i="88"/>
  <c r="X72" i="87"/>
  <c r="AA112" i="91"/>
  <c r="AB177" i="85"/>
  <c r="L163" i="89"/>
  <c r="AB150" i="85"/>
  <c r="AB152" i="83"/>
  <c r="Q163" i="83"/>
  <c r="Y148" i="92"/>
  <c r="L152" i="88"/>
  <c r="X74" i="88"/>
  <c r="X125" i="85"/>
  <c r="Q155" i="84"/>
  <c r="O172" i="84"/>
  <c r="AB86" i="81"/>
  <c r="Q128" i="74"/>
  <c r="L105" i="85"/>
  <c r="Y106" i="81"/>
  <c r="P19" i="83"/>
  <c r="T165" i="83"/>
  <c r="Z65" i="85"/>
  <c r="Q131" i="81"/>
  <c r="AA149" i="74"/>
  <c r="Q145" i="89"/>
  <c r="L147" i="88"/>
  <c r="P136" i="85"/>
  <c r="P185" i="93"/>
  <c r="AA39" i="83"/>
  <c r="Y110" i="88"/>
  <c r="O111" i="93"/>
  <c r="O144" i="91"/>
  <c r="AA33" i="81"/>
  <c r="AA23" i="82"/>
  <c r="O129" i="87"/>
  <c r="Q115" i="84"/>
  <c r="Y21" i="74"/>
  <c r="Q106" i="87"/>
  <c r="P73" i="85"/>
  <c r="X109" i="83"/>
  <c r="Q171" i="93"/>
  <c r="N147" i="85"/>
  <c r="X72" i="83"/>
  <c r="N180" i="83"/>
  <c r="M51" i="92"/>
  <c r="AA136" i="74"/>
  <c r="Q116" i="92"/>
  <c r="X126" i="85"/>
  <c r="O21" i="83"/>
  <c r="L79" i="88"/>
  <c r="L115" i="74"/>
  <c r="Q171" i="84"/>
  <c r="Z167" i="84"/>
  <c r="N153" i="85"/>
  <c r="Q110" i="87"/>
  <c r="Z82" i="84"/>
  <c r="AA145" i="92"/>
  <c r="Q19" i="88"/>
  <c r="AB120" i="87"/>
  <c r="Z41" i="84"/>
  <c r="Q171" i="83"/>
  <c r="AA128" i="82"/>
  <c r="O128" i="81"/>
  <c r="AB72" i="89"/>
  <c r="L131" i="85"/>
  <c r="Y90" i="87"/>
  <c r="Q25" i="89"/>
  <c r="Q85" i="83"/>
  <c r="L181" i="93"/>
  <c r="Y117" i="82"/>
  <c r="O70" i="83"/>
  <c r="X81" i="85"/>
  <c r="O45" i="74"/>
  <c r="AB80" i="81"/>
  <c r="O175" i="81"/>
  <c r="L152" i="89"/>
  <c r="Y151" i="84"/>
  <c r="P61" i="91"/>
  <c r="AA33" i="89"/>
  <c r="X19" i="88"/>
  <c r="AA180" i="94"/>
  <c r="AA120" i="92"/>
  <c r="P141" i="91"/>
  <c r="Q109" i="92"/>
  <c r="AB161" i="87"/>
  <c r="X82" i="91"/>
  <c r="AB76" i="88"/>
  <c r="AB130" i="82"/>
  <c r="T99" i="87"/>
  <c r="Z88" i="94"/>
  <c r="Z81" i="83"/>
  <c r="X148" i="91"/>
  <c r="N27" i="94"/>
  <c r="P135" i="88"/>
  <c r="T108" i="87"/>
  <c r="Y114" i="89"/>
  <c r="X59" i="94"/>
  <c r="X107" i="82"/>
  <c r="P150" i="91"/>
  <c r="AA97" i="82"/>
  <c r="O133" i="85"/>
  <c r="Q87" i="83"/>
  <c r="Z118" i="83"/>
  <c r="Y163" i="83"/>
  <c r="Y75" i="92"/>
  <c r="M29" i="89"/>
  <c r="Z121" i="87"/>
  <c r="Y143" i="81"/>
  <c r="L117" i="81"/>
  <c r="Q89" i="74"/>
  <c r="N111" i="84"/>
  <c r="P27" i="94"/>
  <c r="Q178" i="82"/>
  <c r="Q73" i="93"/>
  <c r="AB110" i="85"/>
  <c r="Z39" i="74"/>
  <c r="T111" i="89"/>
  <c r="N141" i="89"/>
  <c r="O17" i="93"/>
  <c r="AB131" i="91"/>
  <c r="AB90" i="91"/>
  <c r="AA135" i="85"/>
  <c r="P79" i="81"/>
  <c r="Q47" i="88"/>
  <c r="X108" i="82"/>
  <c r="P83" i="89"/>
  <c r="O175" i="74"/>
  <c r="O76" i="91"/>
  <c r="AB107" i="85"/>
  <c r="L114" i="87"/>
  <c r="AA105" i="84"/>
  <c r="Z88" i="84"/>
  <c r="Z155" i="87"/>
  <c r="T144" i="88"/>
  <c r="AA146" i="84"/>
  <c r="Y148" i="89"/>
  <c r="P99" i="92"/>
  <c r="N39" i="84"/>
  <c r="N129" i="91"/>
  <c r="L135" i="82"/>
  <c r="P158" i="94"/>
  <c r="P114" i="91"/>
  <c r="T66" i="92"/>
  <c r="AA155" i="83"/>
  <c r="AA165" i="94"/>
  <c r="L153" i="83"/>
  <c r="X41" i="89"/>
  <c r="M17" i="87"/>
  <c r="Q96" i="82"/>
  <c r="AA59" i="81"/>
  <c r="Q84" i="81"/>
  <c r="X142" i="94"/>
  <c r="L85" i="84"/>
  <c r="P167" i="89"/>
  <c r="L130" i="81"/>
  <c r="Y108" i="81"/>
  <c r="AB160" i="88"/>
  <c r="P79" i="83"/>
  <c r="N180" i="85"/>
  <c r="AB132" i="82"/>
  <c r="O114" i="93"/>
  <c r="Q133" i="92"/>
  <c r="P67" i="93"/>
  <c r="O182" i="82"/>
  <c r="N138" i="82"/>
  <c r="Q74" i="83"/>
  <c r="Z91" i="83"/>
  <c r="AA153" i="91"/>
  <c r="Y95" i="84"/>
  <c r="X113" i="87"/>
  <c r="L116" i="82"/>
  <c r="AB23" i="93"/>
  <c r="Y163" i="92"/>
  <c r="O154" i="82"/>
  <c r="AA9" i="89"/>
  <c r="L148" i="74"/>
  <c r="Q17" i="82"/>
  <c r="O132" i="85"/>
  <c r="T177" i="83"/>
  <c r="Y67" i="87"/>
  <c r="L73" i="91"/>
  <c r="X45" i="93"/>
  <c r="T78" i="81"/>
  <c r="AA121" i="81"/>
  <c r="Z84" i="74"/>
  <c r="L184" i="92"/>
  <c r="P9" i="83"/>
  <c r="Y149" i="83"/>
  <c r="AB57" i="83"/>
  <c r="O90" i="84"/>
  <c r="Z139" i="82"/>
  <c r="O182" i="83"/>
  <c r="Q106" i="82"/>
  <c r="Z94" i="84"/>
  <c r="AB86" i="82"/>
  <c r="M15" i="88"/>
  <c r="X101" i="74"/>
  <c r="Y86" i="92"/>
  <c r="AA172" i="84"/>
  <c r="Z93" i="88"/>
  <c r="Z88" i="88"/>
  <c r="Z129" i="89"/>
  <c r="O116" i="81"/>
  <c r="O177" i="82"/>
  <c r="X146" i="88"/>
  <c r="X170" i="83"/>
  <c r="O114" i="81"/>
  <c r="Z170" i="85"/>
  <c r="O173" i="92"/>
  <c r="X143" i="89"/>
  <c r="AA132" i="83"/>
  <c r="Y89" i="85"/>
  <c r="AA144" i="92"/>
  <c r="Z19" i="85"/>
  <c r="N132" i="82"/>
  <c r="P83" i="81"/>
  <c r="O164" i="89"/>
  <c r="AB87" i="84"/>
  <c r="Y123" i="82"/>
  <c r="T27" i="83"/>
  <c r="P113" i="84"/>
  <c r="Z133" i="74"/>
  <c r="AA163" i="81"/>
  <c r="Q13" i="82"/>
  <c r="AB17" i="83"/>
  <c r="L83" i="92"/>
  <c r="O15" i="83"/>
  <c r="Y121" i="81"/>
  <c r="X13" i="74"/>
  <c r="AB45" i="83"/>
  <c r="Z43" i="91"/>
  <c r="Q45" i="88"/>
  <c r="O69" i="85"/>
  <c r="AA35" i="84"/>
  <c r="AA166" i="87"/>
  <c r="AB168" i="82"/>
  <c r="P125" i="85"/>
  <c r="Y94" i="87"/>
  <c r="Z27" i="94"/>
  <c r="Q163" i="74"/>
  <c r="O171" i="82"/>
  <c r="O112" i="74"/>
  <c r="Z86" i="89"/>
  <c r="L138" i="93"/>
  <c r="M23" i="82"/>
  <c r="T72" i="85"/>
  <c r="L69" i="83"/>
  <c r="N111" i="88"/>
  <c r="AA143" i="85"/>
  <c r="N84" i="81"/>
  <c r="Q174" i="85"/>
  <c r="O146" i="81"/>
  <c r="X157" i="93"/>
  <c r="X79" i="94"/>
  <c r="Q65" i="82"/>
  <c r="L91" i="83"/>
  <c r="T99" i="89"/>
  <c r="AA131" i="81"/>
  <c r="L160" i="82"/>
  <c r="P115" i="81"/>
  <c r="Y9" i="92"/>
  <c r="X163" i="92"/>
  <c r="M47" i="85"/>
  <c r="P101" i="81"/>
  <c r="L164" i="82"/>
  <c r="AB27" i="84"/>
  <c r="AA95" i="93"/>
  <c r="Z113" i="92"/>
  <c r="AB100" i="89"/>
  <c r="X111" i="74"/>
  <c r="Q110" i="88"/>
  <c r="Q122" i="85"/>
  <c r="Q63" i="93"/>
  <c r="Y155" i="91"/>
  <c r="X78" i="89"/>
  <c r="AB137" i="84"/>
  <c r="P87" i="74"/>
  <c r="AB67" i="83"/>
  <c r="X90" i="81"/>
  <c r="Q137" i="74"/>
  <c r="Y88" i="82"/>
  <c r="L127" i="87"/>
  <c r="AB108" i="81"/>
  <c r="X9" i="89"/>
  <c r="AA169" i="74"/>
  <c r="AA153" i="74"/>
  <c r="Y19" i="87"/>
  <c r="L99" i="91"/>
  <c r="AA35" i="83"/>
  <c r="P112" i="88"/>
  <c r="P146" i="91"/>
  <c r="Z163" i="83"/>
  <c r="Y74" i="88"/>
  <c r="AB85" i="87"/>
  <c r="O157" i="94"/>
  <c r="O90" i="81"/>
  <c r="AB131" i="92"/>
  <c r="O131" i="84"/>
  <c r="AA105" i="89"/>
  <c r="P85" i="88"/>
  <c r="AA163" i="82"/>
  <c r="AB107" i="83"/>
  <c r="O167" i="85"/>
  <c r="X84" i="84"/>
  <c r="AB88" i="82"/>
  <c r="Q27" i="85"/>
  <c r="O134" i="89"/>
  <c r="M11" i="74"/>
  <c r="AB171" i="81"/>
  <c r="Y92" i="74"/>
  <c r="Y41" i="85"/>
  <c r="P119" i="89"/>
  <c r="O86" i="91"/>
  <c r="T123" i="81"/>
  <c r="AB97" i="93"/>
  <c r="L63" i="92"/>
  <c r="M21" i="74"/>
  <c r="N84" i="84"/>
  <c r="AB59" i="83"/>
  <c r="P165" i="74"/>
  <c r="Q130" i="81"/>
  <c r="L109" i="93"/>
  <c r="Q107" i="82"/>
  <c r="Y73" i="85"/>
  <c r="N141" i="91"/>
  <c r="Y71" i="89"/>
  <c r="X153" i="88"/>
  <c r="N90" i="89"/>
  <c r="L65" i="82"/>
  <c r="AA176" i="94"/>
  <c r="Z64" i="81"/>
  <c r="X74" i="85"/>
  <c r="Y113" i="87"/>
  <c r="Y146" i="85"/>
  <c r="X164" i="82"/>
  <c r="Y152" i="91"/>
  <c r="Z141" i="82"/>
  <c r="L92" i="85"/>
  <c r="Q47" i="82"/>
  <c r="N75" i="91"/>
  <c r="Y91" i="91"/>
  <c r="AA19" i="94"/>
  <c r="Y139" i="93"/>
  <c r="Y123" i="81"/>
  <c r="L74" i="82"/>
  <c r="Q144" i="87"/>
  <c r="AA172" i="81"/>
  <c r="Y33" i="82"/>
  <c r="Y168" i="83"/>
  <c r="AA107" i="82"/>
  <c r="L110" i="89"/>
  <c r="P84" i="85"/>
  <c r="Q43" i="85"/>
  <c r="N135" i="83"/>
  <c r="Q53" i="83"/>
  <c r="O157" i="83"/>
  <c r="Y83" i="88"/>
  <c r="T120" i="88"/>
  <c r="Z153" i="82"/>
  <c r="X9" i="92"/>
  <c r="P111" i="84"/>
  <c r="P67" i="83"/>
  <c r="X124" i="88"/>
  <c r="O31" i="88"/>
  <c r="P126" i="84"/>
  <c r="Z148" i="84"/>
  <c r="X164" i="92"/>
  <c r="AB93" i="82"/>
  <c r="AB160" i="82"/>
  <c r="O103" i="82"/>
  <c r="X37" i="87"/>
  <c r="Q110" i="81"/>
  <c r="Y63" i="92"/>
  <c r="T156" i="89"/>
  <c r="AA17" i="89"/>
  <c r="P111" i="82"/>
  <c r="AB156" i="88"/>
  <c r="L172" i="83"/>
  <c r="AB90" i="81"/>
  <c r="P98" i="81"/>
  <c r="X108" i="85"/>
  <c r="L63" i="93"/>
  <c r="X87" i="82"/>
  <c r="Z149" i="81"/>
  <c r="Q168" i="87"/>
  <c r="X122" i="83"/>
  <c r="Y176" i="83"/>
  <c r="Y53" i="84"/>
  <c r="O116" i="87"/>
  <c r="X59" i="81"/>
  <c r="Z98" i="89"/>
  <c r="AA45" i="83"/>
  <c r="Y124" i="83"/>
  <c r="Q121" i="87"/>
  <c r="Q68" i="82"/>
  <c r="O82" i="84"/>
  <c r="L85" i="93"/>
  <c r="AB78" i="84"/>
  <c r="X53" i="89"/>
  <c r="Q180" i="84"/>
  <c r="Z153" i="87"/>
  <c r="L150" i="82"/>
  <c r="T39" i="83"/>
  <c r="AB108" i="87"/>
  <c r="Y13" i="92"/>
  <c r="Z85" i="85"/>
  <c r="Q120" i="81"/>
  <c r="X67" i="92"/>
  <c r="Q111" i="83"/>
  <c r="AA77" i="92"/>
  <c r="Z64" i="91"/>
  <c r="Z29" i="88"/>
  <c r="AA174" i="89"/>
  <c r="P43" i="82"/>
  <c r="P57" i="87"/>
  <c r="L111" i="83"/>
  <c r="AA51" i="74"/>
  <c r="AB121" i="84"/>
  <c r="Q84" i="83"/>
  <c r="Q154" i="82"/>
  <c r="AB37" i="84"/>
  <c r="AB49" i="87"/>
  <c r="P181" i="91"/>
  <c r="Y103" i="88"/>
  <c r="X74" i="82"/>
  <c r="P179" i="89"/>
  <c r="AA172" i="83"/>
  <c r="Z49" i="91"/>
  <c r="AA129" i="82"/>
  <c r="X25" i="92"/>
  <c r="X117" i="74"/>
  <c r="X47" i="85"/>
  <c r="X133" i="83"/>
  <c r="AB136" i="83"/>
  <c r="P137" i="83"/>
  <c r="Q87" i="94"/>
  <c r="AA149" i="91"/>
  <c r="X96" i="87"/>
  <c r="X115" i="92"/>
  <c r="AB15" i="88"/>
  <c r="AA19" i="85"/>
  <c r="AB137" i="83"/>
  <c r="X13" i="81"/>
  <c r="Q67" i="91"/>
  <c r="P66" i="84"/>
  <c r="AB121" i="81"/>
  <c r="X158" i="74"/>
  <c r="T84" i="83"/>
  <c r="P87" i="91"/>
  <c r="O83" i="82"/>
  <c r="X172" i="82"/>
  <c r="X21" i="94"/>
  <c r="T147" i="83"/>
  <c r="Q71" i="91"/>
  <c r="Y95" i="85"/>
  <c r="Y107" i="83"/>
  <c r="Z143" i="84"/>
  <c r="Y69" i="87"/>
  <c r="X71" i="83"/>
  <c r="Y27" i="83"/>
  <c r="Q134" i="94"/>
  <c r="Q154" i="83"/>
  <c r="P37" i="83"/>
  <c r="Q182" i="91"/>
  <c r="O185" i="91"/>
  <c r="Y93" i="83"/>
  <c r="Q149" i="85"/>
  <c r="T132" i="92"/>
  <c r="P69" i="89"/>
  <c r="P72" i="92"/>
  <c r="AB45" i="84"/>
  <c r="Q176" i="85"/>
  <c r="X134" i="82"/>
  <c r="O51" i="89"/>
  <c r="L151" i="85"/>
  <c r="X130" i="85"/>
  <c r="P77" i="89"/>
  <c r="O111" i="89"/>
  <c r="T72" i="87"/>
  <c r="O74" i="83"/>
  <c r="N27" i="82"/>
  <c r="T102" i="83"/>
  <c r="AA53" i="83"/>
  <c r="Q105" i="88"/>
  <c r="L81" i="91"/>
  <c r="X162" i="94"/>
  <c r="X23" i="93"/>
  <c r="AA107" i="94"/>
  <c r="Y67" i="81"/>
  <c r="O172" i="74"/>
  <c r="X74" i="89"/>
  <c r="AA95" i="82"/>
  <c r="AA63" i="88"/>
  <c r="X89" i="92"/>
  <c r="P127" i="94"/>
  <c r="X170" i="74"/>
  <c r="M15" i="83"/>
  <c r="T21" i="82"/>
  <c r="P112" i="87"/>
  <c r="Z167" i="87"/>
  <c r="O133" i="82"/>
  <c r="L140" i="74"/>
  <c r="Z167" i="81"/>
  <c r="Q161" i="83"/>
  <c r="AA79" i="91"/>
  <c r="O99" i="74"/>
  <c r="Z141" i="81"/>
  <c r="Y140" i="84"/>
  <c r="O159" i="84"/>
  <c r="P115" i="89"/>
  <c r="AB23" i="91"/>
  <c r="O182" i="89"/>
  <c r="P148" i="85"/>
  <c r="X105" i="74"/>
  <c r="X155" i="81"/>
  <c r="P154" i="74"/>
  <c r="O82" i="94"/>
  <c r="Z144" i="83"/>
  <c r="T15" i="74"/>
  <c r="AA81" i="92"/>
  <c r="T168" i="94"/>
  <c r="AA79" i="74"/>
  <c r="AB150" i="83"/>
  <c r="Q49" i="83"/>
  <c r="P141" i="74"/>
  <c r="T141" i="94"/>
  <c r="AB19" i="89"/>
  <c r="Z82" i="87"/>
  <c r="L129" i="85"/>
  <c r="O89" i="83"/>
  <c r="X67" i="82"/>
  <c r="X47" i="92"/>
  <c r="Y154" i="85"/>
  <c r="Z123" i="83"/>
  <c r="Q173" i="89"/>
  <c r="AB103" i="83"/>
  <c r="Z11" i="81"/>
  <c r="X156" i="94"/>
  <c r="O152" i="87"/>
  <c r="Z131" i="87"/>
  <c r="AA13" i="81"/>
  <c r="X147" i="85"/>
  <c r="P165" i="87"/>
  <c r="Q134" i="82"/>
  <c r="Q51" i="74"/>
  <c r="Z57" i="84"/>
  <c r="P33" i="82"/>
  <c r="AA133" i="83"/>
  <c r="AB164" i="83"/>
  <c r="T78" i="83"/>
  <c r="X76" i="83"/>
  <c r="X9" i="91"/>
  <c r="L79" i="82"/>
  <c r="L64" i="85"/>
  <c r="X159" i="85"/>
  <c r="T108" i="93"/>
  <c r="Q140" i="85"/>
  <c r="L76" i="92"/>
  <c r="AA128" i="81"/>
  <c r="O39" i="87"/>
  <c r="Z91" i="74"/>
  <c r="P68" i="83"/>
  <c r="Q69" i="93"/>
  <c r="AB92" i="81"/>
  <c r="P23" i="83"/>
  <c r="AB92" i="88"/>
  <c r="Y131" i="82"/>
  <c r="Z142" i="87"/>
  <c r="Y37" i="81"/>
  <c r="X157" i="88"/>
  <c r="M31" i="88"/>
  <c r="N69" i="82"/>
  <c r="Y105" i="92"/>
  <c r="AA27" i="82"/>
  <c r="X73" i="82"/>
  <c r="Y112" i="88"/>
  <c r="Z126" i="93"/>
  <c r="X109" i="87"/>
  <c r="Z131" i="81"/>
  <c r="P144" i="92"/>
  <c r="N147" i="74"/>
  <c r="X31" i="88"/>
  <c r="Q179" i="83"/>
  <c r="L106" i="74"/>
  <c r="Z106" i="74"/>
  <c r="Z126" i="84"/>
  <c r="Z138" i="84"/>
  <c r="AA81" i="84"/>
  <c r="P123" i="88"/>
  <c r="N93" i="81"/>
  <c r="Z73" i="85"/>
  <c r="X68" i="84"/>
  <c r="Q78" i="84"/>
  <c r="P153" i="94"/>
  <c r="Q131" i="85"/>
  <c r="Q55" i="81"/>
  <c r="AA125" i="88"/>
  <c r="Q90" i="91"/>
  <c r="AB39" i="83"/>
  <c r="P45" i="85"/>
  <c r="Z55" i="84"/>
  <c r="Z72" i="81"/>
  <c r="AA140" i="91"/>
  <c r="L135" i="81"/>
  <c r="T102" i="89"/>
  <c r="L116" i="81"/>
  <c r="M49" i="81"/>
  <c r="X165" i="83"/>
  <c r="Q114" i="89"/>
  <c r="AB131" i="81"/>
  <c r="N144" i="92"/>
  <c r="Q173" i="83"/>
  <c r="P19" i="84"/>
  <c r="L108" i="85"/>
  <c r="L92" i="94"/>
  <c r="O49" i="82"/>
  <c r="AB103" i="84"/>
  <c r="X99" i="94"/>
  <c r="O88" i="85"/>
  <c r="T87" i="88"/>
  <c r="O70" i="82"/>
  <c r="AA31" i="74"/>
  <c r="X110" i="83"/>
  <c r="M41" i="83"/>
  <c r="P137" i="92"/>
  <c r="AA168" i="82"/>
  <c r="AB53" i="82"/>
  <c r="O123" i="89"/>
  <c r="Y67" i="93"/>
  <c r="AB111" i="91"/>
  <c r="L86" i="81"/>
  <c r="Q138" i="85"/>
  <c r="AA77" i="83"/>
  <c r="L96" i="94"/>
  <c r="AB13" i="85"/>
  <c r="X171" i="74"/>
  <c r="AA67" i="81"/>
  <c r="L159" i="84"/>
  <c r="Q123" i="82"/>
  <c r="L185" i="83"/>
  <c r="Z51" i="74"/>
  <c r="X65" i="83"/>
  <c r="O77" i="81"/>
  <c r="Y77" i="92"/>
  <c r="X88" i="83"/>
  <c r="M19" i="83"/>
  <c r="X110" i="91"/>
  <c r="Q127" i="74"/>
  <c r="P173" i="83"/>
  <c r="AB155" i="83"/>
  <c r="Q169" i="81"/>
  <c r="O124" i="83"/>
  <c r="P103" i="82"/>
  <c r="Z79" i="84"/>
  <c r="Y153" i="85"/>
  <c r="AB68" i="87"/>
  <c r="Q168" i="88"/>
  <c r="Y70" i="89"/>
  <c r="P49" i="82"/>
  <c r="AB168" i="92"/>
  <c r="X126" i="84"/>
  <c r="AA89" i="81"/>
  <c r="P23" i="89"/>
  <c r="O99" i="82"/>
  <c r="Z111" i="74"/>
  <c r="X65" i="88"/>
  <c r="Q129" i="88"/>
  <c r="L184" i="74"/>
  <c r="Y125" i="92"/>
  <c r="Y25" i="88"/>
  <c r="AA173" i="85"/>
  <c r="Z120" i="87"/>
  <c r="AB113" i="82"/>
  <c r="L124" i="85"/>
  <c r="M61" i="84"/>
  <c r="Y143" i="82"/>
  <c r="O71" i="91"/>
  <c r="Q71" i="74"/>
  <c r="Z73" i="88"/>
  <c r="Z72" i="84"/>
  <c r="P136" i="88"/>
  <c r="N45" i="93"/>
  <c r="Z152" i="82"/>
  <c r="T81" i="74"/>
  <c r="P76" i="82"/>
  <c r="Z79" i="83"/>
  <c r="Q15" i="74"/>
  <c r="O71" i="85"/>
  <c r="O99" i="83"/>
  <c r="X165" i="74"/>
  <c r="Z67" i="93"/>
  <c r="Q112" i="91"/>
  <c r="O149" i="88"/>
  <c r="AB147" i="92"/>
  <c r="L173" i="92"/>
  <c r="N129" i="85"/>
  <c r="L85" i="74"/>
  <c r="AA102" i="88"/>
  <c r="X76" i="85"/>
  <c r="P136" i="87"/>
  <c r="L142" i="89"/>
  <c r="Z35" i="82"/>
  <c r="AA159" i="74"/>
  <c r="AB151" i="88"/>
  <c r="X125" i="74"/>
  <c r="O155" i="84"/>
  <c r="Y95" i="83"/>
  <c r="O21" i="82"/>
  <c r="AA73" i="82"/>
  <c r="L127" i="88"/>
  <c r="X175" i="85"/>
  <c r="AA53" i="84"/>
  <c r="P167" i="91"/>
  <c r="O176" i="82"/>
  <c r="AB113" i="87"/>
  <c r="L152" i="83"/>
  <c r="P39" i="89"/>
  <c r="X135" i="84"/>
  <c r="X73" i="88"/>
  <c r="Z66" i="88"/>
  <c r="Q142" i="83"/>
  <c r="Y9" i="89"/>
  <c r="Q126" i="74"/>
  <c r="AA80" i="81"/>
  <c r="Z165" i="85"/>
  <c r="Q123" i="85"/>
  <c r="AA15" i="87"/>
  <c r="AB33" i="87"/>
  <c r="O79" i="82"/>
  <c r="Y53" i="85"/>
  <c r="N27" i="89"/>
  <c r="Z153" i="85"/>
  <c r="Y69" i="91"/>
  <c r="N126" i="87"/>
  <c r="Z135" i="81"/>
  <c r="X65" i="81"/>
  <c r="X160" i="74"/>
  <c r="T141" i="74"/>
  <c r="AB84" i="81"/>
  <c r="P90" i="74"/>
  <c r="Z15" i="82"/>
  <c r="Y99" i="92"/>
  <c r="P151" i="88"/>
  <c r="AA87" i="87"/>
  <c r="Z99" i="83"/>
  <c r="AB72" i="84"/>
  <c r="X172" i="93"/>
  <c r="Z107" i="85"/>
  <c r="X154" i="91"/>
  <c r="T9" i="94"/>
  <c r="X113" i="82"/>
  <c r="O71" i="83"/>
  <c r="Z177" i="81"/>
  <c r="AA94" i="84"/>
  <c r="AA41" i="85"/>
  <c r="X133" i="81"/>
  <c r="O17" i="83"/>
  <c r="Q35" i="82"/>
  <c r="AA99" i="83"/>
  <c r="Z67" i="88"/>
  <c r="Y117" i="88"/>
  <c r="AB29" i="91"/>
  <c r="O47" i="87"/>
  <c r="Z164" i="87"/>
  <c r="AB67" i="84"/>
  <c r="Z33" i="82"/>
  <c r="P71" i="84"/>
  <c r="AA107" i="74"/>
  <c r="O117" i="74"/>
  <c r="N21" i="74"/>
  <c r="AB96" i="88"/>
  <c r="T105" i="91"/>
  <c r="N84" i="91"/>
  <c r="N81" i="84"/>
  <c r="Y121" i="87"/>
  <c r="O173" i="91"/>
  <c r="N96" i="81"/>
  <c r="P47" i="74"/>
  <c r="P63" i="81"/>
  <c r="AB108" i="89"/>
  <c r="T144" i="74"/>
  <c r="Q120" i="87"/>
  <c r="Z157" i="87"/>
  <c r="L99" i="89"/>
  <c r="L155" i="74"/>
  <c r="Z142" i="83"/>
  <c r="Q61" i="74"/>
  <c r="Y169" i="87"/>
  <c r="L88" i="87"/>
  <c r="L161" i="91"/>
  <c r="T153" i="85"/>
  <c r="P104" i="83"/>
  <c r="Q81" i="92"/>
  <c r="N168" i="81"/>
  <c r="Q59" i="91"/>
  <c r="P29" i="82"/>
  <c r="M29" i="92"/>
  <c r="Z87" i="83"/>
  <c r="T150" i="85"/>
  <c r="O178" i="82"/>
  <c r="L89" i="85"/>
  <c r="AB114" i="91"/>
  <c r="AA146" i="87"/>
  <c r="O184" i="88"/>
  <c r="L115" i="81"/>
  <c r="L109" i="81"/>
  <c r="T69" i="82"/>
  <c r="AA152" i="89"/>
  <c r="Q143" i="89"/>
  <c r="Y84" i="87"/>
  <c r="Z145" i="82"/>
  <c r="Z122" i="91"/>
  <c r="P115" i="87"/>
  <c r="AB160" i="89"/>
  <c r="Y128" i="84"/>
  <c r="Z69" i="81"/>
  <c r="T114" i="85"/>
  <c r="X75" i="74"/>
  <c r="Y57" i="84"/>
  <c r="Q65" i="81"/>
  <c r="N120" i="88"/>
  <c r="AA73" i="85"/>
  <c r="Z138" i="82"/>
  <c r="L99" i="88"/>
  <c r="Y118" i="85"/>
  <c r="Z92" i="81"/>
  <c r="AA74" i="74"/>
  <c r="AB180" i="89"/>
  <c r="Z165" i="87"/>
  <c r="X134" i="87"/>
  <c r="Y43" i="82"/>
  <c r="AA118" i="83"/>
  <c r="Z84" i="85"/>
  <c r="Y119" i="81"/>
  <c r="L129" i="94"/>
  <c r="Z81" i="82"/>
  <c r="Q171" i="85"/>
  <c r="AA76" i="81"/>
  <c r="AB45" i="88"/>
  <c r="P166" i="84"/>
  <c r="T66" i="87"/>
  <c r="X152" i="81"/>
  <c r="O182" i="84"/>
  <c r="L113" i="82"/>
  <c r="Y131" i="94"/>
  <c r="T69" i="94"/>
  <c r="N90" i="83"/>
  <c r="Q33" i="82"/>
  <c r="Y17" i="87"/>
  <c r="L172" i="89"/>
  <c r="L181" i="91"/>
  <c r="Y15" i="93"/>
  <c r="P138" i="94"/>
  <c r="AA159" i="81"/>
  <c r="L126" i="74"/>
  <c r="AB96" i="93"/>
  <c r="AA85" i="74"/>
  <c r="X111" i="94"/>
  <c r="X129" i="92"/>
  <c r="Q102" i="92"/>
  <c r="AB35" i="88"/>
  <c r="P134" i="87"/>
  <c r="L64" i="84"/>
  <c r="L164" i="93"/>
  <c r="P163" i="84"/>
  <c r="AB117" i="82"/>
  <c r="O148" i="81"/>
  <c r="X121" i="74"/>
  <c r="AA89" i="74"/>
  <c r="AB13" i="92"/>
  <c r="M21" i="81"/>
  <c r="AA172" i="82"/>
  <c r="Y119" i="84"/>
  <c r="AB109" i="81"/>
  <c r="Z85" i="93"/>
  <c r="P161" i="81"/>
  <c r="AB88" i="84"/>
  <c r="Q75" i="87"/>
  <c r="P174" i="82"/>
  <c r="Q90" i="89"/>
  <c r="P151" i="83"/>
  <c r="AB74" i="84"/>
  <c r="Z177" i="85"/>
  <c r="Q139" i="88"/>
  <c r="AB154" i="94"/>
  <c r="T120" i="82"/>
  <c r="X84" i="83"/>
  <c r="Z59" i="94"/>
  <c r="Z164" i="74"/>
  <c r="O161" i="83"/>
  <c r="O149" i="74"/>
  <c r="X114" i="91"/>
  <c r="Z41" i="85"/>
  <c r="X133" i="89"/>
  <c r="Y155" i="85"/>
  <c r="AB133" i="85"/>
  <c r="L145" i="83"/>
  <c r="L154" i="87"/>
  <c r="O141" i="87"/>
  <c r="P69" i="93"/>
  <c r="X66" i="87"/>
  <c r="AB65" i="81"/>
  <c r="L74" i="85"/>
  <c r="P37" i="82"/>
  <c r="P169" i="74"/>
  <c r="N123" i="91"/>
  <c r="P77" i="83"/>
  <c r="Z53" i="82"/>
  <c r="P94" i="74"/>
  <c r="Q78" i="83"/>
  <c r="Q148" i="84"/>
  <c r="Z124" i="83"/>
  <c r="X159" i="94"/>
  <c r="Y171" i="74"/>
  <c r="AB53" i="84"/>
  <c r="L64" i="89"/>
  <c r="P83" i="84"/>
  <c r="Z147" i="82"/>
  <c r="Z161" i="74"/>
  <c r="O145" i="74"/>
  <c r="AA73" i="88"/>
  <c r="Y138" i="91"/>
  <c r="N81" i="83"/>
  <c r="Q136" i="87"/>
  <c r="Z45" i="89"/>
  <c r="M17" i="82"/>
  <c r="O168" i="94"/>
  <c r="AB17" i="88"/>
  <c r="Y77" i="91"/>
  <c r="AA82" i="83"/>
  <c r="Q41" i="82"/>
  <c r="X145" i="74"/>
  <c r="O92" i="87"/>
  <c r="X47" i="81"/>
  <c r="L126" i="81"/>
  <c r="Q113" i="85"/>
  <c r="AB163" i="81"/>
  <c r="Q101" i="85"/>
  <c r="AA138" i="81"/>
  <c r="Z162" i="93"/>
  <c r="AB66" i="85"/>
  <c r="O146" i="83"/>
  <c r="P133" i="82"/>
  <c r="P154" i="88"/>
  <c r="AA118" i="82"/>
  <c r="Y71" i="92"/>
  <c r="P116" i="91"/>
  <c r="P154" i="87"/>
  <c r="Z149" i="83"/>
  <c r="N156" i="83"/>
  <c r="P25" i="91"/>
  <c r="O94" i="84"/>
  <c r="M59" i="83"/>
  <c r="X150" i="82"/>
  <c r="L182" i="85"/>
  <c r="AB23" i="81"/>
  <c r="P149" i="88"/>
  <c r="Y166" i="82"/>
  <c r="AA111" i="85"/>
  <c r="P137" i="85"/>
  <c r="AB31" i="87"/>
  <c r="Y45" i="74"/>
  <c r="Z140" i="84"/>
  <c r="O98" i="81"/>
  <c r="O63" i="81"/>
  <c r="AA139" i="82"/>
  <c r="Q64" i="85"/>
  <c r="Z37" i="88"/>
  <c r="N105" i="83"/>
  <c r="L80" i="81"/>
  <c r="L63" i="89"/>
  <c r="N177" i="85"/>
  <c r="P66" i="92"/>
  <c r="AB35" i="84"/>
  <c r="Q124" i="89"/>
  <c r="Y176" i="94"/>
  <c r="T57" i="85"/>
  <c r="Y139" i="85"/>
  <c r="P129" i="94"/>
  <c r="Z132" i="74"/>
  <c r="Q78" i="85"/>
  <c r="Q17" i="85"/>
  <c r="X168" i="94"/>
  <c r="L132" i="88"/>
  <c r="X131" i="88"/>
  <c r="X83" i="83"/>
  <c r="Y92" i="83"/>
  <c r="AA148" i="82"/>
  <c r="AB180" i="91"/>
  <c r="Y99" i="81"/>
  <c r="Y9" i="91"/>
  <c r="P150" i="87"/>
  <c r="L112" i="81"/>
  <c r="Z96" i="84"/>
  <c r="AB159" i="82"/>
  <c r="Y45" i="87"/>
  <c r="Q108" i="83"/>
  <c r="Z169" i="82"/>
  <c r="O134" i="81"/>
  <c r="P87" i="87"/>
  <c r="Q156" i="82"/>
  <c r="P165" i="88"/>
  <c r="Q112" i="81"/>
  <c r="P106" i="83"/>
  <c r="AB80" i="87"/>
  <c r="X154" i="84"/>
  <c r="O122" i="81"/>
  <c r="Z76" i="82"/>
  <c r="Z37" i="91"/>
  <c r="O173" i="93"/>
  <c r="O159" i="94"/>
  <c r="AA116" i="81"/>
  <c r="AA110" i="81"/>
  <c r="M27" i="84"/>
  <c r="Z75" i="87"/>
  <c r="X11" i="85"/>
  <c r="Z104" i="81"/>
  <c r="O128" i="84"/>
  <c r="AB107" i="89"/>
  <c r="X142" i="74"/>
  <c r="AB180" i="93"/>
  <c r="Y118" i="89"/>
  <c r="AB61" i="87"/>
  <c r="Q172" i="81"/>
  <c r="Z138" i="94"/>
  <c r="T51" i="83"/>
  <c r="AA126" i="81"/>
  <c r="L182" i="74"/>
  <c r="AB128" i="85"/>
  <c r="O161" i="87"/>
  <c r="P13" i="89"/>
  <c r="AA104" i="88"/>
  <c r="L149" i="89"/>
  <c r="X115" i="88"/>
  <c r="P135" i="93"/>
  <c r="Q53" i="82"/>
  <c r="Y96" i="85"/>
  <c r="X74" i="83"/>
  <c r="Q19" i="92"/>
  <c r="AA74" i="82"/>
  <c r="O152" i="85"/>
  <c r="Q82" i="74"/>
  <c r="P35" i="87"/>
  <c r="AA103" i="82"/>
  <c r="P155" i="88"/>
  <c r="P172" i="84"/>
  <c r="AB167" i="81"/>
  <c r="Z113" i="91"/>
  <c r="P171" i="84"/>
  <c r="N63" i="89"/>
  <c r="AA93" i="88"/>
  <c r="AB17" i="84"/>
  <c r="Z72" i="83"/>
  <c r="O181" i="83"/>
  <c r="AA114" i="89"/>
  <c r="O134" i="82"/>
  <c r="X63" i="84"/>
  <c r="O153" i="83"/>
  <c r="P182" i="85"/>
  <c r="P142" i="89"/>
  <c r="P149" i="85"/>
  <c r="P154" i="82"/>
  <c r="Y64" i="84"/>
  <c r="X138" i="74"/>
  <c r="Z168" i="93"/>
  <c r="AB88" i="88"/>
  <c r="Z140" i="82"/>
  <c r="AA95" i="74"/>
  <c r="Y69" i="84"/>
  <c r="X129" i="89"/>
  <c r="AB102" i="88"/>
  <c r="T174" i="74"/>
  <c r="AA104" i="84"/>
  <c r="Z168" i="82"/>
  <c r="Y148" i="81"/>
  <c r="Y168" i="87"/>
  <c r="Y31" i="81"/>
  <c r="Q100" i="88"/>
  <c r="L120" i="82"/>
  <c r="M31" i="83"/>
  <c r="T78" i="93"/>
  <c r="P13" i="83"/>
  <c r="X57" i="87"/>
  <c r="X104" i="74"/>
  <c r="AA99" i="74"/>
  <c r="Y9" i="74"/>
  <c r="X127" i="85"/>
  <c r="O145" i="87"/>
  <c r="AA117" i="81"/>
  <c r="L109" i="92"/>
  <c r="Y67" i="82"/>
  <c r="Y153" i="74"/>
  <c r="L121" i="91"/>
  <c r="AA90" i="83"/>
  <c r="AB95" i="84"/>
  <c r="O156" i="84"/>
  <c r="Y137" i="74"/>
  <c r="Y169" i="88"/>
  <c r="P174" i="74"/>
  <c r="X80" i="83"/>
  <c r="Z175" i="85"/>
  <c r="Z128" i="91"/>
  <c r="L133" i="84"/>
  <c r="Z105" i="88"/>
  <c r="Q175" i="83"/>
  <c r="AB29" i="82"/>
  <c r="T138" i="94"/>
  <c r="X94" i="82"/>
  <c r="Z162" i="74"/>
  <c r="T99" i="92"/>
  <c r="Y142" i="87"/>
  <c r="T69" i="93"/>
  <c r="Z160" i="82"/>
  <c r="N171" i="74"/>
  <c r="AA170" i="84"/>
  <c r="Z151" i="74"/>
  <c r="Q152" i="88"/>
  <c r="T27" i="93"/>
  <c r="N108" i="83"/>
  <c r="Q112" i="87"/>
  <c r="P151" i="82"/>
  <c r="O82" i="82"/>
  <c r="Y74" i="82"/>
  <c r="L77" i="92"/>
  <c r="O105" i="85"/>
  <c r="Z102" i="85"/>
  <c r="L130" i="83"/>
  <c r="Q47" i="84"/>
  <c r="Q108" i="88"/>
  <c r="P144" i="89"/>
  <c r="Q94" i="83"/>
  <c r="O29" i="84"/>
  <c r="AA86" i="82"/>
  <c r="AA142" i="83"/>
  <c r="Y134" i="94"/>
  <c r="X53" i="82"/>
  <c r="O41" i="87"/>
  <c r="AB11" i="84"/>
  <c r="N156" i="74"/>
  <c r="Q139" i="81"/>
  <c r="Z126" i="89"/>
  <c r="P59" i="87"/>
  <c r="O149" i="91"/>
  <c r="Q98" i="87"/>
  <c r="O123" i="74"/>
  <c r="AA170" i="92"/>
  <c r="Z67" i="87"/>
  <c r="AB72" i="85"/>
  <c r="Y113" i="92"/>
  <c r="Q61" i="89"/>
  <c r="L131" i="91"/>
  <c r="O98" i="92"/>
  <c r="X41" i="81"/>
  <c r="AA63" i="93"/>
  <c r="L71" i="88"/>
  <c r="X39" i="82"/>
  <c r="L144" i="89"/>
  <c r="X90" i="74"/>
  <c r="AB71" i="89"/>
  <c r="AA180" i="84"/>
  <c r="AB57" i="91"/>
  <c r="O125" i="85"/>
  <c r="Z31" i="87"/>
  <c r="X61" i="82"/>
  <c r="Q9" i="85"/>
  <c r="N132" i="89"/>
  <c r="AA104" i="83"/>
  <c r="Y144" i="85"/>
  <c r="L180" i="88"/>
  <c r="O11" i="82"/>
  <c r="Y158" i="82"/>
  <c r="N108" i="87"/>
  <c r="AB141" i="81"/>
  <c r="T171" i="81"/>
  <c r="T129" i="85"/>
  <c r="M31" i="93"/>
  <c r="Z144" i="74"/>
  <c r="N156" i="87"/>
  <c r="P165" i="83"/>
  <c r="Q148" i="85"/>
  <c r="Q11" i="94"/>
  <c r="AA88" i="83"/>
  <c r="X43" i="81"/>
  <c r="O39" i="83"/>
  <c r="AA64" i="81"/>
  <c r="M49" i="91"/>
  <c r="AA169" i="88"/>
  <c r="O31" i="83"/>
  <c r="Y97" i="83"/>
  <c r="Q73" i="85"/>
  <c r="Z119" i="85"/>
  <c r="N144" i="81"/>
  <c r="AB176" i="82"/>
  <c r="Z72" i="74"/>
  <c r="P155" i="82"/>
  <c r="AA144" i="82"/>
  <c r="P106" i="74"/>
  <c r="AA69" i="83"/>
  <c r="AB159" i="85"/>
  <c r="L119" i="84"/>
  <c r="P160" i="93"/>
  <c r="X35" i="92"/>
  <c r="N90" i="88"/>
  <c r="L146" i="87"/>
  <c r="N147" i="81"/>
  <c r="L67" i="94"/>
  <c r="AB101" i="84"/>
  <c r="Z43" i="88"/>
  <c r="L76" i="81"/>
  <c r="N120" i="91"/>
  <c r="AB93" i="83"/>
  <c r="O90" i="82"/>
  <c r="P151" i="84"/>
  <c r="T75" i="92"/>
  <c r="Q65" i="94"/>
  <c r="Q61" i="81"/>
  <c r="Z69" i="83"/>
  <c r="P51" i="81"/>
  <c r="X109" i="91"/>
  <c r="T57" i="83"/>
  <c r="P66" i="83"/>
  <c r="O57" i="85"/>
  <c r="Z129" i="83"/>
  <c r="Q31" i="84"/>
  <c r="L133" i="87"/>
  <c r="P146" i="94"/>
  <c r="X147" i="91"/>
  <c r="Z78" i="88"/>
  <c r="AB161" i="91"/>
  <c r="AB97" i="84"/>
  <c r="L140" i="82"/>
  <c r="Y116" i="84"/>
  <c r="Q181" i="84"/>
  <c r="AB116" i="81"/>
  <c r="Q155" i="92"/>
  <c r="T84" i="82"/>
  <c r="P122" i="74"/>
  <c r="AB89" i="81"/>
  <c r="O175" i="82"/>
  <c r="L74" i="93"/>
  <c r="AB134" i="94"/>
  <c r="X101" i="88"/>
  <c r="Z95" i="82"/>
  <c r="Q88" i="74"/>
  <c r="AA98" i="83"/>
  <c r="P97" i="74"/>
  <c r="X111" i="88"/>
  <c r="O104" i="83"/>
  <c r="X9" i="82"/>
  <c r="M17" i="81"/>
  <c r="O168" i="85"/>
  <c r="AA174" i="91"/>
  <c r="M37" i="91"/>
  <c r="Z83" i="92"/>
  <c r="Z108" i="83"/>
  <c r="AB172" i="87"/>
  <c r="Z77" i="92"/>
  <c r="Z135" i="91"/>
  <c r="O171" i="92"/>
  <c r="M55" i="82"/>
  <c r="X121" i="89"/>
  <c r="AB116" i="94"/>
  <c r="O150" i="81"/>
  <c r="Y67" i="94"/>
  <c r="P152" i="94"/>
  <c r="P43" i="88"/>
  <c r="Y166" i="74"/>
  <c r="AB33" i="82"/>
  <c r="AA153" i="81"/>
  <c r="P113" i="74"/>
  <c r="Y176" i="74"/>
  <c r="O100" i="84"/>
  <c r="L151" i="94"/>
  <c r="P25" i="85"/>
  <c r="Y43" i="91"/>
  <c r="T96" i="83"/>
  <c r="AA9" i="87"/>
  <c r="Y83" i="94"/>
  <c r="L147" i="74"/>
  <c r="P127" i="81"/>
  <c r="P116" i="84"/>
  <c r="T87" i="92"/>
  <c r="T120" i="89"/>
  <c r="O152" i="81"/>
  <c r="L149" i="84"/>
  <c r="Y141" i="88"/>
  <c r="X115" i="85"/>
  <c r="Z109" i="83"/>
  <c r="Y118" i="87"/>
  <c r="Z112" i="89"/>
  <c r="Y71" i="93"/>
  <c r="O163" i="87"/>
  <c r="N72" i="82"/>
  <c r="L68" i="81"/>
  <c r="P181" i="82"/>
  <c r="P136" i="74"/>
  <c r="L80" i="84"/>
  <c r="AB31" i="85"/>
  <c r="T96" i="82"/>
  <c r="Q131" i="84"/>
  <c r="Z47" i="88"/>
  <c r="M23" i="94"/>
  <c r="AB68" i="84"/>
  <c r="Y93" i="81"/>
  <c r="X158" i="91"/>
  <c r="Q145" i="82"/>
  <c r="L166" i="92"/>
  <c r="T144" i="94"/>
  <c r="O113" i="81"/>
  <c r="Z145" i="87"/>
  <c r="O107" i="83"/>
  <c r="Q55" i="91"/>
  <c r="O114" i="82"/>
  <c r="O108" i="83"/>
  <c r="P78" i="82"/>
  <c r="L101" i="74"/>
  <c r="O78" i="88"/>
  <c r="Y180" i="94"/>
  <c r="L159" i="74"/>
  <c r="P127" i="87"/>
  <c r="O25" i="83"/>
  <c r="O55" i="93"/>
  <c r="X99" i="89"/>
  <c r="Y63" i="89"/>
  <c r="X125" i="88"/>
  <c r="AB100" i="87"/>
  <c r="L171" i="89"/>
  <c r="O100" i="88"/>
  <c r="AA13" i="89"/>
  <c r="X87" i="87"/>
  <c r="M27" i="91"/>
  <c r="X77" i="87"/>
  <c r="Z69" i="92"/>
  <c r="Q90" i="83"/>
  <c r="P140" i="82"/>
  <c r="O99" i="85"/>
  <c r="L66" i="74"/>
  <c r="AB63" i="85"/>
  <c r="P98" i="83"/>
  <c r="L152" i="94"/>
  <c r="X84" i="87"/>
  <c r="L98" i="93"/>
  <c r="Z33" i="84"/>
  <c r="O73" i="93"/>
  <c r="Z81" i="84"/>
  <c r="O108" i="82"/>
  <c r="N111" i="81"/>
  <c r="N96" i="85"/>
  <c r="O123" i="94"/>
  <c r="Z69" i="74"/>
  <c r="L82" i="82"/>
  <c r="P77" i="85"/>
  <c r="AA61" i="91"/>
  <c r="Z168" i="74"/>
  <c r="L156" i="94"/>
  <c r="Q85" i="89"/>
  <c r="P79" i="88"/>
  <c r="N102" i="74"/>
  <c r="L179" i="74"/>
  <c r="P55" i="82"/>
  <c r="O61" i="85"/>
  <c r="X92" i="84"/>
  <c r="P81" i="87"/>
  <c r="P150" i="84"/>
  <c r="Y104" i="85"/>
  <c r="Z170" i="84"/>
  <c r="X87" i="84"/>
  <c r="T120" i="84"/>
  <c r="N66" i="82"/>
  <c r="AB94" i="88"/>
  <c r="O166" i="83"/>
  <c r="Q45" i="83"/>
  <c r="T153" i="91"/>
  <c r="X43" i="92"/>
  <c r="Z92" i="91"/>
  <c r="AA74" i="83"/>
  <c r="O94" i="89"/>
  <c r="AA159" i="82"/>
  <c r="Q146" i="83"/>
  <c r="L146" i="81"/>
  <c r="Y64" i="81"/>
  <c r="Q118" i="82"/>
  <c r="AA86" i="83"/>
  <c r="Z130" i="93"/>
  <c r="AA166" i="91"/>
  <c r="L159" i="88"/>
  <c r="X140" i="87"/>
  <c r="AA98" i="87"/>
  <c r="Q150" i="84"/>
  <c r="Q153" i="92"/>
  <c r="X150" i="84"/>
  <c r="AB139" i="89"/>
  <c r="L154" i="83"/>
  <c r="Q169" i="94"/>
  <c r="P37" i="84"/>
  <c r="Y75" i="74"/>
  <c r="Q72" i="74"/>
  <c r="P172" i="74"/>
  <c r="L70" i="88"/>
  <c r="AB23" i="92"/>
  <c r="Q162" i="83"/>
  <c r="AA131" i="94"/>
  <c r="Y155" i="81"/>
  <c r="L157" i="83"/>
  <c r="P86" i="84"/>
  <c r="Z121" i="89"/>
  <c r="L161" i="94"/>
  <c r="Y127" i="83"/>
  <c r="O108" i="89"/>
  <c r="O57" i="88"/>
  <c r="O69" i="93"/>
  <c r="T15" i="87"/>
  <c r="AA72" i="92"/>
  <c r="AB161" i="84"/>
  <c r="L80" i="91"/>
  <c r="AA66" i="91"/>
  <c r="Q146" i="74"/>
  <c r="AA130" i="92"/>
  <c r="O158" i="81"/>
  <c r="T15" i="85"/>
  <c r="L89" i="74"/>
  <c r="AB90" i="84"/>
  <c r="Y129" i="87"/>
  <c r="Y27" i="87"/>
  <c r="AA157" i="74"/>
  <c r="AA61" i="88"/>
  <c r="O182" i="88"/>
  <c r="T132" i="74"/>
  <c r="Q113" i="89"/>
  <c r="P175" i="92"/>
  <c r="O39" i="81"/>
  <c r="Q91" i="74"/>
  <c r="L68" i="88"/>
  <c r="Q45" i="93"/>
  <c r="P86" i="91"/>
  <c r="Y171" i="82"/>
  <c r="P78" i="81"/>
  <c r="AB166" i="87"/>
  <c r="Q183" i="94"/>
  <c r="N162" i="84"/>
  <c r="Z125" i="85"/>
  <c r="Q92" i="81"/>
  <c r="P124" i="83"/>
  <c r="P53" i="89"/>
  <c r="AA90" i="81"/>
  <c r="X95" i="93"/>
  <c r="Q51" i="89"/>
  <c r="AB108" i="82"/>
  <c r="Q169" i="85"/>
  <c r="Z157" i="91"/>
  <c r="AA139" i="89"/>
  <c r="T129" i="88"/>
  <c r="AA109" i="94"/>
  <c r="AA89" i="88"/>
  <c r="L169" i="74"/>
  <c r="AA104" i="85"/>
  <c r="X66" i="74"/>
  <c r="Z115" i="93"/>
  <c r="Q74" i="91"/>
  <c r="Q143" i="87"/>
  <c r="Y141" i="83"/>
  <c r="Z35" i="87"/>
  <c r="X156" i="91"/>
  <c r="O160" i="89"/>
  <c r="Y59" i="92"/>
  <c r="Y137" i="91"/>
  <c r="N39" i="83"/>
  <c r="AB118" i="89"/>
  <c r="AB73" i="92"/>
  <c r="Y129" i="74"/>
  <c r="O117" i="94"/>
  <c r="L82" i="89"/>
  <c r="T177" i="87"/>
  <c r="X11" i="81"/>
  <c r="T87" i="89"/>
  <c r="P41" i="92"/>
  <c r="P179" i="88"/>
  <c r="Y105" i="82"/>
  <c r="Q154" i="91"/>
  <c r="O154" i="83"/>
  <c r="Y80" i="89"/>
  <c r="O123" i="92"/>
  <c r="N99" i="83"/>
  <c r="Y113" i="84"/>
  <c r="T162" i="94"/>
  <c r="L176" i="91"/>
  <c r="Y102" i="74"/>
  <c r="P152" i="84"/>
  <c r="AA100" i="89"/>
  <c r="AA80" i="85"/>
  <c r="P95" i="82"/>
  <c r="Y136" i="89"/>
  <c r="L141" i="74"/>
  <c r="X136" i="85"/>
  <c r="Z139" i="93"/>
  <c r="X89" i="83"/>
  <c r="O97" i="93"/>
  <c r="P123" i="82"/>
  <c r="AA13" i="82"/>
  <c r="Z119" i="83"/>
  <c r="Q63" i="87"/>
  <c r="L78" i="89"/>
  <c r="X61" i="87"/>
  <c r="Q13" i="81"/>
  <c r="Y61" i="84"/>
  <c r="Y125" i="82"/>
  <c r="Z172" i="84"/>
  <c r="X166" i="81"/>
  <c r="L161" i="89"/>
  <c r="N132" i="94"/>
  <c r="O43" i="91"/>
  <c r="P108" i="87"/>
  <c r="Z27" i="88"/>
  <c r="L102" i="85"/>
  <c r="Z123" i="88"/>
  <c r="Q138" i="88"/>
  <c r="X53" i="84"/>
  <c r="T66" i="94"/>
  <c r="P98" i="84"/>
  <c r="Y169" i="89"/>
  <c r="Z66" i="74"/>
  <c r="P127" i="83"/>
  <c r="O141" i="91"/>
  <c r="O11" i="81"/>
  <c r="L103" i="88"/>
  <c r="T171" i="82"/>
  <c r="Y59" i="74"/>
  <c r="L124" i="74"/>
  <c r="X94" i="84"/>
  <c r="Y150" i="87"/>
  <c r="O85" i="74"/>
  <c r="AA88" i="82"/>
  <c r="AB150" i="93"/>
  <c r="P125" i="74"/>
  <c r="Z166" i="81"/>
  <c r="Z85" i="88"/>
  <c r="AB90" i="94"/>
  <c r="Y71" i="85"/>
  <c r="AA86" i="85"/>
  <c r="O116" i="88"/>
  <c r="L87" i="88"/>
  <c r="N108" i="88"/>
  <c r="P120" i="91"/>
  <c r="AB121" i="91"/>
  <c r="N138" i="87"/>
  <c r="O85" i="82"/>
  <c r="O185" i="92"/>
  <c r="P109" i="91"/>
  <c r="O53" i="93"/>
  <c r="L113" i="83"/>
  <c r="AA126" i="83"/>
  <c r="AA91" i="74"/>
  <c r="AA74" i="84"/>
  <c r="N174" i="84"/>
  <c r="Z167" i="93"/>
  <c r="L169" i="88"/>
  <c r="N129" i="74"/>
  <c r="Y97" i="88"/>
  <c r="Z80" i="88"/>
  <c r="P82" i="84"/>
  <c r="L155" i="87"/>
  <c r="AA75" i="82"/>
  <c r="L131" i="74"/>
  <c r="Y119" i="88"/>
  <c r="M39" i="88"/>
  <c r="X79" i="92"/>
  <c r="X130" i="93"/>
  <c r="L115" i="83"/>
  <c r="AA169" i="89"/>
  <c r="N144" i="83"/>
  <c r="Z35" i="83"/>
  <c r="O148" i="94"/>
  <c r="AA19" i="84"/>
  <c r="Z68" i="94"/>
  <c r="N33" i="88"/>
  <c r="P120" i="81"/>
  <c r="AA47" i="87"/>
  <c r="AA51" i="88"/>
  <c r="AA170" i="94"/>
  <c r="P78" i="87"/>
  <c r="P127" i="92"/>
  <c r="AA120" i="74"/>
  <c r="X176" i="81"/>
  <c r="O158" i="91"/>
  <c r="Z141" i="89"/>
  <c r="L164" i="74"/>
  <c r="O130" i="93"/>
  <c r="X95" i="92"/>
  <c r="AA77" i="89"/>
  <c r="P99" i="89"/>
  <c r="Q122" i="74"/>
  <c r="AB112" i="81"/>
  <c r="X162" i="74"/>
  <c r="O73" i="85"/>
  <c r="Y115" i="74"/>
  <c r="AA70" i="84"/>
  <c r="O88" i="81"/>
  <c r="Q158" i="89"/>
  <c r="N117" i="84"/>
  <c r="X98" i="85"/>
  <c r="M15" i="91"/>
  <c r="O146" i="89"/>
  <c r="Z39" i="84"/>
  <c r="Z129" i="88"/>
  <c r="P117" i="81"/>
  <c r="N135" i="92"/>
  <c r="X35" i="83"/>
  <c r="Y122" i="89"/>
  <c r="Q163" i="81"/>
  <c r="Y15" i="74"/>
  <c r="O167" i="87"/>
  <c r="P92" i="91"/>
  <c r="P17" i="82"/>
  <c r="P150" i="88"/>
  <c r="Z61" i="82"/>
  <c r="O63" i="88"/>
  <c r="O107" i="81"/>
  <c r="N9" i="85"/>
  <c r="Z124" i="82"/>
  <c r="Y159" i="81"/>
  <c r="L181" i="81"/>
  <c r="Z176" i="84"/>
  <c r="AB108" i="94"/>
  <c r="O133" i="89"/>
  <c r="O170" i="84"/>
  <c r="Z94" i="88"/>
  <c r="AB27" i="89"/>
  <c r="Z138" i="88"/>
  <c r="Y98" i="74"/>
  <c r="M11" i="94"/>
  <c r="AB29" i="84"/>
  <c r="Z125" i="81"/>
  <c r="Q114" i="83"/>
  <c r="X125" i="84"/>
  <c r="N126" i="88"/>
  <c r="P41" i="85"/>
  <c r="Q76" i="93"/>
  <c r="T108" i="85"/>
  <c r="O13" i="93"/>
  <c r="X105" i="83"/>
  <c r="P104" i="81"/>
  <c r="P172" i="85"/>
  <c r="P162" i="81"/>
  <c r="X90" i="84"/>
  <c r="Q179" i="84"/>
  <c r="Y108" i="83"/>
  <c r="L133" i="85"/>
  <c r="T96" i="94"/>
  <c r="AA174" i="84"/>
  <c r="X175" i="89"/>
  <c r="Y111" i="89"/>
  <c r="T147" i="88"/>
  <c r="T27" i="87"/>
  <c r="AA142" i="82"/>
  <c r="Q165" i="85"/>
  <c r="AB33" i="85"/>
  <c r="Q135" i="85"/>
  <c r="O102" i="84"/>
  <c r="N27" i="93"/>
  <c r="L119" i="91"/>
  <c r="P53" i="82"/>
  <c r="AB117" i="87"/>
  <c r="Z142" i="85"/>
  <c r="X134" i="89"/>
  <c r="L156" i="91"/>
  <c r="AB154" i="82"/>
  <c r="Z111" i="85"/>
  <c r="N147" i="82"/>
  <c r="AA125" i="85"/>
  <c r="Q120" i="91"/>
  <c r="Q128" i="81"/>
  <c r="X129" i="85"/>
  <c r="Z41" i="81"/>
  <c r="AA102" i="83"/>
  <c r="T132" i="82"/>
  <c r="M9" i="88"/>
  <c r="Y79" i="74"/>
  <c r="Q156" i="85"/>
  <c r="AB47" i="87"/>
  <c r="O89" i="74"/>
  <c r="Z29" i="85"/>
  <c r="Z93" i="81"/>
  <c r="P119" i="88"/>
  <c r="AB154" i="81"/>
  <c r="AA113" i="85"/>
  <c r="Z149" i="84"/>
  <c r="Y45" i="89"/>
  <c r="X92" i="81"/>
  <c r="M9" i="87"/>
  <c r="L104" i="94"/>
  <c r="L105" i="87"/>
  <c r="Z87" i="74"/>
  <c r="AA97" i="88"/>
  <c r="P173" i="84"/>
  <c r="Y17" i="82"/>
  <c r="X103" i="82"/>
  <c r="L172" i="91"/>
  <c r="Y71" i="74"/>
  <c r="Y61" i="91"/>
  <c r="AA11" i="89"/>
  <c r="L170" i="87"/>
  <c r="N39" i="74"/>
  <c r="Y108" i="74"/>
  <c r="Q80" i="85"/>
  <c r="AB81" i="87"/>
  <c r="L133" i="81"/>
  <c r="Z96" i="82"/>
  <c r="L82" i="87"/>
  <c r="Y80" i="74"/>
  <c r="P75" i="84"/>
  <c r="Q154" i="74"/>
  <c r="M43" i="81"/>
  <c r="AA167" i="91"/>
  <c r="X154" i="83"/>
  <c r="L94" i="89"/>
  <c r="X173" i="84"/>
  <c r="L77" i="84"/>
  <c r="AB128" i="93"/>
  <c r="Z31" i="89"/>
  <c r="Q108" i="87"/>
  <c r="AB109" i="82"/>
  <c r="Q63" i="82"/>
  <c r="AB103" i="82"/>
  <c r="N168" i="85"/>
  <c r="Y169" i="83"/>
  <c r="P66" i="93"/>
  <c r="Z116" i="89"/>
  <c r="AB102" i="85"/>
  <c r="O82" i="74"/>
  <c r="P128" i="81"/>
  <c r="Y94" i="91"/>
  <c r="O74" i="81"/>
  <c r="P74" i="89"/>
  <c r="Q25" i="85"/>
  <c r="X119" i="81"/>
  <c r="L112" i="87"/>
  <c r="Z114" i="74"/>
  <c r="Y175" i="81"/>
  <c r="Z81" i="81"/>
  <c r="Q175" i="85"/>
  <c r="AA98" i="74"/>
  <c r="AB95" i="87"/>
  <c r="O109" i="85"/>
  <c r="Q57" i="81"/>
  <c r="T123" i="85"/>
  <c r="P119" i="85"/>
  <c r="L131" i="81"/>
  <c r="X112" i="74"/>
  <c r="AB151" i="83"/>
  <c r="AA93" i="87"/>
  <c r="AB172" i="85"/>
  <c r="N105" i="91"/>
  <c r="O57" i="82"/>
  <c r="O89" i="84"/>
  <c r="Q146" i="87"/>
  <c r="Z39" i="82"/>
  <c r="T153" i="88"/>
  <c r="P138" i="84"/>
  <c r="P166" i="91"/>
  <c r="O125" i="91"/>
  <c r="N141" i="82"/>
  <c r="AB115" i="83"/>
  <c r="Z170" i="93"/>
  <c r="Y128" i="83"/>
  <c r="P164" i="82"/>
  <c r="X70" i="83"/>
  <c r="Y31" i="87"/>
  <c r="Q180" i="89"/>
  <c r="L91" i="74"/>
  <c r="Z35" i="92"/>
  <c r="Z121" i="81"/>
  <c r="Q59" i="74"/>
  <c r="O151" i="93"/>
  <c r="AB120" i="88"/>
  <c r="AA78" i="83"/>
  <c r="L124" i="92"/>
  <c r="Y74" i="85"/>
  <c r="X97" i="85"/>
  <c r="AB101" i="88"/>
  <c r="P158" i="87"/>
  <c r="P93" i="91"/>
  <c r="X83" i="91"/>
  <c r="X146" i="93"/>
  <c r="X122" i="81"/>
  <c r="O63" i="92"/>
  <c r="Z101" i="82"/>
  <c r="AA57" i="74"/>
  <c r="O160" i="85"/>
  <c r="O121" i="87"/>
  <c r="AB143" i="92"/>
  <c r="AA102" i="87"/>
  <c r="Y121" i="92"/>
  <c r="Y67" i="89"/>
  <c r="Y21" i="82"/>
  <c r="X148" i="74"/>
  <c r="AB121" i="89"/>
  <c r="O19" i="84"/>
  <c r="X110" i="87"/>
  <c r="AB74" i="82"/>
  <c r="AB158" i="81"/>
  <c r="AB123" i="84"/>
  <c r="O179" i="84"/>
  <c r="Z37" i="92"/>
  <c r="Q117" i="87"/>
  <c r="AB150" i="81"/>
  <c r="L143" i="83"/>
  <c r="T111" i="85"/>
  <c r="Z103" i="89"/>
  <c r="Y77" i="88"/>
  <c r="O23" i="84"/>
  <c r="Q163" i="82"/>
  <c r="AA129" i="83"/>
  <c r="X161" i="81"/>
  <c r="P107" i="81"/>
  <c r="AA37" i="94"/>
  <c r="Y113" i="83"/>
  <c r="Y57" i="93"/>
  <c r="T168" i="87"/>
  <c r="T147" i="84"/>
  <c r="AB173" i="83"/>
  <c r="Q29" i="83"/>
  <c r="X86" i="74"/>
  <c r="AB59" i="91"/>
  <c r="O153" i="84"/>
  <c r="N183" i="87"/>
  <c r="P114" i="88"/>
  <c r="O37" i="85"/>
  <c r="Q154" i="88"/>
  <c r="Y173" i="91"/>
  <c r="P31" i="93"/>
  <c r="X45" i="81"/>
  <c r="L92" i="82"/>
  <c r="O162" i="89"/>
  <c r="X107" i="87"/>
  <c r="AB120" i="82"/>
  <c r="P35" i="92"/>
  <c r="Y140" i="74"/>
  <c r="P156" i="82"/>
  <c r="X176" i="74"/>
  <c r="AA144" i="81"/>
  <c r="Q69" i="87"/>
  <c r="O162" i="91"/>
  <c r="X155" i="85"/>
  <c r="Z118" i="82"/>
  <c r="L157" i="82"/>
  <c r="Y143" i="88"/>
  <c r="AB17" i="89"/>
  <c r="AA175" i="83"/>
  <c r="N102" i="81"/>
  <c r="O161" i="85"/>
  <c r="AB135" i="87"/>
  <c r="AA91" i="85"/>
  <c r="P29" i="85"/>
  <c r="AA119" i="81"/>
  <c r="AA55" i="85"/>
  <c r="L181" i="89"/>
  <c r="AB76" i="93"/>
  <c r="L101" i="82"/>
  <c r="L181" i="82"/>
  <c r="Q90" i="84"/>
  <c r="X127" i="84"/>
  <c r="AB106" i="93"/>
  <c r="Q145" i="74"/>
  <c r="AB163" i="89"/>
  <c r="L119" i="87"/>
  <c r="L113" i="85"/>
  <c r="Q129" i="74"/>
  <c r="O113" i="85"/>
  <c r="AB147" i="85"/>
  <c r="M37" i="74"/>
  <c r="T102" i="85"/>
  <c r="Z166" i="83"/>
  <c r="AB85" i="94"/>
  <c r="Y120" i="81"/>
  <c r="Q175" i="89"/>
  <c r="Q88" i="94"/>
  <c r="N162" i="89"/>
  <c r="M13" i="82"/>
  <c r="Z61" i="91"/>
  <c r="AA145" i="74"/>
  <c r="AA31" i="83"/>
  <c r="Q140" i="82"/>
  <c r="M49" i="87"/>
  <c r="Z89" i="85"/>
  <c r="L161" i="74"/>
  <c r="N138" i="84"/>
  <c r="X173" i="81"/>
  <c r="O154" i="74"/>
  <c r="Z84" i="89"/>
  <c r="Z176" i="81"/>
  <c r="Y87" i="82"/>
  <c r="AA45" i="84"/>
  <c r="O51" i="85"/>
  <c r="X80" i="74"/>
  <c r="O161" i="84"/>
  <c r="L166" i="83"/>
  <c r="Q109" i="82"/>
  <c r="Q81" i="82"/>
  <c r="L72" i="74"/>
  <c r="O174" i="91"/>
  <c r="T93" i="85"/>
  <c r="AA155" i="82"/>
  <c r="O98" i="82"/>
  <c r="Y87" i="81"/>
  <c r="L173" i="91"/>
  <c r="Q107" i="91"/>
  <c r="X175" i="74"/>
  <c r="P68" i="87"/>
  <c r="X123" i="83"/>
  <c r="X93" i="83"/>
  <c r="O123" i="88"/>
  <c r="O84" i="82"/>
  <c r="O149" i="94"/>
  <c r="AA112" i="94"/>
  <c r="AA49" i="74"/>
  <c r="P173" i="85"/>
  <c r="L178" i="93"/>
  <c r="AA49" i="87"/>
  <c r="X133" i="92"/>
  <c r="L84" i="85"/>
  <c r="AA136" i="81"/>
  <c r="X160" i="81"/>
  <c r="O68" i="84"/>
  <c r="Z140" i="81"/>
  <c r="Q164" i="85"/>
  <c r="P102" i="92"/>
  <c r="AA165" i="84"/>
  <c r="AB19" i="82"/>
  <c r="X166" i="83"/>
  <c r="Q83" i="83"/>
  <c r="O70" i="89"/>
  <c r="Z57" i="87"/>
  <c r="Z177" i="94"/>
  <c r="T78" i="92"/>
  <c r="AB142" i="83"/>
  <c r="Z107" i="89"/>
  <c r="Y75" i="83"/>
  <c r="Q109" i="89"/>
  <c r="AA173" i="91"/>
  <c r="Z153" i="74"/>
  <c r="AB144" i="83"/>
  <c r="O117" i="83"/>
  <c r="L146" i="74"/>
  <c r="Y47" i="82"/>
  <c r="O66" i="84"/>
  <c r="Z130" i="85"/>
  <c r="P171" i="94"/>
  <c r="N156" i="84"/>
  <c r="O161" i="74"/>
  <c r="AB33" i="84"/>
  <c r="L128" i="94"/>
  <c r="L64" i="87"/>
  <c r="O15" i="85"/>
  <c r="N93" i="93"/>
  <c r="P61" i="81"/>
  <c r="P173" i="94"/>
  <c r="Y95" i="89"/>
  <c r="P73" i="74"/>
  <c r="X149" i="91"/>
  <c r="Y76" i="83"/>
  <c r="Z119" i="94"/>
  <c r="Z67" i="82"/>
  <c r="AB91" i="89"/>
  <c r="Z154" i="91"/>
  <c r="Q160" i="93"/>
  <c r="O129" i="83"/>
  <c r="Q13" i="85"/>
  <c r="X88" i="84"/>
  <c r="O51" i="82"/>
  <c r="O172" i="83"/>
  <c r="AB95" i="89"/>
  <c r="P132" i="91"/>
  <c r="AA130" i="84"/>
  <c r="Y170" i="88"/>
  <c r="P92" i="93"/>
  <c r="X91" i="91"/>
  <c r="AB155" i="82"/>
  <c r="AB170" i="82"/>
  <c r="AA78" i="84"/>
  <c r="T102" i="84"/>
  <c r="P67" i="81"/>
  <c r="Z127" i="84"/>
  <c r="Q126" i="81"/>
  <c r="Y104" i="81"/>
  <c r="M25" i="89"/>
  <c r="Y51" i="88"/>
  <c r="AA85" i="94"/>
  <c r="Q81" i="83"/>
  <c r="AB77" i="89"/>
  <c r="AA75" i="74"/>
  <c r="Y79" i="85"/>
  <c r="AA122" i="85"/>
  <c r="Z105" i="81"/>
  <c r="X80" i="81"/>
  <c r="AB100" i="82"/>
  <c r="Q159" i="74"/>
  <c r="AA63" i="81"/>
  <c r="Q150" i="93"/>
  <c r="AB155" i="81"/>
  <c r="Q103" i="89"/>
  <c r="P138" i="88"/>
  <c r="X84" i="85"/>
  <c r="Z19" i="81"/>
  <c r="AA64" i="88"/>
  <c r="AA74" i="81"/>
  <c r="N33" i="94"/>
  <c r="L110" i="74"/>
  <c r="AA117" i="87"/>
  <c r="Z45" i="88"/>
  <c r="Y94" i="85"/>
  <c r="N144" i="85"/>
  <c r="N57" i="74"/>
  <c r="T123" i="84"/>
  <c r="P176" i="88"/>
  <c r="X151" i="81"/>
  <c r="M55" i="85"/>
  <c r="X72" i="88"/>
  <c r="L156" i="88"/>
  <c r="Y78" i="89"/>
  <c r="Y15" i="87"/>
  <c r="L145" i="91"/>
  <c r="L99" i="85"/>
  <c r="X49" i="92"/>
  <c r="P113" i="87"/>
  <c r="Q39" i="82"/>
  <c r="Z145" i="89"/>
  <c r="X35" i="91"/>
  <c r="Y102" i="89"/>
  <c r="Y153" i="81"/>
  <c r="Q146" i="84"/>
  <c r="AA169" i="81"/>
  <c r="AA95" i="87"/>
  <c r="T177" i="88"/>
  <c r="L89" i="81"/>
  <c r="O135" i="93"/>
  <c r="Z80" i="94"/>
  <c r="Y124" i="81"/>
  <c r="L70" i="81"/>
  <c r="Z180" i="84"/>
  <c r="Y80" i="94"/>
  <c r="L165" i="93"/>
  <c r="Q69" i="88"/>
  <c r="Z176" i="83"/>
  <c r="Q76" i="81"/>
  <c r="Q59" i="83"/>
  <c r="Y73" i="84"/>
  <c r="O165" i="85"/>
  <c r="O25" i="84"/>
  <c r="AB131" i="87"/>
  <c r="P37" i="89"/>
  <c r="T78" i="91"/>
  <c r="P158" i="84"/>
  <c r="O13" i="91"/>
  <c r="T111" i="92"/>
  <c r="Y133" i="84"/>
  <c r="Z94" i="74"/>
  <c r="AA15" i="81"/>
  <c r="Q37" i="74"/>
  <c r="Y98" i="85"/>
  <c r="AA86" i="81"/>
  <c r="M9" i="81"/>
  <c r="Z117" i="74"/>
  <c r="Y140" i="91"/>
  <c r="Q132" i="81"/>
  <c r="O152" i="82"/>
  <c r="M53" i="91"/>
  <c r="Z75" i="88"/>
  <c r="M43" i="82"/>
  <c r="M15" i="82"/>
  <c r="L112" i="74"/>
  <c r="P171" i="89"/>
  <c r="X88" i="74"/>
  <c r="X77" i="81"/>
  <c r="AB71" i="82"/>
  <c r="AB141" i="91"/>
  <c r="P80" i="94"/>
  <c r="AB139" i="84"/>
  <c r="AB27" i="88"/>
  <c r="X102" i="87"/>
  <c r="O142" i="94"/>
  <c r="AA173" i="83"/>
  <c r="Y109" i="89"/>
  <c r="O81" i="89"/>
  <c r="O64" i="84"/>
  <c r="AB131" i="85"/>
  <c r="Y180" i="85"/>
  <c r="AB114" i="82"/>
  <c r="AB121" i="92"/>
  <c r="AA31" i="89"/>
  <c r="Z152" i="88"/>
  <c r="AB134" i="92"/>
  <c r="L106" i="81"/>
  <c r="Y67" i="84"/>
  <c r="L67" i="92"/>
  <c r="N72" i="85"/>
  <c r="AA137" i="87"/>
  <c r="AA61" i="81"/>
  <c r="L93" i="74"/>
  <c r="AA124" i="83"/>
  <c r="AB82" i="82"/>
  <c r="O131" i="87"/>
  <c r="Q70" i="91"/>
  <c r="M51" i="84"/>
  <c r="AB124" i="83"/>
  <c r="O170" i="87"/>
  <c r="AB25" i="92"/>
  <c r="O166" i="81"/>
  <c r="AA35" i="91"/>
  <c r="AB92" i="85"/>
  <c r="Q9" i="89"/>
  <c r="L167" i="82"/>
  <c r="L72" i="91"/>
  <c r="P64" i="84"/>
  <c r="Q31" i="85"/>
  <c r="Q176" i="83"/>
  <c r="P71" i="91"/>
  <c r="Z81" i="89"/>
  <c r="X21" i="74"/>
  <c r="L129" i="92"/>
  <c r="O85" i="84"/>
  <c r="Z112" i="84"/>
  <c r="AA168" i="93"/>
  <c r="P89" i="85"/>
  <c r="L179" i="93"/>
  <c r="N126" i="83"/>
  <c r="L107" i="82"/>
  <c r="L127" i="82"/>
  <c r="AB15" i="89"/>
  <c r="Y168" i="85"/>
  <c r="Q33" i="84"/>
  <c r="X100" i="87"/>
  <c r="Q95" i="85"/>
  <c r="O100" i="74"/>
  <c r="AB79" i="87"/>
  <c r="P135" i="74"/>
  <c r="Y173" i="89"/>
  <c r="AA67" i="84"/>
  <c r="O101" i="83"/>
  <c r="T141" i="82"/>
  <c r="AA9" i="85"/>
  <c r="Z76" i="89"/>
  <c r="AB130" i="93"/>
  <c r="AB47" i="82"/>
  <c r="X70" i="81"/>
  <c r="AB103" i="85"/>
  <c r="AB101" i="82"/>
  <c r="Q31" i="81"/>
  <c r="Z120" i="91"/>
  <c r="AA160" i="82"/>
  <c r="X68" i="83"/>
  <c r="X154" i="89"/>
  <c r="Z77" i="87"/>
  <c r="AA19" i="82"/>
  <c r="Q119" i="81"/>
  <c r="AA141" i="85"/>
  <c r="P87" i="94"/>
  <c r="O67" i="74"/>
  <c r="O183" i="92"/>
  <c r="P175" i="82"/>
  <c r="Q19" i="87"/>
  <c r="O116" i="84"/>
  <c r="AB41" i="88"/>
  <c r="Q151" i="82"/>
  <c r="AB55" i="91"/>
  <c r="P165" i="81"/>
  <c r="Q161" i="84"/>
  <c r="T84" i="85"/>
  <c r="O15" i="87"/>
  <c r="Q79" i="82"/>
  <c r="AB64" i="81"/>
  <c r="P15" i="85"/>
  <c r="P157" i="89"/>
  <c r="Q126" i="85"/>
  <c r="AA61" i="89"/>
  <c r="P171" i="87"/>
  <c r="Y64" i="89"/>
  <c r="P64" i="92"/>
  <c r="N9" i="91"/>
  <c r="X154" i="88"/>
  <c r="AA53" i="87"/>
  <c r="Z154" i="81"/>
  <c r="Y66" i="87"/>
  <c r="X53" i="81"/>
  <c r="N15" i="87"/>
  <c r="Y35" i="81"/>
  <c r="AB174" i="93"/>
  <c r="X86" i="85"/>
  <c r="AA128" i="87"/>
  <c r="Y33" i="74"/>
  <c r="L137" i="81"/>
  <c r="P165" i="94"/>
  <c r="P174" i="89"/>
  <c r="T15" i="94"/>
  <c r="AA27" i="85"/>
  <c r="AA94" i="83"/>
  <c r="O66" i="74"/>
  <c r="Z77" i="82"/>
  <c r="Q49" i="84"/>
  <c r="O101" i="87"/>
  <c r="L153" i="84"/>
  <c r="L167" i="74"/>
  <c r="X144" i="74"/>
  <c r="Z148" i="89"/>
  <c r="Q82" i="94"/>
  <c r="P29" i="93"/>
  <c r="AA176" i="85"/>
  <c r="Q140" i="88"/>
  <c r="X170" i="88"/>
  <c r="AA112" i="89"/>
  <c r="AA158" i="74"/>
  <c r="AA71" i="88"/>
  <c r="AA126" i="89"/>
  <c r="X151" i="84"/>
  <c r="Q176" i="74"/>
  <c r="AB142" i="82"/>
  <c r="X171" i="81"/>
  <c r="L126" i="94"/>
  <c r="P101" i="74"/>
  <c r="O13" i="92"/>
  <c r="Z168" i="83"/>
  <c r="Q164" i="89"/>
  <c r="O25" i="87"/>
  <c r="X176" i="88"/>
  <c r="AA117" i="84"/>
  <c r="AB107" i="82"/>
  <c r="Y165" i="84"/>
  <c r="Q61" i="83"/>
  <c r="X170" i="82"/>
  <c r="P27" i="83"/>
  <c r="AA130" i="89"/>
  <c r="P124" i="85"/>
  <c r="O181" i="94"/>
  <c r="O120" i="91"/>
  <c r="AA37" i="82"/>
  <c r="AB156" i="85"/>
  <c r="L83" i="87"/>
  <c r="X114" i="94"/>
  <c r="AA49" i="85"/>
  <c r="AA29" i="82"/>
  <c r="Z113" i="82"/>
  <c r="L87" i="83"/>
  <c r="T63" i="74"/>
  <c r="X9" i="87"/>
  <c r="AB140" i="85"/>
  <c r="P122" i="91"/>
  <c r="P167" i="83"/>
  <c r="N171" i="82"/>
  <c r="P161" i="84"/>
  <c r="P101" i="82"/>
  <c r="O123" i="83"/>
  <c r="X142" i="85"/>
  <c r="X131" i="87"/>
  <c r="T177" i="84"/>
  <c r="Y171" i="84"/>
  <c r="P167" i="74"/>
  <c r="L163" i="88"/>
  <c r="Y91" i="81"/>
  <c r="Q106" i="89"/>
  <c r="L102" i="74"/>
  <c r="N57" i="85"/>
  <c r="P152" i="74"/>
  <c r="L81" i="88"/>
  <c r="P127" i="85"/>
  <c r="AA144" i="84"/>
  <c r="Y83" i="81"/>
  <c r="T9" i="81"/>
  <c r="O98" i="83"/>
  <c r="P158" i="83"/>
  <c r="M45" i="81"/>
  <c r="Z121" i="83"/>
  <c r="AB163" i="83"/>
  <c r="T126" i="93"/>
  <c r="X68" i="74"/>
  <c r="O53" i="91"/>
  <c r="P144" i="81"/>
  <c r="O168" i="93"/>
  <c r="AB79" i="93"/>
  <c r="Q148" i="82"/>
  <c r="P141" i="81"/>
  <c r="T90" i="94"/>
  <c r="O116" i="82"/>
  <c r="AB41" i="82"/>
  <c r="T9" i="91"/>
  <c r="AA29" i="83"/>
  <c r="O153" i="85"/>
  <c r="Y17" i="85"/>
  <c r="L98" i="87"/>
  <c r="Z61" i="88"/>
  <c r="Y143" i="91"/>
  <c r="Q124" i="91"/>
  <c r="Y59" i="91"/>
  <c r="Q49" i="85"/>
  <c r="N51" i="82"/>
  <c r="AB129" i="84"/>
  <c r="Y86" i="87"/>
  <c r="Y165" i="82"/>
  <c r="X79" i="88"/>
  <c r="AA108" i="91"/>
  <c r="M57" i="74"/>
  <c r="X150" i="83"/>
  <c r="P23" i="82"/>
  <c r="T156" i="94"/>
  <c r="P119" i="84"/>
  <c r="AB141" i="87"/>
  <c r="Z102" i="81"/>
  <c r="X163" i="85"/>
  <c r="N159" i="88"/>
  <c r="Y140" i="87"/>
  <c r="O57" i="91"/>
  <c r="P83" i="74"/>
  <c r="AA135" i="93"/>
  <c r="AA158" i="88"/>
  <c r="AA100" i="94"/>
  <c r="AA68" i="81"/>
  <c r="P85" i="74"/>
  <c r="AA69" i="93"/>
  <c r="AA151" i="74"/>
  <c r="O154" i="84"/>
  <c r="AB39" i="82"/>
  <c r="AA154" i="84"/>
  <c r="AB105" i="88"/>
  <c r="P178" i="84"/>
  <c r="P11" i="91"/>
  <c r="Z170" i="91"/>
  <c r="P61" i="82"/>
  <c r="Z87" i="84"/>
  <c r="Y86" i="83"/>
  <c r="AA65" i="84"/>
  <c r="M27" i="82"/>
  <c r="AB145" i="83"/>
  <c r="Y132" i="92"/>
  <c r="Y162" i="87"/>
  <c r="T159" i="92"/>
  <c r="P59" i="85"/>
  <c r="AB89" i="82"/>
  <c r="T15" i="93"/>
  <c r="P70" i="84"/>
  <c r="Z108" i="74"/>
  <c r="T108" i="92"/>
  <c r="Y76" i="82"/>
  <c r="Z87" i="81"/>
  <c r="Y59" i="81"/>
  <c r="AB129" i="83"/>
  <c r="N102" i="89"/>
  <c r="O122" i="84"/>
  <c r="AA55" i="94"/>
  <c r="AA23" i="84"/>
  <c r="Z9" i="74"/>
  <c r="T9" i="74"/>
  <c r="Q84" i="84"/>
  <c r="AA171" i="85"/>
  <c r="Z150" i="93"/>
  <c r="P21" i="91"/>
  <c r="X137" i="83"/>
  <c r="L92" i="74"/>
  <c r="X97" i="82"/>
  <c r="AA83" i="88"/>
  <c r="AB174" i="87"/>
  <c r="AA15" i="83"/>
  <c r="P17" i="74"/>
  <c r="L129" i="91"/>
  <c r="Z86" i="91"/>
  <c r="O155" i="74"/>
  <c r="P41" i="89"/>
  <c r="Q151" i="91"/>
  <c r="Q85" i="85"/>
  <c r="Q140" i="74"/>
  <c r="Q167" i="85"/>
  <c r="AA160" i="81"/>
  <c r="Z149" i="94"/>
  <c r="L175" i="83"/>
  <c r="T114" i="92"/>
  <c r="X152" i="84"/>
  <c r="P43" i="87"/>
  <c r="Z158" i="84"/>
  <c r="Z133" i="83"/>
  <c r="O180" i="91"/>
  <c r="Z86" i="84"/>
  <c r="Y74" i="74"/>
  <c r="O159" i="83"/>
  <c r="AA49" i="91"/>
  <c r="Q41" i="81"/>
  <c r="M43" i="87"/>
  <c r="AA53" i="88"/>
  <c r="P97" i="85"/>
  <c r="Y153" i="83"/>
  <c r="AB82" i="81"/>
  <c r="Y35" i="87"/>
  <c r="Q9" i="94"/>
  <c r="P27" i="88"/>
  <c r="AA113" i="74"/>
  <c r="Z104" i="89"/>
  <c r="T141" i="85"/>
  <c r="T75" i="89"/>
  <c r="AA95" i="92"/>
  <c r="P119" i="81"/>
  <c r="T168" i="83"/>
  <c r="X9" i="74"/>
  <c r="L121" i="83"/>
  <c r="AA171" i="83"/>
  <c r="Q102" i="82"/>
  <c r="AB171" i="87"/>
  <c r="AA91" i="83"/>
  <c r="X17" i="88"/>
  <c r="AA13" i="85"/>
  <c r="AA53" i="82"/>
  <c r="O53" i="84"/>
  <c r="Z13" i="74"/>
  <c r="AA13" i="84"/>
  <c r="P47" i="91"/>
  <c r="P128" i="82"/>
  <c r="T153" i="94"/>
  <c r="Z144" i="89"/>
  <c r="Y65" i="81"/>
  <c r="Q29" i="74"/>
  <c r="AB79" i="92"/>
  <c r="AA105" i="93"/>
  <c r="Q98" i="83"/>
  <c r="L126" i="89"/>
  <c r="P85" i="83"/>
  <c r="Z23" i="85"/>
  <c r="Z71" i="74"/>
  <c r="AA111" i="89"/>
  <c r="AB61" i="82"/>
  <c r="Y167" i="93"/>
  <c r="AA123" i="81"/>
  <c r="T150" i="89"/>
  <c r="Z111" i="84"/>
  <c r="AA176" i="91"/>
  <c r="O77" i="87"/>
  <c r="AB77" i="87"/>
  <c r="AA148" i="88"/>
  <c r="N99" i="91"/>
  <c r="AA59" i="92"/>
  <c r="N33" i="91"/>
  <c r="P83" i="94"/>
  <c r="AA147" i="87"/>
  <c r="AA43" i="83"/>
  <c r="O94" i="93"/>
  <c r="Y63" i="87"/>
  <c r="AA151" i="81"/>
  <c r="P146" i="83"/>
  <c r="Y121" i="82"/>
  <c r="T108" i="81"/>
  <c r="Y57" i="87"/>
  <c r="L181" i="84"/>
  <c r="Y91" i="82"/>
  <c r="Q132" i="74"/>
  <c r="Q27" i="81"/>
  <c r="AB122" i="92"/>
  <c r="Y61" i="87"/>
  <c r="X163" i="87"/>
  <c r="M13" i="84"/>
  <c r="P167" i="81"/>
  <c r="P27" i="84"/>
  <c r="L109" i="89"/>
  <c r="AB51" i="85"/>
  <c r="L105" i="88"/>
  <c r="P129" i="81"/>
  <c r="T75" i="94"/>
  <c r="AA100" i="85"/>
  <c r="N138" i="74"/>
  <c r="Z72" i="89"/>
  <c r="AA96" i="94"/>
  <c r="Z45" i="84"/>
  <c r="T114" i="94"/>
  <c r="AB45" i="85"/>
  <c r="Q11" i="82"/>
  <c r="Y51" i="91"/>
  <c r="Q72" i="85"/>
  <c r="N141" i="83"/>
  <c r="Y140" i="81"/>
  <c r="AA167" i="87"/>
  <c r="L96" i="83"/>
  <c r="Q173" i="84"/>
  <c r="M43" i="83"/>
  <c r="O155" i="87"/>
  <c r="AB31" i="84"/>
  <c r="T27" i="81"/>
  <c r="O122" i="83"/>
  <c r="AA41" i="87"/>
  <c r="P72" i="74"/>
  <c r="T90" i="83"/>
  <c r="X167" i="81"/>
  <c r="Y107" i="91"/>
  <c r="AA143" i="83"/>
  <c r="P77" i="88"/>
  <c r="AA152" i="82"/>
  <c r="X64" i="74"/>
  <c r="P125" i="91"/>
  <c r="P93" i="83"/>
  <c r="Z166" i="85"/>
  <c r="Z43" i="89"/>
  <c r="P137" i="74"/>
  <c r="Z89" i="94"/>
  <c r="L167" i="85"/>
  <c r="X142" i="81"/>
  <c r="AB41" i="83"/>
  <c r="Q41" i="91"/>
  <c r="Z96" i="74"/>
  <c r="AA66" i="81"/>
  <c r="P19" i="88"/>
  <c r="O168" i="84"/>
  <c r="Z98" i="74"/>
  <c r="N156" i="88"/>
  <c r="Z124" i="85"/>
  <c r="Z88" i="81"/>
  <c r="X31" i="94"/>
  <c r="T90" i="89"/>
  <c r="Y156" i="81"/>
  <c r="P131" i="87"/>
  <c r="Y85" i="94"/>
  <c r="AA167" i="74"/>
  <c r="P144" i="83"/>
  <c r="L101" i="83"/>
  <c r="AA33" i="85"/>
  <c r="P98" i="94"/>
  <c r="Y73" i="82"/>
  <c r="Z13" i="85"/>
  <c r="AB145" i="93"/>
  <c r="P132" i="81"/>
  <c r="L113" i="92"/>
  <c r="O122" i="87"/>
  <c r="Y150" i="89"/>
  <c r="Y148" i="85"/>
  <c r="Q121" i="84"/>
  <c r="Y105" i="88"/>
  <c r="Z150" i="81"/>
  <c r="L179" i="85"/>
  <c r="Y159" i="83"/>
  <c r="O154" i="87"/>
  <c r="AB13" i="81"/>
  <c r="X49" i="81"/>
  <c r="Q66" i="83"/>
  <c r="P154" i="81"/>
  <c r="P25" i="81"/>
  <c r="T132" i="84"/>
  <c r="Z17" i="88"/>
  <c r="P177" i="82"/>
  <c r="AA169" i="85"/>
  <c r="X118" i="83"/>
  <c r="T144" i="82"/>
  <c r="Q164" i="87"/>
  <c r="Q180" i="81"/>
  <c r="Z55" i="82"/>
  <c r="O148" i="87"/>
  <c r="Q70" i="81"/>
  <c r="O170" i="81"/>
  <c r="Q49" i="81"/>
  <c r="L117" i="83"/>
  <c r="P108" i="92"/>
  <c r="Q147" i="91"/>
  <c r="T75" i="82"/>
  <c r="L136" i="85"/>
  <c r="O13" i="84"/>
  <c r="Q11" i="88"/>
  <c r="Z70" i="82"/>
  <c r="O153" i="87"/>
  <c r="Z25" i="88"/>
  <c r="P177" i="81"/>
  <c r="AA82" i="88"/>
  <c r="AA81" i="83"/>
  <c r="AB61" i="88"/>
  <c r="AB171" i="85"/>
  <c r="O29" i="83"/>
  <c r="Y165" i="74"/>
  <c r="N159" i="93"/>
  <c r="AA93" i="82"/>
  <c r="O109" i="93"/>
  <c r="AB170" i="81"/>
  <c r="AB45" i="87"/>
  <c r="X146" i="84"/>
  <c r="N105" i="92"/>
  <c r="X27" i="85"/>
  <c r="O76" i="83"/>
  <c r="O173" i="84"/>
  <c r="T9" i="82"/>
  <c r="O39" i="74"/>
  <c r="AB143" i="84"/>
  <c r="AA66" i="83"/>
  <c r="L182" i="82"/>
  <c r="Q163" i="84"/>
  <c r="Z116" i="83"/>
  <c r="AA156" i="74"/>
  <c r="O57" i="89"/>
  <c r="Q120" i="74"/>
  <c r="O144" i="83"/>
  <c r="Q63" i="88"/>
  <c r="Y132" i="87"/>
  <c r="P39" i="87"/>
  <c r="Q81" i="93"/>
  <c r="Y68" i="91"/>
  <c r="Y123" i="74"/>
  <c r="L151" i="87"/>
  <c r="P68" i="81"/>
  <c r="Q35" i="83"/>
  <c r="AA126" i="74"/>
  <c r="AA147" i="74"/>
  <c r="P91" i="93"/>
  <c r="Q113" i="87"/>
  <c r="O149" i="89"/>
  <c r="O112" i="89"/>
  <c r="Y163" i="84"/>
  <c r="P25" i="83"/>
  <c r="P166" i="85"/>
  <c r="X77" i="74"/>
  <c r="X97" i="84"/>
  <c r="O177" i="74"/>
  <c r="Z100" i="81"/>
  <c r="Z132" i="87"/>
  <c r="X123" i="74"/>
  <c r="L79" i="85"/>
  <c r="Z82" i="74"/>
  <c r="P160" i="83"/>
  <c r="Q153" i="82"/>
  <c r="Z63" i="83"/>
  <c r="Q104" i="74"/>
  <c r="P179" i="81"/>
  <c r="L94" i="83"/>
  <c r="P95" i="85"/>
  <c r="O181" i="89"/>
  <c r="X106" i="93"/>
  <c r="X158" i="84"/>
  <c r="Y173" i="82"/>
  <c r="Z149" i="74"/>
  <c r="Q86" i="89"/>
  <c r="O67" i="83"/>
  <c r="L125" i="91"/>
  <c r="Q127" i="84"/>
  <c r="P51" i="83"/>
  <c r="Q17" i="81"/>
  <c r="Z102" i="89"/>
  <c r="N174" i="83"/>
  <c r="AA75" i="81"/>
  <c r="X162" i="85"/>
  <c r="T96" i="85"/>
  <c r="X155" i="91"/>
  <c r="L95" i="81"/>
  <c r="Y19" i="74"/>
  <c r="O109" i="84"/>
  <c r="O64" i="82"/>
  <c r="Q164" i="74"/>
  <c r="Q39" i="94"/>
  <c r="AA64" i="84"/>
  <c r="T132" i="91"/>
  <c r="AA142" i="91"/>
  <c r="Y72" i="74"/>
  <c r="Z110" i="83"/>
  <c r="T159" i="93"/>
  <c r="P89" i="84"/>
  <c r="T90" i="93"/>
  <c r="X61" i="83"/>
  <c r="AB149" i="81"/>
  <c r="Q153" i="74"/>
  <c r="Q70" i="74"/>
  <c r="P11" i="84"/>
  <c r="Z65" i="89"/>
  <c r="O124" i="85"/>
  <c r="AB72" i="94"/>
  <c r="X87" i="91"/>
  <c r="X87" i="85"/>
  <c r="T153" i="84"/>
  <c r="L81" i="85"/>
  <c r="P137" i="82"/>
  <c r="O92" i="82"/>
  <c r="P124" i="74"/>
  <c r="L150" i="88"/>
  <c r="AB23" i="82"/>
  <c r="Y138" i="93"/>
  <c r="N75" i="85"/>
  <c r="X166" i="84"/>
  <c r="AB66" i="83"/>
  <c r="AB82" i="84"/>
  <c r="Z176" i="94"/>
  <c r="Z164" i="88"/>
  <c r="Q179" i="81"/>
  <c r="AA69" i="74"/>
  <c r="AB146" i="82"/>
  <c r="Y114" i="85"/>
  <c r="AB174" i="84"/>
  <c r="Q128" i="85"/>
  <c r="L130" i="89"/>
  <c r="L157" i="81"/>
  <c r="Y106" i="84"/>
  <c r="O143" i="83"/>
  <c r="L162" i="74"/>
  <c r="Q164" i="81"/>
  <c r="AA108" i="89"/>
  <c r="N120" i="82"/>
  <c r="L134" i="85"/>
  <c r="N171" i="83"/>
  <c r="X121" i="81"/>
  <c r="Z121" i="74"/>
  <c r="X87" i="74"/>
  <c r="P45" i="88"/>
  <c r="L137" i="88"/>
  <c r="Z168" i="88"/>
  <c r="AB88" i="93"/>
  <c r="Y43" i="85"/>
  <c r="L104" i="81"/>
  <c r="X113" i="74"/>
  <c r="Y105" i="83"/>
  <c r="N39" i="85"/>
  <c r="Y41" i="89"/>
  <c r="AB63" i="91"/>
  <c r="O166" i="85"/>
  <c r="O167" i="89"/>
  <c r="L135" i="87"/>
  <c r="P151" i="87"/>
  <c r="AB166" i="82"/>
  <c r="P89" i="82"/>
  <c r="P160" i="74"/>
  <c r="X147" i="88"/>
  <c r="T174" i="94"/>
  <c r="Y153" i="84"/>
  <c r="P110" i="83"/>
  <c r="O147" i="74"/>
  <c r="Y121" i="83"/>
  <c r="O77" i="84"/>
  <c r="Y150" i="81"/>
  <c r="P134" i="81"/>
  <c r="Y94" i="89"/>
  <c r="AA102" i="89"/>
  <c r="L177" i="88"/>
  <c r="Z146" i="85"/>
  <c r="Q117" i="88"/>
  <c r="O97" i="74"/>
  <c r="O13" i="85"/>
  <c r="AA123" i="82"/>
  <c r="L173" i="88"/>
  <c r="AA142" i="87"/>
  <c r="L160" i="87"/>
  <c r="AA92" i="81"/>
  <c r="L92" i="88"/>
  <c r="Q109" i="81"/>
  <c r="Z177" i="83"/>
  <c r="X146" i="91"/>
  <c r="Y136" i="74"/>
  <c r="N141" i="74"/>
  <c r="Q118" i="83"/>
  <c r="AA102" i="84"/>
  <c r="AA35" i="85"/>
  <c r="X115" i="84"/>
  <c r="X71" i="84"/>
  <c r="Z118" i="74"/>
  <c r="Q76" i="85"/>
  <c r="X172" i="74"/>
  <c r="P132" i="87"/>
  <c r="O85" i="83"/>
  <c r="Q159" i="82"/>
  <c r="X21" i="83"/>
  <c r="O27" i="81"/>
  <c r="L85" i="85"/>
  <c r="P47" i="81"/>
  <c r="T144" i="93"/>
  <c r="Q159" i="81"/>
  <c r="Y49" i="88"/>
  <c r="X103" i="81"/>
  <c r="X83" i="74"/>
  <c r="M37" i="82"/>
  <c r="T93" i="88"/>
  <c r="Y87" i="88"/>
  <c r="T114" i="82"/>
  <c r="P59" i="82"/>
  <c r="L77" i="83"/>
  <c r="AB118" i="84"/>
  <c r="X168" i="83"/>
  <c r="O121" i="83"/>
  <c r="AA177" i="91"/>
  <c r="AB111" i="82"/>
  <c r="AB64" i="89"/>
  <c r="P116" i="87"/>
  <c r="P79" i="94"/>
  <c r="X111" i="83"/>
  <c r="P19" i="82"/>
  <c r="O108" i="91"/>
  <c r="L114" i="82"/>
  <c r="Y57" i="85"/>
  <c r="AA119" i="82"/>
  <c r="AB133" i="93"/>
  <c r="L139" i="82"/>
  <c r="AA92" i="82"/>
  <c r="Z61" i="85"/>
  <c r="Q69" i="74"/>
  <c r="X68" i="89"/>
  <c r="O115" i="87"/>
  <c r="AB125" i="85"/>
  <c r="AB152" i="82"/>
  <c r="X64" i="87"/>
  <c r="AA126" i="93"/>
  <c r="P178" i="85"/>
  <c r="O117" i="89"/>
  <c r="Q99" i="88"/>
  <c r="Y101" i="74"/>
  <c r="X115" i="82"/>
  <c r="AA105" i="88"/>
  <c r="AA104" i="94"/>
  <c r="X63" i="74"/>
  <c r="P49" i="83"/>
  <c r="AB155" i="93"/>
  <c r="L178" i="87"/>
  <c r="AB145" i="85"/>
  <c r="Y93" i="74"/>
  <c r="O171" i="85"/>
  <c r="Y87" i="93"/>
  <c r="Q13" i="83"/>
  <c r="P91" i="84"/>
  <c r="P108" i="85"/>
  <c r="Y85" i="92"/>
  <c r="O169" i="84"/>
  <c r="Y113" i="82"/>
  <c r="AA154" i="81"/>
  <c r="X69" i="82"/>
  <c r="Q175" i="92"/>
  <c r="X135" i="91"/>
  <c r="Z142" i="84"/>
  <c r="Z133" i="82"/>
  <c r="Q81" i="91"/>
  <c r="T132" i="81"/>
  <c r="X163" i="93"/>
  <c r="Q132" i="87"/>
  <c r="Z180" i="87"/>
  <c r="Z95" i="91"/>
  <c r="Z175" i="84"/>
  <c r="Y111" i="82"/>
  <c r="AA65" i="87"/>
  <c r="N184" i="91"/>
  <c r="L157" i="91"/>
  <c r="Q160" i="88"/>
  <c r="AB133" i="91"/>
  <c r="L122" i="82"/>
  <c r="AB86" i="94"/>
  <c r="P147" i="84"/>
  <c r="N153" i="81"/>
  <c r="Q148" i="88"/>
  <c r="P182" i="87"/>
  <c r="AA140" i="87"/>
  <c r="AA152" i="81"/>
  <c r="AA115" i="89"/>
  <c r="X155" i="94"/>
  <c r="Z91" i="82"/>
  <c r="N96" i="94"/>
  <c r="Z89" i="82"/>
  <c r="Y83" i="83"/>
  <c r="T180" i="74"/>
  <c r="Y55" i="84"/>
  <c r="P131" i="94"/>
  <c r="X31" i="74"/>
  <c r="N81" i="87"/>
  <c r="X9" i="84"/>
  <c r="O95" i="74"/>
  <c r="AA175" i="92"/>
  <c r="Q21" i="82"/>
  <c r="T111" i="81"/>
  <c r="Y70" i="88"/>
  <c r="L181" i="87"/>
  <c r="AA21" i="85"/>
  <c r="Z159" i="84"/>
  <c r="AA84" i="88"/>
  <c r="N45" i="85"/>
  <c r="AB142" i="87"/>
  <c r="AA146" i="81"/>
  <c r="Y13" i="83"/>
  <c r="N72" i="74"/>
  <c r="N15" i="85"/>
  <c r="X65" i="89"/>
  <c r="Z113" i="81"/>
  <c r="O165" i="89"/>
  <c r="X15" i="74"/>
  <c r="Z64" i="82"/>
  <c r="Y39" i="93"/>
  <c r="X157" i="83"/>
  <c r="X87" i="81"/>
  <c r="Y175" i="94"/>
  <c r="Y29" i="83"/>
  <c r="O73" i="74"/>
  <c r="Y47" i="83"/>
  <c r="L142" i="87"/>
  <c r="T90" i="74"/>
  <c r="AA74" i="94"/>
  <c r="L82" i="81"/>
  <c r="X145" i="85"/>
  <c r="X176" i="84"/>
  <c r="T150" i="91"/>
  <c r="Q149" i="74"/>
  <c r="AA57" i="81"/>
  <c r="P91" i="83"/>
  <c r="X31" i="89"/>
  <c r="O103" i="87"/>
  <c r="Y119" i="94"/>
  <c r="AB142" i="88"/>
  <c r="AA92" i="92"/>
  <c r="Y25" i="81"/>
  <c r="X86" i="82"/>
  <c r="P128" i="74"/>
  <c r="Q67" i="82"/>
  <c r="X100" i="83"/>
  <c r="X89" i="93"/>
  <c r="P29" i="74"/>
  <c r="AA162" i="89"/>
  <c r="Q95" i="88"/>
  <c r="AA127" i="84"/>
  <c r="AA175" i="81"/>
  <c r="Z172" i="74"/>
  <c r="X55" i="83"/>
  <c r="Y102" i="82"/>
  <c r="O45" i="82"/>
  <c r="P35" i="74"/>
  <c r="T165" i="93"/>
  <c r="AB107" i="84"/>
  <c r="L88" i="91"/>
  <c r="AA100" i="91"/>
  <c r="L107" i="81"/>
  <c r="Y100" i="84"/>
  <c r="O158" i="84"/>
  <c r="T102" i="82"/>
  <c r="AB139" i="81"/>
  <c r="AA117" i="74"/>
  <c r="AB13" i="89"/>
  <c r="Q43" i="88"/>
  <c r="O150" i="91"/>
  <c r="N87" i="74"/>
  <c r="AA129" i="85"/>
  <c r="Z107" i="74"/>
  <c r="Q55" i="74"/>
  <c r="T105" i="88"/>
  <c r="Y126" i="74"/>
  <c r="X19" i="82"/>
  <c r="Z19" i="74"/>
  <c r="L139" i="92"/>
  <c r="Z142" i="89"/>
  <c r="L95" i="84"/>
  <c r="Q173" i="82"/>
  <c r="X121" i="92"/>
  <c r="O111" i="94"/>
  <c r="O119" i="84"/>
  <c r="AB168" i="87"/>
  <c r="AA142" i="85"/>
  <c r="P143" i="93"/>
  <c r="N165" i="81"/>
  <c r="AB157" i="84"/>
  <c r="X158" i="87"/>
  <c r="Y137" i="81"/>
  <c r="X131" i="84"/>
  <c r="M45" i="82"/>
  <c r="AA91" i="87"/>
  <c r="Z87" i="82"/>
  <c r="X79" i="81"/>
  <c r="O70" i="88"/>
  <c r="L119" i="88"/>
  <c r="O173" i="83"/>
  <c r="AB172" i="82"/>
  <c r="P85" i="81"/>
  <c r="Y70" i="83"/>
  <c r="Q180" i="94"/>
  <c r="P143" i="89"/>
  <c r="T108" i="94"/>
  <c r="Q82" i="84"/>
  <c r="X17" i="84"/>
  <c r="L126" i="82"/>
  <c r="X94" i="92"/>
  <c r="N153" i="84"/>
  <c r="P100" i="82"/>
  <c r="T81" i="84"/>
  <c r="AA142" i="74"/>
  <c r="Q80" i="83"/>
  <c r="Y84" i="74"/>
  <c r="AA102" i="81"/>
  <c r="P93" i="88"/>
  <c r="P66" i="91"/>
  <c r="O101" i="89"/>
  <c r="AB131" i="83"/>
  <c r="P97" i="81"/>
  <c r="AB99" i="88"/>
  <c r="Y106" i="87"/>
  <c r="Z156" i="82"/>
  <c r="AA129" i="74"/>
  <c r="Y113" i="89"/>
  <c r="AB85" i="81"/>
  <c r="AB65" i="83"/>
  <c r="N108" i="89"/>
  <c r="O92" i="93"/>
  <c r="L167" i="91"/>
  <c r="Y147" i="74"/>
  <c r="O116" i="94"/>
  <c r="L105" i="74"/>
  <c r="Q148" i="83"/>
  <c r="P155" i="85"/>
  <c r="O172" i="88"/>
  <c r="Y109" i="82"/>
  <c r="AA170" i="89"/>
  <c r="Q69" i="84"/>
  <c r="O98" i="87"/>
  <c r="O80" i="94"/>
  <c r="Z164" i="89"/>
  <c r="AB136" i="84"/>
  <c r="X37" i="88"/>
  <c r="Z109" i="81"/>
  <c r="O180" i="87"/>
  <c r="X142" i="87"/>
  <c r="O103" i="83"/>
  <c r="T27" i="74"/>
  <c r="O112" i="82"/>
  <c r="Y101" i="87"/>
  <c r="X29" i="85"/>
  <c r="Q25" i="74"/>
  <c r="M49" i="88"/>
  <c r="X99" i="84"/>
  <c r="N114" i="87"/>
  <c r="AB78" i="83"/>
  <c r="AA129" i="81"/>
  <c r="Z163" i="87"/>
  <c r="Y139" i="83"/>
  <c r="AB154" i="85"/>
  <c r="L181" i="74"/>
  <c r="L125" i="87"/>
  <c r="AA172" i="94"/>
  <c r="Y17" i="91"/>
  <c r="X55" i="89"/>
  <c r="AA65" i="81"/>
  <c r="Z57" i="74"/>
  <c r="AB61" i="83"/>
  <c r="Z71" i="85"/>
  <c r="N171" i="87"/>
  <c r="Z137" i="82"/>
  <c r="X138" i="85"/>
  <c r="AA19" i="87"/>
  <c r="Z114" i="85"/>
  <c r="X162" i="87"/>
  <c r="O11" i="89"/>
  <c r="Y121" i="74"/>
  <c r="X165" i="87"/>
  <c r="Q116" i="84"/>
  <c r="AA113" i="83"/>
  <c r="AB155" i="89"/>
  <c r="Y76" i="84"/>
  <c r="Q33" i="81"/>
  <c r="Q33" i="85"/>
  <c r="Q105" i="87"/>
  <c r="Q170" i="85"/>
  <c r="AB165" i="84"/>
  <c r="O183" i="85"/>
  <c r="Y169" i="91"/>
  <c r="AB21" i="83"/>
  <c r="Z159" i="82"/>
  <c r="L135" i="88"/>
  <c r="L122" i="91"/>
  <c r="O67" i="84"/>
  <c r="T141" i="93"/>
  <c r="M29" i="91"/>
  <c r="Q127" i="87"/>
  <c r="Y156" i="82"/>
  <c r="Q98" i="88"/>
  <c r="X134" i="85"/>
  <c r="X31" i="83"/>
  <c r="T99" i="94"/>
  <c r="AB168" i="89"/>
  <c r="P164" i="87"/>
  <c r="Z148" i="82"/>
  <c r="P156" i="87"/>
  <c r="AB88" i="87"/>
  <c r="AA29" i="85"/>
  <c r="L78" i="88"/>
  <c r="X167" i="89"/>
  <c r="AB102" i="89"/>
  <c r="T159" i="88"/>
  <c r="N150" i="83"/>
  <c r="Y59" i="82"/>
  <c r="O93" i="81"/>
  <c r="P113" i="91"/>
  <c r="AA147" i="84"/>
  <c r="Y120" i="87"/>
  <c r="X169" i="74"/>
  <c r="Y150" i="85"/>
  <c r="X112" i="93"/>
  <c r="AB105" i="84"/>
  <c r="AB112" i="84"/>
  <c r="Y168" i="74"/>
  <c r="Y68" i="87"/>
  <c r="AA103" i="91"/>
  <c r="M39" i="92"/>
  <c r="O65" i="74"/>
  <c r="L126" i="83"/>
  <c r="T147" i="92"/>
  <c r="AB64" i="83"/>
  <c r="AA122" i="83"/>
  <c r="AA116" i="85"/>
  <c r="M33" i="93"/>
  <c r="P150" i="82"/>
  <c r="AA135" i="81"/>
  <c r="AA79" i="88"/>
  <c r="AB148" i="83"/>
  <c r="O39" i="93"/>
  <c r="P185" i="94"/>
  <c r="L142" i="74"/>
  <c r="L175" i="87"/>
  <c r="Z145" i="74"/>
  <c r="P178" i="88"/>
  <c r="Y177" i="74"/>
  <c r="M43" i="84"/>
  <c r="AB83" i="82"/>
  <c r="N162" i="81"/>
  <c r="Q117" i="81"/>
  <c r="Q130" i="89"/>
  <c r="AB53" i="85"/>
  <c r="Q9" i="82"/>
  <c r="AA77" i="74"/>
  <c r="AB145" i="87"/>
  <c r="Z132" i="92"/>
  <c r="O126" i="82"/>
  <c r="P73" i="82"/>
  <c r="Q147" i="84"/>
  <c r="Q68" i="89"/>
  <c r="M37" i="81"/>
  <c r="Y85" i="88"/>
  <c r="Z132" i="94"/>
  <c r="O158" i="74"/>
  <c r="O53" i="74"/>
  <c r="L173" i="85"/>
  <c r="P171" i="74"/>
  <c r="X177" i="74"/>
  <c r="AA72" i="74"/>
  <c r="Y145" i="81"/>
  <c r="X70" i="85"/>
  <c r="Y114" i="83"/>
  <c r="X66" i="82"/>
  <c r="Y141" i="91"/>
  <c r="P55" i="83"/>
  <c r="L151" i="83"/>
  <c r="AA128" i="83"/>
  <c r="L69" i="81"/>
  <c r="AA57" i="82"/>
  <c r="O72" i="74"/>
  <c r="Z98" i="82"/>
  <c r="AA170" i="83"/>
  <c r="AA176" i="82"/>
  <c r="Z158" i="87"/>
  <c r="AB89" i="89"/>
  <c r="Y156" i="93"/>
  <c r="Q163" i="89"/>
  <c r="AB119" i="88"/>
  <c r="O91" i="85"/>
  <c r="Z45" i="83"/>
  <c r="X83" i="81"/>
  <c r="O92" i="89"/>
  <c r="AB130" i="83"/>
  <c r="P137" i="81"/>
  <c r="Y39" i="94"/>
  <c r="P122" i="81"/>
  <c r="O101" i="82"/>
  <c r="AB118" i="81"/>
  <c r="L69" i="85"/>
  <c r="Y65" i="88"/>
  <c r="P180" i="82"/>
  <c r="X92" i="88"/>
  <c r="O86" i="74"/>
  <c r="X104" i="85"/>
  <c r="L169" i="81"/>
  <c r="T165" i="88"/>
  <c r="L160" i="89"/>
  <c r="Y150" i="88"/>
  <c r="O141" i="84"/>
  <c r="N81" i="81"/>
  <c r="AA163" i="84"/>
  <c r="Y76" i="85"/>
  <c r="O47" i="93"/>
  <c r="AB151" i="81"/>
  <c r="T15" i="81"/>
  <c r="P133" i="74"/>
  <c r="Y143" i="83"/>
  <c r="Q176" i="82"/>
  <c r="O176" i="83"/>
  <c r="Y109" i="84"/>
  <c r="O106" i="74"/>
  <c r="Y158" i="84"/>
  <c r="Z93" i="82"/>
  <c r="Y77" i="84"/>
  <c r="N9" i="94"/>
  <c r="Z84" i="83"/>
  <c r="AB167" i="94"/>
  <c r="L86" i="85"/>
  <c r="T72" i="93"/>
  <c r="X55" i="85"/>
  <c r="AB84" i="87"/>
  <c r="O77" i="85"/>
  <c r="Y171" i="89"/>
  <c r="AA71" i="91"/>
  <c r="Q90" i="92"/>
  <c r="P39" i="74"/>
  <c r="AA84" i="81"/>
  <c r="T150" i="93"/>
  <c r="Q102" i="89"/>
  <c r="X70" i="82"/>
  <c r="AB117" i="91"/>
  <c r="AA147" i="89"/>
  <c r="X51" i="81"/>
  <c r="AA125" i="83"/>
  <c r="Y110" i="82"/>
  <c r="O134" i="85"/>
  <c r="Q72" i="83"/>
  <c r="Z124" i="84"/>
  <c r="X35" i="82"/>
  <c r="Z113" i="74"/>
  <c r="T39" i="81"/>
  <c r="P107" i="84"/>
  <c r="L123" i="81"/>
  <c r="P33" i="89"/>
  <c r="X33" i="83"/>
  <c r="O118" i="91"/>
  <c r="O182" i="85"/>
  <c r="O180" i="81"/>
  <c r="T78" i="85"/>
  <c r="Y171" i="87"/>
  <c r="Y89" i="92"/>
  <c r="P107" i="85"/>
  <c r="N102" i="87"/>
  <c r="X84" i="91"/>
  <c r="L124" i="82"/>
  <c r="Z120" i="84"/>
  <c r="Y80" i="88"/>
  <c r="AB51" i="84"/>
  <c r="P70" i="89"/>
  <c r="Z47" i="84"/>
  <c r="N84" i="88"/>
  <c r="X19" i="87"/>
  <c r="Z105" i="87"/>
  <c r="AA21" i="82"/>
  <c r="X64" i="84"/>
  <c r="Y94" i="83"/>
  <c r="AB139" i="82"/>
  <c r="Z59" i="83"/>
  <c r="P39" i="91"/>
  <c r="N99" i="85"/>
  <c r="Q43" i="87"/>
  <c r="Z109" i="89"/>
  <c r="X150" i="88"/>
  <c r="Z33" i="74"/>
  <c r="Y127" i="85"/>
  <c r="Q11" i="74"/>
  <c r="Y159" i="85"/>
  <c r="AA114" i="92"/>
  <c r="O172" i="92"/>
  <c r="O47" i="91"/>
  <c r="AB113" i="88"/>
  <c r="Y125" i="88"/>
  <c r="Y161" i="85"/>
  <c r="P147" i="74"/>
  <c r="Z124" i="74"/>
  <c r="Y15" i="83"/>
  <c r="O172" i="81"/>
  <c r="AA103" i="85"/>
  <c r="L125" i="85"/>
  <c r="P148" i="74"/>
  <c r="Z133" i="89"/>
  <c r="Z19" i="82"/>
  <c r="Q166" i="85"/>
  <c r="Q162" i="87"/>
  <c r="P21" i="85"/>
  <c r="Y118" i="81"/>
  <c r="Q114" i="85"/>
  <c r="P90" i="85"/>
  <c r="X153" i="87"/>
  <c r="Q157" i="81"/>
  <c r="P69" i="74"/>
  <c r="Y118" i="93"/>
  <c r="Q172" i="82"/>
  <c r="Z146" i="82"/>
  <c r="P121" i="92"/>
  <c r="L177" i="85"/>
  <c r="P74" i="74"/>
  <c r="AB71" i="84"/>
  <c r="O69" i="82"/>
  <c r="X135" i="87"/>
  <c r="X83" i="84"/>
  <c r="X94" i="74"/>
  <c r="X117" i="89"/>
  <c r="AB69" i="83"/>
  <c r="P111" i="87"/>
  <c r="O173" i="85"/>
  <c r="X88" i="85"/>
  <c r="O141" i="83"/>
  <c r="Y164" i="82"/>
  <c r="L100" i="82"/>
  <c r="T180" i="84"/>
  <c r="N117" i="87"/>
  <c r="AA155" i="93"/>
  <c r="Z74" i="84"/>
  <c r="L120" i="88"/>
  <c r="AA157" i="83"/>
  <c r="Z122" i="85"/>
  <c r="L90" i="74"/>
  <c r="Y112" i="84"/>
  <c r="AB11" i="83"/>
  <c r="AA180" i="74"/>
  <c r="X172" i="83"/>
  <c r="N123" i="83"/>
  <c r="Q113" i="83"/>
  <c r="Z51" i="82"/>
  <c r="P86" i="85"/>
  <c r="P126" i="83"/>
  <c r="N147" i="87"/>
  <c r="AB142" i="85"/>
  <c r="Q80" i="89"/>
  <c r="AB9" i="83"/>
  <c r="AA96" i="82"/>
  <c r="O90" i="91"/>
  <c r="Z171" i="81"/>
  <c r="Q11" i="85"/>
  <c r="AB161" i="81"/>
  <c r="X96" i="84"/>
  <c r="X81" i="87"/>
  <c r="X142" i="83"/>
  <c r="AA61" i="85"/>
  <c r="Y53" i="89"/>
  <c r="O121" i="93"/>
  <c r="O94" i="87"/>
  <c r="X171" i="82"/>
  <c r="O166" i="84"/>
  <c r="L149" i="94"/>
  <c r="Q169" i="91"/>
  <c r="AA65" i="89"/>
  <c r="O115" i="94"/>
  <c r="X110" i="81"/>
  <c r="AB159" i="87"/>
  <c r="P13" i="81"/>
  <c r="T156" i="74"/>
  <c r="Y126" i="81"/>
  <c r="O77" i="82"/>
  <c r="M17" i="83"/>
  <c r="Z111" i="82"/>
  <c r="Y97" i="87"/>
  <c r="Q97" i="85"/>
  <c r="X114" i="83"/>
  <c r="AB122" i="81"/>
  <c r="Q168" i="74"/>
  <c r="O138" i="82"/>
  <c r="X167" i="74"/>
  <c r="X23" i="91"/>
  <c r="Q125" i="84"/>
  <c r="AB104" i="83"/>
  <c r="AB103" i="87"/>
  <c r="X145" i="81"/>
  <c r="X175" i="81"/>
  <c r="O84" i="83"/>
  <c r="Y164" i="83"/>
  <c r="Y63" i="81"/>
  <c r="N102" i="88"/>
  <c r="AA106" i="82"/>
  <c r="P99" i="83"/>
  <c r="O146" i="84"/>
  <c r="Y164" i="74"/>
  <c r="O79" i="81"/>
  <c r="Y82" i="74"/>
  <c r="AB136" i="81"/>
  <c r="Y101" i="82"/>
  <c r="AA88" i="84"/>
  <c r="AA111" i="83"/>
  <c r="X96" i="81"/>
  <c r="X23" i="82"/>
  <c r="Q37" i="83"/>
  <c r="L91" i="81"/>
  <c r="Y122" i="74"/>
  <c r="P184" i="89"/>
  <c r="L162" i="81"/>
  <c r="N153" i="74"/>
  <c r="O29" i="85"/>
  <c r="N165" i="84"/>
  <c r="L158" i="87"/>
  <c r="Z39" i="88"/>
  <c r="L151" i="74"/>
  <c r="L111" i="82"/>
  <c r="Z136" i="94"/>
  <c r="M19" i="87"/>
  <c r="Y170" i="87"/>
  <c r="N102" i="82"/>
  <c r="Q63" i="81"/>
  <c r="Z136" i="89"/>
  <c r="X35" i="93"/>
  <c r="L102" i="88"/>
  <c r="L180" i="85"/>
  <c r="P17" i="83"/>
  <c r="X136" i="74"/>
  <c r="AA137" i="84"/>
  <c r="X35" i="88"/>
  <c r="Y151" i="85"/>
  <c r="O101" i="84"/>
  <c r="P51" i="91"/>
  <c r="O165" i="92"/>
  <c r="Z106" i="81"/>
  <c r="AB141" i="85"/>
  <c r="X123" i="81"/>
  <c r="O137" i="85"/>
  <c r="L182" i="91"/>
  <c r="M9" i="85"/>
  <c r="X84" i="94"/>
  <c r="T51" i="74"/>
  <c r="AA98" i="89"/>
  <c r="Q57" i="88"/>
  <c r="Q158" i="82"/>
  <c r="Z166" i="89"/>
  <c r="AA75" i="92"/>
  <c r="AB70" i="92"/>
  <c r="AB153" i="87"/>
  <c r="Y126" i="85"/>
  <c r="P160" i="85"/>
  <c r="Z158" i="88"/>
  <c r="N174" i="82"/>
  <c r="L145" i="85"/>
  <c r="P84" i="91"/>
  <c r="P69" i="87"/>
  <c r="T126" i="82"/>
  <c r="X161" i="87"/>
  <c r="L84" i="81"/>
  <c r="Z92" i="74"/>
  <c r="X128" i="85"/>
  <c r="Z15" i="89"/>
  <c r="Z74" i="83"/>
  <c r="P91" i="91"/>
  <c r="Z53" i="87"/>
  <c r="T57" i="93"/>
  <c r="Y107" i="74"/>
  <c r="O147" i="89"/>
  <c r="AB68" i="88"/>
  <c r="P104" i="74"/>
  <c r="O57" i="92"/>
  <c r="P71" i="74"/>
  <c r="Y92" i="85"/>
  <c r="X17" i="89"/>
  <c r="AB171" i="82"/>
  <c r="Q86" i="82"/>
  <c r="Y142" i="94"/>
  <c r="AA83" i="89"/>
  <c r="N21" i="83"/>
  <c r="Y167" i="82"/>
  <c r="X27" i="74"/>
  <c r="N129" i="83"/>
  <c r="Z156" i="84"/>
  <c r="Q19" i="81"/>
  <c r="O170" i="93"/>
  <c r="O65" i="91"/>
  <c r="N75" i="89"/>
  <c r="AB15" i="81"/>
  <c r="O66" i="87"/>
  <c r="P120" i="93"/>
  <c r="Q13" i="74"/>
  <c r="O81" i="88"/>
  <c r="X150" i="85"/>
  <c r="L98" i="85"/>
  <c r="AA31" i="85"/>
  <c r="AA112" i="74"/>
  <c r="AB153" i="83"/>
  <c r="X101" i="82"/>
  <c r="Q156" i="74"/>
  <c r="Z82" i="93"/>
  <c r="O69" i="84"/>
  <c r="AB140" i="84"/>
  <c r="Z140" i="88"/>
  <c r="P134" i="85"/>
  <c r="AB72" i="82"/>
  <c r="AA102" i="82"/>
  <c r="P114" i="89"/>
  <c r="X126" i="87"/>
  <c r="Y172" i="83"/>
  <c r="M11" i="83"/>
  <c r="P85" i="91"/>
  <c r="Y120" i="84"/>
  <c r="X147" i="74"/>
  <c r="AB153" i="91"/>
  <c r="AA158" i="84"/>
  <c r="Z118" i="85"/>
  <c r="O126" i="85"/>
  <c r="AA106" i="84"/>
  <c r="AA114" i="82"/>
  <c r="Z145" i="83"/>
  <c r="Y161" i="81"/>
  <c r="Z31" i="74"/>
  <c r="P120" i="94"/>
  <c r="O177" i="83"/>
  <c r="Y86" i="85"/>
  <c r="AA95" i="81"/>
  <c r="Z45" i="82"/>
  <c r="L182" i="84"/>
  <c r="O95" i="81"/>
  <c r="Y80" i="83"/>
  <c r="Q31" i="87"/>
  <c r="P117" i="87"/>
  <c r="P177" i="87"/>
  <c r="AB63" i="81"/>
  <c r="O109" i="94"/>
  <c r="Y63" i="85"/>
  <c r="Q182" i="84"/>
  <c r="M51" i="83"/>
  <c r="L166" i="85"/>
  <c r="Z167" i="85"/>
  <c r="Z65" i="93"/>
  <c r="Z95" i="74"/>
  <c r="N33" i="81"/>
  <c r="Q169" i="84"/>
  <c r="AA131" i="83"/>
  <c r="P21" i="81"/>
  <c r="Q70" i="83"/>
  <c r="Q25" i="84"/>
  <c r="M35" i="81"/>
  <c r="Q129" i="87"/>
  <c r="AB111" i="87"/>
  <c r="Y100" i="89"/>
  <c r="AA37" i="87"/>
  <c r="P121" i="94"/>
  <c r="AA19" i="81"/>
  <c r="L74" i="81"/>
  <c r="M59" i="94"/>
  <c r="N126" i="84"/>
  <c r="X98" i="87"/>
  <c r="AA124" i="88"/>
  <c r="Q45" i="87"/>
  <c r="Q142" i="74"/>
  <c r="Q137" i="84"/>
  <c r="P126" i="92"/>
  <c r="AA49" i="81"/>
  <c r="AB151" i="85"/>
  <c r="N174" i="87"/>
  <c r="O99" i="88"/>
  <c r="AA76" i="74"/>
  <c r="X106" i="74"/>
  <c r="P121" i="88"/>
  <c r="AA100" i="88"/>
  <c r="Q15" i="87"/>
  <c r="AA87" i="81"/>
  <c r="P129" i="85"/>
  <c r="AA167" i="88"/>
  <c r="X100" i="92"/>
  <c r="L67" i="88"/>
  <c r="O142" i="74"/>
  <c r="X141" i="85"/>
  <c r="Y127" i="84"/>
  <c r="X15" i="81"/>
  <c r="AA68" i="92"/>
  <c r="N75" i="87"/>
  <c r="P72" i="83"/>
  <c r="Q88" i="82"/>
  <c r="Q116" i="82"/>
  <c r="L144" i="83"/>
  <c r="AA111" i="87"/>
  <c r="AB64" i="82"/>
  <c r="Z71" i="89"/>
  <c r="X139" i="74"/>
  <c r="P47" i="84"/>
  <c r="Z142" i="82"/>
  <c r="AB80" i="83"/>
  <c r="T168" i="84"/>
  <c r="AB153" i="82"/>
  <c r="AB165" i="87"/>
  <c r="X85" i="87"/>
  <c r="AA158" i="81"/>
  <c r="N185" i="91"/>
  <c r="Q64" i="81"/>
  <c r="AB70" i="88"/>
  <c r="T126" i="84"/>
  <c r="Y19" i="85"/>
  <c r="Y122" i="82"/>
  <c r="Z37" i="84"/>
  <c r="P75" i="83"/>
  <c r="X174" i="74"/>
  <c r="Y74" i="91"/>
  <c r="Y162" i="89"/>
  <c r="L78" i="83"/>
  <c r="P47" i="83"/>
  <c r="O108" i="87"/>
  <c r="Y98" i="81"/>
  <c r="Q167" i="94"/>
  <c r="AB87" i="81"/>
  <c r="AB72" i="93"/>
  <c r="Q104" i="91"/>
  <c r="P144" i="82"/>
  <c r="Q80" i="82"/>
  <c r="O110" i="85"/>
  <c r="Q177" i="85"/>
  <c r="AA47" i="83"/>
  <c r="L153" i="87"/>
  <c r="P74" i="82"/>
  <c r="Q138" i="83"/>
  <c r="O165" i="83"/>
  <c r="AA59" i="83"/>
  <c r="O84" i="74"/>
  <c r="P131" i="93"/>
  <c r="AA79" i="84"/>
  <c r="Z70" i="85"/>
  <c r="Q87" i="74"/>
  <c r="AA11" i="88"/>
  <c r="L153" i="85"/>
  <c r="AA81" i="81"/>
  <c r="L86" i="88"/>
  <c r="AB98" i="82"/>
  <c r="T9" i="93"/>
  <c r="X101" i="92"/>
  <c r="Y73" i="87"/>
  <c r="O85" i="87"/>
  <c r="Q184" i="85"/>
  <c r="O80" i="81"/>
  <c r="O159" i="74"/>
  <c r="Y66" i="85"/>
  <c r="Q51" i="82"/>
  <c r="Z21" i="74"/>
  <c r="L166" i="74"/>
  <c r="P81" i="85"/>
  <c r="O11" i="88"/>
  <c r="L159" i="81"/>
  <c r="Z113" i="93"/>
  <c r="AB96" i="85"/>
  <c r="P109" i="81"/>
  <c r="O29" i="89"/>
  <c r="X105" i="93"/>
  <c r="O83" i="84"/>
  <c r="X166" i="91"/>
  <c r="AB95" i="88"/>
  <c r="Y167" i="83"/>
  <c r="X78" i="83"/>
  <c r="P153" i="84"/>
  <c r="Q133" i="89"/>
  <c r="Q47" i="83"/>
  <c r="N165" i="89"/>
  <c r="AA27" i="81"/>
  <c r="Y125" i="84"/>
  <c r="AB91" i="81"/>
  <c r="O23" i="92"/>
  <c r="Z132" i="81"/>
  <c r="Y59" i="89"/>
  <c r="L161" i="88"/>
  <c r="Z84" i="88"/>
  <c r="AA129" i="87"/>
  <c r="P114" i="94"/>
  <c r="M19" i="92"/>
  <c r="AB144" i="91"/>
  <c r="L119" i="83"/>
  <c r="N63" i="82"/>
  <c r="O17" i="87"/>
  <c r="T114" i="84"/>
  <c r="Z136" i="91"/>
  <c r="Z21" i="84"/>
  <c r="N69" i="81"/>
  <c r="Q157" i="74"/>
  <c r="P11" i="82"/>
  <c r="Y133" i="88"/>
  <c r="Y92" i="82"/>
  <c r="L73" i="74"/>
  <c r="P66" i="74"/>
  <c r="AB119" i="82"/>
  <c r="Z148" i="81"/>
  <c r="Z123" i="85"/>
  <c r="Q173" i="81"/>
  <c r="Z147" i="84"/>
  <c r="Q166" i="91"/>
  <c r="X126" i="81"/>
  <c r="Q180" i="87"/>
  <c r="L164" i="89"/>
  <c r="M39" i="81"/>
  <c r="P103" i="89"/>
  <c r="AB73" i="94"/>
  <c r="O79" i="88"/>
  <c r="O178" i="83"/>
  <c r="L134" i="92"/>
  <c r="AA124" i="92"/>
  <c r="O74" i="88"/>
  <c r="X120" i="91"/>
  <c r="Z134" i="84"/>
  <c r="Y13" i="89"/>
  <c r="O72" i="83"/>
  <c r="T93" i="82"/>
  <c r="Y165" i="94"/>
  <c r="L83" i="82"/>
  <c r="L69" i="91"/>
  <c r="X129" i="91"/>
  <c r="Y152" i="84"/>
  <c r="AB37" i="91"/>
  <c r="Q99" i="81"/>
  <c r="AA59" i="74"/>
  <c r="O174" i="84"/>
  <c r="AA65" i="83"/>
  <c r="O43" i="93"/>
  <c r="O114" i="83"/>
  <c r="T138" i="74"/>
  <c r="Y155" i="83"/>
  <c r="O133" i="81"/>
  <c r="AA68" i="83"/>
  <c r="Q127" i="89"/>
  <c r="P136" i="82"/>
  <c r="Y39" i="74"/>
  <c r="L78" i="85"/>
  <c r="L140" i="81"/>
  <c r="L97" i="83"/>
  <c r="Y66" i="74"/>
  <c r="O174" i="89"/>
  <c r="Z85" i="82"/>
  <c r="Q136" i="84"/>
  <c r="AA92" i="89"/>
  <c r="O106" i="84"/>
  <c r="Y160" i="85"/>
  <c r="O98" i="85"/>
  <c r="Q96" i="84"/>
  <c r="T153" i="89"/>
  <c r="O119" i="93"/>
  <c r="X130" i="84"/>
  <c r="X131" i="85"/>
  <c r="Q141" i="92"/>
  <c r="AB129" i="91"/>
  <c r="L72" i="88"/>
  <c r="X33" i="74"/>
  <c r="Q165" i="81"/>
  <c r="Z175" i="94"/>
  <c r="P130" i="84"/>
  <c r="X172" i="87"/>
  <c r="AB37" i="88"/>
  <c r="L138" i="85"/>
  <c r="AA64" i="91"/>
  <c r="AB65" i="84"/>
  <c r="Q17" i="83"/>
  <c r="P68" i="85"/>
  <c r="P92" i="85"/>
  <c r="Y123" i="84"/>
  <c r="N87" i="87"/>
  <c r="AA11" i="81"/>
  <c r="P59" i="81"/>
  <c r="O157" i="84"/>
  <c r="AB173" i="82"/>
  <c r="T180" i="92"/>
  <c r="Z136" i="84"/>
  <c r="Z152" i="84"/>
  <c r="Z140" i="74"/>
  <c r="AB144" i="84"/>
  <c r="AA76" i="84"/>
  <c r="Y165" i="85"/>
  <c r="O61" i="81"/>
  <c r="L176" i="88"/>
  <c r="T51" i="85"/>
  <c r="O153" i="82"/>
  <c r="Z170" i="89"/>
  <c r="Y150" i="83"/>
  <c r="Q181" i="87"/>
  <c r="Z41" i="82"/>
  <c r="Y158" i="94"/>
  <c r="P35" i="82"/>
  <c r="AB137" i="81"/>
  <c r="AB180" i="82"/>
  <c r="X104" i="83"/>
  <c r="Z130" i="83"/>
  <c r="X75" i="87"/>
  <c r="Q146" i="81"/>
  <c r="Z164" i="83"/>
  <c r="P68" i="84"/>
  <c r="Q149" i="83"/>
  <c r="X156" i="82"/>
  <c r="AB134" i="81"/>
  <c r="AB138" i="84"/>
  <c r="Y147" i="87"/>
  <c r="Y65" i="87"/>
  <c r="AA76" i="89"/>
  <c r="AB133" i="83"/>
  <c r="X118" i="81"/>
  <c r="AB35" i="82"/>
  <c r="Q92" i="84"/>
  <c r="Y130" i="74"/>
  <c r="Z11" i="82"/>
  <c r="Q157" i="87"/>
  <c r="Z122" i="74"/>
  <c r="AA131" i="88"/>
  <c r="Q77" i="94"/>
  <c r="Z171" i="83"/>
  <c r="M25" i="93"/>
  <c r="X171" i="85"/>
  <c r="AB69" i="82"/>
  <c r="Z142" i="92"/>
  <c r="Q98" i="91"/>
  <c r="Y90" i="82"/>
  <c r="X93" i="82"/>
  <c r="Z70" i="74"/>
  <c r="P71" i="85"/>
  <c r="AA11" i="83"/>
  <c r="X98" i="88"/>
  <c r="AA119" i="83"/>
  <c r="AA125" i="87"/>
  <c r="AA171" i="82"/>
  <c r="Q66" i="89"/>
  <c r="L135" i="94"/>
  <c r="Q99" i="74"/>
  <c r="Z43" i="84"/>
  <c r="Q94" i="91"/>
  <c r="O86" i="84"/>
  <c r="P90" i="81"/>
  <c r="P78" i="74"/>
  <c r="Y103" i="81"/>
  <c r="O75" i="89"/>
  <c r="L142" i="84"/>
  <c r="L172" i="92"/>
  <c r="X108" i="84"/>
  <c r="AA86" i="89"/>
  <c r="AB67" i="82"/>
  <c r="L120" i="81"/>
  <c r="N21" i="91"/>
  <c r="AB47" i="83"/>
  <c r="AA120" i="85"/>
  <c r="P143" i="88"/>
  <c r="O120" i="74"/>
  <c r="AB140" i="83"/>
  <c r="O163" i="88"/>
  <c r="X82" i="83"/>
  <c r="Q75" i="83"/>
  <c r="Y132" i="74"/>
  <c r="O104" i="81"/>
  <c r="L175" i="74"/>
  <c r="AA19" i="89"/>
  <c r="AB25" i="83"/>
  <c r="Y97" i="82"/>
  <c r="O181" i="85"/>
  <c r="Y156" i="89"/>
  <c r="Z94" i="83"/>
  <c r="AA164" i="85"/>
  <c r="O103" i="74"/>
  <c r="O115" i="83"/>
  <c r="Y76" i="87"/>
  <c r="L144" i="87"/>
  <c r="Z106" i="91"/>
  <c r="O45" i="81"/>
  <c r="Y104" i="84"/>
  <c r="Y57" i="91"/>
  <c r="AA51" i="81"/>
  <c r="P69" i="91"/>
  <c r="Y164" i="81"/>
  <c r="AA65" i="74"/>
  <c r="Q29" i="81"/>
  <c r="Q77" i="91"/>
  <c r="O71" i="82"/>
  <c r="L165" i="91"/>
  <c r="AA63" i="92"/>
  <c r="AA164" i="88"/>
  <c r="O67" i="85"/>
  <c r="AA154" i="74"/>
  <c r="AB98" i="81"/>
  <c r="O39" i="85"/>
  <c r="Q176" i="89"/>
  <c r="N15" i="92"/>
  <c r="X65" i="82"/>
  <c r="AB162" i="82"/>
  <c r="Q35" i="87"/>
  <c r="P100" i="74"/>
  <c r="AA55" i="89"/>
  <c r="AB164" i="82"/>
  <c r="Z51" i="85"/>
  <c r="O90" i="87"/>
  <c r="Q182" i="81"/>
  <c r="O87" i="93"/>
  <c r="T96" i="88"/>
  <c r="AA161" i="74"/>
  <c r="O75" i="94"/>
  <c r="Q147" i="83"/>
  <c r="O125" i="87"/>
  <c r="X9" i="94"/>
  <c r="L144" i="94"/>
  <c r="L98" i="91"/>
  <c r="Z92" i="92"/>
  <c r="O155" i="83"/>
  <c r="Y112" i="87"/>
  <c r="AA77" i="81"/>
  <c r="T117" i="84"/>
  <c r="O59" i="81"/>
  <c r="L147" i="85"/>
  <c r="Q13" i="94"/>
  <c r="AA156" i="83"/>
  <c r="X63" i="87"/>
  <c r="P182" i="83"/>
  <c r="AA110" i="88"/>
  <c r="Y110" i="94"/>
  <c r="P94" i="89"/>
  <c r="O23" i="93"/>
  <c r="L80" i="82"/>
  <c r="O61" i="88"/>
  <c r="N123" i="89"/>
  <c r="AB122" i="83"/>
  <c r="Z75" i="83"/>
  <c r="Y17" i="94"/>
  <c r="P145" i="74"/>
  <c r="AA146" i="83"/>
  <c r="L105" i="82"/>
  <c r="O168" i="87"/>
  <c r="Y82" i="82"/>
  <c r="AA84" i="87"/>
  <c r="L151" i="82"/>
  <c r="P41" i="83"/>
  <c r="Q135" i="82"/>
  <c r="X19" i="74"/>
  <c r="X141" i="87"/>
  <c r="AB115" i="81"/>
  <c r="Y57" i="81"/>
  <c r="L106" i="91"/>
  <c r="Z97" i="74"/>
  <c r="X83" i="87"/>
  <c r="X59" i="92"/>
  <c r="AA171" i="81"/>
  <c r="Y110" i="81"/>
  <c r="L177" i="82"/>
  <c r="Q132" i="88"/>
  <c r="T45" i="88"/>
  <c r="Q175" i="88"/>
  <c r="O165" i="87"/>
  <c r="Z114" i="83"/>
  <c r="Z83" i="81"/>
  <c r="Q166" i="92"/>
  <c r="Y23" i="82"/>
  <c r="T66" i="81"/>
  <c r="AA69" i="81"/>
  <c r="T144" i="87"/>
  <c r="Y90" i="74"/>
  <c r="Y154" i="74"/>
  <c r="T105" i="94"/>
  <c r="N57" i="89"/>
  <c r="O108" i="94"/>
  <c r="P79" i="89"/>
  <c r="AA148" i="85"/>
  <c r="X143" i="85"/>
  <c r="AA45" i="93"/>
  <c r="AA114" i="87"/>
  <c r="AB9" i="94"/>
  <c r="X148" i="82"/>
  <c r="L87" i="85"/>
  <c r="P153" i="74"/>
  <c r="Q70" i="89"/>
  <c r="Z68" i="81"/>
  <c r="P180" i="74"/>
  <c r="AB149" i="82"/>
  <c r="AB25" i="82"/>
  <c r="P72" i="85"/>
  <c r="Q63" i="74"/>
  <c r="Q69" i="82"/>
  <c r="Z168" i="84"/>
  <c r="AA23" i="94"/>
  <c r="Z77" i="83"/>
  <c r="AB77" i="84"/>
  <c r="T147" i="91"/>
  <c r="P73" i="88"/>
  <c r="Z78" i="85"/>
  <c r="N81" i="91"/>
  <c r="X35" i="84"/>
  <c r="O85" i="81"/>
  <c r="Q57" i="89"/>
  <c r="X84" i="74"/>
  <c r="AB79" i="81"/>
  <c r="Y89" i="74"/>
  <c r="AA72" i="83"/>
  <c r="P130" i="81"/>
  <c r="Z80" i="74"/>
  <c r="Z71" i="91"/>
  <c r="Y145" i="87"/>
  <c r="Z76" i="83"/>
  <c r="AB15" i="85"/>
  <c r="Q141" i="82"/>
  <c r="Q65" i="89"/>
  <c r="O115" i="93"/>
  <c r="AA39" i="84"/>
  <c r="Q106" i="93"/>
  <c r="X112" i="83"/>
  <c r="O96" i="81"/>
  <c r="O170" i="74"/>
  <c r="AA85" i="88"/>
  <c r="P102" i="84"/>
  <c r="N114" i="74"/>
  <c r="P140" i="85"/>
  <c r="Z110" i="82"/>
  <c r="P155" i="83"/>
  <c r="AB17" i="87"/>
  <c r="T102" i="81"/>
  <c r="M23" i="85"/>
  <c r="Z11" i="83"/>
  <c r="Z92" i="93"/>
  <c r="X45" i="92"/>
  <c r="Y88" i="83"/>
  <c r="Y129" i="83"/>
  <c r="Z110" i="74"/>
  <c r="Z93" i="85"/>
  <c r="O125" i="84"/>
  <c r="AA168" i="83"/>
  <c r="L86" i="74"/>
  <c r="AB163" i="82"/>
  <c r="AB57" i="89"/>
  <c r="O112" i="81"/>
  <c r="Q141" i="84"/>
  <c r="L133" i="83"/>
  <c r="Z152" i="83"/>
  <c r="Z95" i="92"/>
  <c r="P141" i="83"/>
  <c r="Q67" i="85"/>
  <c r="AA126" i="88"/>
  <c r="Z174" i="87"/>
  <c r="O116" i="83"/>
  <c r="X121" i="84"/>
  <c r="AB94" i="82"/>
  <c r="L138" i="81"/>
  <c r="L100" i="88"/>
  <c r="Q136" i="89"/>
  <c r="X119" i="82"/>
  <c r="P99" i="85"/>
  <c r="P90" i="88"/>
  <c r="Q172" i="84"/>
  <c r="AB171" i="84"/>
  <c r="X33" i="82"/>
  <c r="Z9" i="89"/>
  <c r="X153" i="82"/>
  <c r="P31" i="82"/>
  <c r="Q11" i="87"/>
  <c r="L122" i="74"/>
  <c r="Q159" i="93"/>
  <c r="AA21" i="83"/>
  <c r="AB176" i="81"/>
  <c r="Y87" i="74"/>
  <c r="N129" i="82"/>
  <c r="AA66" i="74"/>
  <c r="Q9" i="87"/>
  <c r="X27" i="84"/>
  <c r="Y115" i="82"/>
  <c r="AA47" i="92"/>
  <c r="L137" i="83"/>
  <c r="Y66" i="82"/>
  <c r="P55" i="74"/>
  <c r="O100" i="81"/>
  <c r="O105" i="74"/>
  <c r="Z83" i="85"/>
  <c r="Q129" i="92"/>
  <c r="O144" i="84"/>
  <c r="Q119" i="92"/>
  <c r="AB93" i="85"/>
  <c r="X137" i="81"/>
  <c r="P111" i="88"/>
  <c r="M41" i="85"/>
  <c r="L76" i="85"/>
  <c r="X80" i="85"/>
  <c r="O63" i="82"/>
  <c r="X23" i="83"/>
  <c r="L88" i="81"/>
  <c r="AA97" i="83"/>
  <c r="P143" i="81"/>
  <c r="Y142" i="74"/>
  <c r="Y136" i="82"/>
  <c r="AA146" i="92"/>
  <c r="T21" i="93"/>
  <c r="Y124" i="89"/>
  <c r="Y109" i="81"/>
  <c r="N114" i="91"/>
  <c r="L65" i="83"/>
  <c r="AB113" i="81"/>
  <c r="AB114" i="83"/>
  <c r="AB127" i="88"/>
  <c r="AB164" i="87"/>
  <c r="L132" i="81"/>
  <c r="AA162" i="87"/>
  <c r="O29" i="87"/>
  <c r="X109" i="89"/>
  <c r="Z165" i="93"/>
  <c r="O172" i="82"/>
  <c r="AA151" i="87"/>
  <c r="L154" i="85"/>
  <c r="Y27" i="74"/>
  <c r="O94" i="81"/>
  <c r="L63" i="81"/>
  <c r="M45" i="89"/>
  <c r="AB120" i="84"/>
  <c r="AA149" i="87"/>
  <c r="L173" i="82"/>
  <c r="P93" i="74"/>
  <c r="Q156" i="81"/>
  <c r="X15" i="87"/>
  <c r="AB170" i="85"/>
  <c r="Q176" i="88"/>
  <c r="N27" i="92"/>
  <c r="X51" i="94"/>
  <c r="T39" i="87"/>
  <c r="AA124" i="81"/>
  <c r="O31" i="82"/>
  <c r="Y117" i="83"/>
  <c r="Z173" i="87"/>
  <c r="N114" i="85"/>
  <c r="P103" i="84"/>
  <c r="L160" i="84"/>
  <c r="L120" i="91"/>
  <c r="AA78" i="81"/>
  <c r="Z33" i="94"/>
  <c r="AB123" i="83"/>
  <c r="L171" i="85"/>
  <c r="P169" i="83"/>
  <c r="Z107" i="84"/>
  <c r="Y133" i="81"/>
  <c r="Z73" i="83"/>
  <c r="X180" i="92"/>
  <c r="L108" i="83"/>
  <c r="AB37" i="83"/>
  <c r="Q130" i="84"/>
  <c r="N132" i="74"/>
  <c r="AA107" i="83"/>
  <c r="T84" i="93"/>
  <c r="Y159" i="84"/>
  <c r="N27" i="84"/>
  <c r="Q39" i="88"/>
  <c r="AB35" i="83"/>
  <c r="AA70" i="74"/>
  <c r="AB43" i="84"/>
  <c r="AA76" i="83"/>
  <c r="L78" i="91"/>
  <c r="AA143" i="89"/>
  <c r="AB45" i="82"/>
  <c r="Q140" i="84"/>
  <c r="AA49" i="84"/>
  <c r="Q141" i="85"/>
  <c r="O148" i="85"/>
  <c r="X163" i="89"/>
  <c r="P124" i="84"/>
  <c r="P160" i="84"/>
  <c r="O147" i="81"/>
  <c r="X93" i="87"/>
  <c r="P116" i="82"/>
  <c r="Y161" i="74"/>
  <c r="T165" i="89"/>
  <c r="Z118" i="92"/>
  <c r="O9" i="85"/>
  <c r="X45" i="74"/>
  <c r="O108" i="74"/>
  <c r="X94" i="87"/>
  <c r="L115" i="89"/>
  <c r="Y41" i="87"/>
  <c r="Y149" i="85"/>
  <c r="T75" i="84"/>
  <c r="Q105" i="85"/>
  <c r="T177" i="74"/>
  <c r="O19" i="85"/>
  <c r="Z97" i="85"/>
  <c r="O164" i="94"/>
  <c r="AA49" i="93"/>
  <c r="X125" i="92"/>
  <c r="AB25" i="88"/>
  <c r="L107" i="91"/>
  <c r="L128" i="84"/>
  <c r="P55" i="91"/>
  <c r="Z173" i="84"/>
  <c r="Z154" i="82"/>
  <c r="AA176" i="84"/>
  <c r="P91" i="74"/>
  <c r="Q105" i="93"/>
  <c r="X133" i="88"/>
  <c r="Z157" i="85"/>
  <c r="AB154" i="92"/>
  <c r="Q69" i="81"/>
  <c r="O171" i="83"/>
  <c r="P78" i="85"/>
  <c r="N69" i="89"/>
  <c r="T69" i="83"/>
  <c r="T87" i="81"/>
  <c r="AB27" i="92"/>
  <c r="Z29" i="82"/>
  <c r="N51" i="84"/>
  <c r="L158" i="91"/>
  <c r="T51" i="82"/>
  <c r="Z37" i="87"/>
  <c r="Y98" i="91"/>
  <c r="L115" i="82"/>
  <c r="Z23" i="87"/>
  <c r="P139" i="87"/>
  <c r="Y127" i="91"/>
  <c r="L118" i="89"/>
  <c r="Q82" i="93"/>
  <c r="Z57" i="92"/>
  <c r="O157" i="91"/>
  <c r="N15" i="74"/>
  <c r="Q168" i="83"/>
  <c r="X71" i="81"/>
  <c r="AA140" i="74"/>
  <c r="AB47" i="91"/>
  <c r="O120" i="88"/>
  <c r="L178" i="91"/>
  <c r="Z110" i="81"/>
  <c r="Y71" i="81"/>
  <c r="AB21" i="85"/>
  <c r="AB109" i="83"/>
  <c r="Z59" i="81"/>
  <c r="Q180" i="74"/>
  <c r="AA81" i="88"/>
  <c r="Q151" i="92"/>
  <c r="Q75" i="85"/>
  <c r="AB132" i="83"/>
  <c r="N102" i="91"/>
  <c r="AB169" i="89"/>
  <c r="Y84" i="93"/>
  <c r="AA119" i="88"/>
  <c r="X173" i="82"/>
  <c r="O178" i="81"/>
  <c r="AA128" i="89"/>
  <c r="AA117" i="82"/>
  <c r="L77" i="81"/>
  <c r="O124" i="84"/>
  <c r="Z117" i="88"/>
  <c r="P162" i="82"/>
  <c r="P31" i="74"/>
  <c r="Z71" i="83"/>
  <c r="AB106" i="85"/>
  <c r="P51" i="84"/>
  <c r="L103" i="92"/>
  <c r="O132" i="74"/>
  <c r="Q103" i="85"/>
  <c r="L138" i="82"/>
  <c r="L126" i="87"/>
  <c r="X174" i="88"/>
  <c r="P37" i="74"/>
  <c r="P71" i="82"/>
  <c r="O75" i="81"/>
  <c r="Y70" i="91"/>
  <c r="T108" i="84"/>
  <c r="AB113" i="84"/>
  <c r="Z105" i="82"/>
  <c r="AA177" i="74"/>
  <c r="L66" i="84"/>
  <c r="P108" i="88"/>
  <c r="Q170" i="87"/>
  <c r="T156" i="88"/>
  <c r="O47" i="83"/>
  <c r="X154" i="81"/>
  <c r="X157" i="87"/>
  <c r="Y135" i="84"/>
  <c r="Y29" i="84"/>
  <c r="AB117" i="81"/>
  <c r="Z177" i="84"/>
  <c r="AB77" i="83"/>
  <c r="AA123" i="74"/>
  <c r="Z64" i="74"/>
  <c r="AB114" i="88"/>
  <c r="X78" i="84"/>
  <c r="X51" i="89"/>
  <c r="Z120" i="88"/>
  <c r="X110" i="74"/>
  <c r="P43" i="84"/>
  <c r="AA98" i="82"/>
  <c r="AA88" i="81"/>
  <c r="Y116" i="82"/>
  <c r="Y89" i="87"/>
  <c r="N168" i="74"/>
  <c r="P92" i="84"/>
  <c r="Q155" i="94"/>
  <c r="Q140" i="83"/>
  <c r="O178" i="85"/>
  <c r="P181" i="74"/>
  <c r="Z154" i="83"/>
  <c r="Q126" i="82"/>
  <c r="X90" i="89"/>
  <c r="X138" i="81"/>
  <c r="Z155" i="83"/>
  <c r="T180" i="82"/>
  <c r="O142" i="84"/>
  <c r="L123" i="85"/>
  <c r="Q67" i="81"/>
  <c r="Q25" i="93"/>
  <c r="AA140" i="85"/>
  <c r="M23" i="84"/>
  <c r="Q123" i="87"/>
  <c r="Y163" i="81"/>
  <c r="AB177" i="84"/>
  <c r="O181" i="81"/>
  <c r="Z157" i="82"/>
  <c r="AB147" i="88"/>
  <c r="X47" i="74"/>
  <c r="L171" i="88"/>
  <c r="AA163" i="74"/>
  <c r="Z154" i="88"/>
  <c r="Z15" i="91"/>
  <c r="O120" i="81"/>
  <c r="X100" i="81"/>
  <c r="AB96" i="83"/>
  <c r="X171" i="88"/>
  <c r="T171" i="93"/>
  <c r="Q182" i="82"/>
  <c r="AB144" i="88"/>
  <c r="L121" i="89"/>
  <c r="P96" i="74"/>
  <c r="Z145" i="93"/>
  <c r="O104" i="82"/>
  <c r="AB70" i="83"/>
  <c r="X19" i="92"/>
  <c r="X133" i="82"/>
  <c r="Z71" i="87"/>
  <c r="T9" i="92"/>
  <c r="Y145" i="82"/>
  <c r="L124" i="83"/>
  <c r="Y149" i="91"/>
  <c r="AB92" i="87"/>
  <c r="N108" i="85"/>
  <c r="AB125" i="84"/>
  <c r="L86" i="91"/>
  <c r="M41" i="94"/>
  <c r="O103" i="84"/>
  <c r="AA55" i="81"/>
  <c r="X21" i="82"/>
  <c r="L182" i="81"/>
  <c r="X180" i="74"/>
  <c r="AA115" i="91"/>
  <c r="O154" i="91"/>
  <c r="Q161" i="82"/>
  <c r="N135" i="82"/>
  <c r="Y156" i="92"/>
  <c r="T114" i="74"/>
  <c r="X149" i="82"/>
  <c r="Q85" i="74"/>
  <c r="AA101" i="85"/>
  <c r="P74" i="92"/>
  <c r="O76" i="84"/>
  <c r="Q71" i="84"/>
  <c r="P33" i="88"/>
  <c r="X71" i="85"/>
  <c r="O143" i="82"/>
  <c r="P131" i="74"/>
  <c r="X102" i="84"/>
  <c r="T141" i="87"/>
  <c r="Z171" i="88"/>
  <c r="T153" i="74"/>
  <c r="X63" i="85"/>
  <c r="Z80" i="84"/>
  <c r="N141" i="81"/>
  <c r="AB169" i="83"/>
  <c r="N15" i="89"/>
  <c r="Z171" i="82"/>
  <c r="Y95" i="82"/>
  <c r="O87" i="84"/>
  <c r="Q145" i="87"/>
  <c r="X165" i="82"/>
  <c r="P87" i="93"/>
  <c r="O120" i="83"/>
  <c r="Z94" i="81"/>
  <c r="P112" i="83"/>
  <c r="P80" i="82"/>
  <c r="AB98" i="85"/>
  <c r="O33" i="81"/>
  <c r="L116" i="74"/>
  <c r="N174" i="94"/>
  <c r="X129" i="81"/>
  <c r="P182" i="74"/>
  <c r="AA68" i="94"/>
  <c r="P19" i="74"/>
  <c r="P110" i="81"/>
  <c r="X66" i="92"/>
  <c r="Y49" i="81"/>
  <c r="P158" i="82"/>
  <c r="N150" i="84"/>
  <c r="X80" i="87"/>
  <c r="X53" i="83"/>
  <c r="X89" i="85"/>
  <c r="M13" i="74"/>
  <c r="L113" i="91"/>
  <c r="X116" i="82"/>
  <c r="AB96" i="82"/>
  <c r="Y159" i="88"/>
  <c r="X161" i="82"/>
  <c r="X43" i="83"/>
  <c r="M55" i="87"/>
  <c r="O37" i="81"/>
  <c r="P156" i="93"/>
  <c r="AB133" i="84"/>
  <c r="L76" i="82"/>
  <c r="O27" i="84"/>
  <c r="P103" i="92"/>
  <c r="X173" i="74"/>
  <c r="O39" i="92"/>
  <c r="Q37" i="89"/>
  <c r="Q57" i="85"/>
  <c r="P82" i="81"/>
  <c r="AB165" i="83"/>
  <c r="Z85" i="83"/>
  <c r="L137" i="74"/>
  <c r="T9" i="83"/>
  <c r="Y97" i="85"/>
  <c r="P119" i="74"/>
  <c r="L161" i="82"/>
  <c r="AA180" i="82"/>
  <c r="Y68" i="83"/>
  <c r="Q119" i="87"/>
  <c r="Z88" i="83"/>
  <c r="X43" i="74"/>
  <c r="M47" i="92"/>
  <c r="Y154" i="83"/>
  <c r="O136" i="81"/>
  <c r="Q156" i="87"/>
  <c r="AA11" i="93"/>
  <c r="O162" i="84"/>
  <c r="O104" i="89"/>
  <c r="AA92" i="74"/>
  <c r="O84" i="81"/>
  <c r="P145" i="94"/>
  <c r="P168" i="81"/>
  <c r="Q123" i="74"/>
  <c r="Z126" i="74"/>
  <c r="Q51" i="81"/>
  <c r="P79" i="85"/>
  <c r="M53" i="81"/>
  <c r="Z140" i="94"/>
  <c r="P94" i="84"/>
  <c r="X35" i="81"/>
  <c r="O51" i="74"/>
  <c r="O141" i="89"/>
  <c r="O64" i="74"/>
  <c r="Y82" i="81"/>
  <c r="Y25" i="87"/>
  <c r="O121" i="84"/>
  <c r="Q137" i="91"/>
  <c r="Y33" i="89"/>
  <c r="P140" i="83"/>
  <c r="X29" i="74"/>
  <c r="O35" i="83"/>
  <c r="Z141" i="88"/>
  <c r="L118" i="81"/>
  <c r="Y105" i="93"/>
  <c r="AB128" i="87"/>
  <c r="P148" i="87"/>
  <c r="P176" i="83"/>
  <c r="X80" i="84"/>
  <c r="O27" i="74"/>
  <c r="Q108" i="81"/>
  <c r="O164" i="74"/>
  <c r="X175" i="88"/>
  <c r="Y158" i="85"/>
  <c r="AA173" i="81"/>
  <c r="Q118" i="87"/>
  <c r="P151" i="92"/>
  <c r="Y164" i="85"/>
  <c r="AA121" i="85"/>
  <c r="M25" i="74"/>
  <c r="Q171" i="91"/>
  <c r="T162" i="91"/>
  <c r="Y25" i="74"/>
  <c r="P168" i="83"/>
  <c r="Z13" i="84"/>
  <c r="N27" i="83"/>
  <c r="X71" i="91"/>
  <c r="P86" i="89"/>
  <c r="AA171" i="89"/>
  <c r="Q96" i="89"/>
  <c r="X79" i="83"/>
  <c r="Y73" i="94"/>
  <c r="N69" i="84"/>
  <c r="AA23" i="74"/>
  <c r="X113" i="89"/>
  <c r="Y97" i="92"/>
  <c r="AA141" i="83"/>
  <c r="Q125" i="74"/>
  <c r="X147" i="83"/>
  <c r="M61" i="81"/>
  <c r="Y37" i="82"/>
  <c r="N84" i="83"/>
  <c r="P168" i="92"/>
  <c r="Y108" i="85"/>
  <c r="L148" i="82"/>
  <c r="X91" i="85"/>
  <c r="O107" i="74"/>
  <c r="Q69" i="85"/>
  <c r="L92" i="87"/>
  <c r="Y151" i="83"/>
  <c r="Q53" i="74"/>
  <c r="O180" i="93"/>
  <c r="N177" i="81"/>
  <c r="AA92" i="91"/>
  <c r="Z95" i="88"/>
  <c r="Z150" i="87"/>
  <c r="P175" i="84"/>
  <c r="Z29" i="89"/>
  <c r="AA43" i="91"/>
  <c r="P128" i="84"/>
  <c r="N15" i="94"/>
  <c r="AA97" i="74"/>
  <c r="Y82" i="84"/>
  <c r="Z23" i="88"/>
  <c r="T117" i="93"/>
  <c r="Z82" i="81"/>
  <c r="O163" i="91"/>
  <c r="Y77" i="93"/>
  <c r="Q78" i="93"/>
  <c r="AB165" i="92"/>
  <c r="P185" i="84"/>
  <c r="AB173" i="88"/>
  <c r="AA119" i="84"/>
  <c r="AB111" i="85"/>
  <c r="Y61" i="89"/>
  <c r="O119" i="88"/>
  <c r="X153" i="83"/>
  <c r="AB156" i="83"/>
  <c r="N105" i="89"/>
  <c r="L176" i="81"/>
  <c r="M17" i="84"/>
  <c r="Q57" i="82"/>
  <c r="Z17" i="81"/>
  <c r="P162" i="88"/>
  <c r="Y170" i="83"/>
  <c r="Q166" i="83"/>
  <c r="Y96" i="81"/>
  <c r="Z115" i="84"/>
  <c r="Y144" i="82"/>
  <c r="X55" i="94"/>
  <c r="AB105" i="91"/>
  <c r="O171" i="81"/>
  <c r="Y148" i="74"/>
  <c r="X43" i="82"/>
  <c r="L160" i="74"/>
  <c r="AB116" i="85"/>
  <c r="O78" i="89"/>
  <c r="AA47" i="74"/>
  <c r="T132" i="83"/>
  <c r="P173" i="88"/>
  <c r="Y121" i="84"/>
  <c r="AB175" i="84"/>
  <c r="M33" i="83"/>
  <c r="P159" i="74"/>
  <c r="AA161" i="91"/>
  <c r="Z110" i="88"/>
  <c r="P77" i="87"/>
  <c r="AB95" i="91"/>
  <c r="Y100" i="74"/>
  <c r="P99" i="81"/>
  <c r="Z169" i="83"/>
  <c r="M11" i="93"/>
  <c r="L153" i="81"/>
  <c r="P140" i="74"/>
  <c r="Q145" i="84"/>
  <c r="L67" i="85"/>
  <c r="X140" i="82"/>
  <c r="O27" i="82"/>
  <c r="T51" i="92"/>
  <c r="Q91" i="82"/>
  <c r="O35" i="81"/>
  <c r="T75" i="93"/>
  <c r="T111" i="74"/>
  <c r="AA27" i="91"/>
  <c r="X177" i="81"/>
  <c r="M47" i="93"/>
  <c r="X96" i="85"/>
  <c r="Z100" i="74"/>
  <c r="AB111" i="88"/>
  <c r="Y154" i="94"/>
  <c r="Z127" i="81"/>
  <c r="AB145" i="82"/>
  <c r="Z128" i="82"/>
  <c r="AB49" i="81"/>
  <c r="Z66" i="83"/>
  <c r="L132" i="74"/>
  <c r="Y112" i="74"/>
  <c r="P55" i="84"/>
  <c r="Y117" i="85"/>
  <c r="AB128" i="92"/>
  <c r="P133" i="89"/>
  <c r="L113" i="74"/>
  <c r="AA125" i="84"/>
  <c r="AB109" i="92"/>
  <c r="L72" i="81"/>
  <c r="X162" i="83"/>
  <c r="Q94" i="81"/>
  <c r="L157" i="94"/>
  <c r="AA180" i="81"/>
  <c r="O97" i="92"/>
  <c r="T126" i="92"/>
  <c r="AA100" i="82"/>
  <c r="X95" i="91"/>
  <c r="AA99" i="82"/>
  <c r="Y92" i="91"/>
  <c r="O49" i="87"/>
  <c r="Y84" i="91"/>
  <c r="P132" i="83"/>
  <c r="AB98" i="87"/>
  <c r="AB108" i="83"/>
  <c r="P83" i="87"/>
  <c r="Q143" i="93"/>
  <c r="O95" i="82"/>
  <c r="L170" i="81"/>
  <c r="X73" i="92"/>
  <c r="Z90" i="93"/>
  <c r="X152" i="74"/>
  <c r="P174" i="93"/>
  <c r="X145" i="88"/>
  <c r="Z83" i="82"/>
  <c r="Q85" i="81"/>
  <c r="O37" i="74"/>
  <c r="X68" i="82"/>
  <c r="M19" i="93"/>
  <c r="Q72" i="88"/>
  <c r="Z158" i="82"/>
  <c r="Z17" i="92"/>
  <c r="M29" i="84"/>
  <c r="X106" i="82"/>
  <c r="P156" i="83"/>
  <c r="AA138" i="82"/>
  <c r="O61" i="74"/>
  <c r="T87" i="94"/>
  <c r="O55" i="74"/>
  <c r="P108" i="82"/>
  <c r="AB112" i="82"/>
  <c r="X92" i="85"/>
  <c r="P71" i="87"/>
  <c r="X115" i="74"/>
  <c r="N90" i="85"/>
  <c r="O130" i="74"/>
  <c r="P17" i="81"/>
  <c r="L90" i="89"/>
  <c r="Y85" i="84"/>
  <c r="O75" i="74"/>
  <c r="AA57" i="83"/>
  <c r="T126" i="85"/>
  <c r="AA96" i="81"/>
  <c r="X92" i="91"/>
  <c r="O114" i="94"/>
  <c r="Z163" i="74"/>
  <c r="AA66" i="87"/>
  <c r="Y66" i="88"/>
  <c r="Z66" i="81"/>
  <c r="P72" i="84"/>
  <c r="P147" i="89"/>
  <c r="Z9" i="91"/>
  <c r="AA61" i="83"/>
  <c r="AA87" i="89"/>
  <c r="P154" i="91"/>
  <c r="L129" i="74"/>
  <c r="P61" i="85"/>
  <c r="O144" i="81"/>
  <c r="Y174" i="82"/>
  <c r="Q29" i="82"/>
  <c r="L75" i="84"/>
  <c r="L165" i="81"/>
  <c r="Z166" i="92"/>
  <c r="Q170" i="84"/>
  <c r="N126" i="91"/>
  <c r="Q160" i="81"/>
  <c r="Z45" i="74"/>
  <c r="L105" i="89"/>
  <c r="X134" i="83"/>
  <c r="X130" i="83"/>
  <c r="O115" i="89"/>
  <c r="X140" i="81"/>
  <c r="O129" i="81"/>
  <c r="O165" i="91"/>
  <c r="AA143" i="82"/>
  <c r="P123" i="92"/>
  <c r="Z87" i="94"/>
  <c r="O100" i="89"/>
  <c r="Q130" i="83"/>
  <c r="AA168" i="89"/>
  <c r="P45" i="87"/>
  <c r="AB131" i="84"/>
  <c r="Y145" i="93"/>
  <c r="P49" i="84"/>
  <c r="Z11" i="87"/>
  <c r="Z131" i="91"/>
  <c r="Y23" i="85"/>
  <c r="P160" i="82"/>
  <c r="Q86" i="88"/>
  <c r="M29" i="87"/>
  <c r="L74" i="89"/>
  <c r="Y19" i="92"/>
  <c r="Q154" i="81"/>
  <c r="L108" i="91"/>
  <c r="AB57" i="82"/>
  <c r="AB86" i="84"/>
  <c r="Z25" i="87"/>
  <c r="Y111" i="74"/>
  <c r="Z101" i="74"/>
  <c r="L184" i="83"/>
  <c r="X134" i="81"/>
  <c r="L80" i="83"/>
  <c r="Q141" i="74"/>
  <c r="Y29" i="74"/>
  <c r="AA67" i="87"/>
  <c r="Y68" i="82"/>
  <c r="P97" i="89"/>
  <c r="X153" i="81"/>
  <c r="O160" i="88"/>
  <c r="Y147" i="83"/>
  <c r="Y17" i="84"/>
  <c r="X118" i="88"/>
  <c r="T96" i="91"/>
  <c r="X9" i="88"/>
  <c r="L147" i="84"/>
  <c r="Y145" i="74"/>
  <c r="Q19" i="84"/>
  <c r="X59" i="85"/>
  <c r="Q166" i="82"/>
  <c r="Q122" i="84"/>
  <c r="N159" i="81"/>
  <c r="Z94" i="85"/>
  <c r="AA116" i="74"/>
  <c r="X118" i="85"/>
  <c r="T84" i="92"/>
  <c r="Q91" i="85"/>
  <c r="P131" i="83"/>
  <c r="L104" i="83"/>
  <c r="N117" i="81"/>
  <c r="Q90" i="85"/>
  <c r="AB162" i="87"/>
  <c r="N9" i="89"/>
  <c r="M25" i="81"/>
  <c r="Q164" i="83"/>
  <c r="Z177" i="74"/>
  <c r="AA166" i="89"/>
  <c r="P72" i="81"/>
  <c r="P123" i="85"/>
  <c r="X180" i="89"/>
  <c r="Y158" i="74"/>
  <c r="L135" i="89"/>
  <c r="AA90" i="91"/>
  <c r="O11" i="83"/>
  <c r="AA110" i="87"/>
  <c r="Y175" i="85"/>
  <c r="AA61" i="82"/>
  <c r="Q89" i="83"/>
  <c r="T147" i="93"/>
  <c r="X144" i="81"/>
  <c r="Q88" i="85"/>
  <c r="Q157" i="85"/>
  <c r="T108" i="83"/>
  <c r="Y70" i="74"/>
  <c r="Q77" i="74"/>
  <c r="AA175" i="87"/>
  <c r="L176" i="83"/>
  <c r="Z78" i="94"/>
  <c r="N39" i="82"/>
  <c r="Z81" i="74"/>
  <c r="X106" i="89"/>
  <c r="Y23" i="84"/>
  <c r="P116" i="94"/>
  <c r="L171" i="81"/>
  <c r="X31" i="92"/>
  <c r="M11" i="82"/>
  <c r="AA35" i="94"/>
  <c r="Q158" i="74"/>
  <c r="Z99" i="84"/>
  <c r="O132" i="81"/>
  <c r="O138" i="85"/>
  <c r="Z55" i="92"/>
  <c r="T90" i="92"/>
  <c r="X107" i="91"/>
  <c r="Q134" i="87"/>
  <c r="Q122" i="81"/>
  <c r="AA121" i="82"/>
  <c r="T27" i="94"/>
  <c r="L77" i="74"/>
  <c r="Y27" i="82"/>
  <c r="T123" i="92"/>
  <c r="Z86" i="82"/>
  <c r="O101" i="81"/>
  <c r="AB119" i="83"/>
  <c r="Z87" i="92"/>
  <c r="AB75" i="89"/>
  <c r="L68" i="83"/>
  <c r="L134" i="83"/>
  <c r="O91" i="84"/>
  <c r="N93" i="83"/>
  <c r="T105" i="84"/>
  <c r="L66" i="91"/>
  <c r="L160" i="83"/>
  <c r="O110" i="83"/>
  <c r="M21" i="91"/>
  <c r="AA33" i="84"/>
  <c r="AB119" i="85"/>
  <c r="L177" i="74"/>
  <c r="L135" i="74"/>
  <c r="P172" i="91"/>
  <c r="X176" i="82"/>
  <c r="L117" i="93"/>
  <c r="AA150" i="89"/>
  <c r="L136" i="87"/>
  <c r="Y83" i="89"/>
  <c r="Q152" i="81"/>
  <c r="L91" i="85"/>
  <c r="Q129" i="94"/>
  <c r="AA29" i="88"/>
  <c r="T129" i="91"/>
  <c r="P71" i="83"/>
  <c r="AB79" i="85"/>
  <c r="P94" i="85"/>
  <c r="Z109" i="74"/>
  <c r="O131" i="81"/>
  <c r="P169" i="88"/>
  <c r="L135" i="83"/>
  <c r="L92" i="81"/>
  <c r="N90" i="82"/>
  <c r="X17" i="82"/>
  <c r="Q43" i="83"/>
  <c r="T39" i="82"/>
  <c r="X25" i="83"/>
  <c r="AA29" i="74"/>
  <c r="O33" i="83"/>
  <c r="N45" i="89"/>
  <c r="N66" i="87"/>
  <c r="Y148" i="82"/>
  <c r="AA80" i="89"/>
  <c r="AB75" i="94"/>
  <c r="AA167" i="89"/>
  <c r="P88" i="82"/>
  <c r="M25" i="88"/>
  <c r="L65" i="93"/>
  <c r="L107" i="83"/>
  <c r="Y21" i="88"/>
  <c r="Z138" i="74"/>
  <c r="O140" i="74"/>
  <c r="O149" i="83"/>
  <c r="AA124" i="74"/>
  <c r="O147" i="93"/>
  <c r="Y132" i="85"/>
  <c r="Y66" i="81"/>
  <c r="Q116" i="85"/>
  <c r="AB41" i="84"/>
  <c r="AA127" i="93"/>
  <c r="O169" i="91"/>
  <c r="Y96" i="84"/>
  <c r="Z158" i="85"/>
  <c r="X85" i="74"/>
  <c r="L174" i="83"/>
  <c r="L85" i="81"/>
  <c r="Y125" i="83"/>
  <c r="Q120" i="83"/>
  <c r="AA109" i="81"/>
  <c r="Z154" i="89"/>
  <c r="Z72" i="82"/>
  <c r="Z177" i="91"/>
  <c r="Q83" i="85"/>
  <c r="Z121" i="88"/>
  <c r="Y19" i="82"/>
  <c r="P88" i="87"/>
  <c r="AB19" i="84"/>
  <c r="AB69" i="84"/>
  <c r="X140" i="74"/>
  <c r="Z103" i="84"/>
  <c r="Q65" i="83"/>
  <c r="O172" i="89"/>
  <c r="Q77" i="83"/>
  <c r="Y131" i="87"/>
  <c r="Z49" i="81"/>
  <c r="X61" i="74"/>
  <c r="X108" i="92"/>
  <c r="P53" i="81"/>
  <c r="AB84" i="83"/>
  <c r="Z15" i="88"/>
  <c r="T51" i="81"/>
  <c r="P152" i="82"/>
  <c r="O130" i="84"/>
  <c r="X156" i="85"/>
  <c r="L132" i="84"/>
  <c r="Q83" i="81"/>
  <c r="Q127" i="94"/>
  <c r="AA152" i="74"/>
  <c r="AA51" i="82"/>
  <c r="Q73" i="83"/>
  <c r="T21" i="81"/>
  <c r="AA39" i="87"/>
  <c r="O65" i="81"/>
  <c r="X86" i="88"/>
  <c r="Q176" i="87"/>
  <c r="P63" i="83"/>
  <c r="Z91" i="81"/>
  <c r="AA167" i="81"/>
  <c r="X53" i="91"/>
  <c r="X88" i="91"/>
  <c r="Q103" i="88"/>
  <c r="Y72" i="85"/>
  <c r="O80" i="89"/>
  <c r="O49" i="83"/>
  <c r="AA71" i="85"/>
  <c r="X163" i="83"/>
  <c r="P137" i="91"/>
  <c r="Q101" i="83"/>
  <c r="P125" i="87"/>
  <c r="O118" i="87"/>
  <c r="Z51" i="88"/>
  <c r="X79" i="89"/>
  <c r="AA29" i="91"/>
  <c r="Q150" i="89"/>
  <c r="O97" i="82"/>
  <c r="P92" i="81"/>
  <c r="P171" i="83"/>
  <c r="Q170" i="74"/>
  <c r="L138" i="91"/>
  <c r="O171" i="91"/>
  <c r="AB89" i="83"/>
  <c r="P139" i="82"/>
  <c r="AB15" i="82"/>
  <c r="Y126" i="83"/>
  <c r="Q167" i="82"/>
  <c r="Q55" i="83"/>
  <c r="AA73" i="74"/>
  <c r="Y162" i="85"/>
  <c r="AA68" i="87"/>
  <c r="Y102" i="88"/>
  <c r="P114" i="81"/>
  <c r="Y138" i="85"/>
  <c r="AA123" i="83"/>
  <c r="T75" i="87"/>
  <c r="N126" i="74"/>
  <c r="P113" i="85"/>
  <c r="Z112" i="82"/>
  <c r="M27" i="74"/>
  <c r="Y166" i="83"/>
  <c r="AA71" i="74"/>
  <c r="T138" i="87"/>
  <c r="Q88" i="93"/>
  <c r="O168" i="88"/>
  <c r="Y66" i="83"/>
  <c r="P80" i="81"/>
  <c r="AA135" i="74"/>
  <c r="X180" i="87"/>
  <c r="T102" i="93"/>
  <c r="AA87" i="85"/>
  <c r="X82" i="85"/>
  <c r="AB177" i="81"/>
  <c r="Q110" i="89"/>
  <c r="Z111" i="88"/>
  <c r="Y43" i="83"/>
  <c r="T129" i="94"/>
  <c r="X111" i="84"/>
  <c r="AA147" i="81"/>
  <c r="Y51" i="85"/>
  <c r="O146" i="82"/>
  <c r="T39" i="94"/>
  <c r="Z66" i="84"/>
  <c r="T135" i="85"/>
  <c r="AA161" i="83"/>
  <c r="T102" i="88"/>
  <c r="AB74" i="85"/>
  <c r="Z168" i="92"/>
  <c r="X160" i="85"/>
  <c r="Q164" i="82"/>
  <c r="Y109" i="83"/>
  <c r="O103" i="81"/>
  <c r="Q79" i="74"/>
  <c r="AA166" i="82"/>
  <c r="X171" i="83"/>
  <c r="Z51" i="91"/>
  <c r="O136" i="92"/>
  <c r="L175" i="84"/>
  <c r="Z83" i="74"/>
  <c r="AA148" i="83"/>
  <c r="Y100" i="88"/>
  <c r="AA154" i="93"/>
  <c r="X25" i="74"/>
  <c r="P90" i="82"/>
  <c r="O13" i="89"/>
  <c r="Q13" i="92"/>
  <c r="Y33" i="83"/>
  <c r="L124" i="81"/>
  <c r="AA122" i="81"/>
  <c r="T75" i="74"/>
  <c r="N63" i="81"/>
  <c r="AB68" i="81"/>
  <c r="P106" i="91"/>
  <c r="Q29" i="85"/>
  <c r="L163" i="85"/>
  <c r="Y154" i="89"/>
  <c r="Q66" i="85"/>
  <c r="AB17" i="82"/>
  <c r="O79" i="92"/>
  <c r="T39" i="74"/>
  <c r="Z98" i="81"/>
  <c r="Q145" i="83"/>
  <c r="O173" i="88"/>
  <c r="N72" i="94"/>
  <c r="Y176" i="82"/>
  <c r="L133" i="88"/>
  <c r="X99" i="81"/>
  <c r="Z167" i="74"/>
  <c r="O179" i="82"/>
  <c r="L112" i="82"/>
  <c r="Z11" i="84"/>
  <c r="N108" i="81"/>
  <c r="Z142" i="94"/>
  <c r="L157" i="74"/>
  <c r="O63" i="89"/>
  <c r="Z43" i="74"/>
  <c r="L101" i="84"/>
  <c r="L67" i="81"/>
  <c r="Y116" i="85"/>
  <c r="Q15" i="93"/>
  <c r="L119" i="81"/>
  <c r="P82" i="88"/>
  <c r="Y145" i="83"/>
  <c r="Q83" i="89"/>
  <c r="O113" i="74"/>
  <c r="Z109" i="85"/>
  <c r="Y98" i="84"/>
  <c r="Y19" i="83"/>
  <c r="Z17" i="83"/>
  <c r="P154" i="94"/>
  <c r="X104" i="81"/>
  <c r="T126" i="74"/>
  <c r="AA133" i="85"/>
  <c r="N21" i="92"/>
  <c r="L177" i="81"/>
  <c r="O137" i="84"/>
  <c r="AA164" i="81"/>
  <c r="O136" i="74"/>
  <c r="AB153" i="88"/>
  <c r="T162" i="92"/>
  <c r="AA72" i="87"/>
  <c r="O160" i="93"/>
  <c r="Q131" i="91"/>
  <c r="Q167" i="84"/>
  <c r="L69" i="94"/>
  <c r="X68" i="93"/>
  <c r="P139" i="83"/>
  <c r="N75" i="74"/>
  <c r="Y93" i="87"/>
  <c r="L81" i="81"/>
  <c r="AA140" i="84"/>
  <c r="X57" i="74"/>
  <c r="L180" i="92"/>
  <c r="P35" i="83"/>
  <c r="P45" i="84"/>
  <c r="Y122" i="91"/>
  <c r="P131" i="91"/>
  <c r="Q143" i="82"/>
  <c r="O147" i="84"/>
  <c r="N147" i="91"/>
  <c r="P67" i="84"/>
  <c r="AB159" i="83"/>
  <c r="Q117" i="82"/>
  <c r="Y19" i="91"/>
  <c r="P39" i="88"/>
  <c r="AA63" i="74"/>
  <c r="AB140" i="82"/>
  <c r="AA104" i="87"/>
  <c r="AA101" i="83"/>
  <c r="Z90" i="83"/>
  <c r="X118" i="82"/>
  <c r="AB128" i="89"/>
  <c r="AA129" i="92"/>
  <c r="AA151" i="91"/>
  <c r="P154" i="83"/>
  <c r="Q73" i="74"/>
  <c r="L117" i="85"/>
  <c r="O138" i="87"/>
  <c r="Z175" i="87"/>
  <c r="O102" i="92"/>
  <c r="Z47" i="82"/>
  <c r="X107" i="81"/>
  <c r="Z23" i="91"/>
  <c r="Z153" i="84"/>
  <c r="AB169" i="85"/>
  <c r="Q91" i="91"/>
  <c r="Y124" i="82"/>
  <c r="Y114" i="92"/>
  <c r="Y137" i="82"/>
  <c r="L73" i="85"/>
  <c r="Q47" i="93"/>
  <c r="T111" i="84"/>
  <c r="O35" i="91"/>
  <c r="L118" i="88"/>
  <c r="P90" i="83"/>
  <c r="L94" i="85"/>
  <c r="P92" i="87"/>
  <c r="X57" i="85"/>
  <c r="L145" i="82"/>
  <c r="AA82" i="85"/>
  <c r="N147" i="84"/>
  <c r="O128" i="74"/>
  <c r="AB76" i="89"/>
  <c r="T78" i="88"/>
  <c r="AA123" i="87"/>
  <c r="P49" i="91"/>
  <c r="T99" i="93"/>
  <c r="L159" i="82"/>
  <c r="AB125" i="81"/>
  <c r="O103" i="85"/>
  <c r="Z123" i="91"/>
  <c r="Q88" i="84"/>
  <c r="P155" i="81"/>
  <c r="T72" i="84"/>
  <c r="AB154" i="84"/>
  <c r="Q181" i="85"/>
  <c r="AA11" i="82"/>
  <c r="AA133" i="74"/>
  <c r="Q95" i="83"/>
  <c r="N147" i="83"/>
  <c r="P45" i="74"/>
  <c r="L178" i="81"/>
  <c r="Z49" i="74"/>
  <c r="O166" i="91"/>
  <c r="Y107" i="87"/>
  <c r="AA65" i="88"/>
  <c r="O67" i="82"/>
  <c r="P73" i="89"/>
  <c r="Q29" i="89"/>
  <c r="Y90" i="81"/>
  <c r="Z103" i="85"/>
  <c r="X135" i="82"/>
  <c r="X105" i="85"/>
  <c r="T177" i="93"/>
  <c r="T21" i="85"/>
  <c r="AA66" i="88"/>
  <c r="Z120" i="83"/>
  <c r="X117" i="84"/>
  <c r="Q116" i="81"/>
  <c r="AB21" i="84"/>
  <c r="Q81" i="88"/>
  <c r="Z23" i="82"/>
  <c r="X37" i="84"/>
  <c r="Q114" i="74"/>
  <c r="L129" i="83"/>
  <c r="L133" i="91"/>
  <c r="P131" i="85"/>
  <c r="P161" i="85"/>
  <c r="X59" i="82"/>
  <c r="AB127" i="83"/>
  <c r="AB87" i="82"/>
  <c r="Y55" i="88"/>
  <c r="Z155" i="84"/>
  <c r="AA158" i="87"/>
  <c r="Y116" i="81"/>
  <c r="Y111" i="81"/>
  <c r="Z132" i="83"/>
  <c r="X102" i="74"/>
  <c r="Z148" i="83"/>
  <c r="L102" i="82"/>
  <c r="P89" i="81"/>
  <c r="O162" i="81"/>
  <c r="M21" i="84"/>
  <c r="X170" i="85"/>
  <c r="P15" i="74"/>
  <c r="P45" i="83"/>
  <c r="X13" i="87"/>
  <c r="L163" i="94"/>
  <c r="AA92" i="84"/>
  <c r="AA150" i="82"/>
  <c r="N129" i="81"/>
  <c r="AB88" i="81"/>
  <c r="Y95" i="88"/>
  <c r="M41" i="84"/>
  <c r="Q98" i="81"/>
  <c r="Q109" i="84"/>
  <c r="Y78" i="85"/>
  <c r="L150" i="89"/>
  <c r="T153" i="82"/>
  <c r="X43" i="91"/>
  <c r="AA112" i="84"/>
  <c r="AA109" i="83"/>
  <c r="Y141" i="81"/>
  <c r="AB25" i="94"/>
  <c r="AA83" i="81"/>
  <c r="N63" i="84"/>
  <c r="O165" i="82"/>
  <c r="X139" i="83"/>
  <c r="P85" i="82"/>
  <c r="T129" i="74"/>
  <c r="L173" i="81"/>
  <c r="T9" i="84"/>
  <c r="AA124" i="87"/>
  <c r="L156" i="87"/>
  <c r="AA158" i="83"/>
  <c r="AA135" i="82"/>
  <c r="O169" i="74"/>
  <c r="AA138" i="87"/>
  <c r="P158" i="88"/>
  <c r="X99" i="82"/>
  <c r="O92" i="91"/>
  <c r="M27" i="88"/>
  <c r="Y82" i="89"/>
  <c r="P148" i="88"/>
  <c r="Z11" i="85"/>
  <c r="Q86" i="84"/>
  <c r="O180" i="84"/>
  <c r="Y86" i="82"/>
  <c r="Q155" i="74"/>
  <c r="Q100" i="85"/>
  <c r="N51" i="85"/>
  <c r="P25" i="88"/>
  <c r="AA83" i="82"/>
  <c r="O154" i="85"/>
  <c r="O65" i="84"/>
  <c r="O157" i="81"/>
  <c r="Q165" i="74"/>
  <c r="X109" i="84"/>
  <c r="X51" i="82"/>
  <c r="X102" i="82"/>
  <c r="P132" i="82"/>
  <c r="O41" i="91"/>
  <c r="Q111" i="81"/>
  <c r="O176" i="89"/>
  <c r="Y168" i="81"/>
  <c r="AB175" i="83"/>
  <c r="AB91" i="85"/>
  <c r="X152" i="85"/>
  <c r="AA148" i="84"/>
  <c r="P180" i="83"/>
  <c r="Y101" i="84"/>
  <c r="Z78" i="81"/>
  <c r="Q134" i="92"/>
  <c r="Q59" i="81"/>
  <c r="AB177" i="83"/>
  <c r="L65" i="74"/>
  <c r="AB146" i="81"/>
  <c r="Z21" i="85"/>
  <c r="T93" i="92"/>
  <c r="N132" i="83"/>
  <c r="Q129" i="84"/>
  <c r="O141" i="85"/>
  <c r="Q76" i="87"/>
  <c r="Q59" i="85"/>
  <c r="Q172" i="87"/>
  <c r="X162" i="93"/>
  <c r="AB119" i="81"/>
  <c r="AB109" i="89"/>
  <c r="Y110" i="89"/>
  <c r="AB94" i="93"/>
  <c r="Q114" i="82"/>
  <c r="Z180" i="74"/>
  <c r="AB97" i="85"/>
  <c r="Y172" i="84"/>
  <c r="Y169" i="81"/>
  <c r="AB118" i="91"/>
  <c r="P141" i="82"/>
  <c r="AB104" i="93"/>
  <c r="Y100" i="85"/>
  <c r="Q143" i="81"/>
  <c r="P168" i="82"/>
  <c r="L179" i="82"/>
  <c r="Z133" i="84"/>
  <c r="AA153" i="85"/>
  <c r="L108" i="82"/>
  <c r="Q15" i="88"/>
  <c r="Z98" i="87"/>
  <c r="X159" i="83"/>
  <c r="P76" i="87"/>
  <c r="AB135" i="81"/>
  <c r="X127" i="92"/>
  <c r="Z151" i="91"/>
  <c r="AB61" i="84"/>
  <c r="Q87" i="85"/>
  <c r="M61" i="82"/>
  <c r="AA74" i="92"/>
  <c r="O27" i="88"/>
  <c r="Y167" i="74"/>
  <c r="Q33" i="88"/>
  <c r="Z125" i="88"/>
  <c r="Z170" i="81"/>
  <c r="Z63" i="89"/>
  <c r="O144" i="89"/>
  <c r="O133" i="74"/>
  <c r="Y91" i="84"/>
  <c r="Z107" i="82"/>
  <c r="Y172" i="87"/>
  <c r="Q119" i="82"/>
  <c r="X29" i="83"/>
  <c r="N162" i="83"/>
  <c r="Z160" i="81"/>
  <c r="T135" i="94"/>
  <c r="Z53" i="81"/>
  <c r="L150" i="83"/>
  <c r="Z162" i="87"/>
  <c r="AB37" i="87"/>
  <c r="O170" i="85"/>
  <c r="L110" i="91"/>
  <c r="M19" i="85"/>
  <c r="X100" i="74"/>
  <c r="Q103" i="94"/>
  <c r="Z77" i="85"/>
  <c r="Z130" i="89"/>
  <c r="AA118" i="87"/>
  <c r="X103" i="93"/>
  <c r="O157" i="93"/>
  <c r="X127" i="87"/>
  <c r="O169" i="83"/>
  <c r="Z126" i="81"/>
  <c r="AA130" i="81"/>
  <c r="P112" i="74"/>
  <c r="Z151" i="81"/>
  <c r="T171" i="94"/>
  <c r="AA53" i="81"/>
  <c r="AB111" i="83"/>
  <c r="O176" i="87"/>
  <c r="X122" i="84"/>
  <c r="T84" i="91"/>
  <c r="AB71" i="81"/>
  <c r="L92" i="83"/>
  <c r="N117" i="74"/>
  <c r="AA148" i="81"/>
  <c r="T63" i="85"/>
  <c r="X173" i="89"/>
  <c r="L155" i="83"/>
  <c r="L125" i="83"/>
  <c r="T87" i="84"/>
  <c r="Q39" i="81"/>
  <c r="M51" i="82"/>
  <c r="P65" i="82"/>
  <c r="Y173" i="74"/>
  <c r="AA86" i="87"/>
  <c r="T105" i="93"/>
  <c r="N138" i="85"/>
  <c r="L132" i="85"/>
  <c r="Y143" i="89"/>
  <c r="AB129" i="88"/>
  <c r="N78" i="84"/>
  <c r="Y35" i="89"/>
  <c r="AA137" i="81"/>
  <c r="P132" i="84"/>
  <c r="Z90" i="74"/>
  <c r="T102" i="94"/>
  <c r="AA144" i="89"/>
  <c r="Y129" i="85"/>
  <c r="Y158" i="87"/>
  <c r="P27" i="87"/>
  <c r="P67" i="82"/>
  <c r="Q170" i="83"/>
  <c r="X120" i="81"/>
  <c r="AA157" i="85"/>
  <c r="AB51" i="83"/>
  <c r="Y114" i="74"/>
  <c r="T63" i="92"/>
  <c r="L133" i="82"/>
  <c r="T57" i="92"/>
  <c r="Z127" i="89"/>
  <c r="AB75" i="83"/>
  <c r="O121" i="91"/>
  <c r="L95" i="87"/>
  <c r="Y81" i="82"/>
  <c r="Z27" i="84"/>
  <c r="T123" i="88"/>
  <c r="L170" i="89"/>
  <c r="AB64" i="93"/>
  <c r="O101" i="85"/>
  <c r="Q96" i="91"/>
  <c r="X176" i="87"/>
  <c r="O88" i="83"/>
  <c r="X134" i="94"/>
  <c r="AA136" i="83"/>
  <c r="AB95" i="85"/>
  <c r="Q41" i="88"/>
  <c r="Q170" i="82"/>
  <c r="L148" i="83"/>
  <c r="Z176" i="88"/>
  <c r="T168" i="91"/>
  <c r="Q45" i="92"/>
  <c r="O116" i="85"/>
  <c r="Q171" i="89"/>
  <c r="Y113" i="81"/>
  <c r="L78" i="81"/>
  <c r="X167" i="84"/>
  <c r="P61" i="83"/>
  <c r="X47" i="88"/>
  <c r="Z35" i="74"/>
  <c r="M27" i="89"/>
  <c r="P25" i="74"/>
  <c r="Y49" i="74"/>
  <c r="Z117" i="87"/>
  <c r="Y115" i="83"/>
  <c r="O104" i="87"/>
  <c r="Q135" i="83"/>
  <c r="AB47" i="85"/>
  <c r="Y74" i="87"/>
  <c r="AA133" i="94"/>
  <c r="O135" i="74"/>
  <c r="T126" i="94"/>
  <c r="T57" i="94"/>
  <c r="Z159" i="87"/>
  <c r="Q82" i="83"/>
  <c r="Y67" i="83"/>
  <c r="L138" i="74"/>
  <c r="N177" i="92"/>
  <c r="Q72" i="81"/>
  <c r="AA176" i="87"/>
  <c r="Z76" i="91"/>
  <c r="AB80" i="89"/>
  <c r="Y68" i="74"/>
  <c r="Z13" i="81"/>
  <c r="Z45" i="81"/>
  <c r="M21" i="85"/>
  <c r="AB164" i="81"/>
  <c r="AB134" i="84"/>
  <c r="O122" i="92"/>
  <c r="P135" i="83"/>
  <c r="X75" i="85"/>
  <c r="L75" i="89"/>
  <c r="P47" i="89"/>
  <c r="L139" i="89"/>
  <c r="Q143" i="85"/>
  <c r="L168" i="87"/>
  <c r="X71" i="74"/>
  <c r="M49" i="83"/>
  <c r="P9" i="87"/>
  <c r="L129" i="82"/>
  <c r="AA101" i="82"/>
  <c r="AB81" i="85"/>
  <c r="O179" i="83"/>
  <c r="N111" i="89"/>
  <c r="Y9" i="81"/>
  <c r="Y98" i="83"/>
  <c r="L179" i="89"/>
  <c r="Y47" i="81"/>
  <c r="L64" i="74"/>
  <c r="O80" i="88"/>
  <c r="O151" i="81"/>
  <c r="O33" i="87"/>
  <c r="X109" i="85"/>
  <c r="AA106" i="91"/>
  <c r="Z132" i="82"/>
  <c r="Z116" i="74"/>
  <c r="M27" i="87"/>
  <c r="P108" i="93"/>
  <c r="Z151" i="83"/>
  <c r="P96" i="85"/>
  <c r="O78" i="81"/>
  <c r="Z103" i="83"/>
  <c r="T129" i="84"/>
  <c r="Z151" i="84"/>
  <c r="Z73" i="82"/>
  <c r="AB166" i="84"/>
  <c r="P108" i="89"/>
  <c r="L135" i="91"/>
  <c r="X127" i="81"/>
  <c r="AA31" i="82"/>
  <c r="O120" i="87"/>
  <c r="O117" i="93"/>
  <c r="L118" i="83"/>
  <c r="AA9" i="91"/>
  <c r="Y79" i="83"/>
  <c r="Q140" i="87"/>
  <c r="Q92" i="85"/>
  <c r="Y103" i="87"/>
  <c r="Q131" i="74"/>
  <c r="AA134" i="74"/>
  <c r="P47" i="85"/>
  <c r="L185" i="82"/>
  <c r="Q164" i="84"/>
  <c r="Z55" i="74"/>
  <c r="AB110" i="82"/>
  <c r="T72" i="83"/>
  <c r="O97" i="91"/>
  <c r="P109" i="84"/>
  <c r="Q53" i="89"/>
  <c r="AA31" i="94"/>
  <c r="AA125" i="74"/>
  <c r="L77" i="91"/>
  <c r="AA158" i="91"/>
  <c r="X21" i="81"/>
  <c r="Q143" i="94"/>
  <c r="Z170" i="88"/>
  <c r="X150" i="74"/>
  <c r="AA130" i="94"/>
  <c r="P123" i="81"/>
  <c r="AA57" i="85"/>
  <c r="Q144" i="85"/>
  <c r="Y159" i="74"/>
  <c r="P45" i="82"/>
  <c r="N108" i="84"/>
  <c r="L165" i="83"/>
  <c r="Z77" i="88"/>
  <c r="X119" i="84"/>
  <c r="P178" i="83"/>
  <c r="T39" i="92"/>
  <c r="Y152" i="88"/>
  <c r="O91" i="74"/>
  <c r="AB129" i="93"/>
  <c r="L101" i="88"/>
  <c r="Z137" i="81"/>
  <c r="Z175" i="83"/>
  <c r="T126" i="83"/>
  <c r="O110" i="82"/>
  <c r="T111" i="94"/>
  <c r="Q33" i="74"/>
  <c r="Q146" i="89"/>
  <c r="O119" i="74"/>
  <c r="L85" i="88"/>
  <c r="P114" i="74"/>
  <c r="AA99" i="81"/>
  <c r="Q181" i="74"/>
  <c r="Z9" i="81"/>
  <c r="Q156" i="83"/>
  <c r="AB158" i="85"/>
  <c r="Z37" i="81"/>
  <c r="T132" i="93"/>
  <c r="X101" i="89"/>
  <c r="Y171" i="85"/>
  <c r="AA63" i="82"/>
  <c r="AA148" i="74"/>
  <c r="Y90" i="83"/>
  <c r="O149" i="81"/>
  <c r="O57" i="74"/>
  <c r="Y82" i="83"/>
  <c r="AB159" i="84"/>
  <c r="Y106" i="85"/>
  <c r="Q100" i="91"/>
  <c r="AA113" i="89"/>
  <c r="L113" i="89"/>
  <c r="Z171" i="74"/>
  <c r="AA9" i="88"/>
  <c r="AA87" i="74"/>
  <c r="L116" i="91"/>
  <c r="X175" i="84"/>
  <c r="Y167" i="81"/>
  <c r="P57" i="83"/>
  <c r="Z115" i="83"/>
  <c r="X144" i="82"/>
  <c r="Y141" i="85"/>
  <c r="N87" i="85"/>
  <c r="Z15" i="87"/>
  <c r="AB33" i="81"/>
  <c r="AA102" i="85"/>
  <c r="N184" i="85"/>
  <c r="X131" i="81"/>
  <c r="Z78" i="89"/>
  <c r="X85" i="83"/>
  <c r="Q135" i="74"/>
  <c r="Z173" i="91"/>
  <c r="Y160" i="74"/>
  <c r="X170" i="84"/>
  <c r="Q178" i="74"/>
  <c r="T180" i="93"/>
  <c r="Q178" i="84"/>
  <c r="N126" i="89"/>
  <c r="Z68" i="84"/>
  <c r="Z173" i="88"/>
  <c r="Y125" i="85"/>
  <c r="Z9" i="85"/>
  <c r="X21" i="84"/>
  <c r="Q103" i="84"/>
  <c r="Q75" i="74"/>
  <c r="Y39" i="84"/>
  <c r="X148" i="81"/>
  <c r="X76" i="91"/>
  <c r="Y43" i="81"/>
  <c r="Y148" i="83"/>
  <c r="AA9" i="82"/>
  <c r="P84" i="74"/>
  <c r="L141" i="85"/>
  <c r="X79" i="91"/>
  <c r="P107" i="74"/>
  <c r="T96" i="74"/>
  <c r="Z162" i="81"/>
  <c r="P159" i="87"/>
  <c r="Z115" i="82"/>
  <c r="AA82" i="84"/>
  <c r="X168" i="87"/>
  <c r="O168" i="89"/>
  <c r="P113" i="89"/>
  <c r="Y130" i="81"/>
  <c r="Y71" i="87"/>
  <c r="M23" i="92"/>
  <c r="Z174" i="82"/>
  <c r="Y51" i="84"/>
  <c r="AA79" i="82"/>
  <c r="N51" i="74"/>
  <c r="T96" i="81"/>
  <c r="AB118" i="85"/>
  <c r="Q162" i="82"/>
  <c r="Q165" i="82"/>
  <c r="Z180" i="83"/>
  <c r="O104" i="74"/>
  <c r="AA79" i="89"/>
  <c r="O25" i="81"/>
  <c r="O150" i="74"/>
  <c r="O174" i="83"/>
  <c r="AA71" i="82"/>
  <c r="O33" i="88"/>
  <c r="P69" i="84"/>
  <c r="AB173" i="85"/>
  <c r="AB115" i="91"/>
  <c r="AA156" i="88"/>
  <c r="P67" i="85"/>
  <c r="AA130" i="74"/>
  <c r="O150" i="84"/>
  <c r="Y102" i="83"/>
  <c r="AB83" i="85"/>
  <c r="Q166" i="74"/>
  <c r="T15" i="92"/>
  <c r="L100" i="89"/>
  <c r="Y120" i="85"/>
  <c r="L93" i="83"/>
  <c r="X13" i="85"/>
  <c r="O136" i="82"/>
  <c r="P23" i="81"/>
  <c r="AA172" i="89"/>
  <c r="O41" i="92"/>
  <c r="L137" i="85"/>
  <c r="AB87" i="85"/>
  <c r="Q171" i="81"/>
  <c r="T102" i="91"/>
  <c r="Z74" i="87"/>
  <c r="Z21" i="82"/>
  <c r="Q155" i="81"/>
  <c r="X124" i="74"/>
  <c r="AB55" i="82"/>
  <c r="P137" i="89"/>
  <c r="T105" i="89"/>
  <c r="Y116" i="74"/>
  <c r="Q15" i="84"/>
  <c r="M11" i="87"/>
  <c r="AB65" i="85"/>
  <c r="Q175" i="84"/>
  <c r="AA160" i="85"/>
  <c r="P37" i="88"/>
  <c r="AB155" i="84"/>
  <c r="AB147" i="81"/>
  <c r="Z73" i="84"/>
  <c r="Z15" i="74"/>
  <c r="L170" i="85"/>
  <c r="P104" i="94"/>
  <c r="O77" i="83"/>
  <c r="Q102" i="74"/>
  <c r="O93" i="89"/>
  <c r="P123" i="84"/>
  <c r="P149" i="91"/>
  <c r="L172" i="82"/>
  <c r="Z146" i="84"/>
  <c r="M21" i="88"/>
  <c r="M45" i="74"/>
  <c r="Q106" i="83"/>
  <c r="Q15" i="82"/>
  <c r="L154" i="84"/>
  <c r="T87" i="82"/>
  <c r="AA49" i="89"/>
  <c r="X51" i="88"/>
  <c r="Z47" i="74"/>
  <c r="AB73" i="82"/>
  <c r="Z25" i="85"/>
  <c r="AB157" i="87"/>
  <c r="P174" i="84"/>
  <c r="Z158" i="89"/>
  <c r="L123" i="74"/>
  <c r="L65" i="84"/>
  <c r="X61" i="85"/>
  <c r="X63" i="81"/>
  <c r="X45" i="87"/>
  <c r="Y112" i="82"/>
  <c r="L100" i="84"/>
  <c r="Q155" i="82"/>
  <c r="AB75" i="87"/>
  <c r="P78" i="91"/>
  <c r="T114" i="81"/>
  <c r="AA109" i="84"/>
  <c r="AA127" i="74"/>
  <c r="L67" i="74"/>
  <c r="Z67" i="83"/>
  <c r="O112" i="83"/>
  <c r="L183" i="85"/>
  <c r="O68" i="81"/>
  <c r="T138" i="91"/>
  <c r="X27" i="81"/>
  <c r="Q23" i="89"/>
  <c r="AB81" i="89"/>
  <c r="AB11" i="81"/>
  <c r="P77" i="84"/>
  <c r="T165" i="92"/>
  <c r="X141" i="83"/>
  <c r="Z130" i="74"/>
  <c r="X69" i="81"/>
  <c r="AB170" i="89"/>
  <c r="AA17" i="74"/>
  <c r="Q168" i="85"/>
  <c r="AA163" i="87"/>
  <c r="O125" i="88"/>
  <c r="P64" i="88"/>
  <c r="P115" i="74"/>
  <c r="O73" i="83"/>
  <c r="P101" i="85"/>
  <c r="AA21" i="81"/>
  <c r="M27" i="81"/>
  <c r="Y132" i="82"/>
  <c r="Q84" i="87"/>
  <c r="L142" i="83"/>
  <c r="Y176" i="84"/>
  <c r="O134" i="74"/>
  <c r="AB57" i="85"/>
  <c r="O181" i="91"/>
  <c r="O88" i="91"/>
  <c r="N57" i="81"/>
  <c r="Y156" i="84"/>
  <c r="AA161" i="84"/>
  <c r="O136" i="91"/>
  <c r="AB17" i="92"/>
  <c r="AA101" i="81"/>
  <c r="Z33" i="85"/>
  <c r="X64" i="83"/>
  <c r="Z82" i="82"/>
  <c r="X75" i="83"/>
  <c r="Q104" i="81"/>
  <c r="O111" i="82"/>
  <c r="O80" i="85"/>
  <c r="O118" i="81"/>
  <c r="AA70" i="87"/>
  <c r="Z104" i="85"/>
  <c r="Y152" i="85"/>
  <c r="N90" i="87"/>
  <c r="Z96" i="83"/>
  <c r="Y11" i="85"/>
  <c r="Z108" i="88"/>
  <c r="X163" i="81"/>
  <c r="Y17" i="83"/>
  <c r="Q65" i="88"/>
  <c r="P61" i="74"/>
  <c r="X177" i="91"/>
  <c r="X116" i="83"/>
  <c r="Y77" i="85"/>
  <c r="Q41" i="74"/>
  <c r="Z126" i="82"/>
  <c r="P70" i="74"/>
  <c r="O67" i="81"/>
  <c r="AB126" i="81"/>
  <c r="AB27" i="83"/>
  <c r="X167" i="94"/>
  <c r="Z159" i="88"/>
  <c r="T117" i="81"/>
  <c r="Z74" i="74"/>
  <c r="AB161" i="82"/>
  <c r="O175" i="92"/>
  <c r="AB148" i="85"/>
  <c r="AA103" i="81"/>
  <c r="L105" i="81"/>
  <c r="N99" i="88"/>
  <c r="P94" i="83"/>
  <c r="AB73" i="81"/>
  <c r="Q163" i="85"/>
  <c r="M19" i="84"/>
  <c r="L96" i="89"/>
  <c r="L101" i="89"/>
  <c r="Q136" i="82"/>
  <c r="X29" i="82"/>
  <c r="X31" i="81"/>
  <c r="Y75" i="87"/>
  <c r="Q35" i="89"/>
  <c r="L78" i="82"/>
  <c r="P161" i="89"/>
  <c r="AB107" i="81"/>
  <c r="O117" i="85"/>
  <c r="Z108" i="85"/>
  <c r="AB160" i="84"/>
  <c r="Q80" i="74"/>
  <c r="Z61" i="83"/>
  <c r="Q25" i="81"/>
  <c r="AB81" i="81"/>
  <c r="Q129" i="83"/>
  <c r="L95" i="85"/>
  <c r="X82" i="84"/>
  <c r="Y64" i="83"/>
  <c r="Y51" i="83"/>
  <c r="O173" i="74"/>
  <c r="AA17" i="85"/>
  <c r="Z162" i="83"/>
  <c r="Y143" i="93"/>
  <c r="P131" i="82"/>
  <c r="Q142" i="85"/>
  <c r="AA160" i="87"/>
  <c r="T81" i="92"/>
  <c r="Z160" i="84"/>
  <c r="X33" i="91"/>
  <c r="L157" i="89"/>
  <c r="O176" i="81"/>
  <c r="Y55" i="93"/>
  <c r="AB75" i="85"/>
  <c r="Y124" i="91"/>
  <c r="AB61" i="91"/>
  <c r="X166" i="74"/>
  <c r="X81" i="81"/>
  <c r="O115" i="74"/>
  <c r="Q33" i="93"/>
  <c r="Z103" i="74"/>
  <c r="X41" i="82"/>
  <c r="Y153" i="82"/>
  <c r="O165" i="84"/>
  <c r="Q150" i="82"/>
  <c r="X160" i="88"/>
  <c r="Q133" i="74"/>
  <c r="Z23" i="94"/>
  <c r="P11" i="88"/>
  <c r="Y106" i="88"/>
  <c r="M9" i="89"/>
  <c r="AA45" i="74"/>
  <c r="Z161" i="81"/>
  <c r="AA144" i="74"/>
  <c r="Z17" i="85"/>
  <c r="X107" i="74"/>
  <c r="T147" i="81"/>
  <c r="N51" i="91"/>
  <c r="AB69" i="87"/>
  <c r="Y39" i="83"/>
  <c r="L79" i="92"/>
  <c r="P61" i="94"/>
  <c r="Y66" i="84"/>
  <c r="X174" i="94"/>
  <c r="O45" i="83"/>
  <c r="L178" i="74"/>
  <c r="Y138" i="81"/>
  <c r="Z156" i="85"/>
  <c r="P116" i="81"/>
  <c r="AA115" i="83"/>
  <c r="AA49" i="88"/>
  <c r="T180" i="89"/>
  <c r="AA89" i="84"/>
  <c r="T138" i="88"/>
  <c r="L166" i="84"/>
  <c r="P91" i="85"/>
  <c r="AA128" i="85"/>
  <c r="Z177" i="82"/>
  <c r="O41" i="84"/>
  <c r="Q111" i="84"/>
  <c r="X142" i="84"/>
  <c r="Y97" i="81"/>
  <c r="P69" i="81"/>
  <c r="X96" i="89"/>
  <c r="Q148" i="74"/>
  <c r="Y47" i="88"/>
  <c r="Y132" i="83"/>
  <c r="AB78" i="85"/>
  <c r="Q139" i="85"/>
  <c r="L102" i="81"/>
  <c r="Z76" i="74"/>
  <c r="X176" i="85"/>
  <c r="X73" i="81"/>
  <c r="O155" i="81"/>
  <c r="Q139" i="83"/>
  <c r="Y82" i="91"/>
  <c r="Y133" i="74"/>
  <c r="AB172" i="81"/>
  <c r="AB88" i="85"/>
  <c r="X173" i="83"/>
  <c r="Q138" i="84"/>
  <c r="Q162" i="91"/>
  <c r="Q180" i="85"/>
  <c r="Y127" i="94"/>
  <c r="Z168" i="91"/>
  <c r="X82" i="81"/>
  <c r="Q87" i="84"/>
  <c r="X76" i="84"/>
  <c r="AA147" i="85"/>
  <c r="M57" i="82"/>
  <c r="P101" i="87"/>
  <c r="Y159" i="87"/>
  <c r="AA117" i="83"/>
  <c r="Z160" i="74"/>
  <c r="Y73" i="81"/>
  <c r="M59" i="84"/>
  <c r="P104" i="91"/>
  <c r="Q27" i="87"/>
  <c r="N105" i="74"/>
  <c r="Z105" i="91"/>
  <c r="P166" i="88"/>
  <c r="AA94" i="82"/>
  <c r="O116" i="91"/>
  <c r="AB109" i="94"/>
  <c r="Y146" i="74"/>
  <c r="O166" i="93"/>
  <c r="AA94" i="74"/>
  <c r="X25" i="89"/>
  <c r="AA105" i="91"/>
  <c r="Z27" i="85"/>
  <c r="AB133" i="82"/>
  <c r="X86" i="81"/>
  <c r="P31" i="81"/>
  <c r="L121" i="85"/>
  <c r="P154" i="84"/>
  <c r="Z162" i="82"/>
  <c r="T93" i="81"/>
  <c r="L72" i="85"/>
  <c r="AA90" i="82"/>
  <c r="O102" i="85"/>
  <c r="X79" i="82"/>
  <c r="AA107" i="81"/>
  <c r="Y134" i="89"/>
  <c r="Y161" i="88"/>
  <c r="Q113" i="74"/>
  <c r="P170" i="83"/>
  <c r="P87" i="82"/>
  <c r="O160" i="84"/>
  <c r="AB76" i="87"/>
  <c r="Y59" i="83"/>
  <c r="Y17" i="89"/>
  <c r="Z102" i="83"/>
  <c r="X151" i="82"/>
  <c r="AB160" i="83"/>
  <c r="Y43" i="84"/>
  <c r="L172" i="81"/>
  <c r="Y85" i="74"/>
  <c r="Y152" i="81"/>
  <c r="AA140" i="81"/>
  <c r="Y123" i="87"/>
  <c r="P124" i="87"/>
  <c r="Q27" i="82"/>
  <c r="AB168" i="81"/>
  <c r="AB92" i="83"/>
  <c r="Z39" i="85"/>
  <c r="X73" i="74"/>
  <c r="Z111" i="87"/>
  <c r="L114" i="74"/>
  <c r="X67" i="84"/>
  <c r="X73" i="85"/>
  <c r="AA167" i="84"/>
  <c r="X90" i="82"/>
  <c r="Y41" i="74"/>
  <c r="P170" i="91"/>
  <c r="Z137" i="84"/>
  <c r="X128" i="81"/>
  <c r="Z105" i="85"/>
  <c r="Y158" i="88"/>
  <c r="Z127" i="91"/>
  <c r="O130" i="83"/>
  <c r="P106" i="82"/>
  <c r="Q117" i="83"/>
  <c r="M57" i="88"/>
  <c r="AB110" i="81"/>
  <c r="O84" i="93"/>
  <c r="T159" i="94"/>
  <c r="X74" i="84"/>
  <c r="X78" i="81"/>
  <c r="N171" i="81"/>
  <c r="X139" i="81"/>
  <c r="AB27" i="82"/>
  <c r="AA17" i="92"/>
  <c r="X115" i="87"/>
  <c r="Y21" i="87"/>
  <c r="M59" i="74"/>
  <c r="X64" i="85"/>
  <c r="AB168" i="88"/>
  <c r="L110" i="88"/>
  <c r="X147" i="81"/>
  <c r="N33" i="83"/>
  <c r="P145" i="81"/>
  <c r="AB132" i="81"/>
  <c r="L140" i="92"/>
  <c r="T72" i="74"/>
  <c r="AA120" i="81"/>
  <c r="X76" i="82"/>
  <c r="Y147" i="88"/>
  <c r="P69" i="85"/>
  <c r="AA150" i="74"/>
  <c r="P27" i="85"/>
  <c r="L101" i="87"/>
  <c r="X144" i="85"/>
  <c r="AB80" i="94"/>
  <c r="AB51" i="87"/>
  <c r="Q114" i="87"/>
  <c r="AA55" i="84"/>
  <c r="O120" i="84"/>
  <c r="Q69" i="94"/>
  <c r="AB13" i="84"/>
  <c r="P27" i="89"/>
  <c r="X151" i="83"/>
  <c r="Y149" i="84"/>
  <c r="AB153" i="85"/>
  <c r="Y117" i="93"/>
  <c r="AB19" i="83"/>
  <c r="O156" i="74"/>
  <c r="P183" i="88"/>
  <c r="P124" i="82"/>
  <c r="Z98" i="83"/>
  <c r="X81" i="89"/>
  <c r="Y136" i="91"/>
  <c r="Z116" i="81"/>
  <c r="Z78" i="83"/>
  <c r="N165" i="74"/>
  <c r="AA35" i="87"/>
  <c r="Y78" i="84"/>
  <c r="L86" i="87"/>
  <c r="L181" i="85"/>
  <c r="X49" i="88"/>
  <c r="L134" i="89"/>
  <c r="AB72" i="91"/>
  <c r="P114" i="85"/>
  <c r="AA69" i="82"/>
  <c r="AA164" i="82"/>
  <c r="P103" i="81"/>
  <c r="AA99" i="85"/>
  <c r="O11" i="85"/>
  <c r="Q78" i="87"/>
  <c r="P129" i="91"/>
  <c r="L151" i="81"/>
  <c r="Z110" i="89"/>
  <c r="Y88" i="81"/>
  <c r="P170" i="82"/>
  <c r="AB82" i="87"/>
  <c r="Z89" i="84"/>
  <c r="P164" i="85"/>
  <c r="X49" i="85"/>
  <c r="Q145" i="88"/>
  <c r="P150" i="83"/>
  <c r="AB141" i="83"/>
  <c r="M61" i="83"/>
  <c r="Z87" i="85"/>
  <c r="X23" i="74"/>
  <c r="Q73" i="81"/>
  <c r="Y85" i="81"/>
  <c r="M23" i="74"/>
  <c r="X97" i="74"/>
  <c r="L122" i="89"/>
  <c r="AA98" i="81"/>
  <c r="L145" i="92"/>
  <c r="AA160" i="84"/>
  <c r="Y177" i="94"/>
  <c r="AA118" i="85"/>
  <c r="O47" i="85"/>
  <c r="Z112" i="85"/>
  <c r="N117" i="91"/>
  <c r="L71" i="85"/>
  <c r="AA109" i="85"/>
  <c r="O99" i="93"/>
  <c r="AB102" i="82"/>
  <c r="Y157" i="81"/>
  <c r="Z143" i="81"/>
  <c r="L155" i="82"/>
  <c r="M31" i="82"/>
  <c r="P180" i="84"/>
  <c r="AB141" i="88"/>
  <c r="AA75" i="85"/>
  <c r="Y80" i="82"/>
  <c r="L164" i="83"/>
  <c r="AA172" i="74"/>
  <c r="P105" i="88"/>
  <c r="AB61" i="81"/>
  <c r="T135" i="91"/>
  <c r="Z141" i="84"/>
  <c r="Z15" i="81"/>
  <c r="N90" i="93"/>
  <c r="O97" i="81"/>
  <c r="O118" i="82"/>
  <c r="Z109" i="82"/>
  <c r="AA135" i="89"/>
  <c r="N15" i="82"/>
  <c r="AB53" i="81"/>
  <c r="Y142" i="85"/>
  <c r="X65" i="84"/>
  <c r="P87" i="83"/>
  <c r="X156" i="83"/>
  <c r="AB137" i="88"/>
  <c r="P102" i="82"/>
  <c r="Y174" i="74"/>
  <c r="X45" i="84"/>
  <c r="T117" i="83"/>
  <c r="AB122" i="87"/>
  <c r="Q120" i="82"/>
  <c r="AB47" i="94"/>
  <c r="P176" i="82"/>
  <c r="AB140" i="81"/>
  <c r="M27" i="85"/>
  <c r="AA114" i="84"/>
  <c r="P81" i="89"/>
  <c r="L182" i="87"/>
  <c r="Z82" i="83"/>
  <c r="O93" i="74"/>
  <c r="L151" i="88"/>
  <c r="O66" i="82"/>
  <c r="AA37" i="74"/>
  <c r="P31" i="85"/>
  <c r="AB103" i="81"/>
  <c r="AB43" i="94"/>
  <c r="Z66" i="82"/>
  <c r="Q147" i="93"/>
  <c r="O158" i="89"/>
  <c r="O167" i="82"/>
  <c r="L107" i="74"/>
  <c r="P126" i="74"/>
  <c r="Q147" i="82"/>
  <c r="P161" i="74"/>
  <c r="Q107" i="93"/>
  <c r="P105" i="83"/>
  <c r="Y63" i="84"/>
  <c r="Q153" i="85"/>
  <c r="AA146" i="74"/>
  <c r="Y180" i="82"/>
  <c r="AA166" i="83"/>
  <c r="Y93" i="85"/>
  <c r="O111" i="88"/>
  <c r="Q83" i="88"/>
  <c r="Q150" i="87"/>
  <c r="P78" i="89"/>
  <c r="Z145" i="88"/>
  <c r="T105" i="83"/>
  <c r="X143" i="81"/>
  <c r="X132" i="74"/>
  <c r="AB153" i="81"/>
  <c r="N99" i="81"/>
  <c r="Q84" i="74"/>
  <c r="O72" i="87"/>
  <c r="Y156" i="85"/>
  <c r="N123" i="74"/>
  <c r="L169" i="91"/>
  <c r="AA96" i="74"/>
  <c r="P33" i="81"/>
  <c r="O79" i="83"/>
  <c r="P171" i="82"/>
  <c r="P91" i="81"/>
  <c r="AA27" i="88"/>
  <c r="P53" i="74"/>
  <c r="N69" i="85"/>
  <c r="X124" i="85"/>
  <c r="AB171" i="93"/>
  <c r="X37" i="74"/>
  <c r="AB96" i="87"/>
  <c r="L173" i="74"/>
  <c r="Y29" i="82"/>
  <c r="L88" i="74"/>
  <c r="AB162" i="88"/>
  <c r="Q152" i="83"/>
  <c r="N87" i="81"/>
  <c r="T138" i="82"/>
  <c r="Z35" i="89"/>
  <c r="L115" i="88"/>
  <c r="Y72" i="91"/>
  <c r="O17" i="84"/>
  <c r="AA93" i="84"/>
  <c r="AB162" i="84"/>
  <c r="Z35" i="84"/>
  <c r="AA99" i="93"/>
  <c r="O148" i="82"/>
  <c r="O41" i="82"/>
  <c r="AA112" i="85"/>
  <c r="P136" i="83"/>
  <c r="O104" i="88"/>
  <c r="AA77" i="87"/>
  <c r="L175" i="89"/>
  <c r="AA99" i="88"/>
  <c r="AB167" i="85"/>
  <c r="L112" i="94"/>
  <c r="Z136" i="83"/>
  <c r="Y65" i="85"/>
  <c r="Y139" i="74"/>
  <c r="L63" i="85"/>
  <c r="X143" i="84"/>
  <c r="Z68" i="85"/>
  <c r="Z177" i="87"/>
  <c r="AA145" i="81"/>
  <c r="L144" i="82"/>
  <c r="P76" i="85"/>
  <c r="O163" i="82"/>
  <c r="X113" i="94"/>
  <c r="Q143" i="83"/>
  <c r="P158" i="74"/>
  <c r="Q64" i="84"/>
  <c r="T135" i="92"/>
  <c r="AB72" i="81"/>
  <c r="Z43" i="82"/>
  <c r="L149" i="81"/>
  <c r="AA158" i="89"/>
  <c r="L119" i="74"/>
  <c r="P140" i="88"/>
  <c r="X41" i="83"/>
  <c r="Z110" i="84"/>
  <c r="O41" i="81"/>
  <c r="Q136" i="81"/>
  <c r="O53" i="85"/>
  <c r="Y126" i="88"/>
  <c r="X119" i="83"/>
  <c r="AA27" i="84"/>
  <c r="O79" i="89"/>
  <c r="P174" i="87"/>
  <c r="X116" i="84"/>
  <c r="O9" i="84"/>
  <c r="O27" i="87"/>
  <c r="M49" i="85"/>
  <c r="L84" i="74"/>
  <c r="AA103" i="84"/>
  <c r="P71" i="89"/>
  <c r="L119" i="85"/>
  <c r="Q161" i="81"/>
  <c r="X80" i="82"/>
  <c r="L103" i="74"/>
  <c r="M61" i="74"/>
  <c r="N180" i="87"/>
  <c r="O171" i="74"/>
  <c r="Y72" i="82"/>
  <c r="AA108" i="74"/>
  <c r="Q51" i="85"/>
  <c r="AA39" i="82"/>
  <c r="T159" i="84"/>
  <c r="P156" i="81"/>
  <c r="L96" i="91"/>
  <c r="O95" i="84"/>
  <c r="Z91" i="92"/>
  <c r="Z147" i="89"/>
  <c r="T72" i="89"/>
  <c r="Q153" i="83"/>
  <c r="L161" i="87"/>
  <c r="N63" i="85"/>
  <c r="AB150" i="89"/>
  <c r="T51" i="93"/>
  <c r="Y170" i="74"/>
  <c r="AA63" i="83"/>
  <c r="Q110" i="83"/>
  <c r="X89" i="82"/>
  <c r="Y55" i="81"/>
  <c r="O107" i="82"/>
  <c r="Z169" i="85"/>
  <c r="AA107" i="91"/>
  <c r="Y134" i="84"/>
  <c r="AA153" i="87"/>
  <c r="Q89" i="85"/>
  <c r="O182" i="87"/>
  <c r="AA81" i="87"/>
  <c r="P93" i="92"/>
  <c r="N165" i="83"/>
  <c r="L148" i="85"/>
  <c r="T93" i="94"/>
  <c r="Z53" i="83"/>
  <c r="T153" i="83"/>
  <c r="O64" i="92"/>
  <c r="P53" i="83"/>
  <c r="N123" i="87"/>
  <c r="P98" i="91"/>
  <c r="L163" i="81"/>
  <c r="X97" i="81"/>
  <c r="AA118" i="81"/>
  <c r="AB145" i="84"/>
  <c r="P125" i="82"/>
  <c r="X117" i="92"/>
  <c r="L141" i="84"/>
  <c r="AB136" i="91"/>
  <c r="Z85" i="92"/>
  <c r="Y64" i="91"/>
  <c r="L75" i="74"/>
  <c r="O179" i="87"/>
  <c r="AA139" i="85"/>
  <c r="Q35" i="84"/>
  <c r="N144" i="94"/>
  <c r="Y146" i="81"/>
  <c r="X39" i="87"/>
  <c r="L145" i="81"/>
  <c r="Y160" i="84"/>
  <c r="Q134" i="84"/>
  <c r="O105" i="87"/>
  <c r="T153" i="87"/>
  <c r="Z31" i="83"/>
  <c r="AA43" i="74"/>
  <c r="O35" i="85"/>
  <c r="P162" i="85"/>
  <c r="Z107" i="87"/>
  <c r="L87" i="74"/>
  <c r="P92" i="89"/>
  <c r="O70" i="87"/>
  <c r="N15" i="93"/>
  <c r="AB80" i="85"/>
  <c r="O43" i="87"/>
  <c r="L80" i="87"/>
  <c r="Y176" i="81"/>
  <c r="O175" i="83"/>
  <c r="P80" i="74"/>
  <c r="P39" i="85"/>
  <c r="X157" i="74"/>
  <c r="AA15" i="84"/>
  <c r="O87" i="91"/>
  <c r="Z137" i="83"/>
  <c r="P29" i="84"/>
  <c r="Q11" i="83"/>
  <c r="Y176" i="88"/>
  <c r="AB23" i="87"/>
  <c r="T33" i="88"/>
  <c r="AA71" i="84"/>
  <c r="L64" i="91"/>
  <c r="Y11" i="93"/>
  <c r="O167" i="74"/>
  <c r="Q57" i="74"/>
  <c r="Q184" i="88"/>
  <c r="T174" i="82"/>
  <c r="Y136" i="85"/>
  <c r="L144" i="81"/>
  <c r="P121" i="74"/>
  <c r="Q128" i="83"/>
  <c r="Z51" i="83"/>
  <c r="O82" i="85"/>
  <c r="O119" i="83"/>
  <c r="X59" i="88"/>
  <c r="AB84" i="85"/>
  <c r="P176" i="84"/>
  <c r="Y11" i="89"/>
  <c r="Q100" i="84"/>
  <c r="Y88" i="74"/>
  <c r="P65" i="74"/>
  <c r="T81" i="85"/>
  <c r="AA89" i="87"/>
  <c r="AB110" i="83"/>
  <c r="Z150" i="83"/>
  <c r="P134" i="74"/>
  <c r="X41" i="74"/>
  <c r="O63" i="84"/>
  <c r="X123" i="82"/>
  <c r="N66" i="81"/>
  <c r="O69" i="91"/>
  <c r="O179" i="74"/>
  <c r="X67" i="81"/>
  <c r="Z172" i="81"/>
  <c r="X180" i="85"/>
  <c r="Q107" i="88"/>
  <c r="O127" i="84"/>
  <c r="Y39" i="87"/>
  <c r="T159" i="87"/>
  <c r="Z169" i="84"/>
  <c r="Y99" i="74"/>
  <c r="X135" i="85"/>
  <c r="P77" i="81"/>
  <c r="O144" i="74"/>
  <c r="L162" i="85"/>
  <c r="Y77" i="81"/>
  <c r="Q185" i="88"/>
  <c r="AA180" i="87"/>
  <c r="P146" i="74"/>
  <c r="O99" i="84"/>
  <c r="P141" i="85"/>
  <c r="O31" i="85"/>
  <c r="Q67" i="93"/>
  <c r="P142" i="74"/>
  <c r="Q86" i="87"/>
  <c r="M17" i="89"/>
  <c r="O113" i="88"/>
  <c r="L183" i="94"/>
  <c r="AA125" i="82"/>
  <c r="Y112" i="81"/>
  <c r="L72" i="83"/>
  <c r="P144" i="74"/>
  <c r="O23" i="83"/>
  <c r="P171" i="81"/>
  <c r="P124" i="91"/>
  <c r="Q184" i="84"/>
  <c r="P146" i="81"/>
  <c r="N69" i="87"/>
  <c r="Y145" i="94"/>
  <c r="AB97" i="81"/>
  <c r="P168" i="85"/>
  <c r="AA19" i="74"/>
  <c r="P102" i="87"/>
  <c r="Z118" i="84"/>
  <c r="Y98" i="82"/>
  <c r="Y78" i="74"/>
  <c r="M49" i="82"/>
  <c r="P120" i="74"/>
  <c r="Z55" i="88"/>
  <c r="L146" i="83"/>
  <c r="P39" i="82"/>
  <c r="Z119" i="84"/>
  <c r="L90" i="81"/>
  <c r="Q100" i="82"/>
  <c r="M9" i="74"/>
  <c r="T51" i="84"/>
  <c r="O75" i="82"/>
  <c r="Z161" i="93"/>
  <c r="O83" i="81"/>
  <c r="AB37" i="82"/>
  <c r="X141" i="88"/>
  <c r="X122" i="87"/>
  <c r="AA177" i="85"/>
  <c r="O96" i="82"/>
  <c r="AB131" i="82"/>
  <c r="AB86" i="89"/>
  <c r="L71" i="84"/>
  <c r="X157" i="84"/>
  <c r="Z170" i="87"/>
  <c r="X33" i="93"/>
  <c r="L88" i="82"/>
  <c r="Q153" i="84"/>
  <c r="O47" i="82"/>
  <c r="AA105" i="74"/>
  <c r="T90" i="81"/>
  <c r="T159" i="82"/>
  <c r="T150" i="94"/>
  <c r="AB94" i="84"/>
  <c r="X39" i="74"/>
  <c r="AB90" i="85"/>
  <c r="O106" i="82"/>
  <c r="P149" i="82"/>
  <c r="O132" i="83"/>
  <c r="Z102" i="82"/>
  <c r="P78" i="83"/>
  <c r="O119" i="85"/>
  <c r="Z93" i="74"/>
  <c r="Y154" i="87"/>
  <c r="X88" i="82"/>
  <c r="AB146" i="85"/>
  <c r="Q174" i="84"/>
  <c r="Z15" i="93"/>
  <c r="AA83" i="83"/>
  <c r="Q109" i="83"/>
  <c r="X136" i="84"/>
  <c r="Y156" i="88"/>
  <c r="O69" i="89"/>
  <c r="AA23" i="83"/>
  <c r="O140" i="83"/>
  <c r="Z130" i="88"/>
  <c r="Q169" i="88"/>
  <c r="Z135" i="85"/>
  <c r="Y109" i="87"/>
  <c r="Q135" i="84"/>
  <c r="X75" i="81"/>
  <c r="X175" i="87"/>
  <c r="M55" i="81"/>
  <c r="Q150" i="81"/>
  <c r="Z173" i="74"/>
  <c r="Y161" i="84"/>
  <c r="AA64" i="85"/>
  <c r="X153" i="91"/>
  <c r="N72" i="84"/>
  <c r="L70" i="89"/>
  <c r="P159" i="85"/>
  <c r="Z145" i="84"/>
  <c r="Y121" i="89"/>
  <c r="L124" i="88"/>
  <c r="Z100" i="94"/>
  <c r="Z142" i="74"/>
  <c r="M61" i="88"/>
  <c r="O160" i="74"/>
  <c r="Q178" i="83"/>
  <c r="N69" i="83"/>
  <c r="P59" i="74"/>
  <c r="O37" i="88"/>
  <c r="AA13" i="88"/>
  <c r="L79" i="84"/>
  <c r="Y69" i="74"/>
  <c r="X163" i="84"/>
  <c r="P166" i="81"/>
  <c r="X149" i="93"/>
  <c r="Z63" i="85"/>
  <c r="O66" i="85"/>
  <c r="AA45" i="81"/>
  <c r="P9" i="81"/>
  <c r="AA78" i="82"/>
  <c r="Q160" i="82"/>
  <c r="AA72" i="82"/>
  <c r="X123" i="87"/>
  <c r="Z37" i="74"/>
  <c r="Y78" i="94"/>
  <c r="Q76" i="89"/>
  <c r="P129" i="83"/>
  <c r="Q93" i="84"/>
  <c r="P45" i="81"/>
  <c r="X72" i="81"/>
  <c r="O181" i="74"/>
  <c r="Z171" i="91"/>
  <c r="P23" i="74"/>
  <c r="L94" i="81"/>
  <c r="P99" i="87"/>
  <c r="Q110" i="82"/>
  <c r="AA127" i="89"/>
  <c r="AB100" i="83"/>
  <c r="Q129" i="85"/>
  <c r="O137" i="74"/>
  <c r="AA37" i="89"/>
  <c r="X64" i="88"/>
  <c r="AB76" i="82"/>
  <c r="Y99" i="91"/>
  <c r="O149" i="85"/>
  <c r="X149" i="84"/>
  <c r="L81" i="93"/>
  <c r="Q128" i="87"/>
  <c r="AB53" i="89"/>
  <c r="O138" i="81"/>
  <c r="Q90" i="93"/>
  <c r="AA78" i="91"/>
  <c r="O141" i="81"/>
  <c r="Y101" i="89"/>
  <c r="Y147" i="81"/>
  <c r="X11" i="82"/>
  <c r="X114" i="74"/>
  <c r="Y174" i="84"/>
  <c r="M53" i="82"/>
  <c r="L103" i="85"/>
  <c r="L70" i="83"/>
  <c r="O170" i="83"/>
  <c r="AB125" i="83"/>
  <c r="AA82" i="82"/>
  <c r="P43" i="91"/>
  <c r="AA163" i="89"/>
  <c r="Q63" i="84"/>
  <c r="Q96" i="88"/>
  <c r="AB89" i="85"/>
  <c r="AB84" i="84"/>
  <c r="L168" i="85"/>
  <c r="L67" i="84"/>
  <c r="L174" i="89"/>
  <c r="Z75" i="74"/>
  <c r="AA17" i="84"/>
  <c r="P128" i="88"/>
  <c r="O85" i="85"/>
  <c r="O35" i="87"/>
  <c r="O105" i="89"/>
  <c r="Z25" i="74"/>
  <c r="Y174" i="81"/>
  <c r="N99" i="84"/>
  <c r="Q113" i="82"/>
  <c r="Z11" i="74"/>
  <c r="AB172" i="91"/>
  <c r="Q61" i="91"/>
  <c r="Q111" i="89"/>
  <c r="Q101" i="91"/>
  <c r="Q45" i="81"/>
  <c r="Y101" i="94"/>
  <c r="O25" i="88"/>
  <c r="N69" i="74"/>
  <c r="Z17" i="91"/>
  <c r="X89" i="88"/>
  <c r="Q65" i="92"/>
  <c r="Y68" i="89"/>
  <c r="AB176" i="89"/>
  <c r="L76" i="74"/>
  <c r="X153" i="85"/>
  <c r="Z175" i="89"/>
  <c r="AB83" i="87"/>
  <c r="Y57" i="74"/>
  <c r="AB124" i="89"/>
  <c r="AB45" i="81"/>
  <c r="O181" i="84"/>
  <c r="Y73" i="74"/>
  <c r="AA115" i="81"/>
  <c r="Y149" i="89"/>
  <c r="Y126" i="82"/>
  <c r="O91" i="92"/>
  <c r="L73" i="88"/>
  <c r="AB180" i="83"/>
  <c r="Z67" i="85"/>
  <c r="Y47" i="85"/>
  <c r="M9" i="84"/>
  <c r="Y53" i="81"/>
  <c r="Y15" i="82"/>
  <c r="L89" i="82"/>
  <c r="AA37" i="84"/>
  <c r="X152" i="91"/>
  <c r="O137" i="82"/>
  <c r="O99" i="81"/>
  <c r="AA39" i="74"/>
  <c r="L141" i="82"/>
  <c r="AA130" i="93"/>
  <c r="X39" i="85"/>
  <c r="AB71" i="83"/>
  <c r="O47" i="92"/>
  <c r="Y148" i="84"/>
  <c r="O9" i="74"/>
  <c r="AA110" i="83"/>
  <c r="Q158" i="85"/>
  <c r="O157" i="89"/>
  <c r="V141" i="82" l="1"/>
  <c r="V89" i="82"/>
  <c r="U9" i="84"/>
  <c r="U10" i="84" s="1"/>
  <c r="V73" i="88"/>
  <c r="V76" i="74"/>
  <c r="V174" i="89"/>
  <c r="V67" i="84"/>
  <c r="V168" i="85"/>
  <c r="V70" i="83"/>
  <c r="V103" i="85"/>
  <c r="U53" i="82"/>
  <c r="U54" i="82" s="1"/>
  <c r="V81" i="93"/>
  <c r="V94" i="81"/>
  <c r="V79" i="84"/>
  <c r="U61" i="88"/>
  <c r="U62" i="88" s="1"/>
  <c r="V124" i="88"/>
  <c r="V70" i="89"/>
  <c r="U55" i="81"/>
  <c r="U56" i="81" s="1"/>
  <c r="V88" i="82"/>
  <c r="V71" i="84"/>
  <c r="U9" i="74"/>
  <c r="U10" i="74" s="1"/>
  <c r="V90" i="81"/>
  <c r="V146" i="83"/>
  <c r="U49" i="82"/>
  <c r="U50" i="82" s="1"/>
  <c r="V72" i="83"/>
  <c r="U17" i="89"/>
  <c r="U18" i="89" s="1"/>
  <c r="V162" i="85"/>
  <c r="V144" i="81"/>
  <c r="V64" i="91"/>
  <c r="V80" i="87"/>
  <c r="V87" i="74"/>
  <c r="V145" i="81"/>
  <c r="V75" i="74"/>
  <c r="V141" i="84"/>
  <c r="V163" i="81"/>
  <c r="V148" i="85"/>
  <c r="V161" i="87"/>
  <c r="V96" i="91"/>
  <c r="U61" i="74"/>
  <c r="U62" i="74" s="1"/>
  <c r="V103" i="74"/>
  <c r="V119" i="85"/>
  <c r="V84" i="74"/>
  <c r="U49" i="85"/>
  <c r="U50" i="85" s="1"/>
  <c r="V119" i="74"/>
  <c r="V149" i="81"/>
  <c r="V144" i="82"/>
  <c r="V63" i="85"/>
  <c r="V112" i="94"/>
  <c r="V175" i="89"/>
  <c r="V115" i="88"/>
  <c r="V88" i="74"/>
  <c r="V173" i="74"/>
  <c r="V169" i="91"/>
  <c r="V107" i="74"/>
  <c r="V151" i="88"/>
  <c r="V182" i="87"/>
  <c r="U27" i="85"/>
  <c r="U28" i="85" s="1"/>
  <c r="V164" i="83"/>
  <c r="U31" i="82"/>
  <c r="U32" i="82" s="1"/>
  <c r="V155" i="82"/>
  <c r="V71" i="85"/>
  <c r="V145" i="92"/>
  <c r="V122" i="89"/>
  <c r="U23" i="74"/>
  <c r="U24" i="74" s="1"/>
  <c r="U61" i="83"/>
  <c r="U62" i="83" s="1"/>
  <c r="V151" i="81"/>
  <c r="V134" i="89"/>
  <c r="V181" i="85"/>
  <c r="V86" i="87"/>
  <c r="V101" i="87"/>
  <c r="V140" i="92"/>
  <c r="V110" i="88"/>
  <c r="U59" i="74"/>
  <c r="U60" i="74" s="1"/>
  <c r="U57" i="88"/>
  <c r="U58" i="88" s="1"/>
  <c r="V114" i="74"/>
  <c r="V172" i="81"/>
  <c r="V72" i="85"/>
  <c r="V121" i="85"/>
  <c r="U59" i="84"/>
  <c r="U60" i="84" s="1"/>
  <c r="U57" i="82"/>
  <c r="U58" i="82" s="1"/>
  <c r="V102" i="81"/>
  <c r="V166" i="84"/>
  <c r="V178" i="74"/>
  <c r="V79" i="92"/>
  <c r="U9" i="89"/>
  <c r="U10" i="89" s="1"/>
  <c r="Q188" i="93"/>
  <c r="V157" i="89"/>
  <c r="V95" i="85"/>
  <c r="V78" i="82"/>
  <c r="V101" i="89"/>
  <c r="V96" i="89"/>
  <c r="U19" i="84"/>
  <c r="U20" i="84" s="1"/>
  <c r="V105" i="81"/>
  <c r="V142" i="83"/>
  <c r="U27" i="81"/>
  <c r="U28" i="81" s="1"/>
  <c r="V67" i="74"/>
  <c r="V100" i="84"/>
  <c r="V65" i="84"/>
  <c r="V123" i="74"/>
  <c r="V154" i="84"/>
  <c r="U45" i="74"/>
  <c r="U46" i="74" s="1"/>
  <c r="U21" i="88"/>
  <c r="U22" i="88" s="1"/>
  <c r="V172" i="82"/>
  <c r="V170" i="85"/>
  <c r="U11" i="87"/>
  <c r="U12" i="87" s="1"/>
  <c r="V137" i="85"/>
  <c r="V93" i="83"/>
  <c r="V100" i="89"/>
  <c r="U23" i="92"/>
  <c r="U24" i="92" s="1"/>
  <c r="V141" i="85"/>
  <c r="V116" i="91"/>
  <c r="V113" i="89"/>
  <c r="V85" i="88"/>
  <c r="Q188" i="74"/>
  <c r="V101" i="88"/>
  <c r="V165" i="83"/>
  <c r="V77" i="91"/>
  <c r="V118" i="83"/>
  <c r="V135" i="91"/>
  <c r="U27" i="87"/>
  <c r="U28" i="87" s="1"/>
  <c r="V64" i="74"/>
  <c r="V179" i="89"/>
  <c r="V129" i="82"/>
  <c r="U49" i="83"/>
  <c r="U50" i="83" s="1"/>
  <c r="V168" i="87"/>
  <c r="V139" i="89"/>
  <c r="V75" i="89"/>
  <c r="U21" i="85"/>
  <c r="U22" i="85" s="1"/>
  <c r="V138" i="74"/>
  <c r="U27" i="89"/>
  <c r="U28" i="89" s="1"/>
  <c r="V78" i="81"/>
  <c r="V148" i="83"/>
  <c r="V170" i="89"/>
  <c r="V95" i="87"/>
  <c r="V133" i="82"/>
  <c r="V132" i="85"/>
  <c r="U51" i="82"/>
  <c r="U52" i="82" s="1"/>
  <c r="V125" i="83"/>
  <c r="V155" i="83"/>
  <c r="V92" i="83"/>
  <c r="U19" i="85"/>
  <c r="U20" i="85" s="1"/>
  <c r="V110" i="91"/>
  <c r="V150" i="83"/>
  <c r="Q188" i="88"/>
  <c r="U61" i="82"/>
  <c r="U62" i="82" s="1"/>
  <c r="V108" i="82"/>
  <c r="V179" i="82"/>
  <c r="V65" i="74"/>
  <c r="U27" i="88"/>
  <c r="U28" i="88" s="1"/>
  <c r="V156" i="87"/>
  <c r="V173" i="81"/>
  <c r="V150" i="89"/>
  <c r="U41" i="84"/>
  <c r="U42" i="84" s="1"/>
  <c r="V163" i="94"/>
  <c r="U21" i="84"/>
  <c r="U22" i="84" s="1"/>
  <c r="V102" i="82"/>
  <c r="V133" i="91"/>
  <c r="V129" i="83"/>
  <c r="V178" i="81"/>
  <c r="V159" i="82"/>
  <c r="V145" i="82"/>
  <c r="V94" i="85"/>
  <c r="V118" i="88"/>
  <c r="V73" i="85"/>
  <c r="V117" i="85"/>
  <c r="V180" i="92"/>
  <c r="V81" i="81"/>
  <c r="V69" i="94"/>
  <c r="V177" i="81"/>
  <c r="V119" i="81"/>
  <c r="V67" i="81"/>
  <c r="V101" i="84"/>
  <c r="V157" i="74"/>
  <c r="V112" i="82"/>
  <c r="V133" i="88"/>
  <c r="V163" i="85"/>
  <c r="V124" i="81"/>
  <c r="V175" i="84"/>
  <c r="U27" i="74"/>
  <c r="U28" i="74" s="1"/>
  <c r="V138" i="91"/>
  <c r="V132" i="84"/>
  <c r="V85" i="81"/>
  <c r="V174" i="83"/>
  <c r="V107" i="83"/>
  <c r="V65" i="93"/>
  <c r="U25" i="88"/>
  <c r="U26" i="88" s="1"/>
  <c r="V92" i="81"/>
  <c r="V135" i="83"/>
  <c r="V91" i="85"/>
  <c r="V136" i="87"/>
  <c r="V117" i="93"/>
  <c r="V135" i="74"/>
  <c r="V177" i="74"/>
  <c r="U21" i="91"/>
  <c r="U22" i="91" s="1"/>
  <c r="V160" i="83"/>
  <c r="V66" i="91"/>
  <c r="V134" i="83"/>
  <c r="V68" i="83"/>
  <c r="V77" i="74"/>
  <c r="U11" i="82"/>
  <c r="U12" i="82" s="1"/>
  <c r="V171" i="81"/>
  <c r="V176" i="83"/>
  <c r="V135" i="89"/>
  <c r="U25" i="81"/>
  <c r="U26" i="81" s="1"/>
  <c r="V104" i="83"/>
  <c r="V147" i="84"/>
  <c r="V80" i="83"/>
  <c r="V108" i="91"/>
  <c r="V74" i="89"/>
  <c r="U29" i="87"/>
  <c r="U30" i="87" s="1"/>
  <c r="V105" i="89"/>
  <c r="V165" i="81"/>
  <c r="V75" i="84"/>
  <c r="V129" i="74"/>
  <c r="V90" i="89"/>
  <c r="U29" i="84"/>
  <c r="U30" i="84" s="1"/>
  <c r="U19" i="93"/>
  <c r="U20" i="93" s="1"/>
  <c r="V170" i="81"/>
  <c r="V157" i="94"/>
  <c r="V72" i="81"/>
  <c r="V113" i="74"/>
  <c r="V132" i="74"/>
  <c r="U47" i="93"/>
  <c r="U48" i="93" s="1"/>
  <c r="V67" i="85"/>
  <c r="V153" i="81"/>
  <c r="U11" i="93"/>
  <c r="U12" i="93" s="1"/>
  <c r="U33" i="83"/>
  <c r="U34" i="83" s="1"/>
  <c r="V160" i="74"/>
  <c r="U17" i="84"/>
  <c r="U18" i="84" s="1"/>
  <c r="V176" i="81"/>
  <c r="V92" i="87"/>
  <c r="V148" i="82"/>
  <c r="U61" i="81"/>
  <c r="U62" i="81" s="1"/>
  <c r="U25" i="74"/>
  <c r="U26" i="74" s="1"/>
  <c r="V118" i="81"/>
  <c r="U53" i="81"/>
  <c r="U54" i="81" s="1"/>
  <c r="U47" i="92"/>
  <c r="U48" i="92" s="1"/>
  <c r="V161" i="82"/>
  <c r="V137" i="74"/>
  <c r="V76" i="82"/>
  <c r="U55" i="87"/>
  <c r="U56" i="87" s="1"/>
  <c r="V113" i="91"/>
  <c r="U13" i="74"/>
  <c r="U14" i="74" s="1"/>
  <c r="V116" i="74"/>
  <c r="V182" i="81"/>
  <c r="U41" i="94"/>
  <c r="U42" i="94" s="1"/>
  <c r="V86" i="91"/>
  <c r="V124" i="83"/>
  <c r="V121" i="89"/>
  <c r="V171" i="88"/>
  <c r="U23" i="84"/>
  <c r="U24" i="84" s="1"/>
  <c r="V123" i="85"/>
  <c r="V66" i="84"/>
  <c r="V126" i="87"/>
  <c r="V138" i="82"/>
  <c r="V103" i="92"/>
  <c r="V77" i="81"/>
  <c r="V178" i="91"/>
  <c r="V118" i="89"/>
  <c r="V115" i="82"/>
  <c r="V158" i="91"/>
  <c r="V128" i="84"/>
  <c r="V107" i="91"/>
  <c r="V115" i="89"/>
  <c r="V78" i="91"/>
  <c r="V108" i="83"/>
  <c r="V171" i="85"/>
  <c r="V120" i="91"/>
  <c r="V160" i="84"/>
  <c r="V173" i="82"/>
  <c r="U45" i="89"/>
  <c r="U46" i="89" s="1"/>
  <c r="V63" i="81"/>
  <c r="V154" i="85"/>
  <c r="V132" i="81"/>
  <c r="V65" i="83"/>
  <c r="V88" i="81"/>
  <c r="V76" i="85"/>
  <c r="U41" i="85"/>
  <c r="U42" i="85" s="1"/>
  <c r="V137" i="83"/>
  <c r="V122" i="74"/>
  <c r="V100" i="88"/>
  <c r="V138" i="81"/>
  <c r="V133" i="83"/>
  <c r="V86" i="74"/>
  <c r="U23" i="85"/>
  <c r="U24" i="85" s="1"/>
  <c r="V87" i="85"/>
  <c r="V177" i="82"/>
  <c r="V106" i="91"/>
  <c r="V151" i="82"/>
  <c r="V105" i="82"/>
  <c r="V80" i="82"/>
  <c r="V147" i="85"/>
  <c r="V98" i="91"/>
  <c r="V144" i="94"/>
  <c r="V165" i="91"/>
  <c r="V144" i="87"/>
  <c r="V175" i="74"/>
  <c r="V120" i="81"/>
  <c r="V172" i="92"/>
  <c r="V142" i="84"/>
  <c r="V135" i="94"/>
  <c r="U25" i="93"/>
  <c r="U26" i="93" s="1"/>
  <c r="V176" i="88"/>
  <c r="V138" i="85"/>
  <c r="V72" i="88"/>
  <c r="V97" i="83"/>
  <c r="V140" i="81"/>
  <c r="V78" i="85"/>
  <c r="V69" i="91"/>
  <c r="V83" i="82"/>
  <c r="V134" i="92"/>
  <c r="U39" i="81"/>
  <c r="U40" i="81" s="1"/>
  <c r="V164" i="89"/>
  <c r="V73" i="74"/>
  <c r="V119" i="83"/>
  <c r="U19" i="92"/>
  <c r="U20" i="92" s="1"/>
  <c r="V161" i="88"/>
  <c r="V159" i="81"/>
  <c r="V166" i="74"/>
  <c r="V86" i="88"/>
  <c r="V153" i="85"/>
  <c r="V153" i="87"/>
  <c r="V78" i="83"/>
  <c r="V144" i="83"/>
  <c r="V67" i="88"/>
  <c r="U59" i="94"/>
  <c r="U60" i="94" s="1"/>
  <c r="V74" i="81"/>
  <c r="U35" i="81"/>
  <c r="U36" i="81" s="1"/>
  <c r="V166" i="85"/>
  <c r="U51" i="83"/>
  <c r="U52" i="83" s="1"/>
  <c r="Q187" i="87"/>
  <c r="V182" i="84"/>
  <c r="U11" i="83"/>
  <c r="U12" i="83" s="1"/>
  <c r="V98" i="85"/>
  <c r="V84" i="81"/>
  <c r="V145" i="85"/>
  <c r="U9" i="85"/>
  <c r="U10" i="85" s="1"/>
  <c r="V182" i="91"/>
  <c r="V180" i="85"/>
  <c r="V102" i="88"/>
  <c r="U19" i="87"/>
  <c r="U20" i="87" s="1"/>
  <c r="V111" i="82"/>
  <c r="V151" i="74"/>
  <c r="V158" i="87"/>
  <c r="V162" i="81"/>
  <c r="V91" i="81"/>
  <c r="U17" i="83"/>
  <c r="U18" i="83" s="1"/>
  <c r="V149" i="94"/>
  <c r="V90" i="74"/>
  <c r="V120" i="88"/>
  <c r="V100" i="82"/>
  <c r="V177" i="85"/>
  <c r="V125" i="85"/>
  <c r="V124" i="82"/>
  <c r="V123" i="81"/>
  <c r="V86" i="85"/>
  <c r="V160" i="89"/>
  <c r="V169" i="81"/>
  <c r="V69" i="85"/>
  <c r="V69" i="81"/>
  <c r="V151" i="83"/>
  <c r="V173" i="85"/>
  <c r="U37" i="81"/>
  <c r="U38" i="81" s="1"/>
  <c r="U43" i="84"/>
  <c r="U44" i="84" s="1"/>
  <c r="V175" i="87"/>
  <c r="V142" i="74"/>
  <c r="U33" i="93"/>
  <c r="U34" i="93" s="1"/>
  <c r="V126" i="83"/>
  <c r="U39" i="92"/>
  <c r="U40" i="92" s="1"/>
  <c r="V78" i="88"/>
  <c r="U29" i="91"/>
  <c r="U30" i="91" s="1"/>
  <c r="V122" i="91"/>
  <c r="V135" i="88"/>
  <c r="Q188" i="85"/>
  <c r="Q188" i="81"/>
  <c r="V125" i="87"/>
  <c r="V181" i="74"/>
  <c r="U49" i="88"/>
  <c r="U50" i="88" s="1"/>
  <c r="V105" i="74"/>
  <c r="V167" i="91"/>
  <c r="V126" i="82"/>
  <c r="V119" i="88"/>
  <c r="U45" i="82"/>
  <c r="U46" i="82" s="1"/>
  <c r="V95" i="84"/>
  <c r="V139" i="92"/>
  <c r="V107" i="81"/>
  <c r="V88" i="91"/>
  <c r="V82" i="81"/>
  <c r="V142" i="87"/>
  <c r="V181" i="87"/>
  <c r="V122" i="82"/>
  <c r="V157" i="91"/>
  <c r="V178" i="87"/>
  <c r="V139" i="82"/>
  <c r="V114" i="82"/>
  <c r="V77" i="83"/>
  <c r="U37" i="82"/>
  <c r="U38" i="82" s="1"/>
  <c r="V85" i="85"/>
  <c r="V92" i="88"/>
  <c r="V160" i="87"/>
  <c r="V173" i="88"/>
  <c r="V177" i="88"/>
  <c r="V135" i="87"/>
  <c r="V104" i="81"/>
  <c r="V137" i="88"/>
  <c r="V134" i="85"/>
  <c r="V162" i="74"/>
  <c r="V157" i="81"/>
  <c r="V130" i="89"/>
  <c r="V150" i="88"/>
  <c r="V81" i="85"/>
  <c r="V95" i="81"/>
  <c r="V125" i="91"/>
  <c r="V94" i="83"/>
  <c r="V79" i="85"/>
  <c r="V151" i="87"/>
  <c r="V182" i="82"/>
  <c r="V136" i="85"/>
  <c r="V117" i="83"/>
  <c r="V179" i="85"/>
  <c r="V113" i="92"/>
  <c r="V101" i="83"/>
  <c r="V167" i="85"/>
  <c r="U43" i="83"/>
  <c r="U44" i="83" s="1"/>
  <c r="V96" i="83"/>
  <c r="V105" i="88"/>
  <c r="V109" i="89"/>
  <c r="U13" i="84"/>
  <c r="U14" i="84" s="1"/>
  <c r="V181" i="84"/>
  <c r="V126" i="89"/>
  <c r="V121" i="83"/>
  <c r="U43" i="87"/>
  <c r="U44" i="87" s="1"/>
  <c r="V175" i="83"/>
  <c r="V129" i="91"/>
  <c r="V92" i="74"/>
  <c r="U27" i="82"/>
  <c r="U28" i="82" s="1"/>
  <c r="U57" i="74"/>
  <c r="U58" i="74" s="1"/>
  <c r="V98" i="87"/>
  <c r="U45" i="81"/>
  <c r="U46" i="81" s="1"/>
  <c r="V81" i="88"/>
  <c r="V102" i="74"/>
  <c r="V163" i="88"/>
  <c r="V87" i="83"/>
  <c r="V83" i="87"/>
  <c r="V126" i="94"/>
  <c r="V167" i="74"/>
  <c r="V153" i="84"/>
  <c r="V137" i="81"/>
  <c r="Q187" i="81"/>
  <c r="Q188" i="84"/>
  <c r="V127" i="82"/>
  <c r="V107" i="82"/>
  <c r="V179" i="93"/>
  <c r="V129" i="92"/>
  <c r="Q187" i="85"/>
  <c r="V72" i="91"/>
  <c r="V167" i="82"/>
  <c r="U51" i="84"/>
  <c r="U52" i="84" s="1"/>
  <c r="V93" i="74"/>
  <c r="V67" i="92"/>
  <c r="V106" i="81"/>
  <c r="V112" i="74"/>
  <c r="U15" i="82"/>
  <c r="U16" i="82" s="1"/>
  <c r="U43" i="82"/>
  <c r="U44" i="82" s="1"/>
  <c r="U53" i="91"/>
  <c r="U54" i="91" s="1"/>
  <c r="U9" i="81"/>
  <c r="U10" i="81" s="1"/>
  <c r="V165" i="93"/>
  <c r="V70" i="81"/>
  <c r="V89" i="81"/>
  <c r="V99" i="85"/>
  <c r="V145" i="91"/>
  <c r="V156" i="88"/>
  <c r="U55" i="85"/>
  <c r="U56" i="85" s="1"/>
  <c r="V110" i="74"/>
  <c r="U25" i="89"/>
  <c r="U26" i="89" s="1"/>
  <c r="V64" i="87"/>
  <c r="V128" i="94"/>
  <c r="V146" i="74"/>
  <c r="V84" i="85"/>
  <c r="V178" i="93"/>
  <c r="V173" i="91"/>
  <c r="V72" i="74"/>
  <c r="V166" i="83"/>
  <c r="V161" i="74"/>
  <c r="U49" i="87"/>
  <c r="U50" i="87" s="1"/>
  <c r="U13" i="82"/>
  <c r="U14" i="82" s="1"/>
  <c r="U37" i="74"/>
  <c r="U38" i="74" s="1"/>
  <c r="V113" i="85"/>
  <c r="V119" i="87"/>
  <c r="V181" i="82"/>
  <c r="V101" i="82"/>
  <c r="V181" i="89"/>
  <c r="V157" i="82"/>
  <c r="V92" i="82"/>
  <c r="V143" i="83"/>
  <c r="V124" i="92"/>
  <c r="V91" i="74"/>
  <c r="V131" i="81"/>
  <c r="V112" i="87"/>
  <c r="V77" i="84"/>
  <c r="V94" i="89"/>
  <c r="U43" i="81"/>
  <c r="U44" i="81" s="1"/>
  <c r="V82" i="87"/>
  <c r="V133" i="81"/>
  <c r="V170" i="87"/>
  <c r="V172" i="91"/>
  <c r="V105" i="87"/>
  <c r="V104" i="94"/>
  <c r="U9" i="87"/>
  <c r="U10" i="87" s="1"/>
  <c r="U9" i="88"/>
  <c r="U10" i="88" s="1"/>
  <c r="V156" i="91"/>
  <c r="V119" i="91"/>
  <c r="V133" i="85"/>
  <c r="U11" i="94"/>
  <c r="U12" i="94" s="1"/>
  <c r="V181" i="81"/>
  <c r="U15" i="91"/>
  <c r="U16" i="91" s="1"/>
  <c r="V164" i="74"/>
  <c r="V115" i="83"/>
  <c r="U39" i="88"/>
  <c r="U40" i="88" s="1"/>
  <c r="V131" i="74"/>
  <c r="V155" i="87"/>
  <c r="V169" i="88"/>
  <c r="V113" i="83"/>
  <c r="V87" i="88"/>
  <c r="V124" i="74"/>
  <c r="V103" i="88"/>
  <c r="V102" i="85"/>
  <c r="V161" i="89"/>
  <c r="V78" i="89"/>
  <c r="V141" i="74"/>
  <c r="V176" i="91"/>
  <c r="V82" i="89"/>
  <c r="V169" i="74"/>
  <c r="V68" i="88"/>
  <c r="V89" i="74"/>
  <c r="V80" i="91"/>
  <c r="V161" i="94"/>
  <c r="V157" i="83"/>
  <c r="V70" i="88"/>
  <c r="V154" i="83"/>
  <c r="V159" i="88"/>
  <c r="V146" i="81"/>
  <c r="V179" i="74"/>
  <c r="V156" i="94"/>
  <c r="V82" i="82"/>
  <c r="V98" i="93"/>
  <c r="V152" i="94"/>
  <c r="V66" i="74"/>
  <c r="U27" i="91"/>
  <c r="U28" i="91" s="1"/>
  <c r="V171" i="89"/>
  <c r="V159" i="74"/>
  <c r="V101" i="74"/>
  <c r="V166" i="92"/>
  <c r="U23" i="94"/>
  <c r="U24" i="94" s="1"/>
  <c r="V80" i="84"/>
  <c r="V68" i="81"/>
  <c r="V149" i="84"/>
  <c r="V147" i="74"/>
  <c r="V151" i="94"/>
  <c r="U55" i="82"/>
  <c r="U56" i="82" s="1"/>
  <c r="U37" i="91"/>
  <c r="U38" i="91" s="1"/>
  <c r="U17" i="81"/>
  <c r="U18" i="81" s="1"/>
  <c r="V74" i="93"/>
  <c r="V140" i="82"/>
  <c r="V133" i="87"/>
  <c r="Q187" i="84"/>
  <c r="V76" i="81"/>
  <c r="V67" i="94"/>
  <c r="V146" i="87"/>
  <c r="V119" i="84"/>
  <c r="U49" i="91"/>
  <c r="U50" i="91" s="1"/>
  <c r="U31" i="93"/>
  <c r="U32" i="93" s="1"/>
  <c r="V180" i="88"/>
  <c r="V144" i="89"/>
  <c r="V71" i="88"/>
  <c r="V131" i="91"/>
  <c r="V130" i="83"/>
  <c r="V77" i="92"/>
  <c r="V133" i="84"/>
  <c r="V121" i="91"/>
  <c r="V109" i="92"/>
  <c r="U31" i="83"/>
  <c r="U32" i="83" s="1"/>
  <c r="V120" i="82"/>
  <c r="V149" i="89"/>
  <c r="V182" i="74"/>
  <c r="U27" i="84"/>
  <c r="U28" i="84" s="1"/>
  <c r="V112" i="81"/>
  <c r="V132" i="88"/>
  <c r="V63" i="89"/>
  <c r="V80" i="81"/>
  <c r="V182" i="85"/>
  <c r="U59" i="83"/>
  <c r="U60" i="83" s="1"/>
  <c r="V126" i="81"/>
  <c r="U17" i="82"/>
  <c r="U18" i="82" s="1"/>
  <c r="V64" i="89"/>
  <c r="V74" i="85"/>
  <c r="V154" i="87"/>
  <c r="V145" i="83"/>
  <c r="U21" i="81"/>
  <c r="U22" i="81" s="1"/>
  <c r="V164" i="93"/>
  <c r="V64" i="84"/>
  <c r="V126" i="74"/>
  <c r="V181" i="91"/>
  <c r="V172" i="89"/>
  <c r="Q188" i="82"/>
  <c r="V113" i="82"/>
  <c r="V129" i="94"/>
  <c r="V99" i="88"/>
  <c r="V109" i="81"/>
  <c r="V115" i="81"/>
  <c r="V89" i="85"/>
  <c r="U29" i="92"/>
  <c r="U30" i="92" s="1"/>
  <c r="V161" i="91"/>
  <c r="V88" i="87"/>
  <c r="V155" i="74"/>
  <c r="V99" i="89"/>
  <c r="V152" i="83"/>
  <c r="V127" i="88"/>
  <c r="V142" i="89"/>
  <c r="V85" i="74"/>
  <c r="V173" i="92"/>
  <c r="U61" i="84"/>
  <c r="U62" i="84" s="1"/>
  <c r="V124" i="85"/>
  <c r="U19" i="83"/>
  <c r="U20" i="83" s="1"/>
  <c r="V159" i="84"/>
  <c r="V96" i="94"/>
  <c r="V86" i="81"/>
  <c r="U41" i="83"/>
  <c r="U42" i="83" s="1"/>
  <c r="V92" i="94"/>
  <c r="V108" i="85"/>
  <c r="U49" i="81"/>
  <c r="U50" i="81" s="1"/>
  <c r="V116" i="81"/>
  <c r="V135" i="81"/>
  <c r="V106" i="74"/>
  <c r="U31" i="88"/>
  <c r="U32" i="88" s="1"/>
  <c r="V76" i="92"/>
  <c r="V64" i="85"/>
  <c r="V79" i="82"/>
  <c r="V129" i="85"/>
  <c r="V140" i="74"/>
  <c r="U15" i="83"/>
  <c r="U16" i="83" s="1"/>
  <c r="V81" i="91"/>
  <c r="V151" i="85"/>
  <c r="V111" i="83"/>
  <c r="V150" i="82"/>
  <c r="V85" i="93"/>
  <c r="V63" i="93"/>
  <c r="V172" i="83"/>
  <c r="V110" i="89"/>
  <c r="V74" i="82"/>
  <c r="V92" i="85"/>
  <c r="V65" i="82"/>
  <c r="V109" i="93"/>
  <c r="U21" i="74"/>
  <c r="U22" i="74" s="1"/>
  <c r="V63" i="92"/>
  <c r="U11" i="74"/>
  <c r="U12" i="74" s="1"/>
  <c r="V99" i="91"/>
  <c r="V127" i="87"/>
  <c r="V164" i="82"/>
  <c r="U47" i="85"/>
  <c r="U48" i="85" s="1"/>
  <c r="V160" i="82"/>
  <c r="V91" i="83"/>
  <c r="V69" i="83"/>
  <c r="U23" i="82"/>
  <c r="U24" i="82" s="1"/>
  <c r="V138" i="93"/>
  <c r="V83" i="92"/>
  <c r="U15" i="88"/>
  <c r="U16" i="88" s="1"/>
  <c r="V73" i="91"/>
  <c r="V148" i="74"/>
  <c r="V116" i="82"/>
  <c r="V130" i="81"/>
  <c r="V85" i="84"/>
  <c r="U17" i="87"/>
  <c r="U18" i="87" s="1"/>
  <c r="V153" i="83"/>
  <c r="V135" i="82"/>
  <c r="V114" i="87"/>
  <c r="V117" i="81"/>
  <c r="U29" i="89"/>
  <c r="U30" i="89" s="1"/>
  <c r="V152" i="89"/>
  <c r="V181" i="93"/>
  <c r="V131" i="85"/>
  <c r="V115" i="74"/>
  <c r="V79" i="88"/>
  <c r="U51" i="92"/>
  <c r="U52" i="92" s="1"/>
  <c r="V147" i="88"/>
  <c r="V105" i="85"/>
  <c r="V152" i="88"/>
  <c r="V163" i="89"/>
  <c r="V122" i="83"/>
  <c r="V147" i="81"/>
  <c r="V102" i="92"/>
  <c r="V177" i="87"/>
  <c r="V166" i="89"/>
  <c r="V165" i="87"/>
  <c r="V125" i="74"/>
  <c r="V116" i="94"/>
  <c r="V90" i="91"/>
  <c r="U45" i="91"/>
  <c r="U46" i="91" s="1"/>
  <c r="V88" i="94"/>
  <c r="V100" i="85"/>
  <c r="U9" i="82"/>
  <c r="U10" i="82" s="1"/>
  <c r="V122" i="94"/>
  <c r="V89" i="83"/>
  <c r="V82" i="93"/>
  <c r="V83" i="74"/>
  <c r="V171" i="92"/>
  <c r="V96" i="82"/>
  <c r="V141" i="88"/>
  <c r="V168" i="81"/>
  <c r="V93" i="89"/>
  <c r="V97" i="82"/>
  <c r="Q187" i="82"/>
  <c r="V117" i="87"/>
  <c r="V76" i="84"/>
  <c r="V166" i="94"/>
  <c r="V128" i="88"/>
  <c r="V95" i="83"/>
  <c r="V117" i="74"/>
  <c r="V144" i="74"/>
  <c r="V154" i="89"/>
  <c r="V162" i="88"/>
  <c r="V163" i="74"/>
  <c r="V66" i="94"/>
  <c r="V91" i="89"/>
  <c r="V76" i="88"/>
  <c r="V99" i="81"/>
  <c r="V158" i="85"/>
  <c r="V180" i="89"/>
  <c r="V99" i="83"/>
  <c r="V128" i="83"/>
  <c r="V155" i="81"/>
  <c r="V142" i="85"/>
  <c r="U31" i="84"/>
  <c r="U32" i="84" s="1"/>
  <c r="V85" i="89"/>
  <c r="V150" i="74"/>
  <c r="V69" i="84"/>
  <c r="V80" i="74"/>
  <c r="U45" i="84"/>
  <c r="U46" i="84" s="1"/>
  <c r="V84" i="84"/>
  <c r="V139" i="91"/>
  <c r="V162" i="83"/>
  <c r="V109" i="83"/>
  <c r="V71" i="89"/>
  <c r="V128" i="85"/>
  <c r="V178" i="88"/>
  <c r="V179" i="92"/>
  <c r="V89" i="88"/>
  <c r="V88" i="92"/>
  <c r="U15" i="85"/>
  <c r="U16" i="85" s="1"/>
  <c r="V179" i="87"/>
  <c r="V154" i="88"/>
  <c r="U39" i="91"/>
  <c r="U40" i="91" s="1"/>
  <c r="V102" i="93"/>
  <c r="V70" i="74"/>
  <c r="U59" i="91"/>
  <c r="U60" i="91" s="1"/>
  <c r="V177" i="83"/>
  <c r="V125" i="81"/>
  <c r="V78" i="87"/>
  <c r="V68" i="87"/>
  <c r="V93" i="88"/>
  <c r="V162" i="82"/>
  <c r="U13" i="85"/>
  <c r="U14" i="85" s="1"/>
  <c r="V79" i="87"/>
  <c r="V136" i="82"/>
  <c r="V97" i="87"/>
  <c r="U23" i="91"/>
  <c r="U24" i="91" s="1"/>
  <c r="V75" i="83"/>
  <c r="V118" i="74"/>
  <c r="V99" i="82"/>
  <c r="U21" i="92"/>
  <c r="U22" i="92" s="1"/>
  <c r="V174" i="91"/>
  <c r="V87" i="94"/>
  <c r="V79" i="74"/>
  <c r="V118" i="91"/>
  <c r="V116" i="88"/>
  <c r="V73" i="81"/>
  <c r="V112" i="88"/>
  <c r="V83" i="88"/>
  <c r="V124" i="89"/>
  <c r="U29" i="74"/>
  <c r="U30" i="74" s="1"/>
  <c r="V179" i="81"/>
  <c r="U19" i="88"/>
  <c r="U20" i="88" s="1"/>
  <c r="V99" i="74"/>
  <c r="V128" i="81"/>
  <c r="V155" i="91"/>
  <c r="V174" i="74"/>
  <c r="V105" i="92"/>
  <c r="V99" i="92"/>
  <c r="U57" i="84"/>
  <c r="U58" i="84" s="1"/>
  <c r="V140" i="85"/>
  <c r="Q187" i="91"/>
  <c r="V81" i="84"/>
  <c r="V148" i="94"/>
  <c r="V128" i="82"/>
  <c r="V114" i="88"/>
  <c r="V74" i="74"/>
  <c r="V162" i="87"/>
  <c r="V100" i="94"/>
  <c r="V108" i="93"/>
  <c r="V107" i="89"/>
  <c r="V100" i="83"/>
  <c r="V80" i="94"/>
  <c r="U61" i="89"/>
  <c r="U62" i="89" s="1"/>
  <c r="V176" i="84"/>
  <c r="V73" i="87"/>
  <c r="V64" i="81"/>
  <c r="U23" i="83"/>
  <c r="U24" i="83" s="1"/>
  <c r="V131" i="83"/>
  <c r="V157" i="85"/>
  <c r="V69" i="82"/>
  <c r="V154" i="82"/>
  <c r="U37" i="85"/>
  <c r="U38" i="85" s="1"/>
  <c r="U13" i="81"/>
  <c r="U14" i="81" s="1"/>
  <c r="V117" i="91"/>
  <c r="V123" i="89"/>
  <c r="U35" i="88"/>
  <c r="U36" i="88" s="1"/>
  <c r="V98" i="94"/>
  <c r="V179" i="88"/>
  <c r="V77" i="88"/>
  <c r="V123" i="82"/>
  <c r="V114" i="93"/>
  <c r="V105" i="83"/>
  <c r="U33" i="82"/>
  <c r="U34" i="82" s="1"/>
  <c r="V125" i="92"/>
  <c r="V138" i="83"/>
  <c r="V174" i="92"/>
  <c r="U51" i="93"/>
  <c r="U52" i="93" s="1"/>
  <c r="V168" i="83"/>
  <c r="V182" i="83"/>
  <c r="V112" i="85"/>
  <c r="V158" i="89"/>
  <c r="V71" i="92"/>
  <c r="V96" i="74"/>
  <c r="V174" i="87"/>
  <c r="V133" i="74"/>
  <c r="V96" i="81"/>
  <c r="U29" i="83"/>
  <c r="U30" i="83" s="1"/>
  <c r="U13" i="87"/>
  <c r="U14" i="87" s="1"/>
  <c r="V71" i="82"/>
  <c r="V147" i="87"/>
  <c r="V175" i="88"/>
  <c r="V142" i="88"/>
  <c r="V79" i="89"/>
  <c r="V102" i="83"/>
  <c r="V70" i="85"/>
  <c r="V94" i="87"/>
  <c r="V176" i="74"/>
  <c r="V138" i="87"/>
  <c r="V93" i="82"/>
  <c r="V157" i="92"/>
  <c r="V130" i="82"/>
  <c r="V88" i="83"/>
  <c r="V147" i="94"/>
  <c r="V143" i="84"/>
  <c r="V150" i="94"/>
  <c r="V164" i="81"/>
  <c r="U15" i="81"/>
  <c r="U16" i="81" s="1"/>
  <c r="V152" i="91"/>
  <c r="V128" i="93"/>
  <c r="V66" i="82"/>
  <c r="V67" i="93"/>
  <c r="U53" i="93"/>
  <c r="U54" i="93" s="1"/>
  <c r="V158" i="74"/>
  <c r="U15" i="74"/>
  <c r="U16" i="74" s="1"/>
  <c r="V164" i="85"/>
  <c r="V75" i="85"/>
  <c r="V138" i="88"/>
  <c r="V167" i="83"/>
  <c r="U27" i="83"/>
  <c r="U28" i="83" s="1"/>
  <c r="V79" i="83"/>
  <c r="V145" i="74"/>
  <c r="U25" i="83"/>
  <c r="U26" i="83" s="1"/>
  <c r="U11" i="81"/>
  <c r="U12" i="81" s="1"/>
  <c r="V95" i="74"/>
  <c r="U55" i="83"/>
  <c r="U56" i="83" s="1"/>
  <c r="V123" i="93"/>
  <c r="V143" i="89"/>
  <c r="V118" i="93"/>
  <c r="V67" i="89"/>
  <c r="V149" i="74"/>
  <c r="V102" i="94"/>
  <c r="U61" i="87"/>
  <c r="U62" i="87" s="1"/>
  <c r="U47" i="91"/>
  <c r="U48" i="91" s="1"/>
  <c r="V103" i="83"/>
  <c r="U57" i="85"/>
  <c r="U58" i="85" s="1"/>
  <c r="V82" i="84"/>
  <c r="U55" i="84"/>
  <c r="U56" i="84" s="1"/>
  <c r="V108" i="89"/>
  <c r="V133" i="94"/>
  <c r="V74" i="83"/>
  <c r="V108" i="81"/>
  <c r="V75" i="82"/>
  <c r="U33" i="85"/>
  <c r="U34" i="85" s="1"/>
  <c r="V129" i="93"/>
  <c r="V159" i="83"/>
  <c r="V180" i="82"/>
  <c r="U23" i="87"/>
  <c r="U24" i="87" s="1"/>
  <c r="V167" i="84"/>
  <c r="V143" i="82"/>
  <c r="V130" i="88"/>
  <c r="V156" i="81"/>
  <c r="U55" i="93"/>
  <c r="U56" i="93" s="1"/>
  <c r="U47" i="84"/>
  <c r="U48" i="84" s="1"/>
  <c r="V120" i="85"/>
  <c r="U25" i="91"/>
  <c r="U26" i="91" s="1"/>
  <c r="U11" i="85"/>
  <c r="U12" i="85" s="1"/>
  <c r="V146" i="88"/>
  <c r="U31" i="81"/>
  <c r="U32" i="81" s="1"/>
  <c r="V176" i="92"/>
  <c r="V168" i="88"/>
  <c r="V89" i="93"/>
  <c r="V125" i="88"/>
  <c r="V158" i="93"/>
  <c r="V178" i="85"/>
  <c r="V143" i="92"/>
  <c r="V92" i="92"/>
  <c r="U35" i="84"/>
  <c r="U36" i="84" s="1"/>
  <c r="U35" i="83"/>
  <c r="U36" i="83" s="1"/>
  <c r="V114" i="83"/>
  <c r="V129" i="87"/>
  <c r="V82" i="91"/>
  <c r="V90" i="94"/>
  <c r="V103" i="81"/>
  <c r="V163" i="87"/>
  <c r="V176" i="82"/>
  <c r="V148" i="89"/>
  <c r="V87" i="82"/>
  <c r="V141" i="83"/>
  <c r="V178" i="94"/>
  <c r="V95" i="91"/>
  <c r="V132" i="93"/>
  <c r="V139" i="94"/>
  <c r="U13" i="83"/>
  <c r="U14" i="83" s="1"/>
  <c r="V95" i="82"/>
  <c r="V140" i="93"/>
  <c r="V182" i="94"/>
  <c r="V73" i="82"/>
  <c r="V136" i="81"/>
  <c r="V98" i="83"/>
  <c r="Q188" i="94"/>
  <c r="U31" i="85"/>
  <c r="U32" i="85" s="1"/>
  <c r="U23" i="89"/>
  <c r="U24" i="89" s="1"/>
  <c r="V181" i="88"/>
  <c r="V105" i="93"/>
  <c r="V98" i="82"/>
  <c r="V94" i="74"/>
  <c r="U29" i="88"/>
  <c r="U30" i="88" s="1"/>
  <c r="V124" i="94"/>
  <c r="V136" i="83"/>
  <c r="V67" i="87"/>
  <c r="V90" i="87"/>
  <c r="V70" i="82"/>
  <c r="V110" i="85"/>
  <c r="U59" i="82"/>
  <c r="U60" i="82" s="1"/>
  <c r="V68" i="85"/>
  <c r="V156" i="82"/>
  <c r="V172" i="93"/>
  <c r="V81" i="82"/>
  <c r="V143" i="87"/>
  <c r="V112" i="93"/>
  <c r="V64" i="92"/>
  <c r="U53" i="85"/>
  <c r="U54" i="85" s="1"/>
  <c r="V133" i="89"/>
  <c r="V91" i="92"/>
  <c r="U53" i="92"/>
  <c r="U54" i="92" s="1"/>
  <c r="V137" i="82"/>
  <c r="U53" i="84"/>
  <c r="U54" i="84" s="1"/>
  <c r="V116" i="89"/>
  <c r="U57" i="87"/>
  <c r="U58" i="87" s="1"/>
  <c r="V86" i="92"/>
  <c r="V77" i="87"/>
  <c r="V156" i="74"/>
  <c r="V178" i="83"/>
  <c r="V144" i="92"/>
  <c r="V104" i="87"/>
  <c r="V65" i="91"/>
  <c r="V118" i="84"/>
  <c r="V85" i="82"/>
  <c r="Q188" i="83"/>
  <c r="V80" i="92"/>
  <c r="V131" i="82"/>
  <c r="V145" i="89"/>
  <c r="V149" i="91"/>
  <c r="V100" i="81"/>
  <c r="V97" i="81"/>
  <c r="V75" i="94"/>
  <c r="V164" i="88"/>
  <c r="V167" i="92"/>
  <c r="V63" i="84"/>
  <c r="V97" i="94"/>
  <c r="V171" i="87"/>
  <c r="V144" i="91"/>
  <c r="V71" i="81"/>
  <c r="V91" i="88"/>
  <c r="V166" i="91"/>
  <c r="V149" i="83"/>
  <c r="V86" i="93"/>
  <c r="V163" i="82"/>
  <c r="V110" i="83"/>
  <c r="V94" i="84"/>
  <c r="U13" i="88"/>
  <c r="U14" i="88" s="1"/>
  <c r="V81" i="89"/>
  <c r="V95" i="92"/>
  <c r="V136" i="93"/>
  <c r="U15" i="84"/>
  <c r="U16" i="84" s="1"/>
  <c r="U35" i="82"/>
  <c r="U36" i="82" s="1"/>
  <c r="V173" i="93"/>
  <c r="V147" i="91"/>
  <c r="V134" i="81"/>
  <c r="V174" i="85"/>
  <c r="V112" i="89"/>
  <c r="V92" i="91"/>
  <c r="U11" i="91"/>
  <c r="U12" i="91" s="1"/>
  <c r="V64" i="93"/>
  <c r="U9" i="94"/>
  <c r="U10" i="94" s="1"/>
  <c r="V120" i="89"/>
  <c r="V79" i="91"/>
  <c r="U25" i="92"/>
  <c r="U26" i="92" s="1"/>
  <c r="V118" i="82"/>
  <c r="V84" i="87"/>
  <c r="V74" i="91"/>
  <c r="V153" i="89"/>
  <c r="V111" i="74"/>
  <c r="V169" i="94"/>
  <c r="V138" i="94"/>
  <c r="V68" i="92"/>
  <c r="V92" i="89"/>
  <c r="U57" i="83"/>
  <c r="U58" i="83" s="1"/>
  <c r="V142" i="82"/>
  <c r="V111" i="91"/>
  <c r="V165" i="92"/>
  <c r="V63" i="87"/>
  <c r="V99" i="87"/>
  <c r="V152" i="81"/>
  <c r="V169" i="92"/>
  <c r="V145" i="87"/>
  <c r="V144" i="93"/>
  <c r="V88" i="93"/>
  <c r="V104" i="74"/>
  <c r="V101" i="93"/>
  <c r="V63" i="83"/>
  <c r="V64" i="82"/>
  <c r="V81" i="74"/>
  <c r="V178" i="82"/>
  <c r="V93" i="81"/>
  <c r="V95" i="93"/>
  <c r="V146" i="85"/>
  <c r="U45" i="85"/>
  <c r="U46" i="85" s="1"/>
  <c r="V165" i="89"/>
  <c r="V68" i="93"/>
  <c r="U37" i="83"/>
  <c r="U38" i="83" s="1"/>
  <c r="V70" i="84"/>
  <c r="V122" i="92"/>
  <c r="V114" i="91"/>
  <c r="V89" i="91"/>
  <c r="U31" i="74"/>
  <c r="U32" i="74" s="1"/>
  <c r="U19" i="94"/>
  <c r="U20" i="94" s="1"/>
  <c r="V68" i="82"/>
  <c r="V172" i="85"/>
  <c r="V180" i="94"/>
  <c r="U59" i="85"/>
  <c r="U60" i="85" s="1"/>
  <c r="V117" i="82"/>
  <c r="V167" i="87"/>
  <c r="V81" i="94"/>
  <c r="V71" i="83"/>
  <c r="V89" i="87"/>
  <c r="V138" i="92"/>
  <c r="U23" i="88"/>
  <c r="U24" i="88" s="1"/>
  <c r="U25" i="84"/>
  <c r="U26" i="84" s="1"/>
  <c r="V178" i="89"/>
  <c r="V132" i="82"/>
  <c r="V66" i="89"/>
  <c r="V83" i="81"/>
  <c r="V171" i="94"/>
  <c r="V174" i="82"/>
  <c r="U61" i="91"/>
  <c r="U62" i="91" s="1"/>
  <c r="V70" i="87"/>
  <c r="V171" i="83"/>
  <c r="V174" i="94"/>
  <c r="V159" i="92"/>
  <c r="U53" i="74"/>
  <c r="U54" i="74" s="1"/>
  <c r="V129" i="81"/>
  <c r="U25" i="82"/>
  <c r="U26" i="82" s="1"/>
  <c r="V104" i="82"/>
  <c r="V136" i="89"/>
  <c r="V80" i="88"/>
  <c r="V104" i="88"/>
  <c r="Q187" i="89"/>
  <c r="V160" i="92"/>
  <c r="V109" i="82"/>
  <c r="V161" i="85"/>
  <c r="U49" i="92"/>
  <c r="U50" i="92" s="1"/>
  <c r="U9" i="91"/>
  <c r="U10" i="91" s="1"/>
  <c r="V109" i="88"/>
  <c r="V122" i="88"/>
  <c r="U37" i="87"/>
  <c r="U38" i="87" s="1"/>
  <c r="U49" i="89"/>
  <c r="U50" i="89" s="1"/>
  <c r="V139" i="74"/>
  <c r="U17" i="74"/>
  <c r="U18" i="74" s="1"/>
  <c r="V67" i="82"/>
  <c r="V156" i="83"/>
  <c r="U51" i="81"/>
  <c r="U52" i="81" s="1"/>
  <c r="V70" i="93"/>
  <c r="V126" i="91"/>
  <c r="V68" i="89"/>
  <c r="V176" i="93"/>
  <c r="V168" i="89"/>
  <c r="U9" i="83"/>
  <c r="U10" i="83" s="1"/>
  <c r="V111" i="92"/>
  <c r="V84" i="92"/>
  <c r="V97" i="74"/>
  <c r="V132" i="87"/>
  <c r="V109" i="91"/>
  <c r="V143" i="88"/>
  <c r="V87" i="91"/>
  <c r="V161" i="81"/>
  <c r="V110" i="93"/>
  <c r="V114" i="92"/>
  <c r="U41" i="82"/>
  <c r="U42" i="82" s="1"/>
  <c r="V124" i="87"/>
  <c r="V137" i="89"/>
  <c r="V111" i="88"/>
  <c r="V158" i="82"/>
  <c r="V169" i="93"/>
  <c r="V91" i="93"/>
  <c r="V98" i="89"/>
  <c r="U19" i="74"/>
  <c r="U20" i="74" s="1"/>
  <c r="V118" i="85"/>
  <c r="V70" i="91"/>
  <c r="V101" i="91"/>
  <c r="V121" i="81"/>
  <c r="U57" i="92"/>
  <c r="U58" i="92" s="1"/>
  <c r="V174" i="81"/>
  <c r="V109" i="74"/>
  <c r="V86" i="94"/>
  <c r="V76" i="83"/>
  <c r="V166" i="87"/>
  <c r="V172" i="74"/>
  <c r="V79" i="81"/>
  <c r="V94" i="88"/>
  <c r="U15" i="89"/>
  <c r="U16" i="89" s="1"/>
  <c r="V72" i="94"/>
  <c r="U47" i="82"/>
  <c r="U48" i="82" s="1"/>
  <c r="V151" i="91"/>
  <c r="V119" i="89"/>
  <c r="V97" i="88"/>
  <c r="V98" i="81"/>
  <c r="V157" i="87"/>
  <c r="U61" i="85"/>
  <c r="U62" i="85" s="1"/>
  <c r="V126" i="85"/>
  <c r="V139" i="87"/>
  <c r="V141" i="91"/>
  <c r="V131" i="88"/>
  <c r="V93" i="84"/>
  <c r="U19" i="81"/>
  <c r="U20" i="81" s="1"/>
  <c r="U21" i="83"/>
  <c r="U22" i="83" s="1"/>
  <c r="V139" i="83"/>
  <c r="V150" i="85"/>
  <c r="V81" i="87"/>
  <c r="V164" i="91"/>
  <c r="V162" i="91"/>
  <c r="U47" i="94"/>
  <c r="U48" i="94" s="1"/>
  <c r="V103" i="82"/>
  <c r="V63" i="88"/>
  <c r="V139" i="85"/>
  <c r="Q188" i="89"/>
  <c r="U27" i="94"/>
  <c r="U28" i="94" s="1"/>
  <c r="U51" i="89"/>
  <c r="U52" i="89" s="1"/>
  <c r="V108" i="87"/>
  <c r="V115" i="94"/>
  <c r="V104" i="89"/>
  <c r="V141" i="89"/>
  <c r="V170" i="82"/>
  <c r="V159" i="87"/>
  <c r="V76" i="93"/>
  <c r="V153" i="93"/>
  <c r="V140" i="91"/>
  <c r="V122" i="93"/>
  <c r="V87" i="89"/>
  <c r="U35" i="89"/>
  <c r="U36" i="89" s="1"/>
  <c r="U35" i="87"/>
  <c r="U36" i="87" s="1"/>
  <c r="V160" i="93"/>
  <c r="U39" i="87"/>
  <c r="U40" i="87" s="1"/>
  <c r="V108" i="74"/>
  <c r="Q187" i="92"/>
  <c r="U33" i="88"/>
  <c r="U34" i="88" s="1"/>
  <c r="V127" i="92"/>
  <c r="V129" i="88"/>
  <c r="V65" i="92"/>
  <c r="V113" i="93"/>
  <c r="V77" i="82"/>
  <c r="V93" i="87"/>
  <c r="V107" i="92"/>
  <c r="V82" i="74"/>
  <c r="V134" i="87"/>
  <c r="Q187" i="88"/>
  <c r="V158" i="81"/>
  <c r="U49" i="84"/>
  <c r="U50" i="84" s="1"/>
  <c r="V159" i="91"/>
  <c r="V172" i="87"/>
  <c r="U55" i="74"/>
  <c r="U56" i="74" s="1"/>
  <c r="U37" i="88"/>
  <c r="U38" i="88" s="1"/>
  <c r="V154" i="91"/>
  <c r="V152" i="74"/>
  <c r="V170" i="94"/>
  <c r="V131" i="93"/>
  <c r="V135" i="85"/>
  <c r="V151" i="93"/>
  <c r="V167" i="89"/>
  <c r="V98" i="74"/>
  <c r="V152" i="82"/>
  <c r="Q188" i="91"/>
  <c r="V104" i="85"/>
  <c r="U47" i="88"/>
  <c r="U48" i="88" s="1"/>
  <c r="V90" i="88"/>
  <c r="V128" i="92"/>
  <c r="V136" i="91"/>
  <c r="V175" i="82"/>
  <c r="U11" i="89"/>
  <c r="U12" i="89" s="1"/>
  <c r="V177" i="93"/>
  <c r="U25" i="85"/>
  <c r="U26" i="85" s="1"/>
  <c r="U21" i="89"/>
  <c r="U22" i="89" s="1"/>
  <c r="V180" i="93"/>
  <c r="V117" i="88"/>
  <c r="V149" i="87"/>
  <c r="V166" i="88"/>
  <c r="U29" i="85"/>
  <c r="U30" i="85" s="1"/>
  <c r="V82" i="85"/>
  <c r="V126" i="92"/>
  <c r="V153" i="94"/>
  <c r="V168" i="82"/>
  <c r="U29" i="93"/>
  <c r="U30" i="93" s="1"/>
  <c r="V160" i="81"/>
  <c r="V156" i="92"/>
  <c r="V152" i="92"/>
  <c r="V67" i="83"/>
  <c r="U61" i="94"/>
  <c r="U62" i="94" s="1"/>
  <c r="V136" i="94"/>
  <c r="V154" i="93"/>
  <c r="V160" i="94"/>
  <c r="V113" i="94"/>
  <c r="V132" i="91"/>
  <c r="U51" i="88"/>
  <c r="U52" i="88" s="1"/>
  <c r="V68" i="74"/>
  <c r="V142" i="81"/>
  <c r="V171" i="91"/>
  <c r="U23" i="81"/>
  <c r="U24" i="81" s="1"/>
  <c r="Q187" i="74"/>
  <c r="V86" i="82"/>
  <c r="U37" i="89"/>
  <c r="U38" i="89" s="1"/>
  <c r="V130" i="87"/>
  <c r="U55" i="88"/>
  <c r="U56" i="88" s="1"/>
  <c r="U11" i="92"/>
  <c r="U12" i="92" s="1"/>
  <c r="V150" i="91"/>
  <c r="V152" i="93"/>
  <c r="V99" i="93"/>
  <c r="V74" i="84"/>
  <c r="V86" i="83"/>
  <c r="U15" i="92"/>
  <c r="U16" i="92" s="1"/>
  <c r="V112" i="84"/>
  <c r="U29" i="81"/>
  <c r="U30" i="81" s="1"/>
  <c r="V89" i="92"/>
  <c r="V150" i="81"/>
  <c r="V78" i="84"/>
  <c r="V123" i="91"/>
  <c r="V174" i="93"/>
  <c r="V147" i="82"/>
  <c r="V82" i="94"/>
  <c r="V181" i="92"/>
  <c r="U31" i="91"/>
  <c r="U32" i="91" s="1"/>
  <c r="U43" i="74"/>
  <c r="U44" i="74" s="1"/>
  <c r="V106" i="85"/>
  <c r="V115" i="85"/>
  <c r="V181" i="83"/>
  <c r="V159" i="85"/>
  <c r="U49" i="74"/>
  <c r="U50" i="74" s="1"/>
  <c r="U13" i="91"/>
  <c r="U14" i="91" s="1"/>
  <c r="V73" i="92"/>
  <c r="V132" i="83"/>
  <c r="V83" i="91"/>
  <c r="V93" i="92"/>
  <c r="V132" i="92"/>
  <c r="U47" i="83"/>
  <c r="U48" i="83" s="1"/>
  <c r="V67" i="91"/>
  <c r="U43" i="88"/>
  <c r="U44" i="88" s="1"/>
  <c r="V126" i="93"/>
  <c r="V72" i="87"/>
  <c r="V84" i="82"/>
  <c r="U41" i="93"/>
  <c r="U42" i="93" s="1"/>
  <c r="V123" i="83"/>
  <c r="V131" i="89"/>
  <c r="V175" i="92"/>
  <c r="U59" i="92"/>
  <c r="U60" i="92" s="1"/>
  <c r="V134" i="91"/>
  <c r="V81" i="92"/>
  <c r="V72" i="84"/>
  <c r="U51" i="91"/>
  <c r="U52" i="91" s="1"/>
  <c r="V176" i="94"/>
  <c r="V118" i="87"/>
  <c r="V177" i="91"/>
  <c r="V100" i="91"/>
  <c r="V117" i="92"/>
  <c r="V125" i="82"/>
  <c r="V69" i="93"/>
  <c r="V110" i="81"/>
  <c r="V121" i="93"/>
  <c r="V125" i="89"/>
  <c r="V74" i="87"/>
  <c r="V122" i="85"/>
  <c r="V181" i="94"/>
  <c r="V71" i="74"/>
  <c r="V107" i="93"/>
  <c r="V66" i="81"/>
  <c r="V180" i="83"/>
  <c r="U55" i="89"/>
  <c r="U56" i="89" s="1"/>
  <c r="V82" i="92"/>
  <c r="V75" i="91"/>
  <c r="V160" i="88"/>
  <c r="U37" i="93"/>
  <c r="U38" i="93" s="1"/>
  <c r="U45" i="87"/>
  <c r="U46" i="87" s="1"/>
  <c r="V96" i="92"/>
  <c r="V127" i="93"/>
  <c r="V180" i="81"/>
  <c r="V143" i="93"/>
  <c r="U45" i="83"/>
  <c r="U46" i="83" s="1"/>
  <c r="V78" i="93"/>
  <c r="V127" i="94"/>
  <c r="V137" i="93"/>
  <c r="U39" i="85"/>
  <c r="U40" i="85" s="1"/>
  <c r="V147" i="83"/>
  <c r="Q188" i="87"/>
  <c r="V113" i="81"/>
  <c r="U35" i="93"/>
  <c r="U36" i="93" s="1"/>
  <c r="V75" i="81"/>
  <c r="U33" i="92"/>
  <c r="U34" i="92" s="1"/>
  <c r="V100" i="74"/>
  <c r="V162" i="93"/>
  <c r="V153" i="92"/>
  <c r="V101" i="81"/>
  <c r="V161" i="83"/>
  <c r="V107" i="85"/>
  <c r="V65" i="89"/>
  <c r="V106" i="88"/>
  <c r="V149" i="92"/>
  <c r="V66" i="93"/>
  <c r="V182" i="88"/>
  <c r="V111" i="84"/>
  <c r="U53" i="83"/>
  <c r="U54" i="83" s="1"/>
  <c r="V159" i="93"/>
  <c r="V113" i="87"/>
  <c r="V74" i="88"/>
  <c r="U47" i="74"/>
  <c r="U48" i="74" s="1"/>
  <c r="V114" i="81"/>
  <c r="V88" i="89"/>
  <c r="V148" i="93"/>
  <c r="V126" i="88"/>
  <c r="V149" i="93"/>
  <c r="V119" i="82"/>
  <c r="V167" i="94"/>
  <c r="V127" i="74"/>
  <c r="V115" i="91"/>
  <c r="V130" i="74"/>
  <c r="V134" i="94"/>
  <c r="V162" i="94"/>
  <c r="U61" i="92"/>
  <c r="U62" i="92" s="1"/>
  <c r="V77" i="85"/>
  <c r="U35" i="74"/>
  <c r="U36" i="74" s="1"/>
  <c r="V120" i="87"/>
  <c r="U47" i="87"/>
  <c r="U48" i="87" s="1"/>
  <c r="U21" i="82"/>
  <c r="U22" i="82" s="1"/>
  <c r="V171" i="74"/>
  <c r="V134" i="84"/>
  <c r="V156" i="85"/>
  <c r="V144" i="85"/>
  <c r="V143" i="74"/>
  <c r="V90" i="83"/>
  <c r="V72" i="82"/>
  <c r="U31" i="94"/>
  <c r="U32" i="94" s="1"/>
  <c r="V155" i="89"/>
  <c r="V97" i="85"/>
  <c r="V77" i="89"/>
  <c r="V76" i="94"/>
  <c r="V116" i="93"/>
  <c r="V149" i="88"/>
  <c r="V155" i="88"/>
  <c r="V118" i="94"/>
  <c r="V90" i="93"/>
  <c r="U59" i="81"/>
  <c r="U60" i="81" s="1"/>
  <c r="V90" i="85"/>
  <c r="V161" i="93"/>
  <c r="V160" i="91"/>
  <c r="V171" i="93"/>
  <c r="V137" i="87"/>
  <c r="V137" i="94"/>
  <c r="V106" i="89"/>
  <c r="U33" i="91"/>
  <c r="U34" i="91" s="1"/>
  <c r="V109" i="85"/>
  <c r="U57" i="89"/>
  <c r="U58" i="89" s="1"/>
  <c r="V154" i="74"/>
  <c r="V93" i="91"/>
  <c r="U55" i="92"/>
  <c r="U56" i="92" s="1"/>
  <c r="V132" i="94"/>
  <c r="V73" i="84"/>
  <c r="U49" i="93"/>
  <c r="U50" i="93" s="1"/>
  <c r="V145" i="88"/>
  <c r="V153" i="74"/>
  <c r="V119" i="93"/>
  <c r="V151" i="89"/>
  <c r="V149" i="82"/>
  <c r="V136" i="74"/>
  <c r="V64" i="83"/>
  <c r="V120" i="94"/>
  <c r="U31" i="89"/>
  <c r="U32" i="89" s="1"/>
  <c r="V174" i="84"/>
  <c r="V104" i="91"/>
  <c r="V159" i="89"/>
  <c r="U55" i="91"/>
  <c r="U56" i="91" s="1"/>
  <c r="V71" i="87"/>
  <c r="V65" i="81"/>
  <c r="V164" i="94"/>
  <c r="V141" i="93"/>
  <c r="V93" i="85"/>
  <c r="V142" i="93"/>
  <c r="V93" i="94"/>
  <c r="V141" i="94"/>
  <c r="U47" i="81"/>
  <c r="U48" i="81" s="1"/>
  <c r="V173" i="89"/>
  <c r="U33" i="87"/>
  <c r="U34" i="87" s="1"/>
  <c r="U41" i="81"/>
  <c r="U42" i="81" s="1"/>
  <c r="V73" i="89"/>
  <c r="U35" i="91"/>
  <c r="U36" i="91" s="1"/>
  <c r="V139" i="88"/>
  <c r="V111" i="87"/>
  <c r="V100" i="87"/>
  <c r="V168" i="91"/>
  <c r="U11" i="84"/>
  <c r="U12" i="84" s="1"/>
  <c r="V121" i="87"/>
  <c r="V106" i="83"/>
  <c r="V106" i="93"/>
  <c r="V68" i="91"/>
  <c r="U43" i="85"/>
  <c r="U44" i="85" s="1"/>
  <c r="V143" i="91"/>
  <c r="V101" i="85"/>
  <c r="V180" i="87"/>
  <c r="V116" i="83"/>
  <c r="V105" i="94"/>
  <c r="V170" i="83"/>
  <c r="V180" i="74"/>
  <c r="U57" i="91"/>
  <c r="U58" i="91" s="1"/>
  <c r="V137" i="91"/>
  <c r="V94" i="94"/>
  <c r="V122" i="81"/>
  <c r="V102" i="89"/>
  <c r="V85" i="87"/>
  <c r="V140" i="83"/>
  <c r="V155" i="92"/>
  <c r="U59" i="89"/>
  <c r="U60" i="89" s="1"/>
  <c r="U33" i="81"/>
  <c r="U34" i="81" s="1"/>
  <c r="V167" i="93"/>
  <c r="V75" i="87"/>
  <c r="V69" i="88"/>
  <c r="U21" i="94"/>
  <c r="U22" i="94" s="1"/>
  <c r="V120" i="74"/>
  <c r="U39" i="93"/>
  <c r="U40" i="93" s="1"/>
  <c r="V126" i="84"/>
  <c r="V130" i="93"/>
  <c r="V111" i="81"/>
  <c r="V142" i="94"/>
  <c r="V129" i="89"/>
  <c r="V90" i="92"/>
  <c r="V135" i="93"/>
  <c r="V110" i="82"/>
  <c r="V117" i="84"/>
  <c r="U51" i="85"/>
  <c r="U52" i="85" s="1"/>
  <c r="U33" i="89"/>
  <c r="U34" i="89" s="1"/>
  <c r="U41" i="87"/>
  <c r="U42" i="87" s="1"/>
  <c r="V161" i="84"/>
  <c r="U49" i="94"/>
  <c r="U50" i="94" s="1"/>
  <c r="V100" i="92"/>
  <c r="U37" i="84"/>
  <c r="U38" i="84" s="1"/>
  <c r="V69" i="87"/>
  <c r="V169" i="87"/>
  <c r="V182" i="89"/>
  <c r="V127" i="89"/>
  <c r="V163" i="83"/>
  <c r="V166" i="93"/>
  <c r="V78" i="74"/>
  <c r="V94" i="92"/>
  <c r="V165" i="94"/>
  <c r="U17" i="94"/>
  <c r="U18" i="94" s="1"/>
  <c r="V172" i="94"/>
  <c r="V143" i="94"/>
  <c r="V128" i="91"/>
  <c r="V63" i="91"/>
  <c r="V127" i="91"/>
  <c r="U39" i="83"/>
  <c r="U40" i="83" s="1"/>
  <c r="V114" i="89"/>
  <c r="V164" i="87"/>
  <c r="V95" i="89"/>
  <c r="U53" i="88"/>
  <c r="U54" i="88" s="1"/>
  <c r="U61" i="93"/>
  <c r="U62" i="93" s="1"/>
  <c r="V65" i="88"/>
  <c r="V116" i="87"/>
  <c r="V159" i="94"/>
  <c r="V170" i="88"/>
  <c r="U41" i="91"/>
  <c r="U42" i="91" s="1"/>
  <c r="V97" i="93"/>
  <c r="U41" i="74"/>
  <c r="U42" i="74" s="1"/>
  <c r="V121" i="94"/>
  <c r="V164" i="92"/>
  <c r="V106" i="87"/>
  <c r="V168" i="74"/>
  <c r="V161" i="92"/>
  <c r="V131" i="87"/>
  <c r="V171" i="82"/>
  <c r="V85" i="92"/>
  <c r="U17" i="93"/>
  <c r="U18" i="93" s="1"/>
  <c r="V116" i="85"/>
  <c r="V97" i="92"/>
  <c r="V91" i="91"/>
  <c r="V83" i="85"/>
  <c r="V180" i="91"/>
  <c r="V140" i="89"/>
  <c r="U35" i="94"/>
  <c r="U36" i="94" s="1"/>
  <c r="V85" i="91"/>
  <c r="V170" i="92"/>
  <c r="U51" i="74"/>
  <c r="U52" i="74" s="1"/>
  <c r="V151" i="92"/>
  <c r="V127" i="83"/>
  <c r="V115" i="92"/>
  <c r="V118" i="92"/>
  <c r="V63" i="74"/>
  <c r="U13" i="89"/>
  <c r="U14" i="89" s="1"/>
  <c r="V111" i="85"/>
  <c r="V87" i="92"/>
  <c r="V74" i="94"/>
  <c r="U9" i="93"/>
  <c r="U10" i="93" s="1"/>
  <c r="V66" i="92"/>
  <c r="U39" i="74"/>
  <c r="U40" i="74" s="1"/>
  <c r="V84" i="93"/>
  <c r="V155" i="93"/>
  <c r="V66" i="87"/>
  <c r="U33" i="84"/>
  <c r="U34" i="84" s="1"/>
  <c r="V78" i="94"/>
  <c r="V63" i="82"/>
  <c r="V88" i="85"/>
  <c r="Q188" i="92"/>
  <c r="U41" i="88"/>
  <c r="U42" i="88" s="1"/>
  <c r="V170" i="91"/>
  <c r="V130" i="92"/>
  <c r="V97" i="91"/>
  <c r="U57" i="81"/>
  <c r="U58" i="81" s="1"/>
  <c r="V65" i="87"/>
  <c r="V170" i="74"/>
  <c r="V121" i="82"/>
  <c r="V64" i="88"/>
  <c r="U37" i="92"/>
  <c r="U38" i="92" s="1"/>
  <c r="V157" i="93"/>
  <c r="V173" i="94"/>
  <c r="U17" i="88"/>
  <c r="U18" i="88" s="1"/>
  <c r="V119" i="92"/>
  <c r="V179" i="83"/>
  <c r="V108" i="92"/>
  <c r="U33" i="94"/>
  <c r="U34" i="94" s="1"/>
  <c r="U21" i="93"/>
  <c r="U22" i="93" s="1"/>
  <c r="V73" i="83"/>
  <c r="V148" i="81"/>
  <c r="V91" i="82"/>
  <c r="V120" i="92"/>
  <c r="V163" i="91"/>
  <c r="U9" i="92"/>
  <c r="U10" i="92" s="1"/>
  <c r="U21" i="87"/>
  <c r="U22" i="87" s="1"/>
  <c r="V130" i="91"/>
  <c r="V91" i="87"/>
  <c r="V111" i="89"/>
  <c r="V72" i="89"/>
  <c r="V146" i="82"/>
  <c r="U43" i="94"/>
  <c r="U44" i="94" s="1"/>
  <c r="V168" i="93"/>
  <c r="V86" i="89"/>
  <c r="V130" i="85"/>
  <c r="V146" i="92"/>
  <c r="V165" i="85"/>
  <c r="V71" i="93"/>
  <c r="V98" i="88"/>
  <c r="V148" i="84"/>
  <c r="V100" i="93"/>
  <c r="U51" i="94"/>
  <c r="U52" i="94" s="1"/>
  <c r="V145" i="93"/>
  <c r="V103" i="91"/>
  <c r="V87" i="93"/>
  <c r="U53" i="89"/>
  <c r="U54" i="89" s="1"/>
  <c r="U13" i="94"/>
  <c r="U14" i="94" s="1"/>
  <c r="V72" i="93"/>
  <c r="V96" i="87"/>
  <c r="U45" i="93"/>
  <c r="U46" i="93" s="1"/>
  <c r="V147" i="93"/>
  <c r="V109" i="94"/>
  <c r="V167" i="81"/>
  <c r="V142" i="91"/>
  <c r="U59" i="87"/>
  <c r="U60" i="87" s="1"/>
  <c r="V73" i="94"/>
  <c r="V179" i="94"/>
  <c r="U39" i="89"/>
  <c r="U40" i="89" s="1"/>
  <c r="V177" i="94"/>
  <c r="V121" i="92"/>
  <c r="U15" i="87"/>
  <c r="U16" i="87" s="1"/>
  <c r="V175" i="93"/>
  <c r="V91" i="94"/>
  <c r="U43" i="91"/>
  <c r="U44" i="91" s="1"/>
  <c r="V134" i="93"/>
  <c r="U45" i="92"/>
  <c r="U46" i="92" s="1"/>
  <c r="V155" i="94"/>
  <c r="V153" i="88"/>
  <c r="U53" i="94"/>
  <c r="U54" i="94" s="1"/>
  <c r="V158" i="92"/>
  <c r="V131" i="92"/>
  <c r="V66" i="88"/>
  <c r="V163" i="92"/>
  <c r="V165" i="84"/>
  <c r="V90" i="82"/>
  <c r="V65" i="85"/>
  <c r="U39" i="94"/>
  <c r="U40" i="94" s="1"/>
  <c r="V132" i="89"/>
  <c r="V142" i="92"/>
  <c r="V84" i="94"/>
  <c r="V150" i="87"/>
  <c r="V128" i="74"/>
  <c r="U57" i="93"/>
  <c r="U58" i="93" s="1"/>
  <c r="V114" i="94"/>
  <c r="V176" i="85"/>
  <c r="U35" i="92"/>
  <c r="U36" i="92" s="1"/>
  <c r="V111" i="93"/>
  <c r="V77" i="94"/>
  <c r="V112" i="92"/>
  <c r="V162" i="89"/>
  <c r="U59" i="88"/>
  <c r="U60" i="88" s="1"/>
  <c r="U37" i="94"/>
  <c r="U38" i="94" s="1"/>
  <c r="V158" i="83"/>
  <c r="V140" i="94"/>
  <c r="V68" i="94"/>
  <c r="V148" i="87"/>
  <c r="V83" i="93"/>
  <c r="V84" i="91"/>
  <c r="V69" i="92"/>
  <c r="U51" i="87"/>
  <c r="U52" i="87" s="1"/>
  <c r="V123" i="87"/>
  <c r="V101" i="92"/>
  <c r="U31" i="87"/>
  <c r="U32" i="87" s="1"/>
  <c r="V174" i="88"/>
  <c r="U35" i="85"/>
  <c r="U36" i="85" s="1"/>
  <c r="V117" i="89"/>
  <c r="V166" i="81"/>
  <c r="V148" i="91"/>
  <c r="V165" i="74"/>
  <c r="V173" i="83"/>
  <c r="V127" i="85"/>
  <c r="V106" i="94"/>
  <c r="V178" i="92"/>
  <c r="V123" i="94"/>
  <c r="V148" i="92"/>
  <c r="V152" i="87"/>
  <c r="V87" i="81"/>
  <c r="U25" i="87"/>
  <c r="U26" i="87" s="1"/>
  <c r="V150" i="93"/>
  <c r="U29" i="82"/>
  <c r="U30" i="82" s="1"/>
  <c r="V121" i="74"/>
  <c r="V78" i="92"/>
  <c r="V116" i="92"/>
  <c r="V169" i="89"/>
  <c r="V169" i="85"/>
  <c r="V119" i="94"/>
  <c r="V134" i="74"/>
  <c r="V76" i="91"/>
  <c r="V148" i="88"/>
  <c r="U31" i="92"/>
  <c r="U32" i="92" s="1"/>
  <c r="U55" i="94"/>
  <c r="U56" i="94" s="1"/>
  <c r="U43" i="92"/>
  <c r="U44" i="92" s="1"/>
  <c r="V130" i="94"/>
  <c r="V177" i="89"/>
  <c r="V134" i="82"/>
  <c r="V83" i="94"/>
  <c r="V103" i="89"/>
  <c r="V110" i="92"/>
  <c r="V95" i="94"/>
  <c r="V153" i="91"/>
  <c r="U47" i="89"/>
  <c r="U48" i="89" s="1"/>
  <c r="V75" i="88"/>
  <c r="V89" i="89"/>
  <c r="V96" i="93"/>
  <c r="V122" i="87"/>
  <c r="V85" i="94"/>
  <c r="V98" i="92"/>
  <c r="V89" i="94"/>
  <c r="V175" i="85"/>
  <c r="V133" i="93"/>
  <c r="V152" i="85"/>
  <c r="V99" i="84"/>
  <c r="V66" i="85"/>
  <c r="V87" i="87"/>
  <c r="V179" i="91"/>
  <c r="V112" i="83"/>
  <c r="V69" i="89"/>
  <c r="V108" i="94"/>
  <c r="V146" i="94"/>
  <c r="V96" i="88"/>
  <c r="V177" i="92"/>
  <c r="V176" i="87"/>
  <c r="V104" i="93"/>
  <c r="V146" i="89"/>
  <c r="V144" i="88"/>
  <c r="V136" i="88"/>
  <c r="V123" i="92"/>
  <c r="V172" i="88"/>
  <c r="V76" i="89"/>
  <c r="V156" i="93"/>
  <c r="U39" i="82"/>
  <c r="U40" i="82" s="1"/>
  <c r="V106" i="92"/>
  <c r="V141" i="81"/>
  <c r="V173" i="87"/>
  <c r="U17" i="91"/>
  <c r="U18" i="91" s="1"/>
  <c r="V106" i="82"/>
  <c r="V121" i="88"/>
  <c r="V84" i="88"/>
  <c r="U41" i="92"/>
  <c r="U42" i="92" s="1"/>
  <c r="V114" i="85"/>
  <c r="Q187" i="94"/>
  <c r="V84" i="89"/>
  <c r="V70" i="92"/>
  <c r="U15" i="94"/>
  <c r="U16" i="94" s="1"/>
  <c r="V125" i="94"/>
  <c r="V143" i="85"/>
  <c r="V158" i="88"/>
  <c r="U17" i="85"/>
  <c r="U18" i="85" s="1"/>
  <c r="V146" i="93"/>
  <c r="V154" i="94"/>
  <c r="V182" i="93"/>
  <c r="V69" i="74"/>
  <c r="V163" i="93"/>
  <c r="V117" i="94"/>
  <c r="V153" i="82"/>
  <c r="V150" i="92"/>
  <c r="V147" i="89"/>
  <c r="U19" i="91"/>
  <c r="U20" i="91" s="1"/>
  <c r="V175" i="81"/>
  <c r="V103" i="94"/>
  <c r="V135" i="92"/>
  <c r="V141" i="87"/>
  <c r="V80" i="85"/>
  <c r="V101" i="94"/>
  <c r="V74" i="92"/>
  <c r="V124" i="93"/>
  <c r="V154" i="81"/>
  <c r="U19" i="89"/>
  <c r="U20" i="89" s="1"/>
  <c r="V96" i="85"/>
  <c r="V145" i="94"/>
  <c r="V154" i="92"/>
  <c r="U29" i="94"/>
  <c r="U30" i="94" s="1"/>
  <c r="V104" i="92"/>
  <c r="V139" i="93"/>
  <c r="V124" i="91"/>
  <c r="V155" i="85"/>
  <c r="V180" i="84"/>
  <c r="V115" i="87"/>
  <c r="U39" i="84"/>
  <c r="U40" i="84" s="1"/>
  <c r="V86" i="84"/>
  <c r="V182" i="92"/>
  <c r="V113" i="88"/>
  <c r="V166" i="82"/>
  <c r="V82" i="88"/>
  <c r="V112" i="91"/>
  <c r="V169" i="82"/>
  <c r="V93" i="93"/>
  <c r="Q187" i="93"/>
  <c r="V95" i="88"/>
  <c r="V139" i="81"/>
  <c r="V127" i="81"/>
  <c r="V108" i="88"/>
  <c r="V71" i="91"/>
  <c r="V155" i="84"/>
  <c r="V71" i="94"/>
  <c r="V79" i="94"/>
  <c r="V175" i="91"/>
  <c r="V103" i="87"/>
  <c r="V136" i="92"/>
  <c r="V107" i="94"/>
  <c r="V165" i="82"/>
  <c r="V137" i="92"/>
  <c r="V66" i="83"/>
  <c r="U25" i="94"/>
  <c r="U26" i="94" s="1"/>
  <c r="V175" i="94"/>
  <c r="U41" i="89"/>
  <c r="U42" i="89" s="1"/>
  <c r="V64" i="94"/>
  <c r="V65" i="94"/>
  <c r="V72" i="92"/>
  <c r="V127" i="84"/>
  <c r="V146" i="91"/>
  <c r="V102" i="91"/>
  <c r="V88" i="88"/>
  <c r="V149" i="85"/>
  <c r="V168" i="92"/>
  <c r="V102" i="87"/>
  <c r="V107" i="87"/>
  <c r="U27" i="92"/>
  <c r="U28" i="92" s="1"/>
  <c r="V131" i="94"/>
  <c r="U19" i="82"/>
  <c r="U20" i="82" s="1"/>
  <c r="V92" i="93"/>
  <c r="V176" i="89"/>
  <c r="V111" i="94"/>
  <c r="V160" i="85"/>
  <c r="V140" i="88"/>
  <c r="U27" i="93"/>
  <c r="U28" i="93" s="1"/>
  <c r="V68" i="84"/>
  <c r="U53" i="87"/>
  <c r="U54" i="87" s="1"/>
  <c r="V76" i="87"/>
  <c r="V115" i="93"/>
  <c r="V80" i="93"/>
  <c r="U17" i="92"/>
  <c r="U18" i="92" s="1"/>
  <c r="V110" i="87"/>
  <c r="V79" i="93"/>
  <c r="U23" i="93"/>
  <c r="U24" i="93" s="1"/>
  <c r="V113" i="84"/>
  <c r="U11" i="88"/>
  <c r="U12" i="88" s="1"/>
  <c r="V110" i="94"/>
  <c r="V94" i="91"/>
  <c r="V103" i="93"/>
  <c r="V105" i="91"/>
  <c r="V157" i="88"/>
  <c r="U13" i="93"/>
  <c r="U14" i="93" s="1"/>
  <c r="U15" i="93"/>
  <c r="U16" i="93" s="1"/>
  <c r="V75" i="93"/>
  <c r="V169" i="83"/>
  <c r="V63" i="94"/>
  <c r="V120" i="83"/>
  <c r="U59" i="93"/>
  <c r="U60" i="93" s="1"/>
  <c r="U13" i="92"/>
  <c r="U14" i="92" s="1"/>
  <c r="V83" i="84"/>
  <c r="V73" i="93"/>
  <c r="V99" i="94"/>
  <c r="V138" i="89"/>
  <c r="Q187" i="83"/>
  <c r="V147" i="92"/>
  <c r="V97" i="89"/>
  <c r="U45" i="88"/>
  <c r="U46" i="88" s="1"/>
  <c r="V120" i="93"/>
  <c r="V123" i="88"/>
  <c r="U33" i="74"/>
  <c r="U34" i="74" s="1"/>
  <c r="U43" i="89"/>
  <c r="U44" i="89" s="1"/>
  <c r="V94" i="93"/>
  <c r="V167" i="88"/>
  <c r="V168" i="94"/>
  <c r="V143" i="81"/>
  <c r="V80" i="89"/>
  <c r="V156" i="89"/>
  <c r="V83" i="89"/>
  <c r="U45" i="94"/>
  <c r="U46" i="94" s="1"/>
  <c r="V133" i="92"/>
  <c r="V94" i="82"/>
  <c r="V70" i="94"/>
  <c r="V125" i="93"/>
  <c r="V77" i="93"/>
  <c r="V140" i="87"/>
  <c r="V134" i="88"/>
  <c r="V141" i="92"/>
  <c r="V107" i="88"/>
  <c r="V165" i="88"/>
  <c r="V128" i="87"/>
  <c r="V158" i="94"/>
  <c r="V109" i="87"/>
  <c r="V128" i="89"/>
  <c r="V75" i="92"/>
  <c r="U43" i="93"/>
  <c r="U44" i="93" s="1"/>
  <c r="V170" i="93"/>
  <c r="T45" i="92"/>
  <c r="T33" i="92"/>
  <c r="T45" i="91"/>
  <c r="T33" i="91"/>
  <c r="T45" i="82"/>
  <c r="T45" i="81"/>
  <c r="T33" i="82"/>
  <c r="T33" i="81"/>
  <c r="T45" i="89"/>
  <c r="T33" i="84"/>
  <c r="T33" i="89"/>
  <c r="T45" i="84"/>
  <c r="T45" i="85"/>
  <c r="T33" i="85"/>
  <c r="T45" i="83"/>
  <c r="T45" i="94"/>
  <c r="T33" i="83"/>
  <c r="T45" i="93"/>
  <c r="T33" i="94"/>
  <c r="T33" i="93"/>
  <c r="T45" i="74"/>
  <c r="T33" i="87"/>
  <c r="T33" i="74"/>
  <c r="T45" i="87"/>
  <c r="Q192" i="91" l="1"/>
  <c r="Q190" i="91"/>
  <c r="Q192" i="92"/>
  <c r="Q190" i="92"/>
  <c r="Q189" i="91"/>
  <c r="Q191" i="91"/>
  <c r="Q191" i="85"/>
  <c r="Q189" i="85"/>
  <c r="Q191" i="84"/>
  <c r="Q189" i="84"/>
  <c r="Q192" i="83"/>
  <c r="Q190" i="83"/>
  <c r="Q192" i="81"/>
  <c r="Q190" i="81"/>
  <c r="Q189" i="89"/>
  <c r="Q191" i="89"/>
  <c r="Q192" i="84"/>
  <c r="Q190" i="84"/>
  <c r="Q190" i="85"/>
  <c r="Q192" i="85"/>
  <c r="Q191" i="83"/>
  <c r="Q189" i="83"/>
  <c r="Q191" i="81"/>
  <c r="Q189" i="81"/>
  <c r="Q191" i="88"/>
  <c r="Q189" i="88"/>
  <c r="Q189" i="94"/>
  <c r="Q191" i="94"/>
  <c r="Q192" i="89"/>
  <c r="Q190" i="89"/>
  <c r="Q189" i="74"/>
  <c r="Q191" i="74"/>
  <c r="Q192" i="87"/>
  <c r="Q190" i="87"/>
  <c r="Q192" i="94"/>
  <c r="Q190" i="94"/>
  <c r="Q189" i="92"/>
  <c r="Q191" i="92"/>
  <c r="Q192" i="82"/>
  <c r="Q190" i="82"/>
  <c r="Q190" i="88"/>
  <c r="Q192" i="88"/>
  <c r="Q189" i="93"/>
  <c r="Q191" i="93"/>
  <c r="Q189" i="87"/>
  <c r="Q191" i="87"/>
  <c r="Q189" i="82"/>
  <c r="Q191" i="82"/>
  <c r="Q192" i="74"/>
  <c r="Q190" i="74"/>
  <c r="Q192" i="93"/>
  <c r="Q190"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43497E6C-4608-44BA-BFA3-2CDCC6693EAB}">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F5B5C0B1-B1A6-47BB-BFB2-13D2CF4D45B2}">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38C59847-67F7-42C0-B16D-4FF1ABB2578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E20F2932-DA61-48B0-A43A-40465AAD6479}">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0026D1E6-D6F1-4773-A85B-3C4F2FE9CA0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D9019E7-61A2-41BA-A085-C0FD338AB94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F22C904-7253-4207-9F8B-E23D3EEFEF4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14E5DB5-2BF5-4619-91E4-F7DAA1A9AA8C}">
      <text>
        <r>
          <rPr>
            <b/>
            <sz val="9"/>
            <color indexed="81"/>
            <rFont val="Tahoma"/>
            <family val="2"/>
          </rPr>
          <t>Andreas Helk | Viegand Maagøe:</t>
        </r>
        <r>
          <rPr>
            <sz val="9"/>
            <color indexed="81"/>
            <rFont val="Tahoma"/>
            <family val="2"/>
          </rPr>
          <t xml:space="preserve">
Consider looking into updating these</t>
        </r>
      </text>
    </comment>
    <comment ref="X6" authorId="1" shapeId="0" xr:uid="{18FC73E4-06D0-4EA7-9967-53C1D4C86AA7}">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CED2289-0F20-48FE-90F3-19133E3018CC}">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E7CC212B-FA44-40FF-9300-8CC0B9195480}">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E527C9A-2CCF-4572-9D78-D468D86A0555}">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76A5874-D382-41E7-A49E-380467BEA8E4}">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6D81CD49-DAFD-4B55-81E3-FD40311FF897}">
      <text>
        <r>
          <rPr>
            <b/>
            <sz val="9"/>
            <color indexed="81"/>
            <rFont val="Tahoma"/>
            <family val="2"/>
          </rPr>
          <t>Stefan Petrovic:</t>
        </r>
        <r>
          <rPr>
            <sz val="9"/>
            <color indexed="81"/>
            <rFont val="Tahoma"/>
            <family val="2"/>
          </rPr>
          <t xml:space="preserve">
=L6*0.95 was previously</t>
        </r>
      </text>
    </comment>
    <comment ref="O188" authorId="2" shapeId="0" xr:uid="{265EC63A-D471-4BF3-9C70-E1ECBBD2BC96}">
      <text>
        <r>
          <rPr>
            <b/>
            <sz val="9"/>
            <color indexed="81"/>
            <rFont val="Tahoma"/>
            <family val="2"/>
          </rPr>
          <t>Stefan Petrovic:</t>
        </r>
        <r>
          <rPr>
            <sz val="9"/>
            <color indexed="81"/>
            <rFont val="Tahoma"/>
            <family val="2"/>
          </rPr>
          <t xml:space="preserve">
=L6*0.95 was previously</t>
        </r>
      </text>
    </comment>
    <comment ref="O189" authorId="2" shapeId="0" xr:uid="{49BB574B-AE43-4833-B3A5-7BF6F4B06C91}">
      <text>
        <r>
          <rPr>
            <b/>
            <sz val="9"/>
            <color indexed="81"/>
            <rFont val="Tahoma"/>
            <family val="2"/>
          </rPr>
          <t>Stefan Petrovic:</t>
        </r>
        <r>
          <rPr>
            <sz val="9"/>
            <color indexed="81"/>
            <rFont val="Tahoma"/>
            <family val="2"/>
          </rPr>
          <t xml:space="preserve">
=L6*0.95 was previously</t>
        </r>
      </text>
    </comment>
    <comment ref="O190" authorId="2" shapeId="0" xr:uid="{BC9783B0-3049-46A9-8F7C-EFF0711796FB}">
      <text>
        <r>
          <rPr>
            <b/>
            <sz val="9"/>
            <color indexed="81"/>
            <rFont val="Tahoma"/>
            <family val="2"/>
          </rPr>
          <t>Stefan Petrovic:</t>
        </r>
        <r>
          <rPr>
            <sz val="9"/>
            <color indexed="81"/>
            <rFont val="Tahoma"/>
            <family val="2"/>
          </rPr>
          <t xml:space="preserve">
=L6*0.95 was previously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600E1158-5989-44E8-8774-7198BB9959EE}">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68ECDF4C-977A-44C5-AC89-0133FE4DF86C}">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5AEB1801-E985-4339-A65E-09618A25CEA1}">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83C8CDF-F666-4BF2-8D0E-D79C15107851}">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64A1FD79-910A-4163-A3AF-5FEFF631785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75AE65CF-ECA2-4BCA-BDB1-098CA6C5E01E}">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C7EC3203-38DA-49D8-A3C6-78EFFB75510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B251B711-2985-466B-A489-87DB7597EA19}">
      <text>
        <r>
          <rPr>
            <b/>
            <sz val="9"/>
            <color indexed="81"/>
            <rFont val="Tahoma"/>
            <family val="2"/>
          </rPr>
          <t>Andreas Helk | Viegand Maagøe:</t>
        </r>
        <r>
          <rPr>
            <sz val="9"/>
            <color indexed="81"/>
            <rFont val="Tahoma"/>
            <family val="2"/>
          </rPr>
          <t xml:space="preserve">
Consider looking into updating these</t>
        </r>
      </text>
    </comment>
    <comment ref="X6" authorId="1" shapeId="0" xr:uid="{3501BC31-EC74-4C50-B4F6-DD9B4B23961F}">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6DE4EF3-3052-4098-A58C-F5119758AFF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8670D9D7-E6DB-4330-8BAA-73E681BD48F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F4C7DB4-1738-4524-B0F1-C37D24E9252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2791778-C286-4B44-8888-6AF32276D1E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ECB74CA-E273-40C8-AD81-3CA16F0B3ED8}">
      <text>
        <r>
          <rPr>
            <b/>
            <sz val="9"/>
            <color indexed="81"/>
            <rFont val="Tahoma"/>
            <family val="2"/>
          </rPr>
          <t>Stefan Petrovic:</t>
        </r>
        <r>
          <rPr>
            <sz val="9"/>
            <color indexed="81"/>
            <rFont val="Tahoma"/>
            <family val="2"/>
          </rPr>
          <t xml:space="preserve">
=L6*0.95 was previously</t>
        </r>
      </text>
    </comment>
    <comment ref="O188" authorId="2" shapeId="0" xr:uid="{C6FBE8DF-062E-47D0-B8DA-1214BA0F2BFE}">
      <text>
        <r>
          <rPr>
            <b/>
            <sz val="9"/>
            <color indexed="81"/>
            <rFont val="Tahoma"/>
            <family val="2"/>
          </rPr>
          <t>Stefan Petrovic:</t>
        </r>
        <r>
          <rPr>
            <sz val="9"/>
            <color indexed="81"/>
            <rFont val="Tahoma"/>
            <family val="2"/>
          </rPr>
          <t xml:space="preserve">
=L6*0.95 was previously</t>
        </r>
      </text>
    </comment>
    <comment ref="O189" authorId="2" shapeId="0" xr:uid="{5165CED6-5D1D-44DA-BB14-3BB4FFC87297}">
      <text>
        <r>
          <rPr>
            <b/>
            <sz val="9"/>
            <color indexed="81"/>
            <rFont val="Tahoma"/>
            <family val="2"/>
          </rPr>
          <t>Stefan Petrovic:</t>
        </r>
        <r>
          <rPr>
            <sz val="9"/>
            <color indexed="81"/>
            <rFont val="Tahoma"/>
            <family val="2"/>
          </rPr>
          <t xml:space="preserve">
=L6*0.95 was previously</t>
        </r>
      </text>
    </comment>
    <comment ref="O190" authorId="2" shapeId="0" xr:uid="{85B63F13-5F28-4B22-91C9-C038BA13A389}">
      <text>
        <r>
          <rPr>
            <b/>
            <sz val="9"/>
            <color indexed="81"/>
            <rFont val="Tahoma"/>
            <family val="2"/>
          </rPr>
          <t>Stefan Petrovic:</t>
        </r>
        <r>
          <rPr>
            <sz val="9"/>
            <color indexed="81"/>
            <rFont val="Tahoma"/>
            <family val="2"/>
          </rPr>
          <t xml:space="preserve">
=L6*0.95 was previously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52011D9-B042-47E3-93A1-6F0593ABEB99}">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F858288-F4DD-4949-89CF-0613B3907A5D}">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20D3FCD-2A97-41A1-92AB-52A67225F77E}">
      <text>
        <r>
          <rPr>
            <b/>
            <sz val="9"/>
            <color indexed="81"/>
            <rFont val="Tahoma"/>
            <family val="2"/>
          </rPr>
          <t>Andreas Helk | Viegand Maagøe:</t>
        </r>
        <r>
          <rPr>
            <sz val="9"/>
            <color indexed="81"/>
            <rFont val="Tahoma"/>
            <family val="2"/>
          </rPr>
          <t xml:space="preserve">
Values should be updated- current ones are placeholders!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0D1B1488-7107-43F2-954F-4C1431DF0FF2}">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C579EC3F-9BCD-4408-9079-65DD69AF40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DA521BF6-F582-4FE9-9E36-59F956469F0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4BFEA38-8471-42AC-9661-4CC03B3C70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3DD7BADB-FAC7-468C-ABAB-6A849771AF22}">
      <text>
        <r>
          <rPr>
            <b/>
            <sz val="9"/>
            <color indexed="81"/>
            <rFont val="Tahoma"/>
            <family val="2"/>
          </rPr>
          <t>Andreas Helk | Viegand Maagøe:</t>
        </r>
        <r>
          <rPr>
            <sz val="9"/>
            <color indexed="81"/>
            <rFont val="Tahoma"/>
            <family val="2"/>
          </rPr>
          <t xml:space="preserve">
Consider looking into updating these</t>
        </r>
      </text>
    </comment>
    <comment ref="X6" authorId="1" shapeId="0" xr:uid="{F7546FE5-F1A0-478A-BD8E-15A9B1F4FBEC}">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8A37660-A11B-40CA-9D11-EFA22C35AF0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9E4ED93A-9595-4AC0-9B79-DE2D4065A794}">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9BFD39A-11D2-4658-A1BF-2982FFF873D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8F2FD18B-0D3A-4F80-A839-6967E36C024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A6FC0EF-686B-4F1C-893E-74999219BEBF}">
      <text>
        <r>
          <rPr>
            <b/>
            <sz val="9"/>
            <color indexed="81"/>
            <rFont val="Tahoma"/>
            <family val="2"/>
          </rPr>
          <t>Stefan Petrovic:</t>
        </r>
        <r>
          <rPr>
            <sz val="9"/>
            <color indexed="81"/>
            <rFont val="Tahoma"/>
            <family val="2"/>
          </rPr>
          <t xml:space="preserve">
=L6*0.95 was previously</t>
        </r>
      </text>
    </comment>
    <comment ref="O188" authorId="2" shapeId="0" xr:uid="{86E26CD9-8841-4186-A925-6D6BDD5BC0DA}">
      <text>
        <r>
          <rPr>
            <b/>
            <sz val="9"/>
            <color indexed="81"/>
            <rFont val="Tahoma"/>
            <family val="2"/>
          </rPr>
          <t>Stefan Petrovic:</t>
        </r>
        <r>
          <rPr>
            <sz val="9"/>
            <color indexed="81"/>
            <rFont val="Tahoma"/>
            <family val="2"/>
          </rPr>
          <t xml:space="preserve">
=L6*0.95 was previously</t>
        </r>
      </text>
    </comment>
    <comment ref="O189" authorId="2" shapeId="0" xr:uid="{B8BE1263-D2C3-4A14-9765-977AC3F73151}">
      <text>
        <r>
          <rPr>
            <b/>
            <sz val="9"/>
            <color indexed="81"/>
            <rFont val="Tahoma"/>
            <family val="2"/>
          </rPr>
          <t>Stefan Petrovic:</t>
        </r>
        <r>
          <rPr>
            <sz val="9"/>
            <color indexed="81"/>
            <rFont val="Tahoma"/>
            <family val="2"/>
          </rPr>
          <t xml:space="preserve">
=L6*0.95 was previously</t>
        </r>
      </text>
    </comment>
    <comment ref="O190" authorId="2" shapeId="0" xr:uid="{66397159-5048-4899-B3B9-C0E99F914ACC}">
      <text>
        <r>
          <rPr>
            <b/>
            <sz val="9"/>
            <color indexed="81"/>
            <rFont val="Tahoma"/>
            <family val="2"/>
          </rPr>
          <t>Stefan Petrovic:</t>
        </r>
        <r>
          <rPr>
            <sz val="9"/>
            <color indexed="81"/>
            <rFont val="Tahoma"/>
            <family val="2"/>
          </rPr>
          <t xml:space="preserve">
=L6*0.95 was previously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C4C7C45C-8C45-42C0-8DC0-A9426DBC95B5}">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1FE0B6B-F2BE-4667-817A-3DDEB2E01C9A}">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7B533D42-8326-4084-ABF7-78CCD2D94B80}">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45B8FA0D-33C0-4523-9D0A-6CB2ABEB5556}">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2C55255-CE6E-484E-B28D-60B4EB5F160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2B5DB79F-0E8E-44E1-90C6-AFF0DF7A139A}">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FA5CE325-23C2-488D-AC4C-644BA6C5B31C}">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5E7A6C5-49AA-4D56-8D5C-ED7222600501}">
      <text>
        <r>
          <rPr>
            <b/>
            <sz val="9"/>
            <color indexed="81"/>
            <rFont val="Tahoma"/>
            <family val="2"/>
          </rPr>
          <t>Andreas Helk | Viegand Maagøe:</t>
        </r>
        <r>
          <rPr>
            <sz val="9"/>
            <color indexed="81"/>
            <rFont val="Tahoma"/>
            <family val="2"/>
          </rPr>
          <t xml:space="preserve">
Consider looking into updating these</t>
        </r>
      </text>
    </comment>
    <comment ref="X6" authorId="1" shapeId="0" xr:uid="{5CF03B10-98C6-4C24-B972-FD143D93CF51}">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0648A574-8BD0-402B-ADAB-79DE7E7CC495}">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438E0E8-2F86-4E95-8846-44FAF1171B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696DE96C-D148-4355-B5C7-430E53EA2808}">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12DD2C59-9BD9-44F4-90CE-0B5C9F0D7ABC}">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F063CC21-A29D-4630-AE05-CA25C146C9CB}">
      <text>
        <r>
          <rPr>
            <b/>
            <sz val="9"/>
            <color indexed="81"/>
            <rFont val="Tahoma"/>
            <family val="2"/>
          </rPr>
          <t>Stefan Petrovic:</t>
        </r>
        <r>
          <rPr>
            <sz val="9"/>
            <color indexed="81"/>
            <rFont val="Tahoma"/>
            <family val="2"/>
          </rPr>
          <t xml:space="preserve">
=L6*0.95 was previously</t>
        </r>
      </text>
    </comment>
    <comment ref="O188" authorId="2" shapeId="0" xr:uid="{5405ABC6-97F8-46CB-8779-C6AC86ADE679}">
      <text>
        <r>
          <rPr>
            <b/>
            <sz val="9"/>
            <color indexed="81"/>
            <rFont val="Tahoma"/>
            <family val="2"/>
          </rPr>
          <t>Stefan Petrovic:</t>
        </r>
        <r>
          <rPr>
            <sz val="9"/>
            <color indexed="81"/>
            <rFont val="Tahoma"/>
            <family val="2"/>
          </rPr>
          <t xml:space="preserve">
=L6*0.95 was previously</t>
        </r>
      </text>
    </comment>
    <comment ref="O189" authorId="2" shapeId="0" xr:uid="{9E844F40-4A9E-4276-8C41-FA16892C2CF1}">
      <text>
        <r>
          <rPr>
            <b/>
            <sz val="9"/>
            <color indexed="81"/>
            <rFont val="Tahoma"/>
            <family val="2"/>
          </rPr>
          <t>Stefan Petrovic:</t>
        </r>
        <r>
          <rPr>
            <sz val="9"/>
            <color indexed="81"/>
            <rFont val="Tahoma"/>
            <family val="2"/>
          </rPr>
          <t xml:space="preserve">
=L6*0.95 was previously</t>
        </r>
      </text>
    </comment>
    <comment ref="O190" authorId="2" shapeId="0" xr:uid="{2AEE4F0B-9C8C-4586-9B46-37520A50F31F}">
      <text>
        <r>
          <rPr>
            <b/>
            <sz val="9"/>
            <color indexed="81"/>
            <rFont val="Tahoma"/>
            <family val="2"/>
          </rPr>
          <t>Stefan Petrovic:</t>
        </r>
        <r>
          <rPr>
            <sz val="9"/>
            <color indexed="81"/>
            <rFont val="Tahoma"/>
            <family val="2"/>
          </rPr>
          <t xml:space="preserve">
=L6*0.95 was previously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9F273E3A-5346-4B39-AA0A-A35B47FCA1A6}">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E195574D-C2D7-4C5D-B0F6-458B9409F08E}">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8F1657-83D8-4349-9210-87AAE28A7092}">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0A0EB7-4EC0-4D4D-B3CA-705059B8B9CE}">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8DAB4D16-A8FF-42A4-9D17-C2F95089A83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C060F74-5E77-4AF4-AE50-FBE308760B54}">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A1F3A8F-3448-4E80-B92C-89DA7A5BFBC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93486E90-4DD1-4040-BE97-B111096972C5}">
      <text>
        <r>
          <rPr>
            <b/>
            <sz val="9"/>
            <color indexed="81"/>
            <rFont val="Tahoma"/>
            <family val="2"/>
          </rPr>
          <t>Andreas Helk | Viegand Maagøe:</t>
        </r>
        <r>
          <rPr>
            <sz val="9"/>
            <color indexed="81"/>
            <rFont val="Tahoma"/>
            <family val="2"/>
          </rPr>
          <t xml:space="preserve">
Consider looking into updating these</t>
        </r>
      </text>
    </comment>
    <comment ref="X6" authorId="1" shapeId="0" xr:uid="{7C1E6E94-8420-4FB5-8E54-208D6B7058A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37A17CA5-8A78-43BA-9204-4C53501B9D8D}">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5CCBB69-F11D-4C67-9ADB-E570130CB7B2}">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42645429-B31C-4E13-BC31-50EA15D8A50D}">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AA50682-FD75-42C4-AC56-F46B0657493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0B1EB51C-E7E2-4995-B222-F79A82F52F57}">
      <text>
        <r>
          <rPr>
            <b/>
            <sz val="9"/>
            <color indexed="81"/>
            <rFont val="Tahoma"/>
            <family val="2"/>
          </rPr>
          <t>Stefan Petrovic:</t>
        </r>
        <r>
          <rPr>
            <sz val="9"/>
            <color indexed="81"/>
            <rFont val="Tahoma"/>
            <family val="2"/>
          </rPr>
          <t xml:space="preserve">
=L6*0.95 was previously</t>
        </r>
      </text>
    </comment>
    <comment ref="O188" authorId="2" shapeId="0" xr:uid="{E79A6F49-DB70-4C6A-8D35-D65B79767924}">
      <text>
        <r>
          <rPr>
            <b/>
            <sz val="9"/>
            <color indexed="81"/>
            <rFont val="Tahoma"/>
            <family val="2"/>
          </rPr>
          <t>Stefan Petrovic:</t>
        </r>
        <r>
          <rPr>
            <sz val="9"/>
            <color indexed="81"/>
            <rFont val="Tahoma"/>
            <family val="2"/>
          </rPr>
          <t xml:space="preserve">
=L6*0.95 was previously</t>
        </r>
      </text>
    </comment>
    <comment ref="O189" authorId="2" shapeId="0" xr:uid="{E9D68678-99AE-4C55-BD11-5BC0C9D4A0BD}">
      <text>
        <r>
          <rPr>
            <b/>
            <sz val="9"/>
            <color indexed="81"/>
            <rFont val="Tahoma"/>
            <family val="2"/>
          </rPr>
          <t>Stefan Petrovic:</t>
        </r>
        <r>
          <rPr>
            <sz val="9"/>
            <color indexed="81"/>
            <rFont val="Tahoma"/>
            <family val="2"/>
          </rPr>
          <t xml:space="preserve">
=L6*0.95 was previously</t>
        </r>
      </text>
    </comment>
    <comment ref="O190" authorId="2" shapeId="0" xr:uid="{D0D08C5D-C26F-49E4-A726-617233367BAE}">
      <text>
        <r>
          <rPr>
            <b/>
            <sz val="9"/>
            <color indexed="81"/>
            <rFont val="Tahoma"/>
            <family val="2"/>
          </rPr>
          <t>Stefan Petrovic:</t>
        </r>
        <r>
          <rPr>
            <sz val="9"/>
            <color indexed="81"/>
            <rFont val="Tahoma"/>
            <family val="2"/>
          </rPr>
          <t xml:space="preserve">
=L6*0.95 was previously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1108185F-2F93-4011-8795-D02A93081A7A}">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8397D8B5-25C6-4BBD-96DF-35C266FF4DC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256ECD4A-E91D-44C5-8952-ABDD55C4FD63}">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11E1F70-42C2-4C00-B7C6-D03537C97B5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A27B379A-E895-43DB-9028-18935D8BF788}">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08D4223E-6CD4-408C-B5F6-0D86201D0F90}">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5086099-E139-48A5-8AD9-42D45FAFA4B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58C6F082-37F4-429C-9D61-CE68244A56AF}">
      <text>
        <r>
          <rPr>
            <b/>
            <sz val="9"/>
            <color indexed="81"/>
            <rFont val="Tahoma"/>
            <family val="2"/>
          </rPr>
          <t>Andreas Helk | Viegand Maagøe:</t>
        </r>
        <r>
          <rPr>
            <sz val="9"/>
            <color indexed="81"/>
            <rFont val="Tahoma"/>
            <family val="2"/>
          </rPr>
          <t xml:space="preserve">
Consider looking into updating these</t>
        </r>
      </text>
    </comment>
    <comment ref="X6" authorId="1" shapeId="0" xr:uid="{A5315DF2-38C7-41BA-957A-14849011AAA4}">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C6AEEF78-561B-4794-891B-B1C5D94ACDDE}">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DFD33FC-6B34-4C86-B419-A79D2053BA7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5BAEA73-4261-434D-A98F-38304B5C7CE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1A69BAC0-E7ED-4A0B-AE4A-9312ADEAF11E}">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90AD6F01-21A3-4F96-A709-CD7A66072106}">
      <text>
        <r>
          <rPr>
            <b/>
            <sz val="9"/>
            <color indexed="81"/>
            <rFont val="Tahoma"/>
            <family val="2"/>
          </rPr>
          <t>Stefan Petrovic:</t>
        </r>
        <r>
          <rPr>
            <sz val="9"/>
            <color indexed="81"/>
            <rFont val="Tahoma"/>
            <family val="2"/>
          </rPr>
          <t xml:space="preserve">
=L6*0.95 was previously</t>
        </r>
      </text>
    </comment>
    <comment ref="O188" authorId="2" shapeId="0" xr:uid="{987454A3-CD1D-447A-AB80-84C41AAB6F73}">
      <text>
        <r>
          <rPr>
            <b/>
            <sz val="9"/>
            <color indexed="81"/>
            <rFont val="Tahoma"/>
            <family val="2"/>
          </rPr>
          <t>Stefan Petrovic:</t>
        </r>
        <r>
          <rPr>
            <sz val="9"/>
            <color indexed="81"/>
            <rFont val="Tahoma"/>
            <family val="2"/>
          </rPr>
          <t xml:space="preserve">
=L6*0.95 was previously</t>
        </r>
      </text>
    </comment>
    <comment ref="O189" authorId="2" shapeId="0" xr:uid="{60C2A763-15CB-4610-BDF7-D47D55A62022}">
      <text>
        <r>
          <rPr>
            <b/>
            <sz val="9"/>
            <color indexed="81"/>
            <rFont val="Tahoma"/>
            <family val="2"/>
          </rPr>
          <t>Stefan Petrovic:</t>
        </r>
        <r>
          <rPr>
            <sz val="9"/>
            <color indexed="81"/>
            <rFont val="Tahoma"/>
            <family val="2"/>
          </rPr>
          <t xml:space="preserve">
=L6*0.95 was previously</t>
        </r>
      </text>
    </comment>
    <comment ref="O190" authorId="2" shapeId="0" xr:uid="{EF32014E-1A93-4FF5-818E-E262A8217AC3}">
      <text>
        <r>
          <rPr>
            <b/>
            <sz val="9"/>
            <color indexed="81"/>
            <rFont val="Tahoma"/>
            <family val="2"/>
          </rPr>
          <t>Stefan Petrovic:</t>
        </r>
        <r>
          <rPr>
            <sz val="9"/>
            <color indexed="81"/>
            <rFont val="Tahoma"/>
            <family val="2"/>
          </rPr>
          <t xml:space="preserve">
=L6*0.95 was previously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3690B2E-24EF-4D15-A008-9ED14DE2DF6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388D2754-A640-45BB-AAB9-E45DAEA1436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6A938E01-DC38-4218-B6E4-7DD6A3FAB05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D916F4E7-933E-413C-85EA-61BAE07EBD2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10B4884B-23D3-4C45-8E8B-85F4CB978FBA}">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3AA03353-A173-4D29-BD5F-FBA91D1589D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4AF74174-A76E-44DD-8E1E-217E18A1EF7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D654D5FE-3B1D-42B6-AF6A-F5F17E55728B}">
      <text>
        <r>
          <rPr>
            <b/>
            <sz val="9"/>
            <color indexed="81"/>
            <rFont val="Tahoma"/>
            <family val="2"/>
          </rPr>
          <t>Andreas Helk | Viegand Maagøe:</t>
        </r>
        <r>
          <rPr>
            <sz val="9"/>
            <color indexed="81"/>
            <rFont val="Tahoma"/>
            <family val="2"/>
          </rPr>
          <t xml:space="preserve">
Consider looking into updating these</t>
        </r>
      </text>
    </comment>
    <comment ref="X6" authorId="1" shapeId="0" xr:uid="{C9132B04-53BA-4061-A563-8DC3ECF6717E}">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31CBF88-B5BC-4379-915B-67F556F1EFA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23A09425-CBB5-46CA-8D4B-5E49F8BE2B89}">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3B5D06CB-DCEE-4771-A53F-AEFFD54CC08B}">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3F8552A4-548D-4B2F-B655-DBB4ECF9B9C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A952B723-66B7-422F-A80A-10D4B2792703}">
      <text>
        <r>
          <rPr>
            <b/>
            <sz val="9"/>
            <color indexed="81"/>
            <rFont val="Tahoma"/>
            <family val="2"/>
          </rPr>
          <t>Stefan Petrovic:</t>
        </r>
        <r>
          <rPr>
            <sz val="9"/>
            <color indexed="81"/>
            <rFont val="Tahoma"/>
            <family val="2"/>
          </rPr>
          <t xml:space="preserve">
=L6*0.95 was previously</t>
        </r>
      </text>
    </comment>
    <comment ref="O188" authorId="2" shapeId="0" xr:uid="{7CC4959C-9109-4FC0-896F-30E0C5B85100}">
      <text>
        <r>
          <rPr>
            <b/>
            <sz val="9"/>
            <color indexed="81"/>
            <rFont val="Tahoma"/>
            <family val="2"/>
          </rPr>
          <t>Stefan Petrovic:</t>
        </r>
        <r>
          <rPr>
            <sz val="9"/>
            <color indexed="81"/>
            <rFont val="Tahoma"/>
            <family val="2"/>
          </rPr>
          <t xml:space="preserve">
=L6*0.95 was previously</t>
        </r>
      </text>
    </comment>
    <comment ref="O189" authorId="2" shapeId="0" xr:uid="{D587C85F-9A3F-46E6-8197-B896A61CB58D}">
      <text>
        <r>
          <rPr>
            <b/>
            <sz val="9"/>
            <color indexed="81"/>
            <rFont val="Tahoma"/>
            <family val="2"/>
          </rPr>
          <t>Stefan Petrovic:</t>
        </r>
        <r>
          <rPr>
            <sz val="9"/>
            <color indexed="81"/>
            <rFont val="Tahoma"/>
            <family val="2"/>
          </rPr>
          <t xml:space="preserve">
=L6*0.95 was previously</t>
        </r>
      </text>
    </comment>
    <comment ref="O190" authorId="2" shapeId="0" xr:uid="{AEF7F9FB-8CC4-41D0-A7E9-EB586B716615}">
      <text>
        <r>
          <rPr>
            <b/>
            <sz val="9"/>
            <color indexed="81"/>
            <rFont val="Tahoma"/>
            <family val="2"/>
          </rPr>
          <t>Stefan Petrovic:</t>
        </r>
        <r>
          <rPr>
            <sz val="9"/>
            <color indexed="81"/>
            <rFont val="Tahoma"/>
            <family val="2"/>
          </rPr>
          <t xml:space="preserve">
=L6*0.95 was previously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A1617627-C138-43E9-A0A4-EF1050DCDB13}">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0D5A0CB4-B7DE-45BE-ABA6-CFA41009B45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C8C824AE-BE35-49DB-87D2-46868812E3F1}">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50C43482-A77B-4582-B456-89B1EFEAF134}">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408A313-1E79-422F-8E66-24240D4A9331}">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96D1F10-CFAD-4C29-881A-5EC388B7E758}">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28DD6600-4BA1-4FB1-9215-AEEB6A9C5AE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EC48E0D9-ABC6-4516-B045-300AF4897B90}">
      <text>
        <r>
          <rPr>
            <b/>
            <sz val="9"/>
            <color indexed="81"/>
            <rFont val="Tahoma"/>
            <family val="2"/>
          </rPr>
          <t>Andreas Helk | Viegand Maagøe:</t>
        </r>
        <r>
          <rPr>
            <sz val="9"/>
            <color indexed="81"/>
            <rFont val="Tahoma"/>
            <family val="2"/>
          </rPr>
          <t xml:space="preserve">
Consider looking into updating these</t>
        </r>
      </text>
    </comment>
    <comment ref="X6" authorId="1" shapeId="0" xr:uid="{887823A2-0655-442F-AD40-A9BC20220C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43A950AF-A566-486A-8DBC-5D48876ED83A}">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59C6EDAD-FF12-4473-BBBC-6898657398F1}">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3908911-DD37-4205-83AC-B871D67ED1F7}">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2B8A97F-8DC5-4140-8600-585CD538E979}">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5CEF71D6-D7F1-44FC-8B32-3C6DC2745E56}">
      <text>
        <r>
          <rPr>
            <b/>
            <sz val="9"/>
            <color indexed="81"/>
            <rFont val="Tahoma"/>
            <family val="2"/>
          </rPr>
          <t>Stefan Petrovic:</t>
        </r>
        <r>
          <rPr>
            <sz val="9"/>
            <color indexed="81"/>
            <rFont val="Tahoma"/>
            <family val="2"/>
          </rPr>
          <t xml:space="preserve">
=L6*0.95 was previously</t>
        </r>
      </text>
    </comment>
    <comment ref="O188" authorId="2" shapeId="0" xr:uid="{05A345C6-D0C1-46EE-8BD6-1F0C00787147}">
      <text>
        <r>
          <rPr>
            <b/>
            <sz val="9"/>
            <color indexed="81"/>
            <rFont val="Tahoma"/>
            <family val="2"/>
          </rPr>
          <t>Stefan Petrovic:</t>
        </r>
        <r>
          <rPr>
            <sz val="9"/>
            <color indexed="81"/>
            <rFont val="Tahoma"/>
            <family val="2"/>
          </rPr>
          <t xml:space="preserve">
=L6*0.95 was previously</t>
        </r>
      </text>
    </comment>
    <comment ref="O189" authorId="2" shapeId="0" xr:uid="{11CABE8B-56E8-4837-8A6F-D009CB3724A8}">
      <text>
        <r>
          <rPr>
            <b/>
            <sz val="9"/>
            <color indexed="81"/>
            <rFont val="Tahoma"/>
            <family val="2"/>
          </rPr>
          <t>Stefan Petrovic:</t>
        </r>
        <r>
          <rPr>
            <sz val="9"/>
            <color indexed="81"/>
            <rFont val="Tahoma"/>
            <family val="2"/>
          </rPr>
          <t xml:space="preserve">
=L6*0.95 was previously</t>
        </r>
      </text>
    </comment>
    <comment ref="O190" authorId="2" shapeId="0" xr:uid="{6307E31D-001F-4693-B937-30C6704568EE}">
      <text>
        <r>
          <rPr>
            <b/>
            <sz val="9"/>
            <color indexed="81"/>
            <rFont val="Tahoma"/>
            <family val="2"/>
          </rPr>
          <t>Stefan Petrovic:</t>
        </r>
        <r>
          <rPr>
            <sz val="9"/>
            <color indexed="81"/>
            <rFont val="Tahoma"/>
            <family val="2"/>
          </rPr>
          <t xml:space="preserve">
=L6*0.95 was previously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11DA3781-677B-4559-9119-4F2D574D360D}">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80A0EAA-9F7E-4EE2-8A29-D0FCEA333405}">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445A9EAD-B775-434A-AB48-612BE248E0B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5E62869-077B-4247-A083-193156C26AC7}">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300F5916-02B9-4772-BA20-59877B03DFE4}">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A99853E-F8AC-4F2A-91BB-2DBA5EE5B25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9768788-EC7B-4198-9718-763FD30F4A9A}">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CC79290F-BAC2-4E05-9B43-D8B8F1538A25}">
      <text>
        <r>
          <rPr>
            <b/>
            <sz val="9"/>
            <color indexed="81"/>
            <rFont val="Tahoma"/>
            <family val="2"/>
          </rPr>
          <t>Andreas Helk | Viegand Maagøe:</t>
        </r>
        <r>
          <rPr>
            <sz val="9"/>
            <color indexed="81"/>
            <rFont val="Tahoma"/>
            <family val="2"/>
          </rPr>
          <t xml:space="preserve">
Consider looking into updating these</t>
        </r>
      </text>
    </comment>
    <comment ref="X6" authorId="1" shapeId="0" xr:uid="{5476CFB9-A3BC-44ED-ABCE-6A265D061485}">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F8B15F40-C9BD-4628-9614-2AA8B9514163}">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AJ11" authorId="0" shapeId="0" xr:uid="{4C4D2F98-80FE-46E8-A025-764799DC9549}">
      <text>
        <r>
          <rPr>
            <b/>
            <sz val="9"/>
            <color indexed="81"/>
            <rFont val="Tahoma"/>
            <family val="2"/>
          </rPr>
          <t>Andreas Helk | Viegand Maagøe:</t>
        </r>
        <r>
          <rPr>
            <sz val="9"/>
            <color indexed="81"/>
            <rFont val="Tahoma"/>
            <family val="2"/>
          </rPr>
          <t xml:space="preserve">
Since "A" is taken by agriculture, the aluminium sector is given X</t>
        </r>
      </text>
    </comment>
    <comment ref="T33" authorId="0" shapeId="0" xr:uid="{43DC8CA1-913D-4D64-9B6F-AF46B12AC7F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6317AC39-9B4E-4E70-B3C6-59696E9423F4}">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0D2C3BCC-E69D-40DA-8E4B-A9F42B72C733}">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016CE706-F309-4B04-9B86-8B919E089169}">
      <text>
        <r>
          <rPr>
            <b/>
            <sz val="9"/>
            <color indexed="81"/>
            <rFont val="Tahoma"/>
            <family val="2"/>
          </rPr>
          <t>Stefan Petrovic:</t>
        </r>
        <r>
          <rPr>
            <sz val="9"/>
            <color indexed="81"/>
            <rFont val="Tahoma"/>
            <family val="2"/>
          </rPr>
          <t xml:space="preserve">
=L6*0.95 was previously</t>
        </r>
      </text>
    </comment>
    <comment ref="O188" authorId="2" shapeId="0" xr:uid="{3518016F-D1ED-4359-92B6-FCCEEFC75D4A}">
      <text>
        <r>
          <rPr>
            <b/>
            <sz val="9"/>
            <color indexed="81"/>
            <rFont val="Tahoma"/>
            <family val="2"/>
          </rPr>
          <t>Stefan Petrovic:</t>
        </r>
        <r>
          <rPr>
            <sz val="9"/>
            <color indexed="81"/>
            <rFont val="Tahoma"/>
            <family val="2"/>
          </rPr>
          <t xml:space="preserve">
=L6*0.95 was previously</t>
        </r>
      </text>
    </comment>
    <comment ref="O189" authorId="2" shapeId="0" xr:uid="{FC3A8F38-EC90-47CD-AC8B-A2FD63498692}">
      <text>
        <r>
          <rPr>
            <b/>
            <sz val="9"/>
            <color indexed="81"/>
            <rFont val="Tahoma"/>
            <family val="2"/>
          </rPr>
          <t>Stefan Petrovic:</t>
        </r>
        <r>
          <rPr>
            <sz val="9"/>
            <color indexed="81"/>
            <rFont val="Tahoma"/>
            <family val="2"/>
          </rPr>
          <t xml:space="preserve">
=L6*0.95 was previously</t>
        </r>
      </text>
    </comment>
    <comment ref="O190" authorId="2" shapeId="0" xr:uid="{733B984F-963D-4BEA-914D-C56CB4F5DA5C}">
      <text>
        <r>
          <rPr>
            <b/>
            <sz val="9"/>
            <color indexed="81"/>
            <rFont val="Tahoma"/>
            <family val="2"/>
          </rPr>
          <t>Stefan Petrovic:</t>
        </r>
        <r>
          <rPr>
            <sz val="9"/>
            <color indexed="81"/>
            <rFont val="Tahoma"/>
            <family val="2"/>
          </rPr>
          <t xml:space="preserve">
=L6*0.95 was previously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C18F1E31-160A-4B55-8752-8C20ECFF373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593A403D-7FC1-438B-A294-D8B17218BEC7}">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00483D72-C4F9-468A-B315-F00C036CE437}">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3B5DA4AB-372A-4D2C-90CF-07D2D15AB2AB}">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879FA65-0FE1-4B5A-A192-B6D0C7CB5DFE}">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6E6FB385-BD91-4CCF-B4BB-0630615CF126}">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37E512A9-1D38-4A7A-BAC6-419ED6660090}">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8EE05B91-9AF1-4776-934E-A9F22E36C141}">
      <text>
        <r>
          <rPr>
            <b/>
            <sz val="9"/>
            <color indexed="81"/>
            <rFont val="Tahoma"/>
            <family val="2"/>
          </rPr>
          <t>Andreas Helk | Viegand Maagøe:</t>
        </r>
        <r>
          <rPr>
            <sz val="9"/>
            <color indexed="81"/>
            <rFont val="Tahoma"/>
            <family val="2"/>
          </rPr>
          <t xml:space="preserve">
Consider looking into updating these</t>
        </r>
      </text>
    </comment>
    <comment ref="X6" authorId="1" shapeId="0" xr:uid="{62F6D73C-B551-4CBB-AF03-6504C79B0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24FE09D6-D15D-4231-948A-7C32AB7E4AD8}">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B266671B-7F22-4270-80EE-474E5AE0FE17}">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0A3567E5-BDA7-4131-B260-30D6CD21CB62}">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29F20ED8-39C2-4483-B4C8-CE422B39542B}">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8A73C0DE-3B00-41DB-A052-905B16B1F377}">
      <text>
        <r>
          <rPr>
            <b/>
            <sz val="9"/>
            <color indexed="81"/>
            <rFont val="Tahoma"/>
            <family val="2"/>
          </rPr>
          <t>Stefan Petrovic:</t>
        </r>
        <r>
          <rPr>
            <sz val="9"/>
            <color indexed="81"/>
            <rFont val="Tahoma"/>
            <family val="2"/>
          </rPr>
          <t xml:space="preserve">
=L6*0.95 was previously</t>
        </r>
      </text>
    </comment>
    <comment ref="O188" authorId="2" shapeId="0" xr:uid="{0FC8FCC8-9BC1-4161-B648-220DBB798857}">
      <text>
        <r>
          <rPr>
            <b/>
            <sz val="9"/>
            <color indexed="81"/>
            <rFont val="Tahoma"/>
            <family val="2"/>
          </rPr>
          <t>Stefan Petrovic:</t>
        </r>
        <r>
          <rPr>
            <sz val="9"/>
            <color indexed="81"/>
            <rFont val="Tahoma"/>
            <family val="2"/>
          </rPr>
          <t xml:space="preserve">
=L6*0.95 was previously</t>
        </r>
      </text>
    </comment>
    <comment ref="O189" authorId="2" shapeId="0" xr:uid="{F2E45DD5-BE48-48D9-9146-693AAF53DED5}">
      <text>
        <r>
          <rPr>
            <b/>
            <sz val="9"/>
            <color indexed="81"/>
            <rFont val="Tahoma"/>
            <family val="2"/>
          </rPr>
          <t>Stefan Petrovic:</t>
        </r>
        <r>
          <rPr>
            <sz val="9"/>
            <color indexed="81"/>
            <rFont val="Tahoma"/>
            <family val="2"/>
          </rPr>
          <t xml:space="preserve">
=L6*0.95 was previously</t>
        </r>
      </text>
    </comment>
    <comment ref="O190" authorId="2" shapeId="0" xr:uid="{4CECE385-96BB-481B-B4F5-0786E22F854E}">
      <text>
        <r>
          <rPr>
            <b/>
            <sz val="9"/>
            <color indexed="81"/>
            <rFont val="Tahoma"/>
            <family val="2"/>
          </rPr>
          <t>Stefan Petrovic:</t>
        </r>
        <r>
          <rPr>
            <sz val="9"/>
            <color indexed="81"/>
            <rFont val="Tahoma"/>
            <family val="2"/>
          </rPr>
          <t xml:space="preserve">
=L6*0.95 was previously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8B611114-CECB-42F6-8666-965307D68047}">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A5CAEEDB-2217-4AA1-B9CD-9CB3224B127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E8E7E804-A0F0-4370-98F4-B75F159202DE}">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2FC5D0C7-2F17-4341-A552-FCF283764E9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2F9F6466-B01D-4B7C-8F86-E4F060AD09B5}">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88AC1759-7E94-4616-9A45-6173485AEF12}">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2DAB7B3-7A2D-4A31-BBC5-3EFD5929199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4827FFBF-8FEF-494D-B3E4-6A546DC3DD62}">
      <text>
        <r>
          <rPr>
            <b/>
            <sz val="9"/>
            <color indexed="81"/>
            <rFont val="Tahoma"/>
            <family val="2"/>
          </rPr>
          <t>Andreas Helk | Viegand Maagøe:</t>
        </r>
        <r>
          <rPr>
            <sz val="9"/>
            <color indexed="81"/>
            <rFont val="Tahoma"/>
            <family val="2"/>
          </rPr>
          <t xml:space="preserve">
Consider looking into updating these</t>
        </r>
      </text>
    </comment>
    <comment ref="X6" authorId="1" shapeId="0" xr:uid="{BC261F07-BD20-41D4-B66F-C07BEF06AF26}">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684075A5-BA6E-45D1-9AA5-CB914EFF9D04}">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49122B2D-5D37-4250-A073-EBDFE1AD6FC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155E1F8B-CF20-443E-AA81-3622693034CF}">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B5ADC520-47F5-427E-8D39-1A38D978807D}">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D0F10D08-DCF8-4CD9-A4BD-321E25AA2C14}">
      <text>
        <r>
          <rPr>
            <b/>
            <sz val="9"/>
            <color indexed="81"/>
            <rFont val="Tahoma"/>
            <family val="2"/>
          </rPr>
          <t>Stefan Petrovic:</t>
        </r>
        <r>
          <rPr>
            <sz val="9"/>
            <color indexed="81"/>
            <rFont val="Tahoma"/>
            <family val="2"/>
          </rPr>
          <t xml:space="preserve">
=L6*0.95 was previously</t>
        </r>
      </text>
    </comment>
    <comment ref="O188" authorId="2" shapeId="0" xr:uid="{2D3531C9-CD5A-4FF1-B33F-35F2DB8A4CEC}">
      <text>
        <r>
          <rPr>
            <b/>
            <sz val="9"/>
            <color indexed="81"/>
            <rFont val="Tahoma"/>
            <family val="2"/>
          </rPr>
          <t>Stefan Petrovic:</t>
        </r>
        <r>
          <rPr>
            <sz val="9"/>
            <color indexed="81"/>
            <rFont val="Tahoma"/>
            <family val="2"/>
          </rPr>
          <t xml:space="preserve">
=L6*0.95 was previously</t>
        </r>
      </text>
    </comment>
    <comment ref="O189" authorId="2" shapeId="0" xr:uid="{7F09F1D5-4FD4-4F04-8458-8254DA3608AC}">
      <text>
        <r>
          <rPr>
            <b/>
            <sz val="9"/>
            <color indexed="81"/>
            <rFont val="Tahoma"/>
            <family val="2"/>
          </rPr>
          <t>Stefan Petrovic:</t>
        </r>
        <r>
          <rPr>
            <sz val="9"/>
            <color indexed="81"/>
            <rFont val="Tahoma"/>
            <family val="2"/>
          </rPr>
          <t xml:space="preserve">
=L6*0.95 was previously</t>
        </r>
      </text>
    </comment>
    <comment ref="O190" authorId="2" shapeId="0" xr:uid="{0B13A7CD-8982-4C7E-AD52-2BFBBC5C85DD}">
      <text>
        <r>
          <rPr>
            <b/>
            <sz val="9"/>
            <color indexed="81"/>
            <rFont val="Tahoma"/>
            <family val="2"/>
          </rPr>
          <t>Stefan Petrovic:</t>
        </r>
        <r>
          <rPr>
            <sz val="9"/>
            <color indexed="81"/>
            <rFont val="Tahoma"/>
            <family val="2"/>
          </rPr>
          <t xml:space="preserve">
=L6*0.95 was previously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56F877C8-C528-4255-B590-4A28F432AA2C}">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D4998577-D4E2-4974-8488-945816E1952F}">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BFE3D2EB-105B-4A17-9AF0-5E3CE0E681DD}">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C431C40C-FAB3-472E-8A1D-070DC7A5747F}">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500F5939-033A-4D97-AEB2-D89324410C19}">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CE814C3C-EE8E-4F41-A190-3C35DEBA9CFF}">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00890D8A-09EF-450C-ABA7-23775E9EABFF}">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F2EC004D-2D02-46E7-AE3F-262CEE0D76C5}">
      <text>
        <r>
          <rPr>
            <b/>
            <sz val="9"/>
            <color indexed="81"/>
            <rFont val="Tahoma"/>
            <family val="2"/>
          </rPr>
          <t>Andreas Helk | Viegand Maagøe:</t>
        </r>
        <r>
          <rPr>
            <sz val="9"/>
            <color indexed="81"/>
            <rFont val="Tahoma"/>
            <family val="2"/>
          </rPr>
          <t xml:space="preserve">
Consider looking into updating these</t>
        </r>
      </text>
    </comment>
    <comment ref="X6" authorId="1" shapeId="0" xr:uid="{D261113E-1D4C-4DF8-A0A8-F4A372BE3DA8}">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AEBC50B-7ECE-44BB-9A7E-871096E3A871}">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1BFAB39D-A437-467C-8507-A127C8B7A2D6}">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7C32BAF-AFA3-49D7-8249-CF25CCDFD78C}">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58B05FA0-895D-4B99-A5C0-F9E6264D057F}">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3D487C12-B363-4DE4-A3BD-CDED81453771}">
      <text>
        <r>
          <rPr>
            <b/>
            <sz val="9"/>
            <color indexed="81"/>
            <rFont val="Tahoma"/>
            <family val="2"/>
          </rPr>
          <t>Stefan Petrovic:</t>
        </r>
        <r>
          <rPr>
            <sz val="9"/>
            <color indexed="81"/>
            <rFont val="Tahoma"/>
            <family val="2"/>
          </rPr>
          <t xml:space="preserve">
=L6*0.95 was previously</t>
        </r>
      </text>
    </comment>
    <comment ref="O188" authorId="2" shapeId="0" xr:uid="{1F0341B6-9F95-4800-991A-69907B970DC3}">
      <text>
        <r>
          <rPr>
            <b/>
            <sz val="9"/>
            <color indexed="81"/>
            <rFont val="Tahoma"/>
            <family val="2"/>
          </rPr>
          <t>Stefan Petrovic:</t>
        </r>
        <r>
          <rPr>
            <sz val="9"/>
            <color indexed="81"/>
            <rFont val="Tahoma"/>
            <family val="2"/>
          </rPr>
          <t xml:space="preserve">
=L6*0.95 was previously</t>
        </r>
      </text>
    </comment>
    <comment ref="O189" authorId="2" shapeId="0" xr:uid="{7F591DFA-A196-4B82-9F98-7F8DB4EFB619}">
      <text>
        <r>
          <rPr>
            <b/>
            <sz val="9"/>
            <color indexed="81"/>
            <rFont val="Tahoma"/>
            <family val="2"/>
          </rPr>
          <t>Stefan Petrovic:</t>
        </r>
        <r>
          <rPr>
            <sz val="9"/>
            <color indexed="81"/>
            <rFont val="Tahoma"/>
            <family val="2"/>
          </rPr>
          <t xml:space="preserve">
=L6*0.95 was previously</t>
        </r>
      </text>
    </comment>
    <comment ref="O190" authorId="2" shapeId="0" xr:uid="{12F91024-6824-4B89-A645-AF3B79A64BF8}">
      <text>
        <r>
          <rPr>
            <b/>
            <sz val="9"/>
            <color indexed="81"/>
            <rFont val="Tahoma"/>
            <family val="2"/>
          </rPr>
          <t>Stefan Petrovic:</t>
        </r>
        <r>
          <rPr>
            <sz val="9"/>
            <color indexed="81"/>
            <rFont val="Tahoma"/>
            <family val="2"/>
          </rPr>
          <t xml:space="preserve">
=L6*0.95 was previously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Maurizio Gargiulo</author>
    <author>Stefan Petrovic</author>
  </authors>
  <commentList>
    <comment ref="E1" authorId="0" shapeId="0" xr:uid="{EE82D554-8CF9-497D-8EE1-404C96B43828}">
      <text>
        <r>
          <rPr>
            <b/>
            <sz val="9"/>
            <color indexed="81"/>
            <rFont val="Tahoma"/>
            <family val="2"/>
          </rPr>
          <t>Andreas Helk | Viegand Maagøe:</t>
        </r>
        <r>
          <rPr>
            <sz val="9"/>
            <color indexed="81"/>
            <rFont val="Tahoma"/>
            <family val="2"/>
          </rPr>
          <t xml:space="preserve">
Input for each sheet - Choose between the categories from the ENS catalogue. Used for looking up potentials</t>
        </r>
      </text>
    </comment>
    <comment ref="S1" authorId="0" shapeId="0" xr:uid="{C94A898A-0032-49FD-98FB-8B2F273DFE93}">
      <text>
        <r>
          <rPr>
            <b/>
            <sz val="9"/>
            <color indexed="81"/>
            <rFont val="Tahoma"/>
            <family val="2"/>
          </rPr>
          <t>Andreas Helk | Viegand Maagøe:</t>
        </r>
        <r>
          <rPr>
            <sz val="9"/>
            <color indexed="81"/>
            <rFont val="Tahoma"/>
            <family val="2"/>
          </rPr>
          <t xml:space="preserve">
Column number for looking up the right FLO_MARK (direct or indirect technologies)</t>
        </r>
      </text>
    </comment>
    <comment ref="U1" authorId="0" shapeId="0" xr:uid="{F29D7F59-2B05-46FC-9E5E-8BED58E56BBB}">
      <text>
        <r>
          <rPr>
            <b/>
            <sz val="9"/>
            <color indexed="81"/>
            <rFont val="Tahoma"/>
            <family val="2"/>
          </rPr>
          <t>Andreas Helk | Viegand Maagøe:</t>
        </r>
        <r>
          <rPr>
            <sz val="9"/>
            <color indexed="81"/>
            <rFont val="Tahoma"/>
            <family val="2"/>
          </rPr>
          <t xml:space="preserve">
Base input for calculating waste heat in industry. Factor that estimates how much waste heat is generated within HT, MT and RH due to the processes involved and not the technology i.e. drying processes, evaporation, distilling etc. Should be sector-specific depending on the processes within each sector. </t>
        </r>
      </text>
    </comment>
    <comment ref="E2" authorId="0" shapeId="0" xr:uid="{A249F23A-E04E-4564-B899-7A0410F69E8D}">
      <text>
        <r>
          <rPr>
            <b/>
            <sz val="9"/>
            <color indexed="81"/>
            <rFont val="Tahoma"/>
            <family val="2"/>
          </rPr>
          <t>Andreas Helk | Viegand Maagøe:</t>
        </r>
        <r>
          <rPr>
            <sz val="9"/>
            <color indexed="81"/>
            <rFont val="Tahoma"/>
            <family val="2"/>
          </rPr>
          <t xml:space="preserve">
Write a sector name for TechDesc and Comm-OUT</t>
        </r>
      </text>
    </comment>
    <comment ref="G6" authorId="0" shapeId="0" xr:uid="{B4F512C1-A702-4784-AB0C-8C706B506F72}">
      <text>
        <r>
          <rPr>
            <b/>
            <sz val="9"/>
            <color indexed="81"/>
            <rFont val="Tahoma"/>
            <family val="2"/>
          </rPr>
          <t>Andreas Helk | Viegand Maagøe:</t>
        </r>
        <r>
          <rPr>
            <sz val="9"/>
            <color indexed="81"/>
            <rFont val="Tahoma"/>
            <family val="2"/>
          </rPr>
          <t xml:space="preserve">
Heat pumps are set to use both electricity and waste heat within industries.</t>
        </r>
      </text>
    </comment>
    <comment ref="I6" authorId="0" shapeId="0" xr:uid="{534BB701-AF53-43B8-A092-6E4593B56767}">
      <text>
        <r>
          <rPr>
            <b/>
            <sz val="9"/>
            <color indexed="81"/>
            <rFont val="Tahoma"/>
            <family val="2"/>
          </rPr>
          <t>Andreas Helk | Viegand Maagøe:</t>
        </r>
        <r>
          <rPr>
            <sz val="9"/>
            <color indexed="81"/>
            <rFont val="Tahoma"/>
            <family val="2"/>
          </rPr>
          <t xml:space="preserve">
Boilers are also set to give out waste heat</t>
        </r>
      </text>
    </comment>
    <comment ref="M6" authorId="0" shapeId="0" xr:uid="{B2E4011B-AB29-407F-8BAB-1F67B69FA22D}">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S6" authorId="0" shapeId="0" xr:uid="{2C49605E-D065-4AFD-878E-B348682204DE}">
      <text>
        <r>
          <rPr>
            <b/>
            <sz val="9"/>
            <color indexed="81"/>
            <rFont val="Tahoma"/>
            <family val="2"/>
          </rPr>
          <t>Andreas Helk | Viegand Maagøe:</t>
        </r>
        <r>
          <rPr>
            <sz val="9"/>
            <color indexed="81"/>
            <rFont val="Tahoma"/>
            <family val="2"/>
          </rPr>
          <t xml:space="preserve">
Consider looking into updating these</t>
        </r>
      </text>
    </comment>
    <comment ref="X6" authorId="1" shapeId="0" xr:uid="{BB963D45-2CC6-44AE-999D-FD93D9E786B0}">
      <text>
        <r>
          <rPr>
            <b/>
            <sz val="9"/>
            <color indexed="81"/>
            <rFont val="Tahoma"/>
            <family val="2"/>
          </rPr>
          <t>Maurizio Gargiulo:</t>
        </r>
        <r>
          <rPr>
            <sz val="9"/>
            <color indexed="81"/>
            <rFont val="Tahoma"/>
            <family val="2"/>
          </rPr>
          <t xml:space="preserve">
It is not possible to use the parameter like in here because we have more than one COMM-OUT.
If you try to join the two tables you will get an error. We should move these information in a scenario file</t>
        </r>
      </text>
    </comment>
    <comment ref="M9" authorId="0" shapeId="0" xr:uid="{863BCAAC-56CC-4EE8-953A-D8042EC39272}">
      <text>
        <r>
          <rPr>
            <b/>
            <sz val="9"/>
            <color indexed="81"/>
            <rFont val="Tahoma"/>
            <family val="2"/>
          </rPr>
          <t>Andreas Helk | Viegand Maagøe:</t>
        </r>
        <r>
          <rPr>
            <sz val="9"/>
            <color indexed="81"/>
            <rFont val="Tahoma"/>
            <family val="2"/>
          </rPr>
          <t xml:space="preserve">
Heat pump COP is written in this column since they are not using air as heat source, but using the waste heat within the industry.</t>
        </r>
      </text>
    </comment>
    <comment ref="T33" authorId="0" shapeId="0" xr:uid="{C1124D9F-8812-4438-AF02-5DA3FA35D345}">
      <text>
        <r>
          <rPr>
            <b/>
            <sz val="9"/>
            <color indexed="81"/>
            <rFont val="Tahoma"/>
            <family val="2"/>
          </rPr>
          <t>Andreas Helk | Viegand Maagøe:</t>
        </r>
        <r>
          <rPr>
            <sz val="9"/>
            <color indexed="81"/>
            <rFont val="Tahoma"/>
            <family val="2"/>
          </rPr>
          <t xml:space="preserve">
Assumed that the traditional heat pumps are prioritized first, so the Abs. heat pump potential is what is left.</t>
        </r>
      </text>
    </comment>
    <comment ref="T45" authorId="0" shapeId="0" xr:uid="{2EEFEC28-BEE2-4832-94EA-B979F2C2F4C1}">
      <text>
        <r>
          <rPr>
            <b/>
            <sz val="9"/>
            <color indexed="81"/>
            <rFont val="Tahoma"/>
            <family val="2"/>
          </rPr>
          <t>Andreas Helk | Viegand Maagøe:</t>
        </r>
        <r>
          <rPr>
            <sz val="9"/>
            <color indexed="81"/>
            <rFont val="Tahoma"/>
            <family val="2"/>
          </rPr>
          <t xml:space="preserve">
Assumed that the traditional heat pumps are prioritized first, so the Booster heat pump potential is what is left.</t>
        </r>
      </text>
    </comment>
    <comment ref="T183" authorId="0" shapeId="0" xr:uid="{048CE1DA-47F4-4F8D-A85A-1C5E0E4E5A72}">
      <text>
        <r>
          <rPr>
            <b/>
            <sz val="9"/>
            <color indexed="81"/>
            <rFont val="Tahoma"/>
            <family val="2"/>
          </rPr>
          <t>Andreas Helk | Viegand Maagøe:</t>
        </r>
        <r>
          <rPr>
            <sz val="9"/>
            <color indexed="81"/>
            <rFont val="Tahoma"/>
            <family val="2"/>
          </rPr>
          <t xml:space="preserve">
Not a part of the technology catalogue -  manual input</t>
        </r>
      </text>
    </comment>
    <comment ref="O187" authorId="2" shapeId="0" xr:uid="{2FF372C7-EE08-4D24-8269-ED178DE0875C}">
      <text>
        <r>
          <rPr>
            <b/>
            <sz val="9"/>
            <color indexed="81"/>
            <rFont val="Tahoma"/>
            <family val="2"/>
          </rPr>
          <t>Stefan Petrovic:</t>
        </r>
        <r>
          <rPr>
            <sz val="9"/>
            <color indexed="81"/>
            <rFont val="Tahoma"/>
            <family val="2"/>
          </rPr>
          <t xml:space="preserve">
=L6*0.95 was previously</t>
        </r>
      </text>
    </comment>
    <comment ref="O188" authorId="2" shapeId="0" xr:uid="{6CA5F1F1-936A-4671-83B1-7549555344A4}">
      <text>
        <r>
          <rPr>
            <b/>
            <sz val="9"/>
            <color indexed="81"/>
            <rFont val="Tahoma"/>
            <family val="2"/>
          </rPr>
          <t>Stefan Petrovic:</t>
        </r>
        <r>
          <rPr>
            <sz val="9"/>
            <color indexed="81"/>
            <rFont val="Tahoma"/>
            <family val="2"/>
          </rPr>
          <t xml:space="preserve">
=L6*0.95 was previously</t>
        </r>
      </text>
    </comment>
    <comment ref="O189" authorId="2" shapeId="0" xr:uid="{4D0177B0-40D9-46BC-9648-F93CA928F89D}">
      <text>
        <r>
          <rPr>
            <b/>
            <sz val="9"/>
            <color indexed="81"/>
            <rFont val="Tahoma"/>
            <family val="2"/>
          </rPr>
          <t>Stefan Petrovic:</t>
        </r>
        <r>
          <rPr>
            <sz val="9"/>
            <color indexed="81"/>
            <rFont val="Tahoma"/>
            <family val="2"/>
          </rPr>
          <t xml:space="preserve">
=L6*0.95 was previously</t>
        </r>
      </text>
    </comment>
    <comment ref="O190" authorId="2" shapeId="0" xr:uid="{AF81EE75-1FAF-424F-B5B0-7F15E7491F66}">
      <text>
        <r>
          <rPr>
            <b/>
            <sz val="9"/>
            <color indexed="81"/>
            <rFont val="Tahoma"/>
            <family val="2"/>
          </rPr>
          <t>Stefan Petrovic:</t>
        </r>
        <r>
          <rPr>
            <sz val="9"/>
            <color indexed="81"/>
            <rFont val="Tahoma"/>
            <family val="2"/>
          </rPr>
          <t xml:space="preserve">
=L6*0.95 was previously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T18" authorId="0" shapeId="0" xr:uid="{2DEBE107-3E14-42A7-B210-B21D307B41F3}">
      <text>
        <r>
          <rPr>
            <b/>
            <sz val="9"/>
            <color indexed="81"/>
            <rFont val="Tahoma"/>
            <family val="2"/>
          </rPr>
          <t>Andreas Helk | Viegand Maagøe:</t>
        </r>
        <r>
          <rPr>
            <sz val="9"/>
            <color indexed="81"/>
            <rFont val="Tahoma"/>
            <family val="2"/>
          </rPr>
          <t xml:space="preserve">
CCS cost american tech sheet</t>
        </r>
      </text>
    </comment>
    <comment ref="Z26" authorId="0" shapeId="0" xr:uid="{47F59E99-0E3D-4128-8CBF-7D07169E1647}">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26" authorId="0" shapeId="0" xr:uid="{EE3EB8F3-37A1-478E-AEA6-69F8E28A6F7D}">
      <text>
        <r>
          <rPr>
            <b/>
            <sz val="9"/>
            <color indexed="81"/>
            <rFont val="Tahoma"/>
            <family val="2"/>
          </rPr>
          <t>Andreas Helk | Viegand Maagøe:</t>
        </r>
        <r>
          <rPr>
            <sz val="9"/>
            <color indexed="81"/>
            <rFont val="Tahoma"/>
            <family val="2"/>
          </rPr>
          <t xml:space="preserve">
Consider looking into updating these</t>
        </r>
      </text>
    </comment>
    <comment ref="Z42" authorId="0" shapeId="0" xr:uid="{28D3DCED-6C0E-4F20-AF68-A479284DA881}">
      <text>
        <r>
          <rPr>
            <b/>
            <sz val="9"/>
            <color indexed="81"/>
            <rFont val="Tahoma"/>
            <family val="2"/>
          </rPr>
          <t>Andreas Helk | Viegand Maagøe:</t>
        </r>
        <r>
          <rPr>
            <sz val="9"/>
            <color indexed="81"/>
            <rFont val="Tahoma"/>
            <family val="2"/>
          </rPr>
          <t xml:space="preserve">
For heat pumps the COP value is loaded here for calculating the input shares. (* means that TIMES does not read the column)</t>
        </r>
      </text>
    </comment>
    <comment ref="AF42" authorId="0" shapeId="0" xr:uid="{33A1D648-AEFF-49AA-8FE2-4AF1AB12EEB6}">
      <text>
        <r>
          <rPr>
            <b/>
            <sz val="9"/>
            <color indexed="81"/>
            <rFont val="Tahoma"/>
            <family val="2"/>
          </rPr>
          <t>Andreas Helk | Viegand Maagøe:</t>
        </r>
        <r>
          <rPr>
            <sz val="9"/>
            <color indexed="81"/>
            <rFont val="Tahoma"/>
            <family val="2"/>
          </rPr>
          <t xml:space="preserve">
Consider looking into updating these</t>
        </r>
      </text>
    </comment>
    <comment ref="B47" authorId="0" shapeId="0" xr:uid="{1C973D77-B046-4AFF-9241-BD08DCA7AD32}">
      <text>
        <r>
          <rPr>
            <b/>
            <sz val="9"/>
            <color indexed="81"/>
            <rFont val="Tahoma"/>
            <family val="2"/>
          </rPr>
          <t>Andreas Helk | Viegand Maagøe:</t>
        </r>
        <r>
          <rPr>
            <sz val="9"/>
            <color indexed="81"/>
            <rFont val="Tahoma"/>
            <family val="2"/>
          </rPr>
          <t xml:space="preserve">
Has to be multiplied by the specific boiler efficiency</t>
        </r>
      </text>
    </comment>
    <comment ref="B49" authorId="0" shapeId="0" xr:uid="{1D458684-E550-4AC7-B5F7-5A71403FAEDA}">
      <text>
        <r>
          <rPr>
            <b/>
            <sz val="9"/>
            <color indexed="81"/>
            <rFont val="Tahoma"/>
            <family val="2"/>
          </rPr>
          <t>Andreas Helk | Viegand Maagøe:</t>
        </r>
        <r>
          <rPr>
            <sz val="9"/>
            <color indexed="81"/>
            <rFont val="Tahoma"/>
            <family val="2"/>
          </rPr>
          <t xml:space="preserve">
Has to be multiplied by the specific boiler efficiency</t>
        </r>
      </text>
    </comment>
    <comment ref="B50" authorId="0" shapeId="0" xr:uid="{75B2D9F5-6D3D-42FC-8071-4FC85B31FD33}">
      <text>
        <r>
          <rPr>
            <b/>
            <sz val="9"/>
            <color indexed="81"/>
            <rFont val="Tahoma"/>
            <family val="2"/>
          </rPr>
          <t>Andreas Helk | Viegand Maagøe:</t>
        </r>
        <r>
          <rPr>
            <sz val="9"/>
            <color indexed="81"/>
            <rFont val="Tahoma"/>
            <family val="2"/>
          </rPr>
          <t xml:space="preserve">
Has to be multiplied by the specific boiler efficiency</t>
        </r>
      </text>
    </comment>
    <comment ref="B127" authorId="0" shapeId="0" xr:uid="{F7617E7B-B728-4B4C-9210-AA12EEDF89A4}">
      <text>
        <r>
          <rPr>
            <b/>
            <sz val="9"/>
            <color indexed="81"/>
            <rFont val="Tahoma"/>
            <family val="2"/>
          </rPr>
          <t>Andreas Helk | Viegand Maagøe:</t>
        </r>
        <r>
          <rPr>
            <sz val="9"/>
            <color indexed="81"/>
            <rFont val="Tahoma"/>
            <family val="2"/>
          </rPr>
          <t xml:space="preserve">
Has to be multiplied by the specific boiler efficiency</t>
        </r>
      </text>
    </comment>
    <comment ref="B129" authorId="0" shapeId="0" xr:uid="{E60E626E-454B-4E77-8868-D1B3B71C01F3}">
      <text>
        <r>
          <rPr>
            <b/>
            <sz val="9"/>
            <color indexed="81"/>
            <rFont val="Tahoma"/>
            <family val="2"/>
          </rPr>
          <t>Andreas Helk | Viegand Maagøe:</t>
        </r>
        <r>
          <rPr>
            <sz val="9"/>
            <color indexed="81"/>
            <rFont val="Tahoma"/>
            <family val="2"/>
          </rPr>
          <t xml:space="preserve">
Has to be multiplied by the specific boiler efficiency</t>
        </r>
      </text>
    </comment>
    <comment ref="B130" authorId="0" shapeId="0" xr:uid="{7FB79CBA-0626-4B82-92BC-136734098C9C}">
      <text>
        <r>
          <rPr>
            <b/>
            <sz val="9"/>
            <color indexed="81"/>
            <rFont val="Tahoma"/>
            <family val="2"/>
          </rPr>
          <t>Andreas Helk | Viegand Maagøe:</t>
        </r>
        <r>
          <rPr>
            <sz val="9"/>
            <color indexed="81"/>
            <rFont val="Tahoma"/>
            <family val="2"/>
          </rPr>
          <t xml:space="preserve">
Has to be multiplied by the specific boiler efficiency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Andreas Helk | Viegand Maagøe</author>
  </authors>
  <commentList>
    <comment ref="O38" authorId="0" shapeId="0" xr:uid="{6A307809-B988-454B-B65C-5236303557B0}">
      <text>
        <r>
          <rPr>
            <b/>
            <sz val="9"/>
            <color indexed="81"/>
            <rFont val="Tahoma"/>
            <family val="2"/>
          </rPr>
          <t>Andreas Helk | Viegand Maagøe:</t>
        </r>
        <r>
          <rPr>
            <sz val="9"/>
            <color indexed="81"/>
            <rFont val="Tahoma"/>
            <family val="2"/>
          </rPr>
          <t xml:space="preserve">
Weighted average of the different temperature levels, and their potential in the food sector.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Stefan Petrovic</author>
  </authors>
  <commentList>
    <comment ref="L9" authorId="0" shapeId="0" xr:uid="{00000000-0006-0000-2600-000001000000}">
      <text>
        <r>
          <rPr>
            <b/>
            <sz val="9"/>
            <color indexed="81"/>
            <rFont val="Tahoma"/>
            <family val="2"/>
          </rPr>
          <t>Stefan Petrovic:</t>
        </r>
        <r>
          <rPr>
            <sz val="9"/>
            <color indexed="81"/>
            <rFont val="Tahoma"/>
            <family val="2"/>
          </rPr>
          <t xml:space="preserve">
Danish Technology Catalogue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7" authorId="0" shapeId="0" xr:uid="{DA616BE4-01B6-42A2-8A44-6F6F98FBDECE}">
      <text>
        <r>
          <rPr>
            <b/>
            <sz val="9"/>
            <color indexed="81"/>
            <rFont val="Tahoma"/>
            <family val="2"/>
          </rPr>
          <t>Rikke Næraa:</t>
        </r>
        <r>
          <rPr>
            <sz val="9"/>
            <color indexed="81"/>
            <rFont val="Tahoma"/>
            <family val="2"/>
          </rPr>
          <t xml:space="preserve">
It is assumed that the unit should be (€/unit/year)</t>
        </r>
      </text>
    </comment>
    <comment ref="B54" authorId="0" shapeId="0" xr:uid="{A415CB73-E8CF-4ADE-A9A5-9C820F1ED6A7}">
      <text>
        <r>
          <rPr>
            <b/>
            <sz val="9"/>
            <color indexed="81"/>
            <rFont val="Tahoma"/>
            <family val="2"/>
          </rPr>
          <t>Rikke Næraa:</t>
        </r>
        <r>
          <rPr>
            <sz val="9"/>
            <color indexed="81"/>
            <rFont val="Tahoma"/>
            <family val="2"/>
          </rPr>
          <t xml:space="preserve">
It is assumed that the unit should be (€/unit/year), but then the cost become rather low compared to for single family houses
</t>
        </r>
      </text>
    </comment>
    <comment ref="B81" authorId="0" shapeId="0" xr:uid="{0485CF9B-DE2B-40BE-A0B0-2CF0F5129C55}">
      <text>
        <r>
          <rPr>
            <b/>
            <sz val="9"/>
            <color indexed="81"/>
            <rFont val="Tahoma"/>
            <family val="2"/>
          </rPr>
          <t>Rikke Næraa:</t>
        </r>
        <r>
          <rPr>
            <sz val="9"/>
            <color indexed="81"/>
            <rFont val="Tahoma"/>
            <family val="2"/>
          </rPr>
          <t xml:space="preserve">
same coments as for fossil fuel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C32" authorId="0" shapeId="0" xr:uid="{00000000-0006-0000-1100-000001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D32" authorId="0" shapeId="0" xr:uid="{00000000-0006-0000-1100-000002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E32" authorId="0" shapeId="0" xr:uid="{00000000-0006-0000-1100-000003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 ref="F32" authorId="0" shapeId="0" xr:uid="{00000000-0006-0000-1100-000004000000}">
      <text>
        <r>
          <rPr>
            <b/>
            <sz val="9"/>
            <color indexed="81"/>
            <rFont val="Tahoma"/>
            <family val="2"/>
          </rPr>
          <t>Rikke Næraa:</t>
        </r>
        <r>
          <rPr>
            <sz val="9"/>
            <color indexed="81"/>
            <rFont val="Tahoma"/>
            <family val="2"/>
          </rPr>
          <t xml:space="preserve">
Assume 20.000kWh heatproduction equals 20.000/1000k/M*3.6MWh/PJ=72 GJ - Has been changed to 50 GJ because thats what is used in the EBM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1" authorId="0" shapeId="0" xr:uid="{00000000-0006-0000-13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D22" authorId="0" shapeId="0" xr:uid="{00000000-0006-0000-1400-000001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 ref="B53" authorId="0" shapeId="0" xr:uid="{00000000-0006-0000-1400-000002000000}">
      <text>
        <r>
          <rPr>
            <b/>
            <sz val="9"/>
            <color indexed="81"/>
            <rFont val="Tahoma"/>
            <family val="2"/>
          </rPr>
          <t>Rikke Næraa:</t>
        </r>
        <r>
          <rPr>
            <sz val="9"/>
            <color indexed="81"/>
            <rFont val="Tahoma"/>
            <family val="2"/>
          </rPr>
          <t xml:space="preserve">
Strange that the additional cost is increasing in the future?</t>
        </r>
      </text>
    </comment>
    <comment ref="D76" authorId="0" shapeId="0" xr:uid="{00000000-0006-0000-1400-000003000000}">
      <text>
        <r>
          <rPr>
            <b/>
            <sz val="9"/>
            <color indexed="81"/>
            <rFont val="Tahoma"/>
            <family val="2"/>
          </rPr>
          <t>Rikke Næraa:</t>
        </r>
        <r>
          <rPr>
            <sz val="9"/>
            <color indexed="81"/>
            <rFont val="Tahoma"/>
            <family val="2"/>
          </rPr>
          <t xml:space="preserve">
not logical that the technoligy becames more and more expencive for the small it could maybe be explaned by the smaller size but for the larger ?</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B29" authorId="0" shapeId="0" xr:uid="{00000000-0006-0000-1A00-000001000000}">
      <text>
        <r>
          <rPr>
            <b/>
            <sz val="9"/>
            <color indexed="81"/>
            <rFont val="Tahoma"/>
            <family val="2"/>
          </rPr>
          <t>Rikke Næraa:</t>
        </r>
        <r>
          <rPr>
            <sz val="9"/>
            <color indexed="81"/>
            <rFont val="Tahoma"/>
            <family val="2"/>
          </rPr>
          <t xml:space="preserve">
possible additionel specific investment not included</t>
        </r>
      </text>
    </comment>
    <comment ref="B30" authorId="0" shapeId="0" xr:uid="{00000000-0006-0000-1A00-000002000000}">
      <text>
        <r>
          <rPr>
            <b/>
            <sz val="9"/>
            <color indexed="81"/>
            <rFont val="Tahoma"/>
            <family val="2"/>
          </rPr>
          <t>Rikke Næraa:</t>
        </r>
        <r>
          <rPr>
            <sz val="9"/>
            <color indexed="81"/>
            <rFont val="Tahoma"/>
            <family val="2"/>
          </rPr>
          <t xml:space="preserve">
possible additionel specific investment not included</t>
        </r>
      </text>
    </comment>
    <comment ref="B56" authorId="0" shapeId="0" xr:uid="{00000000-0006-0000-1A00-000003000000}">
      <text>
        <r>
          <rPr>
            <b/>
            <sz val="9"/>
            <color indexed="81"/>
            <rFont val="Tahoma"/>
            <family val="2"/>
          </rPr>
          <t>Rikke Næraa:</t>
        </r>
        <r>
          <rPr>
            <sz val="9"/>
            <color indexed="81"/>
            <rFont val="Tahoma"/>
            <family val="2"/>
          </rPr>
          <t xml:space="preserve">
possible additionel specific investment not included</t>
        </r>
      </text>
    </comment>
    <comment ref="B57" authorId="0" shapeId="0" xr:uid="{00000000-0006-0000-1A00-000004000000}">
      <text>
        <r>
          <rPr>
            <b/>
            <sz val="9"/>
            <color indexed="81"/>
            <rFont val="Tahoma"/>
            <family val="2"/>
          </rPr>
          <t>Rikke Næraa:</t>
        </r>
        <r>
          <rPr>
            <sz val="9"/>
            <color indexed="81"/>
            <rFont val="Tahoma"/>
            <family val="2"/>
          </rPr>
          <t xml:space="preserve">
possible additionel specific investment not included</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I5" authorId="0" shapeId="0" xr:uid="{00000000-0006-0000-2F00-000001000000}">
      <text>
        <r>
          <rPr>
            <b/>
            <sz val="9"/>
            <color indexed="81"/>
            <rFont val="Tahoma"/>
            <family val="2"/>
          </rPr>
          <t>Iben Moll Rasmussen:</t>
        </r>
        <r>
          <rPr>
            <sz val="9"/>
            <color indexed="81"/>
            <rFont val="Tahoma"/>
            <family val="2"/>
          </rPr>
          <t xml:space="preserve">
What does this mean?</t>
        </r>
      </text>
    </comment>
    <comment ref="I6" authorId="1" shapeId="0" xr:uid="{00000000-0006-0000-2F00-000002000000}">
      <text>
        <r>
          <rPr>
            <b/>
            <sz val="9"/>
            <color indexed="81"/>
            <rFont val="Tahoma"/>
            <family val="2"/>
          </rPr>
          <t>Mikkel Bosack Simonsen:</t>
        </r>
        <r>
          <rPr>
            <sz val="9"/>
            <color indexed="81"/>
            <rFont val="Tahoma"/>
            <family val="2"/>
          </rPr>
          <t xml:space="preserve">
asummed similar to ELC HP with ambient temperature
</t>
        </r>
      </text>
    </comment>
    <comment ref="J6" authorId="1" shapeId="0" xr:uid="{00000000-0006-0000-2F00-000003000000}">
      <text>
        <r>
          <rPr>
            <b/>
            <sz val="9"/>
            <color indexed="81"/>
            <rFont val="Tahoma"/>
            <family val="2"/>
          </rPr>
          <t>Mikkel Bosack Simonsen:</t>
        </r>
        <r>
          <rPr>
            <sz val="9"/>
            <color indexed="81"/>
            <rFont val="Tahoma"/>
            <family val="2"/>
          </rPr>
          <t xml:space="preserve">
asummed similar to ELC HP with ambient temperature</t>
        </r>
      </text>
    </comment>
    <comment ref="K6" authorId="1" shapeId="0" xr:uid="{00000000-0006-0000-2F00-000004000000}">
      <text>
        <r>
          <rPr>
            <b/>
            <sz val="9"/>
            <color indexed="81"/>
            <rFont val="Tahoma"/>
            <family val="2"/>
          </rPr>
          <t>Mikkel Bosack Simonsen:</t>
        </r>
        <r>
          <rPr>
            <sz val="9"/>
            <color indexed="81"/>
            <rFont val="Tahoma"/>
            <family val="2"/>
          </rPr>
          <t xml:space="preserve">
asummed similar to ELC HP with ambient temperature</t>
        </r>
      </text>
    </comment>
    <comment ref="I10" authorId="1" shapeId="0" xr:uid="{00000000-0006-0000-2F00-000005000000}">
      <text>
        <r>
          <rPr>
            <b/>
            <sz val="9"/>
            <color indexed="81"/>
            <rFont val="Tahoma"/>
            <family val="2"/>
          </rPr>
          <t>Mikkel Bosack Simonsen:</t>
        </r>
        <r>
          <rPr>
            <sz val="9"/>
            <color indexed="81"/>
            <rFont val="Tahoma"/>
            <family val="2"/>
          </rPr>
          <t xml:space="preserve">
asummed similar to ELC HP with ambient temperature
</t>
        </r>
      </text>
    </comment>
    <comment ref="J10" authorId="1" shapeId="0" xr:uid="{00000000-0006-0000-2F00-000006000000}">
      <text>
        <r>
          <rPr>
            <b/>
            <sz val="9"/>
            <color indexed="81"/>
            <rFont val="Tahoma"/>
            <family val="2"/>
          </rPr>
          <t>Mikkel Bosack Simonsen:</t>
        </r>
        <r>
          <rPr>
            <sz val="9"/>
            <color indexed="81"/>
            <rFont val="Tahoma"/>
            <family val="2"/>
          </rPr>
          <t xml:space="preserve">
asummed similar to ELC HP with ambient temperature</t>
        </r>
      </text>
    </comment>
    <comment ref="K10" authorId="1" shapeId="0" xr:uid="{00000000-0006-0000-2F00-000007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Iben Moll Rasmussen</author>
    <author>Mikkel Bosack Simonsen</author>
  </authors>
  <commentList>
    <comment ref="J5" authorId="0" shapeId="0" xr:uid="{00000000-0006-0000-3000-000001000000}">
      <text>
        <r>
          <rPr>
            <b/>
            <sz val="9"/>
            <color indexed="81"/>
            <rFont val="Tahoma"/>
            <family val="2"/>
          </rPr>
          <t>Iben Moll Rasmussen:</t>
        </r>
        <r>
          <rPr>
            <sz val="9"/>
            <color indexed="81"/>
            <rFont val="Tahoma"/>
            <family val="2"/>
          </rPr>
          <t xml:space="preserve">
What does this mean?</t>
        </r>
      </text>
    </comment>
    <comment ref="J6" authorId="1" shapeId="0" xr:uid="{00000000-0006-0000-3000-000002000000}">
      <text>
        <r>
          <rPr>
            <b/>
            <sz val="9"/>
            <color indexed="81"/>
            <rFont val="Tahoma"/>
            <family val="2"/>
          </rPr>
          <t>Mikkel Bosack Simonsen:</t>
        </r>
        <r>
          <rPr>
            <sz val="9"/>
            <color indexed="81"/>
            <rFont val="Tahoma"/>
            <family val="2"/>
          </rPr>
          <t xml:space="preserve">
asummed similar to ELC HP with ambient temperature
</t>
        </r>
      </text>
    </comment>
    <comment ref="K6" authorId="1" shapeId="0" xr:uid="{00000000-0006-0000-3000-000003000000}">
      <text>
        <r>
          <rPr>
            <b/>
            <sz val="9"/>
            <color indexed="81"/>
            <rFont val="Tahoma"/>
            <family val="2"/>
          </rPr>
          <t>Mikkel Bosack Simonsen:</t>
        </r>
        <r>
          <rPr>
            <sz val="9"/>
            <color indexed="81"/>
            <rFont val="Tahoma"/>
            <family val="2"/>
          </rPr>
          <t xml:space="preserve">
asummed similar to ELC HP with ambient temperature</t>
        </r>
      </text>
    </comment>
    <comment ref="L6" authorId="1" shapeId="0" xr:uid="{00000000-0006-0000-3000-000004000000}">
      <text>
        <r>
          <rPr>
            <b/>
            <sz val="9"/>
            <color indexed="81"/>
            <rFont val="Tahoma"/>
            <family val="2"/>
          </rPr>
          <t>Mikkel Bosack Simonsen:</t>
        </r>
        <r>
          <rPr>
            <sz val="9"/>
            <color indexed="81"/>
            <rFont val="Tahoma"/>
            <family val="2"/>
          </rPr>
          <t xml:space="preserve">
asummed similar to ELC HP with ambient temperature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1" type="6" refreshedVersion="4" background="1" saveData="1">
    <textPr codePage="65001" sourceFile="\\dtu-storage\stpet\Documents\Stefan\BBR\Waste heat\DHareas.csv" comma="1">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<sst xmlns="http://schemas.openxmlformats.org/spreadsheetml/2006/main" count="24304" uniqueCount="2129">
  <si>
    <t>Technology</t>
  </si>
  <si>
    <t>One-family house, existing building</t>
  </si>
  <si>
    <t>Note</t>
  </si>
  <si>
    <t>Ref</t>
  </si>
  <si>
    <t>Energy/technical data</t>
  </si>
  <si>
    <t>Heat production capacity for one unit (kW)</t>
  </si>
  <si>
    <t>A</t>
  </si>
  <si>
    <t>Expected share of space heating demand covered by unit (%)</t>
  </si>
  <si>
    <t>Expected share of hot tap water demand covered by unit (%)</t>
  </si>
  <si>
    <t>Total efficiency, annual average, net (%)</t>
  </si>
  <si>
    <t>1, 2, 3, 4</t>
  </si>
  <si>
    <t>Technical lifetime (years)</t>
  </si>
  <si>
    <t>Environment</t>
  </si>
  <si>
    <r>
      <t>SO</t>
    </r>
    <r>
      <rPr>
        <vertAlign val="subscript"/>
        <sz val="9"/>
        <color indexed="8"/>
        <rFont val="Arial"/>
        <family val="2"/>
      </rPr>
      <t>2</t>
    </r>
    <r>
      <rPr>
        <sz val="9"/>
        <color indexed="8"/>
        <rFont val="Arial"/>
        <family val="2"/>
      </rPr>
      <t xml:space="preserve"> (g per GJ fuel)</t>
    </r>
  </si>
  <si>
    <t>B, E</t>
  </si>
  <si>
    <r>
      <t>NO</t>
    </r>
    <r>
      <rPr>
        <vertAlign val="subscript"/>
        <sz val="9"/>
        <color indexed="8"/>
        <rFont val="Arial"/>
        <family val="2"/>
      </rPr>
      <t>X</t>
    </r>
    <r>
      <rPr>
        <sz val="9"/>
        <color indexed="8"/>
        <rFont val="Arial"/>
        <family val="2"/>
      </rPr>
      <t xml:space="preserve"> (g per GJ fuel)</t>
    </r>
  </si>
  <si>
    <t>C</t>
  </si>
  <si>
    <r>
      <t>CH</t>
    </r>
    <r>
      <rPr>
        <vertAlign val="subscript"/>
        <sz val="9"/>
        <color indexed="8"/>
        <rFont val="Arial"/>
        <family val="2"/>
      </rPr>
      <t>4</t>
    </r>
    <r>
      <rPr>
        <sz val="9"/>
        <color indexed="8"/>
        <rFont val="Arial"/>
        <family val="2"/>
      </rPr>
      <t xml:space="preserve"> (g per GJ fuel)</t>
    </r>
  </si>
  <si>
    <r>
      <t>N</t>
    </r>
    <r>
      <rPr>
        <vertAlign val="subscript"/>
        <sz val="9"/>
        <color indexed="8"/>
        <rFont val="Arial"/>
        <family val="2"/>
      </rPr>
      <t>2</t>
    </r>
    <r>
      <rPr>
        <sz val="9"/>
        <color indexed="8"/>
        <rFont val="Arial"/>
        <family val="2"/>
      </rPr>
      <t>O (g per GJ fuel)</t>
    </r>
  </si>
  <si>
    <t>Particles (g per GJ fuel)</t>
  </si>
  <si>
    <t>D</t>
  </si>
  <si>
    <t>5, 6</t>
  </si>
  <si>
    <t>Financial data</t>
  </si>
  <si>
    <t>Specific investment (1000€/kW)</t>
  </si>
  <si>
    <t>Specific investment (1000€/unit)</t>
  </si>
  <si>
    <t>F</t>
  </si>
  <si>
    <t>- hereof equipment (%)</t>
  </si>
  <si>
    <t>70</t>
  </si>
  <si>
    <t>- hereof installation (%)</t>
  </si>
  <si>
    <t>30</t>
  </si>
  <si>
    <t>Possible additional specific investment  (1000€/unit)</t>
  </si>
  <si>
    <t>Variable O&amp;M (€/GJ)</t>
  </si>
  <si>
    <t>Apartment complex, existing building</t>
  </si>
  <si>
    <t>G</t>
  </si>
  <si>
    <t>One-family house, new building</t>
  </si>
  <si>
    <t>Apartment complex, new building</t>
  </si>
  <si>
    <t>-</t>
  </si>
  <si>
    <t>Natural gas boiler</t>
  </si>
  <si>
    <t>One-family house, existing and new building</t>
  </si>
  <si>
    <t>100-104</t>
  </si>
  <si>
    <t>Electricity consumption (kWh/year)</t>
  </si>
  <si>
    <t>80-200</t>
  </si>
  <si>
    <t>40-120</t>
  </si>
  <si>
    <t>20-80</t>
  </si>
  <si>
    <t>?</t>
  </si>
  <si>
    <t>B, C</t>
  </si>
  <si>
    <t>D, E</t>
  </si>
  <si>
    <t>45</t>
  </si>
  <si>
    <t>55</t>
  </si>
  <si>
    <t>K</t>
  </si>
  <si>
    <t>Fixed O&amp;M (€/kW/year)</t>
  </si>
  <si>
    <t>H</t>
  </si>
  <si>
    <t>I</t>
  </si>
  <si>
    <t>Apartment complex, existing and new building</t>
  </si>
  <si>
    <t>20-750</t>
  </si>
  <si>
    <t>J</t>
  </si>
  <si>
    <t>50-85</t>
  </si>
  <si>
    <t>15-50</t>
  </si>
  <si>
    <t>District heating substation</t>
  </si>
  <si>
    <t>B</t>
  </si>
  <si>
    <t>1.5-3.5</t>
  </si>
  <si>
    <t>2, 3, 4</t>
  </si>
  <si>
    <t>20-25</t>
  </si>
  <si>
    <t>75-80</t>
  </si>
  <si>
    <t>Fixed O&amp;M (€/unit/year)</t>
  </si>
  <si>
    <t>2, 4</t>
  </si>
  <si>
    <t>Biomass boiler, automatic stoking</t>
  </si>
  <si>
    <t>4, 5</t>
  </si>
  <si>
    <t>NA</t>
  </si>
  <si>
    <t>2, 5</t>
  </si>
  <si>
    <t>2.5-11</t>
  </si>
  <si>
    <t>- hereof equipment (1000€/unit)</t>
  </si>
  <si>
    <t>2-10</t>
  </si>
  <si>
    <t>- hereof installation (1000€/unit)</t>
  </si>
  <si>
    <t>0.5-1</t>
  </si>
  <si>
    <t>D, F</t>
  </si>
  <si>
    <t>E</t>
  </si>
  <si>
    <t>100-1000</t>
  </si>
  <si>
    <t>Biomass boiler, manual stoking</t>
  </si>
  <si>
    <t>3</t>
  </si>
  <si>
    <t>1.5</t>
  </si>
  <si>
    <t xml:space="preserve">D </t>
  </si>
  <si>
    <t>Wood stove without water tank</t>
  </si>
  <si>
    <t>1.5-9</t>
  </si>
  <si>
    <t>1.5-6</t>
  </si>
  <si>
    <t>20-60</t>
  </si>
  <si>
    <t>2</t>
  </si>
  <si>
    <t>- hereof installation (%1000€/unit)</t>
  </si>
  <si>
    <t>0.6</t>
  </si>
  <si>
    <t>Wood stove with water tank</t>
  </si>
  <si>
    <t>1.5-4</t>
  </si>
  <si>
    <t>1.5-3</t>
  </si>
  <si>
    <t>20-70</t>
  </si>
  <si>
    <t>Heat pump, air-to-air</t>
  </si>
  <si>
    <t>1, 2</t>
  </si>
  <si>
    <t>80</t>
  </si>
  <si>
    <t xml:space="preserve">- hereof installation (%) </t>
  </si>
  <si>
    <t>20</t>
  </si>
  <si>
    <t>For electric heat pumps,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</si>
  <si>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Heat pump, air-to-water</t>
  </si>
  <si>
    <t>Expected share of space heating demand covered by the heat pump unit (%)</t>
  </si>
  <si>
    <t>Expected share of hot tap water demand covered by the heat pump unit (%)</t>
  </si>
  <si>
    <t>A,B</t>
  </si>
  <si>
    <t>1, 2, 3, 4, 6, 7</t>
  </si>
  <si>
    <t>A, B, E</t>
  </si>
  <si>
    <t>1, 2, 5</t>
  </si>
  <si>
    <t>85</t>
  </si>
  <si>
    <t>15</t>
  </si>
  <si>
    <t>50-750</t>
  </si>
  <si>
    <t>A, B</t>
  </si>
  <si>
    <t>20-300</t>
  </si>
  <si>
    <t>Heat pump, brine-to-water</t>
  </si>
  <si>
    <t>A, B, D, E, G</t>
  </si>
  <si>
    <t>Possible additional specific investment  (1000€/kW)</t>
  </si>
  <si>
    <t>A, B, D, E</t>
  </si>
  <si>
    <t>75</t>
  </si>
  <si>
    <t>25</t>
  </si>
  <si>
    <t>Heat pump, ventilation</t>
  </si>
  <si>
    <t>1, 2, 4</t>
  </si>
  <si>
    <t>C, D</t>
  </si>
  <si>
    <t>90</t>
  </si>
  <si>
    <t>10</t>
  </si>
  <si>
    <t>14-200</t>
  </si>
  <si>
    <t>Solar heating system</t>
  </si>
  <si>
    <r>
      <t>Typical size per unit (m</t>
    </r>
    <r>
      <rPr>
        <vertAlign val="superscript"/>
        <sz val="9"/>
        <color indexed="8"/>
        <rFont val="Arial"/>
        <family val="2"/>
      </rPr>
      <t>2</t>
    </r>
    <r>
      <rPr>
        <sz val="9"/>
        <color indexed="8"/>
        <rFont val="Arial"/>
        <family val="2"/>
      </rPr>
      <t>)</t>
    </r>
  </si>
  <si>
    <t>Typical size per unit (kW)</t>
  </si>
  <si>
    <t>2, 6</t>
  </si>
  <si>
    <r>
      <t>Specific investment (1000€/m</t>
    </r>
    <r>
      <rPr>
        <vertAlign val="superscript"/>
        <sz val="9"/>
        <color indexed="8"/>
        <rFont val="Arial"/>
        <family val="2"/>
      </rPr>
      <t>2</t>
    </r>
    <r>
      <rPr>
        <sz val="9"/>
        <color indexed="8"/>
        <rFont val="Arial"/>
        <family val="2"/>
      </rPr>
      <t>)</t>
    </r>
  </si>
  <si>
    <t>1, 8, 9, 10</t>
  </si>
  <si>
    <t>9, 1</t>
  </si>
  <si>
    <t>Variable O&amp;M (€/unit/year)</t>
  </si>
  <si>
    <t>Electric heating</t>
  </si>
  <si>
    <t>B, D</t>
  </si>
  <si>
    <t>For electric heating, the emissions depend on how the electricity is produced. Emission factors for electricity in Denmark can for instance be found in socio-economic assumptions for energy projects published by the Danish Energy Authority (www.ens.dk - Fremskrivninger - Samfundsøkonomiske beregningsforudsætnigner).</t>
  </si>
  <si>
    <t>Micro CHP - Natural gas fuel cell</t>
  </si>
  <si>
    <t>1.5-20</t>
  </si>
  <si>
    <t>1, 2, 3</t>
  </si>
  <si>
    <t>Electricity generation capacity for one unit (kW)</t>
  </si>
  <si>
    <t>0.7-1.5</t>
  </si>
  <si>
    <t>50-100</t>
  </si>
  <si>
    <t>30/40-100</t>
  </si>
  <si>
    <t>D, G, I</t>
  </si>
  <si>
    <t>Electric efficiency, annual average, net (%)</t>
  </si>
  <si>
    <t>35-40</t>
  </si>
  <si>
    <t>40-50</t>
  </si>
  <si>
    <t>40-55</t>
  </si>
  <si>
    <t>Heat efficiency, annual average, net (%)</t>
  </si>
  <si>
    <t>50-60</t>
  </si>
  <si>
    <t>50-55</t>
  </si>
  <si>
    <t>85-90</t>
  </si>
  <si>
    <t>95-100</t>
  </si>
  <si>
    <t>95-102</t>
  </si>
  <si>
    <t>&gt; 7</t>
  </si>
  <si>
    <t>&gt; 10</t>
  </si>
  <si>
    <t>1, 4, 7</t>
  </si>
  <si>
    <t>0.5 - 2</t>
  </si>
  <si>
    <t>1, 5</t>
  </si>
  <si>
    <t>0.5-4.5</t>
  </si>
  <si>
    <t>Micro CHP - Hydrogen fuel cell</t>
  </si>
  <si>
    <t>50-70</t>
  </si>
  <si>
    <t>45-50</t>
  </si>
  <si>
    <t>48-53</t>
  </si>
  <si>
    <t>52-57</t>
  </si>
  <si>
    <t>35-45</t>
  </si>
  <si>
    <t>38-50</t>
  </si>
  <si>
    <t>90-98</t>
  </si>
  <si>
    <t>C, E</t>
  </si>
  <si>
    <t>Efficiency in electrolyzer, annual average, net (%)</t>
  </si>
  <si>
    <t>60-80</t>
  </si>
  <si>
    <t>75-90</t>
  </si>
  <si>
    <t>80-97</t>
  </si>
  <si>
    <t>65</t>
  </si>
  <si>
    <t>35</t>
  </si>
  <si>
    <t>The emissions from hydrogen fuel cell micro CHP units depend on how the electricity used for hydrogen production in the electrolyzer is produced. If the electricity is "surplus electricity" from e.g. wind power, the emissions are zero. For average Danish emission factors for electricity, see www.ens.dk - Fremskrivninger - Samfundsøkonomiske beregningsforudsætnigner</t>
  </si>
  <si>
    <t>Micro CHP - Stirling engine</t>
  </si>
  <si>
    <t>70-90</t>
  </si>
  <si>
    <t>75-85</t>
  </si>
  <si>
    <t>87-92</t>
  </si>
  <si>
    <t>89-99</t>
  </si>
  <si>
    <t>91-106</t>
  </si>
  <si>
    <t>15-25</t>
  </si>
  <si>
    <t>80-100</t>
  </si>
  <si>
    <t>70-100</t>
  </si>
  <si>
    <t>&gt; 15</t>
  </si>
  <si>
    <t>Mini CHP - Stirling engine</t>
  </si>
  <si>
    <t>A, D, E</t>
  </si>
  <si>
    <t>30-50</t>
  </si>
  <si>
    <t>0.6-0.8</t>
  </si>
  <si>
    <t>Apartment complex, (existing) and new buildings</t>
  </si>
  <si>
    <t>Micro CHP - Gas engine</t>
  </si>
  <si>
    <t>60-85</t>
  </si>
  <si>
    <t>40-60</t>
  </si>
  <si>
    <t>40-65</t>
  </si>
  <si>
    <t>70-75</t>
  </si>
  <si>
    <t>1.0-1.2</t>
  </si>
  <si>
    <t>Mini CHP - Gas engine</t>
  </si>
  <si>
    <t>25-300</t>
  </si>
  <si>
    <t>10-180</t>
  </si>
  <si>
    <t>12-200</t>
  </si>
  <si>
    <t>15-220</t>
  </si>
  <si>
    <t>70-85</t>
  </si>
  <si>
    <t>28-36</t>
  </si>
  <si>
    <t>30-38</t>
  </si>
  <si>
    <t>32-40</t>
  </si>
  <si>
    <t>55-60</t>
  </si>
  <si>
    <t>55-62</t>
  </si>
  <si>
    <t>55-64</t>
  </si>
  <si>
    <t>88-91</t>
  </si>
  <si>
    <t>92-94</t>
  </si>
  <si>
    <t>95-96</t>
  </si>
  <si>
    <t>20-100</t>
  </si>
  <si>
    <t>80-760</t>
  </si>
  <si>
    <t>50-500</t>
  </si>
  <si>
    <t>30-250</t>
  </si>
  <si>
    <t>0.4-0.8</t>
  </si>
  <si>
    <t>&lt; 0.5</t>
  </si>
  <si>
    <t>25-120</t>
  </si>
  <si>
    <t>70-80</t>
  </si>
  <si>
    <t>20-30</t>
  </si>
  <si>
    <t>0.7-1.0</t>
  </si>
  <si>
    <t>75-95</t>
  </si>
  <si>
    <t>40-70</t>
  </si>
  <si>
    <t>45-80</t>
  </si>
  <si>
    <t>Total efficiency, annual</t>
  </si>
  <si>
    <t>10-150</t>
  </si>
  <si>
    <t>4-100</t>
  </si>
  <si>
    <t>5-110</t>
  </si>
  <si>
    <t>6-120</t>
  </si>
  <si>
    <t>24-34</t>
  </si>
  <si>
    <t>26-36</t>
  </si>
  <si>
    <t>28-38</t>
  </si>
  <si>
    <t>55-65</t>
  </si>
  <si>
    <t>55-68</t>
  </si>
  <si>
    <t>55-70</t>
  </si>
  <si>
    <t>88-90</t>
  </si>
  <si>
    <t>91-94</t>
  </si>
  <si>
    <t>93-98</t>
  </si>
  <si>
    <t>12-100</t>
  </si>
  <si>
    <t>Conventional DH network - existing building area</t>
  </si>
  <si>
    <r>
      <t>Heat density an consumer (TJ/km</t>
    </r>
    <r>
      <rPr>
        <vertAlign val="superscript"/>
        <sz val="9"/>
        <color indexed="8"/>
        <rFont val="Arial"/>
        <family val="2"/>
      </rPr>
      <t>2</t>
    </r>
    <r>
      <rPr>
        <sz val="9"/>
        <color indexed="8"/>
        <rFont val="Arial"/>
        <family val="2"/>
      </rPr>
      <t xml:space="preserve"> land area)</t>
    </r>
  </si>
  <si>
    <t>Net loss (%)</t>
  </si>
  <si>
    <r>
      <t>Heat density ab plant (TJ/km</t>
    </r>
    <r>
      <rPr>
        <vertAlign val="superscript"/>
        <sz val="9"/>
        <color indexed="8"/>
        <rFont val="Arial"/>
        <family val="2"/>
      </rPr>
      <t>2</t>
    </r>
    <r>
      <rPr>
        <sz val="9"/>
        <color indexed="8"/>
        <rFont val="Arial"/>
        <family val="2"/>
      </rPr>
      <t xml:space="preserve"> land area)</t>
    </r>
  </si>
  <si>
    <t>Pump energy (MWh/TJ/year)</t>
  </si>
  <si>
    <t>0.2-4</t>
  </si>
  <si>
    <t>Investment costs (1,000 € per TJ)</t>
  </si>
  <si>
    <t>18-22</t>
  </si>
  <si>
    <t>Fixed O&amp;M (€/TJ/year)</t>
  </si>
  <si>
    <t>Low-temperature DH network - existing building area</t>
  </si>
  <si>
    <t>13-16</t>
  </si>
  <si>
    <t>54-56</t>
  </si>
  <si>
    <t>135-155</t>
  </si>
  <si>
    <t>1000-1200</t>
  </si>
  <si>
    <t>Conventional DH network - new building area</t>
  </si>
  <si>
    <t>20-48</t>
  </si>
  <si>
    <t>27-37</t>
  </si>
  <si>
    <t>28-72</t>
  </si>
  <si>
    <t>0.5-2</t>
  </si>
  <si>
    <t>100-160</t>
  </si>
  <si>
    <t>800-1,350</t>
  </si>
  <si>
    <r>
      <t>Low</t>
    </r>
    <r>
      <rPr>
        <sz val="9"/>
        <color indexed="8"/>
        <rFont val="Arial"/>
        <family val="2"/>
      </rPr>
      <t>-</t>
    </r>
    <r>
      <rPr>
        <b/>
        <sz val="9"/>
        <color indexed="8"/>
        <rFont val="Arial"/>
        <family val="2"/>
      </rPr>
      <t>temperature DH network - new building area</t>
    </r>
  </si>
  <si>
    <t>15-17</t>
  </si>
  <si>
    <t>25-56</t>
  </si>
  <si>
    <t>120-200</t>
  </si>
  <si>
    <t>1000-1550</t>
  </si>
  <si>
    <t>Electrical grid</t>
  </si>
  <si>
    <t>Typical voltage level, transmission (kV)</t>
  </si>
  <si>
    <t>132-400</t>
  </si>
  <si>
    <t>Typical voltage level, distribution (kV)</t>
  </si>
  <si>
    <t>0,4-60</t>
  </si>
  <si>
    <t>Typical capacity, transmission (MW)</t>
  </si>
  <si>
    <t>100-2,000</t>
  </si>
  <si>
    <t>Typical capacity, distribution (MW)</t>
  </si>
  <si>
    <t>Total network loss, transmission and distribution (%)</t>
  </si>
  <si>
    <t>Construction time (years)</t>
  </si>
  <si>
    <t>Investment costs (€/kW)</t>
  </si>
  <si>
    <t>110-220</t>
  </si>
  <si>
    <t>Fixed O&amp;M (€/MW/year)</t>
  </si>
  <si>
    <t>5-20</t>
  </si>
  <si>
    <t>3-20</t>
  </si>
  <si>
    <t>2-20</t>
  </si>
  <si>
    <t>1-20</t>
  </si>
  <si>
    <t>5-40</t>
  </si>
  <si>
    <t>5-35</t>
  </si>
  <si>
    <t>5-30</t>
  </si>
  <si>
    <t>6-20</t>
  </si>
  <si>
    <t>4-20</t>
  </si>
  <si>
    <t>3-12</t>
  </si>
  <si>
    <t>5-25</t>
  </si>
  <si>
    <t>7-30</t>
  </si>
  <si>
    <t>5-18</t>
  </si>
  <si>
    <t>4-16</t>
  </si>
  <si>
    <t>4-14</t>
  </si>
  <si>
    <t>2-12</t>
  </si>
  <si>
    <t>3-8</t>
  </si>
  <si>
    <t>2-5</t>
  </si>
  <si>
    <t>3-5</t>
  </si>
  <si>
    <t>7-35</t>
  </si>
  <si>
    <t>7-12</t>
  </si>
  <si>
    <t>6-10</t>
  </si>
  <si>
    <t>5-6</t>
  </si>
  <si>
    <t>10-20</t>
  </si>
  <si>
    <t>10-14</t>
  </si>
  <si>
    <t>6-8</t>
  </si>
  <si>
    <t>10-15</t>
  </si>
  <si>
    <t>10-80</t>
  </si>
  <si>
    <t>10-50</t>
  </si>
  <si>
    <t>1-4</t>
  </si>
  <si>
    <t>1-5</t>
  </si>
  <si>
    <t>2. Natural gas boiler</t>
  </si>
  <si>
    <t xml:space="preserve">3. District heating substation </t>
  </si>
  <si>
    <t>4. Biomass boiler, automatic stoking</t>
  </si>
  <si>
    <t>5. Biomass boiler, manual stoking</t>
  </si>
  <si>
    <t>6. Wood stove</t>
  </si>
  <si>
    <t>7. Electrical heat pump, air-to-air</t>
  </si>
  <si>
    <t>8. Electrical heat pump, air-to-water</t>
  </si>
  <si>
    <t>9. Electrical heat pump, brine-to-water (ground source heat pump)</t>
  </si>
  <si>
    <t>10. Electrical heat pump, ventilation</t>
  </si>
  <si>
    <t>11. Solar heating system</t>
  </si>
  <si>
    <t>12. Electric heating</t>
  </si>
  <si>
    <t>13. Micro CHP - natural gas fuel cell</t>
  </si>
  <si>
    <t>14. Micro CHP - hydrogen fuel cell</t>
  </si>
  <si>
    <t>15. Micro CHP - Stirling engine</t>
  </si>
  <si>
    <t>16. Micro CHP - Gas engine</t>
  </si>
  <si>
    <t>17. District heating network</t>
  </si>
  <si>
    <t>18. Electrical grid</t>
  </si>
  <si>
    <t>10 kW boiler</t>
  </si>
  <si>
    <t>kr/kW/year</t>
  </si>
  <si>
    <t>kr/GJ</t>
  </si>
  <si>
    <t>kr/€</t>
  </si>
  <si>
    <t>Average</t>
  </si>
  <si>
    <t>kW</t>
  </si>
  <si>
    <t xml:space="preserve">Boiler size, Check against  the range for the "Heat production capacity for one unit (kW)" in the first row in the datasheet </t>
  </si>
  <si>
    <t>Heat production capacity</t>
  </si>
  <si>
    <t xml:space="preserve">Check against  the range for the "Heat production capacity for one unit (kW)" in the first row in the datasheet </t>
  </si>
  <si>
    <t>Currency</t>
  </si>
  <si>
    <t>YEAR</t>
  </si>
  <si>
    <t>START</t>
  </si>
  <si>
    <t>EFF</t>
  </si>
  <si>
    <t>Input~ELCC</t>
  </si>
  <si>
    <t>LIFE</t>
  </si>
  <si>
    <t>INVCOST</t>
  </si>
  <si>
    <t>FIXOM</t>
  </si>
  <si>
    <t>VAROM</t>
  </si>
  <si>
    <t>CAP2ACT</t>
  </si>
  <si>
    <t>AFA</t>
  </si>
  <si>
    <t>FEMIS~RESSOx</t>
  </si>
  <si>
    <t>FEMIS~RESNOx</t>
  </si>
  <si>
    <t>FEMIS~RESCH4</t>
  </si>
  <si>
    <t>FEMIS~RESN2O</t>
  </si>
  <si>
    <t>FEMIS~RESPM</t>
  </si>
  <si>
    <t>kr/kW</t>
  </si>
  <si>
    <t>Factor</t>
  </si>
  <si>
    <t>g/GJ</t>
  </si>
  <si>
    <r>
      <t>Specific investment in</t>
    </r>
    <r>
      <rPr>
        <b/>
        <sz val="11"/>
        <color indexed="8"/>
        <rFont val="Calibri"/>
        <family val="2"/>
      </rPr>
      <t xml:space="preserve"> dkr/kW </t>
    </r>
  </si>
  <si>
    <r>
      <t xml:space="preserve"> Specific investment in </t>
    </r>
    <r>
      <rPr>
        <b/>
        <sz val="11"/>
        <color indexed="8"/>
        <rFont val="Calibri"/>
        <family val="2"/>
      </rPr>
      <t>dkr/unit</t>
    </r>
  </si>
  <si>
    <r>
      <t xml:space="preserve">FIX O&amp;M </t>
    </r>
    <r>
      <rPr>
        <b/>
        <sz val="11"/>
        <color indexed="8"/>
        <rFont val="Calibri"/>
        <family val="2"/>
      </rPr>
      <t>dkr/kW/year</t>
    </r>
  </si>
  <si>
    <r>
      <t xml:space="preserve">Variable O&amp;M in </t>
    </r>
    <r>
      <rPr>
        <b/>
        <sz val="11"/>
        <color indexed="8"/>
        <rFont val="Calibri"/>
        <family val="2"/>
      </rPr>
      <t>dkr/GJ</t>
    </r>
  </si>
  <si>
    <t xml:space="preserve">The green  should be copied to TIMES: </t>
  </si>
  <si>
    <t xml:space="preserve">Currency </t>
  </si>
  <si>
    <t>c</t>
  </si>
  <si>
    <t>kWh</t>
  </si>
  <si>
    <t>GJ</t>
  </si>
  <si>
    <t>One family house, new and existing buildings</t>
  </si>
  <si>
    <t>Total efficiency (%) net</t>
  </si>
  <si>
    <t>SO2 (degree of desulphoring, %)</t>
  </si>
  <si>
    <t>NOX (g per GJ fuel)</t>
  </si>
  <si>
    <t>CH4 (g per GJ fuel)</t>
  </si>
  <si>
    <t>N2O (g per GJ fuel)</t>
  </si>
  <si>
    <t>Financial data  (air/water)</t>
  </si>
  <si>
    <t>Possible additional specific investment (1000€/unit)</t>
  </si>
  <si>
    <t>Variable costs O&amp;M (€/MWh)</t>
  </si>
  <si>
    <t>Financial data  (brine/water)</t>
  </si>
  <si>
    <t>Absorption heat pump, brine-to-water</t>
  </si>
  <si>
    <t>Apartment complex, existing and new buildings</t>
  </si>
  <si>
    <t>L</t>
  </si>
  <si>
    <t>Gas engine driven heat pump, air-to-water and brine-to-water</t>
  </si>
  <si>
    <t>Gas engine driven heat pump heat pump</t>
  </si>
  <si>
    <t>A, K</t>
  </si>
  <si>
    <t>Gas engine driven heat pump heat pump, air-to-water</t>
  </si>
  <si>
    <t>0,5 - 1,4</t>
  </si>
  <si>
    <t>0,5 -1,4</t>
  </si>
  <si>
    <t>F,G,N</t>
  </si>
  <si>
    <t>I1</t>
  </si>
  <si>
    <t>I2</t>
  </si>
  <si>
    <t>Gas engine driven heat pump heat pump, brine-to-water</t>
  </si>
  <si>
    <t>F, G, N,O</t>
  </si>
  <si>
    <t>1,6+23</t>
  </si>
  <si>
    <t>H, J</t>
  </si>
  <si>
    <t>Gas driven adsorption heat pumps, air-to-water and brine-to-water</t>
  </si>
  <si>
    <t>1,5-15</t>
  </si>
  <si>
    <t>E; H</t>
  </si>
  <si>
    <t xml:space="preserve"> /5/, /17/</t>
  </si>
  <si>
    <t>A, H</t>
  </si>
  <si>
    <t xml:space="preserve">Gas driven absorption heat pumps, air-to-water </t>
  </si>
  <si>
    <t>Absorption heat pump</t>
  </si>
  <si>
    <t>I,K,L</t>
  </si>
  <si>
    <t>C2</t>
  </si>
  <si>
    <t>Absorption heat pump, air-to-water</t>
  </si>
  <si>
    <t>A, D, L</t>
  </si>
  <si>
    <t>C1</t>
  </si>
  <si>
    <t>A,D</t>
  </si>
  <si>
    <t>Gas driven absorption heat pumps brine-to-water</t>
  </si>
  <si>
    <t>H, H2</t>
  </si>
  <si>
    <t>A,D,E,F2;K</t>
  </si>
  <si>
    <t>1,6+ 23</t>
  </si>
  <si>
    <t>F1, H</t>
  </si>
  <si>
    <t>Variable costs O&amp;M (€/GJ)</t>
  </si>
  <si>
    <t>Variable costs O&amp;M (€/unit/year)</t>
  </si>
  <si>
    <t>MJ</t>
  </si>
  <si>
    <t>kr/MWh</t>
  </si>
  <si>
    <t>References:</t>
  </si>
  <si>
    <t>1 Forsyningskatalog 1988.</t>
  </si>
  <si>
    <t>2 Dansk Elforsyningsstatistik 2008.</t>
  </si>
  <si>
    <t>3 1975 – 1990 Publikationer fra DEFU Concerning electric heating. Here are also reports on storage heaters.</t>
  </si>
  <si>
    <t>4 http://www.dimplex.co.uk/products/domestic_heating/installed_ heating/storage_heaters/index.htm.</t>
  </si>
  <si>
    <t>5 http://www.lk.dk/Lauritz+Knudsen/privat/det-intelligente-hjem/det-intelligente-hjem.page?</t>
  </si>
  <si>
    <t>6 Peter Strøm from “EL-Strøm A/S”, personnaly communication.</t>
  </si>
  <si>
    <t>Notes:</t>
  </si>
  <si>
    <t>A Annual efficiency based on 100 % space heating efficiency and hot water efficiency. In addition, distribution heat losses compared to water based heating systems are saved, typically in the range of 5-10 %.</t>
  </si>
  <si>
    <t>B Assuming 150 apartments.</t>
  </si>
  <si>
    <t>C Assuming change of heating elements in the hot water tank every 10 years.</t>
  </si>
  <si>
    <t>D The price includes the complete system including room heaters and hot tap water preparation.</t>
  </si>
  <si>
    <t>if it is assumed that the energyconsumtion for hotwater is 4000kWh/year(=14,4 GJ/year) for an average 6 hosehold and 65% of the heating is delivered from the solarcollectors</t>
  </si>
  <si>
    <t xml:space="preserve">if it is assumed for a household in a detached building that the energyconsumtion for hotwater is 4000kWh/year(=14,4 GJ/year) for an average 6 hosehold and 65% of the heating is delivered from the solarcollectors. And it is assumed that heat production from solar collectors on  the multi storey building can be calculated from the relation between the installed capacity:  140kW/4,2 kW * 14,4 GJ/year =   </t>
  </si>
  <si>
    <t>* Source</t>
  </si>
  <si>
    <t>TechName</t>
  </si>
  <si>
    <t>*TechDesc</t>
  </si>
  <si>
    <t>Comm-IN</t>
  </si>
  <si>
    <t>Comm-OUT</t>
  </si>
  <si>
    <t>*PlantName</t>
  </si>
  <si>
    <t>ENV</t>
  </si>
  <si>
    <t>Electricity Indicator</t>
  </si>
  <si>
    <t>Peak Monitoring</t>
  </si>
  <si>
    <t>Timeslice Level</t>
  </si>
  <si>
    <t>Sense of the Balance EQN.</t>
  </si>
  <si>
    <t>Unit</t>
  </si>
  <si>
    <t>Commodity Description</t>
  </si>
  <si>
    <t>Commodity Name</t>
  </si>
  <si>
    <t>Region Name</t>
  </si>
  <si>
    <t>*Commodity Set Membership</t>
  </si>
  <si>
    <t>Ctype</t>
  </si>
  <si>
    <t>PeakTS</t>
  </si>
  <si>
    <t>CTSLvl</t>
  </si>
  <si>
    <t>LimType</t>
  </si>
  <si>
    <t>CommDesc</t>
  </si>
  <si>
    <t>CommName</t>
  </si>
  <si>
    <t>Region</t>
  </si>
  <si>
    <t>CSet</t>
  </si>
  <si>
    <t>~FI_Comm</t>
  </si>
  <si>
    <t>MW</t>
  </si>
  <si>
    <t>PJ</t>
  </si>
  <si>
    <t>*</t>
  </si>
  <si>
    <t>Vintage Tracking</t>
  </si>
  <si>
    <t>Primary Commodity Group</t>
  </si>
  <si>
    <t>TimeSlice level of Process Activity</t>
  </si>
  <si>
    <t>Capacity Unit</t>
  </si>
  <si>
    <t>Activity Unit</t>
  </si>
  <si>
    <t>Technology Description</t>
  </si>
  <si>
    <t>Technology Name</t>
  </si>
  <si>
    <t>*Process Set Membership</t>
  </si>
  <si>
    <t>Vintage</t>
  </si>
  <si>
    <t>PrimaryCG</t>
  </si>
  <si>
    <t>Tslvl</t>
  </si>
  <si>
    <t>Tcap</t>
  </si>
  <si>
    <t>Tact</t>
  </si>
  <si>
    <t>TechDesc</t>
  </si>
  <si>
    <t>Sets</t>
  </si>
  <si>
    <t>~FI_Process</t>
  </si>
  <si>
    <t>~FI_T</t>
  </si>
  <si>
    <t>yes</t>
  </si>
  <si>
    <t>Mkr/MW</t>
  </si>
  <si>
    <t>Mkr/MW/year</t>
  </si>
  <si>
    <t>Mkr/PJ</t>
  </si>
  <si>
    <t>EFF heat pumps moved to Trans file</t>
  </si>
  <si>
    <t>Stefan</t>
  </si>
  <si>
    <t>Sheet HOU_Deta_Boil</t>
  </si>
  <si>
    <t>Sheet HOU_Multi_Boil</t>
  </si>
  <si>
    <t>Mauri</t>
  </si>
  <si>
    <t>Sheet HOU_Deta Boil</t>
  </si>
  <si>
    <t>Sheet HOU_Multi Boil</t>
  </si>
  <si>
    <t>Technology Catalog - Heat Generation</t>
  </si>
  <si>
    <t>43. District Heating Boiler, Biomass Fired boiler - Wood Chips</t>
  </si>
  <si>
    <t>District Heating Boiler, Wood Chips</t>
  </si>
  <si>
    <t>Generation capacity for one plant (MJ/s</t>
  </si>
  <si>
    <t>Availability (%)</t>
  </si>
  <si>
    <t>Nominal Investment (M€ per MJ/s)</t>
  </si>
  <si>
    <t>Total O&amp;M (€ per MWh)</t>
  </si>
  <si>
    <t>1 -1 2</t>
  </si>
  <si>
    <t>1</t>
  </si>
  <si>
    <t>96-98</t>
  </si>
  <si>
    <t>0.5 - 1</t>
  </si>
  <si>
    <t>Unburned hydrocarbons, UHC (g per GJ guel)</t>
  </si>
  <si>
    <t>4;3;3;3</t>
  </si>
  <si>
    <t xml:space="preserve">0.5 - 1.1 </t>
  </si>
  <si>
    <t>references</t>
  </si>
  <si>
    <t>1 Danish Heating Association, January 2012</t>
  </si>
  <si>
    <t>2 Elsams og Elktraffs opdatering at  Energi</t>
  </si>
  <si>
    <t>* Electric appliances</t>
  </si>
  <si>
    <t>INDWCH</t>
  </si>
  <si>
    <t>INDELC</t>
  </si>
  <si>
    <t>INDSOL</t>
  </si>
  <si>
    <t>INDHCE</t>
  </si>
  <si>
    <t>INDHDE</t>
  </si>
  <si>
    <t>* Heat Exchangers</t>
  </si>
  <si>
    <t>DMD</t>
  </si>
  <si>
    <t>Date</t>
  </si>
  <si>
    <t>Name</t>
  </si>
  <si>
    <t>Sheet Name</t>
  </si>
  <si>
    <t>Cells</t>
  </si>
  <si>
    <t>Comments</t>
  </si>
  <si>
    <t>Olexandr Balyk</t>
  </si>
  <si>
    <t>IND_Food</t>
  </si>
  <si>
    <t>Electric boiler are set to deliver HT as well</t>
  </si>
  <si>
    <t>Rows 61-66 and 89-94</t>
  </si>
  <si>
    <t>Removed because not used anymore in this model version</t>
  </si>
  <si>
    <t>K30</t>
  </si>
  <si>
    <t>lifetime of heat pumps to 30 years. It is based on the Technology Catalogue where it says that GSHPs are 20-30% more expansive than ASHPs (assumed because of the pipes) and the assumption that pipes have a lifetime of 50 years and heat pump of 20 years.</t>
  </si>
  <si>
    <t>lifetime of heat pumps to 30 years.</t>
  </si>
  <si>
    <t>Sector</t>
  </si>
  <si>
    <t>Food</t>
  </si>
  <si>
    <t>Chemical</t>
  </si>
  <si>
    <t>Glass &amp; Concrete</t>
  </si>
  <si>
    <t>Kenneth Bernard Karlsson</t>
  </si>
  <si>
    <t>IND_AGR</t>
  </si>
  <si>
    <t>Update of name to align with VT file</t>
  </si>
  <si>
    <t>Added the 3 haulage demands</t>
  </si>
  <si>
    <t>Changed dem name as in agr.</t>
  </si>
  <si>
    <t>Industry Saving Potential Technologies from COWI Study</t>
  </si>
  <si>
    <t>Olexandr</t>
  </si>
  <si>
    <t>IND_SavTechs</t>
  </si>
  <si>
    <t>Moved all the data from SubRES_IND_SavingPot to here</t>
  </si>
  <si>
    <t>Construction</t>
  </si>
  <si>
    <t>Steffen</t>
  </si>
  <si>
    <t>All IND_ sheets</t>
  </si>
  <si>
    <t>Corrected names for new technologies, removing the "i".</t>
  </si>
  <si>
    <t>C6:C112</t>
  </si>
  <si>
    <t>Lars B. Termansen</t>
  </si>
  <si>
    <t>Intro</t>
  </si>
  <si>
    <t>Added intro sheet</t>
  </si>
  <si>
    <t>all sheets</t>
  </si>
  <si>
    <t>Tab colors adjusted</t>
  </si>
  <si>
    <t>Description</t>
  </si>
  <si>
    <t>Purpose:</t>
  </si>
  <si>
    <t>Description:</t>
  </si>
  <si>
    <t>Relevant sectors</t>
  </si>
  <si>
    <t>Description of different sheets</t>
  </si>
  <si>
    <t xml:space="preserve">READ THIS </t>
  </si>
  <si>
    <t>Special remarks relevant for this workbook</t>
  </si>
  <si>
    <t>IND</t>
  </si>
  <si>
    <t>Definition of new technology definition available to be installed in industrt</t>
  </si>
  <si>
    <t>IND_CHEM</t>
  </si>
  <si>
    <t>IND_G&amp;C</t>
  </si>
  <si>
    <t>IND_Metal</t>
  </si>
  <si>
    <t>IND_Other</t>
  </si>
  <si>
    <t>IND_Vehicles</t>
  </si>
  <si>
    <t>IND_Construction</t>
  </si>
  <si>
    <t>IND_Utilities</t>
  </si>
  <si>
    <t>Technologies are copied from ELC sector for proces heat and HOU for room heat. Notice the process definitions are kept for each industry sheet</t>
  </si>
  <si>
    <t>New technologies for Food (F)</t>
  </si>
  <si>
    <t xml:space="preserve">New technologies for Chemicals (C) </t>
  </si>
  <si>
    <t>New technologies for Metal and Machinery (M)</t>
  </si>
  <si>
    <t>New technologies for Other manufacturing (O)</t>
  </si>
  <si>
    <t>New technologies for Cars sales and repair (V)</t>
  </si>
  <si>
    <t>New technologies for Construction (N)</t>
  </si>
  <si>
    <t>New technologies for Utilities (L)</t>
  </si>
  <si>
    <t>Oil-fired boiler</t>
  </si>
  <si>
    <t>DH-substation</t>
  </si>
  <si>
    <t>DHB Wood-Chips</t>
  </si>
  <si>
    <t>Biomass boiler, automatic</t>
  </si>
  <si>
    <t>Biomass boiler, manual</t>
  </si>
  <si>
    <t>Wood stove</t>
  </si>
  <si>
    <t>Heat pump, ground source</t>
  </si>
  <si>
    <t>HP, gas absorption, air-to-water</t>
  </si>
  <si>
    <t>HP, gas absorption, brine-to-water</t>
  </si>
  <si>
    <t>Heat pump, gas engine air-water</t>
  </si>
  <si>
    <t>Heat pump, gas engine, Brine-wat</t>
  </si>
  <si>
    <t>Solar heating</t>
  </si>
  <si>
    <t>Electrical heating</t>
  </si>
  <si>
    <t>Micro CHP, natural gas FC</t>
  </si>
  <si>
    <t>Micro CHP, hydrogen FC</t>
  </si>
  <si>
    <t>Micro CHP, Stirling engine</t>
  </si>
  <si>
    <t>Micro CHP, Gas engine</t>
  </si>
  <si>
    <t>DH network</t>
  </si>
  <si>
    <t>Data sheet for Oil-fired boiler</t>
  </si>
  <si>
    <t>Data sheet for Natural gas boiler</t>
  </si>
  <si>
    <t>Data sheet for DH-substation</t>
  </si>
  <si>
    <t>Data sheet for DHB Wood-Chips</t>
  </si>
  <si>
    <t>Data sheet for Biomass boiler, automatic</t>
  </si>
  <si>
    <t>Data sheet for Biomass boiler, manual</t>
  </si>
  <si>
    <t>Data sheet for Wood stove</t>
  </si>
  <si>
    <t>Data sheet for Heat pump, air-to-air</t>
  </si>
  <si>
    <t>Data sheet for Heat pump, air-to-water</t>
  </si>
  <si>
    <t>Data sheet for Heat pump, ground source</t>
  </si>
  <si>
    <t>Data sheet for HP, gas absorption, air-to-water</t>
  </si>
  <si>
    <t>Data sheet for HP, gas absorption, brine-to-water</t>
  </si>
  <si>
    <t>Data sheet for Heat pump, gas engine air-water</t>
  </si>
  <si>
    <t>Data sheet for Heat pump, gas engine, Brine-wat</t>
  </si>
  <si>
    <t>Data sheet for Solar heating</t>
  </si>
  <si>
    <t>Data sheet for Heat pump, ventilation</t>
  </si>
  <si>
    <t>Data sheet for Electrical heating</t>
  </si>
  <si>
    <t>Data sheet for Micro CHP, natural gas FC</t>
  </si>
  <si>
    <t>Data sheet for Micro CHP, hydrogen FC</t>
  </si>
  <si>
    <t>Data sheet for Micro CHP, Stirling engine</t>
  </si>
  <si>
    <t>Data sheet for Micro CHP, Gas engine</t>
  </si>
  <si>
    <t>Data sheet for DH network</t>
  </si>
  <si>
    <t>Data sheet for Electrical grid</t>
  </si>
  <si>
    <t>Steffen Dockweiler</t>
  </si>
  <si>
    <t>Column S</t>
  </si>
  <si>
    <t>Changed AFA to VT-file level</t>
  </si>
  <si>
    <t>Added INDBGA, INDNGA, INDSNG1, INDSNG2 to forklifts</t>
  </si>
  <si>
    <t>F108</t>
  </si>
  <si>
    <t>C26:Y29</t>
  </si>
  <si>
    <t>Added oil boilers for high temp - to match statistics</t>
  </si>
  <si>
    <t>Added wood chips/pellets for high temp - to match statistics</t>
  </si>
  <si>
    <t>C30:Y49</t>
  </si>
  <si>
    <t>Removed Forest Machines as a seperate energy service</t>
  </si>
  <si>
    <t>New technologies for Glass &amp; Concrete (G) - Different from the above green IND_ sheets since this industry can build coal plants (since it containts Aalborg Portland)</t>
  </si>
  <si>
    <t>INDCOA</t>
  </si>
  <si>
    <t>C6:Y13</t>
  </si>
  <si>
    <t>Introduced coal fired plant to create MT and HT only for IND_G&amp;C, to match statistics (Aalborg Portland)</t>
  </si>
  <si>
    <t>DAYNITE</t>
  </si>
  <si>
    <t>Changed SOL-technology to DAYNITE timeslice</t>
  </si>
  <si>
    <t>Changed start date for all techs to be 2011</t>
  </si>
  <si>
    <r>
      <t xml:space="preserve">Changed the COAL effieciency/cost to be equal to biomass - </t>
    </r>
    <r>
      <rPr>
        <b/>
        <sz val="11"/>
        <color rgb="FFFF0000"/>
        <rFont val="Calibri"/>
        <family val="2"/>
        <scheme val="minor"/>
      </rPr>
      <t>SHOULD BE REVISITED!</t>
    </r>
  </si>
  <si>
    <t>Solar_Heating</t>
  </si>
  <si>
    <t>Recalculated variable O&amp;M for 2030 and 2050 since improvements to % heat possible to cover by solar heat improves.</t>
  </si>
  <si>
    <t>Fixed O&amp;M Cost (EUR/TJ/year)</t>
  </si>
  <si>
    <t>Fixed O&amp;M Cost (MDKK/MW)</t>
  </si>
  <si>
    <t>From SubRes_ELC_DH-Pipes</t>
  </si>
  <si>
    <t xml:space="preserve">Introduced higher value for Fixed annual O&amp;M for DH- taken from Subres_ELC_DH-Pipes  to better capture the pipe costs. Please note that investments costs of installing the pipes are included in the INV costs - we were simply missing the O&amp;M of the pipes. It can be discussed whether these should occur to the industries themselves, or rather to ELC sector?  </t>
  </si>
  <si>
    <t>SDO assumption - 27-07-2016</t>
  </si>
  <si>
    <t>Total O&amp;M are split in Variable and Fixed, since this tech is extremely favored</t>
  </si>
  <si>
    <t xml:space="preserve">when fixed O&amp;M are zero! </t>
  </si>
  <si>
    <t>Split rate:</t>
  </si>
  <si>
    <t>Fixed O&amp;M</t>
  </si>
  <si>
    <t>Variable O&amp;M</t>
  </si>
  <si>
    <t xml:space="preserve">Introduced an assumption splitting total O&amp;M for wood whips on both variable and fixed, instead of just variable before. The model installed very much WCH maybe because of zero fixed O&amp;M. </t>
  </si>
  <si>
    <t>kWh/m2</t>
  </si>
  <si>
    <t>Demand only for space heating</t>
  </si>
  <si>
    <t>Share of space heating covered by solar heating</t>
  </si>
  <si>
    <t>Demand only for DHW</t>
  </si>
  <si>
    <t>Share of DHW covered by solar heating</t>
  </si>
  <si>
    <t>Demand for space heating and DHW</t>
  </si>
  <si>
    <t>m2</t>
  </si>
  <si>
    <t>Made same assumptions on investment costs and O&amp;M as in the Solar Heating of Housing. Changed size of heating area assumption to 1500M2, and changed 2030 and 2050 effeicency of room heat to 12 %</t>
  </si>
  <si>
    <t>Assumed area of a industry building</t>
  </si>
  <si>
    <t>41 Heat only generation tech (boilers, heat pumps, geothermal)
Electric boilers, 400 or 690 V, 0.06-5 MW; 10 or 15 kV, &gt;10 MW</t>
  </si>
  <si>
    <t>Uncertainty (2020)</t>
  </si>
  <si>
    <t>Uncertainty (2050)</t>
  </si>
  <si>
    <t>Lower</t>
  </si>
  <si>
    <t>Upper</t>
  </si>
  <si>
    <t>Heat generation capacity for one unit (MW)</t>
  </si>
  <si>
    <t>Total efficiency, net (%), name plate</t>
  </si>
  <si>
    <t>Total efficiency , net (%), annual average</t>
  </si>
  <si>
    <t>Electricity consumption for pumps etc. (% of heat gen)</t>
  </si>
  <si>
    <t>0.5</t>
  </si>
  <si>
    <t>0.1</t>
  </si>
  <si>
    <t>Forced outage (%)</t>
  </si>
  <si>
    <t>Planned outage (weeks per year)</t>
  </si>
  <si>
    <t>0.2</t>
  </si>
  <si>
    <t>Regulation ability</t>
  </si>
  <si>
    <t>Primary regulation (% per 30 seconds)</t>
  </si>
  <si>
    <t>Secondary regulation (% per minute)</t>
  </si>
  <si>
    <t>Minimum load (% of full load)</t>
  </si>
  <si>
    <t>Warm start-up time (hours)</t>
  </si>
  <si>
    <t>0.008</t>
  </si>
  <si>
    <t>Cold start-up time (hours)</t>
  </si>
  <si>
    <t>0.08</t>
  </si>
  <si>
    <r>
      <t>SO</t>
    </r>
    <r>
      <rPr>
        <vertAlign val="subscript"/>
        <sz val="9"/>
        <rFont val="Arial"/>
        <family val="2"/>
      </rPr>
      <t>2</t>
    </r>
    <r>
      <rPr>
        <sz val="9"/>
        <rFont val="Arial"/>
        <family val="2"/>
      </rPr>
      <t xml:space="preserve"> (g per GJ fuel) </t>
    </r>
  </si>
  <si>
    <t>Cf. the utilized electricity</t>
  </si>
  <si>
    <r>
      <t>NO</t>
    </r>
    <r>
      <rPr>
        <vertAlign val="subscript"/>
        <sz val="9"/>
        <rFont val="Arial"/>
        <family val="2"/>
      </rPr>
      <t>X</t>
    </r>
    <r>
      <rPr>
        <sz val="9"/>
        <rFont val="Arial"/>
        <family val="2"/>
      </rPr>
      <t xml:space="preserve"> (g per GJ fuel) </t>
    </r>
  </si>
  <si>
    <r>
      <t>CH</t>
    </r>
    <r>
      <rPr>
        <vertAlign val="subscript"/>
        <sz val="9"/>
        <rFont val="Arial"/>
        <family val="2"/>
      </rPr>
      <t>4</t>
    </r>
    <r>
      <rPr>
        <sz val="9"/>
        <rFont val="Arial"/>
        <family val="2"/>
      </rPr>
      <t xml:space="preserve"> (g per GJ fuel) </t>
    </r>
  </si>
  <si>
    <r>
      <t>N</t>
    </r>
    <r>
      <rPr>
        <vertAlign val="subscript"/>
        <sz val="9"/>
        <rFont val="Arial"/>
        <family val="2"/>
      </rPr>
      <t>2</t>
    </r>
    <r>
      <rPr>
        <sz val="9"/>
        <rFont val="Arial"/>
        <family val="2"/>
      </rPr>
      <t xml:space="preserve">O (g per GJ fuel) </t>
    </r>
  </si>
  <si>
    <r>
      <t>Particles</t>
    </r>
    <r>
      <rPr>
        <sz val="9"/>
        <rFont val="Arial"/>
        <family val="2"/>
      </rPr>
      <t xml:space="preserve"> (g per GJ fuel)</t>
    </r>
  </si>
  <si>
    <t xml:space="preserve">Financial data                                 </t>
  </si>
  <si>
    <t>Nominal investment (M€ per MW), 400/690 V; 1-5 MW</t>
  </si>
  <si>
    <t xml:space="preserve"> - of which equipment</t>
  </si>
  <si>
    <t xml:space="preserve"> - of which installation</t>
  </si>
  <si>
    <t>Nominal investment (M€ per MW); 10/15 kV; &gt;10 MW</t>
  </si>
  <si>
    <t>Variable O&amp;M (€/MWh)</t>
  </si>
  <si>
    <r>
      <t>- of which is electricity costs (€/MWh</t>
    </r>
    <r>
      <rPr>
        <sz val="9"/>
        <rFont val="Arial"/>
        <family val="2"/>
      </rPr>
      <t>)</t>
    </r>
  </si>
  <si>
    <r>
      <t>- of which is other O&amp;M costs (€/MWh</t>
    </r>
    <r>
      <rPr>
        <sz val="9"/>
        <rFont val="Arial"/>
        <family val="2"/>
      </rPr>
      <t>)</t>
    </r>
  </si>
  <si>
    <t>Technology specific data</t>
  </si>
  <si>
    <t>Startup costs (€/MW/startup)</t>
  </si>
  <si>
    <t>Mikkel Bosack Simonsen</t>
  </si>
  <si>
    <t>Changede values for electric boilers, made similar to 1 MW boilers in the ELC sector</t>
  </si>
  <si>
    <t>Machinery</t>
  </si>
  <si>
    <t>IND_Machinery</t>
  </si>
  <si>
    <t>Renamed Metal industry to Machinery industry</t>
  </si>
  <si>
    <t>CURR</t>
  </si>
  <si>
    <t>Aluminium</t>
  </si>
  <si>
    <t>R</t>
  </si>
  <si>
    <t>Paper &amp; Pulp</t>
  </si>
  <si>
    <t>S</t>
  </si>
  <si>
    <t>W</t>
  </si>
  <si>
    <t>Wood products</t>
  </si>
  <si>
    <t>Mining</t>
  </si>
  <si>
    <t>avaialable in</t>
  </si>
  <si>
    <t>IND_Aluminium</t>
  </si>
  <si>
    <t>IND_PaperPulp</t>
  </si>
  <si>
    <t>IND_IronSteel</t>
  </si>
  <si>
    <t>IND_Wood</t>
  </si>
  <si>
    <t>IND_Mining</t>
  </si>
  <si>
    <t>New technologies for Aluminimum (X)</t>
  </si>
  <si>
    <t>New technologies for Paper and Pulp (R)</t>
  </si>
  <si>
    <t>New technologies for Iron and steel (S)</t>
  </si>
  <si>
    <t>New technologies for Wood products (W)</t>
  </si>
  <si>
    <t>New technologies for Mining (I)</t>
  </si>
  <si>
    <t>Martin Hagberg</t>
  </si>
  <si>
    <t>Added sheets for industry sectors available in NO and SE but not in DK (these were earlier in other Subres-files which has been removed)</t>
  </si>
  <si>
    <t>Oil boiler</t>
  </si>
  <si>
    <t>oil boiler new 1</t>
  </si>
  <si>
    <t>Steam boiler, Oil</t>
  </si>
  <si>
    <t>Full application potential</t>
  </si>
  <si>
    <t>"x,n" indicate which end-use,
 n ref. to note"</t>
  </si>
  <si>
    <t>1.Food, beverages and tobacco</t>
  </si>
  <si>
    <t>2.Commodity production</t>
  </si>
  <si>
    <t>3.Cement and non-metallic mineral (+Extraction of gravel and stone)</t>
  </si>
  <si>
    <t>4.Chemical industry</t>
  </si>
  <si>
    <t>5.Metals, machinery and electronics</t>
  </si>
  <si>
    <t>Current application potential</t>
  </si>
  <si>
    <t>Uncertainty (2030)</t>
  </si>
  <si>
    <t>Energy services</t>
  </si>
  <si>
    <t>End-use</t>
  </si>
  <si>
    <r>
      <t xml:space="preserve">Heat generation capacity for one unit </t>
    </r>
    <r>
      <rPr>
        <sz val="10"/>
        <color rgb="FFFF0000"/>
        <rFont val="Arial"/>
        <family val="2"/>
      </rPr>
      <t>(MW)</t>
    </r>
    <r>
      <rPr>
        <sz val="10"/>
        <rFont val="Arial"/>
        <family val="2"/>
      </rPr>
      <t xml:space="preserve"> </t>
    </r>
    <r>
      <rPr>
        <sz val="10"/>
        <color rgb="FFFF0000"/>
        <rFont val="Arial"/>
        <family val="2"/>
      </rPr>
      <t>multiply by 1000 to get kW</t>
    </r>
    <r>
      <rPr>
        <sz val="10"/>
        <rFont val="Arial"/>
        <family val="2"/>
      </rPr>
      <t xml:space="preserve"> [kW]</t>
    </r>
  </si>
  <si>
    <t>3, 10</t>
  </si>
  <si>
    <t>Direct
%</t>
  </si>
  <si>
    <t>Indirect
%</t>
  </si>
  <si>
    <t>Total efficiency, net (%), nominel load</t>
  </si>
  <si>
    <t xml:space="preserve">5,6,7,8 </t>
  </si>
  <si>
    <t>High temperature</t>
  </si>
  <si>
    <t>6. Firing /Sintering</t>
  </si>
  <si>
    <t>Total efficiency, net (%), annual average</t>
  </si>
  <si>
    <t>7. Melting /Casting</t>
  </si>
  <si>
    <t>Auxiliary electricity consumption (% of heat gen)</t>
  </si>
  <si>
    <t>9. Other processes &gt;150C</t>
  </si>
  <si>
    <t>Medium temperature</t>
  </si>
  <si>
    <t>2. Heating/Boiling</t>
  </si>
  <si>
    <t>x</t>
  </si>
  <si>
    <t>3. Drying</t>
  </si>
  <si>
    <t>3,5,8</t>
  </si>
  <si>
    <t>4. Dewatering</t>
  </si>
  <si>
    <t>5. Distillation</t>
  </si>
  <si>
    <t>Regulation Ability</t>
  </si>
  <si>
    <r>
      <t>8.</t>
    </r>
    <r>
      <rPr>
        <sz val="9"/>
        <rFont val="Arial"/>
        <family val="2"/>
      </rPr>
      <t>Other processes &lt;150⁰C,</t>
    </r>
  </si>
  <si>
    <t>Room heat</t>
  </si>
  <si>
    <t>12. spatial heating</t>
  </si>
  <si>
    <r>
      <t>SO</t>
    </r>
    <r>
      <rPr>
        <vertAlign val="subscript"/>
        <sz val="10"/>
        <rFont val="Arial"/>
        <family val="2"/>
      </rPr>
      <t>2</t>
    </r>
    <r>
      <rPr>
        <sz val="10"/>
        <rFont val="Arial"/>
        <family val="2"/>
      </rPr>
      <t xml:space="preserve"> (g per GJ fuel) </t>
    </r>
  </si>
  <si>
    <t>3, 9</t>
  </si>
  <si>
    <t xml:space="preserve">PM2.5 (g per GJ fuel) </t>
  </si>
  <si>
    <r>
      <t>NO</t>
    </r>
    <r>
      <rPr>
        <vertAlign val="subscript"/>
        <sz val="10"/>
        <rFont val="Arial"/>
        <family val="2"/>
      </rPr>
      <t>X</t>
    </r>
    <r>
      <rPr>
        <sz val="10"/>
        <rFont val="Arial"/>
        <family val="2"/>
      </rPr>
      <t xml:space="preserve"> (g per GJ fuel) </t>
    </r>
  </si>
  <si>
    <r>
      <rPr>
        <b/>
        <sz val="10"/>
        <color theme="5"/>
        <rFont val="Arial"/>
        <family val="2"/>
      </rPr>
      <t>Nominal</t>
    </r>
    <r>
      <rPr>
        <sz val="10"/>
        <rFont val="Arial"/>
        <family val="2"/>
      </rPr>
      <t xml:space="preserve"> investment </t>
    </r>
    <r>
      <rPr>
        <sz val="10"/>
        <color rgb="FFFF0000"/>
        <rFont val="Arial"/>
        <family val="2"/>
      </rPr>
      <t>(M€ per MW) is the same as k EUR/kW</t>
    </r>
    <r>
      <rPr>
        <sz val="10"/>
        <rFont val="Arial"/>
        <family val="2"/>
      </rPr>
      <t xml:space="preserve"> [1000 EUR/kW]</t>
    </r>
  </si>
  <si>
    <t>F,G,H</t>
  </si>
  <si>
    <t>3,10</t>
  </si>
  <si>
    <t xml:space="preserve"> - of which equipment  (%)</t>
  </si>
  <si>
    <t xml:space="preserve"> - of which installation  (%)</t>
  </si>
  <si>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r>
      <rPr>
        <sz val="10"/>
        <rFont val="Arial"/>
        <family val="2"/>
      </rPr>
      <t xml:space="preserve">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</si>
  <si>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r>
      <rPr>
        <sz val="10"/>
        <rFont val="Arial"/>
        <family val="2"/>
      </rPr>
      <t xml:space="preserve"> [EUR/GJ]</t>
    </r>
  </si>
  <si>
    <t xml:space="preserve"> - of which is electricity costs (€/MWh)</t>
  </si>
  <si>
    <t xml:space="preserve"> - of which is other O&amp;M costs (€/MWh)</t>
  </si>
  <si>
    <t>Specific investment</t>
  </si>
  <si>
    <t>Fix OM</t>
  </si>
  <si>
    <t>Indirect investments cost (M€ per MW)</t>
  </si>
  <si>
    <t>Non energy gains (M€ per MW)</t>
  </si>
  <si>
    <t>Startup cost (€/MW/startup)</t>
  </si>
  <si>
    <t xml:space="preserve">Carbon capture removal of CO2 emissions (% of emission) </t>
  </si>
  <si>
    <t>Temperature heat source supply (°C)</t>
  </si>
  <si>
    <t>Temperature heat source return (°C)</t>
  </si>
  <si>
    <t>Cooling generation capacity for one unit (MW)</t>
  </si>
  <si>
    <r>
      <t>Specific investment in</t>
    </r>
    <r>
      <rPr>
        <b/>
        <sz val="11"/>
        <color indexed="8"/>
        <rFont val="Calibri"/>
        <family val="2"/>
      </rPr>
      <t xml:space="preserve"> dkr/kW </t>
    </r>
    <r>
      <rPr>
        <sz val="11"/>
        <color theme="1"/>
        <rFont val="Calibri"/>
        <family val="2"/>
        <scheme val="minor"/>
      </rPr>
      <t xml:space="preserve">
C50*$G$4*1000
specific/nominal? investment cost *  currency conversion *1000</t>
    </r>
  </si>
  <si>
    <r>
      <t xml:space="preserve"> Specific investment in </t>
    </r>
    <r>
      <rPr>
        <b/>
        <sz val="11"/>
        <color theme="0" tint="-0.249977111117893"/>
        <rFont val="Calibri"/>
        <family val="2"/>
      </rPr>
      <t>dkr/unit</t>
    </r>
  </si>
  <si>
    <r>
      <t xml:space="preserve">FIX O&amp;M </t>
    </r>
    <r>
      <rPr>
        <b/>
        <sz val="11"/>
        <color indexed="8"/>
        <rFont val="Calibri"/>
        <family val="2"/>
      </rPr>
      <t>dkr/kW/year</t>
    </r>
    <r>
      <rPr>
        <sz val="11"/>
        <color theme="1"/>
        <rFont val="Calibri"/>
        <family val="2"/>
        <scheme val="minor"/>
      </rPr>
      <t xml:space="preserve">
C55*$G$4
fixed OM * currency conversion</t>
    </r>
  </si>
  <si>
    <r>
      <t xml:space="preserve">Variable O&amp;M in </t>
    </r>
    <r>
      <rPr>
        <b/>
        <sz val="11"/>
        <color indexed="8"/>
        <rFont val="Calibri"/>
        <family val="2"/>
      </rPr>
      <t xml:space="preserve">dkr/GJ
</t>
    </r>
    <r>
      <rPr>
        <sz val="11"/>
        <color rgb="FF000000"/>
        <rFont val="Calibri"/>
        <family val="2"/>
      </rPr>
      <t>C56*$G$4</t>
    </r>
    <r>
      <rPr>
        <sz val="11"/>
        <color theme="1"/>
        <rFont val="Calibri"/>
        <family val="2"/>
        <scheme val="minor"/>
      </rPr>
      <t xml:space="preserve">
Variable OM * currency conversion </t>
    </r>
  </si>
  <si>
    <t>References</t>
  </si>
  <si>
    <t>Vigants, G., Galindoms, G., Veidenbergs, I., Vigants, E., &amp; Blumberga, D. (2015). Efficiency diagram for district heating system with gas condensing unit. Energy Procedia, 72, 119–126.</t>
  </si>
  <si>
    <t>Danish Energy Agency, Heating installations, 2016 (updated 2018).</t>
  </si>
  <si>
    <t xml:space="preserve">Danish Energy Agency, Energy Plants for Electricity and District heating generation, 2016 (updated 2019) </t>
  </si>
  <si>
    <t>Applied Technologies of New York, Steam vs hot water boiler, 2016.</t>
  </si>
  <si>
    <t>ETSAP, Industrial Combustion Boilers, IEA ETSAP 2010.</t>
  </si>
  <si>
    <t>Chen, Q., Finney, K., Li, H., Zhang, X., Zhou, J., Sharifi, V., &amp; Swithenbank, J. (2012). Condensing boiler applications in the process industry. Applied Energy, 89(1), 30–36.</t>
  </si>
  <si>
    <t>EnergyVortex, ENERGY EFFICIENCY &amp; INDUSTRIAL BOILER EFFICIENCY, 2010</t>
  </si>
  <si>
    <t>Danish Energy Agency, Forudsætninger for samfundsøkonomiske analyser på energiområdet, 2016</t>
  </si>
  <si>
    <t>Tjærborg Industri, Olie og gas kedler, 2019</t>
  </si>
  <si>
    <t>Notes</t>
  </si>
  <si>
    <t>Ranges from 0,5 to 50. Typical value of 20 MW</t>
  </si>
  <si>
    <t>1 %-point higher for hot water boiler, due to assumed lower flue gas temperature</t>
  </si>
  <si>
    <t xml:space="preserve">Will be reduced if carbon capture in installed </t>
  </si>
  <si>
    <t>20 %-point lower for hot water boiler</t>
  </si>
  <si>
    <t>The cost of auxiliary electricity consumption is calculated using the following electricity prices in €/MWh: 2020: 73, 2030: 75, 2040: 76, 2050: 76. Includes transport tarif</t>
  </si>
  <si>
    <t>Not relevant to this technology</t>
  </si>
  <si>
    <t>oil boiler new 2</t>
  </si>
  <si>
    <t>Hot water boiler, Oil</t>
  </si>
  <si>
    <r>
      <rPr>
        <sz val="10"/>
        <color rgb="FFFF0000"/>
        <rFont val="Arial"/>
        <family val="2"/>
      </rPr>
      <t>Nominal</t>
    </r>
    <r>
      <rPr>
        <sz val="10"/>
        <rFont val="Arial"/>
        <family val="2"/>
      </rPr>
      <t xml:space="preserve"> investment </t>
    </r>
    <r>
      <rPr>
        <sz val="10"/>
        <color rgb="FFFF0000"/>
        <rFont val="Arial"/>
        <family val="2"/>
      </rPr>
      <t>(M€ per MW) is the same as k EUR/kW</t>
    </r>
  </si>
  <si>
    <r>
      <t xml:space="preserve">Fixed O&amp;M </t>
    </r>
    <r>
      <rPr>
        <sz val="10"/>
        <color rgb="FFFF0000"/>
        <rFont val="Arial"/>
        <family val="2"/>
      </rPr>
      <t>(€/MJ/s/year)</t>
    </r>
    <r>
      <rPr>
        <sz val="10"/>
        <rFont val="Arial"/>
        <family val="2"/>
      </rPr>
      <t xml:space="preserve"> </t>
    </r>
    <r>
      <rPr>
        <sz val="10"/>
        <color rgb="FFFF0000"/>
        <rFont val="Arial"/>
        <family val="2"/>
      </rPr>
      <t>divide by 1000 to get EUR/kW/year</t>
    </r>
  </si>
  <si>
    <r>
      <t xml:space="preserve">Variable O&amp;M </t>
    </r>
    <r>
      <rPr>
        <sz val="10"/>
        <color rgb="FFFF0000"/>
        <rFont val="Arial"/>
        <family val="2"/>
      </rPr>
      <t>(€/MWh)</t>
    </r>
    <r>
      <rPr>
        <sz val="10"/>
        <rFont val="Arial"/>
        <family val="2"/>
      </rPr>
      <t xml:space="preserve"> </t>
    </r>
    <r>
      <rPr>
        <sz val="10"/>
        <color rgb="FFFF0000"/>
        <rFont val="Arial"/>
        <family val="2"/>
      </rPr>
      <t>divide by 3,6 to get EUR/GJ</t>
    </r>
  </si>
  <si>
    <t>gas boiler new 1</t>
  </si>
  <si>
    <t>Steam boiler, Natural gas or biogas</t>
  </si>
  <si>
    <t>is nominal the same as specific investment costs?</t>
  </si>
  <si>
    <t>='Natural gas boiler_New'!'Natural gas boiler_New'!P1</t>
  </si>
  <si>
    <t>gas boiler new 2</t>
  </si>
  <si>
    <t>Steam boiler, Natural gas or biogas (Condensing)</t>
  </si>
  <si>
    <t>5,6,7,8,10</t>
  </si>
  <si>
    <t>gas boiler new 3</t>
  </si>
  <si>
    <t>Hot water boiler, Natural gas or biogas</t>
  </si>
  <si>
    <t>Relevant for hot water boiler, going from current potential to full potential</t>
  </si>
  <si>
    <t>gas boiler new 4</t>
  </si>
  <si>
    <t>Hot water boiler, Natural gas or biogas (Condensing)</t>
  </si>
  <si>
    <t>gas boiler new 5</t>
  </si>
  <si>
    <t>Direct Firing, Natural Gas</t>
  </si>
  <si>
    <t>8, 9</t>
  </si>
  <si>
    <t>4, 7</t>
  </si>
  <si>
    <t>2, 1</t>
  </si>
  <si>
    <t>update</t>
  </si>
  <si>
    <t>Danish Energy Agency, Technology Data Generation of Electricity and District Heating, August 2016 - Updated November 2019</t>
  </si>
  <si>
    <t>Viegand Maagøe, Direct Firing, 2018</t>
  </si>
  <si>
    <t>Milton Megatherm, Correspondance 2019</t>
  </si>
  <si>
    <t>IOGP, The potential for CCS and CCU in Europe, REPORT TO THE THIRTY SECOND MEETING OF THE EUROPEAN GAS REGULATORY FORUM 5-6 JUNE 2019</t>
  </si>
  <si>
    <t>Eclipse, Vortometric Burner Series Datasheet 128-3, 20/2/2015</t>
  </si>
  <si>
    <t>Viegand Maagøe assessment, 2019</t>
  </si>
  <si>
    <t>Eclipse, Eclipse AirHeat Burners Datasheet 115-11, 30/9/2010</t>
  </si>
  <si>
    <t>Eclipse, Eclipse RatioAir Burners Datasheet 135, 21/10/2010</t>
  </si>
  <si>
    <t xml:space="preserve"> The efficiency of the burner is set equal to the lower heating value, the process will determine how well the flue gas is utilised, and thus the final efficiency.</t>
  </si>
  <si>
    <t xml:space="preserve"> Unit price is based on Miton Megatherms 2.5 MW burner, installed price assessed by Viegand Maagøe.  The assessment is an experience based guess as no concrete data was retrieved.</t>
  </si>
  <si>
    <t xml:space="preserve"> Assumed to be equal to 10% of the boiler O&amp;M from [1].</t>
  </si>
  <si>
    <t xml:space="preserve"> The cost of auxiliary electricity consumption is calculated using the following electricity prices in €/MWh: 2020: 73, 2030: 75, 2040: 76, 2050: 76. Includes transport tarif</t>
  </si>
  <si>
    <t xml:space="preserve"> The indirect costs will be too strong a function of the process to put into a single value across all industries.</t>
  </si>
  <si>
    <t>Direct firing. Electricity</t>
  </si>
  <si>
    <t>diret firing new 1</t>
  </si>
  <si>
    <t>Direct Firing, Electricity</t>
  </si>
  <si>
    <t>6, 7</t>
  </si>
  <si>
    <t>SAN Electro Heat A/S , Correspondance 2019</t>
  </si>
  <si>
    <t xml:space="preserve"> Transformer electricity losses are not included, and the efficiency will thus be 100%.</t>
  </si>
  <si>
    <t xml:space="preserve"> Auxilliary consumption based on gas burner as the fan power is comparable. Any pretreatment (grinding, etc.) of the fuel is not included.</t>
  </si>
  <si>
    <t xml:space="preserve"> The regulation is dependant on the flow conditions and the subsequent surface temperature, the chosen value is an average.</t>
  </si>
  <si>
    <t xml:space="preserve"> Unit price from San Electro Heat, installed price assessed by Viegand Maagøe. The assessment is an experience based guess as no concrete data was retrieved.</t>
  </si>
  <si>
    <t xml:space="preserve"> Units are composed of multiple heating elements, each unit is installed with backup elements that can be enabled if some of the elements fail, resulting in minimal downtime and O&amp;M during the lifetime of the equipment.</t>
  </si>
  <si>
    <t>Heat pump, up to 60 °C, Temp lift = 40 K</t>
  </si>
  <si>
    <t>1, 3</t>
  </si>
  <si>
    <t>B,C</t>
  </si>
  <si>
    <t xml:space="preserve"> - of which equipment (%)</t>
  </si>
  <si>
    <t xml:space="preserve"> - of which installation (%)</t>
  </si>
  <si>
    <t>Fixed O&amp;M (€/MJ/s/year)</t>
  </si>
  <si>
    <t/>
  </si>
  <si>
    <t xml:space="preserve">SO2 (g per GJ fuel) </t>
  </si>
  <si>
    <t xml:space="preserve">NOX (g per GJ fuel) </t>
  </si>
  <si>
    <r>
      <t xml:space="preserve">FIX O&amp;M </t>
    </r>
    <r>
      <rPr>
        <b/>
        <sz val="11"/>
        <color indexed="8"/>
        <rFont val="Calibri"/>
        <family val="2"/>
      </rPr>
      <t>dkr/kW/year</t>
    </r>
    <r>
      <rPr>
        <sz val="11"/>
        <color theme="1"/>
        <rFont val="Calibri"/>
        <family val="2"/>
        <scheme val="minor"/>
      </rPr>
      <t xml:space="preserve">
C55*$G$4/1000
fixed OM * currency conversion</t>
    </r>
  </si>
  <si>
    <r>
      <t xml:space="preserve">Variable O&amp;M in </t>
    </r>
    <r>
      <rPr>
        <b/>
        <sz val="11"/>
        <color indexed="8"/>
        <rFont val="Calibri"/>
        <family val="2"/>
      </rPr>
      <t xml:space="preserve">dkr/GJ
</t>
    </r>
    <r>
      <rPr>
        <sz val="11"/>
        <color rgb="FF000000"/>
        <rFont val="Calibri"/>
        <family val="2"/>
      </rPr>
      <t>C56*$G$4/3,6</t>
    </r>
    <r>
      <rPr>
        <sz val="11"/>
        <color theme="1"/>
        <rFont val="Calibri"/>
        <family val="2"/>
        <scheme val="minor"/>
      </rPr>
      <t xml:space="preserve">
Variable OM * currency conversion </t>
    </r>
  </si>
  <si>
    <t>Viegand Maagøe, 2019.</t>
  </si>
  <si>
    <t>Technological data for energy plants (Compressions Heat Pumps for DH), Energistyrelsen, 2017</t>
  </si>
  <si>
    <t xml:space="preserve"> EHPA, Large Scale heat pumps in Europe, 2019</t>
  </si>
  <si>
    <t>Danish Enegy Agency, Technology Data - Energy Plants for Electricity and District heating generation, 2016</t>
  </si>
  <si>
    <t>http://www.planenergi.dk/varmepumper/. Drejebog til store varmepumpeprojekter i fjernvarmesystemet, 2014. [Online]</t>
  </si>
  <si>
    <t>Danish Energy Agency, Inspirationskatalog for store varmepumper, 2017</t>
  </si>
  <si>
    <t>0,5-5 MW</t>
  </si>
  <si>
    <t>Estimated based on cases presented in [3]</t>
  </si>
  <si>
    <t>Based on lost produktion during startup/shutdown</t>
  </si>
  <si>
    <t xml:space="preserve">May vary depending on heat source availability </t>
  </si>
  <si>
    <r>
      <t xml:space="preserve">Very individual, can vary </t>
    </r>
    <r>
      <rPr>
        <sz val="9"/>
        <rFont val="Calibri"/>
        <family val="2"/>
      </rPr>
      <t>÷</t>
    </r>
    <r>
      <rPr>
        <sz val="9"/>
        <rFont val="Arial"/>
        <family val="2"/>
      </rPr>
      <t xml:space="preserve"> 20 %</t>
    </r>
  </si>
  <si>
    <t>Very individual, can vary + 20 %</t>
  </si>
  <si>
    <t>Going from current implementation to potential</t>
  </si>
  <si>
    <t>Uses waste heat</t>
  </si>
  <si>
    <t>Heat pump 60C new 1</t>
  </si>
  <si>
    <t>Heat pump, up to 70 °C, Temp lift = 50 K</t>
  </si>
  <si>
    <t>8.Other processes &lt;150⁰C,</t>
  </si>
  <si>
    <t>Heat pump 70C new 1</t>
  </si>
  <si>
    <t>Heat pump, up to 80 °C, Temp lift = 60 K</t>
  </si>
  <si>
    <t>Heat pump 80C new 1</t>
  </si>
  <si>
    <t xml:space="preserve"> Mechanical vapor recompression</t>
  </si>
  <si>
    <t>Medium 
temperature</t>
  </si>
  <si>
    <t>Mechanical Vapor Recompression new 1</t>
  </si>
  <si>
    <t>1-30 MW</t>
  </si>
  <si>
    <t xml:space="preserve">A single unit is roughly limited to 6 MW, due to size, but the units are often connected to one unit at the site. Giving the possibility for larger capacities. </t>
  </si>
  <si>
    <t>Based on lost production during startup/shutdown</t>
  </si>
  <si>
    <t>Only relevant if heat source are process cooling</t>
  </si>
  <si>
    <t>Heat driven heat pumps, up to 80 °C</t>
  </si>
  <si>
    <t>Cf. the utilized heat</t>
  </si>
  <si>
    <t>Viegand Maagøe, MVR, 2018</t>
  </si>
  <si>
    <t>Technological data for energi plants (Compressions Heat Pumps for DH), Energistyrelsen, 2017</t>
  </si>
  <si>
    <t>Viegand Maagøe, 2019</t>
  </si>
  <si>
    <t>EPCON, EVAPORATION TECHNOLOGY, 2019</t>
  </si>
  <si>
    <t>EPCON investment cost offer, 2017.</t>
  </si>
  <si>
    <t>5-50 MW</t>
  </si>
  <si>
    <t>Assumed temperature lift of 5 K (saturation temperatur)</t>
  </si>
  <si>
    <t>Not relevant</t>
  </si>
  <si>
    <t>Heat driven heat pump 80C new 1</t>
  </si>
  <si>
    <t>Booster heat pump, up to 150 °C, Temp lift = 130 K, steam</t>
  </si>
  <si>
    <t>M</t>
  </si>
  <si>
    <t>N</t>
  </si>
  <si>
    <t>https://www.sciencedirect.com/topics/engineering/partial-load</t>
  </si>
  <si>
    <t>Van der Spek, et. Al., Challenges and uncertainties of ex ante techno-economic analysis of low
TRL CO2 capture technology: Lessons from a case study of an NGCC with
exhaust gas recycle and electric swing adsorption, 2017</t>
  </si>
  <si>
    <t>1-15 MW</t>
  </si>
  <si>
    <t>Utilising waste heat above 30 °C will increase COP. Waste heat up to 75 °C can be utilised</t>
  </si>
  <si>
    <t xml:space="preserve">Calculated from manufacturer software and manufacturer offer. </t>
  </si>
  <si>
    <t>Assumed similar to electrical compression heat pump and mechanical vapor recompression technologies</t>
  </si>
  <si>
    <t>Assumed similar to high temperature heat pump technologies</t>
  </si>
  <si>
    <r>
      <t xml:space="preserve">Very individual, can vary </t>
    </r>
    <r>
      <rPr>
        <sz val="9"/>
        <rFont val="Calibri"/>
        <family val="2"/>
      </rPr>
      <t>÷</t>
    </r>
    <r>
      <rPr>
        <sz val="9"/>
        <rFont val="Arial"/>
        <family val="2"/>
      </rPr>
      <t xml:space="preserve"> 10 %</t>
    </r>
  </si>
  <si>
    <t>Very individual, can vary + 10 %</t>
  </si>
  <si>
    <t>Assumed 10 % higher than electrical compression heat pump. The turbo compressors have low O&amp;M</t>
  </si>
  <si>
    <t>Going from simple implementation to potential</t>
  </si>
  <si>
    <t>Booster heat pump 150C new 1</t>
  </si>
  <si>
    <t>High temperature heat pumps, up to 125 °C</t>
  </si>
  <si>
    <t>1, 3, 4</t>
  </si>
  <si>
    <t>http://www.planenergi.dk/varmepumper/.</t>
  </si>
  <si>
    <t>Teknologisk instutut, Hybridvarmepumpe til fjernvarme, 2018</t>
  </si>
  <si>
    <t>Energiforskning, Højtemperatur varmepumper kan bruge lavtemperatur spildvarme, 2013</t>
  </si>
  <si>
    <r>
      <t xml:space="preserve">Jensen, J., Elmegaard, B., and Markussen, W. </t>
    </r>
    <r>
      <rPr>
        <i/>
        <sz val="9"/>
        <color theme="1"/>
        <rFont val="Arial"/>
        <family val="2"/>
      </rPr>
      <t xml:space="preserve">Industrial heat pumps for high temperature process applications.: A numerical study of the ammonia-water hybrid absorption-compression heat pump. </t>
    </r>
    <r>
      <rPr>
        <sz val="9"/>
        <color theme="1"/>
        <rFont val="Arial"/>
        <family val="2"/>
      </rPr>
      <t>PhD thesis. ,2016</t>
    </r>
  </si>
  <si>
    <t>Calculated from start-up loss</t>
  </si>
  <si>
    <t>Slightly higher than large heat pumps [11]</t>
  </si>
  <si>
    <t xml:space="preserve">Theoretically as low as 10 %. For screw as low as 25 %, lower than that will affect the performance drastically. </t>
  </si>
  <si>
    <t>High temperature abs. heat pump new 1</t>
  </si>
  <si>
    <t>Nominal investment (M€ per MW) is the same as k EUR/kW [1000 EUR/kW]</t>
  </si>
  <si>
    <t>Specific investment in dkr/kW 
C50*$G$4*1000
specific/nominal? investment cost *  currency conversion *1000</t>
  </si>
  <si>
    <t xml:space="preserve"> Specific investment in dkr/unit</t>
  </si>
  <si>
    <t>FIX O&amp;M dkr/kW/year
C55*$G$4/1000
fixed OM * currency conversion</t>
  </si>
  <si>
    <t xml:space="preserve">Variable O&amp;M in dkr/GJ
C56*$G$4/3,6
Variable OM * currency conversion </t>
  </si>
  <si>
    <t>High temperature heat pumps, up to 150 °C</t>
  </si>
  <si>
    <t>High temperature abs. heat pump new 2</t>
  </si>
  <si>
    <t>Corrected to technology readiness level (Not commercially avaiable at the moment)</t>
  </si>
  <si>
    <t>Catalogue has two absorption heat pumps that are aggregated into one technology!</t>
  </si>
  <si>
    <t>NB: average efficiency and investment cost of the two available temperature intervals</t>
  </si>
  <si>
    <t>Hotdisc</t>
  </si>
  <si>
    <t>4,5</t>
  </si>
  <si>
    <t>Dielectric heating</t>
  </si>
  <si>
    <t>6,7,8</t>
  </si>
  <si>
    <t>H,I</t>
  </si>
  <si>
    <t>Thermex Thermatron, https://thermex-thermatron.com/industrial-microwave-generators/, 2019</t>
  </si>
  <si>
    <t>Technological Institute, https://www.dti.dk/industrial-microwave-processing/</t>
  </si>
  <si>
    <t>Cellencor, https://www.cellencor.com, 2019</t>
  </si>
  <si>
    <t>Bi.Elle, http://www.microwaves.it/ing/company.htm, 2019</t>
  </si>
  <si>
    <t>A.M. Hasna, Microwave Processing Applications in Chemical Engineering: Cost Analysis, 2011</t>
  </si>
  <si>
    <t>Tony Koral, Considerations for Commercial Success, 2013
in new RF and Microwave Industrial
Heating Applications</t>
  </si>
  <si>
    <t>Bi.Elle, Personal communication, 2019</t>
  </si>
  <si>
    <t>Beyond Zero Emissions Inc, Zero Carbon Industry Plan
Electrifying Industry, 2018</t>
  </si>
  <si>
    <t>0,01-0,2 MW</t>
  </si>
  <si>
    <t>Cooling system account for a small loss</t>
  </si>
  <si>
    <t>The capacity is often specifically regulated to product flow</t>
  </si>
  <si>
    <t>Can vary quite significantly, as different applications requires different additional subsystems.</t>
  </si>
  <si>
    <t xml:space="preserve">The magnatron (microwave generator) has a lifetime of around 10.000 hours of operation. Replacement of magnatron are included here. </t>
  </si>
  <si>
    <t xml:space="preserve">Infrared will have non energy gains, but it has not been possible to estimate. </t>
  </si>
  <si>
    <t xml:space="preserve">Treatment times are up to 20 times faster than traditional systems. </t>
  </si>
  <si>
    <t>FLSmidth, Personal communication, 2019</t>
  </si>
  <si>
    <t>European Commision, The potential for CCS and CCU in Europe, 2019</t>
  </si>
  <si>
    <t>Sampo Kour, et Al., The potential for CCUS in selected industrial sectors – summary ofconcept evaluations in Finland, 2017</t>
  </si>
  <si>
    <t>10-100 MW</t>
  </si>
  <si>
    <t>36-72 hours</t>
  </si>
  <si>
    <t>Assumed equal to waste used in incineration power plant</t>
  </si>
  <si>
    <t>Includes retrofit to existing system</t>
  </si>
  <si>
    <t xml:space="preserve">If a rebuillt of the system is necessary, this cost need to be included. E.g. if a cement oven is a separate line and not inline system. </t>
  </si>
  <si>
    <t>Typically engineered to remove 80-90 %, above 95 % is possible</t>
  </si>
  <si>
    <t>The fuel is waste and the waste needs minimum pre-handling. Large pieces of waste can be fired directly in the Hotdisc. Cost of waste will be lower than at an inceration plant</t>
  </si>
  <si>
    <t>Infrared heating</t>
  </si>
  <si>
    <t>I,J</t>
  </si>
  <si>
    <t>Netek IR System A/S, Personal communication, 2019</t>
  </si>
  <si>
    <t>IG Infrared, https://www.ig-infrared.com, 2019</t>
  </si>
  <si>
    <r>
      <rPr>
        <i/>
        <sz val="10"/>
        <color rgb="FF222222"/>
        <rFont val="Calibri"/>
        <family val="2"/>
        <scheme val="minor"/>
      </rPr>
      <t>American Society of. Heating, Refrigerating and Air-Conditioning Engineers, ASHRAE Handbook – Heating, Ventilating, and Air-Conditioning Systems and Equipment (I-P Edition)</t>
    </r>
    <r>
      <rPr>
        <sz val="10"/>
        <color rgb="FF222222"/>
        <rFont val="Calibri"/>
        <family val="2"/>
        <scheme val="minor"/>
      </rPr>
      <t>, 2008</t>
    </r>
  </si>
  <si>
    <t>The electricity to heat efficiency is 100 %, but not all of the electricity is converted to radiant energy [5]</t>
  </si>
  <si>
    <t xml:space="preserve">A part of the electricity is conveted to convective heat, and some of it is lost to surrounding. </t>
  </si>
  <si>
    <t xml:space="preserve">A system often consist of mulitiple emitters, giving the possiblity in turn emitters off individually. </t>
  </si>
  <si>
    <t xml:space="preserve">The emitters have a lifetime of 10.000 to 15.000 hours of operation. Replacement of emitters are included here. </t>
  </si>
  <si>
    <t xml:space="preserve">Heating time is 7 to 40 times faster than convective ovens. Uptake much less space which enable possible expansion. </t>
  </si>
  <si>
    <t>Electric boiler, 10 kV, steam</t>
  </si>
  <si>
    <t>1,2</t>
  </si>
  <si>
    <t>AS:scan, Personal communication, 2019</t>
  </si>
  <si>
    <t>Tjæreborg Industri, Personal communication, 2019</t>
  </si>
  <si>
    <t>10-60 MW</t>
  </si>
  <si>
    <t>Electrode boilers at medium-high voltage are directly connected to the distribution grid. Costs for the distribution board are included
in the equipment costs.</t>
  </si>
  <si>
    <t>Investment cos is slightly higher than for a hot water boiler.</t>
  </si>
  <si>
    <t>Electric boiler new 1</t>
  </si>
  <si>
    <t>Infrared new 1</t>
  </si>
  <si>
    <t>Dielectric heating new 1</t>
  </si>
  <si>
    <t>Hotdisc new 1</t>
  </si>
  <si>
    <t>Electric boiler, 10 kV, hot water</t>
  </si>
  <si>
    <t>Electric boiler new 2</t>
  </si>
  <si>
    <t>Steam boiler, Wood Chips</t>
  </si>
  <si>
    <t>F,G,H,I</t>
  </si>
  <si>
    <t xml:space="preserve">Plants for district heating is around 6 MW, and CHP ranging up to 200-300 MW. 20 MW is considered commom in industry </t>
  </si>
  <si>
    <t>Assumed slightly higher than gas boiler</t>
  </si>
  <si>
    <t>Estimated based on gas boiler and wood CHP plant</t>
  </si>
  <si>
    <t xml:space="preserve">Viegand Maagøe A/S experience </t>
  </si>
  <si>
    <t xml:space="preserve">Future cost prediction is based on average cost development of other similar technologies. </t>
  </si>
  <si>
    <t>5 % higher for wood pellet</t>
  </si>
  <si>
    <t>Steam boiler, Wood chips (Condensing)</t>
  </si>
  <si>
    <t>L,M</t>
  </si>
  <si>
    <t>E,F,G,H</t>
  </si>
  <si>
    <t xml:space="preserve">Rambøll Danmark, internal evaluation based on either existing projects, supplier offers, or pre-project studies.  Used for estimation of the efficiency for technology "09a Wood Chips HOP" heat only boilers, woodchips 6W in the Technology Data - Energy Plants for Electricity and District heating generation, version  0007 January 2020 </t>
  </si>
  <si>
    <t xml:space="preserve">L. </t>
  </si>
  <si>
    <t xml:space="preserve">Assuming that the system is optimised at a inlet temperature of 40°C. </t>
  </si>
  <si>
    <t xml:space="preserve">M. </t>
  </si>
  <si>
    <t xml:space="preserve">The efficiency is for a plant using woodchips with a water content of 50% and wetting of the combusting air. If other types of wood- biomass is assumed the efficiency should be reduced accordingly. </t>
  </si>
  <si>
    <t>Biomass boiler new 3</t>
  </si>
  <si>
    <t>Hot water boiler, Wood Chips</t>
  </si>
  <si>
    <t>Hot water boiler, Wood chips (Condensing)</t>
  </si>
  <si>
    <t>E,F,G</t>
  </si>
  <si>
    <t>Biomass boiler new 1</t>
  </si>
  <si>
    <t>Biomass boiler new 2</t>
  </si>
  <si>
    <t>Biomass boiler new 4</t>
  </si>
  <si>
    <t>fuel?</t>
  </si>
  <si>
    <t>FLO_MARK</t>
  </si>
  <si>
    <t>Trad. Heat pump 80C</t>
  </si>
  <si>
    <t>Heat driven Heat pump 80C</t>
  </si>
  <si>
    <t>High Temp abs. Heat pump 150C</t>
  </si>
  <si>
    <t>Booster Heat pump 150C</t>
  </si>
  <si>
    <t>MVR</t>
  </si>
  <si>
    <t>Indirect</t>
  </si>
  <si>
    <t>Direct</t>
  </si>
  <si>
    <t>INDWST</t>
  </si>
  <si>
    <t>Infrared</t>
  </si>
  <si>
    <t>Electric boiler</t>
  </si>
  <si>
    <t>Biomass boiler</t>
  </si>
  <si>
    <t>Oil-fired boiler_NEW</t>
  </si>
  <si>
    <t>Natural gas boiler_NEW</t>
  </si>
  <si>
    <t>- Cement has to use waste as input</t>
  </si>
  <si>
    <t>- The added heat pumps use waste heat within industries themselves - how will this influence the district heating?</t>
  </si>
  <si>
    <t>- Should the heat pumps have another input than just INDELC or also industrial wasteheat?</t>
  </si>
  <si>
    <t>Direct electric heating</t>
  </si>
  <si>
    <t>Sheet names (for lookups)</t>
  </si>
  <si>
    <t>Sector name:</t>
  </si>
  <si>
    <t>Carbon Capture and Storage new 1</t>
  </si>
  <si>
    <t>Post-combustion carbon capture retrofit - 100 MW(th) WtE or biomass CHP plant</t>
  </si>
  <si>
    <t>Uncertainty (2025)</t>
  </si>
  <si>
    <r>
      <t>Typical total plant capacity (t CO2</t>
    </r>
    <r>
      <rPr>
        <vertAlign val="subscript"/>
        <sz val="8"/>
        <rFont val="Calibri"/>
        <family val="2"/>
        <scheme val="minor"/>
      </rPr>
      <t xml:space="preserve"> </t>
    </r>
    <r>
      <rPr>
        <sz val="8"/>
        <rFont val="Calibri"/>
        <family val="2"/>
        <scheme val="minor"/>
      </rPr>
      <t xml:space="preserve"> output / hour)</t>
    </r>
  </si>
  <si>
    <t>- Inputs at max capacity</t>
  </si>
  <si>
    <t xml:space="preserve">A) Mass of Fluegas (t/t CO2 output) </t>
  </si>
  <si>
    <r>
      <t>B1) CO</t>
    </r>
    <r>
      <rPr>
        <vertAlign val="subscript"/>
        <sz val="8"/>
        <rFont val="Calibri"/>
        <family val="2"/>
        <scheme val="minor"/>
      </rPr>
      <t>2</t>
    </r>
    <r>
      <rPr>
        <sz val="8"/>
        <rFont val="Calibri"/>
        <family val="2"/>
        <scheme val="minor"/>
      </rPr>
      <t xml:space="preserve"> share in fluegas input (%-vol, dry)</t>
    </r>
  </si>
  <si>
    <r>
      <t>B2) Flue gas temperature (0</t>
    </r>
    <r>
      <rPr>
        <sz val="8"/>
        <rFont val="Symbol"/>
        <family val="1"/>
        <charset val="2"/>
      </rPr>
      <t>°</t>
    </r>
    <r>
      <rPr>
        <sz val="8"/>
        <rFont val="Calibri"/>
        <family val="2"/>
        <scheme val="minor"/>
      </rPr>
      <t>C)</t>
    </r>
  </si>
  <si>
    <t xml:space="preserve">C1) Heat  input (MWh/t CO2-output) </t>
  </si>
  <si>
    <t xml:space="preserve">C2) Eletricity input (MWh/t CO2-output) </t>
  </si>
  <si>
    <t xml:space="preserve">C3)  Amine make-up (kg/t CO2-output) </t>
  </si>
  <si>
    <r>
      <t>Y)  Auxiliary products inputs (kg/t CO2-output</t>
    </r>
    <r>
      <rPr>
        <vertAlign val="subscript"/>
        <sz val="8"/>
        <rFont val="Calibri"/>
        <family val="2"/>
        <scheme val="minor"/>
      </rPr>
      <t xml:space="preserve"> </t>
    </r>
    <r>
      <rPr>
        <sz val="8"/>
        <rFont val="Calibri"/>
        <family val="2"/>
        <scheme val="minor"/>
      </rPr>
      <t xml:space="preserve">) </t>
    </r>
  </si>
  <si>
    <t>- Outputs at max capacity</t>
  </si>
  <si>
    <t>A2) CO2 purity prior to post cleaning (% vol)</t>
  </si>
  <si>
    <t>A3) Total pressure of CO2 gas (kPa(a))</t>
  </si>
  <si>
    <r>
      <t>Ax) CO</t>
    </r>
    <r>
      <rPr>
        <vertAlign val="subscript"/>
        <sz val="8"/>
        <rFont val="Calibri"/>
        <family val="2"/>
        <scheme val="minor"/>
      </rPr>
      <t>2</t>
    </r>
    <r>
      <rPr>
        <sz val="8"/>
        <rFont val="Calibri"/>
        <family val="2"/>
        <scheme val="minor"/>
      </rPr>
      <t xml:space="preserve"> capture rate, net (%)</t>
    </r>
  </si>
  <si>
    <t xml:space="preserve">C1) Heat out (MWh/t CO2-output) </t>
  </si>
  <si>
    <r>
      <t>C2) Temperature of heat out (</t>
    </r>
    <r>
      <rPr>
        <sz val="8"/>
        <rFont val="Symbol"/>
        <family val="1"/>
        <charset val="2"/>
      </rPr>
      <t>°</t>
    </r>
    <r>
      <rPr>
        <sz val="8"/>
        <rFont val="Calibri"/>
        <family val="2"/>
        <scheme val="minor"/>
      </rPr>
      <t>C)</t>
    </r>
  </si>
  <si>
    <t>X) Other Non-energy outputs (kg/t CO2-output)</t>
  </si>
  <si>
    <t>- other technical data</t>
  </si>
  <si>
    <t>Specific investment (mill € /[t CO2 output/hour])</t>
  </si>
  <si>
    <t xml:space="preserve"> - hereof capture plant (%)</t>
  </si>
  <si>
    <t xml:space="preserve"> - hereof CO₂ compression&amp;dehydration (%)</t>
  </si>
  <si>
    <t>- hereof utilities &amp; flue gas integration (%)</t>
  </si>
  <si>
    <t xml:space="preserve"> - hereof heat integration (%)</t>
  </si>
  <si>
    <t xml:space="preserve"> - hereof Owner's cost (%)</t>
  </si>
  <si>
    <t>Fixed O&amp;M (mill € /[t CO2 output/Hour])</t>
  </si>
  <si>
    <t>Variable O&amp;M (€ per t CO2 output)</t>
  </si>
  <si>
    <t>Startup cost (€ per startup/[t CO2/hour])</t>
  </si>
  <si>
    <t xml:space="preserve">Technology specific data                                 </t>
  </si>
  <si>
    <t>CO₂ compression and dehydration - Electricity input (MWh/t CO₂ output)</t>
  </si>
  <si>
    <t>CO₂ compression and dehydration - Heat out (MWh/t CO₂ output)</t>
  </si>
  <si>
    <t>Comm-OUT-A</t>
  </si>
  <si>
    <t>Share-I</t>
  </si>
  <si>
    <t>VDA_FLOP</t>
  </si>
  <si>
    <t>*COP</t>
  </si>
  <si>
    <t>WH Base input:</t>
  </si>
  <si>
    <t>HT</t>
  </si>
  <si>
    <t>MT</t>
  </si>
  <si>
    <t>RH</t>
  </si>
  <si>
    <t>NRG</t>
  </si>
  <si>
    <t>INDGWH</t>
  </si>
  <si>
    <t>CC capacity is chosen to match flue gas flow and CO₂ emission from a 100 MWth biomass boiler. Larger capacites available today if required.</t>
  </si>
  <si>
    <t>The biomass CHP is assumed to be equipped with flue gas condensation, hence flue gas is available at 35 deg. C</t>
  </si>
  <si>
    <t>Heat is supplied as low pressure steam 3-5 bara and (130-150 deg. C)</t>
  </si>
  <si>
    <t>Electricity consumption includes additional CC plant, flue gas fan work and cooling water pumps, but no ID cooling tower, other utilities. CO₂ compression and drying not included.</t>
  </si>
  <si>
    <t>Purity given on wet basis. On dry basis purity is &gt;99.95%vol</t>
  </si>
  <si>
    <t>CO₂ pressure at outlet flange. Future processes is expected to deliver CO₂ at higher pressure (save compression work)</t>
  </si>
  <si>
    <t>The CO₂ capture percentage from the flue gas is expected to increase from today's 90% to 95% in 2050.</t>
  </si>
  <si>
    <t>20% of heat is available at 80 deg. C, 80% is available at 50 deg C. The reported 60 deg C is an weighed average.</t>
  </si>
  <si>
    <t>Total cost including site integration and CO₂ compression. CAPEX is expected to decrease by 40% in 2050 as the market develops. Total capital investment is calculated as plant capacity (t CO₂ output/h) multiplied by the specific investment cost</t>
  </si>
  <si>
    <t>If the CHP is euipped with flue gas condensation to &lt;40 deg C the precooler of the CC plant may be omitted. The CC plant cost can in that case be reduced with 5% and the utility cost with 20% (because of less cooling requirement)</t>
  </si>
  <si>
    <t>If CO₂ should be delivered liquefied for truck or road transport, a liquefaction plant must be added hence increase this post with 50% + interim storage (specified in chapter on CO₂ transport of Technology Catalogue)</t>
  </si>
  <si>
    <t>Substantial cost have been included for heat integration which covers steam turbine modification, coupling to district heating net. Heat pump technology for upgrade of low temp waste heat not included.</t>
  </si>
  <si>
    <t>Fixed O&amp;M is taken as 3% of CAPEX</t>
  </si>
  <si>
    <t>Assume compression from CC plant outlet pressure to 150 bar and drying to &lt; 50 ppmv H₂O. Specific power consumption decrease with time as CO₂ is delivered at increasingly higher pressure from the CC plant</t>
  </si>
  <si>
    <t>kt CO2/PJ</t>
  </si>
  <si>
    <r>
      <t xml:space="preserve">FIX O&amp;M </t>
    </r>
    <r>
      <rPr>
        <b/>
        <sz val="11"/>
        <color indexed="8"/>
        <rFont val="Calibri"/>
        <family val="2"/>
      </rPr>
      <t>dkr/kW</t>
    </r>
    <r>
      <rPr>
        <sz val="11"/>
        <color theme="1"/>
        <rFont val="Calibri"/>
        <family val="2"/>
        <scheme val="minor"/>
      </rPr>
      <t xml:space="preserve">
C55*$G$4/1000
fixed OM * currency conversion</t>
    </r>
  </si>
  <si>
    <t>Post-combustion carbon capture retrofit - 500 MW(th) biomass-fired boiler</t>
  </si>
  <si>
    <t>A1) CO2 purity prior to post cleaning (% vol)</t>
  </si>
  <si>
    <t>A2) Total pressure of CO2 gas (kPa(a))</t>
  </si>
  <si>
    <t>Typical total plant capacity (t CO2  output / hour)</t>
  </si>
  <si>
    <t>B1) CO2 share in fluegas input (%-vol, dry)</t>
  </si>
  <si>
    <t>B2) Flue gas temperature (°C)</t>
  </si>
  <si>
    <t xml:space="preserve">Y)  Auxiliary products inputs (kg/t CO2-output ) </t>
  </si>
  <si>
    <t>A3) CO2 capture rate, net (%)</t>
  </si>
  <si>
    <t>C2) Temperature of heat out (°C)</t>
  </si>
  <si>
    <t>t CO2/MWh</t>
  </si>
  <si>
    <t>Natural gas:</t>
  </si>
  <si>
    <t>MWh/t CO2</t>
  </si>
  <si>
    <t>INV</t>
  </si>
  <si>
    <t>FIX-OM</t>
  </si>
  <si>
    <t>Var-OM</t>
  </si>
  <si>
    <t>Mdkk/MW</t>
  </si>
  <si>
    <t>Steam boiler, Coal</t>
  </si>
  <si>
    <t>Nominal investment (M€ per MW)</t>
  </si>
  <si>
    <t>Only a few plant of this type is in operation in Denmark. Nordic Suger operates a 33 MW - which is considered above average</t>
  </si>
  <si>
    <t>Estimated based on gas boiler and coal CHP plant</t>
  </si>
  <si>
    <t>Coal boiler new 1</t>
  </si>
  <si>
    <t>Hot water boiler, Coal</t>
  </si>
  <si>
    <t>E,F</t>
  </si>
  <si>
    <t>Coal boiler new 2</t>
  </si>
  <si>
    <t>Coal boiler</t>
  </si>
  <si>
    <t>dkk/GJ</t>
  </si>
  <si>
    <t>=Mdkk/PJ</t>
  </si>
  <si>
    <t>INPUT</t>
  </si>
  <si>
    <t xml:space="preserve">Fixed ELCC </t>
  </si>
  <si>
    <t>OUTPUT</t>
  </si>
  <si>
    <t>Output in given unit/PJ_output</t>
  </si>
  <si>
    <t>Comm-IN-A</t>
  </si>
  <si>
    <t>Input name</t>
  </si>
  <si>
    <t>Auxiliary Input</t>
  </si>
  <si>
    <t>Output name</t>
  </si>
  <si>
    <t>Auxilary Output</t>
  </si>
  <si>
    <t>INDNGA</t>
  </si>
  <si>
    <t>INDGWH, CCXCO2</t>
  </si>
  <si>
    <t>IGDHT</t>
  </si>
  <si>
    <t>ELCCOA</t>
  </si>
  <si>
    <t>ELCHFO</t>
  </si>
  <si>
    <t>ELCDSL</t>
  </si>
  <si>
    <t>ELCNGA</t>
  </si>
  <si>
    <t>ELCBGA</t>
  </si>
  <si>
    <t>ELCWPE</t>
  </si>
  <si>
    <t>ELCWCH</t>
  </si>
  <si>
    <t>ELCSTR</t>
  </si>
  <si>
    <t>ELCWST</t>
  </si>
  <si>
    <t>ELCWIN</t>
  </si>
  <si>
    <t>ELCSOL</t>
  </si>
  <si>
    <t>ELCGEO</t>
  </si>
  <si>
    <t>ELCHYD</t>
  </si>
  <si>
    <t>ELCWAV</t>
  </si>
  <si>
    <t>*Units</t>
  </si>
  <si>
    <t>kg/GJ</t>
  </si>
  <si>
    <t>CO2</t>
  </si>
  <si>
    <t>t CO2 emission/MWh input</t>
  </si>
  <si>
    <t>EL/heat</t>
  </si>
  <si>
    <t>Year</t>
  </si>
  <si>
    <t>Capture rate</t>
  </si>
  <si>
    <t>This is the required formatting of the table, for implementing CCS to the industry sheets directly</t>
  </si>
  <si>
    <t>Coal</t>
  </si>
  <si>
    <t xml:space="preserve"> </t>
  </si>
  <si>
    <t>Iron &amp; Steel</t>
  </si>
  <si>
    <t>1. Oil-fired boiler</t>
  </si>
  <si>
    <t>Oil burner (mineral oil fired, &lt;10 % FAME)</t>
  </si>
  <si>
    <t>15-30</t>
  </si>
  <si>
    <t>Fixed O&amp;M (€/year)</t>
  </si>
  <si>
    <t>Oil burner (bio oil)</t>
  </si>
  <si>
    <t>&gt; 30</t>
  </si>
  <si>
    <t>Specific investment (1000€/unit) - 400 kW unit</t>
  </si>
  <si>
    <t>Other</t>
  </si>
  <si>
    <t>Vehicles</t>
  </si>
  <si>
    <t>Utilities</t>
  </si>
  <si>
    <t>MKr15</t>
  </si>
  <si>
    <t>Glass &amp; Concrete industry Demand Heat Medium Temp. up to 150C</t>
  </si>
  <si>
    <t>Glass &amp; Concrete industry Demand Heat High Temp. over 150C</t>
  </si>
  <si>
    <t>Glass &amp; Concrete industry Demand Heat Room Heat</t>
  </si>
  <si>
    <t>IGDLA</t>
  </si>
  <si>
    <t>Glass &amp; Concrete industry Demand Light</t>
  </si>
  <si>
    <t>IGDEM</t>
  </si>
  <si>
    <t>Glass &amp; Concrete industry Demand Electric Motors</t>
  </si>
  <si>
    <t>IGDTF</t>
  </si>
  <si>
    <t>Glass &amp; Concrete industry Demand Haulage Tractors, Trucks, Fishing boats, Forest machines</t>
  </si>
  <si>
    <t>IGDFL</t>
  </si>
  <si>
    <t>Glass &amp; Concrete industry Demand Haulage Forklifts</t>
  </si>
  <si>
    <t>Chemical industry Demand Heat Medium Temp. up to 150C</t>
  </si>
  <si>
    <t>Chemical industry Demand Heat High Temp. over 150C</t>
  </si>
  <si>
    <t>Chemical industry Demand Heat Room Heat</t>
  </si>
  <si>
    <t>ICDLA</t>
  </si>
  <si>
    <t>Chemical industry Demand Light</t>
  </si>
  <si>
    <t>ICDEM</t>
  </si>
  <si>
    <t>Chemical industry Demand Electric Motors</t>
  </si>
  <si>
    <t>ICDTF</t>
  </si>
  <si>
    <t>Chemical industry Demand Haulage Tractors, Trucks, Fishing boats, Forest machines</t>
  </si>
  <si>
    <t>ICDFL</t>
  </si>
  <si>
    <t>Chemical industry Demand Haulage Forklifts</t>
  </si>
  <si>
    <t>Food industry Demand Heat Medium Temp. up to 150C</t>
  </si>
  <si>
    <t>Food industry Demand Heat High Temp. over 150C</t>
  </si>
  <si>
    <t>Food industry Demand Heat Room Heat</t>
  </si>
  <si>
    <t>IFDLA</t>
  </si>
  <si>
    <t>Food industry Demand Light</t>
  </si>
  <si>
    <t>IFDEM</t>
  </si>
  <si>
    <t>Food industry Demand Electric Motors</t>
  </si>
  <si>
    <t>IFDTF</t>
  </si>
  <si>
    <t>Food industry Demand Haulage Tractors, Trucks, Fishing boats, Forest machines</t>
  </si>
  <si>
    <t>IFDFL</t>
  </si>
  <si>
    <t>Food industry Demand Haulage Forklifts</t>
  </si>
  <si>
    <t>Machinery industry Demand Heat Medium Temp. up to 150C</t>
  </si>
  <si>
    <t>Machinery industry Demand Heat High Temp. over 150C</t>
  </si>
  <si>
    <t>Machinery industry Demand Heat Room Heat</t>
  </si>
  <si>
    <t>IMDLA</t>
  </si>
  <si>
    <t>Machinery industry Demand Light</t>
  </si>
  <si>
    <t>IMDEM</t>
  </si>
  <si>
    <t>Machinery industry Demand Electric Motors</t>
  </si>
  <si>
    <t>IMDTF</t>
  </si>
  <si>
    <t>Machinery industry Demand Haulage Tractors, Trucks, Fishing boats, Forest machines</t>
  </si>
  <si>
    <t>IMDFL</t>
  </si>
  <si>
    <t>Machinery industry Demand Haulage Forklifts</t>
  </si>
  <si>
    <t>Aluminium industry Demand Heat Medium Temp. up to 150C</t>
  </si>
  <si>
    <t>Aluminium industry Demand Heat High Temp. over 150C</t>
  </si>
  <si>
    <t>Aluminium industry Demand Heat Room Heat</t>
  </si>
  <si>
    <t>Aluminium industry Demand Light</t>
  </si>
  <si>
    <t>Aluminium industry Demand Electric Motors</t>
  </si>
  <si>
    <t>Aluminium industry Demand Haulage Tractors, Trucks, Fishing boats, Forest machines</t>
  </si>
  <si>
    <t>Aluminium industry Demand Haulage Forklifts</t>
  </si>
  <si>
    <t>Iron &amp; Steel  Demand Heat Medium Temp. up to 150C</t>
  </si>
  <si>
    <t>Iron &amp; Steel  Demand Heat High Temp. over 150C</t>
  </si>
  <si>
    <t>Iron &amp; Steel  Demand Heat Room Heat</t>
  </si>
  <si>
    <t>ISDLA</t>
  </si>
  <si>
    <t>Iron &amp; Steel  Demand Light</t>
  </si>
  <si>
    <t>ISDEM</t>
  </si>
  <si>
    <t>Iron &amp; Steel  Demand Electric Motors</t>
  </si>
  <si>
    <t>ISDTF</t>
  </si>
  <si>
    <t>Iron &amp; Steel  Demand Haulage Tractors, Trucks, Fishing boats, Forest machines</t>
  </si>
  <si>
    <t>ISDFL</t>
  </si>
  <si>
    <t>Iron &amp; Steel  Demand Haulage Forklifts</t>
  </si>
  <si>
    <t>Mining Demand Heat Medium Temp. up to 150C</t>
  </si>
  <si>
    <t>Mining Demand Heat High Temp. over 150C</t>
  </si>
  <si>
    <t>Mining Demand Heat Room Heat</t>
  </si>
  <si>
    <t>IIDLA</t>
  </si>
  <si>
    <t>Mining Demand Light</t>
  </si>
  <si>
    <t>IIDEM</t>
  </si>
  <si>
    <t>Mining Demand Electric Motors</t>
  </si>
  <si>
    <t>IIDTF</t>
  </si>
  <si>
    <t>Mining Demand Haulage Tractors, Trucks, Fishing boats, Forest machines</t>
  </si>
  <si>
    <t>IIDFL</t>
  </si>
  <si>
    <t>Mining Demand Haulage Forklifts</t>
  </si>
  <si>
    <t>Other comm Demand Heat Medium Temp. up to 150C</t>
  </si>
  <si>
    <t>Other comm Demand Heat High Temp. over 150C</t>
  </si>
  <si>
    <t>Other comm Demand Heat Room Heat</t>
  </si>
  <si>
    <t>IODLA</t>
  </si>
  <si>
    <t>Other comm Demand Light</t>
  </si>
  <si>
    <t>IODEM</t>
  </si>
  <si>
    <t>Other comm Demand Electric Motors</t>
  </si>
  <si>
    <t>IODTF</t>
  </si>
  <si>
    <t>Other comm Demand Haulage Tractors, Trucks, Fishing boats, Forest machines</t>
  </si>
  <si>
    <t>IODFL</t>
  </si>
  <si>
    <t>Other comm Demand Haulage Forklifts</t>
  </si>
  <si>
    <t>Wood products industry Demand Heat Medium Temp. up to 150C</t>
  </si>
  <si>
    <t>Wood products industry Demand Heat High Temp. over 150C</t>
  </si>
  <si>
    <t>Wood products industry Demand Heat Room Heat</t>
  </si>
  <si>
    <t>IWDLA</t>
  </si>
  <si>
    <t>Wood products industry Demand Light</t>
  </si>
  <si>
    <t>IWDEM</t>
  </si>
  <si>
    <t>Wood products industry Demand Electric Motors</t>
  </si>
  <si>
    <t>IWDTF</t>
  </si>
  <si>
    <t>Wood products industry Demand Haulage Tractors, Trucks, Fishing boats, Forest machines</t>
  </si>
  <si>
    <t>IWDFL</t>
  </si>
  <si>
    <t>Wood products industry Demand Haulage Forklifts</t>
  </si>
  <si>
    <t>Paper &amp; Pulp industry Demand Heat Medium Temp. up to 150C</t>
  </si>
  <si>
    <t>Paper &amp; Pulp industry Demand Heat High Temp. over 150C</t>
  </si>
  <si>
    <t>Paper &amp; Pulp industry Demand Heat Room Heat</t>
  </si>
  <si>
    <t>IRDLA</t>
  </si>
  <si>
    <t>Paper &amp; Pulp industry Demand Light</t>
  </si>
  <si>
    <t>IRDEM</t>
  </si>
  <si>
    <t>Paper &amp; Pulp industry Demand Electric Motors</t>
  </si>
  <si>
    <t>IRDTF</t>
  </si>
  <si>
    <t>Paper &amp; Pulp industry Demand Haulage Tractors, Trucks, Fishing boats, Forest machines</t>
  </si>
  <si>
    <t>IRDFL</t>
  </si>
  <si>
    <t>Paper &amp; Pulp industry Demand Haulage Forklifts</t>
  </si>
  <si>
    <t>Decentral</t>
  </si>
  <si>
    <t>Central</t>
  </si>
  <si>
    <t>DKW</t>
  </si>
  <si>
    <t>DKE</t>
  </si>
  <si>
    <t>Years</t>
  </si>
  <si>
    <t>MKr/PJ</t>
  </si>
  <si>
    <t>MKr/MW</t>
  </si>
  <si>
    <t>Construction time</t>
  </si>
  <si>
    <t>ILED</t>
  </si>
  <si>
    <t>Technical life</t>
  </si>
  <si>
    <t>Fraction of capacity in peak equations</t>
  </si>
  <si>
    <t>Annual availability/utilization factor</t>
  </si>
  <si>
    <t>Units of activity/unit of capacity</t>
  </si>
  <si>
    <t>Annual variable O&amp;M cost</t>
  </si>
  <si>
    <t>Annual fixed O&amp;M cost</t>
  </si>
  <si>
    <t>Total cost of investment in new capacity</t>
  </si>
  <si>
    <t>Electricity consumption</t>
  </si>
  <si>
    <t xml:space="preserve">Minimum capacity for technology </t>
  </si>
  <si>
    <t>Peak</t>
  </si>
  <si>
    <t>*ELCC Input</t>
  </si>
  <si>
    <t>*Minimum capacity</t>
  </si>
  <si>
    <r>
      <t>N</t>
    </r>
    <r>
      <rPr>
        <vertAlign val="subscript"/>
        <sz val="9"/>
        <color theme="1"/>
        <rFont val="Arial"/>
        <family val="2"/>
      </rPr>
      <t>2</t>
    </r>
    <r>
      <rPr>
        <sz val="9"/>
        <color theme="1"/>
        <rFont val="Arial"/>
        <family val="2"/>
      </rPr>
      <t>O (g per GJ fuel)</t>
    </r>
  </si>
  <si>
    <r>
      <t>CH</t>
    </r>
    <r>
      <rPr>
        <vertAlign val="subscript"/>
        <sz val="9"/>
        <color theme="1"/>
        <rFont val="Arial"/>
        <family val="2"/>
      </rPr>
      <t>4</t>
    </r>
    <r>
      <rPr>
        <sz val="9"/>
        <color theme="1"/>
        <rFont val="Arial"/>
        <family val="2"/>
      </rPr>
      <t xml:space="preserve"> (g per GJ fuel)</t>
    </r>
  </si>
  <si>
    <r>
      <t>NO</t>
    </r>
    <r>
      <rPr>
        <vertAlign val="subscript"/>
        <sz val="9"/>
        <color theme="1"/>
        <rFont val="Arial"/>
        <family val="2"/>
      </rPr>
      <t>X</t>
    </r>
    <r>
      <rPr>
        <sz val="9"/>
        <color theme="1"/>
        <rFont val="Arial"/>
        <family val="2"/>
      </rPr>
      <t xml:space="preserve"> (g per GJ fuel)</t>
    </r>
  </si>
  <si>
    <r>
      <t>SO</t>
    </r>
    <r>
      <rPr>
        <vertAlign val="subscript"/>
        <sz val="9"/>
        <color theme="1"/>
        <rFont val="Arial"/>
        <family val="2"/>
      </rPr>
      <t>2</t>
    </r>
    <r>
      <rPr>
        <sz val="9"/>
        <color theme="1"/>
        <rFont val="Arial"/>
        <family val="2"/>
      </rPr>
      <t xml:space="preserve"> (g per GJ fuel)</t>
    </r>
  </si>
  <si>
    <t>Data for the danish energy agency 2017 technology catalog</t>
  </si>
  <si>
    <t>DKK/EU</t>
  </si>
  <si>
    <t>Degrees of waste heat</t>
  </si>
  <si>
    <t>Comm</t>
  </si>
  <si>
    <r>
      <t>- of which is other O&amp;M costs (€/MWh</t>
    </r>
    <r>
      <rPr>
        <vertAlign val="subscript"/>
        <sz val="9"/>
        <rFont val="Arial"/>
        <family val="2"/>
      </rPr>
      <t>heat</t>
    </r>
    <r>
      <rPr>
        <sz val="9"/>
        <rFont val="Arial"/>
        <family val="2"/>
      </rPr>
      <t>)</t>
    </r>
  </si>
  <si>
    <r>
      <t>- of which is electricity costs (€/MWh</t>
    </r>
    <r>
      <rPr>
        <vertAlign val="subscript"/>
        <sz val="9"/>
        <rFont val="Arial"/>
        <family val="2"/>
      </rPr>
      <t>heat</t>
    </r>
    <r>
      <rPr>
        <sz val="9"/>
        <rFont val="Arial"/>
        <family val="2"/>
      </rPr>
      <t>)</t>
    </r>
  </si>
  <si>
    <r>
      <t>Variable O&amp;M (€/MWh</t>
    </r>
    <r>
      <rPr>
        <vertAlign val="subscript"/>
        <sz val="9"/>
        <rFont val="Arial"/>
        <family val="2"/>
      </rPr>
      <t>heat</t>
    </r>
    <r>
      <rPr>
        <sz val="9"/>
        <rFont val="Arial"/>
        <family val="2"/>
      </rPr>
      <t>)</t>
    </r>
  </si>
  <si>
    <r>
      <t>Fixed O&amp;M (€/MW</t>
    </r>
    <r>
      <rPr>
        <vertAlign val="subscript"/>
        <sz val="9"/>
        <rFont val="Arial"/>
        <family val="2"/>
      </rPr>
      <t>heat</t>
    </r>
    <r>
      <rPr>
        <sz val="9"/>
        <rFont val="Arial"/>
        <family val="2"/>
      </rPr>
      <t>/year)</t>
    </r>
  </si>
  <si>
    <t>A, L</t>
  </si>
  <si>
    <r>
      <t>Nominal investment (M€ per MW</t>
    </r>
    <r>
      <rPr>
        <vertAlign val="subscript"/>
        <sz val="9"/>
        <rFont val="Arial"/>
        <family val="2"/>
      </rPr>
      <t>heat</t>
    </r>
    <r>
      <rPr>
        <sz val="9"/>
        <rFont val="Arial"/>
        <family val="2"/>
      </rPr>
      <t>)</t>
    </r>
  </si>
  <si>
    <t>8,10</t>
  </si>
  <si>
    <r>
      <t>Space requirement (1000m2 per MW</t>
    </r>
    <r>
      <rPr>
        <vertAlign val="subscript"/>
        <sz val="9"/>
        <rFont val="Arial"/>
        <family val="2"/>
      </rPr>
      <t>heat</t>
    </r>
    <r>
      <rPr>
        <sz val="9"/>
        <rFont val="Arial"/>
        <family val="2"/>
      </rPr>
      <t>)</t>
    </r>
  </si>
  <si>
    <t>I, M</t>
  </si>
  <si>
    <t>3, 4</t>
  </si>
  <si>
    <t>A, B, F, J</t>
  </si>
  <si>
    <t>Total eff., net (%), annual average, waste heat 40° C, reduced supply temp.</t>
  </si>
  <si>
    <r>
      <t xml:space="preserve">Total eff., net (%), annual average, waste heat </t>
    </r>
    <r>
      <rPr>
        <b/>
        <sz val="9"/>
        <color rgb="FFFF0000"/>
        <rFont val="Arial"/>
        <family val="2"/>
      </rPr>
      <t>20° C</t>
    </r>
    <r>
      <rPr>
        <sz val="9"/>
        <rFont val="Arial"/>
        <family val="2"/>
      </rPr>
      <t>, reduced supply temp.</t>
    </r>
  </si>
  <si>
    <t>Total eff., net (%), annual average, ambient heat source, reduced supply temp.</t>
  </si>
  <si>
    <t>A, F, J, K</t>
  </si>
  <si>
    <t>Total eff., net (%), annual average, ambient heat source, no dev. in supply temp.</t>
  </si>
  <si>
    <t>N/A</t>
  </si>
  <si>
    <r>
      <t>Heat generation capacity for one unit (MW</t>
    </r>
    <r>
      <rPr>
        <vertAlign val="subscript"/>
        <sz val="9"/>
        <rFont val="Arial"/>
        <family val="2"/>
      </rPr>
      <t>heat</t>
    </r>
    <r>
      <rPr>
        <sz val="9"/>
        <rFont val="Arial"/>
        <family val="2"/>
      </rPr>
      <t>)</t>
    </r>
  </si>
  <si>
    <t>40 Electrical compression heat pumps - district heating</t>
  </si>
  <si>
    <t>T_lm, source [C] =</t>
  </si>
  <si>
    <t>T_source out [K] =</t>
  </si>
  <si>
    <t>T_source in [K] =</t>
  </si>
  <si>
    <t>Currency Conversion</t>
  </si>
  <si>
    <t>Degrees of Source Temperature</t>
  </si>
  <si>
    <t>Total eff., net (%), annual average, waste heat 20° C, reduced supply temp.</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</si>
  <si>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</si>
  <si>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</si>
  <si>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</si>
  <si>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</si>
  <si>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</si>
  <si>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</si>
  <si>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</si>
  <si>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</si>
  <si>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</si>
  <si>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</si>
  <si>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</si>
  <si>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</si>
  <si>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</si>
  <si>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</si>
  <si>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</si>
  <si>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</si>
  <si>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</si>
  <si>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</si>
  <si>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</si>
  <si>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</si>
  <si>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</si>
  <si>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</si>
  <si>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</si>
  <si>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</si>
  <si>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</si>
  <si>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</si>
  <si>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</si>
  <si>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</si>
  <si>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</si>
  <si>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</si>
  <si>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</si>
  <si>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</si>
  <si>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</si>
  <si>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</si>
  <si>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</si>
  <si>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</si>
  <si>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</si>
  <si>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</si>
  <si>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</si>
  <si>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</si>
  <si>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</si>
  <si>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</si>
  <si>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</si>
  <si>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</si>
  <si>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</si>
  <si>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</si>
  <si>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</si>
  <si>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</si>
  <si>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</si>
  <si>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</si>
  <si>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</si>
  <si>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</si>
  <si>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</si>
  <si>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</si>
  <si>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</si>
  <si>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</si>
  <si>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</si>
  <si>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</si>
  <si>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</si>
  <si>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</si>
  <si>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</si>
  <si>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</si>
  <si>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</si>
  <si>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</si>
  <si>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</si>
  <si>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</si>
  <si>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</si>
  <si>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</si>
  <si>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</si>
  <si>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</si>
  <si>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</si>
  <si>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</si>
  <si>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</si>
  <si>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</si>
  <si>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</si>
  <si>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</si>
  <si>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</si>
  <si>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</si>
  <si>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</si>
  <si>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</si>
  <si>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</si>
  <si>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</si>
  <si>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</si>
  <si>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</si>
  <si>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</si>
  <si>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</si>
  <si>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</si>
  <si>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</si>
  <si>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</si>
  <si>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</si>
  <si>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</si>
  <si>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</si>
  <si>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</si>
  <si>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</si>
  <si>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</si>
  <si>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</si>
  <si>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</si>
  <si>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</si>
  <si>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</si>
  <si>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</si>
  <si>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</si>
  <si>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</si>
  <si>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</si>
  <si>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</si>
  <si>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</si>
  <si>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</si>
  <si>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</si>
  <si>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</si>
  <si>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</si>
  <si>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</si>
  <si>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</si>
  <si>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</si>
  <si>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</si>
  <si>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</si>
  <si>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</si>
  <si>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</si>
  <si>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</si>
  <si>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</si>
  <si>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</si>
  <si>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</si>
  <si>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</si>
  <si>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</si>
  <si>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</si>
  <si>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</si>
  <si>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</si>
  <si>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</si>
  <si>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</si>
  <si>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</si>
  <si>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</si>
  <si>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</si>
  <si>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</si>
  <si>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</si>
  <si>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</si>
  <si>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</si>
  <si>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</si>
  <si>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</si>
  <si>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</si>
  <si>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</si>
  <si>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</si>
  <si>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</si>
  <si>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</si>
  <si>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</si>
  <si>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</si>
  <si>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</si>
  <si>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</si>
  <si>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</si>
  <si>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</si>
  <si>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</si>
  <si>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</si>
  <si>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</si>
  <si>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</si>
  <si>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</si>
  <si>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</si>
  <si>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</si>
  <si>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</si>
  <si>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</si>
  <si>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</si>
  <si>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</si>
  <si>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</si>
  <si>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</si>
  <si>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</si>
  <si>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</si>
  <si>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</si>
  <si>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</si>
  <si>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</si>
  <si>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</si>
  <si>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</si>
  <si>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</si>
  <si>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</si>
  <si>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</si>
  <si>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</si>
  <si>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</si>
  <si>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</si>
  <si>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</si>
  <si>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</si>
  <si>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</si>
  <si>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</si>
  <si>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</si>
  <si>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</si>
  <si>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</si>
  <si>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</si>
  <si>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</si>
  <si>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</si>
  <si>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</si>
  <si>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</si>
  <si>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</si>
  <si>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</si>
  <si>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</si>
  <si>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</si>
  <si>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</si>
  <si>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</si>
  <si>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</si>
  <si>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</si>
  <si>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</si>
  <si>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</si>
  <si>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</si>
  <si>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</si>
  <si>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</si>
  <si>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</si>
  <si>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</si>
  <si>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</si>
  <si>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</si>
  <si>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</si>
  <si>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</si>
  <si>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</si>
  <si>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</si>
  <si>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</si>
  <si>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</si>
  <si>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</si>
  <si>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</si>
  <si>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</si>
  <si>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</si>
  <si>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</si>
  <si>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</si>
  <si>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</si>
  <si>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</si>
  <si>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</si>
  <si>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</si>
  <si>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</si>
  <si>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</si>
  <si>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</si>
  <si>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</si>
  <si>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</si>
  <si>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</si>
  <si>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</si>
  <si>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</si>
  <si>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</si>
  <si>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</si>
  <si>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</si>
  <si>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</si>
  <si>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</si>
  <si>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</si>
  <si>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</si>
  <si>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</si>
  <si>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</si>
  <si>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</si>
  <si>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</si>
  <si>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</si>
  <si>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</si>
  <si>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</si>
  <si>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</si>
  <si>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</si>
  <si>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</si>
  <si>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</si>
  <si>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</si>
  <si>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</si>
  <si>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</si>
  <si>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</si>
  <si>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</si>
  <si>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</si>
  <si>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</si>
  <si>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</si>
  <si>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</si>
  <si>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</si>
  <si>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</si>
  <si>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</si>
  <si>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</si>
  <si>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</si>
  <si>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</si>
  <si>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</si>
  <si>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</si>
  <si>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</si>
  <si>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</si>
  <si>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</si>
  <si>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</si>
  <si>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</si>
  <si>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</si>
  <si>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</si>
  <si>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</si>
  <si>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</si>
  <si>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</si>
  <si>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</si>
  <si>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</si>
  <si>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</si>
  <si>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</si>
  <si>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</si>
  <si>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</si>
  <si>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</si>
  <si>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</si>
  <si>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</si>
  <si>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</si>
  <si>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</si>
  <si>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</si>
  <si>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</si>
  <si>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</si>
  <si>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</si>
  <si>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</si>
  <si>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</si>
  <si>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</si>
  <si>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</si>
  <si>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</si>
  <si>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</si>
  <si>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</si>
  <si>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</si>
  <si>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</si>
  <si>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</si>
  <si>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</si>
  <si>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</si>
  <si>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</si>
  <si>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</si>
  <si>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</si>
  <si>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</si>
  <si>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</si>
  <si>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</si>
  <si>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</si>
  <si>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</si>
  <si>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</si>
  <si>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</si>
  <si>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</si>
  <si>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</si>
  <si>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</si>
  <si>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</si>
  <si>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</si>
  <si>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</si>
  <si>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</si>
  <si>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</si>
  <si>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</si>
  <si>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</si>
  <si>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</si>
  <si>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</si>
  <si>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</si>
  <si>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</si>
  <si>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</si>
  <si>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</si>
  <si>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</si>
  <si>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</si>
  <si>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</si>
  <si>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</si>
  <si>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</si>
  <si>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</si>
  <si>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</si>
  <si>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</si>
  <si>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</si>
  <si>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</si>
  <si>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</si>
  <si>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</si>
  <si>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</si>
  <si>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</si>
  <si>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</si>
  <si>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</si>
  <si>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</si>
  <si>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</si>
  <si>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</si>
  <si>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</si>
  <si>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</si>
  <si>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</si>
  <si>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</si>
  <si>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</si>
  <si>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</si>
  <si>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</si>
  <si>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</si>
  <si>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</si>
  <si>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</si>
  <si>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</si>
  <si>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</si>
  <si>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</si>
  <si>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</si>
  <si>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</si>
  <si>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</si>
  <si>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</si>
  <si>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</si>
  <si>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</si>
  <si>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</si>
  <si>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</si>
  <si>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</si>
  <si>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</si>
  <si>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</si>
  <si>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</si>
  <si>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</si>
  <si>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</si>
  <si>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</si>
  <si>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</si>
  <si>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</si>
  <si>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</si>
  <si>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</si>
  <si>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</si>
  <si>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</si>
  <si>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</si>
  <si>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</si>
  <si>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</si>
  <si>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</si>
  <si>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</si>
  <si>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</si>
  <si>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</si>
  <si>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</si>
  <si>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</si>
  <si>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</si>
  <si>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</si>
  <si>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</si>
  <si>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</si>
  <si>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</si>
  <si>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</si>
  <si>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</si>
  <si>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</si>
  <si>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</si>
  <si>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</si>
  <si>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</si>
  <si>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</si>
  <si>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</si>
  <si>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</si>
  <si>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</si>
  <si>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</si>
  <si>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</si>
  <si>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</si>
  <si>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</si>
  <si>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</si>
  <si>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</si>
  <si>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</si>
  <si>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</si>
  <si>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</si>
  <si>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</si>
  <si>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</si>
  <si>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</si>
  <si>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</si>
  <si>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</si>
  <si>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</si>
  <si>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</si>
  <si>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</si>
  <si>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</si>
  <si>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</si>
  <si>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</si>
  <si>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</si>
  <si>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</si>
  <si>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</si>
  <si>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</si>
  <si>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</si>
  <si>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</si>
  <si>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</si>
  <si>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</si>
  <si>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</si>
  <si>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</si>
  <si>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</si>
  <si>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</si>
  <si>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</si>
  <si>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</si>
  <si>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</si>
  <si>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</si>
  <si>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</si>
  <si>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</si>
  <si>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</si>
  <si>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</si>
  <si>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</si>
  <si>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</si>
  <si>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</si>
  <si>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</si>
  <si>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</si>
  <si>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</si>
  <si>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</si>
  <si>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</si>
  <si>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</si>
  <si>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</si>
  <si>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</si>
  <si>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</si>
  <si>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</si>
  <si>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</si>
  <si>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</si>
  <si>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</si>
  <si>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</si>
  <si>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</si>
  <si>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</si>
  <si>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</si>
  <si>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</si>
  <si>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</si>
  <si>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</si>
  <si>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</si>
  <si>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</si>
  <si>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</si>
  <si>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</si>
  <si>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</si>
  <si>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</si>
  <si>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</si>
  <si>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</si>
  <si>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</si>
  <si>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</si>
  <si>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</si>
  <si>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</si>
  <si>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</si>
  <si>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</si>
  <si>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</si>
  <si>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</si>
  <si>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</si>
  <si>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</si>
  <si>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</si>
  <si>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</si>
  <si>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</si>
  <si>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</si>
  <si>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</si>
  <si>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</si>
  <si>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</si>
  <si>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</si>
  <si>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</si>
  <si>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</si>
  <si>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</si>
  <si>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</si>
  <si>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</si>
  <si>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</si>
  <si>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</si>
  <si>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</si>
  <si>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</si>
  <si>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</si>
  <si>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</si>
  <si>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</si>
  <si>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</si>
  <si>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GRÅSTEN VARME A/S</t>
  </si>
  <si>
    <t>ESBJERG VARME A/S</t>
  </si>
  <si>
    <t>GRÆSTED FJERNVARME</t>
  </si>
  <si>
    <t>GREVE FJERNVARMEVÆRK</t>
  </si>
  <si>
    <t>ENERGIGRUPPEN JYLLAND VARME A/S</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</si>
  <si>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</si>
  <si>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</si>
  <si>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</si>
  <si>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</si>
  <si>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</si>
  <si>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</si>
  <si>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</si>
  <si>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</si>
  <si>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</si>
  <si>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</si>
  <si>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</si>
  <si>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</si>
  <si>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</si>
  <si>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</si>
  <si>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</si>
  <si>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</si>
  <si>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</si>
  <si>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</si>
  <si>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LTMEH</t>
  </si>
  <si>
    <t>GANDRUP VESTER-HASSING VARMEFORSYNING</t>
  </si>
  <si>
    <t>GALTEN VARMEVÆRK</t>
  </si>
  <si>
    <t>E.ON DANMARK A/S</t>
  </si>
  <si>
    <t>FUGLEBJERG FJERNVARME</t>
  </si>
  <si>
    <t>Dybvad Varmeværk</t>
  </si>
  <si>
    <t>DURUP FJERNVARME</t>
  </si>
  <si>
    <t>FREDERIKSBERG FJERNVARME A/S</t>
  </si>
  <si>
    <t>DTU-HF A.m.b.a.</t>
  </si>
  <si>
    <t>Winter</t>
  </si>
  <si>
    <t>Autumn</t>
  </si>
  <si>
    <t>Summer</t>
  </si>
  <si>
    <t>Spring</t>
  </si>
  <si>
    <t>MTEH</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</si>
  <si>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</si>
  <si>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</si>
  <si>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</si>
  <si>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</si>
  <si>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</si>
  <si>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</si>
  <si>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</si>
  <si>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</si>
  <si>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</si>
  <si>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</si>
  <si>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</si>
  <si>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</si>
  <si>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</si>
  <si>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</si>
  <si>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</si>
  <si>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</si>
  <si>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</si>
  <si>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</si>
  <si>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</si>
  <si>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Ret_temp_wint</t>
  </si>
  <si>
    <t>Supp_temp_wint</t>
  </si>
  <si>
    <t>Ret_temp_aut</t>
  </si>
  <si>
    <t>Supp_temp_aut</t>
  </si>
  <si>
    <t>Ret_temp_summ</t>
  </si>
  <si>
    <t>Supp_temp_summ</t>
  </si>
  <si>
    <t>Ret_temp_sspr</t>
  </si>
  <si>
    <t>Supp_temp_spr</t>
  </si>
  <si>
    <t>ENERGI VIBORG KRAFTVARME A/S</t>
  </si>
  <si>
    <t>BRØNDERSLEV VARME A/S</t>
  </si>
  <si>
    <t>WINTER</t>
  </si>
  <si>
    <t>AUTUMN</t>
  </si>
  <si>
    <t>SUMMER</t>
  </si>
  <si>
    <t>SPRING</t>
  </si>
  <si>
    <t>ELLIDSHØJ-FERSLEV KRAFTVARMEVÆRK</t>
  </si>
  <si>
    <t>BRØNDBY FJERNVARME A M B A</t>
  </si>
  <si>
    <t>EJSTRUPHOLM VARMEVÆRK</t>
  </si>
  <si>
    <t>Water</t>
  </si>
  <si>
    <t>https://www.seatemperature.org/europe/denmark/</t>
  </si>
  <si>
    <t>EJSING FJERNVARMEFORSYNING A.M.B.A.</t>
  </si>
  <si>
    <t>BRÆDSTRUP FJERNVARME A M B A</t>
  </si>
  <si>
    <t>Soil</t>
  </si>
  <si>
    <t>EJBY FJERNVARME A.M.B.A.</t>
  </si>
  <si>
    <t>BROVST FJERNVARME ANDELSSELSKAB</t>
  </si>
  <si>
    <t>Air</t>
  </si>
  <si>
    <t>EGEDAL FJERNVARME A/S</t>
  </si>
  <si>
    <t>BROAGER FJERNVARMESELSKAB AMBA</t>
  </si>
  <si>
    <t>EBELTOFT FJERNVARMEVÆRK A.M.B.A.</t>
  </si>
  <si>
    <t>Bredsten-Balle Kraftvarmeværk amba</t>
  </si>
  <si>
    <t>DYBVAD VARMEVÆRK A.M.B.A.</t>
  </si>
  <si>
    <t>Brande Fjernvarme</t>
  </si>
  <si>
    <t>Based on similar assumptions for DH temperatures as stated in the technology catalog 2017 from the Danish energy agency</t>
  </si>
  <si>
    <t>Future COP Values</t>
  </si>
  <si>
    <t>Boulstrup-Hou Kraftvarmeværk AMBA</t>
  </si>
  <si>
    <t>DAGNÆS-BÆKKELUND VARMEVÆRK A.M.B.A.</t>
  </si>
  <si>
    <t>CHRISTIANSFELD FJERNVARMESELSKAB A.M.B.A</t>
  </si>
  <si>
    <t>BORUP VARMEVÆRK A M B A</t>
  </si>
  <si>
    <t>BÆLUM VARMEVÆRK A.M.B.A.</t>
  </si>
  <si>
    <t>BORNHOLMS VARME A/S</t>
  </si>
  <si>
    <t>Historical average temperatures denmark</t>
  </si>
  <si>
    <t>BÆKMARKSBRO VARMEVÆRK A.M.B.A.</t>
  </si>
  <si>
    <t>Bogense Forsyningsselskab</t>
  </si>
  <si>
    <t>BRØRUP FJERNVARME A.M.B.A.</t>
  </si>
  <si>
    <t>BLÅHØJ ENERGISELSKAB A.M.B.A.</t>
  </si>
  <si>
    <t>BRØNDBY FJERNVARME A.M.B.A.</t>
  </si>
  <si>
    <t>BLENSTRUP KRAFTVARMEVÆRK A.M.B.A.</t>
  </si>
  <si>
    <t>BRÆDSTRUP FJERNVARME A.M.B.A.</t>
  </si>
  <si>
    <t>BJERRINGBRO VARMEVÆRK AMBA</t>
  </si>
  <si>
    <t>BROVST FJERNVARME A.M.B.A.</t>
  </si>
  <si>
    <t>BINDSLEV FJERNVARME A M B A</t>
  </si>
  <si>
    <t>Waste heat 40 Degrees</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</si>
  <si>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</si>
  <si>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</si>
  <si>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</si>
  <si>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</si>
  <si>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</si>
  <si>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</si>
  <si>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</si>
  <si>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</si>
  <si>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Waste heat 20 Degrees</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</si>
  <si>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</si>
  <si>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</si>
  <si>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</si>
  <si>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</si>
  <si>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</si>
  <si>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</si>
  <si>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</si>
  <si>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</si>
  <si>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´5-10</t>
  </si>
  <si>
    <t>0-18</t>
  </si>
  <si>
    <t>Heat pump, ambient</t>
  </si>
  <si>
    <t>BJERRINGBRO VARMEVÆRK A.M.B.A.</t>
  </si>
  <si>
    <t>ASÅ VARMEVÆRK                     V/POUL NIELSEN</t>
  </si>
  <si>
    <t>BINDSLEV FJERNVARME A.M.B.A.</t>
  </si>
  <si>
    <t>ASTRUP KRAFTVARMEVÆRK A.M.B.A.</t>
  </si>
  <si>
    <t>BILLUND VARMEVÆRK A.M.B.A.</t>
  </si>
  <si>
    <t>ASSENS FJERNVARME A M B A</t>
  </si>
  <si>
    <t>°K</t>
  </si>
  <si>
    <t>BEDSTED FJERNVARME</t>
  </si>
  <si>
    <t>ARDEN VARMEVÆRK AMBA</t>
  </si>
  <si>
    <t>BALLING FJERNVARMEVÆRK A.M.B.A.</t>
  </si>
  <si>
    <t>ANSAGER VARMEVÆRK</t>
  </si>
  <si>
    <t>Off-Design Eff.</t>
  </si>
  <si>
    <t>AULUM FJERNVARME A.M.B.A.</t>
  </si>
  <si>
    <t>ANS FJERNVARMEVÆRK A M B A</t>
  </si>
  <si>
    <t>Lorentz Eff.</t>
  </si>
  <si>
    <t>Carnot Eff.</t>
  </si>
  <si>
    <t>AUGUSTENBORG FJERNVARME A.M.B.A.</t>
  </si>
  <si>
    <t>ANDELSSELSKABET OKSBØL VARMEVÆRK</t>
  </si>
  <si>
    <t>°C</t>
  </si>
  <si>
    <t>HTEH</t>
  </si>
  <si>
    <r>
      <rPr>
        <sz val="11"/>
        <color theme="1"/>
        <rFont val="Verdana"/>
        <family val="2"/>
      </rPr>
      <t>°</t>
    </r>
    <r>
      <rPr>
        <sz val="11"/>
        <color theme="1"/>
        <rFont val="Calibri"/>
        <family val="2"/>
      </rPr>
      <t>C</t>
    </r>
  </si>
  <si>
    <t>ASAA FJERNVARME</t>
  </si>
  <si>
    <t>ANDELSSELSKABET MØLHOLM VARMEVÆRK</t>
  </si>
  <si>
    <t>Lorentz efficiency, High</t>
  </si>
  <si>
    <t>Lorentz efficiency, Low</t>
  </si>
  <si>
    <t>Lorentz efficiency, mean</t>
  </si>
  <si>
    <t>vand</t>
  </si>
  <si>
    <t>luft</t>
  </si>
  <si>
    <t>Source, out</t>
  </si>
  <si>
    <t>Source, in</t>
  </si>
  <si>
    <t>DH T out</t>
  </si>
  <si>
    <t>DH T in</t>
  </si>
  <si>
    <t>COP High</t>
  </si>
  <si>
    <t>COP Low</t>
  </si>
  <si>
    <t>COP mean</t>
  </si>
  <si>
    <t>Tech</t>
  </si>
  <si>
    <t>ASSENS FJERNVARME - FYN</t>
  </si>
  <si>
    <t>LTEH</t>
  </si>
  <si>
    <t>ANSAGER VARMEVÆRK A.M.B.A.</t>
  </si>
  <si>
    <t>ALS FJERNVARME AMBA</t>
  </si>
  <si>
    <t>Tech catalogue Lorents efficiency calculation</t>
  </si>
  <si>
    <t>Outlet temp</t>
  </si>
  <si>
    <t>Avg. EH Delta_T</t>
  </si>
  <si>
    <t>Avg. EH T</t>
  </si>
  <si>
    <t>ALS FJERNVARME A.M.B.A.</t>
  </si>
  <si>
    <t>ALLINGÅBRO VARMEVÆRK A M B A</t>
  </si>
  <si>
    <t>Assumptions</t>
  </si>
  <si>
    <t>ALLINGÅBRO VARMEVÆRK A.M.B.A.</t>
  </si>
  <si>
    <t>Allerød Kommune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</si>
  <si>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</si>
  <si>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</si>
  <si>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</si>
  <si>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</si>
  <si>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</si>
  <si>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</si>
  <si>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</si>
  <si>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</si>
  <si>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</si>
  <si>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</si>
  <si>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</si>
  <si>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</si>
  <si>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Look up value</t>
  </si>
  <si>
    <t>Tractor</t>
  </si>
  <si>
    <t>Van</t>
  </si>
  <si>
    <t>PnD</t>
  </si>
  <si>
    <t>Pick up and delivery</t>
  </si>
  <si>
    <t>Vocational</t>
  </si>
  <si>
    <t>Heavy duty trucks also used used during construction &amp; mining</t>
  </si>
  <si>
    <t>NACFE</t>
  </si>
  <si>
    <t>Long distance semi trucks</t>
  </si>
  <si>
    <t>Mass in kg</t>
  </si>
  <si>
    <t>fuel consumption in gallon/mile (gpm) for charge sustaining and depleting modes</t>
  </si>
  <si>
    <t>energy consumption in Wh/mile (Whpm)</t>
  </si>
  <si>
    <t>Component Power</t>
  </si>
  <si>
    <t>daily fuel consumption assuming max range</t>
  </si>
  <si>
    <t>Weighted freight fuel consumption</t>
  </si>
  <si>
    <t>retail price equivalent of the components with learning costs ($)</t>
  </si>
  <si>
    <t>Retail Price ($)</t>
  </si>
  <si>
    <t>Case</t>
  </si>
  <si>
    <t>Class</t>
  </si>
  <si>
    <t>Purpose</t>
  </si>
  <si>
    <t>Powertrain</t>
  </si>
  <si>
    <t>RegulatoryCode</t>
  </si>
  <si>
    <t>TestMass</t>
  </si>
  <si>
    <t>CargoMass</t>
  </si>
  <si>
    <t>Battery kWh (Total)</t>
  </si>
  <si>
    <t>gpm_ARB</t>
  </si>
  <si>
    <t>gpm_EPA_55</t>
  </si>
  <si>
    <t>gpm_EPA_65</t>
  </si>
  <si>
    <t>gpm_CD_ARB</t>
  </si>
  <si>
    <t>gpm_CD_EPA_55</t>
  </si>
  <si>
    <t>gpm_CD_EPA_65</t>
  </si>
  <si>
    <t>Whpm_ARB</t>
  </si>
  <si>
    <t>Whpm_EPA_55</t>
  </si>
  <si>
    <t>Whpm_EPA_65</t>
  </si>
  <si>
    <t>Whpm_CD_ARB</t>
  </si>
  <si>
    <t>Whpm_CD_EPA_55</t>
  </si>
  <si>
    <t>Whpm_CD_EPA_65</t>
  </si>
  <si>
    <t>Engine (kW)</t>
  </si>
  <si>
    <t>Motor (kW)</t>
  </si>
  <si>
    <t>Battery (kW)</t>
  </si>
  <si>
    <t>Battery (kWh)</t>
  </si>
  <si>
    <t>Fuel cell (kW)</t>
  </si>
  <si>
    <t>ARB (gallons)</t>
  </si>
  <si>
    <t>EPA55 (gallons)</t>
  </si>
  <si>
    <t>EPA65 (gallons)</t>
  </si>
  <si>
    <t>gallon/1000mile-ton</t>
  </si>
  <si>
    <t>Engine</t>
  </si>
  <si>
    <t>Motor</t>
  </si>
  <si>
    <t>Battery</t>
  </si>
  <si>
    <t>Transmission</t>
  </si>
  <si>
    <t>Chassis</t>
  </si>
  <si>
    <t>Weight reduction</t>
  </si>
  <si>
    <t>Aero Improvments</t>
  </si>
  <si>
    <t>Fuel cell</t>
  </si>
  <si>
    <t>Tank</t>
  </si>
  <si>
    <t>Vehicle</t>
  </si>
  <si>
    <t>Conv</t>
  </si>
  <si>
    <t>ISG</t>
  </si>
  <si>
    <t>HEV</t>
  </si>
  <si>
    <t>PHEV</t>
  </si>
  <si>
    <t>BEV</t>
  </si>
  <si>
    <t>FCHEV</t>
  </si>
  <si>
    <t>Overall average values for all vehicles</t>
  </si>
  <si>
    <t>Utility</t>
  </si>
  <si>
    <t>non defined vehicles</t>
  </si>
  <si>
    <t>GJ/Gallon</t>
  </si>
  <si>
    <t>PJ/mileton</t>
  </si>
  <si>
    <t>It is assumed the average vehicle is used 10 % of its total daily range this alligns with teh calculation of AFA for tractors in denmark</t>
  </si>
  <si>
    <t>Number of tractors calculated</t>
  </si>
  <si>
    <t xml:space="preserve">Number of tractors in Denmark,https://effektivtlandbrug.landbrugnet.dk/traktorstatistik/faldende-traktorsalg-i-danmark.aspx </t>
  </si>
  <si>
    <t>PJ diesel in agriculture sector for tractors and other diesel fuel consumption</t>
  </si>
  <si>
    <t>GJ/day</t>
  </si>
  <si>
    <t>GJ/Year</t>
  </si>
  <si>
    <t>CAPUNIT</t>
  </si>
  <si>
    <t>Efficiency, relative to 2017 values</t>
  </si>
  <si>
    <t>AFA (PJ/Year)</t>
  </si>
  <si>
    <t>INDH2</t>
  </si>
  <si>
    <t>Kvehicle</t>
  </si>
  <si>
    <t>CAPprice/Pj</t>
  </si>
  <si>
    <t>INDNGA,INDSNG,INDBGA,INDH2,INDSYN</t>
  </si>
  <si>
    <t>INDDSL,INDDSB,INDHFO,INDGSB</t>
  </si>
  <si>
    <t>INDLPG,INDNGA,INDSNG,INDBGA,INDH2,INDSYN</t>
  </si>
  <si>
    <t>ICDPH</t>
  </si>
  <si>
    <t>ICDSH</t>
  </si>
  <si>
    <t>IGDPH</t>
  </si>
  <si>
    <t>IGDSH</t>
  </si>
  <si>
    <t>IFDPH</t>
  </si>
  <si>
    <t>IFDSH</t>
  </si>
  <si>
    <t>IMDPH</t>
  </si>
  <si>
    <t>IMDSH</t>
  </si>
  <si>
    <t>ISDPH</t>
  </si>
  <si>
    <t>ISDSH</t>
  </si>
  <si>
    <t>IIDPH</t>
  </si>
  <si>
    <t>IIDSH</t>
  </si>
  <si>
    <t>IODPH</t>
  </si>
  <si>
    <t>IODSH</t>
  </si>
  <si>
    <t>IWDPH</t>
  </si>
  <si>
    <t>IWDSH</t>
  </si>
  <si>
    <t>IRDPH</t>
  </si>
  <si>
    <t>IRDSH</t>
  </si>
  <si>
    <t>AZ1,AZ2,AZ3</t>
  </si>
  <si>
    <t>Transport</t>
  </si>
  <si>
    <t>IADPH</t>
  </si>
  <si>
    <t>IADSH</t>
  </si>
  <si>
    <t>IADLA</t>
  </si>
  <si>
    <t>IADEM</t>
  </si>
  <si>
    <t>IADTF</t>
  </si>
  <si>
    <t>IADFL</t>
  </si>
  <si>
    <t>Source is subres values from Commercial sector</t>
  </si>
  <si>
    <t>IRDCO</t>
  </si>
  <si>
    <t>Paper &amp; Pulp industry Demand Cooling</t>
  </si>
  <si>
    <t>Wood products industry Cooling</t>
  </si>
  <si>
    <t>Other comm Demand Cooling</t>
  </si>
  <si>
    <t>Mining Demand Cooling</t>
  </si>
  <si>
    <t>IIDCO</t>
  </si>
  <si>
    <t>Iron &amp; Steel  Demand Cooling</t>
  </si>
  <si>
    <t>ISDCO</t>
  </si>
  <si>
    <t>Aluminium industry Demand Cooling</t>
  </si>
  <si>
    <t>Machinery industry Demand Cooling</t>
  </si>
  <si>
    <t>Food industry Demand Cooling</t>
  </si>
  <si>
    <t>Chemical industry Demand Cooling</t>
  </si>
  <si>
    <t>Glass &amp; Concrete industry Demand Cooling</t>
  </si>
  <si>
    <t>PH</t>
  </si>
  <si>
    <t>SH</t>
  </si>
  <si>
    <t>INDHSE</t>
  </si>
  <si>
    <t>OBS!! Aluminium industry is mostly consuming electricity and fuel consumption in this sector is dominantly for power production as thus we have included all process heating as power units for plants with an efficiency similar to 50% of the total efficiency</t>
  </si>
  <si>
    <t>*="IND"&amp;RIGHT(H162,4)&amp;"GAS"&amp;"N"&amp;RIGHT(E162,1)</t>
  </si>
  <si>
    <t>*="IND"&amp;RIGHT(H165,4)&amp;"GAS"&amp;"N"&amp;RIGHT(E165,1)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</si>
</sst>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 #,##0_-;_-* &quot;-&quot;_-;_-@_-"/>
    <numFmt numFmtId="43" formatCode="_-* #,##0.00_-;\-* #,##0.00_-;_-* &quot;-&quot;??_-;_-@_-"/>
    <numFmt numFmtId="164" formatCode="_ * #,##0.00_ ;_ * \-#,##0.00_ ;_ * &quot;-&quot;??_ ;_ @_ "/>
    <numFmt numFmtId="165" formatCode="0.000"/>
    <numFmt numFmtId="166" formatCode="_ * #,##0_ ;_ * \-#,##0_ ;_ * &quot;-&quot;??_ ;_ @_ "/>
    <numFmt numFmtId="167" formatCode="0.0"/>
    <numFmt numFmtId="168" formatCode="_-[$€-2]\ * #,##0.00_-;\-[$€-2]\ * #,##0.00_-;_-[$€-2]\ * &quot;-&quot;??_-"/>
    <numFmt numFmtId="169" formatCode="_-&quot;€&quot;\ * #,##0.00_-;\-&quot;€&quot;\ * #,##0.00_-;_-&quot;€&quot;\ * &quot;-&quot;??_-;_-@_-"/>
    <numFmt numFmtId="170" formatCode="#,##0;\-\ #,##0;_-\ &quot;- &quot;"/>
    <numFmt numFmtId="171" formatCode="_([$€]* #,##0.00_);_([$€]* \(#,##0.00\);_([$€]* &quot;-&quot;??_);_(@_)"/>
    <numFmt numFmtId="172" formatCode="\Te\x\t"/>
    <numFmt numFmtId="173" formatCode="_(* #,##0.00_);_(* \(#,##0.00\);_(* &quot;-&quot;??_);_(@_)"/>
    <numFmt numFmtId="174" formatCode="_(* #,##0_);_(* \(#,##0\);_(* &quot;-&quot;_);_(@_)"/>
    <numFmt numFmtId="175" formatCode="_ * #,##0.0_ ;_ * \-#,##0.0_ ;_ * &quot;-&quot;??_ ;_ @_ "/>
    <numFmt numFmtId="176" formatCode="0.0000"/>
    <numFmt numFmtId="177" formatCode="0.0;\-0.0;0"/>
    <numFmt numFmtId="178" formatCode="0.000000"/>
    <numFmt numFmtId="179" formatCode="0.0%"/>
    <numFmt numFmtId="180" formatCode="_ * #,##0_ ;_ * \-#,##0_ ;_ * &quot;-&quot;_ ;_ @_ "/>
    <numFmt numFmtId="181" formatCode="_-[$€-2]* #,##0.00_-;\-[$€-2]* #,##0.00_-;_-[$€-2]* &quot;-&quot;??_-"/>
    <numFmt numFmtId="182" formatCode="0_ ;\-0\ "/>
    <numFmt numFmtId="183" formatCode="_-* #,##0.00\ _k_r_-;\-* #,##0.00\ _k_r_-;_-* &quot;-&quot;??\ _k_r_-;_-@_-"/>
    <numFmt numFmtId="184" formatCode="0.0;\-0.0"/>
    <numFmt numFmtId="185" formatCode="\$#,##0\ ;\(\$#,##0\)"/>
  </numFmts>
  <fonts count="184">
    <font>
      <sz val="11"/>
      <color theme="1"/>
      <name val="Calibri"/>
      <family val="2"/>
      <scheme val="minor"/>
    </font>
    <font>
      <sz val="11"/>
      <color indexed="8"/>
      <name val="Calibri"/>
      <family val="2"/>
    </font>
    <font>
      <b/>
      <sz val="11"/>
      <color indexed="8"/>
      <name val="Calibri"/>
      <family val="2"/>
    </font>
    <font>
      <sz val="9"/>
      <color indexed="8"/>
      <name val="Arial"/>
      <family val="2"/>
    </font>
    <font>
      <b/>
      <sz val="9"/>
      <color indexed="8"/>
      <name val="Arial"/>
      <family val="2"/>
    </font>
    <font>
      <vertAlign val="subscript"/>
      <sz val="9"/>
      <color indexed="8"/>
      <name val="Arial"/>
      <family val="2"/>
    </font>
    <font>
      <vertAlign val="superscript"/>
      <sz val="9"/>
      <color indexed="8"/>
      <name val="Arial"/>
      <family val="2"/>
    </font>
    <font>
      <sz val="10"/>
      <name val="Calibri"/>
      <family val="2"/>
    </font>
    <font>
      <sz val="9"/>
      <name val="Calibri"/>
      <family val="2"/>
    </font>
    <font>
      <sz val="9"/>
      <color indexed="81"/>
      <name val="Tahoma"/>
      <family val="2"/>
    </font>
    <font>
      <b/>
      <sz val="9"/>
      <color indexed="81"/>
      <name val="Tahoma"/>
      <family val="2"/>
    </font>
    <font>
      <sz val="10"/>
      <name val="Arial"/>
      <family val="2"/>
    </font>
    <font>
      <sz val="10"/>
      <name val="Arial"/>
      <family val="2"/>
    </font>
    <font>
      <b/>
      <sz val="10"/>
      <color indexed="12"/>
      <name val="Arial"/>
      <family val="2"/>
    </font>
    <font>
      <sz val="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9"/>
      <color indexed="8"/>
      <name val="Times New Roman"/>
      <family val="1"/>
    </font>
    <font>
      <sz val="10"/>
      <name val="Arial"/>
      <family val="2"/>
    </font>
    <font>
      <sz val="10"/>
      <name val="Arial"/>
      <family val="2"/>
      <charset val="204"/>
    </font>
    <font>
      <sz val="10"/>
      <name val="Courier"/>
      <family val="3"/>
    </font>
    <font>
      <sz val="9"/>
      <name val="Times New Roman"/>
      <family val="1"/>
    </font>
    <font>
      <b/>
      <sz val="9"/>
      <name val="Times New Roman"/>
      <family val="1"/>
    </font>
    <font>
      <sz val="10"/>
      <name val="Helv"/>
    </font>
    <font>
      <sz val="11"/>
      <color theme="1"/>
      <name val="Calibri"/>
      <family val="2"/>
      <scheme val="minor"/>
    </font>
    <font>
      <sz val="10"/>
      <color rgb="FF9C0006"/>
      <name val="Calibri"/>
      <family val="2"/>
    </font>
    <font>
      <b/>
      <sz val="11"/>
      <color rgb="FFFA7D00"/>
      <name val="Calibri"/>
      <family val="2"/>
      <scheme val="minor"/>
    </font>
    <font>
      <u/>
      <sz val="11"/>
      <color theme="10"/>
      <name val="Calibri"/>
      <family val="2"/>
    </font>
    <font>
      <sz val="10"/>
      <color theme="1"/>
      <name val="Calibri"/>
      <family val="2"/>
    </font>
    <font>
      <sz val="11"/>
      <color theme="1"/>
      <name val="Calibri"/>
      <family val="2"/>
    </font>
    <font>
      <b/>
      <sz val="11"/>
      <color theme="1"/>
      <name val="Calibri"/>
      <family val="2"/>
      <scheme val="minor"/>
    </font>
    <font>
      <sz val="11"/>
      <color rgb="FFFF0000"/>
      <name val="Calibri"/>
      <family val="2"/>
      <scheme val="minor"/>
    </font>
    <font>
      <sz val="9"/>
      <color theme="1"/>
      <name val="Arial"/>
      <family val="2"/>
    </font>
    <font>
      <sz val="9"/>
      <color rgb="FF000000"/>
      <name val="Arial"/>
      <family val="2"/>
    </font>
    <font>
      <b/>
      <sz val="9"/>
      <color theme="1"/>
      <name val="Arial"/>
      <family val="2"/>
    </font>
    <font>
      <b/>
      <sz val="9"/>
      <color rgb="FF000000"/>
      <name val="Arial"/>
      <family val="2"/>
    </font>
    <font>
      <sz val="9"/>
      <color theme="1"/>
      <name val="Times New Roman"/>
      <family val="1"/>
    </font>
    <font>
      <b/>
      <sz val="11"/>
      <color rgb="FF7030A0"/>
      <name val="Calibri"/>
      <family val="2"/>
      <scheme val="minor"/>
    </font>
    <font>
      <sz val="11"/>
      <color rgb="FF00B050"/>
      <name val="Calibri"/>
      <family val="2"/>
      <scheme val="minor"/>
    </font>
    <font>
      <sz val="11"/>
      <color rgb="FF7030A0"/>
      <name val="Calibri"/>
      <family val="2"/>
      <scheme val="minor"/>
    </font>
    <font>
      <b/>
      <sz val="22"/>
      <color theme="1"/>
      <name val="Calibri"/>
      <family val="2"/>
      <scheme val="minor"/>
    </font>
    <font>
      <b/>
      <sz val="11"/>
      <color indexed="8"/>
      <name val="Calibri"/>
      <family val="2"/>
      <scheme val="minor"/>
    </font>
    <font>
      <sz val="8"/>
      <color theme="1"/>
      <name val="Arial"/>
      <family val="2"/>
    </font>
    <font>
      <sz val="11"/>
      <name val="Calibri"/>
      <family val="2"/>
      <scheme val="minor"/>
    </font>
    <font>
      <sz val="10"/>
      <name val="Arial"/>
      <family val="2"/>
    </font>
    <font>
      <sz val="10"/>
      <color rgb="FFFF0000"/>
      <name val="Arial"/>
      <family val="2"/>
    </font>
    <font>
      <b/>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b/>
      <sz val="11"/>
      <color theme="0"/>
      <name val="Calibri"/>
      <family val="2"/>
      <scheme val="minor"/>
    </font>
    <font>
      <sz val="11"/>
      <color theme="0"/>
      <name val="Calibri"/>
      <family val="2"/>
      <scheme val="minor"/>
    </font>
    <font>
      <b/>
      <sz val="14"/>
      <color rgb="FFFF0000"/>
      <name val="Calibri"/>
      <family val="2"/>
      <scheme val="minor"/>
    </font>
    <font>
      <sz val="10"/>
      <color rgb="FF006100"/>
      <name val="Calibri"/>
      <family val="2"/>
    </font>
    <font>
      <u/>
      <sz val="10"/>
      <color theme="10"/>
      <name val="Calibri"/>
      <family val="2"/>
    </font>
    <font>
      <sz val="10"/>
      <color rgb="FF9C6500"/>
      <name val="Calibri"/>
      <family val="2"/>
    </font>
    <font>
      <b/>
      <sz val="12"/>
      <name val="Arial"/>
      <family val="2"/>
    </font>
    <font>
      <sz val="8"/>
      <color indexed="9"/>
      <name val="Arial"/>
      <family val="2"/>
    </font>
    <font>
      <sz val="11"/>
      <name val="Calibri"/>
      <family val="2"/>
    </font>
    <font>
      <b/>
      <sz val="11"/>
      <color rgb="FFFF0000"/>
      <name val="Calibri"/>
      <family val="2"/>
      <scheme val="minor"/>
    </font>
    <font>
      <sz val="9"/>
      <name val="Arial"/>
      <family val="2"/>
    </font>
    <font>
      <vertAlign val="subscript"/>
      <sz val="9"/>
      <name val="Arial"/>
      <family val="2"/>
    </font>
    <font>
      <sz val="11"/>
      <color rgb="FF3F3F76"/>
      <name val="Calibri"/>
      <family val="2"/>
      <scheme val="minor"/>
    </font>
    <font>
      <b/>
      <sz val="11"/>
      <color rgb="FF3F3F3F"/>
      <name val="Calibri"/>
      <family val="2"/>
      <scheme val="minor"/>
    </font>
    <font>
      <sz val="8"/>
      <name val="Arial"/>
      <family val="2"/>
    </font>
    <font>
      <sz val="9"/>
      <name val="Geneva"/>
      <family val="2"/>
    </font>
    <font>
      <u/>
      <sz val="11"/>
      <color theme="10"/>
      <name val="Calibri"/>
      <family val="2"/>
      <scheme val="minor"/>
    </font>
    <font>
      <sz val="10"/>
      <name val="Calibri"/>
      <family val="2"/>
      <scheme val="minor"/>
    </font>
    <font>
      <b/>
      <sz val="10"/>
      <color theme="1"/>
      <name val="Arial"/>
      <family val="2"/>
    </font>
    <font>
      <sz val="10"/>
      <color rgb="FF000000"/>
      <name val="Arial"/>
      <family val="2"/>
    </font>
    <font>
      <b/>
      <sz val="16"/>
      <color rgb="FF4F81BD"/>
      <name val="Arial"/>
      <family val="2"/>
    </font>
    <font>
      <b/>
      <sz val="11"/>
      <color rgb="FF000000"/>
      <name val="Calibri"/>
      <family val="2"/>
    </font>
    <font>
      <b/>
      <sz val="10"/>
      <color rgb="FF000000"/>
      <name val="Arial"/>
      <family val="2"/>
    </font>
    <font>
      <b/>
      <i/>
      <sz val="11"/>
      <name val="Calibri"/>
      <family val="2"/>
    </font>
    <font>
      <sz val="10"/>
      <color rgb="FFFF0000"/>
      <name val="Calibri"/>
      <family val="2"/>
      <scheme val="minor"/>
    </font>
    <font>
      <vertAlign val="subscript"/>
      <sz val="10"/>
      <name val="Arial"/>
      <family val="2"/>
    </font>
    <font>
      <sz val="10"/>
      <color theme="1"/>
      <name val="Calibri"/>
      <family val="2"/>
      <scheme val="minor"/>
    </font>
    <font>
      <b/>
      <sz val="11"/>
      <color theme="5"/>
      <name val="Calibri"/>
      <family val="2"/>
      <scheme val="minor"/>
    </font>
    <font>
      <b/>
      <sz val="10"/>
      <color theme="5"/>
      <name val="Arial"/>
      <family val="2"/>
    </font>
    <font>
      <sz val="10"/>
      <color theme="1"/>
      <name val="Arial"/>
      <family val="2"/>
    </font>
    <font>
      <sz val="11"/>
      <color theme="0" tint="-0.249977111117893"/>
      <name val="Calibri"/>
      <family val="2"/>
      <scheme val="minor"/>
    </font>
    <font>
      <b/>
      <sz val="11"/>
      <color theme="0" tint="-0.249977111117893"/>
      <name val="Calibri"/>
      <family val="2"/>
    </font>
    <font>
      <sz val="11"/>
      <color rgb="FF000000"/>
      <name val="Calibri"/>
      <family val="2"/>
    </font>
    <font>
      <sz val="9"/>
      <color theme="1"/>
      <name val="Calibri"/>
      <family val="2"/>
      <scheme val="minor"/>
    </font>
    <font>
      <sz val="9"/>
      <color rgb="FF333333"/>
      <name val="Calibri"/>
      <family val="2"/>
      <scheme val="minor"/>
    </font>
    <font>
      <sz val="9"/>
      <name val="Calibri"/>
      <family val="2"/>
      <scheme val="minor"/>
    </font>
    <font>
      <sz val="11"/>
      <color theme="1"/>
      <name val="Arial"/>
      <family val="2"/>
    </font>
    <font>
      <b/>
      <sz val="10"/>
      <color theme="1"/>
      <name val="Calibri"/>
      <family val="2"/>
      <scheme val="minor"/>
    </font>
    <font>
      <b/>
      <sz val="10"/>
      <color indexed="8"/>
      <name val="Arial"/>
      <family val="2"/>
    </font>
    <font>
      <i/>
      <sz val="9"/>
      <color theme="1"/>
      <name val="Arial"/>
      <family val="2"/>
    </font>
    <font>
      <sz val="10"/>
      <color rgb="FF222222"/>
      <name val="Calibri"/>
      <family val="2"/>
      <scheme val="minor"/>
    </font>
    <font>
      <i/>
      <sz val="10"/>
      <color rgb="FF222222"/>
      <name val="Calibri"/>
      <family val="2"/>
      <scheme val="minor"/>
    </font>
    <font>
      <sz val="7"/>
      <color rgb="FF333333"/>
      <name val="Verdana"/>
      <family val="2"/>
    </font>
    <font>
      <b/>
      <sz val="9"/>
      <color theme="0" tint="-0.499984740745262"/>
      <name val="Arial"/>
      <family val="2"/>
    </font>
    <font>
      <b/>
      <sz val="10"/>
      <name val="Calibri"/>
      <family val="2"/>
      <scheme val="minor"/>
    </font>
    <font>
      <b/>
      <sz val="9"/>
      <color theme="1"/>
      <name val="Calibri"/>
      <family val="2"/>
      <scheme val="minor"/>
    </font>
    <font>
      <sz val="8"/>
      <name val="Calibri"/>
      <family val="2"/>
      <scheme val="minor"/>
    </font>
    <font>
      <b/>
      <sz val="8"/>
      <name val="Calibri"/>
      <family val="2"/>
      <scheme val="minor"/>
    </font>
    <font>
      <b/>
      <sz val="9"/>
      <name val="Calibri"/>
      <family val="2"/>
      <scheme val="minor"/>
    </font>
    <font>
      <vertAlign val="subscript"/>
      <sz val="8"/>
      <name val="Calibri"/>
      <family val="2"/>
      <scheme val="minor"/>
    </font>
    <font>
      <b/>
      <i/>
      <sz val="9"/>
      <name val="Calibri"/>
      <family val="2"/>
      <scheme val="minor"/>
    </font>
    <font>
      <sz val="8"/>
      <name val="Symbol"/>
      <family val="1"/>
      <charset val="2"/>
    </font>
    <font>
      <b/>
      <sz val="11"/>
      <name val="Calibri"/>
      <family val="2"/>
      <scheme val="minor"/>
    </font>
    <font>
      <b/>
      <sz val="9"/>
      <color indexed="8"/>
      <name val="Calibri"/>
      <family val="2"/>
      <scheme val="minor"/>
    </font>
    <font>
      <sz val="9"/>
      <color theme="0"/>
      <name val="Arial"/>
      <family val="2"/>
    </font>
    <font>
      <sz val="11"/>
      <color theme="1"/>
      <name val="Calibri"/>
      <family val="2"/>
      <charset val="1"/>
      <scheme val="minor"/>
    </font>
    <font>
      <vertAlign val="subscript"/>
      <sz val="9"/>
      <color theme="1"/>
      <name val="Arial"/>
      <family val="2"/>
    </font>
    <font>
      <i/>
      <sz val="11"/>
      <name val="Calibri"/>
      <family val="2"/>
      <scheme val="minor"/>
    </font>
    <font>
      <b/>
      <sz val="9"/>
      <color rgb="FFFF0000"/>
      <name val="Arial"/>
      <family val="2"/>
    </font>
    <font>
      <sz val="11"/>
      <name val="Calibri"/>
      <family val="2"/>
      <charset val="1"/>
      <scheme val="minor"/>
    </font>
    <font>
      <i/>
      <sz val="11"/>
      <name val="Calibri"/>
      <family val="2"/>
      <charset val="1"/>
      <scheme val="minor"/>
    </font>
    <font>
      <sz val="11"/>
      <color rgb="FFFF0000"/>
      <name val="Calibri"/>
      <family val="2"/>
      <charset val="1"/>
      <scheme val="minor"/>
    </font>
    <font>
      <b/>
      <sz val="12"/>
      <color rgb="FFFF0000"/>
      <name val="Calibri"/>
      <family val="2"/>
      <scheme val="minor"/>
    </font>
    <font>
      <sz val="11"/>
      <color rgb="FF00B0F0"/>
      <name val="Calibri"/>
      <family val="2"/>
      <scheme val="minor"/>
    </font>
    <font>
      <sz val="12"/>
      <name val="Calibri"/>
      <family val="2"/>
      <scheme val="minor"/>
    </font>
    <font>
      <sz val="11"/>
      <color theme="4"/>
      <name val="Calibri"/>
      <family val="2"/>
      <scheme val="minor"/>
    </font>
    <font>
      <b/>
      <sz val="14"/>
      <color theme="1"/>
      <name val="Calibri"/>
      <family val="2"/>
      <scheme val="minor"/>
    </font>
    <font>
      <sz val="16"/>
      <color theme="1"/>
      <name val="Calibri"/>
      <family val="2"/>
      <scheme val="minor"/>
    </font>
    <font>
      <sz val="12"/>
      <color theme="1"/>
      <name val="Calibri"/>
      <family val="2"/>
      <scheme val="minor"/>
    </font>
    <font>
      <sz val="11"/>
      <color theme="1"/>
      <name val="Verdana"/>
      <family val="2"/>
    </font>
    <font>
      <sz val="18"/>
      <color theme="3"/>
      <name val="Cambria"/>
      <family val="2"/>
      <scheme val="major"/>
    </font>
    <font>
      <sz val="11"/>
      <color rgb="FF9C0006"/>
      <name val="Calibri"/>
      <family val="2"/>
      <scheme val="minor"/>
    </font>
    <font>
      <sz val="10"/>
      <name val="Arial"/>
      <family val="2"/>
    </font>
    <font>
      <sz val="10"/>
      <color rgb="FF0000FF"/>
      <name val="Calibri"/>
      <family val="2"/>
    </font>
    <font>
      <b/>
      <sz val="16"/>
      <color theme="0"/>
      <name val="Calibri"/>
      <family val="2"/>
      <scheme val="minor"/>
    </font>
    <font>
      <b/>
      <sz val="13"/>
      <color theme="0"/>
      <name val="Calibri"/>
      <family val="2"/>
      <scheme val="minor"/>
    </font>
    <font>
      <b/>
      <sz val="11"/>
      <name val="Calibri"/>
      <family val="2"/>
    </font>
    <font>
      <i/>
      <sz val="10"/>
      <name val="Calibri"/>
      <family val="2"/>
    </font>
    <font>
      <sz val="11"/>
      <name val="Arial"/>
      <family val="2"/>
    </font>
    <font>
      <u/>
      <sz val="8"/>
      <color indexed="12"/>
      <name val="Arial"/>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u/>
      <sz val="10"/>
      <color theme="10"/>
      <name val="Arial"/>
      <family val="2"/>
    </font>
    <font>
      <b/>
      <sz val="18"/>
      <color theme="3"/>
      <name val="Cambria"/>
      <family val="2"/>
      <scheme val="major"/>
    </font>
    <font>
      <b/>
      <sz val="12"/>
      <name val="Times New Roman"/>
      <family val="1"/>
    </font>
    <font>
      <sz val="10"/>
      <color indexed="24"/>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name val="Times New Roman"/>
      <family val="1"/>
    </font>
  </fonts>
  <fills count="11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rgb="FFFFC7CE"/>
      </patternFill>
    </fill>
    <fill>
      <patternFill patternType="solid">
        <fgColor rgb="FFF2F2F2"/>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rgb="FFC6F1FF"/>
        <bgColor indexed="64"/>
      </patternFill>
    </fill>
    <fill>
      <patternFill patternType="solid">
        <fgColor theme="0" tint="-0.24994659260841701"/>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indexed="63"/>
        <bgColor indexed="64"/>
      </patternFill>
    </fill>
    <fill>
      <patternFill patternType="solid">
        <fgColor indexed="62"/>
        <bgColor indexed="64"/>
      </patternFill>
    </fill>
    <fill>
      <patternFill patternType="solid">
        <fgColor theme="9"/>
        <bgColor indexed="64"/>
      </patternFill>
    </fill>
    <fill>
      <patternFill patternType="solid">
        <fgColor theme="6" tint="-0.249977111117893"/>
        <bgColor indexed="64"/>
      </patternFill>
    </fill>
    <fill>
      <patternFill patternType="solid">
        <fgColor theme="7" tint="0.79998168889431442"/>
        <bgColor indexed="64"/>
      </patternFill>
    </fill>
    <fill>
      <patternFill patternType="solid">
        <fgColor rgb="FFFFCC99"/>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FF"/>
        <bgColor indexed="64"/>
      </patternFill>
    </fill>
    <fill>
      <patternFill patternType="solid">
        <fgColor theme="4" tint="0.79998168889431442"/>
        <bgColor indexed="64"/>
      </patternFill>
    </fill>
    <fill>
      <patternFill patternType="solid">
        <fgColor rgb="FFF79646"/>
        <bgColor rgb="FF000000"/>
      </patternFill>
    </fill>
    <fill>
      <patternFill patternType="solid">
        <fgColor theme="4" tint="0.79998168889431442"/>
        <bgColor rgb="FF000000"/>
      </patternFill>
    </fill>
    <fill>
      <patternFill patternType="solid">
        <fgColor theme="4" tint="0.59999389629810485"/>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8" tint="0.59999389629810485"/>
        <bgColor rgb="FF000000"/>
      </patternFill>
    </fill>
    <fill>
      <patternFill patternType="solid">
        <fgColor theme="0"/>
        <bgColor rgb="FF000000"/>
      </patternFill>
    </fill>
    <fill>
      <patternFill patternType="solid">
        <fgColor theme="6" tint="0.59999389629810485"/>
        <bgColor indexed="64"/>
      </patternFill>
    </fill>
    <fill>
      <patternFill patternType="solid">
        <fgColor indexed="44"/>
        <bgColor indexed="64"/>
      </patternFill>
    </fill>
    <fill>
      <patternFill patternType="solid">
        <fgColor rgb="FFFF0000"/>
        <bgColor indexed="64"/>
      </patternFill>
    </fill>
    <fill>
      <patternFill patternType="solid">
        <fgColor rgb="FFBED6EE"/>
        <bgColor indexed="64"/>
      </patternFill>
    </fill>
    <fill>
      <patternFill patternType="solid">
        <fgColor theme="6" tint="0.59996337778862885"/>
        <bgColor indexed="64"/>
      </patternFill>
    </fill>
    <fill>
      <patternFill patternType="solid">
        <fgColor indexed="9"/>
        <bgColor indexed="64"/>
      </patternFill>
    </fill>
    <fill>
      <patternFill patternType="solid">
        <fgColor indexed="27"/>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41"/>
        <bgColor indexed="64"/>
      </patternFill>
    </fill>
    <fill>
      <patternFill patternType="solid">
        <fgColor indexed="26"/>
        <bgColor indexed="64"/>
      </patternFill>
    </fill>
    <fill>
      <patternFill patternType="solid">
        <fgColor indexed="40"/>
      </patternFill>
    </fill>
    <fill>
      <patternFill patternType="solid">
        <fgColor theme="4"/>
        <bgColor theme="4"/>
      </patternFill>
    </fill>
    <fill>
      <patternFill patternType="solid">
        <fgColor rgb="FFFFC000"/>
        <bgColor theme="4"/>
      </patternFill>
    </fill>
    <fill>
      <patternFill patternType="solid">
        <fgColor theme="4" tint="0.79998168889431442"/>
        <bgColor theme="4" tint="0.79998168889431442"/>
      </patternFill>
    </fill>
    <fill>
      <patternFill patternType="solid">
        <fgColor rgb="FFFFC9C9"/>
        <bgColor indexed="64"/>
      </patternFill>
    </fill>
  </fills>
  <borders count="115">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style="thin">
        <color indexed="64"/>
      </top>
      <bottom style="medium">
        <color indexed="64"/>
      </bottom>
      <diagonal/>
    </border>
    <border>
      <left style="thin">
        <color indexed="64"/>
      </left>
      <right/>
      <top/>
      <bottom/>
      <diagonal/>
    </border>
    <border>
      <left style="thin">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ck">
        <color rgb="FFFF0000"/>
      </left>
      <right/>
      <top style="thick">
        <color rgb="FFFF0000"/>
      </top>
      <bottom/>
      <diagonal/>
    </border>
    <border>
      <left style="thin">
        <color auto="1"/>
      </left>
      <right style="thin">
        <color auto="1"/>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style="thin">
        <color auto="1"/>
      </left>
      <right style="thin">
        <color auto="1"/>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n">
        <color rgb="FFFF0000"/>
      </left>
      <right style="thin">
        <color rgb="FFFF0000"/>
      </right>
      <top/>
      <bottom style="thin">
        <color rgb="FFFF0000"/>
      </bottom>
      <diagonal/>
    </border>
    <border>
      <left style="thin">
        <color rgb="FFFF0000"/>
      </left>
      <right style="thin">
        <color rgb="FFFF0000"/>
      </right>
      <top/>
      <bottom/>
      <diagonal/>
    </border>
    <border>
      <left style="thin">
        <color rgb="FFFF0000"/>
      </left>
      <right/>
      <top style="thin">
        <color rgb="FFFF0000"/>
      </top>
      <bottom/>
      <diagonal/>
    </border>
    <border>
      <left style="thin">
        <color indexed="64"/>
      </left>
      <right style="thin">
        <color indexed="64"/>
      </right>
      <top style="thin">
        <color rgb="FFFF0000"/>
      </top>
      <bottom style="thin">
        <color indexed="64"/>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style="thin">
        <color indexed="64"/>
      </left>
      <right style="thin">
        <color rgb="FFFF0000"/>
      </right>
      <top style="thin">
        <color indexed="64"/>
      </top>
      <bottom style="thin">
        <color indexed="64"/>
      </bottom>
      <diagonal/>
    </border>
    <border>
      <left style="thin">
        <color rgb="FFFF0000"/>
      </left>
      <right/>
      <top/>
      <bottom style="thin">
        <color rgb="FFFF0000"/>
      </bottom>
      <diagonal/>
    </border>
    <border>
      <left style="medium">
        <color indexed="64"/>
      </left>
      <right style="thin">
        <color indexed="64"/>
      </right>
      <top style="thin">
        <color indexed="64"/>
      </top>
      <bottom style="thin">
        <color rgb="FFFF0000"/>
      </bottom>
      <diagonal/>
    </border>
    <border>
      <left style="thin">
        <color indexed="64"/>
      </left>
      <right style="thin">
        <color indexed="64"/>
      </right>
      <top style="thin">
        <color indexed="64"/>
      </top>
      <bottom style="thin">
        <color rgb="FFFF0000"/>
      </bottom>
      <diagonal/>
    </border>
    <border>
      <left style="thin">
        <color indexed="64"/>
      </left>
      <right style="thin">
        <color rgb="FFFF0000"/>
      </right>
      <top style="thin">
        <color indexed="64"/>
      </top>
      <bottom style="thin">
        <color rgb="FFFF0000"/>
      </bottom>
      <diagonal/>
    </border>
    <border>
      <left/>
      <right style="thin">
        <color indexed="64"/>
      </right>
      <top/>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ck">
        <color auto="1"/>
      </right>
      <top/>
      <bottom/>
      <diagonal/>
    </border>
    <border>
      <left/>
      <right/>
      <top style="thin">
        <color theme="4"/>
      </top>
      <bottom style="double">
        <color theme="4"/>
      </bottom>
      <diagonal/>
    </border>
    <border>
      <left/>
      <right/>
      <top/>
      <bottom style="thin">
        <color indexed="50"/>
      </bottom>
      <diagonal/>
    </border>
    <border>
      <left style="medium">
        <color indexed="64"/>
      </left>
      <right style="medium">
        <color indexed="64"/>
      </right>
      <top style="thin">
        <color indexed="64"/>
      </top>
      <bottom style="medium">
        <color indexed="64"/>
      </bottom>
      <diagonal/>
    </border>
    <border>
      <left/>
      <right/>
      <top/>
      <bottom style="thick">
        <color indexed="4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5822">
    <xf numFmtId="0" fontId="0" fillId="0" borderId="0"/>
    <xf numFmtId="0" fontId="15" fillId="2" borderId="0" applyNumberFormat="0" applyBorder="0" applyAlignment="0" applyProtection="0"/>
    <xf numFmtId="0" fontId="1" fillId="2" borderId="0" applyNumberFormat="0" applyBorder="0" applyAlignment="0" applyProtection="0"/>
    <xf numFmtId="0" fontId="15" fillId="3" borderId="0" applyNumberFormat="0" applyBorder="0" applyAlignment="0" applyProtection="0"/>
    <xf numFmtId="0" fontId="1" fillId="3" borderId="0" applyNumberFormat="0" applyBorder="0" applyAlignment="0" applyProtection="0"/>
    <xf numFmtId="0" fontId="15" fillId="4" borderId="0" applyNumberFormat="0" applyBorder="0" applyAlignment="0" applyProtection="0"/>
    <xf numFmtId="0" fontId="1" fillId="4"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6" borderId="0" applyNumberFormat="0" applyBorder="0" applyAlignment="0" applyProtection="0"/>
    <xf numFmtId="0" fontId="1" fillId="6" borderId="0" applyNumberFormat="0" applyBorder="0" applyAlignment="0" applyProtection="0"/>
    <xf numFmtId="0" fontId="15" fillId="7" borderId="0" applyNumberFormat="0" applyBorder="0" applyAlignment="0" applyProtection="0"/>
    <xf numFmtId="0" fontId="1" fillId="7"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9" borderId="0" applyNumberFormat="0" applyBorder="0" applyAlignment="0" applyProtection="0"/>
    <xf numFmtId="0" fontId="1" fillId="9" borderId="0" applyNumberFormat="0" applyBorder="0" applyAlignment="0" applyProtection="0"/>
    <xf numFmtId="0" fontId="15" fillId="10" borderId="0" applyNumberFormat="0" applyBorder="0" applyAlignment="0" applyProtection="0"/>
    <xf numFmtId="0" fontId="1" fillId="10" borderId="0" applyNumberFormat="0" applyBorder="0" applyAlignment="0" applyProtection="0"/>
    <xf numFmtId="0" fontId="15" fillId="5" borderId="0" applyNumberFormat="0" applyBorder="0" applyAlignment="0" applyProtection="0"/>
    <xf numFmtId="0" fontId="1" fillId="5" borderId="0" applyNumberFormat="0" applyBorder="0" applyAlignment="0" applyProtection="0"/>
    <xf numFmtId="0" fontId="15" fillId="8" borderId="0" applyNumberFormat="0" applyBorder="0" applyAlignment="0" applyProtection="0"/>
    <xf numFmtId="0" fontId="1" fillId="8" borderId="0" applyNumberFormat="0" applyBorder="0" applyAlignment="0" applyProtection="0"/>
    <xf numFmtId="0" fontId="15" fillId="11" borderId="0" applyNumberFormat="0" applyBorder="0" applyAlignment="0" applyProtection="0"/>
    <xf numFmtId="0" fontId="1" fillId="11" borderId="0" applyNumberFormat="0" applyBorder="0" applyAlignment="0" applyProtection="0"/>
    <xf numFmtId="0" fontId="11" fillId="0" borderId="0" applyNumberFormat="0" applyFont="0" applyFill="0" applyBorder="0" applyProtection="0">
      <alignment horizontal="left" vertical="center" indent="5"/>
    </xf>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4" fontId="33" fillId="20" borderId="1">
      <alignment horizontal="right" vertical="center"/>
    </xf>
    <xf numFmtId="4" fontId="33" fillId="20" borderId="1">
      <alignment horizontal="right" vertical="center"/>
    </xf>
    <xf numFmtId="0" fontId="41" fillId="30" borderId="0" applyNumberFormat="0" applyBorder="0" applyAlignment="0" applyProtection="0"/>
    <xf numFmtId="0" fontId="41" fillId="30" borderId="0" applyNumberFormat="0" applyBorder="0" applyAlignment="0" applyProtection="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18" fillId="0" borderId="3" applyNumberFormat="0" applyFill="0" applyAlignment="0" applyProtection="0"/>
    <xf numFmtId="0" fontId="19" fillId="22" borderId="4" applyNumberFormat="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9" fillId="0" borderId="0"/>
    <xf numFmtId="0" fontId="37" fillId="0" borderId="5">
      <alignment horizontal="left" vertical="center" wrapText="1" indent="2"/>
    </xf>
    <xf numFmtId="0" fontId="37" fillId="0" borderId="5">
      <alignment horizontal="left" vertical="center" wrapText="1" indent="2"/>
    </xf>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34"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4" fillId="0" borderId="0" applyFont="0" applyFill="0" applyBorder="0" applyAlignment="0" applyProtection="0"/>
    <xf numFmtId="169" fontId="11" fillId="0" borderId="0" applyFont="0" applyFill="0" applyBorder="0" applyAlignment="0" applyProtection="0"/>
    <xf numFmtId="0" fontId="39" fillId="0" borderId="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0" applyBorder="0">
      <alignment horizontal="right" vertical="center"/>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2" fillId="0" borderId="0"/>
    <xf numFmtId="0" fontId="11" fillId="0" borderId="0"/>
    <xf numFmtId="0" fontId="44" fillId="0" borderId="0"/>
    <xf numFmtId="0" fontId="11" fillId="0" borderId="0"/>
    <xf numFmtId="0" fontId="11" fillId="0" borderId="0"/>
    <xf numFmtId="0" fontId="39" fillId="0" borderId="0"/>
    <xf numFmtId="0" fontId="39" fillId="0" borderId="0"/>
    <xf numFmtId="0" fontId="40" fillId="0" borderId="0"/>
    <xf numFmtId="0" fontId="11" fillId="0" borderId="0"/>
    <xf numFmtId="0" fontId="11" fillId="0" borderId="0"/>
    <xf numFmtId="0" fontId="40" fillId="0" borderId="0"/>
    <xf numFmtId="0" fontId="40" fillId="0" borderId="0"/>
    <xf numFmtId="0" fontId="11" fillId="0" borderId="0"/>
    <xf numFmtId="0" fontId="40" fillId="0" borderId="0"/>
    <xf numFmtId="0" fontId="40" fillId="0" borderId="0"/>
    <xf numFmtId="0" fontId="11" fillId="0" borderId="0"/>
    <xf numFmtId="0" fontId="44" fillId="0" borderId="0"/>
    <xf numFmtId="0" fontId="34" fillId="0" borderId="0"/>
    <xf numFmtId="0" fontId="11" fillId="0" borderId="0"/>
    <xf numFmtId="0" fontId="45" fillId="0" borderId="0"/>
    <xf numFmtId="0" fontId="45" fillId="0" borderId="0"/>
    <xf numFmtId="0" fontId="44" fillId="0" borderId="0"/>
    <xf numFmtId="0" fontId="44" fillId="0" borderId="0"/>
    <xf numFmtId="0" fontId="44" fillId="0" borderId="0"/>
    <xf numFmtId="0" fontId="44" fillId="0" borderId="0"/>
    <xf numFmtId="0" fontId="40" fillId="0" borderId="0"/>
    <xf numFmtId="0" fontId="11" fillId="0" borderId="0"/>
    <xf numFmtId="0" fontId="40" fillId="0" borderId="0"/>
    <xf numFmtId="0" fontId="44" fillId="0" borderId="0"/>
    <xf numFmtId="0" fontId="44" fillId="0" borderId="0"/>
    <xf numFmtId="0" fontId="35" fillId="0" borderId="0"/>
    <xf numFmtId="0" fontId="40" fillId="0" borderId="0"/>
    <xf numFmtId="0" fontId="40" fillId="0" borderId="0"/>
    <xf numFmtId="0" fontId="11" fillId="0" borderId="0"/>
    <xf numFmtId="0" fontId="44"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11" fillId="24" borderId="0" applyNumberFormat="0" applyFont="0" applyBorder="0" applyAlignment="0" applyProtection="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5" fillId="0" borderId="0"/>
    <xf numFmtId="0" fontId="1" fillId="0" borderId="0"/>
    <xf numFmtId="0" fontId="15" fillId="0" borderId="0"/>
    <xf numFmtId="0" fontId="1" fillId="0" borderId="0"/>
    <xf numFmtId="0" fontId="12"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12" fillId="0" borderId="0"/>
    <xf numFmtId="0" fontId="12" fillId="0" borderId="0"/>
    <xf numFmtId="0" fontId="11" fillId="0" borderId="0"/>
    <xf numFmtId="0" fontId="12" fillId="0" borderId="0"/>
    <xf numFmtId="0" fontId="11" fillId="0" borderId="0"/>
    <xf numFmtId="0" fontId="11" fillId="0" borderId="0"/>
    <xf numFmtId="0" fontId="21" fillId="0" borderId="0"/>
    <xf numFmtId="0" fontId="36" fillId="0" borderId="0"/>
    <xf numFmtId="0" fontId="11" fillId="25" borderId="9" applyNumberFormat="0" applyFont="0" applyAlignment="0" applyProtection="0"/>
    <xf numFmtId="0" fontId="11" fillId="25" borderId="9" applyNumberFormat="0" applyFont="0" applyAlignment="0" applyProtection="0"/>
    <xf numFmtId="0" fontId="34"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4"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39" fillId="0" borderId="0"/>
    <xf numFmtId="9" fontId="40"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7" fillId="0" borderId="6" applyNumberFormat="0" applyFill="0" applyAlignment="0" applyProtection="0"/>
    <xf numFmtId="0" fontId="28" fillId="0" borderId="7"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60" fillId="0" borderId="0"/>
    <xf numFmtId="3" fontId="63" fillId="41" borderId="43" applyBorder="0" applyAlignment="0" applyProtection="0"/>
    <xf numFmtId="0" fontId="64" fillId="0" borderId="0" applyNumberFormat="0" applyFill="0" applyBorder="0" applyAlignment="0" applyProtection="0"/>
    <xf numFmtId="0" fontId="65" fillId="33" borderId="0" applyNumberFormat="0" applyAlignment="0" applyProtection="0"/>
    <xf numFmtId="0" fontId="65" fillId="33" borderId="44" applyNumberFormat="0" applyAlignment="0" applyProtection="0"/>
    <xf numFmtId="0" fontId="66" fillId="42" borderId="45" applyNumberFormat="0" applyAlignment="0" applyProtection="0"/>
    <xf numFmtId="3" fontId="67" fillId="37" borderId="0"/>
    <xf numFmtId="3" fontId="68" fillId="37" borderId="43" applyBorder="0" applyAlignment="0" applyProtection="0">
      <alignment horizontal="center" vertical="center"/>
    </xf>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17" fillId="21" borderId="2" applyNumberFormat="0" applyAlignment="0" applyProtection="0"/>
    <xf numFmtId="0" fontId="17" fillId="21" borderId="2" applyNumberFormat="0" applyAlignment="0" applyProtection="0"/>
    <xf numFmtId="173" fontId="11"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35" fillId="0" borderId="0" applyFont="0" applyFill="0" applyBorder="0" applyAlignment="0" applyProtection="0"/>
    <xf numFmtId="0" fontId="72" fillId="43" borderId="0" applyNumberFormat="0" applyBorder="0" applyAlignment="0" applyProtection="0"/>
    <xf numFmtId="0" fontId="73"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39" fillId="0" borderId="0" applyFont="0" applyFill="0" applyBorder="0" applyAlignment="0" applyProtection="0"/>
    <xf numFmtId="0" fontId="69" fillId="45" borderId="46" applyNumberFormat="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41" fontId="21" fillId="0" borderId="0" applyFont="0" applyFill="0" applyBorder="0" applyAlignment="0" applyProtection="0"/>
    <xf numFmtId="174" fontId="21" fillId="0" borderId="0" applyFont="0" applyFill="0" applyBorder="0" applyAlignment="0" applyProtection="0"/>
    <xf numFmtId="174" fontId="2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35" fillId="0" borderId="0" applyFont="0" applyFill="0" applyBorder="0" applyAlignment="0" applyProtection="0"/>
    <xf numFmtId="0" fontId="74" fillId="44" borderId="0" applyNumberFormat="0" applyBorder="0" applyAlignment="0" applyProtection="0"/>
    <xf numFmtId="0" fontId="40" fillId="0" borderId="0"/>
    <xf numFmtId="0" fontId="11" fillId="0" borderId="0"/>
    <xf numFmtId="0" fontId="11" fillId="0" borderId="0"/>
    <xf numFmtId="0" fontId="40" fillId="0" borderId="0"/>
    <xf numFmtId="0" fontId="11" fillId="0" borderId="0"/>
    <xf numFmtId="0" fontId="40"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4" fillId="0" borderId="0"/>
    <xf numFmtId="0" fontId="44" fillId="0" borderId="0"/>
    <xf numFmtId="0" fontId="44" fillId="0" borderId="0"/>
    <xf numFmtId="0" fontId="44"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75" fillId="73" borderId="0" applyNumberFormat="0" applyBorder="0" applyProtection="0">
      <alignment horizontal="left"/>
    </xf>
    <xf numFmtId="0" fontId="62" fillId="73" borderId="1" applyNumberFormat="0" applyProtection="0">
      <alignment horizontal="left"/>
    </xf>
    <xf numFmtId="49" fontId="11" fillId="0" borderId="1" applyFill="0" applyProtection="0">
      <alignment horizontal="right"/>
    </xf>
    <xf numFmtId="0" fontId="76" fillId="74" borderId="0" applyNumberFormat="0" applyBorder="0" applyProtection="0">
      <alignment horizontal="lef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40" fillId="48"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11" fillId="0" borderId="0" applyNumberFormat="0" applyFont="0" applyFill="0" applyBorder="0" applyProtection="0">
      <alignment horizontal="left" vertical="center" indent="5"/>
    </xf>
    <xf numFmtId="0" fontId="70" fillId="50" borderId="0" applyNumberFormat="0" applyBorder="0" applyAlignment="0" applyProtection="0"/>
    <xf numFmtId="0" fontId="70" fillId="54"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1" fillId="78" borderId="43" applyNumberFormat="0" applyAlignment="0" applyProtection="0"/>
    <xf numFmtId="164" fontId="1" fillId="0" borderId="0" applyFont="0" applyFill="0" applyBorder="0" applyAlignment="0" applyProtection="0"/>
    <xf numFmtId="43" fontId="1" fillId="0" borderId="0" applyFont="0" applyFill="0" applyBorder="0" applyAlignment="0" applyProtection="0"/>
    <xf numFmtId="0" fontId="69" fillId="45" borderId="46" applyNumberFormat="0" applyAlignment="0" applyProtection="0"/>
    <xf numFmtId="0" fontId="85" fillId="0" borderId="0" applyNumberFormat="0" applyFill="0" applyBorder="0" applyAlignment="0" applyProtection="0"/>
    <xf numFmtId="0" fontId="70" fillId="47" borderId="0" applyNumberFormat="0" applyBorder="0" applyAlignment="0" applyProtection="0"/>
    <xf numFmtId="0" fontId="70" fillId="51" borderId="0" applyNumberFormat="0" applyBorder="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83" fillId="0" borderId="0" applyFill="0" applyBorder="0"/>
    <xf numFmtId="0" fontId="11" fillId="0" borderId="0"/>
    <xf numFmtId="0" fontId="40" fillId="0" borderId="0"/>
    <xf numFmtId="0" fontId="40" fillId="0" borderId="0"/>
    <xf numFmtId="0" fontId="39" fillId="0" borderId="0"/>
    <xf numFmtId="0" fontId="40" fillId="0" borderId="0"/>
    <xf numFmtId="0" fontId="44" fillId="0" borderId="0"/>
    <xf numFmtId="0" fontId="35" fillId="0" borderId="0"/>
    <xf numFmtId="4" fontId="37" fillId="0" borderId="1" applyFill="0" applyBorder="0" applyProtection="0">
      <alignment horizontal="right" vertical="center"/>
    </xf>
    <xf numFmtId="0" fontId="11" fillId="24" borderId="0" applyNumberFormat="0" applyFont="0" applyBorder="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0" fontId="29" fillId="0" borderId="8" applyNumberFormat="0" applyFill="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4" fillId="0" borderId="0"/>
    <xf numFmtId="0" fontId="11" fillId="0" borderId="0"/>
    <xf numFmtId="0" fontId="124" fillId="0" borderId="0"/>
    <xf numFmtId="0" fontId="11" fillId="0" borderId="0"/>
    <xf numFmtId="0" fontId="40" fillId="0" borderId="0"/>
    <xf numFmtId="0" fontId="124" fillId="0" borderId="0"/>
    <xf numFmtId="9" fontId="124" fillId="0" borderId="0" applyFont="0" applyFill="0" applyBorder="0" applyAlignment="0" applyProtection="0"/>
    <xf numFmtId="0" fontId="40" fillId="0" borderId="0"/>
    <xf numFmtId="0" fontId="40" fillId="0" borderId="0"/>
    <xf numFmtId="0" fontId="85" fillId="0" borderId="0" applyNumberFormat="0" applyFill="0" applyBorder="0" applyAlignment="0" applyProtection="0"/>
    <xf numFmtId="0" fontId="124" fillId="0" borderId="0"/>
    <xf numFmtId="0" fontId="141"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0" fontId="11" fillId="0" borderId="0"/>
    <xf numFmtId="0" fontId="44" fillId="0" borderId="0"/>
    <xf numFmtId="0" fontId="11" fillId="0" borderId="0"/>
    <xf numFmtId="0" fontId="40"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181" fontId="11" fillId="0" borderId="0"/>
    <xf numFmtId="181" fontId="11" fillId="0" borderId="0"/>
    <xf numFmtId="3" fontId="11" fillId="37" borderId="43" applyFont="0" applyFill="0" applyBorder="0" applyAlignment="0" applyProtection="0"/>
    <xf numFmtId="3" fontId="11" fillId="37" borderId="43" applyFont="0" applyFill="0" applyBorder="0" applyAlignment="0" applyProtection="0"/>
    <xf numFmtId="3" fontId="142" fillId="95" borderId="43"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43" applyNumberFormat="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81"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85" fillId="0" borderId="0" applyNumberFormat="0" applyFill="0" applyBorder="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2" fontId="67" fillId="96" borderId="0" applyNumberFormat="0" applyBorder="0" applyAlignment="0" applyProtection="0">
      <alignment horizontal="center"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143" fillId="33" borderId="0" applyNumberFormat="0" applyAlignment="0" applyProtection="0"/>
    <xf numFmtId="0" fontId="144" fillId="36" borderId="0" applyNumberFormat="0" applyAlignment="0" applyProtection="0"/>
    <xf numFmtId="0" fontId="66" fillId="42" borderId="0" applyNumberFormat="0" applyAlignment="0" applyProtection="0"/>
    <xf numFmtId="182" fontId="145" fillId="97"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68" fillId="31" borderId="43" applyNumberFormat="0" applyFill="0" applyBorder="0" applyAlignment="0" applyProtection="0"/>
    <xf numFmtId="0" fontId="146" fillId="31" borderId="43"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3" fontId="63" fillId="41" borderId="43" applyBorder="0" applyAlignment="0" applyProtection="0"/>
    <xf numFmtId="164" fontId="11" fillId="0" borderId="0" applyFont="0" applyFill="0" applyBorder="0" applyAlignment="0" applyProtection="0"/>
    <xf numFmtId="0" fontId="73" fillId="0" borderId="0" applyNumberFormat="0" applyFill="0" applyBorder="0" applyAlignment="0" applyProtection="0"/>
    <xf numFmtId="0" fontId="20" fillId="7" borderId="2" applyNumberFormat="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0"/>
    <xf numFmtId="0" fontId="11" fillId="0" borderId="0"/>
    <xf numFmtId="0" fontId="40"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11" fillId="0" borderId="0"/>
    <xf numFmtId="0" fontId="40" fillId="0" borderId="0"/>
    <xf numFmtId="0" fontId="40" fillId="0" borderId="0"/>
    <xf numFmtId="0" fontId="11" fillId="0" borderId="0"/>
    <xf numFmtId="0" fontId="11" fillId="0" borderId="0"/>
    <xf numFmtId="0" fontId="11" fillId="0" borderId="0"/>
    <xf numFmtId="0" fontId="1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23" fillId="21" borderId="10" applyNumberFormat="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9" fillId="0" borderId="0"/>
    <xf numFmtId="0" fontId="11" fillId="0" borderId="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0" fontId="11" fillId="0" borderId="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39" fillId="0" borderId="0" applyFont="0" applyFill="0" applyBorder="0" applyAlignment="0" applyProtection="0"/>
    <xf numFmtId="0" fontId="22" fillId="23" borderId="0" applyNumberFormat="0" applyBorder="0" applyAlignment="0" applyProtection="0"/>
    <xf numFmtId="168"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41" fontId="2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1" fillId="0" borderId="0"/>
    <xf numFmtId="3" fontId="142" fillId="95" borderId="43"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35"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8" borderId="43" applyNumberFormat="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70"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11" fillId="0" borderId="0"/>
    <xf numFmtId="0" fontId="39" fillId="0" borderId="0"/>
    <xf numFmtId="0" fontId="83" fillId="0" borderId="0" applyFill="0" applyBorder="0"/>
    <xf numFmtId="0" fontId="39"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20" fillId="7" borderId="2" applyNumberFormat="0" applyAlignment="0" applyProtection="0"/>
    <xf numFmtId="164" fontId="40"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40" fillId="0" borderId="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9" fontId="11" fillId="0" borderId="0" applyFont="0" applyFill="0" applyBorder="0" applyAlignment="0" applyProtection="0"/>
    <xf numFmtId="0" fontId="140" fillId="30" borderId="0" applyNumberFormat="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81" fontId="148" fillId="0" borderId="0" applyNumberFormat="0" applyFill="0" applyBorder="0" applyAlignment="0" applyProtection="0">
      <alignment vertical="top"/>
      <protection locked="0"/>
    </xf>
    <xf numFmtId="0" fontId="81" fillId="78" borderId="43" applyNumberFormat="0" applyAlignment="0" applyProtection="0"/>
    <xf numFmtId="43" fontId="40"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1"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2" fillId="23" borderId="0" applyNumberFormat="0" applyBorder="0" applyAlignment="0" applyProtection="0"/>
    <xf numFmtId="0" fontId="11" fillId="0" borderId="0"/>
    <xf numFmtId="0" fontId="39" fillId="0" borderId="0"/>
    <xf numFmtId="0" fontId="11" fillId="0" borderId="0"/>
    <xf numFmtId="0" fontId="11" fillId="0" borderId="0"/>
    <xf numFmtId="0" fontId="11" fillId="0" borderId="0"/>
    <xf numFmtId="0" fontId="40" fillId="0" borderId="0"/>
    <xf numFmtId="0" fontId="40" fillId="0" borderId="0"/>
    <xf numFmtId="0" fontId="40" fillId="0" borderId="0"/>
    <xf numFmtId="164" fontId="35" fillId="0" borderId="0" applyFont="0" applyFill="0" applyBorder="0" applyAlignment="0" applyProtection="0"/>
    <xf numFmtId="0" fontId="40" fillId="0" borderId="0"/>
    <xf numFmtId="0" fontId="40" fillId="0" borderId="0"/>
    <xf numFmtId="0" fontId="44" fillId="0" borderId="0"/>
    <xf numFmtId="0" fontId="11" fillId="0" borderId="0"/>
    <xf numFmtId="0" fontId="40" fillId="0" borderId="0"/>
    <xf numFmtId="0" fontId="40" fillId="0" borderId="0"/>
    <xf numFmtId="0" fontId="35" fillId="0" borderId="0"/>
    <xf numFmtId="0" fontId="40" fillId="0" borderId="0"/>
    <xf numFmtId="0" fontId="40" fillId="0" borderId="0"/>
    <xf numFmtId="0" fontId="35" fillId="0" borderId="0"/>
    <xf numFmtId="182" fontId="7" fillId="37" borderId="0" applyNumberFormat="0" applyBorder="0" applyAlignment="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0" fontId="82" fillId="31" borderId="71" applyNumberFormat="0" applyAlignment="0" applyProtection="0"/>
    <xf numFmtId="9" fontId="11" fillId="0" borderId="0" applyFont="0" applyFill="0" applyBorder="0" applyAlignment="0" applyProtection="0"/>
    <xf numFmtId="9" fontId="40" fillId="0" borderId="0" applyFont="0" applyFill="0" applyBorder="0" applyAlignment="0" applyProtection="0"/>
    <xf numFmtId="0" fontId="39" fillId="0" borderId="0"/>
    <xf numFmtId="0" fontId="20" fillId="7" borderId="2"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85" fillId="0" borderId="0" applyNumberForma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11" fillId="0" borderId="0"/>
    <xf numFmtId="16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3" fillId="21" borderId="10"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40" fillId="0" borderId="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8"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3" fillId="21" borderId="10" applyNumberFormat="0" applyAlignment="0" applyProtection="0"/>
    <xf numFmtId="0" fontId="11"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0" borderId="0" applyNumberFormat="0" applyFont="0" applyFill="0" applyBorder="0" applyProtection="0">
      <alignment horizontal="left" vertical="center" indent="5"/>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11" fillId="0" borderId="0" applyNumberFormat="0" applyFont="0" applyFill="0" applyBorder="0" applyProtection="0">
      <alignment horizontal="left" vertical="center" indent="5"/>
    </xf>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71"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24"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25" borderId="9"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1" fillId="0" borderId="0" applyFont="0" applyFill="0" applyBorder="0" applyAlignment="0" applyProtection="0"/>
    <xf numFmtId="0" fontId="11"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1" fillId="0" borderId="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0" fontId="40" fillId="0" borderId="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9"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0" fontId="35" fillId="25" borderId="9" applyNumberFormat="0" applyFon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8"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169" fontId="35" fillId="0" borderId="0" applyFont="0" applyFill="0" applyBorder="0" applyAlignment="0" applyProtection="0"/>
    <xf numFmtId="0" fontId="23" fillId="21" borderId="10" applyNumberForma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0" fontId="11" fillId="25" borderId="9" applyNumberFormat="0" applyFont="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4" fontId="35" fillId="0" borderId="0" applyFont="0" applyFill="0" applyBorder="0" applyAlignment="0" applyProtection="0"/>
    <xf numFmtId="3" fontId="67" fillId="37" borderId="0"/>
    <xf numFmtId="170" fontId="35" fillId="0" borderId="0" applyFont="0" applyFill="0" applyBorder="0" applyAlignment="0" applyProtection="0"/>
    <xf numFmtId="0" fontId="37" fillId="0" borderId="5">
      <alignment horizontal="left" vertical="center" wrapText="1" indent="2"/>
    </xf>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1" fillId="25" borderId="9" applyNumberFormat="0" applyFon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3" fillId="21" borderId="10" applyNumberFormat="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2" fillId="0" borderId="11" applyNumberFormat="0" applyFill="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41" fontId="21" fillId="0" borderId="0" applyFont="0" applyFill="0" applyBorder="0" applyAlignment="0" applyProtection="0"/>
    <xf numFmtId="0" fontId="29" fillId="0" borderId="8" applyNumberFormat="0" applyFill="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 fillId="0" borderId="11"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 fontId="37" fillId="0" borderId="1" applyFill="0" applyBorder="0" applyProtection="0">
      <alignment horizontal="right" vertical="center"/>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20" fillId="7" borderId="2" applyNumberFormat="0" applyAlignment="0" applyProtection="0"/>
    <xf numFmtId="0" fontId="37" fillId="0" borderId="5">
      <alignment horizontal="left" vertical="center" wrapText="1" indent="2"/>
    </xf>
    <xf numFmtId="0" fontId="17" fillId="21" borderId="2" applyNumberFormat="0" applyAlignment="0" applyProtection="0"/>
    <xf numFmtId="0" fontId="17" fillId="21" borderId="2" applyNumberFormat="0" applyAlignment="0" applyProtection="0"/>
    <xf numFmtId="0" fontId="29" fillId="0" borderId="8" applyNumberFormat="0" applyFill="0" applyAlignment="0" applyProtection="0"/>
    <xf numFmtId="4" fontId="37" fillId="0" borderId="1" applyFill="0" applyBorder="0" applyProtection="0">
      <alignment horizontal="right" vertical="center"/>
    </xf>
    <xf numFmtId="0" fontId="20" fillId="7" borderId="2" applyNumberFormat="0" applyAlignment="0" applyProtection="0"/>
    <xf numFmtId="0" fontId="37" fillId="0" borderId="5">
      <alignment horizontal="left" vertical="center" wrapText="1" indent="2"/>
    </xf>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7" fillId="21" borderId="2" applyNumberFormat="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8"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169" fontId="11" fillId="0" borderId="0" applyFont="0" applyFill="0" applyBorder="0" applyAlignment="0" applyProtection="0"/>
    <xf numFmtId="0" fontId="20" fillId="7" borderId="2" applyNumberFormat="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35" fillId="25" borderId="9"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0" fontId="23" fillId="21" borderId="10" applyNumberFormat="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62" fillId="73" borderId="1" applyNumberFormat="0" applyProtection="0">
      <alignment horizontal="right"/>
    </xf>
    <xf numFmtId="0" fontId="62" fillId="73" borderId="1" applyNumberFormat="0" applyProtection="0">
      <alignment horizontal="left"/>
    </xf>
    <xf numFmtId="49" fontId="11" fillId="0" borderId="1" applyFill="0" applyProtection="0">
      <alignment horizontal="right"/>
    </xf>
    <xf numFmtId="1" fontId="11" fillId="0" borderId="1" applyFill="0" applyProtection="0">
      <alignment horizontal="right" vertical="top" wrapText="1"/>
    </xf>
    <xf numFmtId="2" fontId="11" fillId="0" borderId="1" applyFill="0" applyProtection="0">
      <alignment horizontal="right" vertical="top" wrapText="1"/>
    </xf>
    <xf numFmtId="0" fontId="11" fillId="0" borderId="1" applyFill="0" applyProtection="0">
      <alignment horizontal="right" vertical="top" wrapText="1"/>
    </xf>
    <xf numFmtId="0" fontId="2" fillId="0" borderId="11" applyNumberFormat="0" applyFill="0" applyAlignment="0" applyProtection="0"/>
    <xf numFmtId="0" fontId="2" fillId="0" borderId="11" applyNumberFormat="0" applyFill="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20" fillId="7" borderId="2"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71" fontId="11" fillId="0" borderId="0" applyFont="0" applyFill="0" applyBorder="0" applyAlignment="0" applyProtection="0"/>
    <xf numFmtId="181" fontId="11" fillId="0" borderId="0" applyFont="0" applyFill="0" applyBorder="0" applyAlignment="0" applyProtection="0"/>
    <xf numFmtId="43" fontId="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83" fillId="0" borderId="0" applyFill="0" applyBorder="0"/>
    <xf numFmtId="43" fontId="11" fillId="0" borderId="0" applyFont="0" applyFill="0" applyBorder="0" applyAlignment="0" applyProtection="0"/>
    <xf numFmtId="43" fontId="1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25" borderId="9" applyNumberFormat="0" applyFon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1"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25" borderId="9" applyNumberFormat="0" applyFont="0" applyAlignment="0" applyProtection="0"/>
    <xf numFmtId="9"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64" fontId="40"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35"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0" fontId="11" fillId="25" borderId="9" applyNumberFormat="0" applyFont="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0" fontId="11" fillId="0" borderId="0"/>
    <xf numFmtId="0" fontId="23" fillId="21" borderId="10" applyNumberFormat="0" applyAlignment="0" applyProtection="0"/>
    <xf numFmtId="0" fontId="40" fillId="0" borderId="0"/>
    <xf numFmtId="0" fontId="40" fillId="0" borderId="0"/>
    <xf numFmtId="0" fontId="11" fillId="25" borderId="9" applyNumberFormat="0" applyFont="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9" fontId="40" fillId="0" borderId="0" applyFont="0" applyFill="0" applyBorder="0" applyAlignment="0" applyProtection="0"/>
    <xf numFmtId="0" fontId="11" fillId="25" borderId="9" applyNumberFormat="0" applyFont="0" applyAlignment="0" applyProtection="0"/>
    <xf numFmtId="0" fontId="11" fillId="25" borderId="9" applyNumberFormat="0" applyFont="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11" fillId="0" borderId="0"/>
    <xf numFmtId="0" fontId="11" fillId="0" borderId="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5" fillId="25" borderId="9" applyNumberFormat="0" applyFont="0" applyAlignment="0" applyProtection="0"/>
    <xf numFmtId="0" fontId="29" fillId="0" borderId="8" applyNumberFormat="0" applyFill="0" applyAlignment="0" applyProtection="0"/>
    <xf numFmtId="0" fontId="29" fillId="0" borderId="8" applyNumberFormat="0" applyFill="0" applyAlignment="0" applyProtection="0"/>
    <xf numFmtId="0" fontId="11" fillId="25" borderId="9" applyNumberFormat="0" applyFont="0" applyAlignment="0" applyProtection="0"/>
    <xf numFmtId="164" fontId="35" fillId="0" borderId="0" applyFont="0" applyFill="0" applyBorder="0" applyAlignment="0" applyProtection="0"/>
    <xf numFmtId="0" fontId="37" fillId="0" borderId="5">
      <alignment horizontal="left" vertical="center" wrapText="1" indent="2"/>
    </xf>
    <xf numFmtId="4" fontId="37" fillId="0" borderId="1" applyFill="0" applyBorder="0" applyProtection="0">
      <alignment horizontal="right" vertical="center"/>
    </xf>
    <xf numFmtId="4" fontId="37" fillId="0" borderId="1" applyFill="0" applyBorder="0" applyProtection="0">
      <alignment horizontal="right" vertical="center"/>
    </xf>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3" fontId="11" fillId="97" borderId="2" applyFont="0" applyFill="0" applyBorder="0" applyAlignment="0" applyProtection="0"/>
    <xf numFmtId="3" fontId="11" fillId="97" borderId="2" applyFont="0" applyFill="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16" fillId="19" borderId="0" applyNumberFormat="0" applyBorder="0" applyAlignment="0" applyProtection="0"/>
    <xf numFmtId="0" fontId="31" fillId="3" borderId="0" applyNumberFormat="0" applyBorder="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0" fontId="11" fillId="46" borderId="47" applyNumberFormat="0" applyFont="0" applyAlignment="0" applyProtection="0"/>
    <xf numFmtId="0" fontId="1" fillId="46" borderId="47" applyNumberFormat="0" applyFont="0" applyAlignment="0" applyProtection="0"/>
    <xf numFmtId="0" fontId="1" fillId="46" borderId="47" applyNumberFormat="0" applyFont="0" applyAlignment="0" applyProtection="0"/>
    <xf numFmtId="3" fontId="142" fillId="95" borderId="2" applyNumberFormat="0" applyBorder="0" applyAlignment="0" applyProtection="0"/>
    <xf numFmtId="0" fontId="149" fillId="0" borderId="0"/>
    <xf numFmtId="0" fontId="150" fillId="0" borderId="0">
      <alignment horizontal="right"/>
    </xf>
    <xf numFmtId="0" fontId="151" fillId="0" borderId="0"/>
    <xf numFmtId="0" fontId="152" fillId="0" borderId="0"/>
    <xf numFmtId="0" fontId="153" fillId="0" borderId="0"/>
    <xf numFmtId="0" fontId="154" fillId="0" borderId="109" applyNumberFormat="0" applyAlignment="0"/>
    <xf numFmtId="0" fontId="155" fillId="0" borderId="0" applyAlignment="0">
      <alignment horizontal="left"/>
    </xf>
    <xf numFmtId="0" fontId="155" fillId="0" borderId="0">
      <alignment horizontal="right"/>
    </xf>
    <xf numFmtId="179" fontId="155" fillId="0" borderId="0">
      <alignment horizontal="right"/>
    </xf>
    <xf numFmtId="167" fontId="156" fillId="0" borderId="0">
      <alignment horizontal="right"/>
    </xf>
    <xf numFmtId="0" fontId="157" fillId="0" borderId="0"/>
    <xf numFmtId="0" fontId="17" fillId="21" borderId="2" applyNumberFormat="0" applyAlignment="0" applyProtection="0"/>
    <xf numFmtId="0" fontId="17" fillId="21" borderId="2" applyNumberFormat="0" applyAlignment="0" applyProtection="0"/>
    <xf numFmtId="0" fontId="42" fillId="31" borderId="43" applyNumberFormat="0" applyAlignment="0" applyProtection="0"/>
    <xf numFmtId="0" fontId="7" fillId="37" borderId="2" applyNumberFormat="0" applyBorder="0" applyAlignment="0" applyProtection="0"/>
    <xf numFmtId="0" fontId="19" fillId="22" borderId="4" applyNumberFormat="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3"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0" borderId="0" applyFont="0" applyFill="0" applyBorder="0" applyAlignment="0" applyProtection="0"/>
    <xf numFmtId="0" fontId="25" fillId="0" borderId="0" applyNumberFormat="0" applyFill="0" applyBorder="0" applyAlignment="0" applyProtection="0"/>
    <xf numFmtId="0" fontId="32" fillId="4"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148" fillId="0" borderId="0" applyNumberFormat="0" applyFill="0" applyBorder="0" applyAlignment="0" applyProtection="0">
      <alignment vertical="top"/>
      <protection locked="0"/>
    </xf>
    <xf numFmtId="0" fontId="158" fillId="0" borderId="0" applyNumberFormat="0" applyFill="0" applyBorder="0" applyAlignment="0" applyProtection="0">
      <alignment vertical="top"/>
      <protection locked="0"/>
    </xf>
    <xf numFmtId="0" fontId="20" fillId="7" borderId="2"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81" fillId="78" borderId="43" applyNumberFormat="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48" fillId="0" borderId="0" applyNumberFormat="0" applyFill="0" applyBorder="0" applyAlignment="0" applyProtection="0">
      <alignment vertical="top"/>
      <protection locked="0"/>
    </xf>
    <xf numFmtId="164" fontId="11" fillId="0" borderId="0" applyFon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85" fillId="0" borderId="0" applyNumberFormat="0" applyFill="0" applyBorder="0" applyAlignment="0" applyProtection="0"/>
    <xf numFmtId="0" fontId="159" fillId="0" borderId="0" applyNumberFormat="0" applyFill="0" applyBorder="0" applyAlignment="0" applyProtection="0">
      <alignment vertical="top"/>
      <protection locked="0"/>
    </xf>
    <xf numFmtId="0" fontId="18" fillId="0" borderId="3" applyNumberFormat="0" applyFill="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35"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0" fontId="4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0" fontId="62" fillId="73" borderId="1" applyNumberFormat="0" applyProtection="0">
      <alignment horizontal="right"/>
    </xf>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0" fontId="40" fillId="0" borderId="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0"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4" fillId="0" borderId="0"/>
    <xf numFmtId="0" fontId="11" fillId="0" borderId="0"/>
    <xf numFmtId="0" fontId="39" fillId="0" borderId="0"/>
    <xf numFmtId="9" fontId="11" fillId="0" borderId="0" applyFont="0" applyFill="0" applyBorder="0" applyAlignment="0" applyProtection="0"/>
    <xf numFmtId="0" fontId="11" fillId="0" borderId="0" applyNumberFormat="0" applyFont="0" applyFill="0" applyBorder="0" applyProtection="0">
      <alignment horizontal="left" vertical="center" indent="2"/>
    </xf>
    <xf numFmtId="4" fontId="37" fillId="98" borderId="1">
      <alignment horizontal="right" vertical="center"/>
    </xf>
    <xf numFmtId="0" fontId="33" fillId="0" borderId="0" applyNumberFormat="0">
      <alignment horizontal="right"/>
    </xf>
    <xf numFmtId="0" fontId="33" fillId="0" borderId="110">
      <alignment horizontal="left" vertical="top" wrapText="1"/>
    </xf>
    <xf numFmtId="0" fontId="11" fillId="0" borderId="15"/>
    <xf numFmtId="0" fontId="161" fillId="0" borderId="0" applyNumberFormat="0" applyFill="0" applyBorder="0" applyAlignment="0" applyProtection="0"/>
    <xf numFmtId="4" fontId="37" fillId="0" borderId="93">
      <alignment horizontal="right" vertical="center"/>
    </xf>
    <xf numFmtId="0" fontId="37" fillId="24" borderId="1"/>
    <xf numFmtId="0" fontId="37" fillId="0" borderId="0"/>
    <xf numFmtId="0" fontId="11" fillId="0" borderId="0"/>
    <xf numFmtId="0" fontId="40" fillId="46" borderId="47" applyNumberFormat="0" applyFon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3" fillId="21" borderId="10" applyNumberFormat="0" applyAlignment="0" applyProtection="0"/>
    <xf numFmtId="0" fontId="23" fillId="21" borderId="10" applyNumberFormat="0" applyAlignment="0" applyProtection="0"/>
    <xf numFmtId="9" fontId="40" fillId="0" borderId="0" applyFont="0" applyFill="0" applyBorder="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60" fillId="0" borderId="0" applyNumberFormat="0" applyFill="0" applyBorder="0" applyAlignment="0" applyProtection="0"/>
    <xf numFmtId="0" fontId="2" fillId="0" borderId="11" applyNumberFormat="0" applyFill="0" applyAlignment="0" applyProtection="0"/>
    <xf numFmtId="0" fontId="11" fillId="0" borderId="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48"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2"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56"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0"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4"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68"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49"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3"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57"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1"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5"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69" borderId="0" applyNumberFormat="0" applyBorder="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0" fontId="40" fillId="46" borderId="47" applyNumberFormat="0" applyFont="0" applyAlignment="0" applyProtection="0"/>
    <xf numFmtId="3" fontId="162" fillId="0" borderId="0" applyFont="0" applyFill="0" applyBorder="0" applyAlignment="0" applyProtection="0"/>
    <xf numFmtId="184" fontId="11" fillId="0" borderId="0"/>
    <xf numFmtId="184" fontId="11" fillId="0" borderId="0"/>
    <xf numFmtId="184" fontId="11" fillId="0" borderId="0"/>
    <xf numFmtId="184" fontId="11" fillId="0" borderId="0"/>
    <xf numFmtId="184" fontId="11" fillId="0" borderId="0"/>
    <xf numFmtId="0" fontId="39" fillId="0" borderId="0"/>
    <xf numFmtId="185" fontId="162" fillId="0" borderId="0" applyFont="0" applyFill="0" applyBorder="0" applyAlignment="0" applyProtection="0"/>
    <xf numFmtId="0" fontId="162" fillId="0" borderId="0" applyFont="0" applyFill="0" applyBorder="0" applyAlignment="0" applyProtection="0"/>
    <xf numFmtId="0" fontId="39" fillId="0" borderId="0"/>
    <xf numFmtId="2" fontId="162"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37" fillId="0" borderId="1" applyFill="0" applyBorder="0" applyProtection="0">
      <alignment horizontal="right" vertical="center"/>
    </xf>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39"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 fontId="163" fillId="26" borderId="111" applyNumberFormat="0" applyProtection="0">
      <alignment vertical="center"/>
    </xf>
    <xf numFmtId="4" fontId="164" fillId="26" borderId="111" applyNumberFormat="0" applyProtection="0">
      <alignment vertical="center"/>
    </xf>
    <xf numFmtId="4" fontId="165" fillId="23" borderId="111" applyNumberFormat="0" applyProtection="0">
      <alignment horizontal="left" vertical="center" indent="1"/>
    </xf>
    <xf numFmtId="0" fontId="11" fillId="0" borderId="0"/>
    <xf numFmtId="4" fontId="166" fillId="99" borderId="111" applyNumberFormat="0" applyProtection="0">
      <alignment horizontal="left" vertical="center" indent="1"/>
    </xf>
    <xf numFmtId="4" fontId="167" fillId="100" borderId="111" applyNumberFormat="0" applyProtection="0">
      <alignment vertical="center"/>
    </xf>
    <xf numFmtId="0" fontId="11" fillId="0" borderId="0"/>
    <xf numFmtId="0" fontId="11" fillId="0" borderId="0"/>
    <xf numFmtId="0" fontId="11" fillId="0" borderId="0"/>
    <xf numFmtId="4" fontId="147" fillId="20" borderId="111" applyNumberFormat="0" applyProtection="0">
      <alignment vertical="center"/>
    </xf>
    <xf numFmtId="0" fontId="11" fillId="0" borderId="0"/>
    <xf numFmtId="0" fontId="11" fillId="0" borderId="0"/>
    <xf numFmtId="0" fontId="11" fillId="0" borderId="0"/>
    <xf numFmtId="4" fontId="167" fillId="101" borderId="111" applyNumberFormat="0" applyProtection="0">
      <alignment vertical="center"/>
    </xf>
    <xf numFmtId="0" fontId="11" fillId="0" borderId="0"/>
    <xf numFmtId="0" fontId="11" fillId="0" borderId="0"/>
    <xf numFmtId="0" fontId="11" fillId="0" borderId="0"/>
    <xf numFmtId="4" fontId="168" fillId="100" borderId="111" applyNumberFormat="0" applyProtection="0">
      <alignment vertical="center"/>
    </xf>
    <xf numFmtId="4" fontId="169" fillId="102" borderId="111" applyNumberFormat="0" applyProtection="0">
      <alignment horizontal="left" vertical="center" indent="1"/>
    </xf>
    <xf numFmtId="4" fontId="169" fillId="99" borderId="111" applyNumberFormat="0" applyProtection="0">
      <alignment horizontal="left" vertical="center" indent="1"/>
    </xf>
    <xf numFmtId="4" fontId="169" fillId="99" borderId="111" applyNumberFormat="0" applyProtection="0">
      <alignment horizontal="left" vertical="center" indent="1"/>
    </xf>
    <xf numFmtId="4" fontId="170" fillId="93" borderId="111" applyNumberFormat="0" applyProtection="0">
      <alignment vertical="center"/>
    </xf>
    <xf numFmtId="4" fontId="171" fillId="97" borderId="111" applyNumberFormat="0" applyProtection="0">
      <alignment horizontal="left" vertical="center" indent="1"/>
    </xf>
    <xf numFmtId="4" fontId="172" fillId="99" borderId="0" applyNumberFormat="0" applyProtection="0">
      <alignment horizontal="left" vertical="center" indent="1"/>
    </xf>
    <xf numFmtId="4" fontId="173" fillId="9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74" fillId="97" borderId="111" applyNumberFormat="0" applyProtection="0">
      <alignment vertical="center"/>
    </xf>
    <xf numFmtId="4" fontId="175" fillId="97" borderId="111" applyNumberFormat="0" applyProtection="0">
      <alignment vertical="center"/>
    </xf>
    <xf numFmtId="4" fontId="176" fillId="103" borderId="111" applyNumberFormat="0" applyProtection="0">
      <alignment horizontal="left" vertical="center" indent="1"/>
    </xf>
    <xf numFmtId="0" fontId="11" fillId="0" borderId="0"/>
    <xf numFmtId="4" fontId="177" fillId="97" borderId="111" applyNumberFormat="0" applyProtection="0">
      <alignment horizontal="right" vertical="center"/>
    </xf>
    <xf numFmtId="4" fontId="178" fillId="97" borderId="111" applyNumberFormat="0" applyProtection="0">
      <alignment vertical="center"/>
    </xf>
    <xf numFmtId="4" fontId="177" fillId="25" borderId="111" applyNumberFormat="0" applyProtection="0">
      <alignment horizontal="left" vertical="center"/>
    </xf>
    <xf numFmtId="0" fontId="11" fillId="0" borderId="0"/>
    <xf numFmtId="4" fontId="179" fillId="97" borderId="111" applyNumberFormat="0" applyProtection="0">
      <alignment vertical="center"/>
    </xf>
    <xf numFmtId="4" fontId="180" fillId="97" borderId="111" applyNumberFormat="0" applyProtection="0">
      <alignment vertical="center"/>
    </xf>
    <xf numFmtId="4" fontId="176" fillId="104" borderId="111" applyNumberFormat="0" applyProtection="0">
      <alignment horizontal="left" vertical="center" indent="1"/>
    </xf>
    <xf numFmtId="4" fontId="181" fillId="105" borderId="0" applyNumberFormat="0" applyProtection="0">
      <alignment horizontal="left" indent="1"/>
    </xf>
    <xf numFmtId="4" fontId="182" fillId="97" borderId="111" applyNumberFormat="0" applyProtection="0">
      <alignment vertical="center"/>
    </xf>
    <xf numFmtId="3" fontId="11" fillId="97" borderId="2" applyFont="0" applyFill="0" applyBorder="0" applyAlignment="0" applyProtection="0"/>
    <xf numFmtId="3" fontId="11" fillId="97" borderId="2" applyFont="0" applyFill="0" applyBorder="0" applyAlignment="0" applyProtection="0"/>
    <xf numFmtId="0" fontId="41" fillId="30" borderId="0" applyNumberFormat="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164" fontId="35" fillId="0" borderId="0" applyFont="0" applyFill="0" applyBorder="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3" fillId="21" borderId="10" applyNumberFormat="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2"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9" fontId="11" fillId="0" borderId="1" applyFill="0" applyProtection="0">
      <alignment horizontal="righ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0"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 fontId="11" fillId="0" borderId="1" applyFill="0" applyProtection="0">
      <alignment horizontal="right" vertical="top" wrapText="1"/>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64"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24" borderId="1"/>
    <xf numFmtId="0" fontId="11" fillId="0" borderId="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62" fillId="73" borderId="1" applyNumberFormat="0" applyProtection="0">
      <alignment horizontal="right"/>
    </xf>
    <xf numFmtId="1" fontId="11" fillId="0" borderId="1" applyFill="0" applyProtection="0">
      <alignment horizontal="right" vertical="top" wrapText="1"/>
    </xf>
    <xf numFmtId="0" fontId="11" fillId="0" borderId="1" applyFill="0" applyProtection="0">
      <alignment horizontal="right" vertical="top" wrapText="1"/>
    </xf>
    <xf numFmtId="0" fontId="17" fillId="21" borderId="2"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 fontId="37" fillId="0" borderId="1" applyFill="0" applyBorder="0" applyProtection="0">
      <alignment horizontal="right" vertical="center"/>
    </xf>
    <xf numFmtId="3" fontId="11" fillId="97" borderId="2" applyFont="0" applyFill="0" applyBorder="0" applyAlignment="0" applyProtection="0"/>
    <xf numFmtId="3" fontId="11" fillId="97" borderId="2" applyFont="0" applyFill="0" applyBorder="0" applyAlignment="0" applyProtection="0"/>
    <xf numFmtId="3" fontId="142" fillId="95" borderId="2" applyNumberFormat="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7" fillId="37" borderId="2" applyNumberFormat="0" applyBorder="0" applyAlignment="0" applyProtection="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0" fontId="20" fillId="7" borderId="2" applyNumberFormat="0" applyAlignment="0" applyProtection="0"/>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 fontId="37" fillId="0" borderId="1" applyFill="0" applyBorder="0" applyProtection="0">
      <alignment horizontal="right" vertical="center"/>
    </xf>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80" fontId="2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4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2" fillId="73" borderId="1" applyNumberFormat="0" applyProtection="0">
      <alignment horizontal="left"/>
    </xf>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80"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1" fillId="0" borderId="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164"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3" fontId="63" fillId="41" borderId="43"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49" fontId="11" fillId="0" borderId="1" applyFill="0" applyProtection="0">
      <alignment horizontal="right"/>
    </xf>
    <xf numFmtId="0" fontId="11" fillId="0" borderId="1" applyFill="0" applyProtection="0">
      <alignment horizontal="right" vertical="top" wrapText="1"/>
    </xf>
    <xf numFmtId="0" fontId="62" fillId="73" borderId="1" applyNumberFormat="0" applyProtection="0">
      <alignment horizontal="right"/>
    </xf>
    <xf numFmtId="1" fontId="11" fillId="0" borderId="1" applyFill="0" applyProtection="0">
      <alignment horizontal="right" vertical="top" wrapText="1"/>
    </xf>
    <xf numFmtId="49" fontId="11" fillId="0" borderId="1" applyFill="0" applyProtection="0">
      <alignment horizontal="right"/>
    </xf>
    <xf numFmtId="1" fontId="11" fillId="0" borderId="1" applyFill="0" applyProtection="0">
      <alignment horizontal="right" vertical="top" wrapText="1"/>
    </xf>
    <xf numFmtId="43"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2" fontId="11" fillId="0" borderId="1" applyFill="0" applyProtection="0">
      <alignment horizontal="right" vertical="top" wrapText="1"/>
    </xf>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0" fontId="11" fillId="0" borderId="0"/>
    <xf numFmtId="0" fontId="40" fillId="0" borderId="0"/>
    <xf numFmtId="9" fontId="40" fillId="0" borderId="0" applyFont="0" applyFill="0" applyBorder="0" applyAlignment="0" applyProtection="0"/>
    <xf numFmtId="0" fontId="62" fillId="73" borderId="1" applyNumberFormat="0" applyProtection="0">
      <alignment horizontal="left"/>
    </xf>
    <xf numFmtId="0" fontId="62" fillId="73" borderId="1" applyNumberFormat="0" applyProtection="0">
      <alignment horizontal="right"/>
    </xf>
    <xf numFmtId="2" fontId="11" fillId="0" borderId="1" applyFill="0" applyProtection="0">
      <alignment horizontal="right" vertical="top" wrapText="1"/>
    </xf>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0" fontId="40" fillId="0" borderId="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2"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11" fillId="0" borderId="0"/>
    <xf numFmtId="0" fontId="62" fillId="73" borderId="1" applyNumberFormat="0" applyProtection="0">
      <alignment horizontal="left"/>
    </xf>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11"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right"/>
    </xf>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0" fontId="40" fillId="0" borderId="0"/>
    <xf numFmtId="164" fontId="35" fillId="0" borderId="0" applyFont="0" applyFill="0" applyBorder="0" applyAlignment="0" applyProtection="0"/>
    <xf numFmtId="164" fontId="40" fillId="0" borderId="0" applyFont="0" applyFill="0" applyBorder="0" applyAlignment="0" applyProtection="0"/>
    <xf numFmtId="0" fontId="40" fillId="0" borderId="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0" fontId="40" fillId="0" borderId="0"/>
    <xf numFmtId="0" fontId="62" fillId="73" borderId="1" applyNumberFormat="0" applyProtection="0">
      <alignment horizontal="right"/>
    </xf>
    <xf numFmtId="180" fontId="2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43"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49" fontId="11" fillId="0" borderId="1" applyFill="0" applyProtection="0">
      <alignment horizontal="right"/>
    </xf>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62" fillId="73" borderId="1" applyNumberFormat="0" applyProtection="0">
      <alignment horizontal="left"/>
    </xf>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35" fillId="0" borderId="0" applyFont="0" applyFill="0" applyBorder="0" applyAlignment="0" applyProtection="0"/>
    <xf numFmtId="0" fontId="11" fillId="0" borderId="1" applyFill="0" applyProtection="0">
      <alignment horizontal="right" vertical="top" wrapText="1"/>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0" fontId="11" fillId="0" borderId="0"/>
    <xf numFmtId="0"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40"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 fontId="11" fillId="0" borderId="1" applyFill="0" applyProtection="0">
      <alignment horizontal="right" vertical="top" wrapText="1"/>
    </xf>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2" fontId="11" fillId="0" borderId="1" applyFill="0" applyProtection="0">
      <alignment horizontal="right" vertical="top" wrapText="1"/>
    </xf>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0" fontId="40" fillId="0" borderId="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0" fontId="40" fillId="0" borderId="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0" fontId="40" fillId="0" borderId="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80" fontId="2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left"/>
    </xf>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0" fontId="40" fillId="0" borderId="0"/>
    <xf numFmtId="1" fontId="11" fillId="0" borderId="1" applyFill="0" applyProtection="0">
      <alignment horizontal="right" vertical="top" wrapText="1"/>
    </xf>
    <xf numFmtId="9"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0" fontId="40" fillId="0" borderId="0"/>
    <xf numFmtId="0" fontId="40" fillId="0" borderId="0"/>
    <xf numFmtId="164" fontId="11" fillId="0" borderId="0" applyFont="0" applyFill="0" applyBorder="0" applyAlignment="0" applyProtection="0"/>
    <xf numFmtId="0" fontId="40" fillId="0" borderId="0"/>
    <xf numFmtId="9" fontId="40"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 fillId="0" borderId="0" applyFont="0" applyFill="0" applyBorder="0" applyAlignment="0" applyProtection="0"/>
    <xf numFmtId="0" fontId="40" fillId="0" borderId="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49" fontId="11" fillId="0" borderId="1" applyFill="0" applyProtection="0">
      <alignment horizontal="right"/>
    </xf>
    <xf numFmtId="164" fontId="40"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0" fontId="40" fillId="0" borderId="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62" fillId="73" borderId="1" applyNumberFormat="0" applyProtection="0">
      <alignment horizontal="right"/>
    </xf>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9"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0" fontId="40" fillId="0" borderId="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43" fontId="40" fillId="0" borderId="0" applyFont="0" applyFill="0" applyBorder="0" applyAlignment="0" applyProtection="0"/>
    <xf numFmtId="43"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44" fillId="0" borderId="0"/>
    <xf numFmtId="0" fontId="11" fillId="0" borderId="0"/>
    <xf numFmtId="0" fontId="11" fillId="0" borderId="0"/>
    <xf numFmtId="0" fontId="11" fillId="0" borderId="0"/>
    <xf numFmtId="0" fontId="11" fillId="0" borderId="0"/>
    <xf numFmtId="182" fontId="11" fillId="0" borderId="0"/>
    <xf numFmtId="0" fontId="11" fillId="0" borderId="0"/>
    <xf numFmtId="0" fontId="11" fillId="0" borderId="0"/>
    <xf numFmtId="182" fontId="11" fillId="0" borderId="0"/>
    <xf numFmtId="181" fontId="11" fillId="0" borderId="0"/>
    <xf numFmtId="0" fontId="83" fillId="0" borderId="0" applyFill="0" applyBorder="0"/>
    <xf numFmtId="181" fontId="11" fillId="0" borderId="0"/>
    <xf numFmtId="0" fontId="83" fillId="0" borderId="0" applyFill="0" applyBorder="0"/>
    <xf numFmtId="181" fontId="11" fillId="0" borderId="0"/>
    <xf numFmtId="0" fontId="11" fillId="0" borderId="0"/>
    <xf numFmtId="0" fontId="11" fillId="0" borderId="0"/>
    <xf numFmtId="0" fontId="98" fillId="0" borderId="0"/>
    <xf numFmtId="0" fontId="98" fillId="0" borderId="0"/>
    <xf numFmtId="0" fontId="98" fillId="0" borderId="0"/>
    <xf numFmtId="0" fontId="98" fillId="0" borderId="0"/>
    <xf numFmtId="0" fontId="98" fillId="0" borderId="0"/>
    <xf numFmtId="0" fontId="98" fillId="0" borderId="0"/>
    <xf numFmtId="181" fontId="183" fillId="0" borderId="0"/>
    <xf numFmtId="0" fontId="39" fillId="0" borderId="0"/>
    <xf numFmtId="181" fontId="183" fillId="0" borderId="0"/>
    <xf numFmtId="0" fontId="11" fillId="0" borderId="0"/>
    <xf numFmtId="0" fontId="11" fillId="0" borderId="0"/>
    <xf numFmtId="0" fontId="98" fillId="0" borderId="0"/>
    <xf numFmtId="0" fontId="98" fillId="0" borderId="0"/>
    <xf numFmtId="0" fontId="98" fillId="0" borderId="0"/>
    <xf numFmtId="182" fontId="7" fillId="37" borderId="0" applyNumberFormat="0" applyBorder="0" applyAlignment="0"/>
    <xf numFmtId="0" fontId="83" fillId="0" borderId="0" applyFill="0" applyBorder="0"/>
    <xf numFmtId="0" fontId="11" fillId="0" borderId="0"/>
    <xf numFmtId="0" fontId="83" fillId="0" borderId="0" applyFill="0" applyBorder="0"/>
    <xf numFmtId="0" fontId="83" fillId="0" borderId="0" applyFill="0" applyBorder="0"/>
    <xf numFmtId="182" fontId="7" fillId="37" borderId="0" applyNumberFormat="0" applyBorder="0" applyAlignment="0"/>
    <xf numFmtId="0" fontId="11" fillId="0" borderId="0"/>
    <xf numFmtId="0" fontId="11" fillId="0" borderId="0"/>
    <xf numFmtId="0" fontId="44" fillId="0" borderId="0"/>
    <xf numFmtId="0" fontId="11" fillId="0" borderId="0"/>
    <xf numFmtId="0" fontId="11" fillId="0" borderId="0"/>
    <xf numFmtId="0" fontId="44" fillId="0" borderId="0"/>
    <xf numFmtId="0" fontId="11" fillId="0" borderId="0"/>
    <xf numFmtId="0" fontId="11" fillId="0" borderId="0"/>
    <xf numFmtId="0" fontId="39" fillId="0" borderId="0"/>
    <xf numFmtId="182" fontId="7" fillId="37" borderId="0" applyNumberFormat="0" applyBorder="0" applyAlignment="0"/>
    <xf numFmtId="0" fontId="35" fillId="25" borderId="9" applyNumberFormat="0" applyFont="0" applyAlignment="0" applyProtection="0"/>
    <xf numFmtId="0" fontId="11" fillId="25" borderId="9" applyNumberFormat="0" applyFont="0" applyAlignment="0" applyProtection="0"/>
    <xf numFmtId="0" fontId="11" fillId="25" borderId="9" applyNumberFormat="0" applyFont="0" applyAlignment="0" applyProtection="0"/>
    <xf numFmtId="0" fontId="1" fillId="46" borderId="47" applyNumberFormat="0" applyFont="0" applyAlignment="0" applyProtection="0"/>
    <xf numFmtId="0" fontId="40" fillId="46" borderId="47" applyNumberFormat="0" applyFont="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35" fillId="0" borderId="0" applyFont="0" applyFill="0" applyBorder="0" applyAlignment="0" applyProtection="0"/>
    <xf numFmtId="0" fontId="82" fillId="31" borderId="71" applyNumberFormat="0" applyAlignment="0" applyProtection="0"/>
    <xf numFmtId="0" fontId="39" fillId="0" borderId="0"/>
    <xf numFmtId="179" fontId="84"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0" fillId="0" borderId="0" applyFon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139"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26" fillId="0" borderId="0" applyNumberFormat="0" applyFill="0" applyBorder="0" applyAlignment="0" applyProtection="0"/>
    <xf numFmtId="0" fontId="46" fillId="0" borderId="108" applyNumberFormat="0" applyFill="0" applyAlignment="0" applyProtection="0"/>
    <xf numFmtId="0" fontId="31" fillId="3" borderId="0" applyNumberFormat="0" applyBorder="0" applyAlignment="0" applyProtection="0"/>
    <xf numFmtId="0" fontId="32" fillId="4" borderId="0" applyNumberFormat="0" applyBorder="0" applyAlignment="0" applyProtection="0"/>
    <xf numFmtId="0" fontId="24" fillId="0" borderId="0" applyNumberFormat="0" applyFill="0" applyBorder="0" applyAlignment="0" applyProtection="0"/>
    <xf numFmtId="0" fontId="47" fillId="0" borderId="0" applyNumberForma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84"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84"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39"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9"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84"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80" fontId="2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40"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40" fillId="0" borderId="0"/>
    <xf numFmtId="164" fontId="40" fillId="0" borderId="0" applyFont="0" applyFill="0" applyBorder="0" applyAlignment="0" applyProtection="0"/>
    <xf numFmtId="9" fontId="40" fillId="0" borderId="0" applyFont="0" applyFill="0" applyBorder="0" applyAlignment="0" applyProtection="0"/>
    <xf numFmtId="0" fontId="40" fillId="0" borderId="0"/>
  </cellStyleXfs>
  <cellXfs count="1363">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6" fillId="0" borderId="0" xfId="0" applyFont="1"/>
    <xf numFmtId="0" fontId="48" fillId="0" borderId="13" xfId="0" applyFont="1" applyBorder="1" applyAlignment="1">
      <alignment horizontal="center" wrapText="1"/>
    </xf>
    <xf numFmtId="3" fontId="49" fillId="0" borderId="13" xfId="0" applyNumberFormat="1" applyFont="1" applyBorder="1" applyAlignment="1">
      <alignment horizontal="center" wrapText="1"/>
    </xf>
    <xf numFmtId="17" fontId="49" fillId="0" borderId="13" xfId="0" applyNumberFormat="1"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8" fillId="0" borderId="17" xfId="0" applyFont="1" applyBorder="1" applyAlignment="1">
      <alignment horizontal="center" wrapText="1"/>
    </xf>
    <xf numFmtId="0" fontId="52" fillId="0" borderId="13" xfId="0" applyFont="1" applyBorder="1" applyAlignment="1">
      <alignment vertical="top" wrapText="1"/>
    </xf>
    <xf numFmtId="0" fontId="48" fillId="0" borderId="15" xfId="0" applyFont="1" applyBorder="1" applyAlignment="1">
      <alignment horizontal="center" wrapText="1"/>
    </xf>
    <xf numFmtId="0" fontId="48" fillId="0" borderId="17" xfId="0" applyFont="1" applyBorder="1" applyAlignment="1">
      <alignment horizontal="center" vertical="top" wrapText="1"/>
    </xf>
    <xf numFmtId="0" fontId="49" fillId="0" borderId="15" xfId="0" applyFont="1" applyBorder="1" applyAlignment="1">
      <alignment horizontal="center" wrapText="1"/>
    </xf>
    <xf numFmtId="16" fontId="49" fillId="0" borderId="13" xfId="0" applyNumberFormat="1" applyFont="1" applyBorder="1" applyAlignment="1">
      <alignment horizontal="center" wrapText="1"/>
    </xf>
    <xf numFmtId="0" fontId="49" fillId="0" borderId="15" xfId="0" applyFont="1" applyBorder="1" applyAlignment="1">
      <alignment horizontal="center" vertical="top" wrapText="1"/>
    </xf>
    <xf numFmtId="0" fontId="49" fillId="0" borderId="13" xfId="0" applyFont="1" applyBorder="1" applyAlignment="1">
      <alignment horizontal="center" vertical="top" wrapText="1"/>
    </xf>
    <xf numFmtId="0" fontId="48" fillId="0" borderId="12" xfId="0" applyFont="1" applyBorder="1" applyAlignment="1"/>
    <xf numFmtId="0" fontId="43" fillId="0" borderId="0" xfId="1257" applyNumberFormat="1" applyFont="1" applyFill="1" applyAlignment="1" applyProtection="1"/>
    <xf numFmtId="0" fontId="50" fillId="0" borderId="18" xfId="0" applyFont="1" applyBorder="1" applyAlignment="1">
      <alignment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17" fontId="49" fillId="0" borderId="13" xfId="0" quotePrefix="1" applyNumberFormat="1" applyFont="1" applyBorder="1" applyAlignment="1">
      <alignment horizontal="center" wrapText="1"/>
    </xf>
    <xf numFmtId="16" fontId="49" fillId="0" borderId="17" xfId="0" quotePrefix="1" applyNumberFormat="1" applyFont="1" applyBorder="1" applyAlignment="1">
      <alignment horizontal="center" wrapText="1"/>
    </xf>
    <xf numFmtId="0" fontId="49" fillId="0" borderId="17" xfId="0" quotePrefix="1" applyFont="1" applyBorder="1" applyAlignment="1">
      <alignment horizontal="center" wrapText="1"/>
    </xf>
    <xf numFmtId="0" fontId="48" fillId="0" borderId="17" xfId="0" quotePrefix="1" applyFont="1" applyBorder="1" applyAlignment="1">
      <alignment horizontal="center" wrapText="1"/>
    </xf>
    <xf numFmtId="16" fontId="48" fillId="0" borderId="17" xfId="0" quotePrefix="1" applyNumberFormat="1" applyFont="1" applyBorder="1" applyAlignment="1">
      <alignment horizontal="center" wrapText="1"/>
    </xf>
    <xf numFmtId="16" fontId="48" fillId="0" borderId="13" xfId="0" quotePrefix="1" applyNumberFormat="1" applyFont="1" applyBorder="1" applyAlignment="1">
      <alignment horizontal="center" wrapText="1"/>
    </xf>
    <xf numFmtId="0" fontId="48" fillId="0" borderId="13" xfId="0" quotePrefix="1" applyFont="1" applyBorder="1" applyAlignment="1">
      <alignment horizontal="center" wrapText="1"/>
    </xf>
    <xf numFmtId="16" fontId="49" fillId="0" borderId="13" xfId="0" quotePrefix="1" applyNumberFormat="1" applyFont="1" applyBorder="1" applyAlignment="1">
      <alignment horizontal="center" wrapText="1"/>
    </xf>
    <xf numFmtId="0" fontId="49" fillId="32" borderId="13" xfId="0" applyFont="1" applyFill="1" applyBorder="1" applyAlignment="1">
      <alignment horizontal="center" wrapText="1"/>
    </xf>
    <xf numFmtId="0" fontId="0" fillId="32" borderId="0" xfId="0" applyFill="1"/>
    <xf numFmtId="2" fontId="0" fillId="0" borderId="0" xfId="0" applyNumberFormat="1"/>
    <xf numFmtId="0" fontId="49" fillId="0" borderId="15" xfId="0" applyFont="1" applyBorder="1" applyAlignment="1">
      <alignment horizontal="center" wrapText="1"/>
    </xf>
    <xf numFmtId="0" fontId="49" fillId="0" borderId="13" xfId="0" applyFont="1" applyBorder="1" applyAlignment="1">
      <alignment horizontal="center" wrapText="1"/>
    </xf>
    <xf numFmtId="0" fontId="0" fillId="33" borderId="0" xfId="0" applyFill="1"/>
    <xf numFmtId="165" fontId="49" fillId="33" borderId="13" xfId="0" applyNumberFormat="1" applyFont="1" applyFill="1" applyBorder="1" applyAlignment="1">
      <alignment horizontal="center" wrapText="1"/>
    </xf>
    <xf numFmtId="166" fontId="40" fillId="32" borderId="0" xfId="47" applyNumberFormat="1" applyFont="1" applyFill="1"/>
    <xf numFmtId="0" fontId="49" fillId="33" borderId="13" xfId="0" applyFont="1" applyFill="1" applyBorder="1" applyAlignment="1">
      <alignment horizontal="center" wrapText="1"/>
    </xf>
    <xf numFmtId="0" fontId="51" fillId="33" borderId="15" xfId="0" applyFont="1" applyFill="1" applyBorder="1" applyAlignment="1">
      <alignment horizontal="center" wrapText="1"/>
    </xf>
    <xf numFmtId="166" fontId="47" fillId="32" borderId="0" xfId="47" applyNumberFormat="1" applyFont="1" applyFill="1"/>
    <xf numFmtId="0" fontId="7" fillId="26" borderId="19" xfId="0" applyFont="1" applyFill="1" applyBorder="1" applyAlignment="1">
      <alignment horizontal="left" vertical="center" wrapText="1"/>
    </xf>
    <xf numFmtId="0" fontId="7" fillId="26" borderId="19" xfId="0" applyFont="1" applyFill="1" applyBorder="1" applyAlignment="1">
      <alignment horizontal="center" vertical="center" wrapText="1"/>
    </xf>
    <xf numFmtId="0" fontId="7" fillId="26" borderId="19" xfId="0" applyFont="1" applyFill="1" applyBorder="1" applyAlignment="1">
      <alignment horizontal="center" vertical="center"/>
    </xf>
    <xf numFmtId="0" fontId="7" fillId="26" borderId="19" xfId="0" applyFont="1" applyFill="1" applyBorder="1" applyAlignment="1">
      <alignment horizontal="right" vertical="center" wrapText="1"/>
    </xf>
    <xf numFmtId="0" fontId="8" fillId="34" borderId="20" xfId="0" applyFont="1" applyFill="1" applyBorder="1" applyAlignment="1">
      <alignment horizontal="right" vertical="center" wrapText="1"/>
    </xf>
    <xf numFmtId="0" fontId="8" fillId="34" borderId="20" xfId="0" applyFont="1" applyFill="1" applyBorder="1" applyAlignment="1">
      <alignment horizontal="center" vertical="center" wrapText="1"/>
    </xf>
    <xf numFmtId="0" fontId="8" fillId="34" borderId="20" xfId="0" applyFont="1" applyFill="1" applyBorder="1" applyAlignment="1">
      <alignment horizontal="center" vertical="center"/>
    </xf>
    <xf numFmtId="0" fontId="53" fillId="32" borderId="0" xfId="0" applyFont="1" applyFill="1"/>
    <xf numFmtId="0" fontId="49" fillId="0" borderId="0" xfId="0" applyFont="1" applyBorder="1" applyAlignment="1">
      <alignment horizontal="center" wrapText="1"/>
    </xf>
    <xf numFmtId="0" fontId="0" fillId="0" borderId="0" xfId="0" applyBorder="1"/>
    <xf numFmtId="0" fontId="8" fillId="27" borderId="19" xfId="0" applyFont="1" applyFill="1" applyBorder="1" applyAlignment="1">
      <alignment horizontal="right"/>
    </xf>
    <xf numFmtId="0" fontId="8" fillId="27" borderId="19" xfId="0" applyFont="1" applyFill="1" applyBorder="1" applyAlignment="1">
      <alignment horizontal="center"/>
    </xf>
    <xf numFmtId="0" fontId="54" fillId="0" borderId="1" xfId="0" applyFont="1" applyBorder="1"/>
    <xf numFmtId="166" fontId="54" fillId="0" borderId="1" xfId="0" applyNumberFormat="1" applyFont="1" applyBorder="1"/>
    <xf numFmtId="166" fontId="40" fillId="32" borderId="1" xfId="47" applyNumberFormat="1" applyFont="1" applyFill="1" applyBorder="1"/>
    <xf numFmtId="0" fontId="0" fillId="0" borderId="1" xfId="0" applyBorder="1"/>
    <xf numFmtId="0" fontId="0" fillId="0" borderId="21" xfId="0" applyBorder="1"/>
    <xf numFmtId="0" fontId="55" fillId="33" borderId="0" xfId="0" applyFont="1" applyFill="1"/>
    <xf numFmtId="0" fontId="0" fillId="0" borderId="0" xfId="0" applyFill="1"/>
    <xf numFmtId="0" fontId="55" fillId="0" borderId="0" xfId="0" applyFont="1" applyFill="1"/>
    <xf numFmtId="0" fontId="55" fillId="33" borderId="22" xfId="0" applyFont="1" applyFill="1" applyBorder="1"/>
    <xf numFmtId="0" fontId="47" fillId="32" borderId="0" xfId="0" applyFont="1" applyFill="1"/>
    <xf numFmtId="0" fontId="55" fillId="32" borderId="0" xfId="0" applyFont="1" applyFill="1"/>
    <xf numFmtId="0" fontId="55" fillId="33" borderId="1" xfId="0" applyFont="1" applyFill="1" applyBorder="1"/>
    <xf numFmtId="0" fontId="47" fillId="32" borderId="1" xfId="0" applyFont="1" applyFill="1" applyBorder="1"/>
    <xf numFmtId="0" fontId="47" fillId="0" borderId="0" xfId="0" applyFont="1"/>
    <xf numFmtId="0" fontId="47" fillId="32" borderId="18" xfId="0" applyFont="1" applyFill="1" applyBorder="1" applyAlignment="1">
      <alignment horizontal="center"/>
    </xf>
    <xf numFmtId="0" fontId="55" fillId="32" borderId="18" xfId="0" applyFont="1" applyFill="1" applyBorder="1"/>
    <xf numFmtId="0" fontId="0" fillId="0" borderId="0" xfId="0" applyAlignment="1">
      <alignment wrapText="1"/>
    </xf>
    <xf numFmtId="16" fontId="49" fillId="0" borderId="0" xfId="0" quotePrefix="1" applyNumberFormat="1" applyFont="1" applyBorder="1" applyAlignment="1">
      <alignment horizontal="center" wrapText="1"/>
    </xf>
    <xf numFmtId="0" fontId="49" fillId="0" borderId="0" xfId="0" quotePrefix="1" applyFont="1" applyBorder="1" applyAlignment="1">
      <alignment horizontal="center" wrapText="1"/>
    </xf>
    <xf numFmtId="0" fontId="48" fillId="0" borderId="21" xfId="0" applyFont="1" applyBorder="1" applyAlignment="1">
      <alignment wrapText="1"/>
    </xf>
    <xf numFmtId="0" fontId="54" fillId="0" borderId="0" xfId="0" applyFont="1"/>
    <xf numFmtId="0" fontId="49" fillId="0" borderId="15" xfId="0" applyFont="1" applyBorder="1" applyAlignment="1">
      <alignment horizontal="center" wrapText="1"/>
    </xf>
    <xf numFmtId="0" fontId="49" fillId="0" borderId="13" xfId="0" applyFont="1" applyBorder="1" applyAlignment="1">
      <alignment horizontal="center" wrapText="1"/>
    </xf>
    <xf numFmtId="0" fontId="54" fillId="0" borderId="1" xfId="0" applyFont="1" applyFill="1" applyBorder="1" applyAlignment="1">
      <alignment horizontal="center"/>
    </xf>
    <xf numFmtId="0" fontId="54" fillId="0" borderId="1" xfId="0" applyFont="1" applyBorder="1" applyAlignment="1">
      <alignment horizontal="center"/>
    </xf>
    <xf numFmtId="0" fontId="0" fillId="35" borderId="1" xfId="0" applyFill="1" applyBorder="1"/>
    <xf numFmtId="0" fontId="56" fillId="0" borderId="0" xfId="0" applyFont="1"/>
    <xf numFmtId="0" fontId="0" fillId="0" borderId="0" xfId="0" applyAlignment="1">
      <alignment horizontal="center"/>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13" xfId="0" applyFont="1" applyFill="1" applyBorder="1" applyAlignment="1">
      <alignment wrapText="1"/>
    </xf>
    <xf numFmtId="0" fontId="56" fillId="0" borderId="0" xfId="0" applyFont="1" applyAlignment="1">
      <alignment horizontal="left" indent="6"/>
    </xf>
    <xf numFmtId="0" fontId="57" fillId="0" borderId="0" xfId="0" applyFont="1"/>
    <xf numFmtId="0" fontId="48" fillId="0" borderId="15" xfId="0" applyFont="1" applyFill="1" applyBorder="1" applyAlignment="1">
      <alignment horizontal="center" vertical="top" wrapText="1"/>
    </xf>
    <xf numFmtId="0" fontId="48" fillId="0" borderId="18" xfId="0" applyFont="1" applyFill="1" applyBorder="1" applyAlignment="1">
      <alignment horizontal="center" wrapText="1"/>
    </xf>
    <xf numFmtId="0" fontId="48" fillId="0" borderId="23" xfId="0" applyFont="1" applyBorder="1" applyAlignment="1">
      <alignment wrapText="1"/>
    </xf>
    <xf numFmtId="0" fontId="48" fillId="0" borderId="26" xfId="0" applyFont="1" applyFill="1" applyBorder="1" applyAlignment="1">
      <alignment wrapText="1"/>
    </xf>
    <xf numFmtId="0" fontId="48" fillId="0" borderId="27" xfId="0" applyFont="1" applyFill="1" applyBorder="1" applyAlignment="1">
      <alignment wrapText="1"/>
    </xf>
    <xf numFmtId="0" fontId="48" fillId="0" borderId="28" xfId="0" applyFont="1" applyFill="1" applyBorder="1" applyAlignment="1">
      <alignment wrapText="1"/>
    </xf>
    <xf numFmtId="0" fontId="48" fillId="0" borderId="17" xfId="0" applyFont="1" applyFill="1" applyBorder="1" applyAlignment="1">
      <alignment wrapText="1"/>
    </xf>
    <xf numFmtId="0" fontId="48" fillId="0" borderId="18" xfId="0" applyFont="1" applyBorder="1" applyAlignment="1">
      <alignment vertical="center" wrapText="1"/>
    </xf>
    <xf numFmtId="1" fontId="0" fillId="32" borderId="0" xfId="0" applyNumberFormat="1" applyFill="1"/>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164" fontId="40" fillId="32" borderId="0" xfId="47" applyNumberFormat="1" applyFont="1" applyFill="1"/>
    <xf numFmtId="0" fontId="48" fillId="0" borderId="12" xfId="0" applyFont="1" applyBorder="1" applyAlignment="1">
      <alignment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9" fontId="48" fillId="0" borderId="13" xfId="968" applyFont="1" applyBorder="1" applyAlignment="1">
      <alignment wrapText="1"/>
    </xf>
    <xf numFmtId="0" fontId="48" fillId="0" borderId="13" xfId="0" applyFont="1" applyFill="1" applyBorder="1" applyAlignment="1">
      <alignment wrapText="1"/>
    </xf>
    <xf numFmtId="0" fontId="48" fillId="0" borderId="12" xfId="0" applyFont="1" applyFill="1" applyBorder="1" applyAlignment="1">
      <alignment wrapText="1"/>
    </xf>
    <xf numFmtId="0" fontId="48" fillId="0" borderId="18" xfId="0" applyFont="1" applyFill="1" applyBorder="1" applyAlignment="1">
      <alignment wrapText="1"/>
    </xf>
    <xf numFmtId="166" fontId="48" fillId="0" borderId="18" xfId="47" quotePrefix="1" applyNumberFormat="1" applyFont="1" applyBorder="1" applyAlignment="1">
      <alignment wrapText="1"/>
    </xf>
    <xf numFmtId="0" fontId="0" fillId="0" borderId="0" xfId="0"/>
    <xf numFmtId="0" fontId="48" fillId="0" borderId="12" xfId="0" applyFont="1" applyBorder="1" applyAlignment="1">
      <alignment wrapText="1"/>
    </xf>
    <xf numFmtId="0" fontId="49" fillId="0" borderId="13" xfId="0" applyFont="1" applyBorder="1" applyAlignment="1">
      <alignment horizontal="center" wrapText="1"/>
    </xf>
    <xf numFmtId="0" fontId="50" fillId="0" borderId="14" xfId="0" applyFont="1" applyBorder="1" applyAlignment="1">
      <alignment wrapText="1"/>
    </xf>
    <xf numFmtId="0" fontId="51" fillId="0" borderId="15" xfId="0" applyFont="1" applyBorder="1" applyAlignment="1">
      <alignment horizontal="center" wrapText="1"/>
    </xf>
    <xf numFmtId="0" fontId="51" fillId="0" borderId="13" xfId="0" applyFont="1" applyBorder="1" applyAlignment="1">
      <alignment horizontal="center" wrapText="1"/>
    </xf>
    <xf numFmtId="0" fontId="48" fillId="0" borderId="16" xfId="0" applyFont="1" applyBorder="1" applyAlignment="1">
      <alignment wrapText="1"/>
    </xf>
    <xf numFmtId="0" fontId="49" fillId="0" borderId="17" xfId="0" applyFont="1" applyBorder="1" applyAlignment="1">
      <alignment horizontal="center" wrapText="1"/>
    </xf>
    <xf numFmtId="0" fontId="48" fillId="0" borderId="13" xfId="0" applyFont="1" applyBorder="1" applyAlignment="1">
      <alignment horizontal="center" wrapText="1"/>
    </xf>
    <xf numFmtId="0" fontId="48" fillId="0" borderId="15" xfId="0" applyFont="1" applyBorder="1" applyAlignment="1">
      <alignment horizontal="center" vertical="top" wrapText="1"/>
    </xf>
    <xf numFmtId="0" fontId="48" fillId="0" borderId="13" xfId="0" applyFont="1" applyBorder="1" applyAlignment="1">
      <alignment horizontal="center" vertical="top" wrapText="1"/>
    </xf>
    <xf numFmtId="0" fontId="49" fillId="0" borderId="29"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3" xfId="0" applyFont="1" applyBorder="1" applyAlignment="1">
      <alignment horizontal="center" vertical="center" wrapText="1"/>
    </xf>
    <xf numFmtId="17" fontId="48" fillId="0" borderId="13" xfId="0" quotePrefix="1" applyNumberFormat="1" applyFont="1" applyBorder="1" applyAlignment="1">
      <alignment horizontal="center" wrapText="1"/>
    </xf>
    <xf numFmtId="17" fontId="49" fillId="0" borderId="17" xfId="0" quotePrefix="1" applyNumberFormat="1" applyFont="1" applyBorder="1" applyAlignment="1">
      <alignment horizontal="center" wrapText="1"/>
    </xf>
    <xf numFmtId="0" fontId="48" fillId="0" borderId="30" xfId="0" applyFont="1" applyBorder="1" applyAlignment="1">
      <alignment vertical="center" wrapText="1"/>
    </xf>
    <xf numFmtId="0" fontId="48" fillId="0" borderId="16" xfId="0" applyFont="1" applyBorder="1" applyAlignment="1">
      <alignment vertical="center" wrapText="1"/>
    </xf>
    <xf numFmtId="0" fontId="48" fillId="0" borderId="12" xfId="0" applyFont="1" applyBorder="1" applyAlignment="1">
      <alignment vertical="center" wrapText="1"/>
    </xf>
    <xf numFmtId="0" fontId="50" fillId="0" borderId="23" xfId="0" applyFont="1" applyBorder="1" applyAlignment="1">
      <alignment vertical="top" wrapText="1"/>
    </xf>
    <xf numFmtId="0" fontId="48" fillId="0" borderId="18" xfId="0" applyFont="1" applyBorder="1" applyAlignment="1">
      <alignment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48" fillId="0" borderId="23" xfId="0" applyFont="1" applyBorder="1" applyAlignment="1">
      <alignment vertical="top" wrapText="1"/>
    </xf>
    <xf numFmtId="0" fontId="48" fillId="0" borderId="18" xfId="0" applyFont="1" applyBorder="1" applyAlignment="1">
      <alignment wrapText="1"/>
    </xf>
    <xf numFmtId="0" fontId="48" fillId="0" borderId="25" xfId="0" applyFont="1" applyBorder="1" applyAlignment="1">
      <alignment wrapText="1"/>
    </xf>
    <xf numFmtId="0" fontId="48" fillId="0" borderId="25" xfId="0" applyFont="1" applyBorder="1" applyAlignment="1">
      <alignment horizontal="center" wrapText="1"/>
    </xf>
    <xf numFmtId="0" fontId="48" fillId="0" borderId="13" xfId="0" applyFont="1" applyBorder="1" applyAlignment="1">
      <alignment wrapText="1"/>
    </xf>
    <xf numFmtId="0" fontId="48" fillId="0" borderId="13" xfId="0" applyFont="1" applyFill="1" applyBorder="1" applyAlignment="1">
      <alignment wrapText="1"/>
    </xf>
    <xf numFmtId="9" fontId="48" fillId="0" borderId="13" xfId="968" applyFont="1" applyFill="1" applyBorder="1" applyAlignment="1">
      <alignment wrapText="1"/>
    </xf>
    <xf numFmtId="0" fontId="48" fillId="0" borderId="12" xfId="0" applyFont="1" applyFill="1" applyBorder="1" applyAlignment="1">
      <alignment wrapText="1"/>
    </xf>
    <xf numFmtId="0" fontId="58" fillId="0" borderId="13" xfId="0" applyFont="1" applyFill="1" applyBorder="1" applyAlignment="1">
      <alignment wrapText="1"/>
    </xf>
    <xf numFmtId="0" fontId="48" fillId="0" borderId="13" xfId="0" applyFont="1" applyBorder="1" applyAlignment="1">
      <alignment vertical="top" wrapText="1"/>
    </xf>
    <xf numFmtId="0" fontId="48" fillId="0" borderId="30" xfId="0" applyFont="1" applyFill="1" applyBorder="1" applyAlignment="1">
      <alignment wrapText="1"/>
    </xf>
    <xf numFmtId="0" fontId="48" fillId="0" borderId="30" xfId="0" applyFont="1" applyBorder="1" applyAlignment="1">
      <alignment wrapText="1"/>
    </xf>
    <xf numFmtId="0" fontId="48" fillId="0" borderId="18" xfId="0" applyFont="1" applyFill="1" applyBorder="1" applyAlignment="1">
      <alignment wrapText="1"/>
    </xf>
    <xf numFmtId="0" fontId="48" fillId="0" borderId="25" xfId="0" applyFont="1" applyFill="1" applyBorder="1" applyAlignment="1">
      <alignment wrapText="1"/>
    </xf>
    <xf numFmtId="0" fontId="48" fillId="0" borderId="25" xfId="0" applyFont="1" applyFill="1" applyBorder="1" applyAlignment="1">
      <alignment horizontal="center" wrapText="1"/>
    </xf>
    <xf numFmtId="9" fontId="48" fillId="0" borderId="13" xfId="0" applyNumberFormat="1" applyFont="1" applyFill="1" applyBorder="1" applyAlignment="1">
      <alignment wrapText="1"/>
    </xf>
    <xf numFmtId="0" fontId="48" fillId="0" borderId="18" xfId="0" applyFont="1" applyBorder="1" applyAlignment="1">
      <alignment vertical="center" wrapText="1"/>
    </xf>
    <xf numFmtId="0" fontId="48" fillId="0" borderId="25" xfId="0" applyFont="1" applyBorder="1" applyAlignment="1">
      <alignment vertical="center" wrapText="1"/>
    </xf>
    <xf numFmtId="166" fontId="40" fillId="0" borderId="0" xfId="47" applyNumberFormat="1" applyFont="1" applyAlignment="1">
      <alignment horizontal="center"/>
    </xf>
    <xf numFmtId="0" fontId="7" fillId="26" borderId="31" xfId="0" applyFont="1" applyFill="1" applyBorder="1" applyAlignment="1">
      <alignment horizontal="left" vertical="center" wrapText="1"/>
    </xf>
    <xf numFmtId="0" fontId="8" fillId="34" borderId="20" xfId="0" applyFont="1" applyFill="1" applyBorder="1" applyAlignment="1">
      <alignment horizontal="left" vertical="center" wrapText="1"/>
    </xf>
    <xf numFmtId="0" fontId="8" fillId="34" borderId="32" xfId="0" applyFont="1" applyFill="1" applyBorder="1" applyAlignment="1">
      <alignment horizontal="right" vertical="center" wrapText="1"/>
    </xf>
    <xf numFmtId="0" fontId="11" fillId="0" borderId="0" xfId="550"/>
    <xf numFmtId="0" fontId="11" fillId="0" borderId="0" xfId="550" applyFill="1"/>
    <xf numFmtId="0" fontId="11" fillId="0" borderId="0" xfId="550" applyFont="1" applyFill="1"/>
    <xf numFmtId="0" fontId="11" fillId="28" borderId="0" xfId="550" applyFill="1"/>
    <xf numFmtId="0" fontId="0" fillId="0" borderId="0" xfId="0" applyAlignment="1">
      <alignment horizontal="left"/>
    </xf>
    <xf numFmtId="0" fontId="0" fillId="0" borderId="0" xfId="0" applyBorder="1" applyAlignment="1">
      <alignment horizontal="left"/>
    </xf>
    <xf numFmtId="0" fontId="48" fillId="0" borderId="29" xfId="0" applyFont="1" applyBorder="1" applyAlignment="1">
      <alignment vertical="center" wrapText="1"/>
    </xf>
    <xf numFmtId="0" fontId="48" fillId="0" borderId="17" xfId="0" applyFont="1" applyBorder="1" applyAlignment="1">
      <alignment vertical="center" wrapText="1"/>
    </xf>
    <xf numFmtId="0" fontId="48" fillId="0" borderId="13" xfId="0" applyFont="1" applyBorder="1" applyAlignment="1">
      <alignment vertical="center" wrapText="1"/>
    </xf>
    <xf numFmtId="0" fontId="49" fillId="0" borderId="13" xfId="0" applyFont="1" applyBorder="1" applyAlignment="1">
      <alignment horizontal="center" wrapText="1"/>
    </xf>
    <xf numFmtId="0" fontId="48" fillId="32" borderId="13" xfId="0" applyFont="1" applyFill="1" applyBorder="1" applyAlignment="1">
      <alignment horizontal="center" wrapText="1"/>
    </xf>
    <xf numFmtId="0" fontId="48" fillId="32" borderId="18" xfId="0" applyFont="1" applyFill="1" applyBorder="1" applyAlignment="1">
      <alignment wrapText="1"/>
    </xf>
    <xf numFmtId="0" fontId="48" fillId="32" borderId="12" xfId="0" applyFont="1" applyFill="1" applyBorder="1" applyAlignment="1">
      <alignment wrapText="1"/>
    </xf>
    <xf numFmtId="0" fontId="48" fillId="33" borderId="12" xfId="0" quotePrefix="1" applyNumberFormat="1" applyFont="1" applyFill="1" applyBorder="1" applyAlignment="1">
      <alignment wrapText="1"/>
    </xf>
    <xf numFmtId="0" fontId="48" fillId="33" borderId="13" xfId="0" applyFont="1" applyFill="1" applyBorder="1" applyAlignment="1">
      <alignment wrapText="1"/>
    </xf>
    <xf numFmtId="0" fontId="48" fillId="33" borderId="12" xfId="0" applyFont="1" applyFill="1" applyBorder="1" applyAlignment="1">
      <alignment wrapText="1"/>
    </xf>
    <xf numFmtId="0" fontId="49" fillId="32" borderId="17" xfId="0" applyFont="1" applyFill="1" applyBorder="1" applyAlignment="1">
      <alignment horizontal="center" wrapText="1"/>
    </xf>
    <xf numFmtId="0" fontId="40" fillId="32" borderId="1" xfId="47" applyNumberFormat="1" applyFont="1" applyFill="1" applyBorder="1"/>
    <xf numFmtId="0" fontId="49" fillId="37" borderId="17" xfId="0" applyFont="1" applyFill="1" applyBorder="1" applyAlignment="1">
      <alignment horizontal="center" wrapText="1"/>
    </xf>
    <xf numFmtId="0" fontId="40" fillId="32" borderId="0" xfId="47" applyNumberFormat="1" applyFont="1" applyFill="1"/>
    <xf numFmtId="0" fontId="49" fillId="32" borderId="0" xfId="0" applyFont="1" applyFill="1" applyBorder="1" applyAlignment="1">
      <alignment horizontal="center" wrapText="1"/>
    </xf>
    <xf numFmtId="0" fontId="49" fillId="32" borderId="33" xfId="0" applyFont="1" applyFill="1" applyBorder="1" applyAlignment="1">
      <alignment horizontal="center" wrapText="1"/>
    </xf>
    <xf numFmtId="0" fontId="49" fillId="32" borderId="34" xfId="0" applyFont="1" applyFill="1" applyBorder="1" applyAlignment="1">
      <alignment horizontal="center" wrapText="1"/>
    </xf>
    <xf numFmtId="0" fontId="49" fillId="32" borderId="29" xfId="0" applyFont="1" applyFill="1" applyBorder="1" applyAlignment="1">
      <alignment horizontal="center" wrapText="1"/>
    </xf>
    <xf numFmtId="0" fontId="49" fillId="32" borderId="35" xfId="0" applyFont="1" applyFill="1" applyBorder="1" applyAlignment="1">
      <alignment horizontal="center" wrapText="1"/>
    </xf>
    <xf numFmtId="0" fontId="49" fillId="32" borderId="14" xfId="0" applyFont="1" applyFill="1" applyBorder="1" applyAlignment="1">
      <alignment horizontal="center" wrapText="1"/>
    </xf>
    <xf numFmtId="0" fontId="49" fillId="32" borderId="15" xfId="0" applyFont="1" applyFill="1" applyBorder="1" applyAlignment="1">
      <alignment horizontal="center" wrapText="1"/>
    </xf>
    <xf numFmtId="0" fontId="48" fillId="32" borderId="33" xfId="0" applyFont="1" applyFill="1" applyBorder="1" applyAlignment="1">
      <alignment vertical="center" wrapText="1"/>
    </xf>
    <xf numFmtId="0" fontId="54" fillId="0" borderId="1" xfId="0" applyNumberFormat="1" applyFont="1" applyBorder="1"/>
    <xf numFmtId="0" fontId="54" fillId="0" borderId="0" xfId="0" applyFont="1" applyBorder="1" applyAlignment="1">
      <alignment horizontal="center"/>
    </xf>
    <xf numFmtId="2" fontId="54" fillId="0" borderId="1" xfId="0" applyNumberFormat="1" applyFont="1" applyFill="1" applyBorder="1" applyAlignment="1">
      <alignment horizontal="center"/>
    </xf>
    <xf numFmtId="0" fontId="54" fillId="0" borderId="0" xfId="0" applyFont="1" applyFill="1" applyBorder="1" applyAlignment="1">
      <alignment horizontal="center"/>
    </xf>
    <xf numFmtId="2" fontId="0" fillId="0" borderId="1" xfId="0" applyNumberFormat="1" applyFill="1" applyBorder="1" applyAlignment="1">
      <alignment horizontal="center"/>
    </xf>
    <xf numFmtId="2" fontId="0" fillId="0" borderId="0" xfId="0" applyNumberFormat="1" applyFill="1" applyBorder="1" applyAlignment="1">
      <alignment horizontal="center"/>
    </xf>
    <xf numFmtId="0" fontId="0" fillId="0" borderId="36" xfId="0" applyBorder="1"/>
    <xf numFmtId="0" fontId="54" fillId="37" borderId="0" xfId="0" applyFont="1" applyFill="1" applyBorder="1" applyAlignment="1">
      <alignment horizontal="center"/>
    </xf>
    <xf numFmtId="0" fontId="54" fillId="37" borderId="0" xfId="47" applyNumberFormat="1" applyFont="1" applyFill="1" applyBorder="1" applyAlignment="1"/>
    <xf numFmtId="0" fontId="59" fillId="0" borderId="0" xfId="0" applyFont="1" applyFill="1" applyBorder="1" applyAlignment="1">
      <alignment horizontal="center"/>
    </xf>
    <xf numFmtId="172" fontId="11" fillId="28" borderId="0" xfId="550" applyNumberFormat="1" applyFill="1"/>
    <xf numFmtId="172" fontId="11" fillId="0" borderId="0" xfId="550" applyNumberFormat="1" applyFont="1"/>
    <xf numFmtId="172" fontId="7" fillId="26" borderId="19" xfId="550" applyNumberFormat="1" applyFont="1" applyFill="1" applyBorder="1" applyAlignment="1">
      <alignment horizontal="left" vertical="center" wrapText="1"/>
    </xf>
    <xf numFmtId="172" fontId="14" fillId="29" borderId="15" xfId="550" quotePrefix="1" applyNumberFormat="1" applyFont="1" applyFill="1" applyBorder="1" applyAlignment="1">
      <alignment horizontal="left" vertical="top" wrapText="1"/>
    </xf>
    <xf numFmtId="172" fontId="11" fillId="0" borderId="0" xfId="550" applyNumberFormat="1" applyFill="1"/>
    <xf numFmtId="172" fontId="0" fillId="0" borderId="0" xfId="0" applyNumberFormat="1"/>
    <xf numFmtId="172" fontId="13" fillId="0" borderId="0" xfId="550" applyNumberFormat="1" applyFont="1"/>
    <xf numFmtId="172" fontId="11" fillId="0" borderId="0" xfId="550" applyNumberFormat="1"/>
    <xf numFmtId="172" fontId="14" fillId="29" borderId="20" xfId="550" applyNumberFormat="1" applyFont="1" applyFill="1" applyBorder="1" applyAlignment="1">
      <alignment horizontal="left" vertical="top" wrapText="1"/>
    </xf>
    <xf numFmtId="172" fontId="14" fillId="29" borderId="20" xfId="550" quotePrefix="1" applyNumberFormat="1" applyFont="1" applyFill="1" applyBorder="1" applyAlignment="1">
      <alignment horizontal="left" vertical="top" wrapText="1"/>
    </xf>
    <xf numFmtId="172" fontId="12" fillId="0" borderId="0" xfId="550" applyNumberFormat="1" applyFont="1" applyFill="1" applyBorder="1" applyAlignment="1">
      <alignment horizontal="left"/>
    </xf>
    <xf numFmtId="172" fontId="13" fillId="0" borderId="0" xfId="550" applyNumberFormat="1" applyFont="1" applyFill="1" applyBorder="1" applyAlignment="1">
      <alignment horizontal="left" wrapText="1"/>
    </xf>
    <xf numFmtId="172" fontId="12" fillId="0" borderId="0" xfId="550" applyNumberFormat="1" applyFont="1" applyFill="1" applyBorder="1"/>
    <xf numFmtId="0" fontId="15" fillId="3" borderId="0" xfId="3"/>
    <xf numFmtId="0" fontId="15" fillId="3" borderId="19" xfId="3" applyBorder="1" applyAlignment="1">
      <alignment horizontal="center" vertical="center" wrapText="1"/>
    </xf>
    <xf numFmtId="0" fontId="15" fillId="3" borderId="20" xfId="3" applyBorder="1" applyAlignment="1">
      <alignment horizontal="center" vertical="center" wrapText="1"/>
    </xf>
    <xf numFmtId="0" fontId="59" fillId="0" borderId="0" xfId="0" applyFont="1"/>
    <xf numFmtId="0" fontId="0" fillId="0" borderId="0" xfId="0"/>
    <xf numFmtId="0" fontId="59" fillId="0" borderId="0" xfId="0" applyFont="1" applyFill="1" applyBorder="1" applyAlignment="1">
      <alignment horizontal="left"/>
    </xf>
    <xf numFmtId="0" fontId="0" fillId="0" borderId="0" xfId="0" applyFill="1" applyBorder="1"/>
    <xf numFmtId="2" fontId="0" fillId="0" borderId="0" xfId="0" applyNumberFormat="1" applyFill="1" applyBorder="1"/>
    <xf numFmtId="2" fontId="59" fillId="0" borderId="0" xfId="0" applyNumberFormat="1" applyFont="1" applyFill="1" applyBorder="1" applyAlignment="1">
      <alignment horizontal="center"/>
    </xf>
    <xf numFmtId="0" fontId="0" fillId="38" borderId="0" xfId="0" applyFill="1"/>
    <xf numFmtId="0" fontId="51" fillId="0" borderId="0" xfId="0" applyFont="1" applyBorder="1" applyAlignment="1">
      <alignment horizontal="center" wrapText="1"/>
    </xf>
    <xf numFmtId="0" fontId="49" fillId="0" borderId="1" xfId="0" applyFont="1" applyFill="1" applyBorder="1" applyAlignment="1">
      <alignment horizontal="center" wrapText="1"/>
    </xf>
    <xf numFmtId="0" fontId="49" fillId="0" borderId="1" xfId="0" applyFont="1" applyBorder="1" applyAlignment="1">
      <alignment horizontal="center" wrapText="1"/>
    </xf>
    <xf numFmtId="0" fontId="48" fillId="0" borderId="1" xfId="0" applyFont="1" applyBorder="1" applyAlignment="1">
      <alignment wrapText="1"/>
    </xf>
    <xf numFmtId="0" fontId="49" fillId="0" borderId="26" xfId="0" applyFont="1" applyBorder="1" applyAlignment="1">
      <alignment horizontal="center" wrapText="1"/>
    </xf>
    <xf numFmtId="0" fontId="50" fillId="0" borderId="35" xfId="0" applyFont="1" applyBorder="1" applyAlignment="1">
      <alignment wrapText="1"/>
    </xf>
    <xf numFmtId="0" fontId="51" fillId="0" borderId="17" xfId="0" applyFont="1" applyBorder="1" applyAlignment="1">
      <alignment horizontal="center" wrapText="1"/>
    </xf>
    <xf numFmtId="49" fontId="49" fillId="0" borderId="1" xfId="0" quotePrefix="1" applyNumberFormat="1" applyFont="1" applyBorder="1" applyAlignment="1">
      <alignment horizontal="center" wrapText="1"/>
    </xf>
    <xf numFmtId="49" fontId="49" fillId="0" borderId="1" xfId="0" applyNumberFormat="1" applyFont="1" applyBorder="1" applyAlignment="1">
      <alignment horizontal="center" wrapText="1"/>
    </xf>
    <xf numFmtId="0" fontId="50" fillId="0" borderId="1" xfId="0" applyFont="1" applyBorder="1" applyAlignment="1">
      <alignment wrapText="1"/>
    </xf>
    <xf numFmtId="0" fontId="51" fillId="0" borderId="1" xfId="0" applyFont="1" applyBorder="1" applyAlignment="1">
      <alignment horizontal="center" wrapText="1"/>
    </xf>
    <xf numFmtId="49" fontId="51" fillId="0" borderId="1" xfId="0" applyNumberFormat="1" applyFont="1" applyBorder="1" applyAlignment="1">
      <alignment horizontal="center" wrapText="1"/>
    </xf>
    <xf numFmtId="0" fontId="48" fillId="0" borderId="0" xfId="0" applyFont="1" applyBorder="1" applyAlignment="1">
      <alignment wrapText="1"/>
    </xf>
    <xf numFmtId="0" fontId="50" fillId="0" borderId="37" xfId="0" applyFont="1" applyBorder="1" applyAlignment="1">
      <alignment wrapText="1"/>
    </xf>
    <xf numFmtId="0" fontId="49" fillId="0" borderId="28" xfId="0" applyFont="1" applyBorder="1" applyAlignment="1">
      <alignment horizontal="center" wrapText="1"/>
    </xf>
    <xf numFmtId="0" fontId="51" fillId="0" borderId="37" xfId="0" applyFont="1" applyBorder="1" applyAlignment="1">
      <alignment horizontal="center" wrapText="1"/>
    </xf>
    <xf numFmtId="0" fontId="51" fillId="0" borderId="38" xfId="0" applyFont="1" applyBorder="1" applyAlignment="1">
      <alignment horizontal="center" wrapText="1"/>
    </xf>
    <xf numFmtId="0" fontId="55" fillId="0" borderId="38" xfId="0" applyFont="1" applyFill="1" applyBorder="1"/>
    <xf numFmtId="49" fontId="49" fillId="0" borderId="39" xfId="0" applyNumberFormat="1" applyFont="1" applyBorder="1" applyAlignment="1">
      <alignment horizontal="center" wrapText="1"/>
    </xf>
    <xf numFmtId="165" fontId="49" fillId="0" borderId="26" xfId="0" applyNumberFormat="1" applyFont="1" applyFill="1" applyBorder="1" applyAlignment="1">
      <alignment horizontal="center" wrapText="1"/>
    </xf>
    <xf numFmtId="0" fontId="55" fillId="0" borderId="26" xfId="0" applyFont="1" applyFill="1" applyBorder="1"/>
    <xf numFmtId="167" fontId="0" fillId="32" borderId="0" xfId="0" applyNumberFormat="1" applyFill="1"/>
    <xf numFmtId="0" fontId="54" fillId="37" borderId="27" xfId="0" applyFont="1" applyFill="1" applyBorder="1" applyAlignment="1">
      <alignment horizontal="center"/>
    </xf>
    <xf numFmtId="2" fontId="0" fillId="33" borderId="1" xfId="0" applyNumberFormat="1" applyFill="1" applyBorder="1"/>
    <xf numFmtId="2" fontId="0" fillId="0" borderId="1" xfId="0" applyNumberFormat="1" applyFill="1" applyBorder="1"/>
    <xf numFmtId="0" fontId="0" fillId="0" borderId="1" xfId="0" applyFill="1" applyBorder="1"/>
    <xf numFmtId="0" fontId="59" fillId="0" borderId="1" xfId="0" applyFont="1" applyFill="1" applyBorder="1" applyAlignment="1">
      <alignment horizontal="center"/>
    </xf>
    <xf numFmtId="0" fontId="59" fillId="0" borderId="1" xfId="0" applyFont="1" applyBorder="1"/>
    <xf numFmtId="0" fontId="0" fillId="32" borderId="0" xfId="0" applyFill="1" applyBorder="1"/>
    <xf numFmtId="0" fontId="59" fillId="0" borderId="36" xfId="0" applyFont="1" applyFill="1" applyBorder="1" applyAlignment="1">
      <alignment horizontal="left"/>
    </xf>
    <xf numFmtId="172" fontId="11" fillId="0" borderId="0" xfId="550" applyNumberFormat="1" applyFont="1" applyFill="1" applyBorder="1" applyAlignment="1">
      <alignment horizontal="left"/>
    </xf>
    <xf numFmtId="172" fontId="0" fillId="0" borderId="0" xfId="0" applyNumberFormat="1" applyBorder="1"/>
    <xf numFmtId="172" fontId="11" fillId="0" borderId="0" xfId="550" applyNumberFormat="1" applyFill="1" applyBorder="1"/>
    <xf numFmtId="172" fontId="11" fillId="0" borderId="0" xfId="550" applyNumberFormat="1" applyFont="1" applyFill="1" applyBorder="1"/>
    <xf numFmtId="172" fontId="11" fillId="0" borderId="0" xfId="550" applyNumberFormat="1" applyFont="1" applyBorder="1"/>
    <xf numFmtId="0" fontId="59" fillId="0" borderId="40" xfId="0" applyFont="1" applyFill="1" applyBorder="1" applyAlignment="1">
      <alignment horizontal="left"/>
    </xf>
    <xf numFmtId="0" fontId="0" fillId="0" borderId="40" xfId="0" applyBorder="1" applyAlignment="1">
      <alignment horizontal="left"/>
    </xf>
    <xf numFmtId="0" fontId="0" fillId="0" borderId="0" xfId="0" applyFont="1" applyAlignment="1">
      <alignment horizontal="left"/>
    </xf>
    <xf numFmtId="14" fontId="0" fillId="0" borderId="0" xfId="0" applyNumberFormat="1" applyFont="1" applyAlignment="1">
      <alignment horizontal="left"/>
    </xf>
    <xf numFmtId="14" fontId="0" fillId="0" borderId="0" xfId="0" applyNumberFormat="1" applyAlignment="1">
      <alignment horizontal="left"/>
    </xf>
    <xf numFmtId="172" fontId="0" fillId="0" borderId="0" xfId="48" applyNumberFormat="1" applyFont="1"/>
    <xf numFmtId="0" fontId="0" fillId="0" borderId="42" xfId="0" applyBorder="1"/>
    <xf numFmtId="0" fontId="0" fillId="0" borderId="27" xfId="0" applyBorder="1"/>
    <xf numFmtId="0" fontId="54" fillId="0" borderId="37" xfId="0" applyFont="1" applyFill="1" applyBorder="1" applyAlignment="1">
      <alignment horizontal="center"/>
    </xf>
    <xf numFmtId="0" fontId="54" fillId="37" borderId="21" xfId="0" applyFont="1" applyFill="1" applyBorder="1" applyAlignment="1">
      <alignment horizontal="center"/>
    </xf>
    <xf numFmtId="2" fontId="59" fillId="0" borderId="37" xfId="0" applyNumberFormat="1" applyFont="1" applyFill="1" applyBorder="1" applyAlignment="1">
      <alignment horizontal="center"/>
    </xf>
    <xf numFmtId="0" fontId="0" fillId="0" borderId="37" xfId="0" applyBorder="1"/>
    <xf numFmtId="0" fontId="54" fillId="0" borderId="39" xfId="0" applyFont="1" applyFill="1" applyBorder="1" applyAlignment="1">
      <alignment horizontal="center"/>
    </xf>
    <xf numFmtId="0" fontId="0" fillId="0" borderId="39" xfId="0" applyBorder="1"/>
    <xf numFmtId="0" fontId="0" fillId="0" borderId="39" xfId="0" applyFill="1" applyBorder="1"/>
    <xf numFmtId="0" fontId="7" fillId="39" borderId="19" xfId="0" applyFont="1" applyFill="1" applyBorder="1" applyAlignment="1">
      <alignment horizontal="right" vertical="center" wrapText="1"/>
    </xf>
    <xf numFmtId="0" fontId="59" fillId="0" borderId="0" xfId="0" quotePrefix="1" applyFont="1" applyFill="1" applyBorder="1" applyAlignment="1">
      <alignment horizontal="left"/>
    </xf>
    <xf numFmtId="0" fontId="0" fillId="0" borderId="0" xfId="0" applyFont="1"/>
    <xf numFmtId="0" fontId="0" fillId="37" borderId="0" xfId="0" applyFill="1" applyBorder="1"/>
    <xf numFmtId="0" fontId="7" fillId="37" borderId="0" xfId="0" applyFont="1" applyFill="1" applyBorder="1" applyAlignment="1">
      <alignment horizontal="right" vertical="center" wrapText="1"/>
    </xf>
    <xf numFmtId="0" fontId="8" fillId="37" borderId="0" xfId="0" applyFont="1" applyFill="1" applyBorder="1" applyAlignment="1">
      <alignment horizontal="right" vertical="center" wrapText="1"/>
    </xf>
    <xf numFmtId="0" fontId="8" fillId="37" borderId="0" xfId="0" applyFont="1" applyFill="1" applyBorder="1" applyAlignment="1">
      <alignment horizontal="center"/>
    </xf>
    <xf numFmtId="2" fontId="59" fillId="37" borderId="0" xfId="0" applyNumberFormat="1" applyFont="1" applyFill="1" applyBorder="1" applyAlignment="1">
      <alignment horizontal="center"/>
    </xf>
    <xf numFmtId="0" fontId="71" fillId="0" borderId="0" xfId="548" applyFont="1"/>
    <xf numFmtId="0" fontId="44" fillId="0" borderId="0" xfId="548"/>
    <xf numFmtId="0" fontId="46" fillId="0" borderId="0" xfId="548" applyFont="1"/>
    <xf numFmtId="0" fontId="46" fillId="0" borderId="36" xfId="548" applyFont="1" applyBorder="1"/>
    <xf numFmtId="0" fontId="0" fillId="0" borderId="0" xfId="548" applyFont="1"/>
    <xf numFmtId="0" fontId="70" fillId="72" borderId="0" xfId="548" applyFont="1" applyFill="1"/>
    <xf numFmtId="0" fontId="0" fillId="71" borderId="0" xfId="548" applyFont="1" applyFill="1"/>
    <xf numFmtId="0" fontId="0" fillId="75" borderId="0" xfId="548" applyFont="1" applyFill="1"/>
    <xf numFmtId="0" fontId="0" fillId="0" borderId="19" xfId="0" applyBorder="1"/>
    <xf numFmtId="0" fontId="0" fillId="76" borderId="0" xfId="548" applyFont="1" applyFill="1"/>
    <xf numFmtId="0" fontId="8" fillId="0" borderId="0" xfId="0" applyFont="1" applyFill="1" applyBorder="1" applyAlignment="1">
      <alignment horizontal="center"/>
    </xf>
    <xf numFmtId="0" fontId="54" fillId="0" borderId="26" xfId="0" applyFont="1" applyFill="1" applyBorder="1" applyAlignment="1">
      <alignment horizontal="center"/>
    </xf>
    <xf numFmtId="0" fontId="77" fillId="0" borderId="0" xfId="0" applyFont="1" applyFill="1" applyBorder="1" applyAlignment="1">
      <alignment horizontal="right"/>
    </xf>
    <xf numFmtId="172" fontId="14" fillId="0" borderId="0" xfId="550" quotePrefix="1" applyNumberFormat="1" applyFont="1" applyFill="1" applyBorder="1" applyAlignment="1">
      <alignment horizontal="left" vertical="top" wrapText="1"/>
    </xf>
    <xf numFmtId="0" fontId="11" fillId="29" borderId="20" xfId="547" applyFont="1" applyFill="1" applyBorder="1" applyAlignment="1">
      <alignment horizontal="center" wrapText="1"/>
    </xf>
    <xf numFmtId="0" fontId="0" fillId="77" borderId="0" xfId="0" applyFill="1"/>
    <xf numFmtId="9" fontId="0" fillId="77" borderId="0" xfId="0" applyNumberFormat="1" applyFill="1"/>
    <xf numFmtId="0" fontId="46" fillId="77" borderId="0" xfId="0" applyFont="1" applyFill="1"/>
    <xf numFmtId="0" fontId="49" fillId="0" borderId="13" xfId="0" applyFont="1" applyBorder="1" applyAlignment="1">
      <alignment horizontal="center" wrapText="1"/>
    </xf>
    <xf numFmtId="175" fontId="40" fillId="32" borderId="1" xfId="47" applyNumberFormat="1" applyFont="1" applyFill="1" applyBorder="1"/>
    <xf numFmtId="0" fontId="0" fillId="32" borderId="48" xfId="0" applyFill="1" applyBorder="1"/>
    <xf numFmtId="0" fontId="0" fillId="0" borderId="49" xfId="0" applyBorder="1"/>
    <xf numFmtId="0" fontId="0" fillId="0" borderId="50" xfId="0" applyBorder="1"/>
    <xf numFmtId="0" fontId="0" fillId="0" borderId="51" xfId="0" applyBorder="1"/>
    <xf numFmtId="9" fontId="0" fillId="32" borderId="52" xfId="968" applyFont="1" applyFill="1" applyBorder="1"/>
    <xf numFmtId="0" fontId="0" fillId="0" borderId="53" xfId="0" applyBorder="1"/>
    <xf numFmtId="0" fontId="0" fillId="0" borderId="52" xfId="0" applyBorder="1"/>
    <xf numFmtId="0" fontId="0" fillId="0" borderId="27" xfId="0" applyFill="1" applyBorder="1"/>
    <xf numFmtId="0" fontId="0" fillId="32" borderId="52" xfId="0" applyFill="1" applyBorder="1"/>
    <xf numFmtId="0" fontId="78" fillId="0" borderId="52" xfId="0" applyFont="1" applyFill="1" applyBorder="1"/>
    <xf numFmtId="0" fontId="78" fillId="0" borderId="27" xfId="0" applyFont="1" applyBorder="1"/>
    <xf numFmtId="0" fontId="78" fillId="0" borderId="54" xfId="0" applyFont="1" applyFill="1" applyBorder="1"/>
    <xf numFmtId="0" fontId="78" fillId="0" borderId="55" xfId="0" applyFont="1" applyBorder="1"/>
    <xf numFmtId="0" fontId="0" fillId="0" borderId="56" xfId="0" applyBorder="1"/>
    <xf numFmtId="0" fontId="0" fillId="0" borderId="57" xfId="0" applyBorder="1"/>
    <xf numFmtId="0" fontId="0" fillId="32" borderId="60" xfId="0" applyFill="1" applyBorder="1"/>
    <xf numFmtId="166" fontId="40" fillId="32" borderId="61" xfId="47" applyNumberFormat="1" applyFont="1" applyFill="1" applyBorder="1"/>
    <xf numFmtId="0" fontId="55" fillId="33" borderId="62" xfId="0" applyFont="1" applyFill="1" applyBorder="1"/>
    <xf numFmtId="0" fontId="55" fillId="33" borderId="63" xfId="0" applyFont="1" applyFill="1" applyBorder="1"/>
    <xf numFmtId="0" fontId="0" fillId="32" borderId="64" xfId="0" applyFill="1" applyBorder="1"/>
    <xf numFmtId="0" fontId="55" fillId="33" borderId="65" xfId="0" applyFont="1" applyFill="1" applyBorder="1"/>
    <xf numFmtId="0" fontId="0" fillId="32" borderId="66" xfId="0" applyFill="1" applyBorder="1"/>
    <xf numFmtId="166" fontId="40" fillId="32" borderId="67" xfId="47" applyNumberFormat="1" applyFont="1" applyFill="1" applyBorder="1"/>
    <xf numFmtId="0" fontId="0" fillId="35" borderId="68" xfId="0" applyFill="1" applyBorder="1"/>
    <xf numFmtId="0" fontId="0" fillId="0" borderId="69" xfId="0" applyBorder="1"/>
    <xf numFmtId="2" fontId="47" fillId="0" borderId="1" xfId="0" applyNumberFormat="1" applyFont="1" applyFill="1" applyBorder="1" applyAlignment="1">
      <alignment horizontal="center"/>
    </xf>
    <xf numFmtId="0" fontId="62" fillId="37" borderId="1" xfId="0" applyFont="1" applyFill="1" applyBorder="1" applyAlignment="1">
      <alignment vertical="top" wrapText="1"/>
    </xf>
    <xf numFmtId="0" fontId="79" fillId="37" borderId="1" xfId="0" applyFont="1" applyFill="1" applyBorder="1" applyAlignment="1">
      <alignment vertical="top" wrapText="1"/>
    </xf>
    <xf numFmtId="0" fontId="62" fillId="37" borderId="1" xfId="0" applyFont="1" applyFill="1" applyBorder="1" applyAlignment="1">
      <alignment horizontal="center" vertical="top" wrapText="1"/>
    </xf>
    <xf numFmtId="0" fontId="79" fillId="37" borderId="1" xfId="0" applyFont="1" applyFill="1" applyBorder="1" applyAlignment="1">
      <alignment horizontal="center" vertical="center" wrapText="1"/>
    </xf>
    <xf numFmtId="0" fontId="79" fillId="37" borderId="1" xfId="0" applyFont="1" applyFill="1" applyBorder="1" applyAlignment="1">
      <alignment horizontal="center" vertical="top" wrapText="1"/>
    </xf>
    <xf numFmtId="1" fontId="79" fillId="37" borderId="1" xfId="0" applyNumberFormat="1" applyFont="1" applyFill="1" applyBorder="1" applyAlignment="1">
      <alignment horizontal="center" vertical="top" wrapText="1"/>
    </xf>
    <xf numFmtId="0" fontId="79" fillId="37" borderId="26" xfId="0" applyFont="1" applyFill="1" applyBorder="1" applyAlignment="1">
      <alignment vertical="top" wrapText="1"/>
    </xf>
    <xf numFmtId="0"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xf>
    <xf numFmtId="2" fontId="79" fillId="37" borderId="1" xfId="0" applyNumberFormat="1" applyFont="1" applyFill="1" applyBorder="1" applyAlignment="1">
      <alignment horizontal="center" vertical="top" wrapText="1"/>
    </xf>
    <xf numFmtId="0" fontId="79" fillId="37" borderId="1" xfId="0" applyNumberFormat="1" applyFont="1" applyFill="1" applyBorder="1" applyAlignment="1">
      <alignment horizontal="center" vertical="top" wrapText="1"/>
    </xf>
    <xf numFmtId="2" fontId="79" fillId="37" borderId="1" xfId="0" applyNumberFormat="1" applyFont="1" applyFill="1" applyBorder="1" applyAlignment="1">
      <alignment horizontal="center" vertical="center" wrapText="1"/>
    </xf>
    <xf numFmtId="0" fontId="79" fillId="37" borderId="1" xfId="0" applyNumberFormat="1" applyFont="1" applyFill="1" applyBorder="1" applyAlignment="1">
      <alignment horizontal="center" vertical="center" wrapText="1"/>
    </xf>
    <xf numFmtId="1" fontId="79" fillId="37" borderId="1" xfId="0" applyNumberFormat="1" applyFont="1" applyFill="1" applyBorder="1" applyAlignment="1">
      <alignment horizontal="center" vertical="center" wrapText="1"/>
    </xf>
    <xf numFmtId="167" fontId="79" fillId="37" borderId="1" xfId="0" applyNumberFormat="1" applyFont="1" applyFill="1" applyBorder="1" applyAlignment="1">
      <alignment horizontal="center" vertical="center" wrapText="1"/>
    </xf>
    <xf numFmtId="0" fontId="79" fillId="37" borderId="1" xfId="0" applyFont="1" applyFill="1" applyBorder="1" applyAlignment="1">
      <alignment vertical="center"/>
    </xf>
    <xf numFmtId="49" fontId="79" fillId="37" borderId="26" xfId="0" applyNumberFormat="1" applyFont="1" applyFill="1" applyBorder="1" applyAlignment="1">
      <alignment vertical="center" wrapText="1"/>
    </xf>
    <xf numFmtId="0" fontId="79" fillId="37" borderId="40" xfId="0" applyFont="1" applyFill="1" applyBorder="1" applyAlignment="1">
      <alignment horizontal="center" vertical="center" wrapText="1"/>
    </xf>
    <xf numFmtId="0" fontId="79" fillId="37" borderId="1" xfId="0" quotePrefix="1" applyFont="1" applyFill="1" applyBorder="1" applyAlignment="1">
      <alignment horizontal="center" vertical="top" wrapText="1"/>
    </xf>
    <xf numFmtId="0" fontId="54" fillId="32" borderId="1" xfId="0" applyFont="1" applyFill="1" applyBorder="1"/>
    <xf numFmtId="166" fontId="54" fillId="32" borderId="1" xfId="0" applyNumberFormat="1" applyFont="1" applyFill="1" applyBorder="1"/>
    <xf numFmtId="175" fontId="54" fillId="32" borderId="1" xfId="0" applyNumberFormat="1" applyFont="1" applyFill="1" applyBorder="1"/>
    <xf numFmtId="0" fontId="0" fillId="0" borderId="40" xfId="0" applyBorder="1"/>
    <xf numFmtId="0" fontId="0" fillId="0" borderId="70" xfId="0" applyBorder="1"/>
    <xf numFmtId="0" fontId="0" fillId="37" borderId="0" xfId="0" applyFill="1"/>
    <xf numFmtId="0" fontId="0" fillId="81" borderId="0" xfId="0" applyFill="1"/>
    <xf numFmtId="0" fontId="46" fillId="82" borderId="0" xfId="0" applyFont="1" applyFill="1"/>
    <xf numFmtId="0" fontId="50" fillId="0" borderId="0" xfId="0" applyFont="1" applyAlignment="1">
      <alignment horizontal="center" wrapText="1"/>
    </xf>
    <xf numFmtId="0" fontId="87" fillId="83" borderId="18" xfId="0" applyFont="1" applyFill="1" applyBorder="1" applyAlignment="1">
      <alignment vertical="center" wrapText="1"/>
    </xf>
    <xf numFmtId="0" fontId="49" fillId="0" borderId="0" xfId="0" applyFont="1" applyAlignment="1">
      <alignment horizontal="center" wrapText="1"/>
    </xf>
    <xf numFmtId="0" fontId="89" fillId="0" borderId="72" xfId="0" applyFont="1" applyBorder="1" applyAlignment="1">
      <alignment vertical="center"/>
    </xf>
    <xf numFmtId="0" fontId="45" fillId="0" borderId="73" xfId="0" applyFont="1" applyBorder="1"/>
    <xf numFmtId="0" fontId="45" fillId="0" borderId="74" xfId="0" applyFont="1" applyBorder="1"/>
    <xf numFmtId="0" fontId="51" fillId="0" borderId="0" xfId="0" applyFont="1" applyAlignment="1">
      <alignment horizontal="center" wrapText="1"/>
    </xf>
    <xf numFmtId="0" fontId="45" fillId="0" borderId="0" xfId="0" applyFont="1"/>
    <xf numFmtId="0" fontId="62" fillId="84" borderId="82" xfId="0" applyFont="1" applyFill="1" applyBorder="1" applyAlignment="1">
      <alignment vertical="top" wrapText="1"/>
    </xf>
    <xf numFmtId="0" fontId="48" fillId="0" borderId="0" xfId="0" applyFont="1" applyAlignment="1">
      <alignment horizontal="center" wrapText="1"/>
    </xf>
    <xf numFmtId="0" fontId="11" fillId="0" borderId="79" xfId="0" applyFont="1" applyBorder="1" applyAlignment="1">
      <alignment vertical="center" wrapText="1"/>
    </xf>
    <xf numFmtId="0" fontId="11" fillId="37" borderId="1" xfId="0" applyFont="1" applyFill="1" applyBorder="1" applyAlignment="1">
      <alignment horizontal="center" vertical="center" wrapText="1"/>
    </xf>
    <xf numFmtId="0" fontId="11" fillId="83" borderId="81" xfId="0" applyFont="1" applyFill="1" applyBorder="1" applyAlignment="1">
      <alignment horizontal="center" vertical="center" wrapText="1"/>
    </xf>
    <xf numFmtId="0" fontId="90" fillId="0" borderId="28" xfId="0" applyFont="1" applyBorder="1" applyAlignment="1">
      <alignment horizontal="center" wrapText="1"/>
    </xf>
    <xf numFmtId="0" fontId="90" fillId="0" borderId="84" xfId="0" applyFont="1" applyBorder="1" applyAlignment="1">
      <alignment horizontal="center" wrapText="1"/>
    </xf>
    <xf numFmtId="0" fontId="11" fillId="84" borderId="80" xfId="0" applyFont="1" applyFill="1" applyBorder="1" applyAlignment="1">
      <alignment vertical="center" wrapText="1"/>
    </xf>
    <xf numFmtId="0" fontId="11" fillId="84" borderId="1" xfId="968" applyNumberFormat="1" applyFont="1" applyFill="1" applyBorder="1" applyAlignment="1">
      <alignment horizontal="center" vertical="center" wrapText="1"/>
    </xf>
    <xf numFmtId="0" fontId="11" fillId="84" borderId="0" xfId="0" applyFont="1" applyFill="1" applyAlignment="1">
      <alignment horizontal="center"/>
    </xf>
    <xf numFmtId="0" fontId="11" fillId="84" borderId="1" xfId="0" applyFont="1" applyFill="1" applyBorder="1" applyAlignment="1">
      <alignment horizontal="center" vertical="center" wrapText="1"/>
    </xf>
    <xf numFmtId="0" fontId="11" fillId="84" borderId="81" xfId="0" applyFont="1" applyFill="1" applyBorder="1" applyAlignment="1">
      <alignment horizontal="center" vertical="center" wrapText="1"/>
    </xf>
    <xf numFmtId="0" fontId="45" fillId="0" borderId="33" xfId="0" applyFont="1" applyBorder="1"/>
    <xf numFmtId="9" fontId="45" fillId="0" borderId="86" xfId="0" applyNumberFormat="1" applyFont="1" applyBorder="1" applyAlignment="1">
      <alignment horizontal="center" vertical="center"/>
    </xf>
    <xf numFmtId="0" fontId="11" fillId="33" borderId="80" xfId="0" applyFont="1" applyFill="1" applyBorder="1" applyAlignment="1">
      <alignment vertical="center" wrapText="1"/>
    </xf>
    <xf numFmtId="0" fontId="11" fillId="33" borderId="1" xfId="968" applyNumberFormat="1" applyFont="1" applyFill="1" applyBorder="1" applyAlignment="1">
      <alignment horizontal="center" vertical="center" wrapText="1"/>
    </xf>
    <xf numFmtId="0" fontId="11" fillId="0" borderId="1" xfId="968"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81" xfId="0" applyFont="1" applyBorder="1" applyAlignment="1">
      <alignment horizontal="center" vertical="center" wrapText="1"/>
    </xf>
    <xf numFmtId="0" fontId="45" fillId="0" borderId="35" xfId="0" applyFont="1" applyBorder="1"/>
    <xf numFmtId="0" fontId="45" fillId="0" borderId="80" xfId="0" applyFont="1" applyBorder="1" applyAlignment="1">
      <alignment horizontal="center" vertical="center"/>
    </xf>
    <xf numFmtId="0" fontId="88" fillId="84" borderId="39" xfId="0" applyFont="1" applyFill="1" applyBorder="1" applyAlignment="1">
      <alignment horizontal="center" vertical="center" wrapText="1"/>
    </xf>
    <xf numFmtId="0" fontId="88" fillId="84" borderId="1" xfId="0" applyFont="1" applyFill="1" applyBorder="1" applyAlignment="1">
      <alignment horizontal="center" vertical="center" wrapText="1"/>
    </xf>
    <xf numFmtId="0" fontId="88" fillId="84" borderId="37" xfId="0" applyFont="1" applyFill="1" applyBorder="1" applyAlignment="1">
      <alignment horizontal="center" vertical="center" wrapText="1"/>
    </xf>
    <xf numFmtId="0" fontId="45" fillId="0" borderId="14" xfId="0" applyFont="1" applyBorder="1"/>
    <xf numFmtId="0" fontId="45" fillId="0" borderId="90" xfId="0" applyFont="1" applyBorder="1" applyAlignment="1">
      <alignment horizontal="center" vertical="center"/>
    </xf>
    <xf numFmtId="0" fontId="45" fillId="0" borderId="80" xfId="0" applyFont="1" applyBorder="1"/>
    <xf numFmtId="0" fontId="45" fillId="0" borderId="1" xfId="0" applyFont="1" applyBorder="1" applyAlignment="1">
      <alignment horizontal="center" vertical="center"/>
    </xf>
    <xf numFmtId="0" fontId="88" fillId="33" borderId="39" xfId="0" applyFont="1" applyFill="1" applyBorder="1" applyAlignment="1">
      <alignment horizontal="center" vertical="center" wrapText="1"/>
    </xf>
    <xf numFmtId="0" fontId="88" fillId="0" borderId="39" xfId="0" applyFont="1" applyBorder="1" applyAlignment="1">
      <alignment horizontal="center" vertical="center" wrapText="1"/>
    </xf>
    <xf numFmtId="0" fontId="88" fillId="83" borderId="39" xfId="0" applyFont="1" applyFill="1" applyBorder="1" applyAlignment="1">
      <alignment horizontal="center" vertical="center" wrapText="1"/>
    </xf>
    <xf numFmtId="0" fontId="61" fillId="83" borderId="81" xfId="0" applyFont="1" applyFill="1" applyBorder="1" applyAlignment="1">
      <alignment horizontal="center" vertical="center" wrapText="1"/>
    </xf>
    <xf numFmtId="0" fontId="62" fillId="0" borderId="18" xfId="0" applyFont="1" applyBorder="1" applyAlignment="1">
      <alignment vertical="center" wrapText="1"/>
    </xf>
    <xf numFmtId="0" fontId="91" fillId="83" borderId="78" xfId="0" applyFont="1" applyFill="1" applyBorder="1" applyAlignment="1">
      <alignment horizontal="center" vertical="center" wrapText="1"/>
    </xf>
    <xf numFmtId="0" fontId="91" fillId="83" borderId="82" xfId="0" applyFont="1" applyFill="1" applyBorder="1" applyAlignment="1">
      <alignment horizontal="center" vertical="center" wrapText="1"/>
    </xf>
    <xf numFmtId="0" fontId="91" fillId="83" borderId="77" xfId="0" applyFont="1" applyFill="1" applyBorder="1" applyAlignment="1">
      <alignment horizontal="center" vertical="center" wrapText="1"/>
    </xf>
    <xf numFmtId="0" fontId="91" fillId="83" borderId="23" xfId="0" applyFont="1" applyFill="1" applyBorder="1" applyAlignment="1">
      <alignment horizontal="center" vertical="center" wrapText="1"/>
    </xf>
    <xf numFmtId="0" fontId="62" fillId="37" borderId="82" xfId="0" applyFont="1" applyFill="1" applyBorder="1" applyAlignment="1">
      <alignment vertical="top" wrapText="1"/>
    </xf>
    <xf numFmtId="0" fontId="86" fillId="0" borderId="82" xfId="0" applyFont="1" applyBorder="1"/>
    <xf numFmtId="0" fontId="93" fillId="0" borderId="92" xfId="0" applyFont="1" applyBorder="1"/>
    <xf numFmtId="0" fontId="45" fillId="0" borderId="90" xfId="0" applyFont="1" applyBorder="1"/>
    <xf numFmtId="0" fontId="45" fillId="0" borderId="93" xfId="0" applyFont="1" applyBorder="1" applyAlignment="1">
      <alignment horizontal="center"/>
    </xf>
    <xf numFmtId="0" fontId="46" fillId="0" borderId="18" xfId="0" applyFont="1" applyBorder="1" applyAlignment="1">
      <alignment horizontal="center" wrapText="1"/>
    </xf>
    <xf numFmtId="0" fontId="45" fillId="0" borderId="15" xfId="0" applyFont="1" applyBorder="1"/>
    <xf numFmtId="0" fontId="45" fillId="0" borderId="82" xfId="0" quotePrefix="1" applyFont="1" applyBorder="1" applyAlignment="1">
      <alignment horizontal="center" vertical="center"/>
    </xf>
    <xf numFmtId="9" fontId="0" fillId="0" borderId="23" xfId="0" applyNumberFormat="1" applyBorder="1" applyAlignment="1">
      <alignment horizontal="center" vertical="center"/>
    </xf>
    <xf numFmtId="9" fontId="0" fillId="0" borderId="24" xfId="0" applyNumberFormat="1" applyBorder="1" applyAlignment="1">
      <alignment horizontal="center" vertical="center"/>
    </xf>
    <xf numFmtId="9" fontId="0" fillId="0" borderId="77" xfId="0" applyNumberFormat="1" applyBorder="1" applyAlignment="1">
      <alignment horizontal="center" vertical="center"/>
    </xf>
    <xf numFmtId="9" fontId="0" fillId="0" borderId="25" xfId="0" applyNumberFormat="1" applyBorder="1" applyAlignment="1">
      <alignment horizontal="center" vertical="center"/>
    </xf>
    <xf numFmtId="0" fontId="11" fillId="84" borderId="40" xfId="0" applyFont="1" applyFill="1" applyBorder="1" applyAlignment="1">
      <alignment horizontal="center" vertical="center" wrapText="1"/>
    </xf>
    <xf numFmtId="0" fontId="86" fillId="84" borderId="1" xfId="0" applyFont="1" applyFill="1" applyBorder="1"/>
    <xf numFmtId="0" fontId="55" fillId="0" borderId="0" xfId="0" applyFont="1"/>
    <xf numFmtId="0" fontId="62" fillId="0" borderId="80" xfId="0" applyFont="1" applyBorder="1" applyAlignment="1">
      <alignment vertical="center" wrapText="1"/>
    </xf>
    <xf numFmtId="0" fontId="91" fillId="83" borderId="1" xfId="0" applyFont="1" applyFill="1" applyBorder="1" applyAlignment="1">
      <alignment vertical="center" wrapText="1"/>
    </xf>
    <xf numFmtId="0" fontId="86" fillId="0" borderId="1" xfId="0" applyFont="1" applyBorder="1"/>
    <xf numFmtId="0" fontId="93" fillId="0" borderId="81" xfId="0" applyFont="1" applyBorder="1"/>
    <xf numFmtId="0" fontId="95" fillId="0" borderId="1" xfId="0" applyFont="1" applyBorder="1"/>
    <xf numFmtId="0" fontId="86" fillId="0" borderId="1" xfId="0" applyFont="1" applyBorder="1" applyAlignment="1">
      <alignment horizontal="center"/>
    </xf>
    <xf numFmtId="0" fontId="86" fillId="0" borderId="81" xfId="0" applyFont="1" applyBorder="1" applyAlignment="1">
      <alignment horizontal="center"/>
    </xf>
    <xf numFmtId="0" fontId="49" fillId="0" borderId="0" xfId="0" applyFont="1" applyAlignment="1">
      <alignment horizontal="center" vertical="center" wrapText="1"/>
    </xf>
    <xf numFmtId="0" fontId="11" fillId="33" borderId="83" xfId="0" applyFont="1" applyFill="1" applyBorder="1" applyAlignment="1">
      <alignment vertical="center" wrapText="1"/>
    </xf>
    <xf numFmtId="0" fontId="88" fillId="33" borderId="31" xfId="0" applyFont="1" applyFill="1" applyBorder="1" applyAlignment="1">
      <alignment horizontal="center" vertical="center" wrapText="1"/>
    </xf>
    <xf numFmtId="0" fontId="62" fillId="0" borderId="23" xfId="0" applyFont="1" applyBorder="1" applyAlignment="1">
      <alignment vertical="center" wrapText="1"/>
    </xf>
    <xf numFmtId="0" fontId="91" fillId="83" borderId="94" xfId="0" applyFont="1" applyFill="1" applyBorder="1" applyAlignment="1">
      <alignment horizontal="center" vertical="center" wrapText="1"/>
    </xf>
    <xf numFmtId="0" fontId="91" fillId="83" borderId="92" xfId="0" applyFont="1" applyFill="1" applyBorder="1" applyAlignment="1">
      <alignment horizontal="center" vertical="center" wrapText="1"/>
    </xf>
    <xf numFmtId="0" fontId="62" fillId="37" borderId="78" xfId="0" applyFont="1" applyFill="1" applyBorder="1" applyAlignment="1">
      <alignment vertical="top" wrapText="1"/>
    </xf>
    <xf numFmtId="0" fontId="96" fillId="0" borderId="0" xfId="0" applyFont="1" applyAlignment="1">
      <alignment wrapText="1"/>
    </xf>
    <xf numFmtId="0" fontId="11" fillId="33" borderId="79" xfId="0" applyFont="1" applyFill="1" applyBorder="1" applyAlignment="1">
      <alignment vertical="center" wrapText="1"/>
    </xf>
    <xf numFmtId="165" fontId="98" fillId="33" borderId="40" xfId="0" applyNumberFormat="1" applyFont="1" applyFill="1" applyBorder="1" applyAlignment="1">
      <alignment horizontal="center" vertical="center" wrapText="1"/>
    </xf>
    <xf numFmtId="165" fontId="98" fillId="33" borderId="26" xfId="0" applyNumberFormat="1" applyFont="1" applyFill="1" applyBorder="1" applyAlignment="1">
      <alignment horizontal="center" vertical="center" wrapText="1"/>
    </xf>
    <xf numFmtId="165" fontId="98" fillId="33" borderId="42" xfId="0" applyNumberFormat="1" applyFont="1" applyFill="1" applyBorder="1" applyAlignment="1">
      <alignment horizontal="center" vertical="center" wrapText="1"/>
    </xf>
    <xf numFmtId="0" fontId="11" fillId="83" borderId="81" xfId="0" quotePrefix="1" applyFont="1" applyFill="1" applyBorder="1" applyAlignment="1">
      <alignment horizontal="center" vertical="center" wrapText="1"/>
    </xf>
    <xf numFmtId="0" fontId="11" fillId="0" borderId="80" xfId="0" applyFont="1" applyBorder="1" applyAlignment="1">
      <alignment vertical="center" wrapText="1"/>
    </xf>
    <xf numFmtId="0" fontId="98" fillId="83" borderId="39" xfId="0" applyFont="1" applyFill="1" applyBorder="1" applyAlignment="1">
      <alignment horizontal="center" vertical="center" wrapText="1"/>
    </xf>
    <xf numFmtId="1" fontId="98" fillId="83" borderId="39" xfId="0" applyNumberFormat="1" applyFont="1" applyFill="1" applyBorder="1" applyAlignment="1">
      <alignment horizontal="center" vertical="center" wrapText="1"/>
    </xf>
    <xf numFmtId="0" fontId="11" fillId="83" borderId="1" xfId="0" applyFont="1" applyFill="1" applyBorder="1" applyAlignment="1">
      <alignment horizontal="center" vertical="center" wrapText="1"/>
    </xf>
    <xf numFmtId="0" fontId="98" fillId="33" borderId="39" xfId="0" applyFont="1" applyFill="1" applyBorder="1" applyAlignment="1">
      <alignment horizontal="center" vertical="center" wrapText="1"/>
    </xf>
    <xf numFmtId="0" fontId="88" fillId="33" borderId="1" xfId="0" applyFont="1" applyFill="1" applyBorder="1" applyAlignment="1">
      <alignment horizontal="center" vertical="center"/>
    </xf>
    <xf numFmtId="0" fontId="88" fillId="33" borderId="37" xfId="0" applyFont="1" applyFill="1" applyBorder="1" applyAlignment="1">
      <alignment horizontal="center" vertical="center"/>
    </xf>
    <xf numFmtId="0" fontId="61" fillId="83" borderId="1" xfId="0" applyFont="1" applyFill="1" applyBorder="1" applyAlignment="1">
      <alignment horizontal="center" vertical="center" wrapText="1"/>
    </xf>
    <xf numFmtId="167" fontId="11" fillId="33" borderId="40" xfId="0" applyNumberFormat="1" applyFont="1" applyFill="1" applyBorder="1" applyAlignment="1">
      <alignment horizontal="center" wrapText="1"/>
    </xf>
    <xf numFmtId="0" fontId="50" fillId="0" borderId="0" xfId="0" applyFont="1" applyAlignment="1">
      <alignment wrapText="1"/>
    </xf>
    <xf numFmtId="0" fontId="11" fillId="84" borderId="86" xfId="0" applyFont="1" applyFill="1" applyBorder="1" applyAlignment="1">
      <alignment vertical="center" wrapText="1"/>
    </xf>
    <xf numFmtId="167" fontId="11" fillId="86" borderId="40" xfId="0" applyNumberFormat="1" applyFont="1" applyFill="1" applyBorder="1" applyAlignment="1">
      <alignment horizontal="center" wrapText="1"/>
    </xf>
    <xf numFmtId="0" fontId="95" fillId="84" borderId="1" xfId="0" applyFont="1" applyFill="1" applyBorder="1"/>
    <xf numFmtId="167" fontId="11" fillId="84" borderId="40" xfId="0" applyNumberFormat="1" applyFont="1" applyFill="1" applyBorder="1" applyAlignment="1">
      <alignment horizontal="center" wrapText="1"/>
    </xf>
    <xf numFmtId="0" fontId="61" fillId="84" borderId="1" xfId="0" applyFont="1" applyFill="1" applyBorder="1" applyAlignment="1">
      <alignment horizontal="center" vertical="center" wrapText="1"/>
    </xf>
    <xf numFmtId="167" fontId="61" fillId="83" borderId="39" xfId="0" applyNumberFormat="1" applyFont="1" applyFill="1" applyBorder="1" applyAlignment="1">
      <alignment horizontal="center" vertical="center" wrapText="1"/>
    </xf>
    <xf numFmtId="0" fontId="98" fillId="83" borderId="1" xfId="0" applyFont="1" applyFill="1" applyBorder="1" applyAlignment="1">
      <alignment horizontal="center" vertical="center" wrapText="1"/>
    </xf>
    <xf numFmtId="0" fontId="98" fillId="83" borderId="37" xfId="0" applyFont="1" applyFill="1" applyBorder="1" applyAlignment="1">
      <alignment horizontal="center" vertical="center" wrapText="1"/>
    </xf>
    <xf numFmtId="0" fontId="95" fillId="0" borderId="82" xfId="0" applyFont="1" applyBorder="1"/>
    <xf numFmtId="0" fontId="95" fillId="0" borderId="92" xfId="0" applyFont="1" applyBorder="1"/>
    <xf numFmtId="0" fontId="0" fillId="81" borderId="0" xfId="0" applyFill="1" applyAlignment="1">
      <alignment wrapText="1"/>
    </xf>
    <xf numFmtId="1" fontId="11" fillId="84" borderId="39" xfId="0" applyNumberFormat="1" applyFont="1" applyFill="1" applyBorder="1" applyAlignment="1">
      <alignment horizontal="center" vertical="center" wrapText="1"/>
    </xf>
    <xf numFmtId="167" fontId="11" fillId="84" borderId="39" xfId="0" applyNumberFormat="1" applyFont="1" applyFill="1" applyBorder="1" applyAlignment="1">
      <alignment horizontal="center" vertical="center" wrapText="1"/>
    </xf>
    <xf numFmtId="0" fontId="61" fillId="84" borderId="81" xfId="0" applyFont="1" applyFill="1" applyBorder="1" applyAlignment="1">
      <alignment horizontal="center" vertical="center" wrapText="1"/>
    </xf>
    <xf numFmtId="0" fontId="47" fillId="81" borderId="0" xfId="0" applyFont="1" applyFill="1"/>
    <xf numFmtId="0" fontId="54" fillId="87" borderId="1" xfId="0" applyFont="1" applyFill="1" applyBorder="1"/>
    <xf numFmtId="166" fontId="54" fillId="87" borderId="1" xfId="0" applyNumberFormat="1" applyFont="1" applyFill="1" applyBorder="1"/>
    <xf numFmtId="0" fontId="54" fillId="87" borderId="0" xfId="0" applyFont="1" applyFill="1"/>
    <xf numFmtId="0" fontId="98" fillId="84" borderId="39" xfId="0" applyFont="1" applyFill="1" applyBorder="1" applyAlignment="1">
      <alignment horizontal="center" vertical="center" wrapText="1"/>
    </xf>
    <xf numFmtId="0" fontId="98" fillId="84" borderId="1" xfId="0" applyFont="1" applyFill="1" applyBorder="1" applyAlignment="1">
      <alignment horizontal="center" vertical="center" wrapText="1"/>
    </xf>
    <xf numFmtId="0" fontId="98" fillId="84" borderId="37" xfId="0" applyFont="1" applyFill="1" applyBorder="1" applyAlignment="1">
      <alignment horizontal="center" vertical="center" wrapText="1"/>
    </xf>
    <xf numFmtId="0" fontId="11" fillId="84" borderId="37" xfId="0" applyFont="1" applyFill="1" applyBorder="1" applyAlignment="1">
      <alignment horizontal="center" vertical="center" wrapText="1"/>
    </xf>
    <xf numFmtId="0" fontId="95" fillId="84" borderId="1" xfId="0" applyFont="1" applyFill="1" applyBorder="1" applyAlignment="1">
      <alignment horizontal="center" vertical="center"/>
    </xf>
    <xf numFmtId="0" fontId="95" fillId="84" borderId="28" xfId="0" applyFont="1" applyFill="1" applyBorder="1"/>
    <xf numFmtId="0" fontId="11" fillId="84" borderId="83" xfId="0" applyFont="1" applyFill="1" applyBorder="1" applyAlignment="1">
      <alignment vertical="center" wrapText="1"/>
    </xf>
    <xf numFmtId="0" fontId="95" fillId="84" borderId="84" xfId="0" applyFont="1" applyFill="1" applyBorder="1"/>
    <xf numFmtId="0" fontId="11" fillId="84" borderId="90" xfId="0" applyFont="1" applyFill="1" applyBorder="1" applyAlignment="1">
      <alignment vertical="center" wrapText="1"/>
    </xf>
    <xf numFmtId="0" fontId="98" fillId="84" borderId="32" xfId="0" applyFont="1" applyFill="1" applyBorder="1" applyAlignment="1">
      <alignment horizontal="center" vertical="center" wrapText="1"/>
    </xf>
    <xf numFmtId="0" fontId="98" fillId="84" borderId="93" xfId="0" applyFont="1" applyFill="1" applyBorder="1" applyAlignment="1">
      <alignment horizontal="center" vertical="center" wrapText="1"/>
    </xf>
    <xf numFmtId="0" fontId="98" fillId="84" borderId="95" xfId="0" applyFont="1" applyFill="1" applyBorder="1" applyAlignment="1">
      <alignment horizontal="center" vertical="center" wrapText="1"/>
    </xf>
    <xf numFmtId="0" fontId="95" fillId="84" borderId="93" xfId="0" applyFont="1" applyFill="1" applyBorder="1"/>
    <xf numFmtId="0" fontId="95" fillId="84" borderId="96" xfId="0" applyFont="1" applyFill="1" applyBorder="1"/>
    <xf numFmtId="166" fontId="40" fillId="81" borderId="0" xfId="47" applyNumberFormat="1" applyFill="1"/>
    <xf numFmtId="166" fontId="40" fillId="0" borderId="0" xfId="47" applyNumberFormat="1" applyFill="1" applyBorder="1"/>
    <xf numFmtId="0" fontId="99" fillId="0" borderId="0" xfId="0" applyFont="1"/>
    <xf numFmtId="166" fontId="99" fillId="0" borderId="0" xfId="47" applyNumberFormat="1" applyFont="1"/>
    <xf numFmtId="2" fontId="0" fillId="81" borderId="0" xfId="0" applyNumberFormat="1" applyFill="1"/>
    <xf numFmtId="0" fontId="4" fillId="37" borderId="0" xfId="0" applyFont="1" applyFill="1" applyAlignment="1">
      <alignment vertical="center" wrapText="1"/>
    </xf>
    <xf numFmtId="0" fontId="102" fillId="37" borderId="0" xfId="0" applyFont="1" applyFill="1"/>
    <xf numFmtId="0" fontId="79" fillId="37" borderId="0" xfId="0" applyFont="1" applyFill="1"/>
    <xf numFmtId="0" fontId="3" fillId="37" borderId="0" xfId="0" applyFont="1" applyFill="1" applyAlignment="1">
      <alignment vertical="center" wrapText="1"/>
    </xf>
    <xf numFmtId="0" fontId="103" fillId="37" borderId="0" xfId="0" applyFont="1" applyFill="1" applyAlignment="1">
      <alignment vertical="center"/>
    </xf>
    <xf numFmtId="0" fontId="48" fillId="0" borderId="0" xfId="0" applyFont="1"/>
    <xf numFmtId="0" fontId="102" fillId="37" borderId="0" xfId="0" applyFont="1" applyFill="1" applyAlignment="1">
      <alignment vertical="center"/>
    </xf>
    <xf numFmtId="0" fontId="103" fillId="37" borderId="0" xfId="0" applyFont="1" applyFill="1"/>
    <xf numFmtId="0" fontId="49" fillId="37" borderId="0" xfId="0" applyFont="1" applyFill="1" applyAlignment="1">
      <alignment horizontal="right" vertical="center" wrapText="1"/>
    </xf>
    <xf numFmtId="0" fontId="104" fillId="37" borderId="0" xfId="0" applyFont="1" applyFill="1"/>
    <xf numFmtId="0" fontId="102" fillId="0" borderId="0" xfId="0" applyFont="1"/>
    <xf numFmtId="0" fontId="62" fillId="88" borderId="82" xfId="0" applyFont="1" applyFill="1" applyBorder="1" applyAlignment="1">
      <alignment vertical="top" wrapText="1"/>
    </xf>
    <xf numFmtId="0" fontId="11" fillId="88" borderId="80" xfId="0" applyFont="1" applyFill="1" applyBorder="1" applyAlignment="1">
      <alignment vertical="center" wrapText="1"/>
    </xf>
    <xf numFmtId="0" fontId="11" fillId="88" borderId="1" xfId="968" applyNumberFormat="1" applyFont="1" applyFill="1" applyBorder="1" applyAlignment="1">
      <alignment horizontal="center" vertical="center" wrapText="1"/>
    </xf>
    <xf numFmtId="0" fontId="11" fillId="88" borderId="0" xfId="0" applyFont="1" applyFill="1" applyAlignment="1">
      <alignment horizontal="center"/>
    </xf>
    <xf numFmtId="0" fontId="11" fillId="88" borderId="1" xfId="0" applyFont="1" applyFill="1" applyBorder="1" applyAlignment="1">
      <alignment horizontal="center" vertical="center" wrapText="1"/>
    </xf>
    <xf numFmtId="0" fontId="11" fillId="88" borderId="81" xfId="0" applyFont="1" applyFill="1" applyBorder="1" applyAlignment="1">
      <alignment horizontal="center" vertical="center" wrapText="1"/>
    </xf>
    <xf numFmtId="0" fontId="11" fillId="37" borderId="1" xfId="968" applyNumberFormat="1" applyFont="1" applyFill="1" applyBorder="1" applyAlignment="1">
      <alignment horizontal="center" vertical="center" wrapText="1"/>
    </xf>
    <xf numFmtId="0" fontId="88" fillId="88" borderId="39" xfId="0" applyFont="1" applyFill="1" applyBorder="1" applyAlignment="1">
      <alignment horizontal="center" vertical="center" wrapText="1"/>
    </xf>
    <xf numFmtId="0" fontId="88" fillId="88" borderId="1" xfId="0" applyFont="1" applyFill="1" applyBorder="1" applyAlignment="1">
      <alignment horizontal="center" vertical="center" wrapText="1"/>
    </xf>
    <xf numFmtId="0" fontId="88" fillId="88" borderId="37" xfId="0" applyFont="1" applyFill="1" applyBorder="1" applyAlignment="1">
      <alignment horizontal="center" vertical="center" wrapText="1"/>
    </xf>
    <xf numFmtId="0" fontId="11" fillId="88" borderId="40" xfId="0" applyFont="1" applyFill="1" applyBorder="1" applyAlignment="1">
      <alignment horizontal="center" vertical="center" wrapText="1"/>
    </xf>
    <xf numFmtId="0" fontId="86" fillId="88" borderId="1" xfId="0" applyFont="1" applyFill="1" applyBorder="1"/>
    <xf numFmtId="0" fontId="98" fillId="33" borderId="40" xfId="0" applyFont="1" applyFill="1" applyBorder="1" applyAlignment="1">
      <alignment horizontal="center" vertical="center" wrapText="1"/>
    </xf>
    <xf numFmtId="0" fontId="98" fillId="33" borderId="26" xfId="0" applyFont="1" applyFill="1" applyBorder="1" applyAlignment="1">
      <alignment horizontal="center" vertical="center" wrapText="1"/>
    </xf>
    <xf numFmtId="0" fontId="98" fillId="33" borderId="42" xfId="0" applyFont="1" applyFill="1" applyBorder="1" applyAlignment="1">
      <alignment horizontal="center" vertical="center" wrapText="1"/>
    </xf>
    <xf numFmtId="167" fontId="11" fillId="89" borderId="40" xfId="0" applyNumberFormat="1" applyFont="1" applyFill="1" applyBorder="1" applyAlignment="1">
      <alignment horizontal="center" wrapText="1"/>
    </xf>
    <xf numFmtId="0" fontId="95" fillId="88" borderId="1" xfId="0" applyFont="1" applyFill="1" applyBorder="1"/>
    <xf numFmtId="167" fontId="11" fillId="88" borderId="40" xfId="0" applyNumberFormat="1" applyFont="1" applyFill="1" applyBorder="1" applyAlignment="1">
      <alignment horizontal="center" wrapText="1"/>
    </xf>
    <xf numFmtId="0" fontId="61" fillId="88" borderId="1" xfId="0" applyFont="1" applyFill="1" applyBorder="1" applyAlignment="1">
      <alignment horizontal="center" vertical="center" wrapText="1"/>
    </xf>
    <xf numFmtId="167" fontId="11" fillId="37" borderId="40" xfId="0" applyNumberFormat="1" applyFont="1" applyFill="1" applyBorder="1" applyAlignment="1">
      <alignment horizontal="center" wrapText="1"/>
    </xf>
    <xf numFmtId="0" fontId="11" fillId="0" borderId="83" xfId="0" applyFont="1" applyBorder="1" applyAlignment="1">
      <alignment vertical="center" wrapText="1"/>
    </xf>
    <xf numFmtId="0" fontId="88" fillId="83" borderId="1" xfId="0" applyFont="1" applyFill="1" applyBorder="1" applyAlignment="1">
      <alignment horizontal="center" vertical="center"/>
    </xf>
    <xf numFmtId="0" fontId="88" fillId="83" borderId="37" xfId="0" applyFont="1" applyFill="1" applyBorder="1" applyAlignment="1">
      <alignment horizontal="center" vertical="center"/>
    </xf>
    <xf numFmtId="0" fontId="11" fillId="88" borderId="86" xfId="0" applyFont="1" applyFill="1" applyBorder="1" applyAlignment="1">
      <alignment vertical="center" wrapText="1"/>
    </xf>
    <xf numFmtId="1" fontId="11" fillId="88" borderId="39" xfId="0" applyNumberFormat="1" applyFont="1" applyFill="1" applyBorder="1" applyAlignment="1">
      <alignment horizontal="center" vertical="center" wrapText="1"/>
    </xf>
    <xf numFmtId="167" fontId="11" fillId="88" borderId="39" xfId="0" applyNumberFormat="1" applyFont="1" applyFill="1" applyBorder="1" applyAlignment="1">
      <alignment horizontal="center" vertical="center" wrapText="1"/>
    </xf>
    <xf numFmtId="0" fontId="61" fillId="88" borderId="81" xfId="0" applyFont="1" applyFill="1" applyBorder="1" applyAlignment="1">
      <alignment horizontal="center" vertical="center" wrapText="1"/>
    </xf>
    <xf numFmtId="0" fontId="98" fillId="88" borderId="39" xfId="0" applyFont="1" applyFill="1" applyBorder="1" applyAlignment="1">
      <alignment horizontal="center" vertical="center" wrapText="1"/>
    </xf>
    <xf numFmtId="0" fontId="98" fillId="88" borderId="1" xfId="0" applyFont="1" applyFill="1" applyBorder="1" applyAlignment="1">
      <alignment horizontal="center" vertical="center" wrapText="1"/>
    </xf>
    <xf numFmtId="0" fontId="98" fillId="88" borderId="37" xfId="0" applyFont="1" applyFill="1" applyBorder="1" applyAlignment="1">
      <alignment horizontal="center" vertical="center" wrapText="1"/>
    </xf>
    <xf numFmtId="0" fontId="11" fillId="88" borderId="37" xfId="0" applyFont="1" applyFill="1" applyBorder="1" applyAlignment="1">
      <alignment horizontal="center" vertical="center" wrapText="1"/>
    </xf>
    <xf numFmtId="0" fontId="95" fillId="88" borderId="1" xfId="0" applyFont="1" applyFill="1" applyBorder="1" applyAlignment="1">
      <alignment horizontal="center" vertical="center"/>
    </xf>
    <xf numFmtId="0" fontId="95" fillId="88" borderId="28" xfId="0" applyFont="1" applyFill="1" applyBorder="1"/>
    <xf numFmtId="0" fontId="11" fillId="88" borderId="83" xfId="0" applyFont="1" applyFill="1" applyBorder="1" applyAlignment="1">
      <alignment vertical="center" wrapText="1"/>
    </xf>
    <xf numFmtId="0" fontId="95" fillId="88" borderId="84" xfId="0" applyFont="1" applyFill="1" applyBorder="1"/>
    <xf numFmtId="0" fontId="11" fillId="88" borderId="90" xfId="0" applyFont="1" applyFill="1" applyBorder="1" applyAlignment="1">
      <alignment vertical="center" wrapText="1"/>
    </xf>
    <xf numFmtId="0" fontId="98" fillId="88" borderId="32" xfId="0" applyFont="1" applyFill="1" applyBorder="1" applyAlignment="1">
      <alignment horizontal="center" vertical="center" wrapText="1"/>
    </xf>
    <xf numFmtId="0" fontId="98" fillId="88" borderId="93" xfId="0" applyFont="1" applyFill="1" applyBorder="1" applyAlignment="1">
      <alignment horizontal="center" vertical="center" wrapText="1"/>
    </xf>
    <xf numFmtId="0" fontId="98" fillId="88" borderId="95" xfId="0" applyFont="1" applyFill="1" applyBorder="1" applyAlignment="1">
      <alignment horizontal="center" vertical="center" wrapText="1"/>
    </xf>
    <xf numFmtId="0" fontId="95" fillId="88" borderId="93" xfId="0" applyFont="1" applyFill="1" applyBorder="1"/>
    <xf numFmtId="0" fontId="95" fillId="88" borderId="96" xfId="0" applyFont="1" applyFill="1" applyBorder="1"/>
    <xf numFmtId="0" fontId="62" fillId="80" borderId="82" xfId="0" applyFont="1" applyFill="1" applyBorder="1" applyAlignment="1">
      <alignment vertical="top" wrapText="1"/>
    </xf>
    <xf numFmtId="0" fontId="11" fillId="80" borderId="80" xfId="0" applyFont="1" applyFill="1" applyBorder="1" applyAlignment="1">
      <alignment vertical="center" wrapText="1"/>
    </xf>
    <xf numFmtId="0" fontId="11" fillId="80" borderId="1" xfId="968" applyNumberFormat="1" applyFont="1" applyFill="1" applyBorder="1" applyAlignment="1">
      <alignment horizontal="center" vertical="center" wrapText="1"/>
    </xf>
    <xf numFmtId="0" fontId="11" fillId="80" borderId="0" xfId="0" applyFont="1" applyFill="1" applyAlignment="1">
      <alignment horizontal="center"/>
    </xf>
    <xf numFmtId="0" fontId="88" fillId="80" borderId="39" xfId="0" applyFont="1" applyFill="1" applyBorder="1" applyAlignment="1">
      <alignment horizontal="center" vertical="center" wrapText="1"/>
    </xf>
    <xf numFmtId="0" fontId="88" fillId="80" borderId="1" xfId="0" applyFont="1" applyFill="1" applyBorder="1" applyAlignment="1">
      <alignment horizontal="center" vertical="center" wrapText="1"/>
    </xf>
    <xf numFmtId="0" fontId="88" fillId="80" borderId="37" xfId="0" applyFont="1" applyFill="1" applyBorder="1" applyAlignment="1">
      <alignment horizontal="center" vertical="center" wrapText="1"/>
    </xf>
    <xf numFmtId="0" fontId="11" fillId="80" borderId="1" xfId="0" applyFont="1" applyFill="1" applyBorder="1" applyAlignment="1">
      <alignment horizontal="center" vertical="center" wrapText="1"/>
    </xf>
    <xf numFmtId="0" fontId="11" fillId="80" borderId="81" xfId="0" applyFont="1" applyFill="1" applyBorder="1" applyAlignment="1">
      <alignment horizontal="center" vertical="center" wrapText="1"/>
    </xf>
    <xf numFmtId="0" fontId="11" fillId="80" borderId="40" xfId="0" applyFont="1" applyFill="1" applyBorder="1" applyAlignment="1">
      <alignment horizontal="center" vertical="center" wrapText="1"/>
    </xf>
    <xf numFmtId="0" fontId="86" fillId="80" borderId="1" xfId="0" applyFont="1" applyFill="1" applyBorder="1"/>
    <xf numFmtId="2" fontId="98" fillId="33" borderId="40" xfId="0" applyNumberFormat="1" applyFont="1" applyFill="1" applyBorder="1" applyAlignment="1">
      <alignment horizontal="center" vertical="center" wrapText="1"/>
    </xf>
    <xf numFmtId="167" fontId="11" fillId="90" borderId="40" xfId="0" applyNumberFormat="1" applyFont="1" applyFill="1" applyBorder="1" applyAlignment="1">
      <alignment horizontal="center" wrapText="1"/>
    </xf>
    <xf numFmtId="0" fontId="95" fillId="80" borderId="1" xfId="0" applyFont="1" applyFill="1" applyBorder="1"/>
    <xf numFmtId="167" fontId="11" fillId="80" borderId="40" xfId="0" applyNumberFormat="1" applyFont="1" applyFill="1" applyBorder="1" applyAlignment="1">
      <alignment horizontal="center" wrapText="1"/>
    </xf>
    <xf numFmtId="0" fontId="61" fillId="80" borderId="1" xfId="0" applyFont="1" applyFill="1" applyBorder="1" applyAlignment="1">
      <alignment horizontal="center" vertical="center" wrapText="1"/>
    </xf>
    <xf numFmtId="0" fontId="11" fillId="80" borderId="86" xfId="0" applyFont="1" applyFill="1" applyBorder="1" applyAlignment="1">
      <alignment vertical="center" wrapText="1"/>
    </xf>
    <xf numFmtId="2" fontId="49" fillId="90" borderId="75" xfId="0" applyNumberFormat="1" applyFont="1" applyFill="1" applyBorder="1" applyAlignment="1">
      <alignment horizontal="center" vertical="center" wrapText="1"/>
    </xf>
    <xf numFmtId="167" fontId="11" fillId="80" borderId="39" xfId="0" applyNumberFormat="1" applyFont="1" applyFill="1" applyBorder="1" applyAlignment="1">
      <alignment horizontal="center" vertical="center" wrapText="1"/>
    </xf>
    <xf numFmtId="0" fontId="61" fillId="80" borderId="81" xfId="0" applyFont="1" applyFill="1" applyBorder="1" applyAlignment="1">
      <alignment horizontal="center" vertical="center" wrapText="1"/>
    </xf>
    <xf numFmtId="0" fontId="98" fillId="80" borderId="39" xfId="0" applyFont="1" applyFill="1" applyBorder="1" applyAlignment="1">
      <alignment horizontal="center" vertical="center" wrapText="1"/>
    </xf>
    <xf numFmtId="0" fontId="98" fillId="80" borderId="1" xfId="0" applyFont="1" applyFill="1" applyBorder="1" applyAlignment="1">
      <alignment horizontal="center" vertical="center" wrapText="1"/>
    </xf>
    <xf numFmtId="0" fontId="98" fillId="80" borderId="37" xfId="0" applyFont="1" applyFill="1" applyBorder="1" applyAlignment="1">
      <alignment horizontal="center" vertical="center" wrapText="1"/>
    </xf>
    <xf numFmtId="0" fontId="11" fillId="80" borderId="37" xfId="0" applyFont="1" applyFill="1" applyBorder="1" applyAlignment="1">
      <alignment horizontal="center" vertical="center" wrapText="1"/>
    </xf>
    <xf numFmtId="0" fontId="95" fillId="80" borderId="1" xfId="0" applyFont="1" applyFill="1" applyBorder="1" applyAlignment="1">
      <alignment horizontal="center" vertical="center"/>
    </xf>
    <xf numFmtId="0" fontId="95" fillId="80" borderId="28" xfId="0" applyFont="1" applyFill="1" applyBorder="1"/>
    <xf numFmtId="0" fontId="11" fillId="80" borderId="83" xfId="0" applyFont="1" applyFill="1" applyBorder="1" applyAlignment="1">
      <alignment vertical="center" wrapText="1"/>
    </xf>
    <xf numFmtId="0" fontId="11" fillId="80" borderId="90" xfId="0" applyFont="1" applyFill="1" applyBorder="1" applyAlignment="1">
      <alignment vertical="center" wrapText="1"/>
    </xf>
    <xf numFmtId="0" fontId="95" fillId="80" borderId="93" xfId="0" applyFont="1" applyFill="1" applyBorder="1"/>
    <xf numFmtId="0" fontId="95" fillId="80" borderId="96" xfId="0" applyFont="1" applyFill="1" applyBorder="1"/>
    <xf numFmtId="0" fontId="49" fillId="37" borderId="0" xfId="0" applyFont="1" applyFill="1" applyAlignment="1">
      <alignment vertical="center" wrapText="1"/>
    </xf>
    <xf numFmtId="0" fontId="102" fillId="0" borderId="0" xfId="0" applyFont="1" applyAlignment="1">
      <alignment vertical="center"/>
    </xf>
    <xf numFmtId="0" fontId="103" fillId="0" borderId="0" xfId="0" applyFont="1" applyAlignment="1">
      <alignment vertical="center"/>
    </xf>
    <xf numFmtId="0" fontId="103" fillId="0" borderId="0" xfId="0" applyFont="1"/>
    <xf numFmtId="0" fontId="11" fillId="82" borderId="80" xfId="0" applyFont="1" applyFill="1" applyBorder="1" applyAlignment="1">
      <alignment vertical="center" wrapText="1"/>
    </xf>
    <xf numFmtId="1" fontId="11" fillId="82" borderId="1" xfId="968" applyNumberFormat="1" applyFont="1" applyFill="1" applyBorder="1" applyAlignment="1">
      <alignment horizontal="center" vertical="center" wrapText="1"/>
    </xf>
    <xf numFmtId="1" fontId="11" fillId="37" borderId="1" xfId="968" applyNumberFormat="1" applyFont="1" applyFill="1" applyBorder="1" applyAlignment="1">
      <alignment horizontal="center" vertical="center" wrapText="1"/>
    </xf>
    <xf numFmtId="1" fontId="11" fillId="33" borderId="1" xfId="968" applyNumberFormat="1" applyFont="1" applyFill="1" applyBorder="1" applyAlignment="1">
      <alignment horizontal="center" vertical="center" wrapText="1"/>
    </xf>
    <xf numFmtId="2" fontId="88" fillId="82" borderId="39" xfId="0" applyNumberFormat="1" applyFont="1" applyFill="1" applyBorder="1" applyAlignment="1">
      <alignment horizontal="center" vertical="center" wrapText="1"/>
    </xf>
    <xf numFmtId="0" fontId="11" fillId="82" borderId="1" xfId="0" applyFont="1" applyFill="1" applyBorder="1" applyAlignment="1">
      <alignment horizontal="center" vertical="center" wrapText="1"/>
    </xf>
    <xf numFmtId="0" fontId="11" fillId="82" borderId="81" xfId="0" applyFont="1" applyFill="1" applyBorder="1" applyAlignment="1">
      <alignment horizontal="center" vertical="center" wrapText="1"/>
    </xf>
    <xf numFmtId="2" fontId="98" fillId="82" borderId="1" xfId="0" applyNumberFormat="1" applyFont="1" applyFill="1" applyBorder="1" applyAlignment="1">
      <alignment horizontal="center" vertical="center" wrapText="1"/>
    </xf>
    <xf numFmtId="0" fontId="88" fillId="82" borderId="39" xfId="0" applyFont="1" applyFill="1" applyBorder="1" applyAlignment="1">
      <alignment horizontal="center" vertical="center" wrapText="1"/>
    </xf>
    <xf numFmtId="0" fontId="62" fillId="83" borderId="78" xfId="0" applyFont="1" applyFill="1" applyBorder="1" applyAlignment="1">
      <alignment horizontal="center" vertical="center" wrapText="1"/>
    </xf>
    <xf numFmtId="0" fontId="62" fillId="83" borderId="82" xfId="0" applyFont="1" applyFill="1" applyBorder="1" applyAlignment="1">
      <alignment horizontal="center" vertical="center" wrapText="1"/>
    </xf>
    <xf numFmtId="0" fontId="62" fillId="83" borderId="77" xfId="0" applyFont="1" applyFill="1" applyBorder="1" applyAlignment="1">
      <alignment horizontal="center" vertical="center" wrapText="1"/>
    </xf>
    <xf numFmtId="0" fontId="62" fillId="83" borderId="23" xfId="0" applyFont="1" applyFill="1" applyBorder="1" applyAlignment="1">
      <alignment horizontal="center" vertical="center" wrapText="1"/>
    </xf>
    <xf numFmtId="0" fontId="86" fillId="0" borderId="92" xfId="0" applyFont="1" applyBorder="1"/>
    <xf numFmtId="1" fontId="88" fillId="82" borderId="39" xfId="0" applyNumberFormat="1" applyFont="1" applyFill="1" applyBorder="1" applyAlignment="1">
      <alignment horizontal="center" vertical="center" wrapText="1"/>
    </xf>
    <xf numFmtId="9" fontId="88" fillId="82" borderId="1" xfId="0" applyNumberFormat="1" applyFont="1" applyFill="1" applyBorder="1" applyAlignment="1">
      <alignment horizontal="center" vertical="center" wrapText="1"/>
    </xf>
    <xf numFmtId="0" fontId="88" fillId="82" borderId="1" xfId="0" applyFont="1" applyFill="1" applyBorder="1" applyAlignment="1">
      <alignment horizontal="center" vertical="center" wrapText="1"/>
    </xf>
    <xf numFmtId="9" fontId="105" fillId="0" borderId="23" xfId="0" applyNumberFormat="1" applyFont="1" applyBorder="1" applyAlignment="1">
      <alignment horizontal="center" vertical="center"/>
    </xf>
    <xf numFmtId="9" fontId="105" fillId="0" borderId="24" xfId="0" applyNumberFormat="1" applyFont="1" applyBorder="1" applyAlignment="1">
      <alignment horizontal="center" vertical="center"/>
    </xf>
    <xf numFmtId="9" fontId="105" fillId="0" borderId="77" xfId="0" applyNumberFormat="1" applyFont="1" applyBorder="1" applyAlignment="1">
      <alignment horizontal="center" vertical="center"/>
    </xf>
    <xf numFmtId="9" fontId="105" fillId="0" borderId="25" xfId="0" applyNumberFormat="1" applyFont="1" applyBorder="1" applyAlignment="1">
      <alignment horizontal="center" vertical="center"/>
    </xf>
    <xf numFmtId="0" fontId="11" fillId="82" borderId="40" xfId="0" applyFont="1" applyFill="1" applyBorder="1" applyAlignment="1">
      <alignment horizontal="center" vertical="center" wrapText="1"/>
    </xf>
    <xf numFmtId="0" fontId="86" fillId="82" borderId="1" xfId="0" applyFont="1" applyFill="1" applyBorder="1"/>
    <xf numFmtId="0" fontId="86" fillId="0" borderId="81" xfId="0" applyFont="1" applyBorder="1"/>
    <xf numFmtId="0" fontId="62" fillId="83" borderId="94" xfId="0" applyFont="1" applyFill="1" applyBorder="1" applyAlignment="1">
      <alignment horizontal="center" vertical="center" wrapText="1"/>
    </xf>
    <xf numFmtId="0" fontId="62" fillId="83" borderId="92" xfId="0" applyFont="1" applyFill="1" applyBorder="1" applyAlignment="1">
      <alignment horizontal="center" vertical="center" wrapText="1"/>
    </xf>
    <xf numFmtId="165" fontId="98" fillId="33" borderId="39" xfId="0" applyNumberFormat="1" applyFont="1" applyFill="1" applyBorder="1" applyAlignment="1">
      <alignment horizontal="center" vertical="center" wrapText="1"/>
    </xf>
    <xf numFmtId="1" fontId="98" fillId="0" borderId="39" xfId="0" applyNumberFormat="1" applyFont="1" applyBorder="1" applyAlignment="1">
      <alignment horizontal="center" vertical="center" wrapText="1"/>
    </xf>
    <xf numFmtId="1" fontId="98" fillId="33" borderId="39" xfId="0" applyNumberFormat="1" applyFont="1" applyFill="1" applyBorder="1" applyAlignment="1">
      <alignment horizontal="center" vertical="center" wrapText="1"/>
    </xf>
    <xf numFmtId="1" fontId="88" fillId="33" borderId="1" xfId="0" applyNumberFormat="1" applyFont="1" applyFill="1" applyBorder="1" applyAlignment="1">
      <alignment horizontal="center" vertical="center"/>
    </xf>
    <xf numFmtId="1" fontId="88" fillId="33" borderId="37" xfId="0" applyNumberFormat="1" applyFont="1" applyFill="1" applyBorder="1" applyAlignment="1">
      <alignment horizontal="center" vertical="center"/>
    </xf>
    <xf numFmtId="2" fontId="11" fillId="33" borderId="40" xfId="0" applyNumberFormat="1" applyFont="1" applyFill="1" applyBorder="1" applyAlignment="1">
      <alignment horizontal="center" wrapText="1"/>
    </xf>
    <xf numFmtId="2" fontId="11" fillId="80" borderId="40" xfId="0" applyNumberFormat="1" applyFont="1" applyFill="1" applyBorder="1" applyAlignment="1">
      <alignment horizontal="center" wrapText="1"/>
    </xf>
    <xf numFmtId="0" fontId="11" fillId="80" borderId="39" xfId="0" applyFont="1" applyFill="1" applyBorder="1" applyAlignment="1">
      <alignment horizontal="center" vertical="center" wrapText="1"/>
    </xf>
    <xf numFmtId="0" fontId="86" fillId="80" borderId="81" xfId="0" applyFont="1" applyFill="1" applyBorder="1"/>
    <xf numFmtId="0" fontId="11" fillId="80" borderId="1" xfId="0" applyFont="1" applyFill="1" applyBorder="1" applyAlignment="1">
      <alignment horizontal="center" vertical="center"/>
    </xf>
    <xf numFmtId="0" fontId="11" fillId="80" borderId="37" xfId="0" applyFont="1" applyFill="1" applyBorder="1" applyAlignment="1">
      <alignment horizontal="center" vertical="center"/>
    </xf>
    <xf numFmtId="0" fontId="62" fillId="80" borderId="18" xfId="0" applyFont="1" applyFill="1" applyBorder="1" applyAlignment="1">
      <alignment vertical="center" wrapText="1"/>
    </xf>
    <xf numFmtId="0" fontId="62" fillId="80" borderId="78" xfId="0" applyFont="1" applyFill="1" applyBorder="1" applyAlignment="1">
      <alignment horizontal="center" vertical="center" wrapText="1"/>
    </xf>
    <xf numFmtId="0" fontId="62" fillId="80" borderId="82" xfId="0" applyFont="1" applyFill="1" applyBorder="1" applyAlignment="1">
      <alignment horizontal="center" vertical="center" wrapText="1"/>
    </xf>
    <xf numFmtId="0" fontId="62" fillId="80" borderId="77" xfId="0" applyFont="1" applyFill="1" applyBorder="1" applyAlignment="1">
      <alignment horizontal="center" vertical="center" wrapText="1"/>
    </xf>
    <xf numFmtId="0" fontId="62" fillId="80" borderId="23" xfId="0" applyFont="1" applyFill="1" applyBorder="1" applyAlignment="1">
      <alignment horizontal="center" vertical="center" wrapText="1"/>
    </xf>
    <xf numFmtId="0" fontId="86" fillId="80" borderId="82" xfId="0" applyFont="1" applyFill="1" applyBorder="1"/>
    <xf numFmtId="0" fontId="86" fillId="80" borderId="92" xfId="0" applyFont="1" applyFill="1" applyBorder="1"/>
    <xf numFmtId="167" fontId="11" fillId="80" borderId="74" xfId="0" applyNumberFormat="1" applyFont="1" applyFill="1" applyBorder="1" applyAlignment="1">
      <alignment horizontal="center" vertical="center" wrapText="1"/>
    </xf>
    <xf numFmtId="0" fontId="11" fillId="80" borderId="76" xfId="0" applyFont="1" applyFill="1" applyBorder="1" applyAlignment="1">
      <alignment horizontal="center" vertical="center" wrapText="1"/>
    </xf>
    <xf numFmtId="1" fontId="47" fillId="81" borderId="0" xfId="0" applyNumberFormat="1" applyFont="1" applyFill="1"/>
    <xf numFmtId="0" fontId="86" fillId="80" borderId="28" xfId="0" applyFont="1" applyFill="1" applyBorder="1"/>
    <xf numFmtId="167" fontId="11" fillId="80" borderId="32" xfId="0" applyNumberFormat="1" applyFont="1" applyFill="1" applyBorder="1" applyAlignment="1">
      <alignment horizontal="center" vertical="center" wrapText="1"/>
    </xf>
    <xf numFmtId="0" fontId="86" fillId="80" borderId="93" xfId="0" applyFont="1" applyFill="1" applyBorder="1"/>
    <xf numFmtId="0" fontId="86" fillId="80" borderId="96" xfId="0" applyFont="1" applyFill="1" applyBorder="1"/>
    <xf numFmtId="0" fontId="95" fillId="37" borderId="0" xfId="0" applyFont="1" applyFill="1"/>
    <xf numFmtId="0" fontId="88" fillId="33" borderId="31" xfId="0" applyFont="1" applyFill="1" applyBorder="1" applyAlignment="1">
      <alignment horizontal="center" vertical="center" wrapText="1"/>
    </xf>
    <xf numFmtId="167" fontId="98" fillId="83" borderId="39" xfId="0" applyNumberFormat="1" applyFont="1" applyFill="1" applyBorder="1" applyAlignment="1">
      <alignment horizontal="center" vertical="center" wrapText="1"/>
    </xf>
    <xf numFmtId="0" fontId="95" fillId="0" borderId="0" xfId="0" applyFont="1"/>
    <xf numFmtId="0" fontId="45" fillId="0" borderId="1" xfId="0" quotePrefix="1" applyFont="1" applyBorder="1" applyAlignment="1">
      <alignment horizontal="center" vertical="center"/>
    </xf>
    <xf numFmtId="0" fontId="45" fillId="0" borderId="82" xfId="0" applyFont="1" applyBorder="1" applyAlignment="1">
      <alignment horizontal="center" vertical="center"/>
    </xf>
    <xf numFmtId="0" fontId="45" fillId="0" borderId="23" xfId="0" applyFont="1" applyBorder="1" applyAlignment="1">
      <alignment horizontal="center"/>
    </xf>
    <xf numFmtId="0" fontId="45" fillId="0" borderId="25" xfId="0" applyFont="1" applyBorder="1" applyAlignment="1">
      <alignment horizontal="center"/>
    </xf>
    <xf numFmtId="2" fontId="11" fillId="84" borderId="39" xfId="0" applyNumberFormat="1" applyFont="1" applyFill="1" applyBorder="1" applyAlignment="1">
      <alignment horizontal="center" vertical="center" wrapText="1"/>
    </xf>
    <xf numFmtId="0" fontId="46" fillId="37" borderId="0" xfId="0" applyFont="1" applyFill="1"/>
    <xf numFmtId="0" fontId="79" fillId="37" borderId="0" xfId="0" applyFont="1" applyFill="1" applyAlignment="1">
      <alignment vertical="top"/>
    </xf>
    <xf numFmtId="3" fontId="67" fillId="37" borderId="0" xfId="1257"/>
    <xf numFmtId="0" fontId="0" fillId="37" borderId="0" xfId="0" applyFill="1" applyAlignment="1">
      <alignment horizontal="right"/>
    </xf>
    <xf numFmtId="3" fontId="46" fillId="0" borderId="0" xfId="0" applyNumberFormat="1" applyFont="1"/>
    <xf numFmtId="1" fontId="11" fillId="84" borderId="1" xfId="968" applyNumberFormat="1" applyFont="1" applyFill="1" applyBorder="1" applyAlignment="1">
      <alignment horizontal="center" vertical="center" wrapText="1"/>
    </xf>
    <xf numFmtId="1" fontId="11" fillId="84" borderId="0" xfId="0" applyNumberFormat="1" applyFont="1" applyFill="1" applyAlignment="1">
      <alignment horizontal="center"/>
    </xf>
    <xf numFmtId="1" fontId="11" fillId="0" borderId="1" xfId="968" applyNumberFormat="1" applyFont="1" applyFill="1" applyBorder="1" applyAlignment="1">
      <alignment horizontal="center" vertical="center" wrapText="1"/>
    </xf>
    <xf numFmtId="0" fontId="61" fillId="83" borderId="39" xfId="0" applyFont="1" applyFill="1" applyBorder="1" applyAlignment="1">
      <alignment horizontal="center" vertical="center" wrapText="1"/>
    </xf>
    <xf numFmtId="0" fontId="11" fillId="84" borderId="39" xfId="0" applyFont="1" applyFill="1" applyBorder="1" applyAlignment="1">
      <alignment horizontal="center" vertical="center" wrapText="1"/>
    </xf>
    <xf numFmtId="167" fontId="98" fillId="84" borderId="32" xfId="0" applyNumberFormat="1" applyFont="1" applyFill="1" applyBorder="1" applyAlignment="1">
      <alignment horizontal="center" vertical="center" wrapText="1"/>
    </xf>
    <xf numFmtId="167" fontId="98" fillId="84" borderId="93" xfId="0" applyNumberFormat="1" applyFont="1" applyFill="1" applyBorder="1" applyAlignment="1">
      <alignment horizontal="center" vertical="center" wrapText="1"/>
    </xf>
    <xf numFmtId="167" fontId="98" fillId="84" borderId="95" xfId="0" applyNumberFormat="1" applyFont="1" applyFill="1" applyBorder="1" applyAlignment="1">
      <alignment horizontal="center" vertical="center" wrapText="1"/>
    </xf>
    <xf numFmtId="2" fontId="98" fillId="33" borderId="26" xfId="0" applyNumberFormat="1" applyFont="1" applyFill="1" applyBorder="1" applyAlignment="1">
      <alignment horizontal="center" vertical="center" wrapText="1"/>
    </xf>
    <xf numFmtId="2" fontId="98" fillId="33" borderId="42" xfId="0" applyNumberFormat="1" applyFont="1" applyFill="1" applyBorder="1" applyAlignment="1">
      <alignment horizontal="center" vertical="center" wrapText="1"/>
    </xf>
    <xf numFmtId="0" fontId="4" fillId="37" borderId="0" xfId="0" applyFont="1" applyFill="1"/>
    <xf numFmtId="0" fontId="79" fillId="91" borderId="0" xfId="0" applyFont="1" applyFill="1" applyAlignment="1">
      <alignment horizontal="right"/>
    </xf>
    <xf numFmtId="0" fontId="79" fillId="91" borderId="0" xfId="0" applyFont="1" applyFill="1"/>
    <xf numFmtId="0" fontId="79" fillId="91" borderId="0" xfId="0" applyFont="1" applyFill="1" applyAlignment="1">
      <alignment vertical="top"/>
    </xf>
    <xf numFmtId="0" fontId="83" fillId="91" borderId="0" xfId="0" applyFont="1" applyFill="1" applyAlignment="1">
      <alignment horizontal="right"/>
    </xf>
    <xf numFmtId="0" fontId="4" fillId="91" borderId="0" xfId="0" applyFont="1" applyFill="1" applyAlignment="1">
      <alignment horizontal="right"/>
    </xf>
    <xf numFmtId="2" fontId="11" fillId="84" borderId="40" xfId="0" applyNumberFormat="1" applyFont="1" applyFill="1" applyBorder="1" applyAlignment="1">
      <alignment horizontal="center" wrapText="1"/>
    </xf>
    <xf numFmtId="0" fontId="79" fillId="37" borderId="0" xfId="0" applyFont="1" applyFill="1" applyAlignment="1">
      <alignment horizontal="right"/>
    </xf>
    <xf numFmtId="0" fontId="107" fillId="83" borderId="0" xfId="0" applyFont="1" applyFill="1" applyAlignment="1">
      <alignment vertical="center" wrapText="1"/>
    </xf>
    <xf numFmtId="0" fontId="11" fillId="37" borderId="0" xfId="0" applyFont="1" applyFill="1" applyAlignment="1">
      <alignment vertical="top"/>
    </xf>
    <xf numFmtId="0" fontId="11" fillId="37" borderId="0" xfId="0" applyFont="1" applyFill="1" applyAlignment="1">
      <alignment vertical="top" wrapText="1"/>
    </xf>
    <xf numFmtId="0" fontId="11" fillId="37" borderId="0" xfId="0" applyFont="1" applyFill="1"/>
    <xf numFmtId="0" fontId="107" fillId="37" borderId="0" xfId="0" applyFont="1" applyFill="1" applyAlignment="1">
      <alignment horizontal="right"/>
    </xf>
    <xf numFmtId="0" fontId="95" fillId="37" borderId="0" xfId="0" applyFont="1" applyFill="1" applyAlignment="1">
      <alignment horizontal="right"/>
    </xf>
    <xf numFmtId="0" fontId="95" fillId="0" borderId="0" xfId="0" applyFont="1" applyAlignment="1">
      <alignment horizontal="right"/>
    </xf>
    <xf numFmtId="0" fontId="4" fillId="0" borderId="0" xfId="0" applyFont="1"/>
    <xf numFmtId="0" fontId="102" fillId="37" borderId="0" xfId="0" applyFont="1" applyFill="1" applyAlignment="1">
      <alignment horizontal="right"/>
    </xf>
    <xf numFmtId="0" fontId="4" fillId="37" borderId="0" xfId="0" applyFont="1" applyFill="1" applyAlignment="1">
      <alignment horizontal="right"/>
    </xf>
    <xf numFmtId="0" fontId="59" fillId="37" borderId="0" xfId="0" applyFont="1" applyFill="1"/>
    <xf numFmtId="1" fontId="11" fillId="88" borderId="1" xfId="968" applyNumberFormat="1" applyFont="1" applyFill="1" applyBorder="1" applyAlignment="1">
      <alignment horizontal="center" vertical="center" wrapText="1"/>
    </xf>
    <xf numFmtId="1" fontId="11" fillId="88" borderId="0" xfId="0" applyNumberFormat="1" applyFont="1" applyFill="1" applyAlignment="1">
      <alignment horizontal="center"/>
    </xf>
    <xf numFmtId="2" fontId="11" fillId="88" borderId="39" xfId="0" applyNumberFormat="1" applyFont="1" applyFill="1" applyBorder="1" applyAlignment="1">
      <alignment horizontal="center" vertical="center" wrapText="1"/>
    </xf>
    <xf numFmtId="0" fontId="11" fillId="88" borderId="39" xfId="0" applyFont="1" applyFill="1" applyBorder="1" applyAlignment="1">
      <alignment horizontal="center" vertical="center" wrapText="1"/>
    </xf>
    <xf numFmtId="0" fontId="71" fillId="0" borderId="23" xfId="0" applyFont="1" applyBorder="1"/>
    <xf numFmtId="0" fontId="0" fillId="0" borderId="25" xfId="0" applyBorder="1"/>
    <xf numFmtId="2" fontId="88" fillId="84" borderId="39" xfId="0" applyNumberFormat="1" applyFont="1" applyFill="1" applyBorder="1" applyAlignment="1">
      <alignment horizontal="center" vertical="center" wrapText="1"/>
    </xf>
    <xf numFmtId="167" fontId="88" fillId="84" borderId="39" xfId="0" applyNumberFormat="1" applyFont="1" applyFill="1" applyBorder="1" applyAlignment="1">
      <alignment horizontal="center" vertical="center" wrapText="1"/>
    </xf>
    <xf numFmtId="0" fontId="109" fillId="0" borderId="0" xfId="0" applyFont="1"/>
    <xf numFmtId="0" fontId="79" fillId="37" borderId="0" xfId="0" applyFont="1" applyFill="1" applyAlignment="1">
      <alignment horizontal="right" vertical="center"/>
    </xf>
    <xf numFmtId="0" fontId="83" fillId="37" borderId="0" xfId="0" applyFont="1" applyFill="1" applyAlignment="1">
      <alignment horizontal="right" vertical="center"/>
    </xf>
    <xf numFmtId="0" fontId="4" fillId="37" borderId="0" xfId="0" applyFont="1" applyFill="1" applyAlignment="1">
      <alignment horizontal="right" vertical="center"/>
    </xf>
    <xf numFmtId="2" fontId="11" fillId="88" borderId="40" xfId="0" applyNumberFormat="1" applyFont="1" applyFill="1" applyBorder="1" applyAlignment="1">
      <alignment horizontal="center" wrapText="1"/>
    </xf>
    <xf numFmtId="0" fontId="11" fillId="37" borderId="40" xfId="0" applyFont="1" applyFill="1" applyBorder="1" applyAlignment="1">
      <alignment horizontal="center" wrapText="1"/>
    </xf>
    <xf numFmtId="167" fontId="98" fillId="88" borderId="32" xfId="0" applyNumberFormat="1" applyFont="1" applyFill="1" applyBorder="1" applyAlignment="1">
      <alignment horizontal="center" vertical="center" wrapText="1"/>
    </xf>
    <xf numFmtId="167" fontId="98" fillId="88" borderId="93" xfId="0" applyNumberFormat="1" applyFont="1" applyFill="1" applyBorder="1" applyAlignment="1">
      <alignment horizontal="center" vertical="center" wrapText="1"/>
    </xf>
    <xf numFmtId="167" fontId="98" fillId="88" borderId="95" xfId="0" applyNumberFormat="1" applyFont="1" applyFill="1" applyBorder="1" applyAlignment="1">
      <alignment horizontal="center" vertical="center" wrapText="1"/>
    </xf>
    <xf numFmtId="0" fontId="95" fillId="88" borderId="1" xfId="0" applyFont="1" applyFill="1" applyBorder="1" applyAlignment="1">
      <alignment horizontal="left" vertical="center"/>
    </xf>
    <xf numFmtId="1" fontId="88" fillId="84" borderId="39" xfId="0" applyNumberFormat="1" applyFont="1" applyFill="1" applyBorder="1" applyAlignment="1">
      <alignment horizontal="center" vertical="center" wrapText="1"/>
    </xf>
    <xf numFmtId="1" fontId="88" fillId="88" borderId="39" xfId="0" applyNumberFormat="1" applyFont="1" applyFill="1" applyBorder="1" applyAlignment="1">
      <alignment horizontal="center" vertical="center" wrapText="1"/>
    </xf>
    <xf numFmtId="0" fontId="50" fillId="0" borderId="0" xfId="0" applyFont="1" applyAlignment="1">
      <alignment wrapText="1"/>
    </xf>
    <xf numFmtId="0" fontId="50" fillId="0" borderId="0" xfId="0" applyFont="1" applyAlignment="1">
      <alignment horizontal="center" wrapText="1"/>
    </xf>
    <xf numFmtId="164" fontId="54" fillId="87" borderId="1" xfId="0" applyNumberFormat="1" applyFont="1" applyFill="1" applyBorder="1"/>
    <xf numFmtId="0" fontId="111" fillId="0" borderId="0" xfId="0" applyFont="1"/>
    <xf numFmtId="0" fontId="112" fillId="0" borderId="0" xfId="0" applyFont="1" applyAlignment="1">
      <alignment wrapText="1"/>
    </xf>
    <xf numFmtId="0" fontId="50" fillId="0" borderId="0" xfId="0" applyFont="1" applyAlignment="1">
      <alignment horizontal="center" wrapText="1"/>
    </xf>
    <xf numFmtId="0" fontId="50" fillId="0" borderId="0" xfId="0" applyFont="1" applyAlignment="1">
      <alignment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31" xfId="0" applyFont="1" applyFill="1" applyBorder="1" applyAlignment="1">
      <alignment horizontal="center" vertical="center" wrapText="1"/>
    </xf>
    <xf numFmtId="0" fontId="54" fillId="0" borderId="1" xfId="0" applyFont="1" applyFill="1" applyBorder="1" applyAlignment="1">
      <alignment horizontal="left"/>
    </xf>
    <xf numFmtId="2" fontId="54" fillId="0" borderId="26" xfId="0" applyNumberFormat="1" applyFont="1" applyFill="1" applyBorder="1" applyAlignment="1">
      <alignment horizontal="center"/>
    </xf>
    <xf numFmtId="0" fontId="15" fillId="3" borderId="0" xfId="3" applyBorder="1"/>
    <xf numFmtId="172" fontId="0" fillId="0" borderId="36" xfId="0" applyNumberFormat="1" applyBorder="1"/>
    <xf numFmtId="0" fontId="0" fillId="0" borderId="36" xfId="0" applyBorder="1" applyAlignment="1">
      <alignment horizontal="left"/>
    </xf>
    <xf numFmtId="0" fontId="77" fillId="0" borderId="36" xfId="0" applyFont="1" applyFill="1" applyBorder="1" applyAlignment="1">
      <alignment horizontal="right"/>
    </xf>
    <xf numFmtId="0" fontId="8" fillId="0" borderId="36" xfId="0" applyFont="1" applyFill="1" applyBorder="1" applyAlignment="1">
      <alignment horizontal="center"/>
    </xf>
    <xf numFmtId="0" fontId="15" fillId="3" borderId="36" xfId="3" applyBorder="1"/>
    <xf numFmtId="0" fontId="54" fillId="0" borderId="28" xfId="0" applyFont="1" applyFill="1" applyBorder="1" applyAlignment="1">
      <alignment horizontal="center"/>
    </xf>
    <xf numFmtId="172" fontId="0" fillId="0" borderId="19" xfId="0" applyNumberFormat="1" applyBorder="1"/>
    <xf numFmtId="0" fontId="0" fillId="0" borderId="19" xfId="0" applyBorder="1" applyAlignment="1">
      <alignment horizontal="left"/>
    </xf>
    <xf numFmtId="0" fontId="8" fillId="0" borderId="19" xfId="0" applyFont="1" applyFill="1" applyBorder="1" applyAlignment="1">
      <alignment horizontal="center"/>
    </xf>
    <xf numFmtId="0" fontId="15" fillId="3" borderId="19" xfId="3" applyBorder="1"/>
    <xf numFmtId="0" fontId="0" fillId="0" borderId="0" xfId="0" quotePrefix="1"/>
    <xf numFmtId="0" fontId="0" fillId="0" borderId="19" xfId="0" applyFill="1" applyBorder="1"/>
    <xf numFmtId="0" fontId="0" fillId="0" borderId="36" xfId="0" applyFill="1" applyBorder="1"/>
    <xf numFmtId="0" fontId="8" fillId="0" borderId="40" xfId="0" applyFont="1" applyFill="1" applyBorder="1" applyAlignment="1">
      <alignment horizontal="center"/>
    </xf>
    <xf numFmtId="0" fontId="8" fillId="34" borderId="32" xfId="0" applyFont="1" applyFill="1" applyBorder="1" applyAlignment="1">
      <alignment horizontal="left" vertical="center" wrapText="1"/>
    </xf>
    <xf numFmtId="0" fontId="0" fillId="0" borderId="31" xfId="0" applyBorder="1"/>
    <xf numFmtId="0" fontId="0" fillId="0" borderId="31" xfId="0" applyFill="1" applyBorder="1"/>
    <xf numFmtId="0" fontId="0" fillId="0" borderId="70" xfId="0" applyFill="1" applyBorder="1"/>
    <xf numFmtId="0" fontId="0" fillId="0" borderId="40" xfId="0" applyFill="1" applyBorder="1"/>
    <xf numFmtId="0" fontId="8" fillId="0" borderId="70" xfId="0" applyFont="1" applyFill="1" applyBorder="1" applyAlignment="1">
      <alignment horizontal="center"/>
    </xf>
    <xf numFmtId="0" fontId="0" fillId="0" borderId="70" xfId="0" applyBorder="1" applyAlignment="1">
      <alignment horizontal="left"/>
    </xf>
    <xf numFmtId="0" fontId="77" fillId="0" borderId="42" xfId="0" applyFont="1" applyFill="1" applyBorder="1" applyAlignment="1">
      <alignment horizontal="right"/>
    </xf>
    <xf numFmtId="165" fontId="54" fillId="0" borderId="1" xfId="0" applyNumberFormat="1" applyFont="1" applyFill="1" applyBorder="1" applyAlignment="1">
      <alignment horizontal="center"/>
    </xf>
    <xf numFmtId="165" fontId="54" fillId="0" borderId="28" xfId="0" applyNumberFormat="1" applyFont="1" applyFill="1" applyBorder="1" applyAlignment="1">
      <alignment horizontal="center"/>
    </xf>
    <xf numFmtId="165" fontId="54" fillId="0" borderId="26" xfId="0" applyNumberFormat="1" applyFont="1" applyFill="1" applyBorder="1" applyAlignment="1">
      <alignment horizontal="center"/>
    </xf>
    <xf numFmtId="0" fontId="0" fillId="0" borderId="12" xfId="0" applyBorder="1" applyAlignment="1">
      <alignment horizontal="center"/>
    </xf>
    <xf numFmtId="0" fontId="0" fillId="0" borderId="30" xfId="0" applyBorder="1" applyAlignment="1">
      <alignment horizontal="center"/>
    </xf>
    <xf numFmtId="0" fontId="0" fillId="0" borderId="0" xfId="0" applyAlignment="1">
      <alignment horizontal="right"/>
    </xf>
    <xf numFmtId="0" fontId="0" fillId="32" borderId="1" xfId="0" applyFill="1" applyBorder="1"/>
    <xf numFmtId="0" fontId="0" fillId="32" borderId="1" xfId="0" applyFont="1" applyFill="1" applyBorder="1"/>
    <xf numFmtId="9" fontId="40" fillId="0" borderId="0" xfId="968" applyFont="1" applyFill="1"/>
    <xf numFmtId="172" fontId="0" fillId="0" borderId="15" xfId="0" applyNumberFormat="1" applyBorder="1"/>
    <xf numFmtId="0" fontId="113" fillId="83" borderId="41" xfId="0" applyFont="1" applyFill="1" applyBorder="1" applyAlignment="1">
      <alignment vertical="center" wrapText="1"/>
    </xf>
    <xf numFmtId="0" fontId="115" fillId="83" borderId="37" xfId="0" applyFont="1" applyFill="1" applyBorder="1" applyAlignment="1">
      <alignment vertical="center" wrapText="1"/>
    </xf>
    <xf numFmtId="0" fontId="116" fillId="83" borderId="70" xfId="0" applyFont="1" applyFill="1" applyBorder="1" applyAlignment="1">
      <alignment horizontal="center" vertical="center" wrapText="1"/>
    </xf>
    <xf numFmtId="0" fontId="116" fillId="83" borderId="39" xfId="0" applyFont="1" applyFill="1" applyBorder="1" applyAlignment="1">
      <alignment vertical="center" wrapText="1"/>
    </xf>
    <xf numFmtId="0" fontId="117" fillId="83" borderId="37" xfId="0" applyFont="1" applyFill="1" applyBorder="1" applyAlignment="1">
      <alignment vertical="center" wrapText="1"/>
    </xf>
    <xf numFmtId="0" fontId="115" fillId="83" borderId="1" xfId="0" applyFont="1" applyFill="1" applyBorder="1" applyAlignment="1">
      <alignment vertical="center" wrapText="1"/>
    </xf>
    <xf numFmtId="0" fontId="115" fillId="83" borderId="1" xfId="0" applyFont="1" applyFill="1" applyBorder="1" applyAlignment="1">
      <alignment horizontal="center" vertical="center" wrapText="1"/>
    </xf>
    <xf numFmtId="49" fontId="119" fillId="83" borderId="26" xfId="0" applyNumberFormat="1" applyFont="1" applyFill="1" applyBorder="1" applyAlignment="1">
      <alignment vertical="center" wrapText="1"/>
    </xf>
    <xf numFmtId="0" fontId="117" fillId="83" borderId="26" xfId="0" applyFont="1" applyFill="1" applyBorder="1" applyAlignment="1">
      <alignment vertical="center" wrapText="1"/>
    </xf>
    <xf numFmtId="0" fontId="115" fillId="83" borderId="28" xfId="0" applyFont="1" applyFill="1" applyBorder="1" applyAlignment="1">
      <alignment vertical="center" wrapText="1"/>
    </xf>
    <xf numFmtId="0" fontId="115" fillId="83" borderId="28" xfId="0" applyFont="1" applyFill="1" applyBorder="1" applyAlignment="1">
      <alignment horizontal="center" vertical="center" wrapText="1"/>
    </xf>
    <xf numFmtId="0" fontId="115" fillId="83" borderId="26" xfId="0" applyFont="1" applyFill="1" applyBorder="1" applyAlignment="1">
      <alignment vertical="center" wrapText="1"/>
    </xf>
    <xf numFmtId="0" fontId="115" fillId="83" borderId="26" xfId="0" applyFont="1" applyFill="1" applyBorder="1" applyAlignment="1">
      <alignment horizontal="center" vertical="center" wrapText="1"/>
    </xf>
    <xf numFmtId="0" fontId="115" fillId="83" borderId="1" xfId="0" applyFont="1" applyFill="1" applyBorder="1" applyAlignment="1">
      <alignment horizontal="left" vertical="center" wrapText="1"/>
    </xf>
    <xf numFmtId="0" fontId="115" fillId="83" borderId="27" xfId="0" applyFont="1" applyFill="1" applyBorder="1" applyAlignment="1">
      <alignment vertical="center" wrapText="1"/>
    </xf>
    <xf numFmtId="0" fontId="117" fillId="83" borderId="1" xfId="0" applyFont="1" applyFill="1" applyBorder="1" applyAlignment="1">
      <alignment vertical="center" wrapText="1"/>
    </xf>
    <xf numFmtId="0" fontId="115" fillId="83" borderId="28" xfId="0" quotePrefix="1" applyFont="1" applyFill="1" applyBorder="1" applyAlignment="1">
      <alignment vertical="center" wrapText="1"/>
    </xf>
    <xf numFmtId="0" fontId="117" fillId="83" borderId="39" xfId="0" applyFont="1" applyFill="1" applyBorder="1" applyAlignment="1">
      <alignment vertical="center" wrapText="1"/>
    </xf>
    <xf numFmtId="0" fontId="121" fillId="83" borderId="37" xfId="0" applyFont="1" applyFill="1" applyBorder="1" applyAlignment="1">
      <alignment horizontal="center" vertical="center" wrapText="1"/>
    </xf>
    <xf numFmtId="0" fontId="121" fillId="83" borderId="1" xfId="0" applyFont="1" applyFill="1" applyBorder="1" applyAlignment="1">
      <alignment horizontal="center" vertical="center" wrapText="1"/>
    </xf>
    <xf numFmtId="0" fontId="121" fillId="83" borderId="0" xfId="0" applyFont="1" applyFill="1" applyAlignment="1">
      <alignment horizontal="center" vertical="center" wrapText="1"/>
    </xf>
    <xf numFmtId="0" fontId="121" fillId="83" borderId="37" xfId="0" applyFont="1" applyFill="1" applyBorder="1" applyAlignment="1">
      <alignment vertical="center" wrapText="1"/>
    </xf>
    <xf numFmtId="0" fontId="121" fillId="83" borderId="36" xfId="0" applyFont="1" applyFill="1" applyBorder="1" applyAlignment="1">
      <alignment vertical="center" wrapText="1"/>
    </xf>
    <xf numFmtId="0" fontId="121" fillId="83" borderId="38" xfId="0" applyFont="1" applyFill="1" applyBorder="1" applyAlignment="1">
      <alignment vertical="center" wrapText="1"/>
    </xf>
    <xf numFmtId="0" fontId="121" fillId="83" borderId="38" xfId="0" applyFont="1" applyFill="1" applyBorder="1" applyAlignment="1">
      <alignment horizontal="center" vertical="center" wrapText="1"/>
    </xf>
    <xf numFmtId="0" fontId="59" fillId="83" borderId="1" xfId="0" applyFont="1" applyFill="1" applyBorder="1" applyAlignment="1">
      <alignment horizontal="center" vertical="center" wrapText="1"/>
    </xf>
    <xf numFmtId="0" fontId="121" fillId="83" borderId="26" xfId="0" applyFont="1" applyFill="1" applyBorder="1" applyAlignment="1">
      <alignment vertical="center" wrapText="1"/>
    </xf>
    <xf numFmtId="0" fontId="59" fillId="83" borderId="28" xfId="0" applyFont="1" applyFill="1" applyBorder="1" applyAlignment="1">
      <alignment horizontal="center" vertical="center" wrapText="1"/>
    </xf>
    <xf numFmtId="0" fontId="59" fillId="83" borderId="26" xfId="0" applyFont="1" applyFill="1" applyBorder="1" applyAlignment="1">
      <alignment horizontal="center" vertical="center" wrapText="1"/>
    </xf>
    <xf numFmtId="0" fontId="47" fillId="83" borderId="1" xfId="0" applyFont="1" applyFill="1" applyBorder="1" applyAlignment="1">
      <alignment horizontal="center" vertical="center" wrapText="1"/>
    </xf>
    <xf numFmtId="0" fontId="121" fillId="83" borderId="1" xfId="0" applyFont="1" applyFill="1" applyBorder="1" applyAlignment="1">
      <alignment vertical="center" wrapText="1"/>
    </xf>
    <xf numFmtId="0" fontId="59" fillId="0" borderId="1" xfId="0" applyFont="1" applyBorder="1" applyAlignment="1">
      <alignment horizontal="center" vertical="center" wrapText="1"/>
    </xf>
    <xf numFmtId="0" fontId="59" fillId="83" borderId="28" xfId="0" applyFont="1" applyFill="1" applyBorder="1" applyAlignment="1">
      <alignment vertical="center" wrapText="1"/>
    </xf>
    <xf numFmtId="0" fontId="59" fillId="83" borderId="1" xfId="0" applyFont="1" applyFill="1" applyBorder="1" applyAlignment="1">
      <alignment vertical="center" wrapText="1"/>
    </xf>
    <xf numFmtId="2" fontId="59" fillId="83" borderId="1" xfId="0" applyNumberFormat="1" applyFont="1" applyFill="1" applyBorder="1" applyAlignment="1">
      <alignment horizontal="center" vertical="center" wrapText="1"/>
    </xf>
    <xf numFmtId="0" fontId="0" fillId="0" borderId="0" xfId="0" applyBorder="1" applyAlignment="1">
      <alignment horizontal="center"/>
    </xf>
    <xf numFmtId="0" fontId="7" fillId="26" borderId="38" xfId="0" applyFont="1" applyFill="1" applyBorder="1" applyAlignment="1">
      <alignment horizontal="center" vertical="center" wrapText="1"/>
    </xf>
    <xf numFmtId="0" fontId="7" fillId="26" borderId="38" xfId="0" applyFont="1" applyFill="1" applyBorder="1" applyAlignment="1">
      <alignment horizontal="right" vertical="center" wrapText="1"/>
    </xf>
    <xf numFmtId="0" fontId="7" fillId="26" borderId="39" xfId="0" applyFont="1" applyFill="1" applyBorder="1" applyAlignment="1">
      <alignment horizontal="left" vertical="center" wrapText="1"/>
    </xf>
    <xf numFmtId="2" fontId="54" fillId="0" borderId="0" xfId="0" applyNumberFormat="1" applyFont="1" applyFill="1" applyBorder="1" applyAlignment="1">
      <alignment horizontal="center"/>
    </xf>
    <xf numFmtId="2" fontId="54" fillId="0" borderId="19" xfId="0" applyNumberFormat="1" applyFont="1" applyFill="1" applyBorder="1" applyAlignment="1">
      <alignment horizontal="center"/>
    </xf>
    <xf numFmtId="2" fontId="54" fillId="0" borderId="28" xfId="0" applyNumberFormat="1" applyFont="1" applyFill="1" applyBorder="1" applyAlignment="1">
      <alignment horizontal="center"/>
    </xf>
    <xf numFmtId="0" fontId="46" fillId="0" borderId="33" xfId="0" applyFont="1" applyBorder="1" applyAlignment="1">
      <alignment horizontal="center"/>
    </xf>
    <xf numFmtId="0" fontId="0" fillId="0" borderId="34"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35" xfId="0" applyBorder="1" applyAlignment="1">
      <alignment horizontal="center"/>
    </xf>
    <xf numFmtId="0" fontId="0" fillId="32" borderId="29" xfId="0" applyFill="1" applyBorder="1"/>
    <xf numFmtId="0" fontId="0" fillId="32" borderId="17" xfId="0" applyFill="1" applyBorder="1"/>
    <xf numFmtId="0" fontId="0" fillId="32" borderId="13" xfId="0" applyFill="1" applyBorder="1"/>
    <xf numFmtId="0" fontId="7" fillId="26" borderId="39" xfId="0" applyFont="1" applyFill="1" applyBorder="1" applyAlignment="1">
      <alignment horizontal="right" vertical="center" wrapText="1"/>
    </xf>
    <xf numFmtId="0" fontId="8" fillId="27" borderId="39" xfId="0" applyFont="1" applyFill="1" applyBorder="1" applyAlignment="1">
      <alignment horizontal="center"/>
    </xf>
    <xf numFmtId="0" fontId="54" fillId="0" borderId="26" xfId="0" applyFont="1" applyFill="1" applyBorder="1" applyAlignment="1">
      <alignment horizontal="left"/>
    </xf>
    <xf numFmtId="0" fontId="0" fillId="0" borderId="100" xfId="0" applyBorder="1"/>
    <xf numFmtId="0" fontId="0" fillId="0" borderId="15" xfId="0" applyBorder="1"/>
    <xf numFmtId="0" fontId="0" fillId="0" borderId="15" xfId="0" applyBorder="1" applyAlignment="1">
      <alignment horizontal="left"/>
    </xf>
    <xf numFmtId="0" fontId="54" fillId="0" borderId="93" xfId="0" applyFont="1" applyFill="1" applyBorder="1" applyAlignment="1">
      <alignment horizontal="center"/>
    </xf>
    <xf numFmtId="2" fontId="54" fillId="0" borderId="93" xfId="0" applyNumberFormat="1" applyFont="1" applyFill="1" applyBorder="1" applyAlignment="1">
      <alignment horizontal="center"/>
    </xf>
    <xf numFmtId="165" fontId="54" fillId="0" borderId="93" xfId="0" applyNumberFormat="1" applyFont="1" applyFill="1" applyBorder="1" applyAlignment="1">
      <alignment horizontal="center"/>
    </xf>
    <xf numFmtId="0" fontId="77" fillId="0" borderId="15" xfId="0" applyFont="1" applyFill="1" applyBorder="1" applyAlignment="1">
      <alignment horizontal="right"/>
    </xf>
    <xf numFmtId="0" fontId="8" fillId="0" borderId="15" xfId="0" applyFont="1" applyFill="1" applyBorder="1" applyAlignment="1">
      <alignment horizontal="center"/>
    </xf>
    <xf numFmtId="0" fontId="54" fillId="0" borderId="93" xfId="0" applyFont="1" applyFill="1" applyBorder="1" applyAlignment="1">
      <alignment horizontal="left"/>
    </xf>
    <xf numFmtId="0" fontId="15" fillId="3" borderId="15" xfId="3" applyBorder="1"/>
    <xf numFmtId="0" fontId="77" fillId="0" borderId="95" xfId="0" applyFont="1" applyFill="1" applyBorder="1" applyAlignment="1">
      <alignment horizontal="right"/>
    </xf>
    <xf numFmtId="0" fontId="122" fillId="37" borderId="0" xfId="0" applyFont="1" applyFill="1"/>
    <xf numFmtId="0" fontId="115" fillId="0" borderId="0" xfId="0" applyFont="1" applyAlignment="1">
      <alignment horizontal="center" vertical="center" wrapText="1"/>
    </xf>
    <xf numFmtId="0" fontId="115" fillId="83" borderId="0" xfId="0" applyFont="1" applyFill="1" applyAlignment="1">
      <alignment horizontal="center" vertical="center" wrapText="1"/>
    </xf>
    <xf numFmtId="0" fontId="115" fillId="0" borderId="0" xfId="0" applyFont="1" applyAlignment="1">
      <alignment vertical="center" wrapText="1"/>
    </xf>
    <xf numFmtId="0" fontId="122" fillId="37" borderId="0" xfId="0" applyFont="1" applyFill="1" applyAlignment="1">
      <alignment vertical="center"/>
    </xf>
    <xf numFmtId="0" fontId="59" fillId="0" borderId="0" xfId="0" applyFont="1" applyAlignment="1">
      <alignment horizontal="right"/>
    </xf>
    <xf numFmtId="17" fontId="0" fillId="0" borderId="0" xfId="0" applyNumberFormat="1"/>
    <xf numFmtId="0" fontId="115" fillId="32" borderId="26" xfId="0" applyFont="1" applyFill="1" applyBorder="1" applyAlignment="1">
      <alignment vertical="center" wrapText="1"/>
    </xf>
    <xf numFmtId="0" fontId="59" fillId="32" borderId="1" xfId="0" applyFont="1" applyFill="1" applyBorder="1" applyAlignment="1">
      <alignment horizontal="center" vertical="center" wrapText="1"/>
    </xf>
    <xf numFmtId="0" fontId="59" fillId="32" borderId="26" xfId="0" applyFont="1" applyFill="1" applyBorder="1" applyAlignment="1">
      <alignment horizontal="center" vertical="center" wrapText="1"/>
    </xf>
    <xf numFmtId="0" fontId="115" fillId="32" borderId="28" xfId="0" applyFont="1" applyFill="1" applyBorder="1" applyAlignment="1">
      <alignment horizontal="left" vertical="center" wrapText="1"/>
    </xf>
    <xf numFmtId="0" fontId="59" fillId="32" borderId="28" xfId="0" applyFont="1" applyFill="1" applyBorder="1" applyAlignment="1">
      <alignment horizontal="center" vertical="center" wrapText="1"/>
    </xf>
    <xf numFmtId="176" fontId="0" fillId="0" borderId="0" xfId="0" applyNumberFormat="1"/>
    <xf numFmtId="0" fontId="88" fillId="33" borderId="31" xfId="0"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49" fillId="0" borderId="13" xfId="0" applyFont="1" applyBorder="1" applyAlignment="1">
      <alignment horizontal="center" wrapText="1"/>
    </xf>
    <xf numFmtId="167" fontId="98" fillId="83" borderId="1" xfId="0" applyNumberFormat="1" applyFont="1" applyFill="1" applyBorder="1" applyAlignment="1">
      <alignment horizontal="center" vertical="center" wrapText="1"/>
    </xf>
    <xf numFmtId="167" fontId="98" fillId="83" borderId="37" xfId="0" applyNumberFormat="1" applyFont="1" applyFill="1" applyBorder="1" applyAlignment="1">
      <alignment horizontal="center" vertical="center" wrapText="1"/>
    </xf>
    <xf numFmtId="167" fontId="88" fillId="88" borderId="39" xfId="0" applyNumberFormat="1" applyFont="1" applyFill="1" applyBorder="1" applyAlignment="1">
      <alignment horizontal="center" vertical="center" wrapText="1"/>
    </xf>
    <xf numFmtId="2" fontId="88" fillId="88" borderId="39" xfId="0" applyNumberFormat="1" applyFont="1" applyFill="1" applyBorder="1" applyAlignment="1">
      <alignment horizontal="center" vertical="center" wrapText="1"/>
    </xf>
    <xf numFmtId="167" fontId="88" fillId="33" borderId="39" xfId="0" applyNumberFormat="1" applyFont="1" applyFill="1" applyBorder="1" applyAlignment="1">
      <alignment horizontal="center" vertical="center" wrapText="1"/>
    </xf>
    <xf numFmtId="167" fontId="88" fillId="83" borderId="1" xfId="0" applyNumberFormat="1" applyFont="1" applyFill="1" applyBorder="1" applyAlignment="1">
      <alignment horizontal="center" vertical="center"/>
    </xf>
    <xf numFmtId="167" fontId="88" fillId="83" borderId="37" xfId="0" applyNumberFormat="1" applyFont="1" applyFill="1" applyBorder="1" applyAlignment="1">
      <alignment horizontal="center" vertical="center"/>
    </xf>
    <xf numFmtId="0" fontId="123" fillId="37" borderId="0" xfId="0" applyFont="1" applyFill="1"/>
    <xf numFmtId="0" fontId="70" fillId="37" borderId="0" xfId="0" applyFont="1" applyFill="1"/>
    <xf numFmtId="0" fontId="77" fillId="0" borderId="21" xfId="0" applyFont="1" applyFill="1" applyBorder="1" applyAlignment="1">
      <alignment horizontal="right"/>
    </xf>
    <xf numFmtId="0" fontId="54" fillId="0" borderId="0" xfId="0" applyFont="1" applyFill="1" applyBorder="1" applyAlignment="1">
      <alignment horizontal="left"/>
    </xf>
    <xf numFmtId="0" fontId="54" fillId="0" borderId="36" xfId="0" applyFont="1" applyFill="1" applyBorder="1" applyAlignment="1">
      <alignment horizontal="center"/>
    </xf>
    <xf numFmtId="2" fontId="54" fillId="0" borderId="36" xfId="0" applyNumberFormat="1" applyFont="1" applyFill="1" applyBorder="1" applyAlignment="1">
      <alignment horizontal="center"/>
    </xf>
    <xf numFmtId="0" fontId="54" fillId="0" borderId="36" xfId="0" applyFont="1" applyFill="1" applyBorder="1" applyAlignment="1">
      <alignment horizontal="left"/>
    </xf>
    <xf numFmtId="0" fontId="15" fillId="3" borderId="21" xfId="3" applyBorder="1"/>
    <xf numFmtId="0" fontId="15" fillId="3" borderId="42" xfId="3" applyBorder="1"/>
    <xf numFmtId="0" fontId="15" fillId="3" borderId="41" xfId="3" applyBorder="1"/>
    <xf numFmtId="0" fontId="11" fillId="0" borderId="0" xfId="550" applyBorder="1"/>
    <xf numFmtId="0" fontId="0" fillId="0" borderId="0" xfId="0" applyFill="1" applyAlignment="1">
      <alignment horizontal="left"/>
    </xf>
    <xf numFmtId="0" fontId="59" fillId="34" borderId="20" xfId="0" applyFont="1" applyFill="1" applyBorder="1" applyAlignment="1">
      <alignment vertical="top" wrapText="1"/>
    </xf>
    <xf numFmtId="0" fontId="77" fillId="34" borderId="20" xfId="0" applyFont="1" applyFill="1" applyBorder="1" applyAlignment="1">
      <alignment horizontal="right" vertical="center" wrapText="1"/>
    </xf>
    <xf numFmtId="0" fontId="77" fillId="34" borderId="32" xfId="0" applyFont="1" applyFill="1" applyBorder="1" applyAlignment="1">
      <alignment horizontal="right" vertical="center" wrapText="1"/>
    </xf>
    <xf numFmtId="0" fontId="115" fillId="75" borderId="1" xfId="0" applyFont="1" applyFill="1" applyBorder="1" applyAlignment="1">
      <alignment vertical="center" wrapText="1"/>
    </xf>
    <xf numFmtId="0" fontId="59" fillId="75" borderId="1" xfId="0" applyFont="1" applyFill="1" applyBorder="1" applyAlignment="1">
      <alignment horizontal="center" vertical="center" wrapText="1"/>
    </xf>
    <xf numFmtId="0" fontId="115" fillId="75" borderId="1" xfId="0" applyFont="1" applyFill="1" applyBorder="1" applyAlignment="1">
      <alignment horizontal="center" vertical="center" wrapText="1"/>
    </xf>
    <xf numFmtId="0" fontId="115" fillId="75" borderId="27" xfId="0" applyFont="1" applyFill="1" applyBorder="1" applyAlignment="1">
      <alignment vertical="center" wrapText="1"/>
    </xf>
    <xf numFmtId="0" fontId="59" fillId="75" borderId="26" xfId="0" applyFont="1" applyFill="1" applyBorder="1" applyAlignment="1">
      <alignment horizontal="center" vertical="center" wrapText="1"/>
    </xf>
    <xf numFmtId="0" fontId="115" fillId="75" borderId="26" xfId="0" applyFont="1" applyFill="1" applyBorder="1" applyAlignment="1">
      <alignment horizontal="center" vertical="center" wrapText="1"/>
    </xf>
    <xf numFmtId="0" fontId="115" fillId="75" borderId="28" xfId="0" applyFont="1" applyFill="1" applyBorder="1" applyAlignment="1">
      <alignment vertical="center" wrapText="1"/>
    </xf>
    <xf numFmtId="0" fontId="59" fillId="75" borderId="1" xfId="0" applyFont="1" applyFill="1" applyBorder="1"/>
    <xf numFmtId="0" fontId="7" fillId="26" borderId="38" xfId="6969" applyFont="1" applyFill="1" applyBorder="1" applyAlignment="1">
      <alignment horizontal="left" vertical="center" wrapText="1"/>
    </xf>
    <xf numFmtId="1" fontId="7" fillId="82" borderId="37" xfId="6969" applyNumberFormat="1" applyFont="1" applyFill="1" applyBorder="1" applyAlignment="1">
      <alignment horizontal="right"/>
    </xf>
    <xf numFmtId="1" fontId="7" fillId="82" borderId="38" xfId="6969" applyNumberFormat="1" applyFont="1" applyFill="1" applyBorder="1" applyAlignment="1">
      <alignment horizontal="right"/>
    </xf>
    <xf numFmtId="0" fontId="7" fillId="29" borderId="15" xfId="6969" applyFont="1" applyFill="1" applyBorder="1" applyAlignment="1">
      <alignment horizontal="left" wrapText="1"/>
    </xf>
    <xf numFmtId="0" fontId="7" fillId="29" borderId="15" xfId="6969" applyFont="1" applyFill="1" applyBorder="1" applyAlignment="1">
      <alignment horizontal="right" wrapText="1"/>
    </xf>
    <xf numFmtId="0" fontId="7" fillId="92" borderId="0" xfId="6969" applyFont="1" applyFill="1"/>
    <xf numFmtId="177" fontId="7" fillId="92" borderId="0" xfId="6969" applyNumberFormat="1" applyFont="1" applyFill="1"/>
    <xf numFmtId="0" fontId="0" fillId="0" borderId="34" xfId="0" applyBorder="1"/>
    <xf numFmtId="0" fontId="0" fillId="0" borderId="29" xfId="0" applyBorder="1"/>
    <xf numFmtId="0" fontId="0" fillId="0" borderId="35" xfId="0" applyBorder="1"/>
    <xf numFmtId="0" fontId="0" fillId="0" borderId="17" xfId="0" applyBorder="1"/>
    <xf numFmtId="0" fontId="0" fillId="0" borderId="14" xfId="0" applyBorder="1"/>
    <xf numFmtId="0" fontId="0" fillId="0" borderId="13" xfId="0" applyBorder="1"/>
    <xf numFmtId="0" fontId="46" fillId="0" borderId="33" xfId="0" applyFont="1" applyBorder="1"/>
    <xf numFmtId="0" fontId="46" fillId="0" borderId="34" xfId="0" applyFont="1" applyBorder="1"/>
    <xf numFmtId="0" fontId="46" fillId="0" borderId="34" xfId="0" applyFont="1" applyFill="1" applyBorder="1"/>
    <xf numFmtId="0" fontId="46" fillId="0" borderId="29" xfId="0" applyFont="1" applyBorder="1"/>
    <xf numFmtId="0" fontId="46" fillId="0" borderId="35" xfId="0" applyFont="1" applyBorder="1"/>
    <xf numFmtId="0" fontId="46" fillId="0" borderId="103" xfId="0" applyFont="1" applyBorder="1"/>
    <xf numFmtId="0" fontId="46" fillId="0" borderId="104" xfId="0" applyFont="1" applyBorder="1"/>
    <xf numFmtId="0" fontId="54" fillId="0" borderId="41" xfId="0" applyFont="1" applyBorder="1"/>
    <xf numFmtId="0" fontId="54" fillId="0" borderId="19" xfId="0" applyFont="1" applyBorder="1"/>
    <xf numFmtId="0" fontId="54" fillId="0" borderId="21" xfId="0" applyFont="1" applyBorder="1"/>
    <xf numFmtId="0" fontId="54" fillId="0" borderId="0" xfId="0" applyFont="1" applyBorder="1"/>
    <xf numFmtId="0" fontId="54" fillId="0" borderId="22" xfId="0" applyFont="1" applyBorder="1"/>
    <xf numFmtId="0" fontId="54" fillId="0" borderId="15" xfId="0" applyFont="1" applyBorder="1"/>
    <xf numFmtId="0" fontId="54" fillId="0" borderId="26" xfId="0" applyFont="1" applyBorder="1"/>
    <xf numFmtId="0" fontId="7" fillId="26" borderId="105" xfId="0" applyFont="1" applyFill="1" applyBorder="1" applyAlignment="1">
      <alignment horizontal="right" vertical="center" wrapText="1"/>
    </xf>
    <xf numFmtId="0" fontId="8" fillId="34" borderId="106" xfId="0" applyFont="1" applyFill="1" applyBorder="1" applyAlignment="1">
      <alignment horizontal="right" vertical="center" wrapText="1"/>
    </xf>
    <xf numFmtId="0" fontId="54" fillId="0" borderId="17" xfId="0" applyFont="1" applyBorder="1"/>
    <xf numFmtId="2" fontId="54" fillId="0" borderId="0" xfId="0" applyNumberFormat="1" applyFont="1" applyBorder="1" applyAlignment="1">
      <alignment horizontal="center"/>
    </xf>
    <xf numFmtId="0" fontId="54" fillId="87" borderId="93" xfId="0" applyFont="1" applyFill="1" applyBorder="1"/>
    <xf numFmtId="0" fontId="54" fillId="0" borderId="93" xfId="0" applyFont="1" applyBorder="1" applyAlignment="1">
      <alignment horizontal="center"/>
    </xf>
    <xf numFmtId="2" fontId="54" fillId="0" borderId="15" xfId="0" applyNumberFormat="1" applyFont="1" applyBorder="1" applyAlignment="1">
      <alignment horizontal="center"/>
    </xf>
    <xf numFmtId="0" fontId="54" fillId="0" borderId="13" xfId="0" applyFont="1" applyBorder="1"/>
    <xf numFmtId="0" fontId="78" fillId="0" borderId="35" xfId="0" applyFont="1" applyBorder="1"/>
    <xf numFmtId="0" fontId="7" fillId="26" borderId="38" xfId="0" applyFont="1" applyFill="1" applyBorder="1" applyAlignment="1">
      <alignment horizontal="left" vertical="center" wrapText="1"/>
    </xf>
    <xf numFmtId="0" fontId="59" fillId="26" borderId="38" xfId="0" applyFont="1" applyFill="1" applyBorder="1" applyAlignment="1">
      <alignment horizontal="left" vertical="center"/>
    </xf>
    <xf numFmtId="0" fontId="7" fillId="26" borderId="38" xfId="0" applyFont="1" applyFill="1" applyBorder="1" applyAlignment="1">
      <alignment horizontal="center" vertical="center"/>
    </xf>
    <xf numFmtId="165" fontId="54" fillId="0" borderId="19" xfId="0" applyNumberFormat="1" applyFont="1" applyBorder="1"/>
    <xf numFmtId="165" fontId="54" fillId="0" borderId="0" xfId="0" applyNumberFormat="1" applyFont="1" applyBorder="1"/>
    <xf numFmtId="165" fontId="54" fillId="0" borderId="15" xfId="0" applyNumberFormat="1" applyFont="1" applyBorder="1"/>
    <xf numFmtId="165" fontId="54" fillId="0" borderId="31" xfId="0" applyNumberFormat="1" applyFont="1" applyBorder="1"/>
    <xf numFmtId="165" fontId="54" fillId="0" borderId="70" xfId="0" applyNumberFormat="1" applyFont="1" applyBorder="1"/>
    <xf numFmtId="165" fontId="54" fillId="0" borderId="100" xfId="0" applyNumberFormat="1" applyFont="1" applyBorder="1"/>
    <xf numFmtId="172" fontId="0" fillId="0" borderId="0" xfId="0" applyNumberFormat="1" applyFill="1"/>
    <xf numFmtId="172" fontId="0" fillId="0" borderId="0" xfId="0" applyNumberFormat="1" applyFill="1" applyBorder="1"/>
    <xf numFmtId="0" fontId="48" fillId="0" borderId="16" xfId="0" quotePrefix="1" applyFont="1" applyBorder="1" applyAlignment="1">
      <alignment wrapText="1"/>
    </xf>
    <xf numFmtId="0" fontId="48" fillId="0" borderId="12" xfId="0" quotePrefix="1" applyFont="1" applyBorder="1" applyAlignment="1">
      <alignment wrapText="1"/>
    </xf>
    <xf numFmtId="0" fontId="48" fillId="35" borderId="12" xfId="0" applyFont="1" applyFill="1" applyBorder="1" applyAlignment="1">
      <alignment wrapText="1"/>
    </xf>
    <xf numFmtId="0" fontId="49" fillId="35" borderId="13" xfId="0" applyFont="1" applyFill="1" applyBorder="1" applyAlignment="1">
      <alignment horizontal="center" wrapText="1"/>
    </xf>
    <xf numFmtId="0" fontId="55" fillId="0" borderId="22" xfId="0" applyFont="1" applyBorder="1"/>
    <xf numFmtId="167" fontId="49" fillId="0" borderId="17" xfId="0" applyNumberFormat="1" applyFont="1" applyBorder="1" applyAlignment="1">
      <alignment horizontal="center" wrapText="1"/>
    </xf>
    <xf numFmtId="167" fontId="49" fillId="0" borderId="13" xfId="0" applyNumberFormat="1" applyFont="1" applyBorder="1" applyAlignment="1">
      <alignment horizontal="center" wrapText="1"/>
    </xf>
    <xf numFmtId="1" fontId="49" fillId="0" borderId="17" xfId="0" applyNumberFormat="1" applyFont="1" applyBorder="1" applyAlignment="1">
      <alignment horizontal="center" wrapText="1"/>
    </xf>
    <xf numFmtId="1" fontId="49" fillId="0" borderId="13" xfId="0" applyNumberFormat="1" applyFont="1" applyBorder="1" applyAlignment="1">
      <alignment horizontal="center" wrapText="1"/>
    </xf>
    <xf numFmtId="0" fontId="11" fillId="0" borderId="36" xfId="550" applyBorder="1"/>
    <xf numFmtId="0" fontId="0" fillId="0" borderId="41" xfId="0" applyFill="1" applyBorder="1"/>
    <xf numFmtId="0" fontId="0" fillId="0" borderId="21" xfId="0" applyFill="1" applyBorder="1"/>
    <xf numFmtId="0" fontId="0" fillId="0" borderId="42" xfId="0" applyFill="1" applyBorder="1"/>
    <xf numFmtId="0" fontId="11" fillId="0" borderId="0" xfId="6970"/>
    <xf numFmtId="0" fontId="124" fillId="0" borderId="0" xfId="6971"/>
    <xf numFmtId="0" fontId="40" fillId="0" borderId="0" xfId="6973"/>
    <xf numFmtId="0" fontId="40" fillId="0" borderId="0" xfId="6973" applyAlignment="1">
      <alignment wrapText="1"/>
    </xf>
    <xf numFmtId="2" fontId="40" fillId="0" borderId="0" xfId="6973" applyNumberFormat="1"/>
    <xf numFmtId="0" fontId="0" fillId="0" borderId="0" xfId="6973" applyFont="1"/>
    <xf numFmtId="0" fontId="0" fillId="0" borderId="0" xfId="6973" applyFont="1" applyAlignment="1">
      <alignment wrapText="1"/>
    </xf>
    <xf numFmtId="0" fontId="124" fillId="0" borderId="0" xfId="6971" applyAlignment="1">
      <alignment horizontal="center"/>
    </xf>
    <xf numFmtId="0" fontId="124" fillId="0" borderId="0" xfId="6974"/>
    <xf numFmtId="0" fontId="59" fillId="0" borderId="0" xfId="2001" applyFont="1"/>
    <xf numFmtId="2" fontId="124" fillId="0" borderId="0" xfId="6974" applyNumberFormat="1"/>
    <xf numFmtId="0" fontId="59" fillId="27" borderId="20" xfId="6974" applyFont="1" applyFill="1" applyBorder="1" applyAlignment="1">
      <alignment horizontal="right"/>
    </xf>
    <xf numFmtId="0" fontId="59" fillId="34" borderId="19" xfId="6974" applyFont="1" applyFill="1" applyBorder="1" applyAlignment="1">
      <alignment vertical="top" wrapText="1"/>
    </xf>
    <xf numFmtId="0" fontId="59" fillId="26" borderId="19" xfId="6974" applyFont="1" applyFill="1" applyBorder="1" applyAlignment="1">
      <alignment horizontal="left" vertical="center" wrapText="1"/>
    </xf>
    <xf numFmtId="0" fontId="59" fillId="87" borderId="19" xfId="6974" applyFont="1" applyFill="1" applyBorder="1" applyAlignment="1">
      <alignment horizontal="left" vertical="center" wrapText="1"/>
    </xf>
    <xf numFmtId="0" fontId="49" fillId="0" borderId="13" xfId="6971" applyFont="1" applyBorder="1" applyAlignment="1">
      <alignment horizontal="center" wrapText="1"/>
    </xf>
    <xf numFmtId="0" fontId="48" fillId="0" borderId="12" xfId="6971" applyFont="1" applyBorder="1" applyAlignment="1">
      <alignment wrapText="1"/>
    </xf>
    <xf numFmtId="3" fontId="49" fillId="0" borderId="13" xfId="6971" applyNumberFormat="1" applyFont="1" applyBorder="1" applyAlignment="1">
      <alignment horizontal="center" wrapText="1"/>
    </xf>
    <xf numFmtId="0" fontId="49" fillId="0" borderId="17" xfId="6971" applyFont="1" applyBorder="1" applyAlignment="1">
      <alignment horizontal="center" wrapText="1"/>
    </xf>
    <xf numFmtId="0" fontId="48" fillId="0" borderId="16" xfId="6971" applyFont="1" applyBorder="1" applyAlignment="1">
      <alignment wrapText="1"/>
    </xf>
    <xf numFmtId="0" fontId="51" fillId="0" borderId="13" xfId="6971" applyFont="1" applyBorder="1" applyAlignment="1">
      <alignment horizontal="center" wrapText="1"/>
    </xf>
    <xf numFmtId="0" fontId="51" fillId="0" borderId="15" xfId="6971" applyFont="1" applyBorder="1" applyAlignment="1">
      <alignment horizontal="center" wrapText="1"/>
    </xf>
    <xf numFmtId="0" fontId="50" fillId="0" borderId="14" xfId="6971" applyFont="1" applyBorder="1" applyAlignment="1">
      <alignment wrapText="1"/>
    </xf>
    <xf numFmtId="2" fontId="124" fillId="0" borderId="0" xfId="6971" applyNumberFormat="1"/>
    <xf numFmtId="0" fontId="124" fillId="0" borderId="0" xfId="6971" applyAlignment="1">
      <alignment wrapText="1"/>
    </xf>
    <xf numFmtId="2" fontId="59" fillId="0" borderId="0" xfId="2001" applyNumberFormat="1" applyFont="1"/>
    <xf numFmtId="0" fontId="126" fillId="0" borderId="0" xfId="2001" applyFont="1"/>
    <xf numFmtId="0" fontId="59" fillId="27" borderId="20" xfId="6971" applyFont="1" applyFill="1" applyBorder="1" applyAlignment="1">
      <alignment horizontal="right"/>
    </xf>
    <xf numFmtId="0" fontId="59" fillId="34" borderId="19" xfId="6971" applyFont="1" applyFill="1" applyBorder="1" applyAlignment="1">
      <alignment vertical="top" wrapText="1"/>
    </xf>
    <xf numFmtId="0" fontId="59" fillId="26" borderId="19" xfId="6971" applyFont="1" applyFill="1" applyBorder="1" applyAlignment="1">
      <alignment horizontal="left" vertical="center" wrapText="1"/>
    </xf>
    <xf numFmtId="0" fontId="59" fillId="87" borderId="19" xfId="6971" applyFont="1" applyFill="1" applyBorder="1" applyAlignment="1">
      <alignment horizontal="left" vertical="center" wrapText="1"/>
    </xf>
    <xf numFmtId="0" fontId="79" fillId="37" borderId="1" xfId="6976" applyFont="1" applyFill="1" applyBorder="1" applyAlignment="1">
      <alignment horizontal="center" vertical="center" wrapText="1"/>
    </xf>
    <xf numFmtId="0" fontId="79" fillId="37" borderId="1" xfId="6976" applyFont="1" applyFill="1" applyBorder="1" applyAlignment="1">
      <alignment vertical="center" wrapText="1"/>
    </xf>
    <xf numFmtId="0" fontId="79" fillId="37" borderId="40" xfId="6976" applyFont="1" applyFill="1" applyBorder="1" applyAlignment="1">
      <alignment horizontal="center" vertical="center" wrapText="1"/>
    </xf>
    <xf numFmtId="167" fontId="79" fillId="37" borderId="40" xfId="6976" applyNumberFormat="1" applyFont="1" applyFill="1" applyBorder="1" applyAlignment="1">
      <alignment horizontal="center" wrapText="1"/>
    </xf>
    <xf numFmtId="49" fontId="79" fillId="37" borderId="26" xfId="6976" applyNumberFormat="1" applyFont="1" applyFill="1" applyBorder="1" applyAlignment="1">
      <alignment vertical="center" wrapText="1"/>
    </xf>
    <xf numFmtId="0" fontId="79" fillId="37" borderId="26" xfId="6976" applyFont="1" applyFill="1" applyBorder="1" applyAlignment="1">
      <alignment vertical="center" wrapText="1"/>
    </xf>
    <xf numFmtId="2" fontId="79" fillId="37" borderId="40" xfId="6976" applyNumberFormat="1" applyFont="1" applyFill="1" applyBorder="1" applyAlignment="1">
      <alignment horizontal="center" vertical="center" wrapText="1"/>
    </xf>
    <xf numFmtId="167" fontId="79" fillId="37" borderId="40" xfId="6976" applyNumberFormat="1" applyFont="1" applyFill="1" applyBorder="1" applyAlignment="1">
      <alignment horizontal="center" vertical="center" wrapText="1"/>
    </xf>
    <xf numFmtId="0" fontId="79" fillId="37" borderId="40" xfId="6976" quotePrefix="1" applyFont="1" applyFill="1" applyBorder="1" applyAlignment="1">
      <alignment horizontal="center" vertical="center" wrapText="1"/>
    </xf>
    <xf numFmtId="0" fontId="79" fillId="37" borderId="70" xfId="6976" applyFont="1" applyFill="1" applyBorder="1" applyAlignment="1">
      <alignment horizontal="center" vertical="center" wrapText="1"/>
    </xf>
    <xf numFmtId="0" fontId="79" fillId="37" borderId="42" xfId="6976" applyFont="1" applyFill="1" applyBorder="1" applyAlignment="1">
      <alignment vertical="center" wrapText="1"/>
    </xf>
    <xf numFmtId="0" fontId="79" fillId="79" borderId="1" xfId="6976" applyFont="1" applyFill="1" applyBorder="1" applyAlignment="1">
      <alignment horizontal="center" vertical="center" wrapText="1"/>
    </xf>
    <xf numFmtId="0" fontId="79" fillId="79" borderId="40" xfId="6976" applyFont="1" applyFill="1" applyBorder="1" applyAlignment="1">
      <alignment horizontal="center" vertical="center" wrapText="1"/>
    </xf>
    <xf numFmtId="0" fontId="79" fillId="79" borderId="26" xfId="6976" applyFont="1" applyFill="1" applyBorder="1" applyAlignment="1">
      <alignment vertical="center" wrapText="1"/>
    </xf>
    <xf numFmtId="0" fontId="79" fillId="37" borderId="27" xfId="6976" applyFont="1" applyFill="1" applyBorder="1" applyAlignment="1">
      <alignment vertical="center" wrapText="1"/>
    </xf>
    <xf numFmtId="0" fontId="79" fillId="79" borderId="39" xfId="6976" applyFont="1" applyFill="1" applyBorder="1" applyAlignment="1">
      <alignment horizontal="center" vertical="center" wrapText="1"/>
    </xf>
    <xf numFmtId="0" fontId="79" fillId="79" borderId="1" xfId="6976" applyFont="1" applyFill="1" applyBorder="1" applyAlignment="1">
      <alignment vertical="center" wrapText="1"/>
    </xf>
    <xf numFmtId="0" fontId="79" fillId="0" borderId="39" xfId="6976" applyFont="1" applyBorder="1" applyAlignment="1">
      <alignment horizontal="center" vertical="center" wrapText="1"/>
    </xf>
    <xf numFmtId="0" fontId="79" fillId="0" borderId="1" xfId="6976" applyFont="1" applyBorder="1" applyAlignment="1">
      <alignment horizontal="center" vertical="center" wrapText="1"/>
    </xf>
    <xf numFmtId="0" fontId="79" fillId="0" borderId="1" xfId="6976" applyFont="1" applyBorder="1" applyAlignment="1">
      <alignment vertical="center" wrapText="1"/>
    </xf>
    <xf numFmtId="0" fontId="62" fillId="37" borderId="39" xfId="6976" applyFont="1" applyFill="1" applyBorder="1" applyAlignment="1">
      <alignment vertical="center" wrapText="1"/>
    </xf>
    <xf numFmtId="0" fontId="62" fillId="37" borderId="38" xfId="6976" applyFont="1" applyFill="1" applyBorder="1" applyAlignment="1">
      <alignment vertical="center" wrapText="1"/>
    </xf>
    <xf numFmtId="0" fontId="62" fillId="37" borderId="37" xfId="6976" applyFont="1" applyFill="1" applyBorder="1" applyAlignment="1">
      <alignment vertical="center" wrapText="1"/>
    </xf>
    <xf numFmtId="0" fontId="62" fillId="37" borderId="40" xfId="6976" applyFont="1" applyFill="1" applyBorder="1" applyAlignment="1">
      <alignment horizontal="center" vertical="center" wrapText="1"/>
    </xf>
    <xf numFmtId="0" fontId="62" fillId="37" borderId="1" xfId="6976" applyFont="1" applyFill="1" applyBorder="1" applyAlignment="1">
      <alignment vertical="center" wrapText="1"/>
    </xf>
    <xf numFmtId="167" fontId="11" fillId="0" borderId="0" xfId="6970" applyNumberFormat="1"/>
    <xf numFmtId="0" fontId="128" fillId="0" borderId="0" xfId="6971" applyFont="1"/>
    <xf numFmtId="2" fontId="128" fillId="0" borderId="0" xfId="6971" applyNumberFormat="1" applyFont="1"/>
    <xf numFmtId="0" fontId="128" fillId="0" borderId="0" xfId="2001" applyFont="1"/>
    <xf numFmtId="0" fontId="128" fillId="0" borderId="0" xfId="6971" applyFont="1" applyAlignment="1">
      <alignment wrapText="1"/>
    </xf>
    <xf numFmtId="2" fontId="128" fillId="0" borderId="0" xfId="2001" applyNumberFormat="1" applyFont="1"/>
    <xf numFmtId="0" fontId="129" fillId="0" borderId="0" xfId="2001" applyFont="1"/>
    <xf numFmtId="0" fontId="130" fillId="0" borderId="0" xfId="6971" applyFont="1"/>
    <xf numFmtId="165" fontId="124" fillId="0" borderId="0" xfId="6971" applyNumberFormat="1" applyAlignment="1">
      <alignment horizontal="center"/>
    </xf>
    <xf numFmtId="2" fontId="124" fillId="0" borderId="0" xfId="6971" applyNumberFormat="1" applyAlignment="1">
      <alignment horizontal="center"/>
    </xf>
    <xf numFmtId="0" fontId="59" fillId="0" borderId="0" xfId="2001" applyFont="1" applyAlignment="1">
      <alignment horizontal="center"/>
    </xf>
    <xf numFmtId="0" fontId="124" fillId="0" borderId="0" xfId="6971" applyAlignment="1">
      <alignment horizontal="center" wrapText="1"/>
    </xf>
    <xf numFmtId="2" fontId="59" fillId="0" borderId="0" xfId="2001" applyNumberFormat="1" applyFont="1" applyAlignment="1">
      <alignment horizontal="center"/>
    </xf>
    <xf numFmtId="178" fontId="59" fillId="0" borderId="0" xfId="2001" applyNumberFormat="1" applyFont="1" applyAlignment="1">
      <alignment horizontal="center"/>
    </xf>
    <xf numFmtId="167" fontId="124" fillId="0" borderId="0" xfId="6971" applyNumberFormat="1" applyAlignment="1">
      <alignment horizontal="center" wrapText="1"/>
    </xf>
    <xf numFmtId="0" fontId="124" fillId="0" borderId="39" xfId="6971" applyBorder="1"/>
    <xf numFmtId="0" fontId="124" fillId="0" borderId="37" xfId="6971" applyBorder="1"/>
    <xf numFmtId="0" fontId="59" fillId="27" borderId="20" xfId="6971" applyFont="1" applyFill="1" applyBorder="1" applyAlignment="1">
      <alignment horizontal="center"/>
    </xf>
    <xf numFmtId="0" fontId="59" fillId="34" borderId="19" xfId="6971" applyFont="1" applyFill="1" applyBorder="1" applyAlignment="1">
      <alignment horizontal="center" vertical="top" wrapText="1"/>
    </xf>
    <xf numFmtId="0" fontId="124" fillId="0" borderId="0" xfId="6974" applyAlignment="1">
      <alignment wrapText="1"/>
    </xf>
    <xf numFmtId="0" fontId="79" fillId="37" borderId="1" xfId="6977" applyFont="1" applyFill="1" applyBorder="1" applyAlignment="1">
      <alignment horizontal="center" vertical="center" wrapText="1"/>
    </xf>
    <xf numFmtId="0" fontId="79" fillId="37" borderId="1" xfId="6977" applyFont="1" applyFill="1" applyBorder="1" applyAlignment="1">
      <alignment vertical="center" wrapText="1"/>
    </xf>
    <xf numFmtId="0" fontId="79" fillId="37" borderId="40" xfId="6977" applyFont="1" applyFill="1" applyBorder="1" applyAlignment="1">
      <alignment horizontal="center" vertical="center" wrapText="1"/>
    </xf>
    <xf numFmtId="167" fontId="79" fillId="37" borderId="40" xfId="6977" applyNumberFormat="1" applyFont="1" applyFill="1" applyBorder="1" applyAlignment="1">
      <alignment horizontal="center" wrapText="1"/>
    </xf>
    <xf numFmtId="49" fontId="79" fillId="37" borderId="26" xfId="6977" applyNumberFormat="1" applyFont="1" applyFill="1" applyBorder="1" applyAlignment="1">
      <alignment vertical="center" wrapText="1"/>
    </xf>
    <xf numFmtId="0" fontId="79" fillId="37" borderId="26" xfId="6977" applyFont="1" applyFill="1" applyBorder="1" applyAlignment="1">
      <alignment vertical="center" wrapText="1"/>
    </xf>
    <xf numFmtId="2" fontId="79" fillId="37" borderId="40" xfId="6977" applyNumberFormat="1" applyFont="1" applyFill="1" applyBorder="1" applyAlignment="1">
      <alignment horizontal="center" vertical="center" wrapText="1"/>
    </xf>
    <xf numFmtId="167" fontId="79" fillId="37" borderId="40" xfId="6977" applyNumberFormat="1" applyFont="1" applyFill="1" applyBorder="1" applyAlignment="1">
      <alignment horizontal="center" vertical="center" wrapText="1"/>
    </xf>
    <xf numFmtId="0" fontId="79" fillId="37" borderId="40" xfId="6977" quotePrefix="1" applyFont="1" applyFill="1" applyBorder="1" applyAlignment="1">
      <alignment horizontal="center" vertical="center" wrapText="1"/>
    </xf>
    <xf numFmtId="0" fontId="79" fillId="37" borderId="70" xfId="6977" applyFont="1" applyFill="1" applyBorder="1" applyAlignment="1">
      <alignment horizontal="center" vertical="center" wrapText="1"/>
    </xf>
    <xf numFmtId="0" fontId="79" fillId="37" borderId="42" xfId="6977" applyFont="1" applyFill="1" applyBorder="1" applyAlignment="1">
      <alignment vertical="center" wrapText="1"/>
    </xf>
    <xf numFmtId="0" fontId="79" fillId="37" borderId="27" xfId="6977" applyFont="1" applyFill="1" applyBorder="1" applyAlignment="1">
      <alignment vertical="center" wrapText="1"/>
    </xf>
    <xf numFmtId="0" fontId="79" fillId="37" borderId="39" xfId="6977" applyFont="1" applyFill="1" applyBorder="1" applyAlignment="1">
      <alignment horizontal="center" vertical="center" wrapText="1"/>
    </xf>
    <xf numFmtId="0" fontId="62" fillId="37" borderId="39" xfId="6977" applyFont="1" applyFill="1" applyBorder="1" applyAlignment="1">
      <alignment vertical="center" wrapText="1"/>
    </xf>
    <xf numFmtId="0" fontId="62" fillId="37" borderId="38" xfId="6977" applyFont="1" applyFill="1" applyBorder="1" applyAlignment="1">
      <alignment vertical="center" wrapText="1"/>
    </xf>
    <xf numFmtId="0" fontId="62" fillId="37" borderId="37" xfId="6977" applyFont="1" applyFill="1" applyBorder="1" applyAlignment="1">
      <alignment vertical="center" wrapText="1"/>
    </xf>
    <xf numFmtId="0" fontId="62" fillId="37" borderId="40" xfId="6977" applyFont="1" applyFill="1" applyBorder="1" applyAlignment="1">
      <alignment horizontal="center" vertical="center" wrapText="1"/>
    </xf>
    <xf numFmtId="0" fontId="62" fillId="37" borderId="1" xfId="6977" applyFont="1" applyFill="1" applyBorder="1" applyAlignment="1">
      <alignment vertical="center" wrapText="1"/>
    </xf>
    <xf numFmtId="0" fontId="128" fillId="0" borderId="0" xfId="6974" applyFont="1"/>
    <xf numFmtId="2" fontId="128" fillId="0" borderId="0" xfId="6974" applyNumberFormat="1" applyFont="1"/>
    <xf numFmtId="0" fontId="128" fillId="0" borderId="0" xfId="6974" applyFont="1" applyAlignment="1">
      <alignment wrapText="1"/>
    </xf>
    <xf numFmtId="0" fontId="130" fillId="0" borderId="0" xfId="6974" applyFont="1"/>
    <xf numFmtId="0" fontId="49" fillId="0" borderId="13" xfId="6974" applyFont="1" applyBorder="1" applyAlignment="1">
      <alignment horizontal="center" wrapText="1"/>
    </xf>
    <xf numFmtId="0" fontId="48" fillId="0" borderId="12" xfId="6974" applyFont="1" applyBorder="1" applyAlignment="1">
      <alignment wrapText="1"/>
    </xf>
    <xf numFmtId="3" fontId="49" fillId="0" borderId="13" xfId="6974" applyNumberFormat="1" applyFont="1" applyBorder="1" applyAlignment="1">
      <alignment horizontal="center" wrapText="1"/>
    </xf>
    <xf numFmtId="0" fontId="49" fillId="0" borderId="17" xfId="6974" applyFont="1" applyBorder="1" applyAlignment="1">
      <alignment horizontal="center" wrapText="1"/>
    </xf>
    <xf numFmtId="0" fontId="48" fillId="0" borderId="16" xfId="6974" applyFont="1" applyBorder="1" applyAlignment="1">
      <alignment wrapText="1"/>
    </xf>
    <xf numFmtId="0" fontId="51" fillId="0" borderId="13" xfId="6974" applyFont="1" applyBorder="1" applyAlignment="1">
      <alignment horizontal="center" wrapText="1"/>
    </xf>
    <xf numFmtId="0" fontId="51" fillId="0" borderId="15" xfId="6974" applyFont="1" applyBorder="1" applyAlignment="1">
      <alignment horizontal="center" wrapText="1"/>
    </xf>
    <xf numFmtId="0" fontId="50" fillId="0" borderId="14" xfId="6974" applyFont="1" applyBorder="1" applyAlignment="1">
      <alignment wrapText="1"/>
    </xf>
    <xf numFmtId="0" fontId="40" fillId="0" borderId="35" xfId="6973" applyBorder="1"/>
    <xf numFmtId="9" fontId="40" fillId="0" borderId="107" xfId="6973" applyNumberFormat="1" applyBorder="1"/>
    <xf numFmtId="1" fontId="40" fillId="0" borderId="21" xfId="6973" applyNumberFormat="1" applyBorder="1"/>
    <xf numFmtId="3" fontId="40" fillId="0" borderId="70" xfId="6973" applyNumberFormat="1" applyBorder="1"/>
    <xf numFmtId="3" fontId="40" fillId="0" borderId="0" xfId="6973" applyNumberFormat="1"/>
    <xf numFmtId="179" fontId="40" fillId="0" borderId="35" xfId="6973" applyNumberFormat="1" applyBorder="1"/>
    <xf numFmtId="9" fontId="131" fillId="0" borderId="107" xfId="6973" applyNumberFormat="1" applyFont="1" applyBorder="1"/>
    <xf numFmtId="9" fontId="78" fillId="0" borderId="107" xfId="6973" applyNumberFormat="1" applyFont="1" applyBorder="1"/>
    <xf numFmtId="0" fontId="132" fillId="0" borderId="0" xfId="6973" applyFont="1"/>
    <xf numFmtId="9" fontId="132" fillId="0" borderId="40" xfId="6973" applyNumberFormat="1" applyFont="1" applyBorder="1"/>
    <xf numFmtId="1" fontId="132" fillId="0" borderId="42" xfId="6973" applyNumberFormat="1" applyFont="1" applyBorder="1"/>
    <xf numFmtId="3" fontId="132" fillId="0" borderId="40" xfId="6973" applyNumberFormat="1" applyFont="1" applyBorder="1"/>
    <xf numFmtId="3" fontId="132" fillId="0" borderId="36" xfId="6973" applyNumberFormat="1" applyFont="1" applyBorder="1"/>
    <xf numFmtId="3" fontId="132" fillId="0" borderId="42" xfId="6973" applyNumberFormat="1" applyFont="1" applyBorder="1"/>
    <xf numFmtId="179" fontId="132" fillId="0" borderId="40" xfId="6973" applyNumberFormat="1" applyFont="1" applyBorder="1"/>
    <xf numFmtId="0" fontId="132" fillId="0" borderId="26" xfId="6973" applyFont="1" applyBorder="1"/>
    <xf numFmtId="9" fontId="132" fillId="0" borderId="70" xfId="6973" applyNumberFormat="1" applyFont="1" applyBorder="1"/>
    <xf numFmtId="1" fontId="132" fillId="0" borderId="21" xfId="6973" applyNumberFormat="1" applyFont="1" applyBorder="1"/>
    <xf numFmtId="3" fontId="132" fillId="0" borderId="70" xfId="6973" applyNumberFormat="1" applyFont="1" applyBorder="1"/>
    <xf numFmtId="3" fontId="132" fillId="0" borderId="0" xfId="6973" applyNumberFormat="1" applyFont="1"/>
    <xf numFmtId="3" fontId="132" fillId="0" borderId="21" xfId="6973" applyNumberFormat="1" applyFont="1" applyBorder="1"/>
    <xf numFmtId="179" fontId="132" fillId="0" borderId="70" xfId="6973" applyNumberFormat="1" applyFont="1" applyBorder="1"/>
    <xf numFmtId="0" fontId="132" fillId="0" borderId="27" xfId="6973" applyFont="1" applyBorder="1"/>
    <xf numFmtId="0" fontId="132" fillId="0" borderId="70" xfId="6973" applyFont="1" applyBorder="1"/>
    <xf numFmtId="0" fontId="132" fillId="0" borderId="21" xfId="6973" applyFont="1" applyBorder="1"/>
    <xf numFmtId="9" fontId="40" fillId="0" borderId="70" xfId="6973" applyNumberFormat="1" applyBorder="1"/>
    <xf numFmtId="3" fontId="40" fillId="0" borderId="21" xfId="6973" applyNumberFormat="1" applyBorder="1"/>
    <xf numFmtId="179" fontId="40" fillId="0" borderId="70" xfId="6973" applyNumberFormat="1" applyBorder="1"/>
    <xf numFmtId="0" fontId="40" fillId="0" borderId="27" xfId="6973" applyBorder="1"/>
    <xf numFmtId="1" fontId="132" fillId="0" borderId="70" xfId="6973" applyNumberFormat="1" applyFont="1" applyBorder="1"/>
    <xf numFmtId="1" fontId="132" fillId="0" borderId="0" xfId="6973" applyNumberFormat="1" applyFont="1"/>
    <xf numFmtId="9" fontId="133" fillId="0" borderId="107" xfId="6973" applyNumberFormat="1" applyFont="1" applyBorder="1"/>
    <xf numFmtId="0" fontId="134" fillId="0" borderId="0" xfId="6973" applyFont="1"/>
    <xf numFmtId="9" fontId="134" fillId="0" borderId="70" xfId="6973" applyNumberFormat="1" applyFont="1" applyBorder="1"/>
    <xf numFmtId="1" fontId="134" fillId="0" borderId="21" xfId="6973" applyNumberFormat="1" applyFont="1" applyBorder="1"/>
    <xf numFmtId="3" fontId="134" fillId="0" borderId="70" xfId="6973" applyNumberFormat="1" applyFont="1" applyBorder="1"/>
    <xf numFmtId="3" fontId="134" fillId="0" borderId="0" xfId="6973" applyNumberFormat="1" applyFont="1"/>
    <xf numFmtId="3" fontId="134" fillId="0" borderId="21" xfId="6973" applyNumberFormat="1" applyFont="1" applyBorder="1"/>
    <xf numFmtId="179" fontId="134" fillId="0" borderId="70" xfId="6973" applyNumberFormat="1" applyFont="1" applyBorder="1"/>
    <xf numFmtId="0" fontId="134" fillId="0" borderId="27" xfId="6973" applyFont="1" applyBorder="1"/>
    <xf numFmtId="0" fontId="40" fillId="0" borderId="70" xfId="6973" applyBorder="1"/>
    <xf numFmtId="0" fontId="40" fillId="0" borderId="21" xfId="6973" applyBorder="1"/>
    <xf numFmtId="2" fontId="0" fillId="0" borderId="0" xfId="6973" applyNumberFormat="1" applyFont="1"/>
    <xf numFmtId="2" fontId="40" fillId="0" borderId="13" xfId="6973" applyNumberFormat="1" applyBorder="1"/>
    <xf numFmtId="2" fontId="40" fillId="0" borderId="15" xfId="6973" applyNumberFormat="1" applyBorder="1"/>
    <xf numFmtId="0" fontId="135" fillId="0" borderId="14" xfId="6973" applyFont="1" applyBorder="1" applyAlignment="1">
      <alignment vertical="center"/>
    </xf>
    <xf numFmtId="2" fontId="40" fillId="0" borderId="17" xfId="6973" applyNumberFormat="1" applyBorder="1"/>
    <xf numFmtId="0" fontId="135" fillId="0" borderId="35" xfId="6973" applyFont="1" applyBorder="1" applyAlignment="1">
      <alignment vertical="center"/>
    </xf>
    <xf numFmtId="2" fontId="40" fillId="0" borderId="29" xfId="6973" applyNumberFormat="1" applyBorder="1"/>
    <xf numFmtId="2" fontId="40" fillId="0" borderId="34" xfId="6973" applyNumberFormat="1" applyBorder="1"/>
    <xf numFmtId="0" fontId="135" fillId="0" borderId="33" xfId="6973" applyFont="1" applyBorder="1" applyAlignment="1">
      <alignment vertical="center"/>
    </xf>
    <xf numFmtId="1" fontId="136" fillId="40" borderId="13" xfId="6973" applyNumberFormat="1" applyFont="1" applyFill="1" applyBorder="1"/>
    <xf numFmtId="1" fontId="136" fillId="40" borderId="15" xfId="6973" applyNumberFormat="1" applyFont="1" applyFill="1" applyBorder="1"/>
    <xf numFmtId="1" fontId="136" fillId="77" borderId="15" xfId="6973" applyNumberFormat="1" applyFont="1" applyFill="1" applyBorder="1"/>
    <xf numFmtId="167" fontId="136" fillId="79" borderId="15" xfId="6973" applyNumberFormat="1" applyFont="1" applyFill="1" applyBorder="1"/>
    <xf numFmtId="167" fontId="136" fillId="79" borderId="15" xfId="6973" quotePrefix="1" applyNumberFormat="1" applyFont="1" applyFill="1" applyBorder="1"/>
    <xf numFmtId="1" fontId="136" fillId="88" borderId="15" xfId="6973" applyNumberFormat="1" applyFont="1" applyFill="1" applyBorder="1"/>
    <xf numFmtId="1" fontId="136" fillId="40" borderId="17" xfId="6973" applyNumberFormat="1" applyFont="1" applyFill="1" applyBorder="1"/>
    <xf numFmtId="1" fontId="136" fillId="40" borderId="0" xfId="6973" applyNumberFormat="1" applyFont="1" applyFill="1"/>
    <xf numFmtId="1" fontId="136" fillId="77" borderId="0" xfId="6973" applyNumberFormat="1" applyFont="1" applyFill="1"/>
    <xf numFmtId="167" fontId="136" fillId="79" borderId="0" xfId="6973" applyNumberFormat="1" applyFont="1" applyFill="1"/>
    <xf numFmtId="1" fontId="136" fillId="88" borderId="0" xfId="6973" applyNumberFormat="1" applyFont="1" applyFill="1"/>
    <xf numFmtId="0" fontId="137" fillId="40" borderId="29" xfId="6973" applyFont="1" applyFill="1" applyBorder="1"/>
    <xf numFmtId="0" fontId="137" fillId="40" borderId="34" xfId="6973" applyFont="1" applyFill="1" applyBorder="1"/>
    <xf numFmtId="0" fontId="137" fillId="77" borderId="34" xfId="6973" applyFont="1" applyFill="1" applyBorder="1"/>
    <xf numFmtId="0" fontId="137" fillId="79" borderId="34" xfId="6973" applyFont="1" applyFill="1" applyBorder="1"/>
    <xf numFmtId="0" fontId="137" fillId="88" borderId="34" xfId="6973" applyFont="1" applyFill="1" applyBorder="1"/>
    <xf numFmtId="0" fontId="40" fillId="0" borderId="33" xfId="6973" applyBorder="1"/>
    <xf numFmtId="0" fontId="85" fillId="0" borderId="0" xfId="6978"/>
    <xf numFmtId="0" fontId="40" fillId="71" borderId="0" xfId="6973" applyFill="1"/>
    <xf numFmtId="0" fontId="46" fillId="71" borderId="0" xfId="6973" applyFont="1" applyFill="1"/>
    <xf numFmtId="0" fontId="135" fillId="0" borderId="15" xfId="6973" applyFont="1" applyBorder="1"/>
    <xf numFmtId="0" fontId="135" fillId="0" borderId="0" xfId="6973" applyFont="1"/>
    <xf numFmtId="0" fontId="135" fillId="0" borderId="34" xfId="6973" applyFont="1" applyBorder="1"/>
    <xf numFmtId="0" fontId="124" fillId="0" borderId="0" xfId="6979"/>
    <xf numFmtId="1" fontId="124" fillId="0" borderId="0" xfId="6979" applyNumberFormat="1"/>
    <xf numFmtId="1" fontId="136" fillId="79" borderId="15" xfId="6973" applyNumberFormat="1" applyFont="1" applyFill="1" applyBorder="1"/>
    <xf numFmtId="16" fontId="0" fillId="0" borderId="0" xfId="6973" applyNumberFormat="1" applyFont="1"/>
    <xf numFmtId="1" fontId="136" fillId="79" borderId="0" xfId="6973" applyNumberFormat="1" applyFont="1" applyFill="1"/>
    <xf numFmtId="0" fontId="40" fillId="0" borderId="34" xfId="6973" applyBorder="1"/>
    <xf numFmtId="1" fontId="138" fillId="0" borderId="33" xfId="6973" applyNumberFormat="1" applyFont="1" applyBorder="1"/>
    <xf numFmtId="0" fontId="40" fillId="0" borderId="40" xfId="6973" applyBorder="1"/>
    <xf numFmtId="0" fontId="40" fillId="0" borderId="36" xfId="6973" applyBorder="1"/>
    <xf numFmtId="0" fontId="40" fillId="0" borderId="42" xfId="6973" applyBorder="1"/>
    <xf numFmtId="0" fontId="135" fillId="0" borderId="0" xfId="6973" applyFont="1" applyAlignment="1">
      <alignment vertical="center"/>
    </xf>
    <xf numFmtId="0" fontId="0" fillId="0" borderId="21" xfId="6973" applyFont="1" applyBorder="1"/>
    <xf numFmtId="1" fontId="138" fillId="0" borderId="0" xfId="6973" applyNumberFormat="1" applyFont="1"/>
    <xf numFmtId="1" fontId="45" fillId="0" borderId="0" xfId="6973" applyNumberFormat="1" applyFont="1"/>
    <xf numFmtId="0" fontId="40" fillId="0" borderId="31" xfId="6973" applyBorder="1"/>
    <xf numFmtId="0" fontId="40" fillId="0" borderId="19" xfId="6973" applyBorder="1"/>
    <xf numFmtId="0" fontId="137" fillId="0" borderId="19" xfId="6973" applyFont="1" applyBorder="1"/>
    <xf numFmtId="0" fontId="137" fillId="0" borderId="41" xfId="6973" applyFont="1" applyBorder="1"/>
    <xf numFmtId="0" fontId="137" fillId="0" borderId="0" xfId="6973" applyFont="1"/>
    <xf numFmtId="179" fontId="40" fillId="0" borderId="31" xfId="6973" applyNumberFormat="1" applyBorder="1"/>
    <xf numFmtId="0" fontId="40" fillId="0" borderId="28" xfId="6973" applyBorder="1"/>
    <xf numFmtId="0" fontId="40" fillId="0" borderId="107" xfId="6973" applyBorder="1"/>
    <xf numFmtId="43" fontId="0" fillId="0" borderId="0" xfId="0" applyNumberFormat="1"/>
    <xf numFmtId="0" fontId="0" fillId="0" borderId="112" xfId="0" applyBorder="1"/>
    <xf numFmtId="167" fontId="0" fillId="0" borderId="0" xfId="0" applyNumberFormat="1"/>
    <xf numFmtId="1" fontId="0" fillId="0" borderId="0" xfId="0" applyNumberFormat="1"/>
    <xf numFmtId="0" fontId="69" fillId="106" borderId="113" xfId="0" applyFont="1" applyFill="1" applyBorder="1"/>
    <xf numFmtId="0" fontId="69" fillId="106" borderId="112" xfId="0" applyFont="1" applyFill="1" applyBorder="1"/>
    <xf numFmtId="1" fontId="69" fillId="106" borderId="112" xfId="0" applyNumberFormat="1" applyFont="1" applyFill="1" applyBorder="1"/>
    <xf numFmtId="167" fontId="69" fillId="106" borderId="112" xfId="0" applyNumberFormat="1" applyFont="1" applyFill="1" applyBorder="1"/>
    <xf numFmtId="165" fontId="69" fillId="106" borderId="112" xfId="0" applyNumberFormat="1" applyFont="1" applyFill="1" applyBorder="1"/>
    <xf numFmtId="2" fontId="69" fillId="106" borderId="112" xfId="0" applyNumberFormat="1" applyFont="1" applyFill="1" applyBorder="1"/>
    <xf numFmtId="167" fontId="69" fillId="107" borderId="112" xfId="0" applyNumberFormat="1" applyFont="1" applyFill="1" applyBorder="1"/>
    <xf numFmtId="1" fontId="69" fillId="107" borderId="114" xfId="0" applyNumberFormat="1" applyFont="1" applyFill="1" applyBorder="1"/>
    <xf numFmtId="0" fontId="0" fillId="108" borderId="113" xfId="0" applyFill="1" applyBorder="1"/>
    <xf numFmtId="0" fontId="0" fillId="108" borderId="112" xfId="0" applyFill="1" applyBorder="1"/>
    <xf numFmtId="0" fontId="0" fillId="94" borderId="0" xfId="0" applyFill="1"/>
    <xf numFmtId="0" fontId="0" fillId="0" borderId="113" xfId="0" applyBorder="1"/>
    <xf numFmtId="1" fontId="69" fillId="106" borderId="0" xfId="0" applyNumberFormat="1" applyFont="1" applyFill="1" applyBorder="1"/>
    <xf numFmtId="0" fontId="40" fillId="0" borderId="0" xfId="55821"/>
    <xf numFmtId="0" fontId="86" fillId="26" borderId="19" xfId="0" applyFont="1" applyFill="1" applyBorder="1" applyAlignment="1">
      <alignment horizontal="left" vertical="center" wrapText="1"/>
    </xf>
    <xf numFmtId="0" fontId="86" fillId="109" borderId="19" xfId="0" applyFont="1" applyFill="1" applyBorder="1" applyAlignment="1">
      <alignment horizontal="center" vertical="center" wrapText="1"/>
    </xf>
    <xf numFmtId="165" fontId="0" fillId="0" borderId="1" xfId="0" applyNumberFormat="1" applyFill="1" applyBorder="1" applyAlignment="1">
      <alignment horizontal="center"/>
    </xf>
    <xf numFmtId="167" fontId="59" fillId="0" borderId="1" xfId="0" applyNumberFormat="1" applyFont="1" applyFill="1" applyBorder="1" applyAlignment="1">
      <alignment horizontal="center"/>
    </xf>
    <xf numFmtId="0" fontId="47" fillId="0" borderId="1" xfId="0" applyFont="1" applyBorder="1" applyAlignment="1">
      <alignment horizontal="center"/>
    </xf>
    <xf numFmtId="0" fontId="59" fillId="0" borderId="1" xfId="0" applyFont="1" applyBorder="1" applyAlignment="1">
      <alignment horizontal="center"/>
    </xf>
    <xf numFmtId="167" fontId="59" fillId="0" borderId="1" xfId="0" applyNumberFormat="1" applyFont="1" applyBorder="1" applyAlignment="1">
      <alignment horizontal="center"/>
    </xf>
    <xf numFmtId="2" fontId="0" fillId="0" borderId="1" xfId="0" applyNumberFormat="1" applyBorder="1"/>
    <xf numFmtId="2" fontId="0" fillId="0" borderId="1" xfId="0" applyNumberFormat="1" applyBorder="1" applyAlignment="1">
      <alignment horizontal="center"/>
    </xf>
    <xf numFmtId="2" fontId="59" fillId="0" borderId="37" xfId="0" applyNumberFormat="1" applyFont="1" applyBorder="1" applyAlignment="1">
      <alignment horizontal="center"/>
    </xf>
    <xf numFmtId="0" fontId="50" fillId="0" borderId="14" xfId="0" applyFont="1" applyBorder="1" applyAlignment="1">
      <alignment horizontal="center" wrapText="1"/>
    </xf>
    <xf numFmtId="0" fontId="50" fillId="0" borderId="15" xfId="0" applyFont="1" applyBorder="1" applyAlignment="1">
      <alignment horizontal="center" wrapText="1"/>
    </xf>
    <xf numFmtId="0" fontId="50" fillId="0" borderId="13" xfId="0" applyFont="1" applyBorder="1" applyAlignment="1">
      <alignment horizontal="center" wrapText="1"/>
    </xf>
    <xf numFmtId="9" fontId="45" fillId="0" borderId="87" xfId="0" applyNumberFormat="1" applyFont="1" applyBorder="1" applyAlignment="1">
      <alignment horizontal="center" vertical="center"/>
    </xf>
    <xf numFmtId="0" fontId="0" fillId="0" borderId="27" xfId="0" applyBorder="1"/>
    <xf numFmtId="0" fontId="0" fillId="0" borderId="85" xfId="0" applyBorder="1"/>
    <xf numFmtId="9" fontId="45" fillId="0" borderId="27" xfId="0" applyNumberFormat="1" applyFont="1" applyBorder="1" applyAlignment="1">
      <alignment horizontal="center" vertical="center"/>
    </xf>
    <xf numFmtId="9" fontId="45" fillId="0" borderId="85" xfId="0" applyNumberFormat="1" applyFont="1" applyBorder="1" applyAlignment="1">
      <alignment horizontal="center" vertical="center"/>
    </xf>
    <xf numFmtId="0" fontId="50" fillId="0" borderId="35" xfId="0" applyFont="1" applyBorder="1" applyAlignment="1">
      <alignment horizontal="center" wrapText="1"/>
    </xf>
    <xf numFmtId="0" fontId="50" fillId="0" borderId="0" xfId="0" applyFont="1" applyAlignment="1">
      <alignment horizontal="center" wrapText="1"/>
    </xf>
    <xf numFmtId="0" fontId="50" fillId="0" borderId="17" xfId="0" applyFont="1" applyBorder="1" applyAlignment="1">
      <alignment horizontal="center" wrapText="1"/>
    </xf>
    <xf numFmtId="0" fontId="46" fillId="0" borderId="30" xfId="0" applyFont="1" applyBorder="1" applyAlignment="1">
      <alignment horizontal="center" vertical="center" wrapText="1"/>
    </xf>
    <xf numFmtId="0" fontId="46" fillId="0" borderId="16" xfId="0" applyFont="1" applyBorder="1" applyAlignment="1">
      <alignment horizontal="center" vertical="center" wrapText="1"/>
    </xf>
    <xf numFmtId="0" fontId="46" fillId="0" borderId="12" xfId="0" applyFont="1" applyBorder="1" applyAlignment="1">
      <alignment horizontal="center" vertical="center" wrapText="1"/>
    </xf>
    <xf numFmtId="0" fontId="92" fillId="85" borderId="30" xfId="0" applyFont="1" applyFill="1" applyBorder="1" applyAlignment="1">
      <alignment horizontal="center" vertical="center" textRotation="180" wrapText="1"/>
    </xf>
    <xf numFmtId="0" fontId="0" fillId="0" borderId="16" xfId="0" applyBorder="1"/>
    <xf numFmtId="0" fontId="0" fillId="0" borderId="12" xfId="0" applyBorder="1"/>
    <xf numFmtId="9" fontId="45" fillId="0" borderId="88" xfId="0" applyNumberFormat="1" applyFont="1" applyBorder="1" applyAlignment="1">
      <alignment horizontal="center" vertical="center"/>
    </xf>
    <xf numFmtId="9" fontId="45" fillId="0" borderId="89" xfId="0" applyNumberFormat="1" applyFont="1" applyBorder="1" applyAlignment="1">
      <alignment horizontal="center" vertical="center"/>
    </xf>
    <xf numFmtId="9" fontId="45" fillId="0" borderId="91" xfId="0" applyNumberFormat="1" applyFont="1" applyBorder="1" applyAlignment="1">
      <alignment horizontal="center" vertical="center"/>
    </xf>
    <xf numFmtId="0" fontId="90" fillId="0" borderId="30" xfId="0" applyFont="1" applyBorder="1" applyAlignment="1">
      <alignment horizontal="center" vertical="center" wrapText="1"/>
    </xf>
    <xf numFmtId="0" fontId="90" fillId="0" borderId="16" xfId="0" applyFont="1" applyBorder="1" applyAlignment="1">
      <alignment horizontal="center" vertical="center" wrapText="1"/>
    </xf>
    <xf numFmtId="0" fontId="90" fillId="0" borderId="12" xfId="0" applyFont="1" applyBorder="1" applyAlignment="1">
      <alignment horizontal="center" vertical="center" wrapText="1"/>
    </xf>
    <xf numFmtId="9" fontId="45" fillId="0" borderId="97" xfId="0" applyNumberFormat="1" applyFont="1" applyBorder="1" applyAlignment="1">
      <alignment horizontal="center" vertical="center"/>
    </xf>
    <xf numFmtId="9" fontId="45" fillId="0" borderId="98" xfId="0" applyNumberFormat="1" applyFont="1" applyBorder="1" applyAlignment="1">
      <alignment horizontal="center" vertical="center"/>
    </xf>
    <xf numFmtId="9" fontId="45" fillId="0" borderId="99" xfId="0" applyNumberFormat="1" applyFont="1" applyBorder="1" applyAlignment="1">
      <alignment horizontal="center" vertical="center"/>
    </xf>
    <xf numFmtId="0" fontId="90" fillId="0" borderId="75" xfId="0" applyFont="1" applyBorder="1" applyAlignment="1">
      <alignment horizontal="center" vertical="center" wrapText="1"/>
    </xf>
    <xf numFmtId="0" fontId="90" fillId="0" borderId="76" xfId="0" applyFont="1" applyBorder="1" applyAlignment="1">
      <alignment horizontal="center" vertical="center" wrapText="1"/>
    </xf>
    <xf numFmtId="0" fontId="45" fillId="0" borderId="1" xfId="0" applyFont="1" applyBorder="1" applyAlignment="1">
      <alignment wrapText="1"/>
    </xf>
    <xf numFmtId="0" fontId="45" fillId="0" borderId="81" xfId="0" applyFont="1" applyBorder="1" applyAlignment="1">
      <alignment wrapText="1"/>
    </xf>
    <xf numFmtId="0" fontId="91" fillId="33" borderId="30" xfId="0" applyFont="1" applyFill="1" applyBorder="1" applyAlignment="1">
      <alignment vertical="center" wrapText="1"/>
    </xf>
    <xf numFmtId="0" fontId="0" fillId="33" borderId="12" xfId="0" applyFill="1" applyBorder="1" applyAlignment="1">
      <alignment vertical="center" wrapText="1"/>
    </xf>
    <xf numFmtId="0" fontId="91" fillId="33" borderId="30" xfId="0" applyFont="1" applyFill="1" applyBorder="1" applyAlignment="1">
      <alignment horizontal="center" vertical="center" wrapText="1"/>
    </xf>
    <xf numFmtId="0" fontId="0" fillId="33" borderId="12" xfId="0" applyFill="1" applyBorder="1" applyAlignment="1">
      <alignment horizontal="center" vertical="center" wrapText="1"/>
    </xf>
    <xf numFmtId="0" fontId="62" fillId="37" borderId="77" xfId="0" applyFont="1" applyFill="1" applyBorder="1" applyAlignment="1">
      <alignment horizontal="center" vertical="top" wrapText="1"/>
    </xf>
    <xf numFmtId="0" fontId="62" fillId="37" borderId="78" xfId="0" applyFont="1" applyFill="1" applyBorder="1" applyAlignment="1">
      <alignment horizontal="center" vertical="top" wrapText="1"/>
    </xf>
    <xf numFmtId="0" fontId="90" fillId="0" borderId="33" xfId="0" applyFont="1" applyBorder="1" applyAlignment="1">
      <alignment horizontal="center" vertical="center" wrapText="1"/>
    </xf>
    <xf numFmtId="0" fontId="90" fillId="0" borderId="29" xfId="0" applyFont="1" applyBorder="1" applyAlignment="1">
      <alignment horizontal="center" vertical="center" wrapText="1"/>
    </xf>
    <xf numFmtId="0" fontId="90" fillId="0" borderId="35" xfId="0" applyFont="1" applyBorder="1" applyAlignment="1">
      <alignment horizontal="center" vertical="center" wrapText="1"/>
    </xf>
    <xf numFmtId="0" fontId="90" fillId="0" borderId="17" xfId="0" applyFont="1" applyBorder="1" applyAlignment="1">
      <alignment horizontal="center" vertical="center" wrapText="1"/>
    </xf>
    <xf numFmtId="0" fontId="90" fillId="0" borderId="101" xfId="0" applyFont="1" applyBorder="1" applyAlignment="1">
      <alignment horizontal="center" vertical="center" wrapText="1"/>
    </xf>
    <xf numFmtId="0" fontId="90" fillId="0" borderId="102" xfId="0" applyFont="1" applyBorder="1" applyAlignment="1">
      <alignment horizontal="center" vertical="center" wrapText="1"/>
    </xf>
    <xf numFmtId="0" fontId="45" fillId="0" borderId="74" xfId="0" applyFont="1" applyBorder="1" applyAlignment="1">
      <alignment textRotation="180" wrapText="1"/>
    </xf>
    <xf numFmtId="0" fontId="45" fillId="0" borderId="80" xfId="0" applyFont="1" applyBorder="1" applyAlignment="1">
      <alignment textRotation="180" wrapText="1"/>
    </xf>
    <xf numFmtId="0" fontId="45" fillId="0" borderId="39" xfId="0" applyFont="1" applyBorder="1" applyAlignment="1">
      <alignment wrapText="1"/>
    </xf>
    <xf numFmtId="0" fontId="45" fillId="0" borderId="31" xfId="0" applyFont="1" applyBorder="1" applyAlignment="1">
      <alignment wrapText="1"/>
    </xf>
    <xf numFmtId="0" fontId="90" fillId="0" borderId="79" xfId="0" applyFont="1" applyBorder="1" applyAlignment="1">
      <alignment horizontal="center" vertical="center" textRotation="180" wrapText="1"/>
    </xf>
    <xf numFmtId="0" fontId="90" fillId="0" borderId="80" xfId="0" applyFont="1" applyBorder="1" applyAlignment="1">
      <alignment horizontal="center" vertical="center" textRotation="180" wrapText="1"/>
    </xf>
    <xf numFmtId="0" fontId="90" fillId="0" borderId="83" xfId="0" applyFont="1" applyBorder="1" applyAlignment="1">
      <alignment horizontal="center" vertical="center" textRotation="180" wrapText="1"/>
    </xf>
    <xf numFmtId="0" fontId="90" fillId="0" borderId="39" xfId="0" applyFont="1" applyBorder="1" applyAlignment="1">
      <alignment vertical="center" wrapText="1"/>
    </xf>
    <xf numFmtId="0" fontId="90" fillId="0" borderId="1" xfId="0" applyFont="1" applyBorder="1" applyAlignment="1">
      <alignment vertical="center" wrapText="1"/>
    </xf>
    <xf numFmtId="0" fontId="45" fillId="0" borderId="28" xfId="0" applyFont="1" applyBorder="1" applyAlignment="1">
      <alignment wrapText="1"/>
    </xf>
    <xf numFmtId="3" fontId="46" fillId="83" borderId="23" xfId="1257" applyFont="1" applyFill="1" applyBorder="1" applyAlignment="1">
      <alignment horizontal="left" vertical="center" wrapText="1"/>
    </xf>
    <xf numFmtId="0" fontId="91" fillId="83" borderId="24" xfId="0" applyFont="1" applyFill="1" applyBorder="1" applyAlignment="1">
      <alignment horizontal="left" vertical="center" wrapText="1"/>
    </xf>
    <xf numFmtId="0" fontId="91" fillId="83" borderId="25" xfId="0" applyFont="1" applyFill="1" applyBorder="1" applyAlignment="1">
      <alignment horizontal="left" vertical="center" wrapText="1"/>
    </xf>
    <xf numFmtId="0" fontId="91" fillId="83" borderId="30" xfId="0" applyFont="1" applyFill="1" applyBorder="1" applyAlignment="1">
      <alignment horizontal="center" vertical="center" wrapText="1"/>
    </xf>
    <xf numFmtId="0" fontId="0" fillId="0" borderId="12" xfId="0" applyBorder="1" applyAlignment="1">
      <alignment horizontal="center" vertical="center" wrapText="1"/>
    </xf>
    <xf numFmtId="0" fontId="45" fillId="0" borderId="27" xfId="0" applyFont="1" applyBorder="1" applyAlignment="1">
      <alignment horizontal="center" vertical="center"/>
    </xf>
    <xf numFmtId="0" fontId="45" fillId="0" borderId="85" xfId="0" applyFont="1" applyBorder="1" applyAlignment="1">
      <alignment horizontal="center" vertical="center"/>
    </xf>
    <xf numFmtId="0" fontId="45" fillId="0" borderId="89" xfId="0" applyFont="1" applyBorder="1" applyAlignment="1">
      <alignment horizontal="center" vertical="center"/>
    </xf>
    <xf numFmtId="0" fontId="45" fillId="0" borderId="91" xfId="0" applyFont="1" applyBorder="1" applyAlignment="1">
      <alignment horizontal="center" vertical="center"/>
    </xf>
    <xf numFmtId="0" fontId="92" fillId="85" borderId="16" xfId="0" applyFont="1" applyFill="1" applyBorder="1" applyAlignment="1">
      <alignment horizontal="center" vertical="center" textRotation="180" wrapText="1"/>
    </xf>
    <xf numFmtId="0" fontId="92" fillId="85" borderId="12" xfId="0" applyFont="1" applyFill="1" applyBorder="1" applyAlignment="1">
      <alignment horizontal="center" vertical="center" textRotation="180" wrapText="1"/>
    </xf>
    <xf numFmtId="0" fontId="90" fillId="0" borderId="28" xfId="0" applyFont="1" applyBorder="1" applyAlignment="1">
      <alignment vertical="center" wrapText="1"/>
    </xf>
    <xf numFmtId="0" fontId="90" fillId="0" borderId="85" xfId="0" applyFont="1" applyBorder="1" applyAlignment="1">
      <alignment vertical="center" wrapText="1"/>
    </xf>
    <xf numFmtId="3" fontId="92" fillId="85" borderId="30" xfId="0" applyNumberFormat="1" applyFont="1" applyFill="1" applyBorder="1" applyAlignment="1">
      <alignment horizontal="center" vertical="center" textRotation="180" wrapText="1"/>
    </xf>
    <xf numFmtId="0" fontId="62" fillId="88" borderId="77" xfId="0" applyFont="1" applyFill="1" applyBorder="1" applyAlignment="1">
      <alignment horizontal="center" vertical="top" wrapText="1"/>
    </xf>
    <xf numFmtId="0" fontId="62" fillId="88" borderId="78" xfId="0" applyFont="1" applyFill="1" applyBorder="1" applyAlignment="1">
      <alignment horizontal="center" vertical="top" wrapText="1"/>
    </xf>
    <xf numFmtId="0" fontId="91" fillId="88" borderId="30" xfId="0" applyFont="1" applyFill="1" applyBorder="1" applyAlignment="1">
      <alignment horizontal="center" vertical="center" wrapText="1"/>
    </xf>
    <xf numFmtId="0" fontId="0" fillId="88" borderId="12" xfId="0" applyFill="1" applyBorder="1" applyAlignment="1">
      <alignment horizontal="center" vertical="center" wrapText="1"/>
    </xf>
    <xf numFmtId="0" fontId="46" fillId="83" borderId="23" xfId="1257" applyNumberFormat="1" applyFont="1" applyFill="1" applyBorder="1" applyAlignment="1">
      <alignment horizontal="left" vertical="center" wrapText="1"/>
    </xf>
    <xf numFmtId="0" fontId="88" fillId="83" borderId="24" xfId="0" applyFont="1" applyFill="1" applyBorder="1" applyAlignment="1">
      <alignment horizontal="left" vertical="center" wrapText="1"/>
    </xf>
    <xf numFmtId="0" fontId="88" fillId="83" borderId="25" xfId="0" applyFont="1" applyFill="1" applyBorder="1" applyAlignment="1">
      <alignment horizontal="left" vertical="center" wrapText="1"/>
    </xf>
    <xf numFmtId="0" fontId="50" fillId="0" borderId="0" xfId="0" applyFont="1" applyAlignment="1">
      <alignment wrapText="1"/>
    </xf>
    <xf numFmtId="3" fontId="114" fillId="83" borderId="37" xfId="1257" applyFont="1" applyFill="1" applyBorder="1" applyAlignment="1">
      <alignment horizontal="center" vertical="center" wrapText="1"/>
    </xf>
    <xf numFmtId="3" fontId="114" fillId="83" borderId="38" xfId="1257" applyFont="1" applyFill="1" applyBorder="1" applyAlignment="1">
      <alignment horizontal="center" vertical="center" wrapText="1"/>
    </xf>
    <xf numFmtId="3" fontId="114" fillId="83" borderId="39" xfId="1257" applyFont="1" applyFill="1" applyBorder="1" applyAlignment="1">
      <alignment horizontal="center" vertical="center" wrapText="1"/>
    </xf>
    <xf numFmtId="0" fontId="121" fillId="83" borderId="37" xfId="0" applyFont="1" applyFill="1" applyBorder="1" applyAlignment="1">
      <alignment horizontal="center" vertical="center" wrapText="1"/>
    </xf>
    <xf numFmtId="0" fontId="121" fillId="83" borderId="39" xfId="0" applyFont="1" applyFill="1" applyBorder="1" applyAlignment="1">
      <alignment horizontal="center" vertical="center" wrapText="1"/>
    </xf>
    <xf numFmtId="0" fontId="113" fillId="83" borderId="38" xfId="0" applyFont="1" applyFill="1" applyBorder="1" applyAlignment="1">
      <alignment horizontal="center" vertical="center" wrapText="1"/>
    </xf>
    <xf numFmtId="0" fontId="113" fillId="83" borderId="39" xfId="0" applyFont="1" applyFill="1" applyBorder="1" applyAlignment="1">
      <alignment horizontal="center" vertical="center" wrapText="1"/>
    </xf>
    <xf numFmtId="1" fontId="0" fillId="0" borderId="0" xfId="0" applyNumberFormat="1" applyAlignment="1">
      <alignment horizontal="center"/>
    </xf>
    <xf numFmtId="165" fontId="0" fillId="0" borderId="0" xfId="0" applyNumberFormat="1" applyAlignment="1">
      <alignment horizontal="center"/>
    </xf>
    <xf numFmtId="0" fontId="62" fillId="84" borderId="77" xfId="0" applyFont="1" applyFill="1" applyBorder="1" applyAlignment="1">
      <alignment horizontal="center" vertical="top" wrapText="1"/>
    </xf>
    <xf numFmtId="0" fontId="62" fillId="84" borderId="78" xfId="0" applyFont="1" applyFill="1" applyBorder="1" applyAlignment="1">
      <alignment horizontal="center" vertical="top" wrapText="1"/>
    </xf>
    <xf numFmtId="0" fontId="91" fillId="84" borderId="30" xfId="0" applyFont="1" applyFill="1" applyBorder="1" applyAlignment="1">
      <alignment horizontal="center" vertical="center" wrapText="1"/>
    </xf>
    <xf numFmtId="0" fontId="0" fillId="84" borderId="12" xfId="0" applyFill="1" applyBorder="1" applyAlignment="1">
      <alignment horizontal="center" vertical="center" wrapText="1"/>
    </xf>
    <xf numFmtId="0" fontId="62" fillId="80" borderId="77" xfId="0" applyFont="1" applyFill="1" applyBorder="1" applyAlignment="1">
      <alignment horizontal="center" vertical="top" wrapText="1"/>
    </xf>
    <xf numFmtId="0" fontId="62" fillId="80" borderId="78" xfId="0" applyFont="1" applyFill="1" applyBorder="1" applyAlignment="1">
      <alignment horizontal="center" vertical="top" wrapText="1"/>
    </xf>
    <xf numFmtId="0" fontId="106" fillId="37" borderId="23" xfId="1257" applyNumberFormat="1" applyFont="1" applyBorder="1" applyAlignment="1">
      <alignment horizontal="left"/>
    </xf>
    <xf numFmtId="0" fontId="106" fillId="37" borderId="24" xfId="1257" applyNumberFormat="1" applyFont="1" applyBorder="1" applyAlignment="1">
      <alignment horizontal="left"/>
    </xf>
    <xf numFmtId="0" fontId="106" fillId="37" borderId="25" xfId="1257" applyNumberFormat="1" applyFont="1" applyBorder="1" applyAlignment="1">
      <alignment horizontal="left"/>
    </xf>
    <xf numFmtId="0" fontId="62" fillId="84" borderId="25" xfId="0" applyFont="1" applyFill="1" applyBorder="1" applyAlignment="1">
      <alignment horizontal="center" vertical="top" wrapText="1"/>
    </xf>
    <xf numFmtId="0" fontId="91" fillId="84" borderId="12" xfId="0" applyFont="1" applyFill="1" applyBorder="1" applyAlignment="1">
      <alignment horizontal="center" vertical="center" wrapText="1"/>
    </xf>
    <xf numFmtId="0" fontId="91" fillId="33" borderId="12" xfId="0" applyFont="1" applyFill="1" applyBorder="1" applyAlignment="1">
      <alignment vertical="center" wrapText="1"/>
    </xf>
    <xf numFmtId="0" fontId="91" fillId="33" borderId="12" xfId="0" applyFont="1" applyFill="1" applyBorder="1" applyAlignment="1">
      <alignment horizontal="center" vertical="center" wrapText="1"/>
    </xf>
    <xf numFmtId="0" fontId="62" fillId="84" borderId="23" xfId="0" applyFont="1" applyFill="1" applyBorder="1" applyAlignment="1">
      <alignment horizontal="center" vertical="top" wrapText="1"/>
    </xf>
    <xf numFmtId="0" fontId="88" fillId="33" borderId="41" xfId="0" applyFont="1" applyFill="1" applyBorder="1" applyAlignment="1">
      <alignment horizontal="center" vertical="center" wrapText="1"/>
    </xf>
    <xf numFmtId="0" fontId="88" fillId="33" borderId="19" xfId="0" applyFont="1" applyFill="1" applyBorder="1" applyAlignment="1">
      <alignment horizontal="center" vertical="center" wrapText="1"/>
    </xf>
    <xf numFmtId="0" fontId="88" fillId="33" borderId="31" xfId="0" applyFont="1" applyFill="1" applyBorder="1" applyAlignment="1">
      <alignment horizontal="center" vertical="center" wrapText="1"/>
    </xf>
    <xf numFmtId="0" fontId="88" fillId="33" borderId="21" xfId="0" applyFont="1" applyFill="1" applyBorder="1" applyAlignment="1">
      <alignment horizontal="center" vertical="center" wrapText="1"/>
    </xf>
    <xf numFmtId="0" fontId="88" fillId="33" borderId="0" xfId="0" applyFont="1" applyFill="1" applyBorder="1" applyAlignment="1">
      <alignment horizontal="center" vertical="center" wrapText="1"/>
    </xf>
    <xf numFmtId="0" fontId="88" fillId="33" borderId="70" xfId="0" applyFont="1" applyFill="1" applyBorder="1" applyAlignment="1">
      <alignment horizontal="center" vertical="center" wrapText="1"/>
    </xf>
    <xf numFmtId="0" fontId="88" fillId="33" borderId="22" xfId="0" applyFont="1" applyFill="1" applyBorder="1" applyAlignment="1">
      <alignment horizontal="center" vertical="center" wrapText="1"/>
    </xf>
    <xf numFmtId="0" fontId="88" fillId="33" borderId="15" xfId="0" applyFont="1" applyFill="1" applyBorder="1" applyAlignment="1">
      <alignment horizontal="center" vertical="center" wrapText="1"/>
    </xf>
    <xf numFmtId="0" fontId="88" fillId="33" borderId="100" xfId="0" applyFont="1" applyFill="1" applyBorder="1" applyAlignment="1">
      <alignment horizontal="center" vertical="center" wrapText="1"/>
    </xf>
    <xf numFmtId="0" fontId="95" fillId="84" borderId="37" xfId="0" applyFont="1" applyFill="1" applyBorder="1" applyAlignment="1">
      <alignment horizontal="center" vertical="center"/>
    </xf>
    <xf numFmtId="0" fontId="95" fillId="84" borderId="38" xfId="0" applyFont="1" applyFill="1" applyBorder="1" applyAlignment="1">
      <alignment horizontal="center" vertical="center"/>
    </xf>
    <xf numFmtId="0" fontId="95" fillId="84" borderId="39" xfId="0" applyFont="1" applyFill="1" applyBorder="1" applyAlignment="1">
      <alignment horizontal="center" vertical="center"/>
    </xf>
    <xf numFmtId="167" fontId="88" fillId="33" borderId="41" xfId="0" applyNumberFormat="1" applyFont="1" applyFill="1" applyBorder="1" applyAlignment="1">
      <alignment horizontal="center" vertical="center" wrapText="1"/>
    </xf>
    <xf numFmtId="167" fontId="88" fillId="33" borderId="19" xfId="0" applyNumberFormat="1" applyFont="1" applyFill="1" applyBorder="1" applyAlignment="1">
      <alignment horizontal="center" vertical="center" wrapText="1"/>
    </xf>
    <xf numFmtId="167" fontId="88" fillId="33" borderId="31" xfId="0" applyNumberFormat="1" applyFont="1" applyFill="1" applyBorder="1" applyAlignment="1">
      <alignment horizontal="center" vertical="center" wrapText="1"/>
    </xf>
    <xf numFmtId="167" fontId="88" fillId="33" borderId="21" xfId="0" applyNumberFormat="1" applyFont="1" applyFill="1" applyBorder="1" applyAlignment="1">
      <alignment horizontal="center" vertical="center" wrapText="1"/>
    </xf>
    <xf numFmtId="167" fontId="88" fillId="33" borderId="0" xfId="0" applyNumberFormat="1" applyFont="1" applyFill="1" applyBorder="1" applyAlignment="1">
      <alignment horizontal="center" vertical="center" wrapText="1"/>
    </xf>
    <xf numFmtId="167" fontId="88" fillId="33" borderId="70" xfId="0" applyNumberFormat="1" applyFont="1" applyFill="1" applyBorder="1" applyAlignment="1">
      <alignment horizontal="center" vertical="center" wrapText="1"/>
    </xf>
    <xf numFmtId="0" fontId="45" fillId="0" borderId="23" xfId="0" applyFont="1" applyBorder="1" applyAlignment="1">
      <alignment horizontal="center"/>
    </xf>
    <xf numFmtId="0" fontId="45" fillId="0" borderId="25" xfId="0" applyFont="1" applyBorder="1" applyAlignment="1">
      <alignment horizontal="center"/>
    </xf>
    <xf numFmtId="0" fontId="88" fillId="33" borderId="0" xfId="0" applyFont="1" applyFill="1" applyAlignment="1">
      <alignment horizontal="center" vertical="center" wrapText="1"/>
    </xf>
    <xf numFmtId="3" fontId="106" fillId="37" borderId="23" xfId="1257" applyFont="1" applyBorder="1" applyAlignment="1">
      <alignment horizontal="left"/>
    </xf>
    <xf numFmtId="0" fontId="95" fillId="37" borderId="24" xfId="0" applyFont="1" applyFill="1" applyBorder="1" applyAlignment="1">
      <alignment horizontal="left"/>
    </xf>
    <xf numFmtId="0" fontId="95" fillId="37" borderId="25" xfId="0" applyFont="1" applyFill="1" applyBorder="1" applyAlignment="1">
      <alignment horizontal="left"/>
    </xf>
    <xf numFmtId="0" fontId="0" fillId="0" borderId="89" xfId="0" applyBorder="1"/>
    <xf numFmtId="0" fontId="0" fillId="0" borderId="91" xfId="0" applyBorder="1"/>
    <xf numFmtId="0" fontId="50" fillId="0" borderId="30" xfId="0" applyFont="1" applyBorder="1" applyAlignment="1">
      <alignment wrapText="1"/>
    </xf>
    <xf numFmtId="0" fontId="50" fillId="0" borderId="12" xfId="0" applyFont="1" applyBorder="1" applyAlignment="1">
      <alignment wrapText="1"/>
    </xf>
    <xf numFmtId="0" fontId="50" fillId="0" borderId="33" xfId="0" applyFont="1" applyBorder="1" applyAlignment="1">
      <alignment horizontal="center" wrapText="1"/>
    </xf>
    <xf numFmtId="0" fontId="50" fillId="0" borderId="34" xfId="0" applyFont="1" applyBorder="1" applyAlignment="1">
      <alignment horizontal="center" wrapText="1"/>
    </xf>
    <xf numFmtId="0" fontId="50" fillId="0" borderId="29" xfId="0" applyFont="1" applyBorder="1" applyAlignment="1">
      <alignment horizontal="center" wrapText="1"/>
    </xf>
    <xf numFmtId="0" fontId="50" fillId="0" borderId="23" xfId="0" applyFont="1" applyBorder="1" applyAlignment="1">
      <alignment horizontal="center" wrapText="1"/>
    </xf>
    <xf numFmtId="0" fontId="50" fillId="0" borderId="24" xfId="0" applyFont="1" applyBorder="1" applyAlignment="1">
      <alignment horizontal="center" wrapText="1"/>
    </xf>
    <xf numFmtId="0" fontId="50" fillId="0" borderId="25" xfId="0" applyFont="1" applyBorder="1" applyAlignment="1">
      <alignment horizontal="center" wrapText="1"/>
    </xf>
    <xf numFmtId="0" fontId="50" fillId="0" borderId="59" xfId="0" applyFont="1" applyBorder="1" applyAlignment="1">
      <alignment wrapText="1"/>
    </xf>
    <xf numFmtId="0" fontId="50" fillId="0" borderId="58" xfId="0" applyFont="1" applyBorder="1" applyAlignment="1">
      <alignment wrapText="1"/>
    </xf>
    <xf numFmtId="0" fontId="50" fillId="0" borderId="0" xfId="0" applyFont="1" applyBorder="1" applyAlignment="1">
      <alignment horizontal="center" wrapText="1"/>
    </xf>
    <xf numFmtId="0" fontId="50" fillId="0" borderId="37" xfId="0" applyFont="1" applyBorder="1" applyAlignment="1">
      <alignment wrapText="1"/>
    </xf>
    <xf numFmtId="0" fontId="50" fillId="0" borderId="41" xfId="0" applyFont="1" applyBorder="1" applyAlignment="1">
      <alignment horizontal="center" wrapText="1"/>
    </xf>
    <xf numFmtId="0" fontId="50" fillId="0" borderId="19" xfId="0" applyFont="1" applyBorder="1" applyAlignment="1">
      <alignment horizontal="center" wrapText="1"/>
    </xf>
    <xf numFmtId="0" fontId="50" fillId="0" borderId="31" xfId="0" applyFont="1" applyBorder="1" applyAlignment="1">
      <alignment horizontal="center" wrapText="1"/>
    </xf>
    <xf numFmtId="0" fontId="50" fillId="0" borderId="42" xfId="0" applyFont="1" applyBorder="1" applyAlignment="1">
      <alignment horizontal="center" wrapText="1"/>
    </xf>
    <xf numFmtId="0" fontId="50" fillId="0" borderId="36" xfId="0" applyFont="1" applyBorder="1" applyAlignment="1">
      <alignment horizontal="center" wrapText="1"/>
    </xf>
    <xf numFmtId="0" fontId="50" fillId="0" borderId="40" xfId="0" applyFont="1" applyBorder="1" applyAlignment="1">
      <alignment horizontal="center" wrapText="1"/>
    </xf>
    <xf numFmtId="0" fontId="48" fillId="0" borderId="34" xfId="0" applyFont="1" applyBorder="1" applyAlignment="1">
      <alignment horizontal="center" vertical="center" wrapText="1"/>
    </xf>
    <xf numFmtId="0" fontId="48" fillId="0" borderId="0" xfId="0" applyFont="1" applyBorder="1" applyAlignment="1">
      <alignment horizontal="center" vertical="center" wrapText="1"/>
    </xf>
    <xf numFmtId="0" fontId="48" fillId="0" borderId="15" xfId="0" applyFont="1" applyBorder="1" applyAlignment="1">
      <alignment horizontal="center" vertical="center" wrapText="1"/>
    </xf>
    <xf numFmtId="0" fontId="50" fillId="0" borderId="16" xfId="0" applyFont="1" applyBorder="1" applyAlignment="1">
      <alignment wrapText="1"/>
    </xf>
    <xf numFmtId="0" fontId="48" fillId="0" borderId="33" xfId="0" applyFont="1" applyBorder="1" applyAlignment="1">
      <alignment vertical="center" wrapText="1"/>
    </xf>
    <xf numFmtId="0" fontId="48" fillId="0" borderId="34" xfId="0" applyFont="1" applyBorder="1" applyAlignment="1">
      <alignment vertical="center" wrapText="1"/>
    </xf>
    <xf numFmtId="0" fontId="48" fillId="0" borderId="29" xfId="0" applyFont="1" applyBorder="1" applyAlignment="1">
      <alignment vertical="center" wrapText="1"/>
    </xf>
    <xf numFmtId="0" fontId="48" fillId="0" borderId="35" xfId="0" applyFont="1" applyBorder="1" applyAlignment="1">
      <alignment vertical="center" wrapText="1"/>
    </xf>
    <xf numFmtId="0" fontId="48" fillId="0" borderId="0" xfId="0" applyFont="1" applyBorder="1" applyAlignment="1">
      <alignment vertical="center" wrapText="1"/>
    </xf>
    <xf numFmtId="0" fontId="48" fillId="0" borderId="17" xfId="0" applyFont="1" applyBorder="1" applyAlignment="1">
      <alignment vertical="center" wrapText="1"/>
    </xf>
    <xf numFmtId="0" fontId="48" fillId="0" borderId="14" xfId="0" applyFont="1" applyBorder="1" applyAlignment="1">
      <alignment vertical="center" wrapText="1"/>
    </xf>
    <xf numFmtId="0" fontId="48" fillId="0" borderId="15" xfId="0" applyFont="1" applyBorder="1" applyAlignment="1">
      <alignment vertical="center" wrapText="1"/>
    </xf>
    <xf numFmtId="0" fontId="48" fillId="0" borderId="13" xfId="0" applyFont="1" applyBorder="1" applyAlignment="1">
      <alignment vertical="center" wrapText="1"/>
    </xf>
    <xf numFmtId="0" fontId="50" fillId="0" borderId="24" xfId="0" applyFont="1" applyBorder="1" applyAlignment="1">
      <alignment horizontal="center" vertical="top" wrapText="1"/>
    </xf>
    <xf numFmtId="0" fontId="50" fillId="0" borderId="25" xfId="0" applyFont="1" applyBorder="1" applyAlignment="1">
      <alignment horizontal="center" vertical="top" wrapText="1"/>
    </xf>
    <xf numFmtId="0" fontId="50" fillId="0" borderId="23" xfId="0" applyFont="1" applyBorder="1" applyAlignment="1">
      <alignment horizontal="center" vertical="top" wrapText="1"/>
    </xf>
    <xf numFmtId="0" fontId="48" fillId="0" borderId="24" xfId="0" applyFont="1" applyFill="1" applyBorder="1" applyAlignment="1">
      <alignment horizontal="center" vertical="top" wrapText="1"/>
    </xf>
    <xf numFmtId="0" fontId="48" fillId="0" borderId="25" xfId="0" applyFont="1" applyFill="1" applyBorder="1" applyAlignment="1">
      <alignment horizontal="center" vertical="top" wrapText="1"/>
    </xf>
    <xf numFmtId="0" fontId="48" fillId="0" borderId="24" xfId="0" applyFont="1" applyBorder="1" applyAlignment="1">
      <alignment horizontal="center" vertical="top" wrapText="1"/>
    </xf>
    <xf numFmtId="0" fontId="48" fillId="0" borderId="25" xfId="0" applyFont="1" applyBorder="1" applyAlignment="1">
      <alignment horizontal="center" vertical="top" wrapText="1"/>
    </xf>
    <xf numFmtId="0" fontId="62" fillId="37" borderId="1" xfId="0" applyFont="1" applyFill="1" applyBorder="1" applyAlignment="1">
      <alignment vertical="top" wrapText="1"/>
    </xf>
    <xf numFmtId="0" fontId="79" fillId="37" borderId="1" xfId="0" applyFont="1" applyFill="1" applyBorder="1" applyAlignment="1">
      <alignment horizontal="center" vertical="top" wrapText="1"/>
    </xf>
    <xf numFmtId="0" fontId="79" fillId="37" borderId="41" xfId="0" applyFont="1" applyFill="1" applyBorder="1" applyAlignment="1">
      <alignment horizontal="center" vertical="center" wrapText="1"/>
    </xf>
    <xf numFmtId="0" fontId="79" fillId="37" borderId="19" xfId="0" applyFont="1" applyFill="1" applyBorder="1" applyAlignment="1">
      <alignment horizontal="center" vertical="center" wrapText="1"/>
    </xf>
    <xf numFmtId="0" fontId="79" fillId="37" borderId="31" xfId="0" applyFont="1" applyFill="1" applyBorder="1" applyAlignment="1">
      <alignment horizontal="center" vertical="center" wrapText="1"/>
    </xf>
    <xf numFmtId="0" fontId="79" fillId="37" borderId="21" xfId="0" applyFont="1" applyFill="1" applyBorder="1" applyAlignment="1">
      <alignment horizontal="center" vertical="center" wrapText="1"/>
    </xf>
    <xf numFmtId="0" fontId="79" fillId="37" borderId="0" xfId="0" applyFont="1" applyFill="1" applyBorder="1" applyAlignment="1">
      <alignment horizontal="center" vertical="center" wrapText="1"/>
    </xf>
    <xf numFmtId="0" fontId="79" fillId="37" borderId="70" xfId="0" applyFont="1" applyFill="1" applyBorder="1" applyAlignment="1">
      <alignment horizontal="center" vertical="center" wrapText="1"/>
    </xf>
    <xf numFmtId="0" fontId="79" fillId="37" borderId="42" xfId="0" applyFont="1" applyFill="1" applyBorder="1" applyAlignment="1">
      <alignment horizontal="center" vertical="center" wrapText="1"/>
    </xf>
    <xf numFmtId="0" fontId="79" fillId="37" borderId="36" xfId="0" applyFont="1" applyFill="1" applyBorder="1" applyAlignment="1">
      <alignment horizontal="center" vertical="center" wrapText="1"/>
    </xf>
    <xf numFmtId="0" fontId="79" fillId="37" borderId="40" xfId="0" applyFont="1" applyFill="1" applyBorder="1" applyAlignment="1">
      <alignment horizontal="center" vertical="center" wrapText="1"/>
    </xf>
    <xf numFmtId="0" fontId="62" fillId="37" borderId="1" xfId="0" applyFont="1" applyFill="1" applyBorder="1" applyAlignment="1">
      <alignment horizontal="center" vertical="top" wrapText="1"/>
    </xf>
    <xf numFmtId="0" fontId="0" fillId="37" borderId="1" xfId="0" applyFill="1" applyBorder="1" applyAlignment="1">
      <alignment horizontal="center" vertical="top" wrapText="1"/>
    </xf>
    <xf numFmtId="0" fontId="49" fillId="0" borderId="33" xfId="0" applyFont="1" applyBorder="1" applyAlignment="1">
      <alignment horizontal="center" vertical="center" wrapText="1"/>
    </xf>
    <xf numFmtId="0" fontId="49" fillId="0" borderId="34" xfId="0" applyFont="1" applyBorder="1" applyAlignment="1">
      <alignment horizontal="center" vertical="center" wrapText="1"/>
    </xf>
    <xf numFmtId="0" fontId="49" fillId="0" borderId="29" xfId="0" applyFont="1" applyBorder="1" applyAlignment="1">
      <alignment horizontal="center" vertical="center" wrapText="1"/>
    </xf>
    <xf numFmtId="0" fontId="49" fillId="0" borderId="35" xfId="0" applyFont="1" applyBorder="1" applyAlignment="1">
      <alignment horizontal="center" vertical="center" wrapText="1"/>
    </xf>
    <xf numFmtId="0" fontId="49" fillId="0" borderId="0" xfId="0" applyFont="1" applyBorder="1" applyAlignment="1">
      <alignment horizontal="center" vertical="center" wrapText="1"/>
    </xf>
    <xf numFmtId="0" fontId="49" fillId="0" borderId="17" xfId="0" applyFont="1" applyBorder="1" applyAlignment="1">
      <alignment horizontal="center" vertical="center" wrapText="1"/>
    </xf>
    <xf numFmtId="0" fontId="49" fillId="0" borderId="14" xfId="0" applyFont="1" applyBorder="1" applyAlignment="1">
      <alignment horizontal="center" vertical="center" wrapText="1"/>
    </xf>
    <xf numFmtId="0" fontId="49" fillId="0" borderId="15" xfId="0" applyFont="1" applyBorder="1" applyAlignment="1">
      <alignment horizontal="center" vertical="center" wrapText="1"/>
    </xf>
    <xf numFmtId="0" fontId="49" fillId="0" borderId="13" xfId="0" applyFont="1" applyBorder="1" applyAlignment="1">
      <alignment horizontal="center" vertical="center" wrapText="1"/>
    </xf>
    <xf numFmtId="0" fontId="49" fillId="0" borderId="14" xfId="0" applyFont="1" applyBorder="1" applyAlignment="1">
      <alignment horizontal="center" wrapText="1"/>
    </xf>
    <xf numFmtId="0" fontId="49" fillId="0" borderId="15" xfId="0" applyFont="1" applyBorder="1" applyAlignment="1">
      <alignment horizontal="center" wrapText="1"/>
    </xf>
    <xf numFmtId="0" fontId="49" fillId="0" borderId="13" xfId="0" applyFont="1" applyBorder="1" applyAlignment="1">
      <alignment horizontal="center" wrapText="1"/>
    </xf>
    <xf numFmtId="0" fontId="50" fillId="0" borderId="30" xfId="6971" applyFont="1" applyBorder="1" applyAlignment="1">
      <alignment wrapText="1"/>
    </xf>
    <xf numFmtId="0" fontId="50" fillId="0" borderId="12" xfId="6971" applyFont="1" applyBorder="1" applyAlignment="1">
      <alignment wrapText="1"/>
    </xf>
    <xf numFmtId="0" fontId="50" fillId="0" borderId="33" xfId="6971" applyFont="1" applyBorder="1" applyAlignment="1">
      <alignment horizontal="center" wrapText="1"/>
    </xf>
    <xf numFmtId="0" fontId="50" fillId="0" borderId="34" xfId="6971" applyFont="1" applyBorder="1" applyAlignment="1">
      <alignment horizontal="center" wrapText="1"/>
    </xf>
    <xf numFmtId="0" fontId="50" fillId="0" borderId="29" xfId="6971" applyFont="1" applyBorder="1" applyAlignment="1">
      <alignment horizontal="center" wrapText="1"/>
    </xf>
    <xf numFmtId="0" fontId="50" fillId="0" borderId="14" xfId="6971" applyFont="1" applyBorder="1" applyAlignment="1">
      <alignment horizontal="center" wrapText="1"/>
    </xf>
    <xf numFmtId="0" fontId="50" fillId="0" borderId="15" xfId="6971" applyFont="1" applyBorder="1" applyAlignment="1">
      <alignment horizontal="center" wrapText="1"/>
    </xf>
    <xf numFmtId="0" fontId="50" fillId="0" borderId="13" xfId="6971" applyFont="1" applyBorder="1" applyAlignment="1">
      <alignment horizontal="center" wrapText="1"/>
    </xf>
    <xf numFmtId="0" fontId="124" fillId="0" borderId="37" xfId="6971" applyBorder="1" applyAlignment="1">
      <alignment horizontal="center" vertical="center" wrapText="1"/>
    </xf>
    <xf numFmtId="0" fontId="124" fillId="0" borderId="39" xfId="6971" applyBorder="1" applyAlignment="1">
      <alignment horizontal="center" vertical="center" wrapText="1"/>
    </xf>
    <xf numFmtId="0" fontId="62" fillId="37" borderId="37" xfId="6976" applyFont="1" applyFill="1" applyBorder="1" applyAlignment="1">
      <alignment vertical="center" wrapText="1"/>
    </xf>
    <xf numFmtId="0" fontId="62" fillId="37" borderId="38" xfId="6976" applyFont="1" applyFill="1" applyBorder="1" applyAlignment="1">
      <alignment vertical="center" wrapText="1"/>
    </xf>
    <xf numFmtId="0" fontId="62" fillId="37" borderId="39" xfId="6976" applyFont="1" applyFill="1" applyBorder="1" applyAlignment="1">
      <alignment vertical="center" wrapText="1"/>
    </xf>
    <xf numFmtId="0" fontId="62" fillId="37" borderId="1" xfId="6976" applyFont="1" applyFill="1" applyBorder="1" applyAlignment="1">
      <alignment vertical="center" wrapText="1"/>
    </xf>
    <xf numFmtId="0" fontId="62" fillId="37" borderId="37" xfId="6976" applyFont="1" applyFill="1" applyBorder="1" applyAlignment="1">
      <alignment horizontal="center" vertical="center" wrapText="1"/>
    </xf>
    <xf numFmtId="0" fontId="40" fillId="37" borderId="38" xfId="6976" applyFill="1" applyBorder="1" applyAlignment="1">
      <alignment horizontal="center" vertical="center" wrapText="1"/>
    </xf>
    <xf numFmtId="0" fontId="40" fillId="37" borderId="39" xfId="6976" applyFill="1" applyBorder="1" applyAlignment="1">
      <alignment horizontal="center" vertical="center" wrapText="1"/>
    </xf>
    <xf numFmtId="0" fontId="62" fillId="37" borderId="39" xfId="6976" applyFont="1" applyFill="1" applyBorder="1" applyAlignment="1">
      <alignment horizontal="center" vertical="center" wrapText="1"/>
    </xf>
    <xf numFmtId="0" fontId="62" fillId="37" borderId="37" xfId="6977" applyFont="1" applyFill="1" applyBorder="1" applyAlignment="1">
      <alignment vertical="center" wrapText="1"/>
    </xf>
    <xf numFmtId="0" fontId="62" fillId="37" borderId="38" xfId="6977" applyFont="1" applyFill="1" applyBorder="1" applyAlignment="1">
      <alignment vertical="center" wrapText="1"/>
    </xf>
    <xf numFmtId="0" fontId="62" fillId="37" borderId="39" xfId="6977" applyFont="1" applyFill="1" applyBorder="1" applyAlignment="1">
      <alignment vertical="center" wrapText="1"/>
    </xf>
    <xf numFmtId="0" fontId="62" fillId="37" borderId="1" xfId="6977" applyFont="1" applyFill="1" applyBorder="1" applyAlignment="1">
      <alignment vertical="center" wrapText="1"/>
    </xf>
    <xf numFmtId="0" fontId="62" fillId="37" borderId="37" xfId="6977" applyFont="1" applyFill="1" applyBorder="1" applyAlignment="1">
      <alignment horizontal="center" vertical="center" wrapText="1"/>
    </xf>
    <xf numFmtId="0" fontId="40" fillId="37" borderId="38" xfId="6977" applyFill="1" applyBorder="1" applyAlignment="1">
      <alignment horizontal="center" vertical="center" wrapText="1"/>
    </xf>
    <xf numFmtId="0" fontId="40" fillId="37" borderId="39" xfId="6977" applyFill="1" applyBorder="1" applyAlignment="1">
      <alignment horizontal="center" vertical="center" wrapText="1"/>
    </xf>
    <xf numFmtId="0" fontId="62" fillId="37" borderId="39" xfId="6977" applyFont="1" applyFill="1" applyBorder="1" applyAlignment="1">
      <alignment horizontal="center" vertical="center" wrapText="1"/>
    </xf>
    <xf numFmtId="0" fontId="50" fillId="0" borderId="30" xfId="6974" applyFont="1" applyBorder="1" applyAlignment="1">
      <alignment wrapText="1"/>
    </xf>
    <xf numFmtId="0" fontId="50" fillId="0" borderId="12" xfId="6974" applyFont="1" applyBorder="1" applyAlignment="1">
      <alignment wrapText="1"/>
    </xf>
    <xf numFmtId="0" fontId="50" fillId="0" borderId="33" xfId="6974" applyFont="1" applyBorder="1" applyAlignment="1">
      <alignment horizontal="center" wrapText="1"/>
    </xf>
    <xf numFmtId="0" fontId="50" fillId="0" borderId="34" xfId="6974" applyFont="1" applyBorder="1" applyAlignment="1">
      <alignment horizontal="center" wrapText="1"/>
    </xf>
    <xf numFmtId="0" fontId="50" fillId="0" borderId="29" xfId="6974" applyFont="1" applyBorder="1" applyAlignment="1">
      <alignment horizontal="center" wrapText="1"/>
    </xf>
    <xf numFmtId="0" fontId="50" fillId="0" borderId="14" xfId="6974" applyFont="1" applyBorder="1" applyAlignment="1">
      <alignment horizontal="center" wrapText="1"/>
    </xf>
    <xf numFmtId="0" fontId="50" fillId="0" borderId="15" xfId="6974" applyFont="1" applyBorder="1" applyAlignment="1">
      <alignment horizontal="center" wrapText="1"/>
    </xf>
    <xf numFmtId="0" fontId="50" fillId="0" borderId="13" xfId="6974" applyFont="1" applyBorder="1" applyAlignment="1">
      <alignment horizontal="center" wrapText="1"/>
    </xf>
    <xf numFmtId="0" fontId="40" fillId="0" borderId="0" xfId="6973" applyAlignment="1">
      <alignment horizontal="center" wrapText="1"/>
    </xf>
    <xf numFmtId="0" fontId="40" fillId="0" borderId="0" xfId="6973" applyAlignment="1">
      <alignment horizontal="center"/>
    </xf>
    <xf numFmtId="0" fontId="40" fillId="88" borderId="0" xfId="6973" applyFill="1" applyAlignment="1">
      <alignment horizontal="center"/>
    </xf>
    <xf numFmtId="0" fontId="40" fillId="79" borderId="0" xfId="6973" applyFill="1" applyAlignment="1">
      <alignment horizontal="center"/>
    </xf>
    <xf numFmtId="0" fontId="40" fillId="77" borderId="0" xfId="6973" applyFill="1" applyAlignment="1">
      <alignment horizontal="center"/>
    </xf>
    <xf numFmtId="0" fontId="40" fillId="40" borderId="0" xfId="6973" applyFill="1" applyAlignment="1">
      <alignment horizontal="center"/>
    </xf>
    <xf numFmtId="0" fontId="135" fillId="0" borderId="35" xfId="6973" applyFont="1" applyBorder="1" applyAlignment="1">
      <alignment horizontal="left" vertical="center"/>
    </xf>
    <xf numFmtId="0" fontId="135" fillId="0" borderId="14" xfId="6973" applyFont="1" applyBorder="1" applyAlignment="1">
      <alignment horizontal="left" vertical="center"/>
    </xf>
    <xf numFmtId="0" fontId="135" fillId="0" borderId="33" xfId="6973" applyFont="1" applyBorder="1" applyAlignment="1">
      <alignment horizontal="left" vertical="center"/>
    </xf>
  </cellXfs>
  <cellStyles count="55822">
    <cellStyle name="_x000a_shell=progma 2" xfId="8909" xr:uid="{C2175498-ED50-43A1-A815-4890E9539A2C}"/>
    <cellStyle name="_x000a_shell=progma 2 2" xfId="8910" xr:uid="{F6E05FE1-02B1-40BD-903C-BBA462B34F36}"/>
    <cellStyle name="1.000" xfId="8911" xr:uid="{D92B6DDE-62BD-45E7-940E-E8898FA27ADA}"/>
    <cellStyle name="1.000 2" xfId="8912" xr:uid="{2ACE5F56-E592-41A6-8B4F-7BF1856BE0DB}"/>
    <cellStyle name="1.000 2 2" xfId="32602" xr:uid="{EB9132B4-BC60-4A5D-8080-4AF1DC61AC0A}"/>
    <cellStyle name="1.000 2 2 2" xfId="35551" xr:uid="{27C5832C-2E78-4DBD-BFFB-8BBC8FFC681E}"/>
    <cellStyle name="1.000 2 3" xfId="32671" xr:uid="{4AA492EF-F12E-44F5-9766-C024090DAC75}"/>
    <cellStyle name="1.000 2 4" xfId="23465" xr:uid="{D0602348-CE86-48B6-A031-B0800504DF3F}"/>
    <cellStyle name="1.000 3" xfId="32603" xr:uid="{21343C24-8118-4876-8DE7-1C17D3439A84}"/>
    <cellStyle name="1.000 3 2" xfId="35552" xr:uid="{30238A45-E185-4574-8F24-25E25F275357}"/>
    <cellStyle name="1.000 4" xfId="32670" xr:uid="{942179DF-960D-42C5-B69A-31A9C3A01BD7}"/>
    <cellStyle name="1.000 5" xfId="23464" xr:uid="{9BF65B02-15AB-4E30-9BC4-5306A0C7CD36}"/>
    <cellStyle name="20 % - Markeringsfarve1" xfId="1259" xr:uid="{00000000-0005-0000-0000-000000000000}"/>
    <cellStyle name="20 % - Markeringsfarve1 10" xfId="30255" xr:uid="{B9DE4457-15A2-4C61-9773-0E8D9A9A0EF7}"/>
    <cellStyle name="20 % - Markeringsfarve1 10 2" xfId="30256" xr:uid="{38359D8D-A86D-44E1-8F78-0CC6DA2D43EF}"/>
    <cellStyle name="20 % - Markeringsfarve1 11" xfId="30257" xr:uid="{09850DF8-CED9-446F-9CF6-D6B9438801E1}"/>
    <cellStyle name="20 % - Markeringsfarve1 12" xfId="17717" xr:uid="{155FD0DF-4308-4486-8ED1-80DFEB34100F}"/>
    <cellStyle name="20 % - Markeringsfarve1 2" xfId="1260" xr:uid="{00000000-0005-0000-0000-000001000000}"/>
    <cellStyle name="20 % - Markeringsfarve1 2 10" xfId="30258" xr:uid="{B78C7982-E192-491B-B6CE-867DCF9E2F0D}"/>
    <cellStyle name="20 % - Markeringsfarve1 2 11" xfId="17718" xr:uid="{6BE4D6DD-8C57-4137-82D2-AAEEC16F2F19}"/>
    <cellStyle name="20 % - Markeringsfarve1 2 2" xfId="23466" xr:uid="{55F207A1-3346-4FCC-ACD7-FD97DDB1F0FE}"/>
    <cellStyle name="20 % - Markeringsfarve1 2 2 2" xfId="23467" xr:uid="{DA9AC242-608E-4DAE-8455-59CC32671530}"/>
    <cellStyle name="20 % - Markeringsfarve1 2 2 2 2" xfId="30259" xr:uid="{B3BC2F25-5024-4E54-99B4-5931EC086834}"/>
    <cellStyle name="20 % - Markeringsfarve1 2 2 2 3" xfId="30260" xr:uid="{73A3324E-2A9D-4CE1-835C-E47EE6E1B9A2}"/>
    <cellStyle name="20 % - Markeringsfarve1 2 2 3" xfId="30261" xr:uid="{1A06A86B-4520-4150-AC67-DB875498A140}"/>
    <cellStyle name="20 % - Markeringsfarve1 2 2 3 2" xfId="30262" xr:uid="{63B41DF0-3ABC-4E9B-A5C2-001E35291616}"/>
    <cellStyle name="20 % - Markeringsfarve1 2 2 3 3" xfId="30263" xr:uid="{0090069C-EC1E-4E02-BA30-F13E0B0C2E8B}"/>
    <cellStyle name="20 % - Markeringsfarve1 2 2 4" xfId="30264" xr:uid="{E564855B-C60C-49FD-8F18-81409F29F990}"/>
    <cellStyle name="20 % - Markeringsfarve1 2 2 4 2" xfId="30265" xr:uid="{05C49F6C-85D7-46A6-844E-6C8F68FEF0E6}"/>
    <cellStyle name="20 % - Markeringsfarve1 2 2 4 3" xfId="30266" xr:uid="{CAD4803E-CA29-47F1-A440-0599DB0379F7}"/>
    <cellStyle name="20 % - Markeringsfarve1 2 2 5" xfId="30267" xr:uid="{828246A1-1B9D-4235-AFB4-E66948E63CD5}"/>
    <cellStyle name="20 % - Markeringsfarve1 2 2 5 2" xfId="30268" xr:uid="{5F10E29C-3102-453C-84DE-4ACE8A5E07CA}"/>
    <cellStyle name="20 % - Markeringsfarve1 2 2 5 3" xfId="30269" xr:uid="{A21CCE97-7F70-41E3-90CA-D1F60156B5BB}"/>
    <cellStyle name="20 % - Markeringsfarve1 2 2 6" xfId="30270" xr:uid="{6C817095-2629-4206-BBB2-A02559D13A6C}"/>
    <cellStyle name="20 % - Markeringsfarve1 2 2 6 2" xfId="30271" xr:uid="{F5DDBC7F-9BB1-497B-86BA-D703F0D7EA40}"/>
    <cellStyle name="20 % - Markeringsfarve1 2 2 6 3" xfId="30272" xr:uid="{4E351488-9AB5-4E4A-833D-49CB67524B98}"/>
    <cellStyle name="20 % - Markeringsfarve1 2 2 7" xfId="30273" xr:uid="{C89E9907-4215-40F1-A764-09617A84A0D1}"/>
    <cellStyle name="20 % - Markeringsfarve1 2 2 7 2" xfId="30274" xr:uid="{9F3EFE34-8773-4625-9D6B-6B5FCB7D9BBB}"/>
    <cellStyle name="20 % - Markeringsfarve1 2 2 8" xfId="30275" xr:uid="{23CAEC1A-1180-4123-A561-99282D1925D2}"/>
    <cellStyle name="20 % - Markeringsfarve1 2 3" xfId="23468" xr:uid="{1F1B7BDF-06B5-4ACA-A3EF-F2220578E239}"/>
    <cellStyle name="20 % - Markeringsfarve1 2 3 2" xfId="23469" xr:uid="{0EEA252C-6E82-4CF7-90B7-747FFBB9D0A9}"/>
    <cellStyle name="20 % - Markeringsfarve1 2 3 2 2" xfId="30276" xr:uid="{F05A224C-A60B-4F58-84E3-EDCC86C6259D}"/>
    <cellStyle name="20 % - Markeringsfarve1 2 3 2 3" xfId="30277" xr:uid="{D902CD73-293F-4057-8E9B-A9EC271DECF2}"/>
    <cellStyle name="20 % - Markeringsfarve1 2 3 3" xfId="30278" xr:uid="{67639BCD-E52B-4BD5-A3D2-8669B5592889}"/>
    <cellStyle name="20 % - Markeringsfarve1 2 3 3 2" xfId="30279" xr:uid="{81FC1148-9820-4CD5-AB43-FF22DBD748A4}"/>
    <cellStyle name="20 % - Markeringsfarve1 2 3 3 3" xfId="30280" xr:uid="{4E8FBBA3-8F46-4A0A-8BCD-5369336749C2}"/>
    <cellStyle name="20 % - Markeringsfarve1 2 3 4" xfId="30281" xr:uid="{A41601C5-32A0-43CE-9619-44DE3E687BE5}"/>
    <cellStyle name="20 % - Markeringsfarve1 2 3 4 2" xfId="30282" xr:uid="{B94647A8-984F-4A9E-BD94-D1BDFD1D03ED}"/>
    <cellStyle name="20 % - Markeringsfarve1 2 3 4 3" xfId="30283" xr:uid="{C9F0E519-F604-42CF-BD0E-A53087CD8215}"/>
    <cellStyle name="20 % - Markeringsfarve1 2 3 5" xfId="30284" xr:uid="{5891D469-A02E-43E2-A15C-57A976A786B6}"/>
    <cellStyle name="20 % - Markeringsfarve1 2 3 5 2" xfId="30285" xr:uid="{78D0225F-4FA7-414A-B465-7757451719D4}"/>
    <cellStyle name="20 % - Markeringsfarve1 2 3 5 3" xfId="30286" xr:uid="{94A5554F-D5A8-4CF3-BC68-EA07D7CC71DB}"/>
    <cellStyle name="20 % - Markeringsfarve1 2 3 6" xfId="30287" xr:uid="{B7B254DB-0C73-44AE-900C-8666C7291665}"/>
    <cellStyle name="20 % - Markeringsfarve1 2 3 6 2" xfId="30288" xr:uid="{A7B0BE6E-1595-4961-91E7-A6D31BB23968}"/>
    <cellStyle name="20 % - Markeringsfarve1 2 3 6 3" xfId="30289" xr:uid="{4DCFB0C1-E4C4-4609-9206-56BAAB132ED2}"/>
    <cellStyle name="20 % - Markeringsfarve1 2 3 7" xfId="30290" xr:uid="{3AD58DA2-FC79-4EE0-A8B7-7135364CA3BD}"/>
    <cellStyle name="20 % - Markeringsfarve1 2 3 7 2" xfId="30291" xr:uid="{A06959C6-0AB2-40FB-9602-7E42A4172677}"/>
    <cellStyle name="20 % - Markeringsfarve1 2 3 8" xfId="30292" xr:uid="{9A8B211E-F0EB-428A-A450-44B89A7D8922}"/>
    <cellStyle name="20 % - Markeringsfarve1 2 4" xfId="23470" xr:uid="{DAFB96E6-6A42-4759-88DF-63C6BCA8C6CD}"/>
    <cellStyle name="20 % - Markeringsfarve1 2 4 2" xfId="30293" xr:uid="{042444BE-29BC-4438-8B71-C0790EC91FC1}"/>
    <cellStyle name="20 % - Markeringsfarve1 2 4 3" xfId="30294" xr:uid="{05E8F589-EFB6-4182-8EBE-4B3D1971FFF0}"/>
    <cellStyle name="20 % - Markeringsfarve1 2 5" xfId="30295" xr:uid="{128A4C30-C62B-42A6-BE0E-09B7FD807420}"/>
    <cellStyle name="20 % - Markeringsfarve1 2 5 2" xfId="30296" xr:uid="{A0823D3C-B900-45D5-86EE-4BC22EE18B99}"/>
    <cellStyle name="20 % - Markeringsfarve1 2 5 3" xfId="30297" xr:uid="{4607CA98-24CD-4459-8EE6-719240180ACE}"/>
    <cellStyle name="20 % - Markeringsfarve1 2 6" xfId="30298" xr:uid="{94B7607D-62C2-41BE-923E-5D9AD2A3271C}"/>
    <cellStyle name="20 % - Markeringsfarve1 2 6 2" xfId="30299" xr:uid="{B118E4B2-E54F-414C-8E54-FEC0B7E4020B}"/>
    <cellStyle name="20 % - Markeringsfarve1 2 6 3" xfId="30300" xr:uid="{7F983BC4-69E7-4F41-BB04-1C8BD0A0B024}"/>
    <cellStyle name="20 % - Markeringsfarve1 2 7" xfId="30301" xr:uid="{6398EC07-7E25-418D-A999-38F08F58002C}"/>
    <cellStyle name="20 % - Markeringsfarve1 2 7 2" xfId="30302" xr:uid="{03BBBEE0-624F-4103-9919-7EE721D3CE62}"/>
    <cellStyle name="20 % - Markeringsfarve1 2 7 3" xfId="30303" xr:uid="{E5129C50-39E5-4EFA-BC7A-C66106428DCE}"/>
    <cellStyle name="20 % - Markeringsfarve1 2 8" xfId="30304" xr:uid="{50FB14DA-6D69-421F-AE8F-035BDC8CC90E}"/>
    <cellStyle name="20 % - Markeringsfarve1 2 8 2" xfId="30305" xr:uid="{826898EC-8711-4D66-9C04-AAA89DC80633}"/>
    <cellStyle name="20 % - Markeringsfarve1 2 8 3" xfId="30306" xr:uid="{52A67DEA-D514-4E36-B8CE-EC570B5E2526}"/>
    <cellStyle name="20 % - Markeringsfarve1 2 9" xfId="30307" xr:uid="{3617CA98-DB8E-4B72-B2EF-EFD87093DB13}"/>
    <cellStyle name="20 % - Markeringsfarve1 2 9 2" xfId="30308" xr:uid="{96332CF6-0785-4AEF-831D-C74AE75590FD}"/>
    <cellStyle name="20 % - Markeringsfarve1 3" xfId="2585" xr:uid="{135F4595-F8BD-4459-9134-0C53A788ADAC}"/>
    <cellStyle name="20 % - Markeringsfarve1 3 10" xfId="30309" xr:uid="{A7038E5A-A301-42CD-B818-3483EA1E40C7}"/>
    <cellStyle name="20 % - Markeringsfarve1 3 2" xfId="23471" xr:uid="{9F58CD80-8149-4653-8401-B2327F473B5A}"/>
    <cellStyle name="20 % - Markeringsfarve1 3 2 2" xfId="23472" xr:uid="{FACB055F-CDD7-4EAE-A793-73E4F8EE9744}"/>
    <cellStyle name="20 % - Markeringsfarve1 3 2 2 2" xfId="30310" xr:uid="{FFECB4AC-2A8F-4805-AC1C-70D68208E6BD}"/>
    <cellStyle name="20 % - Markeringsfarve1 3 2 2 3" xfId="30311" xr:uid="{9EC41035-7EE6-4D85-9288-F425C342111A}"/>
    <cellStyle name="20 % - Markeringsfarve1 3 2 3" xfId="30312" xr:uid="{B670B544-7578-4AAD-B623-0C61E2F3B3E8}"/>
    <cellStyle name="20 % - Markeringsfarve1 3 2 3 2" xfId="30313" xr:uid="{1284774C-A9DB-46C8-B3AF-2448DE0AB78D}"/>
    <cellStyle name="20 % - Markeringsfarve1 3 2 3 3" xfId="30314" xr:uid="{C0A9831F-DD3F-4697-B7DF-5EA294A9FCAF}"/>
    <cellStyle name="20 % - Markeringsfarve1 3 2 4" xfId="30315" xr:uid="{AAD702C0-4871-48CF-9616-537F8411DB2B}"/>
    <cellStyle name="20 % - Markeringsfarve1 3 2 4 2" xfId="30316" xr:uid="{EBBA596B-FD6D-43C9-A65E-51637A09B7DC}"/>
    <cellStyle name="20 % - Markeringsfarve1 3 2 4 3" xfId="30317" xr:uid="{F48B6BB1-A967-4AB0-97F7-9322847F7F68}"/>
    <cellStyle name="20 % - Markeringsfarve1 3 2 5" xfId="30318" xr:uid="{2644C61C-A27B-44DB-BD09-4CF39B3417DA}"/>
    <cellStyle name="20 % - Markeringsfarve1 3 2 5 2" xfId="30319" xr:uid="{122875BB-510D-47A7-A110-2BB4DF160D76}"/>
    <cellStyle name="20 % - Markeringsfarve1 3 2 5 3" xfId="30320" xr:uid="{9875DD9D-39DF-4BC8-B4AF-D3A7A3F9C5E4}"/>
    <cellStyle name="20 % - Markeringsfarve1 3 2 6" xfId="30321" xr:uid="{08BF653C-9C97-48FC-BC19-9A2ABB396906}"/>
    <cellStyle name="20 % - Markeringsfarve1 3 2 6 2" xfId="30322" xr:uid="{E5D006E8-F4D7-4F79-ADBA-1400BB781FE9}"/>
    <cellStyle name="20 % - Markeringsfarve1 3 2 6 3" xfId="30323" xr:uid="{C248C034-2A82-43DD-AD0F-CE92BE2D17A0}"/>
    <cellStyle name="20 % - Markeringsfarve1 3 2 7" xfId="30324" xr:uid="{C0769044-4CBB-42DB-AF03-09047840267C}"/>
    <cellStyle name="20 % - Markeringsfarve1 3 2 7 2" xfId="30325" xr:uid="{35DF65C9-379C-44D0-8C60-6A4D1B10677A}"/>
    <cellStyle name="20 % - Markeringsfarve1 3 2 8" xfId="30326" xr:uid="{ECCA4E8F-6675-4FEA-AE55-2B0821B8815E}"/>
    <cellStyle name="20 % - Markeringsfarve1 3 3" xfId="23473" xr:uid="{BB2043AC-8DCB-4432-AE50-82A0D06F816F}"/>
    <cellStyle name="20 % - Markeringsfarve1 3 3 2" xfId="30327" xr:uid="{36BE3FBF-A1B3-47D5-B256-C499ED1D76DF}"/>
    <cellStyle name="20 % - Markeringsfarve1 3 3 2 2" xfId="30328" xr:uid="{F616B62B-AD13-4282-9B87-6F3974275CB4}"/>
    <cellStyle name="20 % - Markeringsfarve1 3 3 2 3" xfId="30329" xr:uid="{B403BC4F-62F4-42ED-9751-630E21BC8D20}"/>
    <cellStyle name="20 % - Markeringsfarve1 3 3 3" xfId="30330" xr:uid="{DE07C238-BC68-4AE9-99F3-A79127E25BC4}"/>
    <cellStyle name="20 % - Markeringsfarve1 3 3 3 2" xfId="30331" xr:uid="{A190DE1C-6BD1-4EED-9762-44ECB72DDABD}"/>
    <cellStyle name="20 % - Markeringsfarve1 3 3 3 3" xfId="30332" xr:uid="{3991256C-5492-4168-8CCB-5F455609374D}"/>
    <cellStyle name="20 % - Markeringsfarve1 3 3 4" xfId="30333" xr:uid="{0063970E-A894-4330-AB87-C02EFFBFD2A8}"/>
    <cellStyle name="20 % - Markeringsfarve1 3 3 4 2" xfId="30334" xr:uid="{E75EA47B-A0E6-472D-9E1D-ED03E54A2A02}"/>
    <cellStyle name="20 % - Markeringsfarve1 3 3 4 3" xfId="30335" xr:uid="{2BFB2844-9483-49BC-8238-4F4CE2FFA972}"/>
    <cellStyle name="20 % - Markeringsfarve1 3 3 5" xfId="30336" xr:uid="{77DA2B49-8F38-40ED-945F-52F9AFA2FB3B}"/>
    <cellStyle name="20 % - Markeringsfarve1 3 3 5 2" xfId="30337" xr:uid="{6D77868F-A6EC-4F23-BBAA-A47169486645}"/>
    <cellStyle name="20 % - Markeringsfarve1 3 3 5 3" xfId="30338" xr:uid="{1C51EF3E-8EB0-4CD3-80DC-E39114CB16D5}"/>
    <cellStyle name="20 % - Markeringsfarve1 3 3 6" xfId="30339" xr:uid="{6C6428D9-F924-4B80-96DA-183CC0361805}"/>
    <cellStyle name="20 % - Markeringsfarve1 3 3 6 2" xfId="30340" xr:uid="{951D4A7F-3C40-4DB7-9028-7F98BC80BBDE}"/>
    <cellStyle name="20 % - Markeringsfarve1 3 3 6 3" xfId="30341" xr:uid="{6F0E7ACA-3EC1-4447-9821-D2EC2BA772A7}"/>
    <cellStyle name="20 % - Markeringsfarve1 3 3 7" xfId="30342" xr:uid="{2CBD4726-E9C3-444A-8841-F21973B259F6}"/>
    <cellStyle name="20 % - Markeringsfarve1 3 3 7 2" xfId="30343" xr:uid="{77895C77-659C-4FBB-BC12-06FC2AC11F3A}"/>
    <cellStyle name="20 % - Markeringsfarve1 3 3 8" xfId="30344" xr:uid="{574894F7-BE9A-443C-82A6-9BD94DA8A965}"/>
    <cellStyle name="20 % - Markeringsfarve1 3 4" xfId="30345" xr:uid="{7329AB1C-B29F-4BFB-A389-45BE957650DC}"/>
    <cellStyle name="20 % - Markeringsfarve1 3 4 2" xfId="30346" xr:uid="{98F12051-A526-4836-9013-5A8D39D89514}"/>
    <cellStyle name="20 % - Markeringsfarve1 3 4 3" xfId="30347" xr:uid="{031EAB5D-38EA-4370-B8C1-E6B8C983E05D}"/>
    <cellStyle name="20 % - Markeringsfarve1 3 5" xfId="30348" xr:uid="{EE399A5F-FA15-4D17-A832-BF1327FA0886}"/>
    <cellStyle name="20 % - Markeringsfarve1 3 5 2" xfId="30349" xr:uid="{2FBDD63E-805B-4DE8-BBED-FA75678A6D52}"/>
    <cellStyle name="20 % - Markeringsfarve1 3 5 3" xfId="30350" xr:uid="{320F462C-1806-4FDF-84B6-3B3F678EA0F0}"/>
    <cellStyle name="20 % - Markeringsfarve1 3 6" xfId="30351" xr:uid="{BA3AB97D-99C2-4FEA-9764-441662421566}"/>
    <cellStyle name="20 % - Markeringsfarve1 3 6 2" xfId="30352" xr:uid="{EE94F2B2-75E5-4944-BAAA-1E3814408623}"/>
    <cellStyle name="20 % - Markeringsfarve1 3 6 3" xfId="30353" xr:uid="{97F329D1-F0C9-4CA1-8AB5-A85354754C39}"/>
    <cellStyle name="20 % - Markeringsfarve1 3 7" xfId="30354" xr:uid="{7359ACD1-5234-43C7-A4A1-54B0876E2FD1}"/>
    <cellStyle name="20 % - Markeringsfarve1 3 7 2" xfId="30355" xr:uid="{12D4EFE8-C931-45F1-BE6F-6C5C50A49817}"/>
    <cellStyle name="20 % - Markeringsfarve1 3 7 3" xfId="30356" xr:uid="{26E13993-3C0A-46A0-96D3-406DD8B80C11}"/>
    <cellStyle name="20 % - Markeringsfarve1 3 8" xfId="30357" xr:uid="{004C4A57-51A0-4A42-AD16-0E5A9A3C63FF}"/>
    <cellStyle name="20 % - Markeringsfarve1 3 8 2" xfId="30358" xr:uid="{326DD8EC-B40A-4A09-89F1-7E722A464D2A}"/>
    <cellStyle name="20 % - Markeringsfarve1 3 8 3" xfId="30359" xr:uid="{3C989517-ED08-4343-80CC-7FFFD97697C8}"/>
    <cellStyle name="20 % - Markeringsfarve1 3 9" xfId="30360" xr:uid="{9592E2EB-9EEC-4B03-AAF3-C115AC266267}"/>
    <cellStyle name="20 % - Markeringsfarve1 3 9 2" xfId="30361" xr:uid="{8A0B1EC2-E810-4DF3-85FB-8DF6E21E5CAC}"/>
    <cellStyle name="20 % - Markeringsfarve1 4" xfId="23474" xr:uid="{620E51C8-5A90-4EA2-88E2-E8EEA101EAB5}"/>
    <cellStyle name="20 % - Markeringsfarve1 4 2" xfId="23475" xr:uid="{83E5902A-6A90-4DA5-A4B6-11363877B9B2}"/>
    <cellStyle name="20 % - Markeringsfarve1 4 2 2" xfId="30362" xr:uid="{82A9559B-5A17-48CD-8545-46D97A95F0CA}"/>
    <cellStyle name="20 % - Markeringsfarve1 4 2 3" xfId="30363" xr:uid="{CEE83DB2-271E-4ED3-BA45-E4B06A541593}"/>
    <cellStyle name="20 % - Markeringsfarve1 4 3" xfId="30364" xr:uid="{E9EF4B98-709B-4D5B-986E-13FB3C33334E}"/>
    <cellStyle name="20 % - Markeringsfarve1 4 3 2" xfId="30365" xr:uid="{1DB1A185-6F3A-4E79-96E3-73399A87E7EE}"/>
    <cellStyle name="20 % - Markeringsfarve1 4 3 3" xfId="30366" xr:uid="{47197A8F-9D41-4331-B082-50C6EAB23C2E}"/>
    <cellStyle name="20 % - Markeringsfarve1 4 4" xfId="30367" xr:uid="{42BA1925-B9DB-4945-BDA1-47F4D3320D85}"/>
    <cellStyle name="20 % - Markeringsfarve1 4 4 2" xfId="30368" xr:uid="{2E7FFCD9-91B6-4C98-9C0B-B31D3167A3ED}"/>
    <cellStyle name="20 % - Markeringsfarve1 4 4 3" xfId="30369" xr:uid="{D63D7ED8-9A36-46DE-9225-03493B42C7F8}"/>
    <cellStyle name="20 % - Markeringsfarve1 4 5" xfId="30370" xr:uid="{D054FF4F-1387-4EF8-A186-70A17BCBFB2C}"/>
    <cellStyle name="20 % - Markeringsfarve1 4 5 2" xfId="30371" xr:uid="{C7398972-8E23-493C-B20D-155BEE421E68}"/>
    <cellStyle name="20 % - Markeringsfarve1 4 5 3" xfId="30372" xr:uid="{56D42B5F-C59A-47AB-8136-989D0B3C7358}"/>
    <cellStyle name="20 % - Markeringsfarve1 4 6" xfId="30373" xr:uid="{68CB70AE-DAA0-43F5-BA86-E51799D0D772}"/>
    <cellStyle name="20 % - Markeringsfarve1 4 6 2" xfId="30374" xr:uid="{F0129780-11B8-4EB8-8C45-6927186A4ADE}"/>
    <cellStyle name="20 % - Markeringsfarve1 4 6 3" xfId="30375" xr:uid="{E0CB1C4C-274B-4E1D-966B-37BDBDCF0016}"/>
    <cellStyle name="20 % - Markeringsfarve1 4 7" xfId="30376" xr:uid="{06B10C62-9952-437B-A498-81CDB2FF770F}"/>
    <cellStyle name="20 % - Markeringsfarve1 4 7 2" xfId="30377" xr:uid="{7D85C6BC-045A-41AD-8F38-947ACE15385B}"/>
    <cellStyle name="20 % - Markeringsfarve1 4 8" xfId="30378" xr:uid="{9C0B5FBD-0FAB-4BAD-908F-93D277BC3917}"/>
    <cellStyle name="20 % - Markeringsfarve1 5" xfId="23476" xr:uid="{86859FDB-0DAA-4386-9FA2-B1E0E5C8BDF2}"/>
    <cellStyle name="20 % - Markeringsfarve1 5 2" xfId="23477" xr:uid="{CAE29328-9B7D-44D2-AE84-B54BD2596335}"/>
    <cellStyle name="20 % - Markeringsfarve1 5 2 2" xfId="30379" xr:uid="{EB8C2EB3-C817-4146-8185-C63C00E1E6C3}"/>
    <cellStyle name="20 % - Markeringsfarve1 5 2 3" xfId="30380" xr:uid="{57E73FE7-B867-4DBF-A61F-0122A81529CA}"/>
    <cellStyle name="20 % - Markeringsfarve1 5 3" xfId="30381" xr:uid="{1A8CFDDD-9CAC-4341-9B7A-268E19DC300F}"/>
    <cellStyle name="20 % - Markeringsfarve1 5 3 2" xfId="30382" xr:uid="{46343047-1306-4A4F-A0E2-3ABB3A6D1687}"/>
    <cellStyle name="20 % - Markeringsfarve1 5 3 3" xfId="30383" xr:uid="{4CD1130C-8353-4E90-926D-3B1929C32510}"/>
    <cellStyle name="20 % - Markeringsfarve1 5 4" xfId="30384" xr:uid="{31351FCE-EE87-4974-A1D0-15B2F2F47765}"/>
    <cellStyle name="20 % - Markeringsfarve1 5 4 2" xfId="30385" xr:uid="{B8962554-2EE6-4A29-A208-5C1A1C298E8E}"/>
    <cellStyle name="20 % - Markeringsfarve1 5 4 3" xfId="30386" xr:uid="{FEFD3A51-CB88-4EA0-9BB3-8EC5A1CA4F25}"/>
    <cellStyle name="20 % - Markeringsfarve1 5 5" xfId="30387" xr:uid="{11BEB3ED-7DDF-483A-BD30-B781F734713E}"/>
    <cellStyle name="20 % - Markeringsfarve1 5 5 2" xfId="30388" xr:uid="{27B944F6-623D-40D9-80C3-00440A5BD24E}"/>
    <cellStyle name="20 % - Markeringsfarve1 5 5 3" xfId="30389" xr:uid="{633D4CBC-4CDC-4683-B1EA-C7C0B6E5CF5E}"/>
    <cellStyle name="20 % - Markeringsfarve1 5 6" xfId="30390" xr:uid="{AA762771-E9D5-4ECB-9F7A-A005EAA9628E}"/>
    <cellStyle name="20 % - Markeringsfarve1 5 6 2" xfId="30391" xr:uid="{8668DE0C-8AC1-4343-B585-43F66485D2C2}"/>
    <cellStyle name="20 % - Markeringsfarve1 5 6 3" xfId="30392" xr:uid="{71F5852B-DF75-4F6D-AE81-A1D00CF47F82}"/>
    <cellStyle name="20 % - Markeringsfarve1 5 7" xfId="30393" xr:uid="{DC12C120-72F9-4F9F-9F00-9BBC6D5A55C6}"/>
    <cellStyle name="20 % - Markeringsfarve1 5 7 2" xfId="30394" xr:uid="{D195999C-807B-4839-95B1-D18437EE301C}"/>
    <cellStyle name="20 % - Markeringsfarve1 5 8" xfId="30395" xr:uid="{52D8671D-0164-4E04-8282-C5A0E19309A9}"/>
    <cellStyle name="20 % - Markeringsfarve1 6" xfId="23478" xr:uid="{751B8039-082E-4B1D-9B33-4314F757D264}"/>
    <cellStyle name="20 % - Markeringsfarve1 6 2" xfId="23479" xr:uid="{09BA19E6-8019-48C8-83C8-1D174C57F711}"/>
    <cellStyle name="20 % - Markeringsfarve1 6 2 2" xfId="30396" xr:uid="{FD3C1566-1ED9-4FE8-93A1-80E35C100C23}"/>
    <cellStyle name="20 % - Markeringsfarve1 6 2 3" xfId="30397" xr:uid="{16745440-080D-4095-BFF4-BB1FA5DD03DD}"/>
    <cellStyle name="20 % - Markeringsfarve1 6 3" xfId="30398" xr:uid="{42DCDED7-3D60-4773-85CC-FE7D39192BE3}"/>
    <cellStyle name="20 % - Markeringsfarve1 6 4" xfId="30399" xr:uid="{E3ED02B9-4C44-40FA-9264-EF6376E51116}"/>
    <cellStyle name="20 % - Markeringsfarve1 7" xfId="23480" xr:uid="{DC5B08B6-CE2B-4CD6-B331-E957DD92F423}"/>
    <cellStyle name="20 % - Markeringsfarve1 7 2" xfId="30400" xr:uid="{2B7BCB89-5332-4FAF-A020-ECD75E3CCA68}"/>
    <cellStyle name="20 % - Markeringsfarve1 7 3" xfId="30401" xr:uid="{D051AC0A-4DB0-4C25-A099-4F2D636C2B2F}"/>
    <cellStyle name="20 % - Markeringsfarve1 8" xfId="30402" xr:uid="{588A7C88-514E-4AB7-8F01-9A869970B03A}"/>
    <cellStyle name="20 % - Markeringsfarve1 8 2" xfId="30403" xr:uid="{B4DDE1B3-3D45-4345-89C7-259C4CB987CC}"/>
    <cellStyle name="20 % - Markeringsfarve1 8 3" xfId="30404" xr:uid="{977B5005-F67F-4F83-A142-E2100E44E6E2}"/>
    <cellStyle name="20 % - Markeringsfarve1 9" xfId="30405" xr:uid="{D2B6DAAB-05D3-4511-894B-6E1C529976CE}"/>
    <cellStyle name="20 % - Markeringsfarve1 9 2" xfId="30406" xr:uid="{C2ABC2E1-0BBF-43AF-AA8A-7586F077F705}"/>
    <cellStyle name="20 % - Markeringsfarve1 9 3" xfId="30407" xr:uid="{859BB95C-F1CC-4255-8367-6B6F9DCF2343}"/>
    <cellStyle name="20 % - Markeringsfarve2" xfId="1261" xr:uid="{00000000-0005-0000-0000-000002000000}"/>
    <cellStyle name="20 % - Markeringsfarve2 10" xfId="30408" xr:uid="{8948C716-099D-49D2-8BD4-CAC207CD51F3}"/>
    <cellStyle name="20 % - Markeringsfarve2 10 2" xfId="30409" xr:uid="{26959A30-4D70-4CF7-9313-20EEC2DED76F}"/>
    <cellStyle name="20 % - Markeringsfarve2 11" xfId="30410" xr:uid="{3677FA9F-2234-4C7A-8C2E-0C9F1C6DED6A}"/>
    <cellStyle name="20 % - Markeringsfarve2 12" xfId="17719" xr:uid="{133806A5-EC87-4F4F-A985-6FC7924BDC8B}"/>
    <cellStyle name="20 % - Markeringsfarve2 2" xfId="1262" xr:uid="{00000000-0005-0000-0000-000003000000}"/>
    <cellStyle name="20 % - Markeringsfarve2 2 10" xfId="30411" xr:uid="{D7E64765-EAC8-42CC-A73A-8F44DB0B7F07}"/>
    <cellStyle name="20 % - Markeringsfarve2 2 11" xfId="17720" xr:uid="{A4D8B056-3CB0-4210-BC4A-FB33D351707C}"/>
    <cellStyle name="20 % - Markeringsfarve2 2 2" xfId="23481" xr:uid="{C28B5AE4-F7DB-4C87-9BC0-A713206DD8AA}"/>
    <cellStyle name="20 % - Markeringsfarve2 2 2 2" xfId="23482" xr:uid="{C157CBC8-40C2-4318-9BF9-238F7DB27077}"/>
    <cellStyle name="20 % - Markeringsfarve2 2 2 2 2" xfId="30412" xr:uid="{7FFA3B6A-0276-4F55-97D2-349622272C5F}"/>
    <cellStyle name="20 % - Markeringsfarve2 2 2 2 3" xfId="30413" xr:uid="{D2B7CB4F-C047-4661-A7A2-52631AACCCDC}"/>
    <cellStyle name="20 % - Markeringsfarve2 2 2 3" xfId="30414" xr:uid="{E784909C-F0F7-4FD1-9906-22B459408BED}"/>
    <cellStyle name="20 % - Markeringsfarve2 2 2 3 2" xfId="30415" xr:uid="{1396724D-9FC3-477D-83B4-C13526264120}"/>
    <cellStyle name="20 % - Markeringsfarve2 2 2 3 3" xfId="30416" xr:uid="{74EFD3A6-6947-4402-9798-B14CEEE81A01}"/>
    <cellStyle name="20 % - Markeringsfarve2 2 2 4" xfId="30417" xr:uid="{9D49DCFD-F172-40C9-B381-F1D9C9E18465}"/>
    <cellStyle name="20 % - Markeringsfarve2 2 2 4 2" xfId="30418" xr:uid="{770DA7E4-E46F-408F-9C19-AD8D4F19FA19}"/>
    <cellStyle name="20 % - Markeringsfarve2 2 2 4 3" xfId="30419" xr:uid="{F58F7C9F-F21E-4015-94A7-09E4AC994C0B}"/>
    <cellStyle name="20 % - Markeringsfarve2 2 2 5" xfId="30420" xr:uid="{9F2D272E-9CDF-4D64-8566-88CE9FF81EF2}"/>
    <cellStyle name="20 % - Markeringsfarve2 2 2 5 2" xfId="30421" xr:uid="{3DF2609E-8A87-4B9B-AC3B-48381BF7DF1B}"/>
    <cellStyle name="20 % - Markeringsfarve2 2 2 5 3" xfId="30422" xr:uid="{2146917F-9E4A-47AE-96D3-0DA11ECF9210}"/>
    <cellStyle name="20 % - Markeringsfarve2 2 2 6" xfId="30423" xr:uid="{63CE31C8-102C-454F-B822-2DDD5EC0828A}"/>
    <cellStyle name="20 % - Markeringsfarve2 2 2 6 2" xfId="30424" xr:uid="{A68F2DD4-CFEE-45F2-9CA2-701B93E89762}"/>
    <cellStyle name="20 % - Markeringsfarve2 2 2 6 3" xfId="30425" xr:uid="{220E2EA4-8E23-48A9-A4F9-A9AEC3584AA8}"/>
    <cellStyle name="20 % - Markeringsfarve2 2 2 7" xfId="30426" xr:uid="{65AC8BC9-E016-4DFF-B909-CD33DB799236}"/>
    <cellStyle name="20 % - Markeringsfarve2 2 2 7 2" xfId="30427" xr:uid="{12FEC24C-2DAB-4D42-9897-1B12FD2DCEEF}"/>
    <cellStyle name="20 % - Markeringsfarve2 2 2 8" xfId="30428" xr:uid="{33CE2C0B-4A88-494C-87B6-ABB26B0F3831}"/>
    <cellStyle name="20 % - Markeringsfarve2 2 3" xfId="23483" xr:uid="{603C88D6-D9DB-48A7-AB64-28D75ACC59A1}"/>
    <cellStyle name="20 % - Markeringsfarve2 2 3 2" xfId="23484" xr:uid="{8E21AB7B-E2EA-479E-A95F-CD6E21D4460C}"/>
    <cellStyle name="20 % - Markeringsfarve2 2 3 2 2" xfId="30429" xr:uid="{350B64B2-D0D3-4A5C-9291-25CB3611C628}"/>
    <cellStyle name="20 % - Markeringsfarve2 2 3 2 3" xfId="30430" xr:uid="{0C854F73-B24E-4748-905C-5560CD88586C}"/>
    <cellStyle name="20 % - Markeringsfarve2 2 3 3" xfId="30431" xr:uid="{77B26B53-09FB-472F-A208-B1FA12D9E13C}"/>
    <cellStyle name="20 % - Markeringsfarve2 2 3 3 2" xfId="30432" xr:uid="{EB708E52-1972-4CDA-BD65-A4426FB9ED60}"/>
    <cellStyle name="20 % - Markeringsfarve2 2 3 3 3" xfId="30433" xr:uid="{8B953ED6-93BD-49BD-8572-AFD1FD4B72DC}"/>
    <cellStyle name="20 % - Markeringsfarve2 2 3 4" xfId="30434" xr:uid="{C7A96FDE-E952-4F8E-9E4E-B9CE9DAC9B78}"/>
    <cellStyle name="20 % - Markeringsfarve2 2 3 4 2" xfId="30435" xr:uid="{585F9FDA-E358-4964-AEED-3F20FED70EF0}"/>
    <cellStyle name="20 % - Markeringsfarve2 2 3 4 3" xfId="30436" xr:uid="{7CA1A377-5559-4E33-ABBA-419E167BC29F}"/>
    <cellStyle name="20 % - Markeringsfarve2 2 3 5" xfId="30437" xr:uid="{02514648-0795-4638-927F-566FA0CC9C54}"/>
    <cellStyle name="20 % - Markeringsfarve2 2 3 5 2" xfId="30438" xr:uid="{F8CF6D98-D2ED-4AC3-962D-4FE38F16E12A}"/>
    <cellStyle name="20 % - Markeringsfarve2 2 3 5 3" xfId="30439" xr:uid="{D75C351F-9BED-4591-88C3-1C73804A51A2}"/>
    <cellStyle name="20 % - Markeringsfarve2 2 3 6" xfId="30440" xr:uid="{8C54ECB7-F7AF-4D50-B6F8-989B65293CE2}"/>
    <cellStyle name="20 % - Markeringsfarve2 2 3 6 2" xfId="30441" xr:uid="{D9B6B6AA-4748-4DB4-8E6A-C3762A04C3C8}"/>
    <cellStyle name="20 % - Markeringsfarve2 2 3 6 3" xfId="30442" xr:uid="{EF641003-204B-4956-B86A-1253B233721D}"/>
    <cellStyle name="20 % - Markeringsfarve2 2 3 7" xfId="30443" xr:uid="{3C6A40F1-E797-49CF-9CFE-E983642424B8}"/>
    <cellStyle name="20 % - Markeringsfarve2 2 3 7 2" xfId="30444" xr:uid="{A2775188-D673-4BB1-87E6-E00255B292B0}"/>
    <cellStyle name="20 % - Markeringsfarve2 2 3 8" xfId="30445" xr:uid="{2972AA28-E6F4-45F1-AFC3-89BBBFF1CD25}"/>
    <cellStyle name="20 % - Markeringsfarve2 2 4" xfId="23485" xr:uid="{5C1334A4-1F6F-40C6-BC89-ED88708DE7F3}"/>
    <cellStyle name="20 % - Markeringsfarve2 2 4 2" xfId="30446" xr:uid="{96C265BA-EB59-417B-8C85-27416F1FDC0B}"/>
    <cellStyle name="20 % - Markeringsfarve2 2 4 3" xfId="30447" xr:uid="{7F9B47B3-D193-49DD-9556-D52DC4F4D913}"/>
    <cellStyle name="20 % - Markeringsfarve2 2 5" xfId="30448" xr:uid="{FC6210DF-CB69-438E-B15A-F27998699CBD}"/>
    <cellStyle name="20 % - Markeringsfarve2 2 5 2" xfId="30449" xr:uid="{565EA13B-2019-43F2-8F12-965CAE5898BA}"/>
    <cellStyle name="20 % - Markeringsfarve2 2 5 3" xfId="30450" xr:uid="{4D945403-F91C-4C17-BD2E-5562545C800C}"/>
    <cellStyle name="20 % - Markeringsfarve2 2 6" xfId="30451" xr:uid="{215FBB4D-0981-4624-ACBB-9D488B3D1321}"/>
    <cellStyle name="20 % - Markeringsfarve2 2 6 2" xfId="30452" xr:uid="{C34DBC5E-1FD2-48B2-A896-185488E68FF3}"/>
    <cellStyle name="20 % - Markeringsfarve2 2 6 3" xfId="30453" xr:uid="{96A8042F-6AD8-455F-8E6F-65F2ED442072}"/>
    <cellStyle name="20 % - Markeringsfarve2 2 7" xfId="30454" xr:uid="{8CD61F4D-CBDA-436F-9099-4EAA00BF1D13}"/>
    <cellStyle name="20 % - Markeringsfarve2 2 7 2" xfId="30455" xr:uid="{CCB0F5E4-6ABA-46A4-A0FB-BD56E9105F07}"/>
    <cellStyle name="20 % - Markeringsfarve2 2 7 3" xfId="30456" xr:uid="{A473EE24-13C0-4D53-AF85-F9E8AD943F90}"/>
    <cellStyle name="20 % - Markeringsfarve2 2 8" xfId="30457" xr:uid="{78532AEC-D477-4C97-8BB6-712336FB7168}"/>
    <cellStyle name="20 % - Markeringsfarve2 2 8 2" xfId="30458" xr:uid="{A082716D-AA77-4DDC-BCF5-3149B8409619}"/>
    <cellStyle name="20 % - Markeringsfarve2 2 8 3" xfId="30459" xr:uid="{B31C4F1C-4695-4E54-B2B7-7BC5B9C81825}"/>
    <cellStyle name="20 % - Markeringsfarve2 2 9" xfId="30460" xr:uid="{DFA5CCB9-5414-4F77-B6FF-87C86242F29D}"/>
    <cellStyle name="20 % - Markeringsfarve2 2 9 2" xfId="30461" xr:uid="{8776C54A-0E28-4A25-91C2-D584355571FE}"/>
    <cellStyle name="20 % - Markeringsfarve2 3" xfId="2586" xr:uid="{22A9BFCA-D7A2-4454-B925-5331D14C4E61}"/>
    <cellStyle name="20 % - Markeringsfarve2 3 10" xfId="30462" xr:uid="{853A22AC-7F14-49FD-860D-97F0A516242B}"/>
    <cellStyle name="20 % - Markeringsfarve2 3 2" xfId="23486" xr:uid="{BC93B78D-1652-4468-9F7E-C20E83A9B3DC}"/>
    <cellStyle name="20 % - Markeringsfarve2 3 2 2" xfId="30463" xr:uid="{CC0FBB36-5961-4EA9-8476-5A10C9D445D0}"/>
    <cellStyle name="20 % - Markeringsfarve2 3 2 2 2" xfId="30464" xr:uid="{0831AF86-D6A6-4C48-9974-082A73CF99CC}"/>
    <cellStyle name="20 % - Markeringsfarve2 3 2 2 3" xfId="30465" xr:uid="{2B6E089D-1F3A-4BAB-A495-CDAF4BDD3CB4}"/>
    <cellStyle name="20 % - Markeringsfarve2 3 2 3" xfId="30466" xr:uid="{3237FA4F-1A65-49E8-9B89-FD553BED39E1}"/>
    <cellStyle name="20 % - Markeringsfarve2 3 2 3 2" xfId="30467" xr:uid="{93862841-B65D-478D-8B0F-0BE7263C1525}"/>
    <cellStyle name="20 % - Markeringsfarve2 3 2 3 3" xfId="30468" xr:uid="{C9EA417A-71E3-423A-B4AC-88E2F61725EE}"/>
    <cellStyle name="20 % - Markeringsfarve2 3 2 4" xfId="30469" xr:uid="{47882B73-2B15-49CA-845E-B7435574C62E}"/>
    <cellStyle name="20 % - Markeringsfarve2 3 2 4 2" xfId="30470" xr:uid="{563781E4-543A-4190-B8D2-4919F92048FC}"/>
    <cellStyle name="20 % - Markeringsfarve2 3 2 4 3" xfId="30471" xr:uid="{3AD1AC21-2A7F-4B71-9C09-BCFB91400443}"/>
    <cellStyle name="20 % - Markeringsfarve2 3 2 5" xfId="30472" xr:uid="{09F7A5BC-5267-454F-AD8C-C5EA38EDF127}"/>
    <cellStyle name="20 % - Markeringsfarve2 3 2 5 2" xfId="30473" xr:uid="{F3BA9F62-5D3D-469A-BC5C-1B8A371D1973}"/>
    <cellStyle name="20 % - Markeringsfarve2 3 2 5 3" xfId="30474" xr:uid="{C07AC0E1-506D-4D2F-BC48-F922EA59A0BE}"/>
    <cellStyle name="20 % - Markeringsfarve2 3 2 6" xfId="30475" xr:uid="{9189CCFC-4EFD-497C-8120-0E6C9E31EBEC}"/>
    <cellStyle name="20 % - Markeringsfarve2 3 2 6 2" xfId="30476" xr:uid="{92D8B8A3-3EEA-47BC-AB37-F56DF3020FB7}"/>
    <cellStyle name="20 % - Markeringsfarve2 3 2 6 3" xfId="30477" xr:uid="{5A1523E5-5449-426A-B684-D8963B729AE2}"/>
    <cellStyle name="20 % - Markeringsfarve2 3 2 7" xfId="30478" xr:uid="{01A4D0A4-21EB-4E15-8DF8-E38675AF7594}"/>
    <cellStyle name="20 % - Markeringsfarve2 3 2 7 2" xfId="30479" xr:uid="{66B2D591-23FB-4334-9667-935BFCFA2C29}"/>
    <cellStyle name="20 % - Markeringsfarve2 3 2 8" xfId="30480" xr:uid="{43667715-3C2D-467F-A902-76ED1B60CE5D}"/>
    <cellStyle name="20 % - Markeringsfarve2 3 3" xfId="30481" xr:uid="{9CF83D00-6FE9-49F9-B51F-3AB285E3EFF3}"/>
    <cellStyle name="20 % - Markeringsfarve2 3 3 2" xfId="30482" xr:uid="{B57A8555-C4BD-4DDA-B3C4-6CD115D0EEED}"/>
    <cellStyle name="20 % - Markeringsfarve2 3 3 2 2" xfId="30483" xr:uid="{956BFC47-E492-42CD-BF4C-6F1EA00BA23E}"/>
    <cellStyle name="20 % - Markeringsfarve2 3 3 2 3" xfId="30484" xr:uid="{AF8CEBAD-A937-4FFA-8509-3AE3FFC1FA11}"/>
    <cellStyle name="20 % - Markeringsfarve2 3 3 3" xfId="30485" xr:uid="{D85D482E-6881-460E-B9A4-4FA09E8E9303}"/>
    <cellStyle name="20 % - Markeringsfarve2 3 3 3 2" xfId="30486" xr:uid="{43ABD234-DBE7-425B-BF7E-72F50541A30A}"/>
    <cellStyle name="20 % - Markeringsfarve2 3 3 3 3" xfId="30487" xr:uid="{2BEB1D3C-C0F3-4166-8686-BE77D979BF9D}"/>
    <cellStyle name="20 % - Markeringsfarve2 3 3 4" xfId="30488" xr:uid="{DFE84A85-8B49-4575-8769-02C72193F750}"/>
    <cellStyle name="20 % - Markeringsfarve2 3 3 4 2" xfId="30489" xr:uid="{DDBAB80A-E8CB-411E-A7AF-F6D2B705253B}"/>
    <cellStyle name="20 % - Markeringsfarve2 3 3 4 3" xfId="30490" xr:uid="{E38ACD31-0BA8-4302-9513-E19B21202CBF}"/>
    <cellStyle name="20 % - Markeringsfarve2 3 3 5" xfId="30491" xr:uid="{B69F41D3-6668-42AF-8CF3-9DE4609A92A9}"/>
    <cellStyle name="20 % - Markeringsfarve2 3 3 5 2" xfId="30492" xr:uid="{2912F58D-3C3E-425E-A6FF-F471A0C5B90F}"/>
    <cellStyle name="20 % - Markeringsfarve2 3 3 5 3" xfId="30493" xr:uid="{B1BBE3B1-7D06-4BEB-B645-5784FBE0280B}"/>
    <cellStyle name="20 % - Markeringsfarve2 3 3 6" xfId="30494" xr:uid="{CE9A7737-B371-4D47-A1B5-B46F8A4299A2}"/>
    <cellStyle name="20 % - Markeringsfarve2 3 3 6 2" xfId="30495" xr:uid="{78F26028-5AD7-4679-9E7D-AF6E11F643F0}"/>
    <cellStyle name="20 % - Markeringsfarve2 3 3 6 3" xfId="30496" xr:uid="{5F56C6DF-5F0C-44A6-A8C0-1421C68F74C8}"/>
    <cellStyle name="20 % - Markeringsfarve2 3 3 7" xfId="30497" xr:uid="{E84C6B06-3941-44CD-9460-20E7795BC910}"/>
    <cellStyle name="20 % - Markeringsfarve2 3 3 7 2" xfId="30498" xr:uid="{EC94142E-50E8-47CE-8EB9-616E66D3CF73}"/>
    <cellStyle name="20 % - Markeringsfarve2 3 3 8" xfId="30499" xr:uid="{E1CA7A79-4CAB-44DC-A236-285383D1CB20}"/>
    <cellStyle name="20 % - Markeringsfarve2 3 4" xfId="30500" xr:uid="{29CAC85D-72A4-48AD-A526-C96C6286374B}"/>
    <cellStyle name="20 % - Markeringsfarve2 3 4 2" xfId="30501" xr:uid="{AFCA1C56-6409-4FD4-818C-FACA7CA21789}"/>
    <cellStyle name="20 % - Markeringsfarve2 3 4 3" xfId="30502" xr:uid="{E2DD20BE-0A2A-4135-9412-9A46C59A4E39}"/>
    <cellStyle name="20 % - Markeringsfarve2 3 5" xfId="30503" xr:uid="{DA9629BD-FCA1-4CAD-B7C1-A0532233249F}"/>
    <cellStyle name="20 % - Markeringsfarve2 3 5 2" xfId="30504" xr:uid="{FE7FFC4B-7F6D-4A93-99D8-21A9FC1B9C41}"/>
    <cellStyle name="20 % - Markeringsfarve2 3 5 3" xfId="30505" xr:uid="{B8309F84-B270-4D54-A635-75B46EF88339}"/>
    <cellStyle name="20 % - Markeringsfarve2 3 6" xfId="30506" xr:uid="{FDA84867-9728-4778-81E6-81778C7234E3}"/>
    <cellStyle name="20 % - Markeringsfarve2 3 6 2" xfId="30507" xr:uid="{0B4A40D1-B717-4D04-8DF4-0CA72E1C6081}"/>
    <cellStyle name="20 % - Markeringsfarve2 3 6 3" xfId="30508" xr:uid="{79EA2421-EF41-414B-82BE-E9D47631115B}"/>
    <cellStyle name="20 % - Markeringsfarve2 3 7" xfId="30509" xr:uid="{BDF144BA-FC42-4F1D-97BD-127DA7BB1B3C}"/>
    <cellStyle name="20 % - Markeringsfarve2 3 7 2" xfId="30510" xr:uid="{2FB1E709-0D10-4557-99F8-7725650583C4}"/>
    <cellStyle name="20 % - Markeringsfarve2 3 7 3" xfId="30511" xr:uid="{FC4454EC-E37B-4838-9A4D-95BBCCDCF731}"/>
    <cellStyle name="20 % - Markeringsfarve2 3 8" xfId="30512" xr:uid="{3A934D22-EB85-4A5B-81FF-0A426F6BD308}"/>
    <cellStyle name="20 % - Markeringsfarve2 3 8 2" xfId="30513" xr:uid="{7E568AF9-0E8F-4CC9-B650-62B8549DD816}"/>
    <cellStyle name="20 % - Markeringsfarve2 3 8 3" xfId="30514" xr:uid="{2D6F2A85-96F9-4B96-8597-6D72DC436A07}"/>
    <cellStyle name="20 % - Markeringsfarve2 3 9" xfId="30515" xr:uid="{5C436FD0-4CE8-46A9-9743-FBCA791E7993}"/>
    <cellStyle name="20 % - Markeringsfarve2 3 9 2" xfId="30516" xr:uid="{5C1AF9EB-9DB9-4DBB-9DFD-053B4E580B99}"/>
    <cellStyle name="20 % - Markeringsfarve2 4" xfId="23487" xr:uid="{CC4EB750-CB11-4B7A-BCC3-A2D1F1FDACD6}"/>
    <cellStyle name="20 % - Markeringsfarve2 4 2" xfId="23488" xr:uid="{50D1B507-0361-4D03-9C78-B20F4CB4DAED}"/>
    <cellStyle name="20 % - Markeringsfarve2 4 2 2" xfId="30517" xr:uid="{BC54C7A1-2701-430E-B8FF-DF0CAA877A0F}"/>
    <cellStyle name="20 % - Markeringsfarve2 4 2 3" xfId="30518" xr:uid="{CF1D22F0-1AE7-4A34-B325-6D354BE96525}"/>
    <cellStyle name="20 % - Markeringsfarve2 4 3" xfId="30519" xr:uid="{E6FB7AEA-6651-4F4A-A35D-9B693AEB8C07}"/>
    <cellStyle name="20 % - Markeringsfarve2 4 3 2" xfId="30520" xr:uid="{DD8094CC-EA9A-4447-994F-40C8C547E973}"/>
    <cellStyle name="20 % - Markeringsfarve2 4 3 3" xfId="30521" xr:uid="{B7FBC3C1-53F8-4B6D-B34B-BC3754D3D8B0}"/>
    <cellStyle name="20 % - Markeringsfarve2 4 4" xfId="30522" xr:uid="{B2BB3F40-3400-4BAE-BF20-93C94EC32491}"/>
    <cellStyle name="20 % - Markeringsfarve2 4 4 2" xfId="30523" xr:uid="{3D89548E-2F64-4FB5-A29A-B8283C4773E7}"/>
    <cellStyle name="20 % - Markeringsfarve2 4 4 3" xfId="30524" xr:uid="{ECCC0E8D-803D-44E0-B11F-37E06655EE55}"/>
    <cellStyle name="20 % - Markeringsfarve2 4 5" xfId="30525" xr:uid="{72C2904C-4276-48A8-83BE-8F1955DE2FFE}"/>
    <cellStyle name="20 % - Markeringsfarve2 4 5 2" xfId="30526" xr:uid="{0A81BCC9-C5AE-49D1-BE68-76DF9211D507}"/>
    <cellStyle name="20 % - Markeringsfarve2 4 5 3" xfId="30527" xr:uid="{382D5903-FA2A-4248-80FD-A1D082F80149}"/>
    <cellStyle name="20 % - Markeringsfarve2 4 6" xfId="30528" xr:uid="{23AD13B5-187C-452E-9E64-4630435F1E01}"/>
    <cellStyle name="20 % - Markeringsfarve2 4 6 2" xfId="30529" xr:uid="{960E3135-99F0-474D-9AAE-735DC4EEBD0D}"/>
    <cellStyle name="20 % - Markeringsfarve2 4 6 3" xfId="30530" xr:uid="{B0028005-F7D0-4D43-9629-7312E559FF0B}"/>
    <cellStyle name="20 % - Markeringsfarve2 4 7" xfId="30531" xr:uid="{CEE10B8B-BDE6-4BBE-ACEC-7F3F6C60A3AB}"/>
    <cellStyle name="20 % - Markeringsfarve2 4 7 2" xfId="30532" xr:uid="{2098212A-FEC6-48DE-8480-498401B5D8C1}"/>
    <cellStyle name="20 % - Markeringsfarve2 4 8" xfId="30533" xr:uid="{6AF1A9F4-E461-40CC-9CC5-09A5732514A2}"/>
    <cellStyle name="20 % - Markeringsfarve2 5" xfId="23489" xr:uid="{972CF4D2-E85E-40EE-AC18-E441ECC97AE8}"/>
    <cellStyle name="20 % - Markeringsfarve2 5 2" xfId="23490" xr:uid="{52FC7F30-BE45-42A6-ABB3-4F4412B5E279}"/>
    <cellStyle name="20 % - Markeringsfarve2 5 2 2" xfId="30534" xr:uid="{F65B758D-C28B-4DF5-B67B-67FB5BC39C38}"/>
    <cellStyle name="20 % - Markeringsfarve2 5 2 3" xfId="30535" xr:uid="{0B07B882-FA74-4D7C-A341-711518E46170}"/>
    <cellStyle name="20 % - Markeringsfarve2 5 3" xfId="30536" xr:uid="{C5B184B4-AFF1-4DF1-AFAF-70F29D16BC58}"/>
    <cellStyle name="20 % - Markeringsfarve2 5 3 2" xfId="30537" xr:uid="{29B0C3D1-4912-419B-8F2A-651895E11A22}"/>
    <cellStyle name="20 % - Markeringsfarve2 5 3 3" xfId="30538" xr:uid="{E5EAA523-BD7E-4385-AB6A-2B49056AD53F}"/>
    <cellStyle name="20 % - Markeringsfarve2 5 4" xfId="30539" xr:uid="{F9FA0080-1B65-452A-9B26-E03C5DE0B201}"/>
    <cellStyle name="20 % - Markeringsfarve2 5 4 2" xfId="30540" xr:uid="{9357777D-9438-4842-8310-614BC5EBDD2D}"/>
    <cellStyle name="20 % - Markeringsfarve2 5 4 3" xfId="30541" xr:uid="{DEF99A39-B519-4750-BF3A-F00F814D2038}"/>
    <cellStyle name="20 % - Markeringsfarve2 5 5" xfId="30542" xr:uid="{1C4A4524-4B83-4EE8-A6FA-FF3ED3739E4D}"/>
    <cellStyle name="20 % - Markeringsfarve2 5 5 2" xfId="30543" xr:uid="{69278BCB-AAB9-43C4-BB00-3E896A2170BF}"/>
    <cellStyle name="20 % - Markeringsfarve2 5 5 3" xfId="30544" xr:uid="{782984DF-9D8B-47DE-A74D-2EA54913D762}"/>
    <cellStyle name="20 % - Markeringsfarve2 5 6" xfId="30545" xr:uid="{DF3A8A8D-1656-4B1C-B689-7522A4AB0A97}"/>
    <cellStyle name="20 % - Markeringsfarve2 5 6 2" xfId="30546" xr:uid="{1126A474-19B7-4296-9462-100BE616F41B}"/>
    <cellStyle name="20 % - Markeringsfarve2 5 6 3" xfId="30547" xr:uid="{C2F54AA5-383F-4515-8795-7F38072312AA}"/>
    <cellStyle name="20 % - Markeringsfarve2 5 7" xfId="30548" xr:uid="{3BD3ED53-E2BB-45D3-A50E-FCA87DAA8376}"/>
    <cellStyle name="20 % - Markeringsfarve2 5 7 2" xfId="30549" xr:uid="{D175EBD9-7C61-4FF3-A3A4-87B694FE00B6}"/>
    <cellStyle name="20 % - Markeringsfarve2 5 8" xfId="30550" xr:uid="{25FF214F-52AC-4431-8ADE-A297A68D5C93}"/>
    <cellStyle name="20 % - Markeringsfarve2 6" xfId="23491" xr:uid="{3385A10D-2516-4DE5-B4BD-E3DF7817AFD2}"/>
    <cellStyle name="20 % - Markeringsfarve2 6 2" xfId="23492" xr:uid="{6C590BE0-D1B3-418D-8371-B838467FC616}"/>
    <cellStyle name="20 % - Markeringsfarve2 6 2 2" xfId="30551" xr:uid="{DF154F75-BC12-43CA-8438-6105BB764F5D}"/>
    <cellStyle name="20 % - Markeringsfarve2 6 2 3" xfId="30552" xr:uid="{2D629FFC-3EE4-49F8-92D1-FDA5F02426C0}"/>
    <cellStyle name="20 % - Markeringsfarve2 6 3" xfId="30553" xr:uid="{3C3D4971-80B2-4226-BDD6-979AE39C1343}"/>
    <cellStyle name="20 % - Markeringsfarve2 6 4" xfId="30554" xr:uid="{85A3B220-2950-4DA7-8B20-D78C22CF9015}"/>
    <cellStyle name="20 % - Markeringsfarve2 7" xfId="23493" xr:uid="{77957283-14B6-4ED8-B839-AAEB0C980AA9}"/>
    <cellStyle name="20 % - Markeringsfarve2 7 2" xfId="30555" xr:uid="{00CC7D74-D044-4B62-B300-4CE1870D0F52}"/>
    <cellStyle name="20 % - Markeringsfarve2 7 3" xfId="30556" xr:uid="{E432E0A1-AF52-4B10-9E2F-980BDAA96243}"/>
    <cellStyle name="20 % - Markeringsfarve2 8" xfId="30557" xr:uid="{A6F0896E-F7C9-461B-A211-C6C038667CCD}"/>
    <cellStyle name="20 % - Markeringsfarve2 8 2" xfId="30558" xr:uid="{D8558587-7A0B-4C5C-8572-50CC2D054D70}"/>
    <cellStyle name="20 % - Markeringsfarve2 8 3" xfId="30559" xr:uid="{326EBEF2-1F67-4747-9366-4F8E9FD2623B}"/>
    <cellStyle name="20 % - Markeringsfarve2 9" xfId="30560" xr:uid="{C1307B08-EE51-4F31-B1E2-615BF9408888}"/>
    <cellStyle name="20 % - Markeringsfarve2 9 2" xfId="30561" xr:uid="{348BD3E0-2E4B-45D1-B508-1A5C73B3E485}"/>
    <cellStyle name="20 % - Markeringsfarve2 9 3" xfId="30562" xr:uid="{4B64CE94-BC35-4E0E-9D28-357ECB030A4F}"/>
    <cellStyle name="20 % - Markeringsfarve3" xfId="1263" xr:uid="{00000000-0005-0000-0000-000004000000}"/>
    <cellStyle name="20 % - Markeringsfarve3 10" xfId="30563" xr:uid="{5A8090B8-8CEE-473A-B553-6243665AA7E1}"/>
    <cellStyle name="20 % - Markeringsfarve3 10 2" xfId="30564" xr:uid="{82C81F3A-377C-43E8-9625-BF390839D856}"/>
    <cellStyle name="20 % - Markeringsfarve3 11" xfId="30565" xr:uid="{97D8BE5B-C8C2-4E63-8F96-9130D1E0D207}"/>
    <cellStyle name="20 % - Markeringsfarve3 12" xfId="17721" xr:uid="{9FE9A627-719A-4700-8D38-844B21FF6A87}"/>
    <cellStyle name="20 % - Markeringsfarve3 2" xfId="1264" xr:uid="{00000000-0005-0000-0000-000005000000}"/>
    <cellStyle name="20 % - Markeringsfarve3 2 10" xfId="30566" xr:uid="{DBC16257-B48B-46BF-9EFC-D068D078CC99}"/>
    <cellStyle name="20 % - Markeringsfarve3 2 11" xfId="17722" xr:uid="{8EACFD2E-B424-477A-945A-F729C16042C9}"/>
    <cellStyle name="20 % - Markeringsfarve3 2 2" xfId="23494" xr:uid="{2C008516-64BC-4735-930B-6921721354D5}"/>
    <cellStyle name="20 % - Markeringsfarve3 2 2 2" xfId="23495" xr:uid="{3E6386D8-65D2-4F0D-8BFE-6441984C1FFA}"/>
    <cellStyle name="20 % - Markeringsfarve3 2 2 2 2" xfId="30567" xr:uid="{D748036A-0F25-4B7E-B632-61ED85693689}"/>
    <cellStyle name="20 % - Markeringsfarve3 2 2 2 3" xfId="30568" xr:uid="{3D102298-B00D-4C2F-AE00-C58A121602A3}"/>
    <cellStyle name="20 % - Markeringsfarve3 2 2 3" xfId="30569" xr:uid="{E2952DBD-4C59-475E-A72F-489951E379EF}"/>
    <cellStyle name="20 % - Markeringsfarve3 2 2 3 2" xfId="30570" xr:uid="{83FDFC82-583A-4679-8A74-187284D049BC}"/>
    <cellStyle name="20 % - Markeringsfarve3 2 2 3 3" xfId="30571" xr:uid="{5C8D9B35-3760-4063-8570-8F03C8E3146E}"/>
    <cellStyle name="20 % - Markeringsfarve3 2 2 4" xfId="30572" xr:uid="{B899A67B-322A-46A1-B030-1D67F3B27452}"/>
    <cellStyle name="20 % - Markeringsfarve3 2 2 4 2" xfId="30573" xr:uid="{3207CE07-F821-4BBD-924F-AE94547D1D58}"/>
    <cellStyle name="20 % - Markeringsfarve3 2 2 4 3" xfId="30574" xr:uid="{DEFC84FD-9511-47D2-97B7-E7544EC2F4AD}"/>
    <cellStyle name="20 % - Markeringsfarve3 2 2 5" xfId="30575" xr:uid="{CAA20930-E574-4430-B0D1-3709D9E86485}"/>
    <cellStyle name="20 % - Markeringsfarve3 2 2 5 2" xfId="30576" xr:uid="{47A84042-A143-4F75-9F70-6AC2B755BC2C}"/>
    <cellStyle name="20 % - Markeringsfarve3 2 2 5 3" xfId="30577" xr:uid="{906C2527-113E-48B1-8B26-4CDA8E76257D}"/>
    <cellStyle name="20 % - Markeringsfarve3 2 2 6" xfId="30578" xr:uid="{53D9C553-C621-40C0-8E9D-20B42BE63404}"/>
    <cellStyle name="20 % - Markeringsfarve3 2 2 6 2" xfId="30579" xr:uid="{11271948-4A91-4396-9557-82AE7C81DA36}"/>
    <cellStyle name="20 % - Markeringsfarve3 2 2 6 3" xfId="30580" xr:uid="{8DCA5871-F54E-43A7-8C39-116B590CBEDF}"/>
    <cellStyle name="20 % - Markeringsfarve3 2 2 7" xfId="30581" xr:uid="{CDA2B927-669B-4FEC-AB11-30C1C3D91D6B}"/>
    <cellStyle name="20 % - Markeringsfarve3 2 2 7 2" xfId="30582" xr:uid="{1A2388D1-7230-436B-B39D-270236340188}"/>
    <cellStyle name="20 % - Markeringsfarve3 2 2 8" xfId="30583" xr:uid="{40EA5854-DC45-4E7C-8F2A-732EA96CA08D}"/>
    <cellStyle name="20 % - Markeringsfarve3 2 3" xfId="23496" xr:uid="{9DD3D151-35C0-40BA-940F-684D8D72AF7C}"/>
    <cellStyle name="20 % - Markeringsfarve3 2 3 2" xfId="23497" xr:uid="{9289A3CD-6200-4CF3-B9D7-0F35AC1A0BE4}"/>
    <cellStyle name="20 % - Markeringsfarve3 2 3 2 2" xfId="30584" xr:uid="{0976A378-F61D-4FF0-9BC2-4DF4ECBDED7C}"/>
    <cellStyle name="20 % - Markeringsfarve3 2 3 2 3" xfId="30585" xr:uid="{4A710459-C3A8-4AB0-883B-5EFD81411BE4}"/>
    <cellStyle name="20 % - Markeringsfarve3 2 3 3" xfId="30586" xr:uid="{53F2CFEC-F069-4190-A51E-8C20708DF88F}"/>
    <cellStyle name="20 % - Markeringsfarve3 2 3 3 2" xfId="30587" xr:uid="{DE41B7C1-B777-452E-A2A3-B452986FDE2A}"/>
    <cellStyle name="20 % - Markeringsfarve3 2 3 3 3" xfId="30588" xr:uid="{A1176FA3-74AA-4D01-A8D2-2F3CA3293E1C}"/>
    <cellStyle name="20 % - Markeringsfarve3 2 3 4" xfId="30589" xr:uid="{EAD2439E-3274-4DF0-982D-55F0E64A9D1F}"/>
    <cellStyle name="20 % - Markeringsfarve3 2 3 4 2" xfId="30590" xr:uid="{20687603-EAB5-475F-8FC4-52A94CB53CF1}"/>
    <cellStyle name="20 % - Markeringsfarve3 2 3 4 3" xfId="30591" xr:uid="{F3BAFAFA-75F1-49D7-8039-3C161394DA68}"/>
    <cellStyle name="20 % - Markeringsfarve3 2 3 5" xfId="30592" xr:uid="{D250D7B1-FD65-4C1E-AE23-E504A3195F80}"/>
    <cellStyle name="20 % - Markeringsfarve3 2 3 5 2" xfId="30593" xr:uid="{446D0AD2-15AB-4730-A055-FC9724BECC79}"/>
    <cellStyle name="20 % - Markeringsfarve3 2 3 5 3" xfId="30594" xr:uid="{DE46DEE3-541B-4F41-A4B0-CBE7393BA28A}"/>
    <cellStyle name="20 % - Markeringsfarve3 2 3 6" xfId="30595" xr:uid="{D46A75C6-82A7-46ED-86A2-2F9AF7CAAF0D}"/>
    <cellStyle name="20 % - Markeringsfarve3 2 3 6 2" xfId="30596" xr:uid="{64459389-2959-45AE-80F9-C80F00C00EFF}"/>
    <cellStyle name="20 % - Markeringsfarve3 2 3 6 3" xfId="30597" xr:uid="{4BC7CCB4-4997-447D-9EE3-B14E93E84238}"/>
    <cellStyle name="20 % - Markeringsfarve3 2 3 7" xfId="30598" xr:uid="{C6EE48D7-7C23-4FD2-902D-E7B363FB575F}"/>
    <cellStyle name="20 % - Markeringsfarve3 2 3 7 2" xfId="30599" xr:uid="{69049EA3-5C60-4971-99B6-1802F0D3BE86}"/>
    <cellStyle name="20 % - Markeringsfarve3 2 3 8" xfId="30600" xr:uid="{B7F715FC-D658-4CBD-87C9-E84E90A13557}"/>
    <cellStyle name="20 % - Markeringsfarve3 2 4" xfId="23498" xr:uid="{B66DCF4A-632E-4E75-86EC-0AADAFAFE28B}"/>
    <cellStyle name="20 % - Markeringsfarve3 2 4 2" xfId="23499" xr:uid="{CBC18479-C2ED-4ED7-907B-C7AE8EC4E5A7}"/>
    <cellStyle name="20 % - Markeringsfarve3 2 4 3" xfId="30601" xr:uid="{5C130B9C-82BF-4B37-8164-78D64FA65530}"/>
    <cellStyle name="20 % - Markeringsfarve3 2 5" xfId="23500" xr:uid="{38BC05F7-C995-4C60-B7FB-F4C382DAEDD2}"/>
    <cellStyle name="20 % - Markeringsfarve3 2 5 2" xfId="30602" xr:uid="{D6C837B9-F1B1-447B-B4C0-B83D82C4A471}"/>
    <cellStyle name="20 % - Markeringsfarve3 2 5 3" xfId="30603" xr:uid="{1C52AA9F-763E-473F-AF7D-34924631CD00}"/>
    <cellStyle name="20 % - Markeringsfarve3 2 6" xfId="30604" xr:uid="{AE8DFC05-1E82-46EF-9579-3F8E38ED9E4E}"/>
    <cellStyle name="20 % - Markeringsfarve3 2 6 2" xfId="30605" xr:uid="{832485B7-1958-4FA7-BEF7-18CCB7B8610C}"/>
    <cellStyle name="20 % - Markeringsfarve3 2 6 3" xfId="30606" xr:uid="{7116580C-2E45-499C-AD32-F790FB3C4B60}"/>
    <cellStyle name="20 % - Markeringsfarve3 2 7" xfId="30607" xr:uid="{C0076BFC-7B9D-47AC-BA09-86C9B0260AE7}"/>
    <cellStyle name="20 % - Markeringsfarve3 2 7 2" xfId="30608" xr:uid="{9B624048-7C71-4132-B1AD-100575807715}"/>
    <cellStyle name="20 % - Markeringsfarve3 2 7 3" xfId="30609" xr:uid="{02B86205-5813-4AC7-BE30-C6B9E16EA2AD}"/>
    <cellStyle name="20 % - Markeringsfarve3 2 8" xfId="30610" xr:uid="{97FD404C-1572-4348-A3C4-F44C4DCE7F7F}"/>
    <cellStyle name="20 % - Markeringsfarve3 2 8 2" xfId="30611" xr:uid="{9B36835B-E77F-4DB5-B269-50E18D4C8AAA}"/>
    <cellStyle name="20 % - Markeringsfarve3 2 8 3" xfId="30612" xr:uid="{EB5A203F-8D43-4E91-8F38-1A8D227C1775}"/>
    <cellStyle name="20 % - Markeringsfarve3 2 9" xfId="30613" xr:uid="{A1256460-416A-46F6-8A33-F608F94E76CD}"/>
    <cellStyle name="20 % - Markeringsfarve3 2 9 2" xfId="30614" xr:uid="{5EA57434-FF51-4F50-BB24-A85839B2B118}"/>
    <cellStyle name="20 % - Markeringsfarve3 3" xfId="2587" xr:uid="{CFC757D9-9939-472D-BD3A-638858576F1A}"/>
    <cellStyle name="20 % - Markeringsfarve3 3 10" xfId="30615" xr:uid="{B7826102-FA8A-4771-85A2-299AB3206EB2}"/>
    <cellStyle name="20 % - Markeringsfarve3 3 2" xfId="23501" xr:uid="{492C61F7-E8F3-43F5-9326-D8E5CCF7BD69}"/>
    <cellStyle name="20 % - Markeringsfarve3 3 2 2" xfId="30616" xr:uid="{6F8C0766-0590-49A3-AC28-DCFC38C26677}"/>
    <cellStyle name="20 % - Markeringsfarve3 3 2 2 2" xfId="30617" xr:uid="{FC6FC0B7-127F-43FF-AF96-C1EDC77CA07A}"/>
    <cellStyle name="20 % - Markeringsfarve3 3 2 2 3" xfId="30618" xr:uid="{2CBF8B4F-080C-48C0-856B-19AEAE89837E}"/>
    <cellStyle name="20 % - Markeringsfarve3 3 2 3" xfId="30619" xr:uid="{427D7FB8-A2B5-4752-9ED3-6A798B2204F8}"/>
    <cellStyle name="20 % - Markeringsfarve3 3 2 3 2" xfId="30620" xr:uid="{357E2E2D-E0A2-45BD-843C-C21532A7E23E}"/>
    <cellStyle name="20 % - Markeringsfarve3 3 2 3 3" xfId="30621" xr:uid="{D0FFE73F-A868-45AE-BB4B-74BDE7583133}"/>
    <cellStyle name="20 % - Markeringsfarve3 3 2 4" xfId="30622" xr:uid="{CED331A3-AFFF-447F-A29D-C6E7AE3A4954}"/>
    <cellStyle name="20 % - Markeringsfarve3 3 2 4 2" xfId="30623" xr:uid="{AB99F14F-8365-410B-8FD9-EC3A3A367E85}"/>
    <cellStyle name="20 % - Markeringsfarve3 3 2 4 3" xfId="30624" xr:uid="{4EA16873-4021-4E63-971B-F05EA5D3A1CB}"/>
    <cellStyle name="20 % - Markeringsfarve3 3 2 5" xfId="30625" xr:uid="{5818D104-8504-4FE7-B255-3068D959BF9B}"/>
    <cellStyle name="20 % - Markeringsfarve3 3 2 5 2" xfId="30626" xr:uid="{64538737-1609-48B1-A646-2A8D5A220E5A}"/>
    <cellStyle name="20 % - Markeringsfarve3 3 2 5 3" xfId="30627" xr:uid="{9A90CD03-2F52-4635-9970-E347ED879B30}"/>
    <cellStyle name="20 % - Markeringsfarve3 3 2 6" xfId="30628" xr:uid="{93CAC5AC-DB38-405B-8FFE-F640558CA7B5}"/>
    <cellStyle name="20 % - Markeringsfarve3 3 2 6 2" xfId="30629" xr:uid="{DBD43D16-5E8B-44AD-AF98-E2709DCBB2B0}"/>
    <cellStyle name="20 % - Markeringsfarve3 3 2 6 3" xfId="30630" xr:uid="{55A7DA6C-EBFB-415D-AF93-531181ED2F0D}"/>
    <cellStyle name="20 % - Markeringsfarve3 3 2 7" xfId="30631" xr:uid="{1F9484B6-F679-4599-998B-21E60DAE7AD4}"/>
    <cellStyle name="20 % - Markeringsfarve3 3 2 7 2" xfId="30632" xr:uid="{35E824D8-E0C5-4140-BEAA-22242E9B3F9C}"/>
    <cellStyle name="20 % - Markeringsfarve3 3 2 8" xfId="30633" xr:uid="{AD6DB336-DBBB-40BA-8A94-04E3C372EF49}"/>
    <cellStyle name="20 % - Markeringsfarve3 3 3" xfId="30634" xr:uid="{4CFDD4A8-34FB-419B-A5E0-03A451FC1D97}"/>
    <cellStyle name="20 % - Markeringsfarve3 3 3 2" xfId="30635" xr:uid="{21CE5DF7-0A48-46ED-9BC7-9241EECFF412}"/>
    <cellStyle name="20 % - Markeringsfarve3 3 3 2 2" xfId="30636" xr:uid="{354644E8-B738-440E-BF05-CF843080162B}"/>
    <cellStyle name="20 % - Markeringsfarve3 3 3 2 3" xfId="30637" xr:uid="{E1A80A65-D8A9-40E3-A1D1-DD9CA23296BA}"/>
    <cellStyle name="20 % - Markeringsfarve3 3 3 3" xfId="30638" xr:uid="{4B767552-B69F-47DA-A345-055BA133883A}"/>
    <cellStyle name="20 % - Markeringsfarve3 3 3 3 2" xfId="30639" xr:uid="{D09535B1-36BB-4DCF-8942-08E5375741BD}"/>
    <cellStyle name="20 % - Markeringsfarve3 3 3 3 3" xfId="30640" xr:uid="{E14BA535-C532-4B82-B43C-A1386C9CB345}"/>
    <cellStyle name="20 % - Markeringsfarve3 3 3 4" xfId="30641" xr:uid="{E0C37B8B-51CC-44F7-87A8-312723821017}"/>
    <cellStyle name="20 % - Markeringsfarve3 3 3 4 2" xfId="30642" xr:uid="{DFDE1129-E6EF-4028-BDE3-2CD609EFA19E}"/>
    <cellStyle name="20 % - Markeringsfarve3 3 3 4 3" xfId="30643" xr:uid="{329703A8-7599-4751-9032-06F02A665879}"/>
    <cellStyle name="20 % - Markeringsfarve3 3 3 5" xfId="30644" xr:uid="{17501D6D-D5AE-4FAC-92F9-A792B2F96372}"/>
    <cellStyle name="20 % - Markeringsfarve3 3 3 5 2" xfId="30645" xr:uid="{A2084617-8A48-4275-958E-331AD5368D79}"/>
    <cellStyle name="20 % - Markeringsfarve3 3 3 5 3" xfId="30646" xr:uid="{FE4C074D-75C8-4578-B7E1-BBEC2A1E8AFF}"/>
    <cellStyle name="20 % - Markeringsfarve3 3 3 6" xfId="30647" xr:uid="{9F06E7BE-3E07-432F-A75E-DDEA4C888787}"/>
    <cellStyle name="20 % - Markeringsfarve3 3 3 6 2" xfId="30648" xr:uid="{E8ED444C-F91D-4612-A13C-C108B506E661}"/>
    <cellStyle name="20 % - Markeringsfarve3 3 3 6 3" xfId="30649" xr:uid="{B31B0D14-1761-4C5C-861E-E01A8BD5D316}"/>
    <cellStyle name="20 % - Markeringsfarve3 3 3 7" xfId="30650" xr:uid="{E36D1BE3-8400-4E40-BC8C-CD1D7E93B319}"/>
    <cellStyle name="20 % - Markeringsfarve3 3 3 7 2" xfId="30651" xr:uid="{B73CF6FE-B72A-4335-9A7B-6F759ABF9215}"/>
    <cellStyle name="20 % - Markeringsfarve3 3 3 8" xfId="30652" xr:uid="{D06349E0-E18D-4443-8B93-F5095E374FED}"/>
    <cellStyle name="20 % - Markeringsfarve3 3 4" xfId="30653" xr:uid="{A229F7FB-81BC-448A-960F-32DC51F48773}"/>
    <cellStyle name="20 % - Markeringsfarve3 3 4 2" xfId="30654" xr:uid="{8598FD50-9FD7-470A-98AB-6C7F4C9E7B2D}"/>
    <cellStyle name="20 % - Markeringsfarve3 3 4 3" xfId="30655" xr:uid="{491D13B1-BEDA-434B-ADAA-5F9F43501453}"/>
    <cellStyle name="20 % - Markeringsfarve3 3 5" xfId="30656" xr:uid="{451524F5-6299-45E4-AF26-DC1D2FF6388D}"/>
    <cellStyle name="20 % - Markeringsfarve3 3 5 2" xfId="30657" xr:uid="{A810A07C-A288-46DA-82C1-F679373EA715}"/>
    <cellStyle name="20 % - Markeringsfarve3 3 5 3" xfId="30658" xr:uid="{D5CE933F-5466-434E-B2EC-B7297C238C7C}"/>
    <cellStyle name="20 % - Markeringsfarve3 3 6" xfId="30659" xr:uid="{FB3859E9-2512-4223-973F-AE5F95B0765B}"/>
    <cellStyle name="20 % - Markeringsfarve3 3 6 2" xfId="30660" xr:uid="{F9CADC96-8FD2-4BA5-8A45-74B6FC52ED1C}"/>
    <cellStyle name="20 % - Markeringsfarve3 3 6 3" xfId="30661" xr:uid="{85B604F7-497F-4A74-904D-B01DB4307EF5}"/>
    <cellStyle name="20 % - Markeringsfarve3 3 7" xfId="30662" xr:uid="{1A6032EC-2269-45D5-A445-DEB146073331}"/>
    <cellStyle name="20 % - Markeringsfarve3 3 7 2" xfId="30663" xr:uid="{A0ECD616-5BF7-423C-BE92-F081A15BE54D}"/>
    <cellStyle name="20 % - Markeringsfarve3 3 7 3" xfId="30664" xr:uid="{E2D8A60F-22AB-4F57-A2A3-46B5FAD2172B}"/>
    <cellStyle name="20 % - Markeringsfarve3 3 8" xfId="30665" xr:uid="{4436687E-8AC9-4FA5-B0AE-BFDAFB1DF64A}"/>
    <cellStyle name="20 % - Markeringsfarve3 3 8 2" xfId="30666" xr:uid="{34143D6A-2BFB-497A-A630-548AC953727F}"/>
    <cellStyle name="20 % - Markeringsfarve3 3 8 3" xfId="30667" xr:uid="{5B55BB76-0E9A-4AEA-A7D8-8F03371D8FD9}"/>
    <cellStyle name="20 % - Markeringsfarve3 3 9" xfId="30668" xr:uid="{401D0C7B-5583-4E62-94BC-494898C56654}"/>
    <cellStyle name="20 % - Markeringsfarve3 3 9 2" xfId="30669" xr:uid="{6E962AAF-D66B-43D6-9F8C-02D4F1F8E38A}"/>
    <cellStyle name="20 % - Markeringsfarve3 4" xfId="23502" xr:uid="{9642BFC1-5187-49C7-AF11-1DCF150FD88F}"/>
    <cellStyle name="20 % - Markeringsfarve3 4 2" xfId="23503" xr:uid="{D1E6838E-1B34-4D86-B3FD-A9AB0C73FA6D}"/>
    <cellStyle name="20 % - Markeringsfarve3 4 2 2" xfId="30670" xr:uid="{B8E1FC65-464C-4B0F-8AF2-5828BF8315A1}"/>
    <cellStyle name="20 % - Markeringsfarve3 4 2 3" xfId="30671" xr:uid="{D4DE7362-3DFA-4C91-A0C3-2CD0A524E9B1}"/>
    <cellStyle name="20 % - Markeringsfarve3 4 3" xfId="30672" xr:uid="{F2E0AB79-35F3-4E13-BC2C-060198606AC0}"/>
    <cellStyle name="20 % - Markeringsfarve3 4 3 2" xfId="30673" xr:uid="{9ECF99A2-E49F-4E1A-8179-5E34958290D1}"/>
    <cellStyle name="20 % - Markeringsfarve3 4 3 3" xfId="30674" xr:uid="{2A3ECBCE-6766-487C-9BF1-A77F52CF8927}"/>
    <cellStyle name="20 % - Markeringsfarve3 4 4" xfId="30675" xr:uid="{77A012C7-B342-48A1-8EA8-5FB692C5392F}"/>
    <cellStyle name="20 % - Markeringsfarve3 4 4 2" xfId="30676" xr:uid="{856C9928-7A9E-4C66-991F-2603093C8670}"/>
    <cellStyle name="20 % - Markeringsfarve3 4 4 3" xfId="30677" xr:uid="{9D065062-7AFE-43EB-88A2-6259E36E32BB}"/>
    <cellStyle name="20 % - Markeringsfarve3 4 5" xfId="30678" xr:uid="{27BA8CB9-369B-4E3F-868A-D1D59A2FD4A0}"/>
    <cellStyle name="20 % - Markeringsfarve3 4 5 2" xfId="30679" xr:uid="{BEE0BEF2-1099-43A3-BED9-F01AC7589F3B}"/>
    <cellStyle name="20 % - Markeringsfarve3 4 5 3" xfId="30680" xr:uid="{8B0CEF43-DF42-4D0B-B9DB-33638FBB98ED}"/>
    <cellStyle name="20 % - Markeringsfarve3 4 6" xfId="30681" xr:uid="{8EA0AF9C-68C3-49FF-9ACA-0A78C65BE0BA}"/>
    <cellStyle name="20 % - Markeringsfarve3 4 6 2" xfId="30682" xr:uid="{DF6A8928-43BE-4DDE-95B2-F03CF3A09499}"/>
    <cellStyle name="20 % - Markeringsfarve3 4 6 3" xfId="30683" xr:uid="{0C10779E-8C08-4F12-B4A6-FAAAE06FB957}"/>
    <cellStyle name="20 % - Markeringsfarve3 4 7" xfId="30684" xr:uid="{6734BB8F-4C28-4647-839C-C5A4CD9DD2AE}"/>
    <cellStyle name="20 % - Markeringsfarve3 4 7 2" xfId="30685" xr:uid="{8D8A2126-61D1-442E-9CD8-721F5EAE5AF1}"/>
    <cellStyle name="20 % - Markeringsfarve3 4 8" xfId="30686" xr:uid="{7DA20B39-7877-4847-B28D-6462D5857D72}"/>
    <cellStyle name="20 % - Markeringsfarve3 5" xfId="23504" xr:uid="{D6A327F5-A7BE-42EB-BC9C-FAAB9058A70C}"/>
    <cellStyle name="20 % - Markeringsfarve3 5 2" xfId="23505" xr:uid="{905BE758-49D1-467C-885C-B50EEB63B8C2}"/>
    <cellStyle name="20 % - Markeringsfarve3 5 2 2" xfId="30687" xr:uid="{03772C10-E730-4B10-8BE1-EE40AC387312}"/>
    <cellStyle name="20 % - Markeringsfarve3 5 2 3" xfId="30688" xr:uid="{92630C21-AC5B-41CD-9493-2F7ADB11C88D}"/>
    <cellStyle name="20 % - Markeringsfarve3 5 3" xfId="30689" xr:uid="{6EDE850B-0D39-45B6-B971-370A656FE805}"/>
    <cellStyle name="20 % - Markeringsfarve3 5 3 2" xfId="30690" xr:uid="{8C9BD42B-779F-4A02-8D5D-C267A440E3AB}"/>
    <cellStyle name="20 % - Markeringsfarve3 5 3 3" xfId="30691" xr:uid="{48F5D908-9BA9-4984-BDE4-414D89DF66B3}"/>
    <cellStyle name="20 % - Markeringsfarve3 5 4" xfId="30692" xr:uid="{4999A083-F56B-4BD5-942E-AE2E26068FFF}"/>
    <cellStyle name="20 % - Markeringsfarve3 5 4 2" xfId="30693" xr:uid="{38F61F28-99FF-4099-9E31-C7DF5B0B3F6F}"/>
    <cellStyle name="20 % - Markeringsfarve3 5 4 3" xfId="30694" xr:uid="{7545E1BD-2BB0-49FA-8E40-77AF58620B8A}"/>
    <cellStyle name="20 % - Markeringsfarve3 5 5" xfId="30695" xr:uid="{2A3A4CD4-A1BD-481C-B97E-B5FBCF64B4B2}"/>
    <cellStyle name="20 % - Markeringsfarve3 5 5 2" xfId="30696" xr:uid="{0DB2F0E4-4085-420A-BB52-67E36D9B80E1}"/>
    <cellStyle name="20 % - Markeringsfarve3 5 5 3" xfId="30697" xr:uid="{57E749CA-9ACB-4ABA-B08F-2246E8B03E4E}"/>
    <cellStyle name="20 % - Markeringsfarve3 5 6" xfId="30698" xr:uid="{73C004EC-8949-4259-A3A1-ECF607A6601E}"/>
    <cellStyle name="20 % - Markeringsfarve3 5 6 2" xfId="30699" xr:uid="{E3071F3D-AB89-46BD-9DDC-0275C2C1CD4D}"/>
    <cellStyle name="20 % - Markeringsfarve3 5 6 3" xfId="30700" xr:uid="{FAB479E7-650A-4D2B-B0F0-C18994DE9A70}"/>
    <cellStyle name="20 % - Markeringsfarve3 5 7" xfId="30701" xr:uid="{C7028EBF-7521-4C9E-8774-12DB3235D326}"/>
    <cellStyle name="20 % - Markeringsfarve3 5 7 2" xfId="30702" xr:uid="{9478EAC2-3DDE-416A-B54E-1FAC52E34DA3}"/>
    <cellStyle name="20 % - Markeringsfarve3 5 8" xfId="30703" xr:uid="{53C8ECA8-CD80-4DA3-BEC5-6525A2595097}"/>
    <cellStyle name="20 % - Markeringsfarve3 6" xfId="23506" xr:uid="{7DA92D3F-4370-4797-9241-2E7D45CD6291}"/>
    <cellStyle name="20 % - Markeringsfarve3 6 2" xfId="23507" xr:uid="{617CF3ED-409F-450F-9B40-65B0762B7093}"/>
    <cellStyle name="20 % - Markeringsfarve3 6 2 2" xfId="30704" xr:uid="{BFA0AC2C-F3AC-4265-BF8F-3FA43446F40E}"/>
    <cellStyle name="20 % - Markeringsfarve3 6 2 3" xfId="30705" xr:uid="{DF804A8C-AA37-48FD-A6CC-5FE8B82F2B12}"/>
    <cellStyle name="20 % - Markeringsfarve3 6 3" xfId="30706" xr:uid="{805A9C0D-F011-4E96-B6CE-653958B92055}"/>
    <cellStyle name="20 % - Markeringsfarve3 6 4" xfId="30707" xr:uid="{B565CA76-F7D9-492E-B025-CEF326C54493}"/>
    <cellStyle name="20 % - Markeringsfarve3 7" xfId="23508" xr:uid="{63A02281-0E5E-4ADC-BB41-158CD8EC7359}"/>
    <cellStyle name="20 % - Markeringsfarve3 7 2" xfId="30708" xr:uid="{D018BAE3-678D-4CAB-A92B-EF4472E07326}"/>
    <cellStyle name="20 % - Markeringsfarve3 7 3" xfId="30709" xr:uid="{BE195745-D604-4207-8AA8-301E96B8F1F2}"/>
    <cellStyle name="20 % - Markeringsfarve3 8" xfId="30710" xr:uid="{9DFB114E-02D1-48AE-8A58-E055B75FF52F}"/>
    <cellStyle name="20 % - Markeringsfarve3 8 2" xfId="30711" xr:uid="{005BD7C4-B33D-4B17-A8B3-A1698CAFFBAE}"/>
    <cellStyle name="20 % - Markeringsfarve3 8 3" xfId="30712" xr:uid="{8D7919F7-2B60-491A-B769-9A9B1168371D}"/>
    <cellStyle name="20 % - Markeringsfarve3 9" xfId="30713" xr:uid="{0F7C5AE0-EC83-4E82-8B14-D3C11A4DA922}"/>
    <cellStyle name="20 % - Markeringsfarve3 9 2" xfId="30714" xr:uid="{C4216167-B7C1-4A7E-9C2E-BAE4F9B95DD9}"/>
    <cellStyle name="20 % - Markeringsfarve3 9 3" xfId="30715" xr:uid="{1DD7A714-8D5D-40C0-83C0-52FC7B516EC1}"/>
    <cellStyle name="20 % - Markeringsfarve4" xfId="1265" xr:uid="{00000000-0005-0000-0000-000006000000}"/>
    <cellStyle name="20 % - Markeringsfarve4 10" xfId="30716" xr:uid="{10F45A80-A961-4E4C-80D3-AF70002C861D}"/>
    <cellStyle name="20 % - Markeringsfarve4 10 2" xfId="30717" xr:uid="{C2A03FE7-518D-4FB2-84AA-B3CBAB88E077}"/>
    <cellStyle name="20 % - Markeringsfarve4 11" xfId="30718" xr:uid="{AFDDBBCC-2336-44F3-9552-8D9AC8812615}"/>
    <cellStyle name="20 % - Markeringsfarve4 12" xfId="17723" xr:uid="{AA23FA41-3073-4F01-8023-1EBBB0E57176}"/>
    <cellStyle name="20 % - Markeringsfarve4 2" xfId="1266" xr:uid="{00000000-0005-0000-0000-000007000000}"/>
    <cellStyle name="20 % - Markeringsfarve4 2 10" xfId="30719" xr:uid="{A12F9272-587B-4DBA-A281-C113E880B61F}"/>
    <cellStyle name="20 % - Markeringsfarve4 2 11" xfId="17724" xr:uid="{5F54CEDA-D680-4260-AEFC-D0D4710C2877}"/>
    <cellStyle name="20 % - Markeringsfarve4 2 2" xfId="23509" xr:uid="{B44B7212-9E03-4C64-B560-D5B86494130E}"/>
    <cellStyle name="20 % - Markeringsfarve4 2 2 2" xfId="23510" xr:uid="{B6DEE020-BBFD-4DDA-BCDF-5C29ED33BF29}"/>
    <cellStyle name="20 % - Markeringsfarve4 2 2 2 2" xfId="30720" xr:uid="{944AD7A3-632D-43D8-A88A-A370BBE9FE18}"/>
    <cellStyle name="20 % - Markeringsfarve4 2 2 2 3" xfId="30721" xr:uid="{00417209-9A89-43CE-BAEE-7698A3606EBF}"/>
    <cellStyle name="20 % - Markeringsfarve4 2 2 3" xfId="30722" xr:uid="{1BBB575F-908C-4232-804E-4ACCC1CC4B56}"/>
    <cellStyle name="20 % - Markeringsfarve4 2 2 3 2" xfId="30723" xr:uid="{1BD35A05-0393-4FC8-BFC5-EA49A85D3CBF}"/>
    <cellStyle name="20 % - Markeringsfarve4 2 2 3 3" xfId="30724" xr:uid="{691FE5FE-49FB-40F3-8F0F-9CE0C3A29792}"/>
    <cellStyle name="20 % - Markeringsfarve4 2 2 4" xfId="30725" xr:uid="{7857FFAB-04C5-483E-B8AE-F3A27056E868}"/>
    <cellStyle name="20 % - Markeringsfarve4 2 2 4 2" xfId="30726" xr:uid="{8AB6E39C-9E7E-44E7-B6EA-2A755748A03F}"/>
    <cellStyle name="20 % - Markeringsfarve4 2 2 4 3" xfId="30727" xr:uid="{A0F23273-F2A6-4889-B5A1-7894504898B9}"/>
    <cellStyle name="20 % - Markeringsfarve4 2 2 5" xfId="30728" xr:uid="{3F364F5E-7DAF-43F8-9366-10ECA3AD42BC}"/>
    <cellStyle name="20 % - Markeringsfarve4 2 2 5 2" xfId="30729" xr:uid="{588A74BA-C380-4491-BDB2-F61C66B572F5}"/>
    <cellStyle name="20 % - Markeringsfarve4 2 2 5 3" xfId="30730" xr:uid="{581AFD19-F7F6-4356-BBFE-4B4980C0CB78}"/>
    <cellStyle name="20 % - Markeringsfarve4 2 2 6" xfId="30731" xr:uid="{F2494B07-4A63-486C-9722-995C61167845}"/>
    <cellStyle name="20 % - Markeringsfarve4 2 2 6 2" xfId="30732" xr:uid="{3107B9CC-4159-4247-B535-0CEFE4AECC52}"/>
    <cellStyle name="20 % - Markeringsfarve4 2 2 6 3" xfId="30733" xr:uid="{4CFCBBEA-B889-4D0C-A1C0-08DD24367417}"/>
    <cellStyle name="20 % - Markeringsfarve4 2 2 7" xfId="30734" xr:uid="{E185C125-0C81-43FD-BF9E-579627669C36}"/>
    <cellStyle name="20 % - Markeringsfarve4 2 2 7 2" xfId="30735" xr:uid="{A61750F2-0D66-4033-9195-1BD7FBB40FE8}"/>
    <cellStyle name="20 % - Markeringsfarve4 2 2 8" xfId="30736" xr:uid="{B6C88812-7C9B-4584-B936-FE2D08F4DF63}"/>
    <cellStyle name="20 % - Markeringsfarve4 2 3" xfId="23511" xr:uid="{29C0D80A-6642-4F91-97F0-245891F52D66}"/>
    <cellStyle name="20 % - Markeringsfarve4 2 3 2" xfId="23512" xr:uid="{74516851-5442-44C1-B52F-15CB99E872CE}"/>
    <cellStyle name="20 % - Markeringsfarve4 2 3 2 2" xfId="30737" xr:uid="{9DA744C1-B4CC-4902-A513-EE53AE0BB236}"/>
    <cellStyle name="20 % - Markeringsfarve4 2 3 2 3" xfId="30738" xr:uid="{9836D709-25D5-4811-BAA3-4AFCDD1AFC03}"/>
    <cellStyle name="20 % - Markeringsfarve4 2 3 3" xfId="30739" xr:uid="{E77D2EDC-CA54-4490-BA04-F0EF289DBE0E}"/>
    <cellStyle name="20 % - Markeringsfarve4 2 3 3 2" xfId="30740" xr:uid="{B47C3A8B-1224-45B7-B531-1582CDA27F50}"/>
    <cellStyle name="20 % - Markeringsfarve4 2 3 3 3" xfId="30741" xr:uid="{AE38E7DE-DEDB-4D8B-822A-5D22E31D243C}"/>
    <cellStyle name="20 % - Markeringsfarve4 2 3 4" xfId="30742" xr:uid="{77E87570-8373-4052-9B99-C8947400A245}"/>
    <cellStyle name="20 % - Markeringsfarve4 2 3 4 2" xfId="30743" xr:uid="{C0808E71-31AF-402B-961D-028C3DD4CF9C}"/>
    <cellStyle name="20 % - Markeringsfarve4 2 3 4 3" xfId="30744" xr:uid="{C1817886-BA6F-466E-BDE5-39FBE586F0EF}"/>
    <cellStyle name="20 % - Markeringsfarve4 2 3 5" xfId="30745" xr:uid="{4394856F-97BD-4E11-9A11-D7B925148F7E}"/>
    <cellStyle name="20 % - Markeringsfarve4 2 3 5 2" xfId="30746" xr:uid="{0261B2E9-68ED-45D1-8483-322DEB99F6E0}"/>
    <cellStyle name="20 % - Markeringsfarve4 2 3 5 3" xfId="30747" xr:uid="{AFB4AF16-796B-40A9-98A6-80374393A433}"/>
    <cellStyle name="20 % - Markeringsfarve4 2 3 6" xfId="30748" xr:uid="{B6C6D7A8-5A7A-42EA-BF2C-267B35C9358F}"/>
    <cellStyle name="20 % - Markeringsfarve4 2 3 6 2" xfId="30749" xr:uid="{1C65FCF6-9E3C-4462-8BB2-6529B3759254}"/>
    <cellStyle name="20 % - Markeringsfarve4 2 3 6 3" xfId="30750" xr:uid="{F2BDCFCF-68AC-4E64-91EF-1D22A7964C5C}"/>
    <cellStyle name="20 % - Markeringsfarve4 2 3 7" xfId="30751" xr:uid="{BA4F6D50-72C6-4566-A377-D8DF517EEBEA}"/>
    <cellStyle name="20 % - Markeringsfarve4 2 3 7 2" xfId="30752" xr:uid="{52EDCDF9-ABA4-4C19-9726-D5B724D13E66}"/>
    <cellStyle name="20 % - Markeringsfarve4 2 3 8" xfId="30753" xr:uid="{E53F7F9C-4363-46C8-9586-433AB4430C07}"/>
    <cellStyle name="20 % - Markeringsfarve4 2 4" xfId="23513" xr:uid="{5E71F09B-6F68-435B-B177-2839206F71FE}"/>
    <cellStyle name="20 % - Markeringsfarve4 2 4 2" xfId="30754" xr:uid="{577ABD1B-B8CD-47F0-8941-C317BEEAE4F0}"/>
    <cellStyle name="20 % - Markeringsfarve4 2 4 3" xfId="30755" xr:uid="{91609C46-4475-4A91-A66C-A760A8637100}"/>
    <cellStyle name="20 % - Markeringsfarve4 2 5" xfId="30756" xr:uid="{C01DBC8A-DEBB-4FEE-9CE3-FAB47DC11F5C}"/>
    <cellStyle name="20 % - Markeringsfarve4 2 5 2" xfId="30757" xr:uid="{06258D1B-FB47-4F6C-873A-2CDABB3398F7}"/>
    <cellStyle name="20 % - Markeringsfarve4 2 5 3" xfId="30758" xr:uid="{FAA744E8-A68D-4EF9-8972-132713FC9BCA}"/>
    <cellStyle name="20 % - Markeringsfarve4 2 6" xfId="30759" xr:uid="{5BA7CC65-53C4-46F3-AD89-858ECCACF353}"/>
    <cellStyle name="20 % - Markeringsfarve4 2 6 2" xfId="30760" xr:uid="{84991C0B-4F10-4334-870D-3E3668C348D1}"/>
    <cellStyle name="20 % - Markeringsfarve4 2 6 3" xfId="30761" xr:uid="{7C8A045E-7ADE-48F9-9EBC-D40E88588485}"/>
    <cellStyle name="20 % - Markeringsfarve4 2 7" xfId="30762" xr:uid="{2ECCAB0E-6B34-4AE4-B6C0-9DD30BAA2826}"/>
    <cellStyle name="20 % - Markeringsfarve4 2 7 2" xfId="30763" xr:uid="{0C98BFF9-160F-43BE-B64C-6A0E4CB0CA23}"/>
    <cellStyle name="20 % - Markeringsfarve4 2 7 3" xfId="30764" xr:uid="{83AAD639-04A7-4423-ABB6-7BE96A69C07D}"/>
    <cellStyle name="20 % - Markeringsfarve4 2 8" xfId="30765" xr:uid="{48B80C9E-5267-4B47-A50F-9E89F60D69D7}"/>
    <cellStyle name="20 % - Markeringsfarve4 2 8 2" xfId="30766" xr:uid="{D006B080-B765-491C-9A70-6F07C90223B8}"/>
    <cellStyle name="20 % - Markeringsfarve4 2 8 3" xfId="30767" xr:uid="{9C6FD6EE-238A-46B6-AB94-BDC65D0D8630}"/>
    <cellStyle name="20 % - Markeringsfarve4 2 9" xfId="30768" xr:uid="{6435A37A-79FA-44CF-BCBB-66CE94F534A8}"/>
    <cellStyle name="20 % - Markeringsfarve4 2 9 2" xfId="30769" xr:uid="{39878A1C-2C2B-4E24-9156-98806FCAC101}"/>
    <cellStyle name="20 % - Markeringsfarve4 3" xfId="2588" xr:uid="{FA2BC2EA-70C8-4419-A7C4-5B4C20F7E1CB}"/>
    <cellStyle name="20 % - Markeringsfarve4 3 10" xfId="30770" xr:uid="{93529D16-2F51-4ABE-92BC-BDA2C136E545}"/>
    <cellStyle name="20 % - Markeringsfarve4 3 2" xfId="23514" xr:uid="{31AC4709-C650-4F4D-BC47-3ABB9838D635}"/>
    <cellStyle name="20 % - Markeringsfarve4 3 2 2" xfId="30771" xr:uid="{2E234536-8383-4B37-935B-A52BD725AC89}"/>
    <cellStyle name="20 % - Markeringsfarve4 3 2 2 2" xfId="30772" xr:uid="{230925EC-4CF2-4C9F-9309-ECC026D9CD6D}"/>
    <cellStyle name="20 % - Markeringsfarve4 3 2 2 3" xfId="30773" xr:uid="{7E9788C9-5CD7-46B4-886E-6193067FF5CE}"/>
    <cellStyle name="20 % - Markeringsfarve4 3 2 3" xfId="30774" xr:uid="{DD43218F-8B89-4969-85E2-BF604CCA0369}"/>
    <cellStyle name="20 % - Markeringsfarve4 3 2 3 2" xfId="30775" xr:uid="{4EF8FB04-4A98-45FB-A977-F29600094371}"/>
    <cellStyle name="20 % - Markeringsfarve4 3 2 3 3" xfId="30776" xr:uid="{5E20A330-70AB-430D-B0D9-9C7E307A90C6}"/>
    <cellStyle name="20 % - Markeringsfarve4 3 2 4" xfId="30777" xr:uid="{FFD670BA-1412-4AEA-8315-69DC4E5830EB}"/>
    <cellStyle name="20 % - Markeringsfarve4 3 2 4 2" xfId="30778" xr:uid="{4347C1CE-5475-41EB-8339-15291A47AC65}"/>
    <cellStyle name="20 % - Markeringsfarve4 3 2 4 3" xfId="30779" xr:uid="{CBBBDC65-1C90-4544-BBAC-2182001576B7}"/>
    <cellStyle name="20 % - Markeringsfarve4 3 2 5" xfId="30780" xr:uid="{BAF60834-380F-4583-B99E-1740BF20D7C9}"/>
    <cellStyle name="20 % - Markeringsfarve4 3 2 5 2" xfId="30781" xr:uid="{B0FCE032-4AE1-44B3-928C-C694F4BDE581}"/>
    <cellStyle name="20 % - Markeringsfarve4 3 2 5 3" xfId="30782" xr:uid="{FDF90241-5184-4377-9DBA-0018D5797FF3}"/>
    <cellStyle name="20 % - Markeringsfarve4 3 2 6" xfId="30783" xr:uid="{1B6BB51C-E690-4308-B3D2-AED58333D966}"/>
    <cellStyle name="20 % - Markeringsfarve4 3 2 6 2" xfId="30784" xr:uid="{F223FAB7-35EE-4523-9D0A-0198754518B9}"/>
    <cellStyle name="20 % - Markeringsfarve4 3 2 6 3" xfId="30785" xr:uid="{40BC6857-32DA-4D6A-ADAB-124C0F7D09FB}"/>
    <cellStyle name="20 % - Markeringsfarve4 3 2 7" xfId="30786" xr:uid="{69B9F1DA-9720-4C1A-B003-58B29FC76B33}"/>
    <cellStyle name="20 % - Markeringsfarve4 3 2 7 2" xfId="30787" xr:uid="{F8DC72A0-0129-44DD-9EEE-C44E8C63C700}"/>
    <cellStyle name="20 % - Markeringsfarve4 3 2 8" xfId="30788" xr:uid="{A97A8CFB-DA57-4FCB-8EAC-A2E2ED32D359}"/>
    <cellStyle name="20 % - Markeringsfarve4 3 3" xfId="30789" xr:uid="{AFD8BA24-E3D5-4B2C-A06A-05749511A016}"/>
    <cellStyle name="20 % - Markeringsfarve4 3 3 2" xfId="30790" xr:uid="{CA2BFC33-C465-4E16-B84C-2E64FADB2BF1}"/>
    <cellStyle name="20 % - Markeringsfarve4 3 3 2 2" xfId="30791" xr:uid="{62330454-D4B2-4CED-8CF0-3AFD2D7A4979}"/>
    <cellStyle name="20 % - Markeringsfarve4 3 3 2 3" xfId="30792" xr:uid="{5DFA46E6-9FBD-4CD1-BBC0-EAADDB1B8E08}"/>
    <cellStyle name="20 % - Markeringsfarve4 3 3 3" xfId="30793" xr:uid="{97E69857-A03E-4E40-B44B-551400B6915B}"/>
    <cellStyle name="20 % - Markeringsfarve4 3 3 3 2" xfId="30794" xr:uid="{69A7F8CF-12FE-4481-A67C-F75C08D4A2B1}"/>
    <cellStyle name="20 % - Markeringsfarve4 3 3 3 3" xfId="30795" xr:uid="{9048D394-F25E-4041-9536-EFB44EFC4040}"/>
    <cellStyle name="20 % - Markeringsfarve4 3 3 4" xfId="30796" xr:uid="{02ADF0EA-466E-4CFF-BB8A-B7F3535EB377}"/>
    <cellStyle name="20 % - Markeringsfarve4 3 3 4 2" xfId="30797" xr:uid="{44D1D2CE-97EB-48B5-819D-6DFE568873BE}"/>
    <cellStyle name="20 % - Markeringsfarve4 3 3 4 3" xfId="30798" xr:uid="{4C832B97-452B-478D-A1BD-EA647AC3CF27}"/>
    <cellStyle name="20 % - Markeringsfarve4 3 3 5" xfId="30799" xr:uid="{C8EBEAAF-6289-4864-B575-AEDDB3CDAE26}"/>
    <cellStyle name="20 % - Markeringsfarve4 3 3 5 2" xfId="30800" xr:uid="{59101D5D-6CAA-4D98-AA1E-249E735DFA59}"/>
    <cellStyle name="20 % - Markeringsfarve4 3 3 5 3" xfId="30801" xr:uid="{4D94E36E-BF48-490E-B6AA-A87A7A90F356}"/>
    <cellStyle name="20 % - Markeringsfarve4 3 3 6" xfId="30802" xr:uid="{5504A015-67AB-46D1-BFDC-1EF90B99CE28}"/>
    <cellStyle name="20 % - Markeringsfarve4 3 3 6 2" xfId="30803" xr:uid="{DAD20A40-ED65-4194-A8C8-21DAEBC8AEDB}"/>
    <cellStyle name="20 % - Markeringsfarve4 3 3 6 3" xfId="30804" xr:uid="{8B444191-19FD-43A4-861A-198C076B93FC}"/>
    <cellStyle name="20 % - Markeringsfarve4 3 3 7" xfId="30805" xr:uid="{C932AA3D-7D00-4CD9-9D3A-9A90B3DE3AF6}"/>
    <cellStyle name="20 % - Markeringsfarve4 3 3 7 2" xfId="30806" xr:uid="{F59FDB7D-00CC-4B38-BE53-EFB4C1AF11B5}"/>
    <cellStyle name="20 % - Markeringsfarve4 3 3 8" xfId="30807" xr:uid="{03373BF9-B484-4D0E-B4DF-07DC1DCD5FA7}"/>
    <cellStyle name="20 % - Markeringsfarve4 3 4" xfId="30808" xr:uid="{7EC42613-CE36-49D2-84B4-50A4681CA8EE}"/>
    <cellStyle name="20 % - Markeringsfarve4 3 4 2" xfId="30809" xr:uid="{087A2EA2-4C52-43C9-A2AC-4E879FAAAD6D}"/>
    <cellStyle name="20 % - Markeringsfarve4 3 4 3" xfId="30810" xr:uid="{6A44BDD3-5CBB-46D8-8E66-D83067565037}"/>
    <cellStyle name="20 % - Markeringsfarve4 3 5" xfId="30811" xr:uid="{B8286952-36ED-448F-91EB-F12112DCC610}"/>
    <cellStyle name="20 % - Markeringsfarve4 3 5 2" xfId="30812" xr:uid="{A6803734-C2D7-4DC2-8CD7-731B4FC42213}"/>
    <cellStyle name="20 % - Markeringsfarve4 3 5 3" xfId="30813" xr:uid="{B2AEA8B1-459D-499F-BB61-2656D1D92293}"/>
    <cellStyle name="20 % - Markeringsfarve4 3 6" xfId="30814" xr:uid="{6F3528D6-609E-42AC-A68D-DC109AF62F1A}"/>
    <cellStyle name="20 % - Markeringsfarve4 3 6 2" xfId="30815" xr:uid="{522563C3-A37A-4FB6-AE92-A389B9EC1EC4}"/>
    <cellStyle name="20 % - Markeringsfarve4 3 6 3" xfId="30816" xr:uid="{49671B4B-947F-4E57-923E-BDF32749FD9E}"/>
    <cellStyle name="20 % - Markeringsfarve4 3 7" xfId="30817" xr:uid="{6035B7CA-CF38-4D77-9D27-1055E760FA74}"/>
    <cellStyle name="20 % - Markeringsfarve4 3 7 2" xfId="30818" xr:uid="{80E8549F-1513-4BFD-AC76-0339FF47A51D}"/>
    <cellStyle name="20 % - Markeringsfarve4 3 7 3" xfId="30819" xr:uid="{0CF7C308-D3BD-4563-90BB-77E7D791B83B}"/>
    <cellStyle name="20 % - Markeringsfarve4 3 8" xfId="30820" xr:uid="{EA8D404C-4E43-43F9-9F5D-A2B3A221E60F}"/>
    <cellStyle name="20 % - Markeringsfarve4 3 8 2" xfId="30821" xr:uid="{F561DE53-8E98-4CBB-A7EB-14A52FD5DBDF}"/>
    <cellStyle name="20 % - Markeringsfarve4 3 8 3" xfId="30822" xr:uid="{6A10928E-FCFA-428A-925D-D7F980A97AC0}"/>
    <cellStyle name="20 % - Markeringsfarve4 3 9" xfId="30823" xr:uid="{585B976B-5779-47CB-B004-D82EEF268305}"/>
    <cellStyle name="20 % - Markeringsfarve4 3 9 2" xfId="30824" xr:uid="{FA4CB637-282C-45CC-B231-446EFE7C0E15}"/>
    <cellStyle name="20 % - Markeringsfarve4 4" xfId="23515" xr:uid="{210BCE37-01EF-4184-8EB8-1B3FD6C79871}"/>
    <cellStyle name="20 % - Markeringsfarve4 4 2" xfId="23516" xr:uid="{525BE00E-E608-4908-A5A6-6623F696BD84}"/>
    <cellStyle name="20 % - Markeringsfarve4 4 2 2" xfId="30825" xr:uid="{776F431F-0B37-4382-AFAC-26CAC60931F7}"/>
    <cellStyle name="20 % - Markeringsfarve4 4 2 3" xfId="30826" xr:uid="{7FA18EF3-5FCA-43DA-A59B-F233F12CA190}"/>
    <cellStyle name="20 % - Markeringsfarve4 4 3" xfId="30827" xr:uid="{8196FD17-2B6C-48CB-B7CD-20B898C873E1}"/>
    <cellStyle name="20 % - Markeringsfarve4 4 3 2" xfId="30828" xr:uid="{1C45C061-99A0-4799-8A39-76B6DFF3C438}"/>
    <cellStyle name="20 % - Markeringsfarve4 4 3 3" xfId="30829" xr:uid="{7282CDEF-4BA0-4D77-B2CD-F99CD5F1AA09}"/>
    <cellStyle name="20 % - Markeringsfarve4 4 4" xfId="30830" xr:uid="{0F1E049F-0260-4BFA-A075-BC493D3B3D38}"/>
    <cellStyle name="20 % - Markeringsfarve4 4 4 2" xfId="30831" xr:uid="{56C521F2-C5F9-4460-9B9F-1017D7904A51}"/>
    <cellStyle name="20 % - Markeringsfarve4 4 4 3" xfId="30832" xr:uid="{8B5D0A84-44A6-45AF-B797-0CCA31DAFA83}"/>
    <cellStyle name="20 % - Markeringsfarve4 4 5" xfId="30833" xr:uid="{88B7094B-DD81-47A5-BC98-716899844B97}"/>
    <cellStyle name="20 % - Markeringsfarve4 4 5 2" xfId="30834" xr:uid="{CA19E63E-F2ED-4A6D-B0AF-EE35D99D696A}"/>
    <cellStyle name="20 % - Markeringsfarve4 4 5 3" xfId="30835" xr:uid="{2E0B2EDE-0379-4C74-BF3A-603DF208D3B6}"/>
    <cellStyle name="20 % - Markeringsfarve4 4 6" xfId="30836" xr:uid="{4B4C6DD6-5BFE-49BD-8CDA-DE35A4311CDB}"/>
    <cellStyle name="20 % - Markeringsfarve4 4 6 2" xfId="30837" xr:uid="{4EF933C2-12CD-4B84-8CA5-2E37C4A4839A}"/>
    <cellStyle name="20 % - Markeringsfarve4 4 6 3" xfId="30838" xr:uid="{8E1C3577-73EF-490C-BC99-67D5B1B97A2B}"/>
    <cellStyle name="20 % - Markeringsfarve4 4 7" xfId="30839" xr:uid="{D670E7EF-E549-4E68-A248-781287642BEE}"/>
    <cellStyle name="20 % - Markeringsfarve4 4 7 2" xfId="30840" xr:uid="{0021DB1D-3E53-4969-BEF8-3ABD682B5104}"/>
    <cellStyle name="20 % - Markeringsfarve4 4 8" xfId="30841" xr:uid="{5001619E-1836-49F3-ABD4-1BA5B63EA56F}"/>
    <cellStyle name="20 % - Markeringsfarve4 5" xfId="23517" xr:uid="{53B12592-33FA-4A66-AB94-2C15D90734A4}"/>
    <cellStyle name="20 % - Markeringsfarve4 5 2" xfId="23518" xr:uid="{0E597F01-E963-4B43-8EB3-D54627C89DB4}"/>
    <cellStyle name="20 % - Markeringsfarve4 5 2 2" xfId="30842" xr:uid="{5510A386-B817-4FFD-A935-41B28CD78EE0}"/>
    <cellStyle name="20 % - Markeringsfarve4 5 2 3" xfId="30843" xr:uid="{7299F4AC-732E-4B92-9E97-BBF9F6D76073}"/>
    <cellStyle name="20 % - Markeringsfarve4 5 3" xfId="30844" xr:uid="{A6F6FA65-B104-4197-8BF3-28D914002EE2}"/>
    <cellStyle name="20 % - Markeringsfarve4 5 3 2" xfId="30845" xr:uid="{20339B54-838A-46B8-948B-DD071E8CAFF8}"/>
    <cellStyle name="20 % - Markeringsfarve4 5 3 3" xfId="30846" xr:uid="{2FDA8933-DD5C-44B3-9CC9-01C64C4FDB87}"/>
    <cellStyle name="20 % - Markeringsfarve4 5 4" xfId="30847" xr:uid="{C2365058-2D76-405E-9ABE-E39AAF6150BC}"/>
    <cellStyle name="20 % - Markeringsfarve4 5 4 2" xfId="30848" xr:uid="{72695F80-15DD-41CA-BED2-46E3053A3CA6}"/>
    <cellStyle name="20 % - Markeringsfarve4 5 4 3" xfId="30849" xr:uid="{DF331A8A-0C91-4131-8D82-C2FB3BAA6248}"/>
    <cellStyle name="20 % - Markeringsfarve4 5 5" xfId="30850" xr:uid="{8185B991-9338-44BE-9F03-C60F1F9DDB01}"/>
    <cellStyle name="20 % - Markeringsfarve4 5 5 2" xfId="30851" xr:uid="{4806CE00-58DD-44FE-8B84-D3B837215C3E}"/>
    <cellStyle name="20 % - Markeringsfarve4 5 5 3" xfId="30852" xr:uid="{BA7A5934-7ACD-4F50-B224-ACCCDECBECCF}"/>
    <cellStyle name="20 % - Markeringsfarve4 5 6" xfId="30853" xr:uid="{9B0DA2A4-F7AF-4A5B-86D6-F2A3E0B2856A}"/>
    <cellStyle name="20 % - Markeringsfarve4 5 6 2" xfId="30854" xr:uid="{825016AC-A7D7-4A6F-BC7E-2A62DAC66B22}"/>
    <cellStyle name="20 % - Markeringsfarve4 5 6 3" xfId="30855" xr:uid="{40593D60-ED05-464F-A711-39DC3DD73CCD}"/>
    <cellStyle name="20 % - Markeringsfarve4 5 7" xfId="30856" xr:uid="{3D8847FC-CA12-4F3C-BCFA-1EBFF76A71A3}"/>
    <cellStyle name="20 % - Markeringsfarve4 5 7 2" xfId="30857" xr:uid="{D3569462-84EF-4B6A-AEDB-9EC18C6AB09F}"/>
    <cellStyle name="20 % - Markeringsfarve4 5 8" xfId="30858" xr:uid="{F41FF878-F3F7-49F3-AC62-FB83DB113757}"/>
    <cellStyle name="20 % - Markeringsfarve4 6" xfId="23519" xr:uid="{9CACDB51-0B41-4649-8FC4-A9DF022FD21E}"/>
    <cellStyle name="20 % - Markeringsfarve4 6 2" xfId="23520" xr:uid="{D080775D-7B9F-465B-ABEC-A0C97BDB9516}"/>
    <cellStyle name="20 % - Markeringsfarve4 6 2 2" xfId="30859" xr:uid="{B1CD0056-13ED-4A1B-8289-6C5E5000C1A5}"/>
    <cellStyle name="20 % - Markeringsfarve4 6 2 3" xfId="30860" xr:uid="{44A347B9-CBEB-4DD4-AE05-DE95E13F8AED}"/>
    <cellStyle name="20 % - Markeringsfarve4 6 3" xfId="30861" xr:uid="{F72EDEF5-CE12-461A-A596-4EB6855A9DB9}"/>
    <cellStyle name="20 % - Markeringsfarve4 6 4" xfId="30862" xr:uid="{0F2A51E4-7839-4A28-A7F5-1BD9CB60A45C}"/>
    <cellStyle name="20 % - Markeringsfarve4 7" xfId="23521" xr:uid="{ABCE4E8B-689F-4FB1-B3C4-C3615D211249}"/>
    <cellStyle name="20 % - Markeringsfarve4 7 2" xfId="30863" xr:uid="{2C017546-DC86-4B0C-BFD4-657642516E2E}"/>
    <cellStyle name="20 % - Markeringsfarve4 7 3" xfId="30864" xr:uid="{F2D5B4CE-AB0D-4E3A-88A5-12A402EAD36D}"/>
    <cellStyle name="20 % - Markeringsfarve4 8" xfId="30865" xr:uid="{878F3404-9F73-4766-8179-10D4303006F1}"/>
    <cellStyle name="20 % - Markeringsfarve4 8 2" xfId="30866" xr:uid="{B8ADB360-2C7E-4A2A-B51A-6404145B2954}"/>
    <cellStyle name="20 % - Markeringsfarve4 8 3" xfId="30867" xr:uid="{25A98A22-63FC-458B-9A79-E85EB146982F}"/>
    <cellStyle name="20 % - Markeringsfarve4 9" xfId="30868" xr:uid="{18A5AF08-BDB2-41A2-B69E-F583703A51DC}"/>
    <cellStyle name="20 % - Markeringsfarve4 9 2" xfId="30869" xr:uid="{6DDFEFEC-E020-48DC-89CF-72BC78D5D0A7}"/>
    <cellStyle name="20 % - Markeringsfarve4 9 3" xfId="30870" xr:uid="{94FB692E-86C4-426D-8FF0-86949C77440C}"/>
    <cellStyle name="20 % - Markeringsfarve5" xfId="1267" xr:uid="{00000000-0005-0000-0000-000008000000}"/>
    <cellStyle name="20 % - Markeringsfarve5 10" xfId="30871" xr:uid="{7F026E19-D0EA-4AC8-989C-56677445257C}"/>
    <cellStyle name="20 % - Markeringsfarve5 10 2" xfId="30872" xr:uid="{4CE4C340-5AD8-422F-97EC-CBE7416C8247}"/>
    <cellStyle name="20 % - Markeringsfarve5 10 3" xfId="30873" xr:uid="{AB046B27-915B-43D1-8BF7-94DCE64E9EA9}"/>
    <cellStyle name="20 % - Markeringsfarve5 11" xfId="30874" xr:uid="{D02CC2AC-00C4-43AB-8C8D-2ABF2388C253}"/>
    <cellStyle name="20 % - Markeringsfarve5 11 2" xfId="30875" xr:uid="{D0788480-F791-4D16-890F-E836E0A21671}"/>
    <cellStyle name="20 % - Markeringsfarve5 12" xfId="30876" xr:uid="{2AAC7A56-8869-423A-A0D9-C8A0190A9C65}"/>
    <cellStyle name="20 % - Markeringsfarve5 13" xfId="17725" xr:uid="{30AE7A6C-B36F-4381-8168-94F90BF85C3D}"/>
    <cellStyle name="20 % - Markeringsfarve5 2" xfId="1268" xr:uid="{00000000-0005-0000-0000-000009000000}"/>
    <cellStyle name="20 % - Markeringsfarve5 2 10" xfId="30877" xr:uid="{51DD74C5-D37E-445A-AC94-B8E5A49F49B2}"/>
    <cellStyle name="20 % - Markeringsfarve5 2 11" xfId="17726" xr:uid="{8EF6A82B-FB15-4167-A799-F6CE91C67A1A}"/>
    <cellStyle name="20 % - Markeringsfarve5 2 2" xfId="23522" xr:uid="{0AD83951-4E72-4DC8-9E6C-D88991FA1571}"/>
    <cellStyle name="20 % - Markeringsfarve5 2 2 2" xfId="23523" xr:uid="{9E8F0E33-3DDA-4B29-94A5-28E67ECA9C5E}"/>
    <cellStyle name="20 % - Markeringsfarve5 2 2 2 2" xfId="30878" xr:uid="{08741790-4509-46EF-8638-2EA5712BF674}"/>
    <cellStyle name="20 % - Markeringsfarve5 2 2 2 3" xfId="30879" xr:uid="{2F95A15A-381C-48B0-A678-DFC3C6BE4E39}"/>
    <cellStyle name="20 % - Markeringsfarve5 2 2 3" xfId="30880" xr:uid="{39EA546D-8908-43E0-8D14-E787F29B7060}"/>
    <cellStyle name="20 % - Markeringsfarve5 2 2 3 2" xfId="30881" xr:uid="{7120384C-B9BC-410A-86BC-116C6B9FBA02}"/>
    <cellStyle name="20 % - Markeringsfarve5 2 2 3 3" xfId="30882" xr:uid="{3C47D7B4-4E7F-42D9-A762-2EE98FBBF8E2}"/>
    <cellStyle name="20 % - Markeringsfarve5 2 2 4" xfId="30883" xr:uid="{3EA211D4-931B-4C68-A631-87D92781EB48}"/>
    <cellStyle name="20 % - Markeringsfarve5 2 2 4 2" xfId="30884" xr:uid="{AA470512-83D0-4539-9A0A-B624E3FF67BF}"/>
    <cellStyle name="20 % - Markeringsfarve5 2 2 4 3" xfId="30885" xr:uid="{9ECE4473-AD31-4A7E-B69A-5861C8053578}"/>
    <cellStyle name="20 % - Markeringsfarve5 2 2 5" xfId="30886" xr:uid="{954F4D23-06A3-4BE5-BDE6-311F27432B10}"/>
    <cellStyle name="20 % - Markeringsfarve5 2 2 5 2" xfId="30887" xr:uid="{ECAB8B72-4C46-4A35-99F9-1858724D0EC4}"/>
    <cellStyle name="20 % - Markeringsfarve5 2 2 5 3" xfId="30888" xr:uid="{0649E7F8-90DC-4182-9FAB-68AFC3788425}"/>
    <cellStyle name="20 % - Markeringsfarve5 2 2 6" xfId="30889" xr:uid="{E9D9E129-9E2E-4AA6-88D4-54A90F7938D0}"/>
    <cellStyle name="20 % - Markeringsfarve5 2 2 6 2" xfId="30890" xr:uid="{46EB555C-956B-4687-98B2-E5FD2E0DDCBF}"/>
    <cellStyle name="20 % - Markeringsfarve5 2 2 6 3" xfId="30891" xr:uid="{6121AAC8-EAB2-4A14-996C-39F36B2FCC82}"/>
    <cellStyle name="20 % - Markeringsfarve5 2 2 7" xfId="30892" xr:uid="{5320F684-A6C9-46D2-9592-B53EFD259508}"/>
    <cellStyle name="20 % - Markeringsfarve5 2 2 7 2" xfId="30893" xr:uid="{E46E18AD-4B51-4934-AC6E-28300EFF2E00}"/>
    <cellStyle name="20 % - Markeringsfarve5 2 2 8" xfId="30894" xr:uid="{84E664F9-4271-4975-8A24-BFA48634252D}"/>
    <cellStyle name="20 % - Markeringsfarve5 2 3" xfId="23524" xr:uid="{8C0D3148-8037-4A8C-8202-AB3159335932}"/>
    <cellStyle name="20 % - Markeringsfarve5 2 3 2" xfId="23525" xr:uid="{5D82D755-0356-48CE-BBBC-961D39A568F1}"/>
    <cellStyle name="20 % - Markeringsfarve5 2 3 2 2" xfId="30895" xr:uid="{866BD609-8F26-40EA-9A44-EC27A27BEA70}"/>
    <cellStyle name="20 % - Markeringsfarve5 2 3 2 3" xfId="30896" xr:uid="{55DEC528-1C1E-4EC1-B536-3F8832D47545}"/>
    <cellStyle name="20 % - Markeringsfarve5 2 3 3" xfId="30897" xr:uid="{A67A1CAC-6AF9-4E13-8A1C-8CBAAE863F34}"/>
    <cellStyle name="20 % - Markeringsfarve5 2 3 3 2" xfId="30898" xr:uid="{E9536268-69B2-44E1-8144-1FCC8C9BA1C6}"/>
    <cellStyle name="20 % - Markeringsfarve5 2 3 3 3" xfId="30899" xr:uid="{027D7739-01E2-472B-B500-DA0FC18B111E}"/>
    <cellStyle name="20 % - Markeringsfarve5 2 3 4" xfId="30900" xr:uid="{429B9C0E-58D1-42E4-83EB-9CFDB585ACBE}"/>
    <cellStyle name="20 % - Markeringsfarve5 2 3 4 2" xfId="30901" xr:uid="{FB79CA83-E375-418D-BD9C-379BCC6F0689}"/>
    <cellStyle name="20 % - Markeringsfarve5 2 3 4 3" xfId="30902" xr:uid="{702AD685-CFFC-44A5-BEE6-38383A5EBE78}"/>
    <cellStyle name="20 % - Markeringsfarve5 2 3 5" xfId="30903" xr:uid="{4D2D7FAF-2E1E-4F2C-8F27-5ABAAEF3B7B0}"/>
    <cellStyle name="20 % - Markeringsfarve5 2 3 5 2" xfId="30904" xr:uid="{9076691B-2688-4495-8B7F-BCD4E263683C}"/>
    <cellStyle name="20 % - Markeringsfarve5 2 3 5 3" xfId="30905" xr:uid="{F7C8ED78-7A30-42F3-9BDB-98EF65152D98}"/>
    <cellStyle name="20 % - Markeringsfarve5 2 3 6" xfId="30906" xr:uid="{454191B3-C711-47E8-A756-2A4A839FA4FB}"/>
    <cellStyle name="20 % - Markeringsfarve5 2 3 6 2" xfId="30907" xr:uid="{BC777AAF-1B04-4236-AF2B-3DB215637B90}"/>
    <cellStyle name="20 % - Markeringsfarve5 2 3 6 3" xfId="30908" xr:uid="{D0139AAC-FA4A-4F28-A680-CB8EFCA5E04A}"/>
    <cellStyle name="20 % - Markeringsfarve5 2 3 7" xfId="30909" xr:uid="{90F669F0-7F20-4784-83C1-96978E380FD0}"/>
    <cellStyle name="20 % - Markeringsfarve5 2 3 7 2" xfId="30910" xr:uid="{E9D08890-6CC4-47DC-AE90-8EE916DE670D}"/>
    <cellStyle name="20 % - Markeringsfarve5 2 3 8" xfId="30911" xr:uid="{223E43BC-23F0-4A74-BB17-3972593EFA56}"/>
    <cellStyle name="20 % - Markeringsfarve5 2 4" xfId="23526" xr:uid="{2672A067-0697-498E-BFC5-96D46E547D7C}"/>
    <cellStyle name="20 % - Markeringsfarve5 2 4 2" xfId="30912" xr:uid="{FBFBB97D-1462-440F-9506-88DB929D5CBA}"/>
    <cellStyle name="20 % - Markeringsfarve5 2 4 3" xfId="30913" xr:uid="{B8E061AD-A453-4840-A966-42A38B8180D6}"/>
    <cellStyle name="20 % - Markeringsfarve5 2 5" xfId="30914" xr:uid="{0F9C5FE2-8A20-43DD-8D97-4DAF91F8734D}"/>
    <cellStyle name="20 % - Markeringsfarve5 2 5 2" xfId="30915" xr:uid="{D8F68F3C-2F11-4057-B1BD-6B24557E7F35}"/>
    <cellStyle name="20 % - Markeringsfarve5 2 5 3" xfId="30916" xr:uid="{8428FDEB-3E89-4AA4-80B4-403E6F91B5D2}"/>
    <cellStyle name="20 % - Markeringsfarve5 2 6" xfId="30917" xr:uid="{B5891DDE-7B45-4A2D-B2D4-780D9806A763}"/>
    <cellStyle name="20 % - Markeringsfarve5 2 6 2" xfId="30918" xr:uid="{893DF7C9-4A9D-4352-BB45-CFBFA40E1D90}"/>
    <cellStyle name="20 % - Markeringsfarve5 2 6 3" xfId="30919" xr:uid="{0FEAB717-9C78-41AD-806C-F4369E8F87D7}"/>
    <cellStyle name="20 % - Markeringsfarve5 2 7" xfId="30920" xr:uid="{2B543CAB-41D2-4047-AB67-3CE5EDBB933E}"/>
    <cellStyle name="20 % - Markeringsfarve5 2 7 2" xfId="30921" xr:uid="{7755E689-6C65-4038-ABEE-4C54BCE9777E}"/>
    <cellStyle name="20 % - Markeringsfarve5 2 7 3" xfId="30922" xr:uid="{FDE35EC8-D960-4BB2-B624-CF3FE23D02D5}"/>
    <cellStyle name="20 % - Markeringsfarve5 2 8" xfId="30923" xr:uid="{723C2524-203A-42F0-B246-099E41FCF254}"/>
    <cellStyle name="20 % - Markeringsfarve5 2 8 2" xfId="30924" xr:uid="{C6A77272-29BE-4853-822A-160249867A16}"/>
    <cellStyle name="20 % - Markeringsfarve5 2 8 3" xfId="30925" xr:uid="{C597CBB3-EFDD-42E0-8F48-5EF3C313A334}"/>
    <cellStyle name="20 % - Markeringsfarve5 2 9" xfId="30926" xr:uid="{4BEB118F-A222-4685-9968-5DE84E725D64}"/>
    <cellStyle name="20 % - Markeringsfarve5 2 9 2" xfId="30927" xr:uid="{EDE21009-EB07-4F61-BEA9-B49E8F8E7261}"/>
    <cellStyle name="20 % - Markeringsfarve5 3" xfId="2589" xr:uid="{AE95A634-372A-4AA5-AFE6-1E2FEBDD4A25}"/>
    <cellStyle name="20 % - Markeringsfarve5 3 10" xfId="30928" xr:uid="{90E005AE-8A6C-4F70-B62D-36378BAE836D}"/>
    <cellStyle name="20 % - Markeringsfarve5 3 2" xfId="23527" xr:uid="{1E0E5DD4-E686-4C35-B9AD-2E31AFA18A96}"/>
    <cellStyle name="20 % - Markeringsfarve5 3 2 2" xfId="30929" xr:uid="{F5880C7E-BE05-4E39-9054-F94C329418D3}"/>
    <cellStyle name="20 % - Markeringsfarve5 3 2 2 2" xfId="30930" xr:uid="{313C8732-D0E5-44CA-99C3-1F8A33619B9A}"/>
    <cellStyle name="20 % - Markeringsfarve5 3 2 2 3" xfId="30931" xr:uid="{E88D96E3-0B99-4AF3-885D-22F7B061A3FE}"/>
    <cellStyle name="20 % - Markeringsfarve5 3 2 3" xfId="30932" xr:uid="{213062CA-CDBE-437D-A699-850DB78CA784}"/>
    <cellStyle name="20 % - Markeringsfarve5 3 2 3 2" xfId="30933" xr:uid="{F6989E06-B3C3-4F18-803F-7BA813868BC0}"/>
    <cellStyle name="20 % - Markeringsfarve5 3 2 3 3" xfId="30934" xr:uid="{CFC3E3FF-5DF6-4E58-B29C-E2DB6E4D3C4F}"/>
    <cellStyle name="20 % - Markeringsfarve5 3 2 4" xfId="30935" xr:uid="{9911BB6D-2BD3-4591-8083-5BB269B69FBA}"/>
    <cellStyle name="20 % - Markeringsfarve5 3 2 4 2" xfId="30936" xr:uid="{80A71289-8CF5-403E-BA82-B101D6AE53A7}"/>
    <cellStyle name="20 % - Markeringsfarve5 3 2 4 3" xfId="30937" xr:uid="{BD61A794-63B8-4993-830C-DA735946127E}"/>
    <cellStyle name="20 % - Markeringsfarve5 3 2 5" xfId="30938" xr:uid="{60EDB16C-3A31-4DB0-8BF7-11C3CDC0DD9B}"/>
    <cellStyle name="20 % - Markeringsfarve5 3 2 5 2" xfId="30939" xr:uid="{0794ADDF-1990-4D77-A9B6-70E04BE7CBEC}"/>
    <cellStyle name="20 % - Markeringsfarve5 3 2 5 3" xfId="30940" xr:uid="{E9D940C3-40C3-41C2-B379-E6069E6B2242}"/>
    <cellStyle name="20 % - Markeringsfarve5 3 2 6" xfId="30941" xr:uid="{4BCA41CB-4197-4304-91C8-9937439DE7A7}"/>
    <cellStyle name="20 % - Markeringsfarve5 3 2 6 2" xfId="30942" xr:uid="{026E9D36-F8D6-4528-A59A-862F1D4F1F30}"/>
    <cellStyle name="20 % - Markeringsfarve5 3 2 6 3" xfId="30943" xr:uid="{3302DD99-371C-4A62-9A51-56D5044AD306}"/>
    <cellStyle name="20 % - Markeringsfarve5 3 2 7" xfId="30944" xr:uid="{18A5BE33-3032-4665-914B-B1DAD571EE18}"/>
    <cellStyle name="20 % - Markeringsfarve5 3 2 7 2" xfId="30945" xr:uid="{5B4192E2-8C7C-4171-BB85-D19C3D95F17D}"/>
    <cellStyle name="20 % - Markeringsfarve5 3 2 8" xfId="30946" xr:uid="{04D62E31-1415-43C9-83A8-ACE5060EE67D}"/>
    <cellStyle name="20 % - Markeringsfarve5 3 3" xfId="30947" xr:uid="{A29C2FEA-B969-4A38-A107-330A05B5AA18}"/>
    <cellStyle name="20 % - Markeringsfarve5 3 3 2" xfId="30948" xr:uid="{E5B89572-1F0F-410E-95E1-914633A822C6}"/>
    <cellStyle name="20 % - Markeringsfarve5 3 3 2 2" xfId="30949" xr:uid="{C9700447-AB69-400D-A24C-E6EDE87A5065}"/>
    <cellStyle name="20 % - Markeringsfarve5 3 3 2 3" xfId="30950" xr:uid="{4CEBFF7A-A239-408D-BD2E-54830C2C7784}"/>
    <cellStyle name="20 % - Markeringsfarve5 3 3 3" xfId="30951" xr:uid="{E6D952A3-0C62-47A0-A9D9-E215861D8E23}"/>
    <cellStyle name="20 % - Markeringsfarve5 3 3 3 2" xfId="30952" xr:uid="{73E231A7-AC66-4574-B326-D85170608809}"/>
    <cellStyle name="20 % - Markeringsfarve5 3 3 3 3" xfId="30953" xr:uid="{7358B8E1-FDBF-4928-8E35-9F99D0423F9E}"/>
    <cellStyle name="20 % - Markeringsfarve5 3 3 4" xfId="30954" xr:uid="{365A0EB5-A41D-4A80-8677-2CE98CEE1F9C}"/>
    <cellStyle name="20 % - Markeringsfarve5 3 3 4 2" xfId="30955" xr:uid="{6C038E5F-DAA8-4B03-B5E8-51230AC66DE7}"/>
    <cellStyle name="20 % - Markeringsfarve5 3 3 4 3" xfId="30956" xr:uid="{927078F6-FC65-477E-AA9E-9B44943C2E6C}"/>
    <cellStyle name="20 % - Markeringsfarve5 3 3 5" xfId="30957" xr:uid="{B2101BCA-0695-4474-AFEF-2CC97193D31A}"/>
    <cellStyle name="20 % - Markeringsfarve5 3 3 5 2" xfId="30958" xr:uid="{3DFCDD1F-3267-4BBC-A183-3E35E490C969}"/>
    <cellStyle name="20 % - Markeringsfarve5 3 3 5 3" xfId="30959" xr:uid="{AB29C956-9386-4A14-BF41-B3CC99A2BCFE}"/>
    <cellStyle name="20 % - Markeringsfarve5 3 3 6" xfId="30960" xr:uid="{F5724AC0-49E1-4014-9847-C99E24E8F760}"/>
    <cellStyle name="20 % - Markeringsfarve5 3 3 6 2" xfId="30961" xr:uid="{B89491BF-E63E-4F6C-97F9-58C5C1351A23}"/>
    <cellStyle name="20 % - Markeringsfarve5 3 3 6 3" xfId="30962" xr:uid="{7FA7194F-A380-40AD-BFE4-156C9595348B}"/>
    <cellStyle name="20 % - Markeringsfarve5 3 3 7" xfId="30963" xr:uid="{7256594D-0BCC-47B1-A3D1-070C2236E573}"/>
    <cellStyle name="20 % - Markeringsfarve5 3 3 7 2" xfId="30964" xr:uid="{4E1E2706-CE60-43B4-A61C-373E5239AA83}"/>
    <cellStyle name="20 % - Markeringsfarve5 3 3 8" xfId="30965" xr:uid="{A3AC0DE1-9785-405C-AA9F-8C663EEA0182}"/>
    <cellStyle name="20 % - Markeringsfarve5 3 4" xfId="30966" xr:uid="{59FC358B-8BA2-4A5C-8E75-33A876234AA9}"/>
    <cellStyle name="20 % - Markeringsfarve5 3 4 2" xfId="30967" xr:uid="{F0707B5D-3BB4-409B-B3B7-CFA30694A332}"/>
    <cellStyle name="20 % - Markeringsfarve5 3 4 3" xfId="30968" xr:uid="{7565E798-C5A2-4453-AEA8-7E4DD60BE008}"/>
    <cellStyle name="20 % - Markeringsfarve5 3 5" xfId="30969" xr:uid="{6C7903DC-AC48-4AFA-AF34-D1E2059B89D3}"/>
    <cellStyle name="20 % - Markeringsfarve5 3 5 2" xfId="30970" xr:uid="{4AC6A846-E5F8-463F-9610-4EF871AE92DF}"/>
    <cellStyle name="20 % - Markeringsfarve5 3 5 3" xfId="30971" xr:uid="{D743DB52-6F5F-4B46-9744-0DB24035C3EE}"/>
    <cellStyle name="20 % - Markeringsfarve5 3 6" xfId="30972" xr:uid="{7AE47CD7-7800-4B12-B1D3-8D40358A9FE4}"/>
    <cellStyle name="20 % - Markeringsfarve5 3 6 2" xfId="30973" xr:uid="{980B4E65-ECEE-4BB2-9E72-C4B20A43CDFA}"/>
    <cellStyle name="20 % - Markeringsfarve5 3 6 3" xfId="30974" xr:uid="{740F64CC-11DE-4E6A-B3F9-CA703381464C}"/>
    <cellStyle name="20 % - Markeringsfarve5 3 7" xfId="30975" xr:uid="{3D7A6EB8-A953-44AF-BBDD-8E70014C90EA}"/>
    <cellStyle name="20 % - Markeringsfarve5 3 7 2" xfId="30976" xr:uid="{87947BFD-BCAA-421E-B9D7-91D95CB6C5D6}"/>
    <cellStyle name="20 % - Markeringsfarve5 3 7 3" xfId="30977" xr:uid="{70424544-3818-4CAD-9440-B4F3E0343D6A}"/>
    <cellStyle name="20 % - Markeringsfarve5 3 8" xfId="30978" xr:uid="{C24F9BA6-CD68-424C-A88E-D7E895E55EFA}"/>
    <cellStyle name="20 % - Markeringsfarve5 3 8 2" xfId="30979" xr:uid="{8FCF4166-0E68-4977-A676-B4D14389BD11}"/>
    <cellStyle name="20 % - Markeringsfarve5 3 8 3" xfId="30980" xr:uid="{3C5AAA66-5AB4-42C0-BC82-903A33685669}"/>
    <cellStyle name="20 % - Markeringsfarve5 3 9" xfId="30981" xr:uid="{14C4B1EE-294E-4F01-997E-4549632633B0}"/>
    <cellStyle name="20 % - Markeringsfarve5 3 9 2" xfId="30982" xr:uid="{368855DB-6C31-4DBD-A80A-C10223995A62}"/>
    <cellStyle name="20 % - Markeringsfarve5 4" xfId="23528" xr:uid="{6952584D-D674-422C-9F49-BBEF37267350}"/>
    <cellStyle name="20 % - Markeringsfarve5 4 2" xfId="23529" xr:uid="{15C86A69-807A-4848-9C36-3A7FD9D2E44F}"/>
    <cellStyle name="20 % - Markeringsfarve5 4 2 2" xfId="30983" xr:uid="{9C2ED396-AC2A-41B4-B2D7-0DCFB5F892EE}"/>
    <cellStyle name="20 % - Markeringsfarve5 4 2 3" xfId="30984" xr:uid="{34BBC247-0C3F-43D8-B945-34274D4949FE}"/>
    <cellStyle name="20 % - Markeringsfarve5 4 3" xfId="30985" xr:uid="{16FAB2A6-7F20-4A28-B8DE-8F5E00084723}"/>
    <cellStyle name="20 % - Markeringsfarve5 4 3 2" xfId="30986" xr:uid="{FB2B9953-066E-4E2E-AFA3-EB6DB11C5137}"/>
    <cellStyle name="20 % - Markeringsfarve5 4 3 3" xfId="30987" xr:uid="{43A089A5-19CE-41AB-81E3-4E3CCD7A77C9}"/>
    <cellStyle name="20 % - Markeringsfarve5 4 4" xfId="30988" xr:uid="{8C8EAF5A-9350-4387-96A4-E9ECAE6C1026}"/>
    <cellStyle name="20 % - Markeringsfarve5 4 4 2" xfId="30989" xr:uid="{865415DB-4B4C-4F1E-9463-758B23F95825}"/>
    <cellStyle name="20 % - Markeringsfarve5 4 4 3" xfId="30990" xr:uid="{2048BC1B-D7E3-4B68-BE6E-422E2E4204C4}"/>
    <cellStyle name="20 % - Markeringsfarve5 4 5" xfId="30991" xr:uid="{61CF3F2F-C24B-4ECF-9701-F5D0EC0C1EA3}"/>
    <cellStyle name="20 % - Markeringsfarve5 4 5 2" xfId="30992" xr:uid="{10CFB641-E279-4AD2-9C07-A0FFA9B8F3F7}"/>
    <cellStyle name="20 % - Markeringsfarve5 4 5 3" xfId="30993" xr:uid="{3F9301AB-71C2-4731-8235-DB285CE339BB}"/>
    <cellStyle name="20 % - Markeringsfarve5 4 6" xfId="30994" xr:uid="{9D9A569F-C041-4E51-A293-C0D9FCACEED9}"/>
    <cellStyle name="20 % - Markeringsfarve5 4 6 2" xfId="30995" xr:uid="{2DAE9638-9ACF-46EE-A482-7EA6777A49DD}"/>
    <cellStyle name="20 % - Markeringsfarve5 4 6 3" xfId="30996" xr:uid="{EA12C286-3698-47B7-A67F-FFEB7751DC1F}"/>
    <cellStyle name="20 % - Markeringsfarve5 4 7" xfId="30997" xr:uid="{34C125BC-A3B3-4AB5-A0CB-359450DC0067}"/>
    <cellStyle name="20 % - Markeringsfarve5 4 7 2" xfId="30998" xr:uid="{7A0CC4E3-A700-4BD4-AD69-25966CC73AF7}"/>
    <cellStyle name="20 % - Markeringsfarve5 4 8" xfId="30999" xr:uid="{09234CB3-2835-4737-93A7-A7C9FC81ACEE}"/>
    <cellStyle name="20 % - Markeringsfarve5 5" xfId="23530" xr:uid="{FE20E8AC-A02F-45A7-9EC9-28D6237B02D8}"/>
    <cellStyle name="20 % - Markeringsfarve5 5 2" xfId="23531" xr:uid="{363D08D6-51D1-4685-B012-DC12BB91E95E}"/>
    <cellStyle name="20 % - Markeringsfarve5 5 2 2" xfId="31000" xr:uid="{9E12AC3F-2EDA-47E5-823D-864D94470800}"/>
    <cellStyle name="20 % - Markeringsfarve5 5 2 3" xfId="31001" xr:uid="{DFED71F8-0171-4DE3-BB38-0FB149124A13}"/>
    <cellStyle name="20 % - Markeringsfarve5 5 3" xfId="31002" xr:uid="{CE629A35-1013-4918-B06C-F71DFC90EC06}"/>
    <cellStyle name="20 % - Markeringsfarve5 5 3 2" xfId="31003" xr:uid="{AB5E202E-3DC8-4B85-A5B0-A6F519B98788}"/>
    <cellStyle name="20 % - Markeringsfarve5 5 3 3" xfId="31004" xr:uid="{236A1ECA-3FF9-4BB2-9686-1B02CB07CFA3}"/>
    <cellStyle name="20 % - Markeringsfarve5 5 4" xfId="31005" xr:uid="{623160F6-FB60-4C91-AF51-657688F99E30}"/>
    <cellStyle name="20 % - Markeringsfarve5 5 4 2" xfId="31006" xr:uid="{1C68B5C1-820E-44BD-821D-6D49339C5656}"/>
    <cellStyle name="20 % - Markeringsfarve5 5 4 3" xfId="31007" xr:uid="{BD2540CB-8BE3-41F4-B52E-90AB9AAE58F0}"/>
    <cellStyle name="20 % - Markeringsfarve5 5 5" xfId="31008" xr:uid="{4EDA3397-0A56-44EF-8CF1-37ABA8AFDD23}"/>
    <cellStyle name="20 % - Markeringsfarve5 5 5 2" xfId="31009" xr:uid="{4C8CD38D-3001-4666-B454-EE4654B73F6C}"/>
    <cellStyle name="20 % - Markeringsfarve5 5 5 3" xfId="31010" xr:uid="{32030D5C-B61D-4BCB-B107-C7DA37F0D6E2}"/>
    <cellStyle name="20 % - Markeringsfarve5 5 6" xfId="31011" xr:uid="{10DD1399-C42B-41BF-9C3A-2153C6E3D71E}"/>
    <cellStyle name="20 % - Markeringsfarve5 5 6 2" xfId="31012" xr:uid="{50B16615-4813-4DB0-A191-60F8D56D573B}"/>
    <cellStyle name="20 % - Markeringsfarve5 5 6 3" xfId="31013" xr:uid="{286BD72D-E858-4885-8F7B-86D7DB2C02D4}"/>
    <cellStyle name="20 % - Markeringsfarve5 5 7" xfId="31014" xr:uid="{17288F4C-2D21-42BD-8E7A-0B1F71E10660}"/>
    <cellStyle name="20 % - Markeringsfarve5 5 7 2" xfId="31015" xr:uid="{F53094CE-5EAF-4D1C-925A-C7BAFFF4B8D2}"/>
    <cellStyle name="20 % - Markeringsfarve5 5 8" xfId="31016" xr:uid="{ECE2436A-4773-4F72-B1CB-D0F581CF3E4B}"/>
    <cellStyle name="20 % - Markeringsfarve5 6" xfId="23532" xr:uid="{D52FF4DD-4DAD-4973-BE01-24ED2D055A17}"/>
    <cellStyle name="20 % - Markeringsfarve5 6 2" xfId="23533" xr:uid="{8AFA9BE4-C8FF-423D-9B8D-C0F1D2F681E1}"/>
    <cellStyle name="20 % - Markeringsfarve5 6 3" xfId="31017" xr:uid="{B8096FA5-332A-4B85-88F0-8EC77F52623C}"/>
    <cellStyle name="20 % - Markeringsfarve5 7" xfId="23534" xr:uid="{61739860-380E-41CA-9811-2A9B82589791}"/>
    <cellStyle name="20 % - Markeringsfarve5 7 2" xfId="31018" xr:uid="{1EDEF7CB-FEF5-404D-B646-EC9453DDAA41}"/>
    <cellStyle name="20 % - Markeringsfarve5 7 3" xfId="31019" xr:uid="{3492BD6E-2D14-4F1E-B899-C1EDA5987B83}"/>
    <cellStyle name="20 % - Markeringsfarve5 8" xfId="31020" xr:uid="{BF909C62-7C6B-42ED-824B-F6229DA20A47}"/>
    <cellStyle name="20 % - Markeringsfarve5 8 2" xfId="31021" xr:uid="{D4C4503C-FFEC-4F7A-9A53-4D7405F97AB8}"/>
    <cellStyle name="20 % - Markeringsfarve5 8 3" xfId="31022" xr:uid="{F544F74D-44F3-4451-BFF2-9B92D00B9AA0}"/>
    <cellStyle name="20 % - Markeringsfarve5 9" xfId="31023" xr:uid="{9862580C-97F1-49C1-9E62-87D867553F9E}"/>
    <cellStyle name="20 % - Markeringsfarve5 9 2" xfId="31024" xr:uid="{643FEB67-0B33-4618-B206-32E85667BDED}"/>
    <cellStyle name="20 % - Markeringsfarve5 9 3" xfId="31025" xr:uid="{0080617B-A8A4-4CF0-A0FA-03C3EF019EEA}"/>
    <cellStyle name="20 % - Markeringsfarve6" xfId="1269" xr:uid="{00000000-0005-0000-0000-00000A000000}"/>
    <cellStyle name="20 % - Markeringsfarve6 10" xfId="31026" xr:uid="{64B9A4C1-3F3B-4752-ACA8-EBC00A3B24BE}"/>
    <cellStyle name="20 % - Markeringsfarve6 10 2" xfId="31027" xr:uid="{4893F16F-758C-4E5E-87D7-16E1121C6061}"/>
    <cellStyle name="20 % - Markeringsfarve6 10 3" xfId="31028" xr:uid="{5E6D2A97-D506-43F1-8B81-16423147A371}"/>
    <cellStyle name="20 % - Markeringsfarve6 11" xfId="31029" xr:uid="{B6B75A23-D645-4952-903A-06E8316A5ACD}"/>
    <cellStyle name="20 % - Markeringsfarve6 11 2" xfId="31030" xr:uid="{D847E291-5DE4-4FF8-B33A-7343C6244936}"/>
    <cellStyle name="20 % - Markeringsfarve6 12" xfId="31031" xr:uid="{8B0C5FDE-8999-4E7B-B6B7-1712C90B5F27}"/>
    <cellStyle name="20 % - Markeringsfarve6 13" xfId="17727" xr:uid="{7BC13CDE-1011-417D-9C77-51C9097BA1D0}"/>
    <cellStyle name="20 % - Markeringsfarve6 2" xfId="1270" xr:uid="{00000000-0005-0000-0000-00000B000000}"/>
    <cellStyle name="20 % - Markeringsfarve6 2 10" xfId="31032" xr:uid="{2BCF237C-5FFA-4412-A5AD-6FFD68E587C3}"/>
    <cellStyle name="20 % - Markeringsfarve6 2 11" xfId="17728" xr:uid="{C7391E4C-78E7-40AF-AD0E-76718D89D373}"/>
    <cellStyle name="20 % - Markeringsfarve6 2 2" xfId="23535" xr:uid="{71162D93-4F96-437B-A1EB-EC2156300B3E}"/>
    <cellStyle name="20 % - Markeringsfarve6 2 2 2" xfId="23536" xr:uid="{DA7492EA-3D8E-4FAF-8698-AF6E40234BD8}"/>
    <cellStyle name="20 % - Markeringsfarve6 2 2 2 2" xfId="31033" xr:uid="{F5047E13-9840-4F57-80B7-A1032C5BC66B}"/>
    <cellStyle name="20 % - Markeringsfarve6 2 2 2 3" xfId="31034" xr:uid="{FFCF6093-6D60-440A-84A9-C407D3BA3917}"/>
    <cellStyle name="20 % - Markeringsfarve6 2 2 3" xfId="31035" xr:uid="{35636129-77D0-4C90-83E9-D11535AE638E}"/>
    <cellStyle name="20 % - Markeringsfarve6 2 2 3 2" xfId="31036" xr:uid="{0D35ECDF-5857-40F9-A2D0-1B281318F589}"/>
    <cellStyle name="20 % - Markeringsfarve6 2 2 3 3" xfId="31037" xr:uid="{B8FAD5C0-E03D-467C-B871-735A4A19093F}"/>
    <cellStyle name="20 % - Markeringsfarve6 2 2 4" xfId="31038" xr:uid="{B50B24DD-E892-4133-90D9-0A0B9916D118}"/>
    <cellStyle name="20 % - Markeringsfarve6 2 2 4 2" xfId="31039" xr:uid="{6536C33B-1358-4BB5-9F13-92D7E9411CD9}"/>
    <cellStyle name="20 % - Markeringsfarve6 2 2 4 3" xfId="31040" xr:uid="{29F8BF35-9BA4-45F0-A63F-3718D96195E0}"/>
    <cellStyle name="20 % - Markeringsfarve6 2 2 5" xfId="31041" xr:uid="{F92DD6CC-30CE-4224-92A0-9EA44582B747}"/>
    <cellStyle name="20 % - Markeringsfarve6 2 2 5 2" xfId="31042" xr:uid="{2F266664-3487-48B3-84F6-B8E922EEFFBC}"/>
    <cellStyle name="20 % - Markeringsfarve6 2 2 5 3" xfId="31043" xr:uid="{44C7ED03-7E31-4A21-9120-AFA0BDE841D8}"/>
    <cellStyle name="20 % - Markeringsfarve6 2 2 6" xfId="31044" xr:uid="{272FD545-530A-4C99-AF3F-8DFE548997F5}"/>
    <cellStyle name="20 % - Markeringsfarve6 2 2 6 2" xfId="31045" xr:uid="{55700BC3-D66B-48B7-8303-EB5D01F3C832}"/>
    <cellStyle name="20 % - Markeringsfarve6 2 2 6 3" xfId="31046" xr:uid="{8C0B69E2-3E19-4F12-A57D-32199E3EF998}"/>
    <cellStyle name="20 % - Markeringsfarve6 2 2 7" xfId="31047" xr:uid="{170C731D-4173-4F99-A5A7-14ABA6097673}"/>
    <cellStyle name="20 % - Markeringsfarve6 2 2 7 2" xfId="31048" xr:uid="{EF24C74A-A6AF-46F1-9166-3AE5DCAA833F}"/>
    <cellStyle name="20 % - Markeringsfarve6 2 2 8" xfId="31049" xr:uid="{ED098C8A-DB43-4375-876B-29B177B3255C}"/>
    <cellStyle name="20 % - Markeringsfarve6 2 3" xfId="23537" xr:uid="{A874BD46-A3DF-4559-9263-CF1565790969}"/>
    <cellStyle name="20 % - Markeringsfarve6 2 3 2" xfId="23538" xr:uid="{748552C3-B8B7-4BFD-99EB-647E2A285D43}"/>
    <cellStyle name="20 % - Markeringsfarve6 2 3 2 2" xfId="31050" xr:uid="{54497B61-C46D-48B0-A8B7-F0E94F983812}"/>
    <cellStyle name="20 % - Markeringsfarve6 2 3 2 3" xfId="31051" xr:uid="{E10B42D1-13F4-4A2C-AE4C-3C08DBFFB157}"/>
    <cellStyle name="20 % - Markeringsfarve6 2 3 3" xfId="31052" xr:uid="{5DDF0D48-1BC8-410C-8F65-93A45B7A488A}"/>
    <cellStyle name="20 % - Markeringsfarve6 2 3 3 2" xfId="31053" xr:uid="{91510A3D-74E4-4FCE-A739-3393DDA0649D}"/>
    <cellStyle name="20 % - Markeringsfarve6 2 3 3 3" xfId="31054" xr:uid="{32019A80-AF25-4640-9F24-3192617E0948}"/>
    <cellStyle name="20 % - Markeringsfarve6 2 3 4" xfId="31055" xr:uid="{4783A03B-5461-4C89-A527-8DF0BA9C7C78}"/>
    <cellStyle name="20 % - Markeringsfarve6 2 3 4 2" xfId="31056" xr:uid="{F0BA927A-6BAF-45C7-92CE-EDBA61F14632}"/>
    <cellStyle name="20 % - Markeringsfarve6 2 3 4 3" xfId="31057" xr:uid="{CBB85D5D-2BCC-4518-8C65-FF966EB3721F}"/>
    <cellStyle name="20 % - Markeringsfarve6 2 3 5" xfId="31058" xr:uid="{EB195F7E-7CA4-4D0B-ABC4-37B2F997353C}"/>
    <cellStyle name="20 % - Markeringsfarve6 2 3 5 2" xfId="31059" xr:uid="{4D5463F2-597D-4070-AC89-7619BAC9C310}"/>
    <cellStyle name="20 % - Markeringsfarve6 2 3 5 3" xfId="31060" xr:uid="{A21130A3-8D84-4998-9179-3563830871EC}"/>
    <cellStyle name="20 % - Markeringsfarve6 2 3 6" xfId="31061" xr:uid="{67987420-1342-4F88-8599-57C7B8AFD3BF}"/>
    <cellStyle name="20 % - Markeringsfarve6 2 3 6 2" xfId="31062" xr:uid="{86F1A97F-DF7F-4736-A458-E26B939B347D}"/>
    <cellStyle name="20 % - Markeringsfarve6 2 3 6 3" xfId="31063" xr:uid="{B9B4EB0A-E37F-49D6-8665-B88B820D351C}"/>
    <cellStyle name="20 % - Markeringsfarve6 2 3 7" xfId="31064" xr:uid="{C2BE37FC-6436-4D53-A7A1-1B01957A3A8B}"/>
    <cellStyle name="20 % - Markeringsfarve6 2 3 7 2" xfId="31065" xr:uid="{9E40AFFE-130E-4110-8C3D-380A1CFB728C}"/>
    <cellStyle name="20 % - Markeringsfarve6 2 3 8" xfId="31066" xr:uid="{08C0B042-CE58-4CC9-B0AE-8072DD53B61A}"/>
    <cellStyle name="20 % - Markeringsfarve6 2 4" xfId="23539" xr:uid="{AB08F4EE-6E78-4B44-A8DF-6196808EA45D}"/>
    <cellStyle name="20 % - Markeringsfarve6 2 4 2" xfId="31067" xr:uid="{32A37BEE-A515-4F1F-BD92-DC27F70BDB20}"/>
    <cellStyle name="20 % - Markeringsfarve6 2 4 3" xfId="31068" xr:uid="{EA4F68DD-758B-417A-84A5-EA2B1D5F1DF9}"/>
    <cellStyle name="20 % - Markeringsfarve6 2 5" xfId="31069" xr:uid="{A43FB74E-CE05-431E-B477-3B15D4F97380}"/>
    <cellStyle name="20 % - Markeringsfarve6 2 5 2" xfId="31070" xr:uid="{BC881BBA-3ADC-435C-9F42-3395AA907E8E}"/>
    <cellStyle name="20 % - Markeringsfarve6 2 5 3" xfId="31071" xr:uid="{96CB9F7E-1083-441F-A5DF-7D0EE050BB00}"/>
    <cellStyle name="20 % - Markeringsfarve6 2 6" xfId="31072" xr:uid="{613FF43E-C62C-41AB-8CD3-95DF60805F2B}"/>
    <cellStyle name="20 % - Markeringsfarve6 2 6 2" xfId="31073" xr:uid="{B3583C5F-6634-40B6-83F8-6E1DDBA5B6D6}"/>
    <cellStyle name="20 % - Markeringsfarve6 2 6 3" xfId="31074" xr:uid="{57EED93A-DE91-42D6-A4C4-29DDD071B2B7}"/>
    <cellStyle name="20 % - Markeringsfarve6 2 7" xfId="31075" xr:uid="{5AAC8A4E-EB93-4319-AFE1-FFBEBC8AD3F4}"/>
    <cellStyle name="20 % - Markeringsfarve6 2 7 2" xfId="31076" xr:uid="{E86F2321-5E4D-4AD9-923A-9454A380A498}"/>
    <cellStyle name="20 % - Markeringsfarve6 2 7 3" xfId="31077" xr:uid="{5AABDD2A-8D5B-42AA-8903-5DC202611BF6}"/>
    <cellStyle name="20 % - Markeringsfarve6 2 8" xfId="31078" xr:uid="{4FB46617-B67F-4348-AD38-9EF672488B0E}"/>
    <cellStyle name="20 % - Markeringsfarve6 2 8 2" xfId="31079" xr:uid="{EAB24DDC-88ED-441E-A34D-F653F0569D12}"/>
    <cellStyle name="20 % - Markeringsfarve6 2 8 3" xfId="31080" xr:uid="{EDB33D06-DF78-4199-B620-598B2A6FD466}"/>
    <cellStyle name="20 % - Markeringsfarve6 2 9" xfId="31081" xr:uid="{07CEBC58-0C08-47C2-98E6-FEEEEFE4353E}"/>
    <cellStyle name="20 % - Markeringsfarve6 2 9 2" xfId="31082" xr:uid="{C4A88F5E-ACA8-478E-9E50-DE62593CA018}"/>
    <cellStyle name="20 % - Markeringsfarve6 3" xfId="2590" xr:uid="{B5B46348-71F9-4DF7-995E-D376E5D3C56D}"/>
    <cellStyle name="20 % - Markeringsfarve6 3 10" xfId="31083" xr:uid="{63D758C4-F5B9-4EE1-A6E5-1C140528B356}"/>
    <cellStyle name="20 % - Markeringsfarve6 3 2" xfId="23540" xr:uid="{12DA3580-D2CF-4A3F-BCEB-28126F223231}"/>
    <cellStyle name="20 % - Markeringsfarve6 3 2 2" xfId="31084" xr:uid="{4CCA6B6C-1D0B-4385-BD5B-2A18D0C800F9}"/>
    <cellStyle name="20 % - Markeringsfarve6 3 2 2 2" xfId="31085" xr:uid="{D9B37DA1-734B-437D-933D-55574C05DA85}"/>
    <cellStyle name="20 % - Markeringsfarve6 3 2 2 3" xfId="31086" xr:uid="{5D2A5E59-32DD-4518-B959-D194C5EF1C13}"/>
    <cellStyle name="20 % - Markeringsfarve6 3 2 3" xfId="31087" xr:uid="{FBF2E38A-5E75-4F41-8E35-DCE137E65976}"/>
    <cellStyle name="20 % - Markeringsfarve6 3 2 3 2" xfId="31088" xr:uid="{D42134CF-DCA4-470C-90AC-4AA24B65C363}"/>
    <cellStyle name="20 % - Markeringsfarve6 3 2 3 3" xfId="31089" xr:uid="{CF9C8A19-055A-40F1-8CB9-C89B8209C8DC}"/>
    <cellStyle name="20 % - Markeringsfarve6 3 2 4" xfId="31090" xr:uid="{4C46E89D-1961-4D8B-BA83-49FEAFBC9C9B}"/>
    <cellStyle name="20 % - Markeringsfarve6 3 2 4 2" xfId="31091" xr:uid="{14FF7666-3F71-4816-8B1E-5C262A4103A6}"/>
    <cellStyle name="20 % - Markeringsfarve6 3 2 4 3" xfId="31092" xr:uid="{2CF37CCF-B276-423D-8801-813286BB7760}"/>
    <cellStyle name="20 % - Markeringsfarve6 3 2 5" xfId="31093" xr:uid="{8E30706A-1EB5-4D71-BBD9-EAD6A9B46D37}"/>
    <cellStyle name="20 % - Markeringsfarve6 3 2 5 2" xfId="31094" xr:uid="{44E73774-47D0-47D4-B84A-874050CA8E14}"/>
    <cellStyle name="20 % - Markeringsfarve6 3 2 5 3" xfId="31095" xr:uid="{097BFDE8-2B1E-4B4D-84C1-6BBF145C0D46}"/>
    <cellStyle name="20 % - Markeringsfarve6 3 2 6" xfId="31096" xr:uid="{F73F670E-8720-48EF-B19C-2336294B8EBC}"/>
    <cellStyle name="20 % - Markeringsfarve6 3 2 6 2" xfId="31097" xr:uid="{9A5D49FA-8445-4A31-8C3C-DDF86FCBC313}"/>
    <cellStyle name="20 % - Markeringsfarve6 3 2 6 3" xfId="31098" xr:uid="{F5869595-F325-4B3F-A059-05F3EF254E0D}"/>
    <cellStyle name="20 % - Markeringsfarve6 3 2 7" xfId="31099" xr:uid="{EEBC78AE-E532-4232-A281-10FC37A2D75A}"/>
    <cellStyle name="20 % - Markeringsfarve6 3 2 7 2" xfId="31100" xr:uid="{889E17D9-71E4-4D17-95D5-18DDA07CD620}"/>
    <cellStyle name="20 % - Markeringsfarve6 3 2 8" xfId="31101" xr:uid="{6E5B4692-CBC8-4E8A-96AD-8A2F2A22E1FA}"/>
    <cellStyle name="20 % - Markeringsfarve6 3 3" xfId="31102" xr:uid="{7F4F648F-F2B0-4539-8DFC-F07694050221}"/>
    <cellStyle name="20 % - Markeringsfarve6 3 3 2" xfId="31103" xr:uid="{599D6FB2-2130-40F3-A1BD-8BD80369C2F1}"/>
    <cellStyle name="20 % - Markeringsfarve6 3 3 2 2" xfId="31104" xr:uid="{F723D23E-D9A9-4035-90B7-A6AE67B593B2}"/>
    <cellStyle name="20 % - Markeringsfarve6 3 3 2 3" xfId="31105" xr:uid="{F4B35A18-8BD0-4775-B947-15F320581EDA}"/>
    <cellStyle name="20 % - Markeringsfarve6 3 3 3" xfId="31106" xr:uid="{3D8E2CDF-8C36-42D0-8236-0F93505326E0}"/>
    <cellStyle name="20 % - Markeringsfarve6 3 3 3 2" xfId="31107" xr:uid="{1D7DA984-B36E-4EC8-B047-30D9D0E90849}"/>
    <cellStyle name="20 % - Markeringsfarve6 3 3 3 3" xfId="31108" xr:uid="{C2C03899-5B6C-4365-8022-C1A196080BE0}"/>
    <cellStyle name="20 % - Markeringsfarve6 3 3 4" xfId="31109" xr:uid="{ABF63AB7-11D3-4A44-A0F8-FD140CA48F8F}"/>
    <cellStyle name="20 % - Markeringsfarve6 3 3 4 2" xfId="31110" xr:uid="{D172544C-391F-4E11-9C01-9C92EAD57FD7}"/>
    <cellStyle name="20 % - Markeringsfarve6 3 3 4 3" xfId="31111" xr:uid="{77BAB1B8-2A1E-46BD-9530-629D94C8D540}"/>
    <cellStyle name="20 % - Markeringsfarve6 3 3 5" xfId="31112" xr:uid="{5C01A81B-6E31-4E56-B1A0-4393F728DFA4}"/>
    <cellStyle name="20 % - Markeringsfarve6 3 3 5 2" xfId="31113" xr:uid="{779CABDC-6512-4B8B-95BB-AB4ECAD16C5F}"/>
    <cellStyle name="20 % - Markeringsfarve6 3 3 5 3" xfId="31114" xr:uid="{A76B0691-A5F2-4EBB-8B19-67F4893F221D}"/>
    <cellStyle name="20 % - Markeringsfarve6 3 3 6" xfId="31115" xr:uid="{1BE488AD-3EF1-4A20-9EF8-170AFDF8011B}"/>
    <cellStyle name="20 % - Markeringsfarve6 3 3 6 2" xfId="31116" xr:uid="{CFAAE62C-F1D8-4977-9AF0-39BDB530CB42}"/>
    <cellStyle name="20 % - Markeringsfarve6 3 3 6 3" xfId="31117" xr:uid="{8F1CE1D3-3DD0-4226-8B25-512D93B86EAD}"/>
    <cellStyle name="20 % - Markeringsfarve6 3 3 7" xfId="31118" xr:uid="{4FDE42A9-F92B-4AE3-8475-55061E106B3C}"/>
    <cellStyle name="20 % - Markeringsfarve6 3 3 7 2" xfId="31119" xr:uid="{66249FDC-95D5-44B8-BDAE-F733F263FC26}"/>
    <cellStyle name="20 % - Markeringsfarve6 3 3 8" xfId="31120" xr:uid="{A5252C4D-D52B-440B-B89E-7E007A9A5898}"/>
    <cellStyle name="20 % - Markeringsfarve6 3 4" xfId="31121" xr:uid="{56C57F13-C8C7-49DD-845C-FBE80548E2FC}"/>
    <cellStyle name="20 % - Markeringsfarve6 3 4 2" xfId="31122" xr:uid="{C3445EFF-F01C-498C-A8DE-C2BDEB05F62D}"/>
    <cellStyle name="20 % - Markeringsfarve6 3 4 3" xfId="31123" xr:uid="{EE2F853B-5A65-43B1-AFB9-03CAB78AF55A}"/>
    <cellStyle name="20 % - Markeringsfarve6 3 5" xfId="31124" xr:uid="{80CF811C-7C5B-4A4C-9808-399ECD93BF14}"/>
    <cellStyle name="20 % - Markeringsfarve6 3 5 2" xfId="31125" xr:uid="{492E21B4-4296-4B55-922A-99EA33E7A22D}"/>
    <cellStyle name="20 % - Markeringsfarve6 3 5 3" xfId="31126" xr:uid="{8171F05A-1AFB-4D2F-AAEF-DC2EDD748579}"/>
    <cellStyle name="20 % - Markeringsfarve6 3 6" xfId="31127" xr:uid="{C18C71FA-73DB-44F0-A316-A616BECD9976}"/>
    <cellStyle name="20 % - Markeringsfarve6 3 6 2" xfId="31128" xr:uid="{8B79DFAF-3A6A-47FC-ACC2-158D8D002990}"/>
    <cellStyle name="20 % - Markeringsfarve6 3 6 3" xfId="31129" xr:uid="{68A24139-057E-4947-98BD-B9B1F426D1E2}"/>
    <cellStyle name="20 % - Markeringsfarve6 3 7" xfId="31130" xr:uid="{DCA40062-2964-4CC5-A515-4B3E56189F13}"/>
    <cellStyle name="20 % - Markeringsfarve6 3 7 2" xfId="31131" xr:uid="{F18AF363-1C6B-4751-94D2-20E28724D302}"/>
    <cellStyle name="20 % - Markeringsfarve6 3 7 3" xfId="31132" xr:uid="{76A618B5-D47F-4D93-80C6-ED9E9E648522}"/>
    <cellStyle name="20 % - Markeringsfarve6 3 8" xfId="31133" xr:uid="{606BBD86-424D-4227-973D-A44753F9CCD4}"/>
    <cellStyle name="20 % - Markeringsfarve6 3 8 2" xfId="31134" xr:uid="{C6AC60FC-A20C-4123-8F2B-6C5AC5F21060}"/>
    <cellStyle name="20 % - Markeringsfarve6 3 8 3" xfId="31135" xr:uid="{19FF31C4-D4B8-4238-9135-90B9726F1E74}"/>
    <cellStyle name="20 % - Markeringsfarve6 3 9" xfId="31136" xr:uid="{46084FCC-4E2A-43A6-9630-1F2649AA4A96}"/>
    <cellStyle name="20 % - Markeringsfarve6 3 9 2" xfId="31137" xr:uid="{1DDB66E7-983E-4C42-BDF5-1E1A0D400436}"/>
    <cellStyle name="20 % - Markeringsfarve6 4" xfId="23541" xr:uid="{CDF501CC-E88C-467E-AFAD-A3512FD85290}"/>
    <cellStyle name="20 % - Markeringsfarve6 4 2" xfId="23542" xr:uid="{7576FBA1-71EC-41A5-89F5-81A23CB705A3}"/>
    <cellStyle name="20 % - Markeringsfarve6 4 2 2" xfId="31138" xr:uid="{61276270-218F-4EEF-B3D1-28ED20B90AEC}"/>
    <cellStyle name="20 % - Markeringsfarve6 4 2 3" xfId="31139" xr:uid="{E7FAD0E6-8F77-4E6B-B7E0-24CDC7363232}"/>
    <cellStyle name="20 % - Markeringsfarve6 4 3" xfId="31140" xr:uid="{BC3AF1B0-A51C-4F37-BFAF-3D45069AA484}"/>
    <cellStyle name="20 % - Markeringsfarve6 4 3 2" xfId="31141" xr:uid="{6131BBBA-F082-4B73-9257-D45B8053F6F9}"/>
    <cellStyle name="20 % - Markeringsfarve6 4 3 3" xfId="31142" xr:uid="{D380D0F7-D243-493B-AFE7-41C5329F4D94}"/>
    <cellStyle name="20 % - Markeringsfarve6 4 4" xfId="31143" xr:uid="{50DD9D8D-6641-4426-9980-FFBA75B722DE}"/>
    <cellStyle name="20 % - Markeringsfarve6 4 4 2" xfId="31144" xr:uid="{0652E300-10D4-4F04-ACC2-12A2168555CA}"/>
    <cellStyle name="20 % - Markeringsfarve6 4 4 3" xfId="31145" xr:uid="{ECD96A45-3220-4D2C-93C1-16DEEB32A9E3}"/>
    <cellStyle name="20 % - Markeringsfarve6 4 5" xfId="31146" xr:uid="{BAE3E9CC-0D95-46A9-BBD4-B0C7B572D689}"/>
    <cellStyle name="20 % - Markeringsfarve6 4 5 2" xfId="31147" xr:uid="{FEAE5EBD-4D5D-4875-AC88-7450576EAAE6}"/>
    <cellStyle name="20 % - Markeringsfarve6 4 5 3" xfId="31148" xr:uid="{B754F951-BDCA-431D-8504-47BF51EC180B}"/>
    <cellStyle name="20 % - Markeringsfarve6 4 6" xfId="31149" xr:uid="{2F6BED99-CCE1-449C-863D-73672CCEF29A}"/>
    <cellStyle name="20 % - Markeringsfarve6 4 6 2" xfId="31150" xr:uid="{A734B4A9-D276-471D-81F5-5C5EB19BD7B7}"/>
    <cellStyle name="20 % - Markeringsfarve6 4 6 3" xfId="31151" xr:uid="{C9E152A1-53D9-481C-A3F2-3F7225C48F4B}"/>
    <cellStyle name="20 % - Markeringsfarve6 4 7" xfId="31152" xr:uid="{08000811-E42A-4764-8849-3F6B21A36D37}"/>
    <cellStyle name="20 % - Markeringsfarve6 4 7 2" xfId="31153" xr:uid="{62C943B5-220E-4729-88D4-A5F6C48F6EB9}"/>
    <cellStyle name="20 % - Markeringsfarve6 4 8" xfId="31154" xr:uid="{C490BCD0-E22A-414E-8961-B961C48C0DD0}"/>
    <cellStyle name="20 % - Markeringsfarve6 5" xfId="23543" xr:uid="{70EEDDEF-0D0F-44F5-B186-C1EB1FC23ABA}"/>
    <cellStyle name="20 % - Markeringsfarve6 5 2" xfId="23544" xr:uid="{4B5B8E4E-7C44-4BB0-8293-97C7B95D0F3C}"/>
    <cellStyle name="20 % - Markeringsfarve6 5 2 2" xfId="31155" xr:uid="{2D6863CA-1820-4D13-848E-5B5ECFE32CD7}"/>
    <cellStyle name="20 % - Markeringsfarve6 5 2 3" xfId="31156" xr:uid="{608B79E9-FC44-46BD-9C00-3D63136B0005}"/>
    <cellStyle name="20 % - Markeringsfarve6 5 3" xfId="31157" xr:uid="{84C5DF62-7F25-4D78-82E8-B2FD3C1DA352}"/>
    <cellStyle name="20 % - Markeringsfarve6 5 3 2" xfId="31158" xr:uid="{96F4B578-FCEF-4A98-BE38-0F6D84CC8B7E}"/>
    <cellStyle name="20 % - Markeringsfarve6 5 3 3" xfId="31159" xr:uid="{FC09B64D-8358-44B3-8B25-ABADCEBD29B3}"/>
    <cellStyle name="20 % - Markeringsfarve6 5 4" xfId="31160" xr:uid="{AB1BAE92-D735-4D29-99E4-99816A3AFDA2}"/>
    <cellStyle name="20 % - Markeringsfarve6 5 4 2" xfId="31161" xr:uid="{D00E0238-025D-4D9A-B9AC-0B0DF073717D}"/>
    <cellStyle name="20 % - Markeringsfarve6 5 4 3" xfId="31162" xr:uid="{F7F70B38-AAD4-4FC5-B938-9C53DFCF26CF}"/>
    <cellStyle name="20 % - Markeringsfarve6 5 5" xfId="31163" xr:uid="{B510770B-FE03-47EE-A33F-023E5AC4D941}"/>
    <cellStyle name="20 % - Markeringsfarve6 5 5 2" xfId="31164" xr:uid="{395C65DA-1BD8-4F58-98FB-2D0C365AEE4C}"/>
    <cellStyle name="20 % - Markeringsfarve6 5 5 3" xfId="31165" xr:uid="{CC8C6AA8-7A02-4B14-9FDA-B8F3074941AE}"/>
    <cellStyle name="20 % - Markeringsfarve6 5 6" xfId="31166" xr:uid="{991BC2AD-B5BA-43B9-9F51-6D63CCE92DB1}"/>
    <cellStyle name="20 % - Markeringsfarve6 5 6 2" xfId="31167" xr:uid="{7BA17932-A7A2-4E64-8587-B0AE56EFAF6E}"/>
    <cellStyle name="20 % - Markeringsfarve6 5 6 3" xfId="31168" xr:uid="{17D1CE68-E6E4-4C79-B001-02C5B27100F6}"/>
    <cellStyle name="20 % - Markeringsfarve6 5 7" xfId="31169" xr:uid="{13F370F9-7B14-4B30-B7C3-9EBC96852677}"/>
    <cellStyle name="20 % - Markeringsfarve6 5 7 2" xfId="31170" xr:uid="{FFDEE673-B054-4119-B242-621996D80112}"/>
    <cellStyle name="20 % - Markeringsfarve6 5 8" xfId="31171" xr:uid="{92324F24-D766-4F2F-AC58-E1CF16854C95}"/>
    <cellStyle name="20 % - Markeringsfarve6 6" xfId="23545" xr:uid="{B10AA89B-BDDE-4D20-B3DD-6C208DEE8029}"/>
    <cellStyle name="20 % - Markeringsfarve6 6 2" xfId="23546" xr:uid="{A2605F20-69C1-4A42-B584-D1BAA2A78849}"/>
    <cellStyle name="20 % - Markeringsfarve6 6 3" xfId="31172" xr:uid="{5C5CE64B-68AB-4269-86D8-48EFC96732C6}"/>
    <cellStyle name="20 % - Markeringsfarve6 7" xfId="23547" xr:uid="{2C4EA3CB-545E-44A7-B27E-E073330A8015}"/>
    <cellStyle name="20 % - Markeringsfarve6 7 2" xfId="31173" xr:uid="{FC233293-243C-4DFF-8064-39778D181755}"/>
    <cellStyle name="20 % - Markeringsfarve6 7 3" xfId="31174" xr:uid="{C2C6829E-64DE-42FD-AC1B-CB0694A68C0D}"/>
    <cellStyle name="20 % - Markeringsfarve6 8" xfId="31175" xr:uid="{E3841762-E7A0-4E1C-BDBE-97BB1EC983F3}"/>
    <cellStyle name="20 % - Markeringsfarve6 8 2" xfId="31176" xr:uid="{86DCD0FA-1BDE-4319-94F5-CBEFD13551A5}"/>
    <cellStyle name="20 % - Markeringsfarve6 8 3" xfId="31177" xr:uid="{7ED45D65-F3A1-4CCF-AADA-CAA51A9CE88A}"/>
    <cellStyle name="20 % - Markeringsfarve6 9" xfId="31178" xr:uid="{C3EFB7AC-8203-4E65-A04B-36450B7D8707}"/>
    <cellStyle name="20 % - Markeringsfarve6 9 2" xfId="31179" xr:uid="{A6EAADD4-C498-4B2F-AEEE-3AA64B8F6E3C}"/>
    <cellStyle name="20 % - Markeringsfarve6 9 3" xfId="31180" xr:uid="{835B799A-C1F1-4EAE-A9E0-C62157D81ADE}"/>
    <cellStyle name="20% - Accent1 2" xfId="23548" xr:uid="{DD86783D-1E7C-4654-B9D7-E87B880B5362}"/>
    <cellStyle name="20% - Accent2 2" xfId="23549" xr:uid="{1219D04F-4F36-4635-80A0-5A7A08EF8157}"/>
    <cellStyle name="20% - Accent3 2" xfId="23550" xr:uid="{CF729CE7-30AE-40E8-A4A2-189DC7E90FD2}"/>
    <cellStyle name="20% - Accent4 2" xfId="23551" xr:uid="{E9318D6A-8B70-4C09-B7F4-4EB19F4D4B4F}"/>
    <cellStyle name="20% - Accent5 2" xfId="23552" xr:uid="{9B832F5C-2748-4065-AE78-44142AECAC09}"/>
    <cellStyle name="20% - Accent6 2" xfId="23553" xr:uid="{F31645F1-75D9-4A37-BDC9-D77A0609040F}"/>
    <cellStyle name="20% - Colore 1" xfId="1" xr:uid="{00000000-0005-0000-0000-00000C000000}"/>
    <cellStyle name="20% - Colore 1 2" xfId="2" xr:uid="{00000000-0005-0000-0000-00000D000000}"/>
    <cellStyle name="20% - Colore 2" xfId="3" xr:uid="{00000000-0005-0000-0000-00000E000000}"/>
    <cellStyle name="20% - Colore 2 2" xfId="4" xr:uid="{00000000-0005-0000-0000-00000F000000}"/>
    <cellStyle name="20% - Colore 3" xfId="5" xr:uid="{00000000-0005-0000-0000-000010000000}"/>
    <cellStyle name="20% - Colore 3 2" xfId="6" xr:uid="{00000000-0005-0000-0000-000011000000}"/>
    <cellStyle name="20% - Colore 4" xfId="7" xr:uid="{00000000-0005-0000-0000-000012000000}"/>
    <cellStyle name="20% - Colore 4 2" xfId="8" xr:uid="{00000000-0005-0000-0000-000013000000}"/>
    <cellStyle name="20% - Colore 5" xfId="9" xr:uid="{00000000-0005-0000-0000-000014000000}"/>
    <cellStyle name="20% - Colore 5 2" xfId="10" xr:uid="{00000000-0005-0000-0000-000015000000}"/>
    <cellStyle name="20% - Colore 6" xfId="11" xr:uid="{00000000-0005-0000-0000-000016000000}"/>
    <cellStyle name="20% - Colore 6 2" xfId="12" xr:uid="{00000000-0005-0000-0000-000017000000}"/>
    <cellStyle name="2x indented GHG Textfiels" xfId="30231" xr:uid="{18A2797C-E355-4D28-9952-9335090C98DC}"/>
    <cellStyle name="40 % - Markeringsfarve1" xfId="1271" xr:uid="{00000000-0005-0000-0000-000018000000}"/>
    <cellStyle name="40 % - Markeringsfarve1 10" xfId="31181" xr:uid="{754A9B5B-DC4D-4DE6-8531-BFBAAD1BC948}"/>
    <cellStyle name="40 % - Markeringsfarve1 10 2" xfId="31182" xr:uid="{6CE5E172-69FB-401F-B210-5A02885A086C}"/>
    <cellStyle name="40 % - Markeringsfarve1 10 3" xfId="31183" xr:uid="{958D1080-4361-4489-9194-83EFC40DCD02}"/>
    <cellStyle name="40 % - Markeringsfarve1 11" xfId="31184" xr:uid="{9C8BB0C7-3547-4AA4-B3CF-4FB5C789681B}"/>
    <cellStyle name="40 % - Markeringsfarve1 11 2" xfId="31185" xr:uid="{2D087EB0-E844-4133-8F7F-A3B263C0C448}"/>
    <cellStyle name="40 % - Markeringsfarve1 12" xfId="31186" xr:uid="{4F766CBA-7889-436B-B468-C56E87152860}"/>
    <cellStyle name="40 % - Markeringsfarve1 13" xfId="17729" xr:uid="{430B612F-FB94-4738-A46B-79F28A4446C9}"/>
    <cellStyle name="40 % - Markeringsfarve1 2" xfId="1272" xr:uid="{00000000-0005-0000-0000-000019000000}"/>
    <cellStyle name="40 % - Markeringsfarve1 2 10" xfId="31187" xr:uid="{2C3E6472-68B9-41AB-8F9B-A68CA2451FEB}"/>
    <cellStyle name="40 % - Markeringsfarve1 2 11" xfId="17730" xr:uid="{909B46D3-ECA6-407D-81A5-582DA74544BE}"/>
    <cellStyle name="40 % - Markeringsfarve1 2 2" xfId="23554" xr:uid="{E938EDD8-552E-4A8C-88F0-9D95205A9D55}"/>
    <cellStyle name="40 % - Markeringsfarve1 2 2 2" xfId="23555" xr:uid="{8CBCE1B8-D570-437D-9C99-39F95F8CE793}"/>
    <cellStyle name="40 % - Markeringsfarve1 2 2 2 2" xfId="31188" xr:uid="{8936E664-42C3-4DB8-B347-96BFC3A2C0EE}"/>
    <cellStyle name="40 % - Markeringsfarve1 2 2 2 3" xfId="31189" xr:uid="{41DC6CA6-41DE-47C2-AA12-C601CB9C9935}"/>
    <cellStyle name="40 % - Markeringsfarve1 2 2 3" xfId="31190" xr:uid="{F8A0FA14-FB6E-4460-88A7-D88F383B0D49}"/>
    <cellStyle name="40 % - Markeringsfarve1 2 2 3 2" xfId="31191" xr:uid="{39FBFE5B-AB1C-4516-ADE7-9BB10AA2B3D9}"/>
    <cellStyle name="40 % - Markeringsfarve1 2 2 3 3" xfId="31192" xr:uid="{01F46432-6F33-4A54-8B94-C3105187AEC0}"/>
    <cellStyle name="40 % - Markeringsfarve1 2 2 4" xfId="31193" xr:uid="{BEC04778-8CC0-4F1E-B1DF-07EB5C4EFFC9}"/>
    <cellStyle name="40 % - Markeringsfarve1 2 2 4 2" xfId="31194" xr:uid="{69D4B903-0DDE-4483-BE55-9D99CC67CBBF}"/>
    <cellStyle name="40 % - Markeringsfarve1 2 2 4 3" xfId="31195" xr:uid="{0B4A8A4B-C1CF-4C2B-BAF3-F9F9D822F7EE}"/>
    <cellStyle name="40 % - Markeringsfarve1 2 2 5" xfId="31196" xr:uid="{39A733E0-8DA6-4028-B4C6-2242B584DD4F}"/>
    <cellStyle name="40 % - Markeringsfarve1 2 2 5 2" xfId="31197" xr:uid="{7A8F5F1A-ADDD-4B8A-9F30-D5AE55A35463}"/>
    <cellStyle name="40 % - Markeringsfarve1 2 2 5 3" xfId="31198" xr:uid="{9DB1705B-973E-4A71-B463-6967AE3E2EE9}"/>
    <cellStyle name="40 % - Markeringsfarve1 2 2 6" xfId="31199" xr:uid="{7AE9CE08-4703-47F3-B82E-F03572E501FD}"/>
    <cellStyle name="40 % - Markeringsfarve1 2 2 6 2" xfId="31200" xr:uid="{2412BB32-5D51-4E0A-9183-4495081307D4}"/>
    <cellStyle name="40 % - Markeringsfarve1 2 2 6 3" xfId="31201" xr:uid="{4761C4B5-B420-4681-BD07-415D4078C343}"/>
    <cellStyle name="40 % - Markeringsfarve1 2 2 7" xfId="31202" xr:uid="{6ED5CEF6-21C2-4D54-9F5D-7790CAFA47ED}"/>
    <cellStyle name="40 % - Markeringsfarve1 2 2 7 2" xfId="31203" xr:uid="{D64C1101-505E-4DA8-BC58-CFB85DCA60BD}"/>
    <cellStyle name="40 % - Markeringsfarve1 2 2 8" xfId="31204" xr:uid="{B150B478-0AAE-4509-B92A-6F076E67AED0}"/>
    <cellStyle name="40 % - Markeringsfarve1 2 3" xfId="23556" xr:uid="{DCFA0D44-87DC-4298-9D3F-5CBB71A01858}"/>
    <cellStyle name="40 % - Markeringsfarve1 2 3 2" xfId="23557" xr:uid="{775C4673-EE36-4EBA-8A07-C7C6088D070E}"/>
    <cellStyle name="40 % - Markeringsfarve1 2 3 2 2" xfId="31205" xr:uid="{1C3B6476-777D-4BE8-A7A6-CD941A456523}"/>
    <cellStyle name="40 % - Markeringsfarve1 2 3 2 3" xfId="31206" xr:uid="{5427FC99-A680-468A-A9BA-9B0391E1F588}"/>
    <cellStyle name="40 % - Markeringsfarve1 2 3 3" xfId="31207" xr:uid="{181FDEBA-822C-4C9C-AF9F-DE59B8FAEF50}"/>
    <cellStyle name="40 % - Markeringsfarve1 2 3 3 2" xfId="31208" xr:uid="{8E5D7DF1-2CD9-4450-9191-D21633250043}"/>
    <cellStyle name="40 % - Markeringsfarve1 2 3 3 3" xfId="31209" xr:uid="{02F6D3A2-090E-46F3-AA02-BD3FA0E3D474}"/>
    <cellStyle name="40 % - Markeringsfarve1 2 3 4" xfId="31210" xr:uid="{3A4231B8-49EE-4C1E-9159-BA5E09D79CEA}"/>
    <cellStyle name="40 % - Markeringsfarve1 2 3 4 2" xfId="31211" xr:uid="{AF91965A-EE52-40C6-871C-D7D89E5C28A9}"/>
    <cellStyle name="40 % - Markeringsfarve1 2 3 4 3" xfId="31212" xr:uid="{7C8CE79A-B2CF-4E34-AD99-C2B5B1787E87}"/>
    <cellStyle name="40 % - Markeringsfarve1 2 3 5" xfId="31213" xr:uid="{B8185520-ED0B-4BEA-8AC5-F4B58F862EEA}"/>
    <cellStyle name="40 % - Markeringsfarve1 2 3 5 2" xfId="31214" xr:uid="{544C4FAD-34EE-4903-A2CA-5B5F57EA92F7}"/>
    <cellStyle name="40 % - Markeringsfarve1 2 3 5 3" xfId="31215" xr:uid="{2DCE0B1C-3B5B-4726-9E4F-1C945EE3F38C}"/>
    <cellStyle name="40 % - Markeringsfarve1 2 3 6" xfId="31216" xr:uid="{167D6C17-5493-4609-905A-5A397656DE4D}"/>
    <cellStyle name="40 % - Markeringsfarve1 2 3 6 2" xfId="31217" xr:uid="{50364191-7ECE-46E3-8DB1-F0CBEE8E1A64}"/>
    <cellStyle name="40 % - Markeringsfarve1 2 3 6 3" xfId="31218" xr:uid="{8B4F63E2-D878-472F-ADCC-3B64C077A233}"/>
    <cellStyle name="40 % - Markeringsfarve1 2 3 7" xfId="31219" xr:uid="{61E8E132-D74C-4D27-B961-2D48A212AC97}"/>
    <cellStyle name="40 % - Markeringsfarve1 2 3 7 2" xfId="31220" xr:uid="{7D3CD01F-3D24-4F2C-B4F0-307A10BB5DAA}"/>
    <cellStyle name="40 % - Markeringsfarve1 2 3 8" xfId="31221" xr:uid="{A279D220-1B39-4945-8255-5DBBCC6B8512}"/>
    <cellStyle name="40 % - Markeringsfarve1 2 4" xfId="23558" xr:uid="{8C8B98F1-1F32-40D4-8A09-0CF7C7B9D670}"/>
    <cellStyle name="40 % - Markeringsfarve1 2 4 2" xfId="31222" xr:uid="{FE7E65AB-E630-474C-8E84-7AD95D549E30}"/>
    <cellStyle name="40 % - Markeringsfarve1 2 4 3" xfId="31223" xr:uid="{8AB4A9FE-0775-4E96-AF97-6001F3733039}"/>
    <cellStyle name="40 % - Markeringsfarve1 2 5" xfId="31224" xr:uid="{FA063C44-050F-4284-B653-466C59EF8CF9}"/>
    <cellStyle name="40 % - Markeringsfarve1 2 5 2" xfId="31225" xr:uid="{FF082F8F-8DF3-4985-B4DD-32FE774DCA52}"/>
    <cellStyle name="40 % - Markeringsfarve1 2 5 3" xfId="31226" xr:uid="{A2B8C09E-3BEE-4ED0-9597-050283C44687}"/>
    <cellStyle name="40 % - Markeringsfarve1 2 6" xfId="31227" xr:uid="{F814B800-28D9-47BB-9017-3EEE01467925}"/>
    <cellStyle name="40 % - Markeringsfarve1 2 6 2" xfId="31228" xr:uid="{5408926E-0ED1-46B1-9B6A-BC3997F8C03C}"/>
    <cellStyle name="40 % - Markeringsfarve1 2 6 3" xfId="31229" xr:uid="{99239901-63C4-4979-AE70-5B7AD23E4B8F}"/>
    <cellStyle name="40 % - Markeringsfarve1 2 7" xfId="31230" xr:uid="{52AA5351-8B5D-41A6-9DC6-BB10427275C4}"/>
    <cellStyle name="40 % - Markeringsfarve1 2 7 2" xfId="31231" xr:uid="{AAD93BCB-1C84-45EF-A87D-D1FE6D8501FD}"/>
    <cellStyle name="40 % - Markeringsfarve1 2 7 3" xfId="31232" xr:uid="{EDF51C58-5C70-4955-AF26-EE1C3E34079F}"/>
    <cellStyle name="40 % - Markeringsfarve1 2 8" xfId="31233" xr:uid="{0640854A-6C7E-45E4-B98A-46C7BAB077B8}"/>
    <cellStyle name="40 % - Markeringsfarve1 2 8 2" xfId="31234" xr:uid="{7C53F166-A09F-45C1-A06D-BF7456BAB9BE}"/>
    <cellStyle name="40 % - Markeringsfarve1 2 8 3" xfId="31235" xr:uid="{233A68E6-FCE2-4EDD-99F3-C5FB971F6165}"/>
    <cellStyle name="40 % - Markeringsfarve1 2 9" xfId="31236" xr:uid="{9CC62FDE-A8D8-43A2-ADB8-BFCF1964F97E}"/>
    <cellStyle name="40 % - Markeringsfarve1 2 9 2" xfId="31237" xr:uid="{F1E66E8B-DD40-4875-B867-033B57E5E2D3}"/>
    <cellStyle name="40 % - Markeringsfarve1 3" xfId="2591" xr:uid="{F1D287DE-09C5-4118-AEA0-C4812786FA53}"/>
    <cellStyle name="40 % - Markeringsfarve1 3 10" xfId="31238" xr:uid="{B727EB35-34BD-4477-ABF8-A43DD0A0D8DA}"/>
    <cellStyle name="40 % - Markeringsfarve1 3 2" xfId="23559" xr:uid="{B2ACC7B2-B4E1-4827-A9D7-0856DC67CD45}"/>
    <cellStyle name="40 % - Markeringsfarve1 3 2 2" xfId="31239" xr:uid="{BBA9956B-77B7-4AB3-A613-0D969248F788}"/>
    <cellStyle name="40 % - Markeringsfarve1 3 2 2 2" xfId="31240" xr:uid="{EAD1D8DF-11AD-44B1-A673-B5FFC8A2374A}"/>
    <cellStyle name="40 % - Markeringsfarve1 3 2 2 3" xfId="31241" xr:uid="{05D2E921-2402-4086-AA1D-788F8E63D470}"/>
    <cellStyle name="40 % - Markeringsfarve1 3 2 3" xfId="31242" xr:uid="{CF29AC69-D944-4FAC-A457-E25C8A08535D}"/>
    <cellStyle name="40 % - Markeringsfarve1 3 2 3 2" xfId="31243" xr:uid="{D468BC0E-B401-45B2-BBB2-3A9BBEFA9122}"/>
    <cellStyle name="40 % - Markeringsfarve1 3 2 3 3" xfId="31244" xr:uid="{67BB5A27-9206-4C10-8A20-E331F3D9D9AE}"/>
    <cellStyle name="40 % - Markeringsfarve1 3 2 4" xfId="31245" xr:uid="{C4C57367-55C4-4928-A6A8-7A666A1B8621}"/>
    <cellStyle name="40 % - Markeringsfarve1 3 2 4 2" xfId="31246" xr:uid="{49DDE76C-9707-4F40-874E-17CA0AED762C}"/>
    <cellStyle name="40 % - Markeringsfarve1 3 2 4 3" xfId="31247" xr:uid="{9E64C787-A7D1-49DE-816E-68BDCD83D08F}"/>
    <cellStyle name="40 % - Markeringsfarve1 3 2 5" xfId="31248" xr:uid="{1814AC1A-ACD8-45E1-859D-FF17AF055854}"/>
    <cellStyle name="40 % - Markeringsfarve1 3 2 5 2" xfId="31249" xr:uid="{64ED8D6A-2EF6-46C5-91AC-11B3B17ED5B6}"/>
    <cellStyle name="40 % - Markeringsfarve1 3 2 5 3" xfId="31250" xr:uid="{F4DDD204-4D9D-47A8-9448-B8F1B5368C35}"/>
    <cellStyle name="40 % - Markeringsfarve1 3 2 6" xfId="31251" xr:uid="{30026527-E287-481F-9A01-030CD92ABD91}"/>
    <cellStyle name="40 % - Markeringsfarve1 3 2 6 2" xfId="31252" xr:uid="{BE43E6CE-6BA3-4012-BFD5-F7A5DE4EBF22}"/>
    <cellStyle name="40 % - Markeringsfarve1 3 2 6 3" xfId="31253" xr:uid="{0B120881-71CE-4603-823F-6075143E470C}"/>
    <cellStyle name="40 % - Markeringsfarve1 3 2 7" xfId="31254" xr:uid="{9B481735-3A88-407C-927A-D83815BB3716}"/>
    <cellStyle name="40 % - Markeringsfarve1 3 2 7 2" xfId="31255" xr:uid="{7E06EDE6-3361-4F5C-9841-5D69AD435D16}"/>
    <cellStyle name="40 % - Markeringsfarve1 3 2 8" xfId="31256" xr:uid="{EAB03D78-BA67-47C4-A3EB-200185ACE509}"/>
    <cellStyle name="40 % - Markeringsfarve1 3 3" xfId="31257" xr:uid="{6672053F-5089-4EE3-8061-49E9DAA73E41}"/>
    <cellStyle name="40 % - Markeringsfarve1 3 3 2" xfId="31258" xr:uid="{A94059A8-E62E-41D8-91C4-54444174CAE9}"/>
    <cellStyle name="40 % - Markeringsfarve1 3 3 2 2" xfId="31259" xr:uid="{A6307EF9-C734-4B8F-89AD-C5E94FF4DB4C}"/>
    <cellStyle name="40 % - Markeringsfarve1 3 3 2 3" xfId="31260" xr:uid="{D4224E4D-670F-4FB1-ACC7-2CDD295B439E}"/>
    <cellStyle name="40 % - Markeringsfarve1 3 3 3" xfId="31261" xr:uid="{4AD39D84-BCD5-400F-AF3E-460F54A636C8}"/>
    <cellStyle name="40 % - Markeringsfarve1 3 3 3 2" xfId="31262" xr:uid="{D2E8AA7F-84E2-4476-A92D-82968D4006E2}"/>
    <cellStyle name="40 % - Markeringsfarve1 3 3 3 3" xfId="31263" xr:uid="{0714A3C3-8C29-4A51-A979-8E64E71ADBF9}"/>
    <cellStyle name="40 % - Markeringsfarve1 3 3 4" xfId="31264" xr:uid="{BB706464-5C6B-42EC-9E44-1AC0D38E1D06}"/>
    <cellStyle name="40 % - Markeringsfarve1 3 3 4 2" xfId="31265" xr:uid="{0E59D3C9-169C-4EF4-A4A8-8AB165D9B509}"/>
    <cellStyle name="40 % - Markeringsfarve1 3 3 4 3" xfId="31266" xr:uid="{D09D64D3-AC09-4709-9409-6D66292AA0DA}"/>
    <cellStyle name="40 % - Markeringsfarve1 3 3 5" xfId="31267" xr:uid="{0D5FEC0E-3614-4970-9D09-8958802B3202}"/>
    <cellStyle name="40 % - Markeringsfarve1 3 3 5 2" xfId="31268" xr:uid="{A9611006-5746-46E9-A8FE-D22B09B46E7F}"/>
    <cellStyle name="40 % - Markeringsfarve1 3 3 5 3" xfId="31269" xr:uid="{C7221DD8-C567-45F2-B1BF-D352A6DEE1C1}"/>
    <cellStyle name="40 % - Markeringsfarve1 3 3 6" xfId="31270" xr:uid="{953DC9E1-C23B-4359-95D1-D752FFC35DC4}"/>
    <cellStyle name="40 % - Markeringsfarve1 3 3 6 2" xfId="31271" xr:uid="{72E755FA-195B-4A9A-BA1F-24E3C134561F}"/>
    <cellStyle name="40 % - Markeringsfarve1 3 3 6 3" xfId="31272" xr:uid="{DA5394D4-C76D-448F-97B5-716C95237374}"/>
    <cellStyle name="40 % - Markeringsfarve1 3 3 7" xfId="31273" xr:uid="{8C2418A0-92FD-4580-AD6B-8F32F22BDDBA}"/>
    <cellStyle name="40 % - Markeringsfarve1 3 3 7 2" xfId="31274" xr:uid="{D6142766-3810-4C52-898D-A39D94544C63}"/>
    <cellStyle name="40 % - Markeringsfarve1 3 3 8" xfId="31275" xr:uid="{344565BC-76D6-46CD-B4D5-F3A3F5B3816E}"/>
    <cellStyle name="40 % - Markeringsfarve1 3 4" xfId="31276" xr:uid="{3BB28A5C-94F3-4CA6-B4E0-183A0E3A0BF8}"/>
    <cellStyle name="40 % - Markeringsfarve1 3 4 2" xfId="31277" xr:uid="{07449BEC-2FB9-4D49-8FB1-89BEC9F7B1EE}"/>
    <cellStyle name="40 % - Markeringsfarve1 3 4 3" xfId="31278" xr:uid="{6D3A8D18-6548-4428-9C77-93C29DC1938D}"/>
    <cellStyle name="40 % - Markeringsfarve1 3 5" xfId="31279" xr:uid="{D0F92088-74BF-41F0-9636-0216E82F12A2}"/>
    <cellStyle name="40 % - Markeringsfarve1 3 5 2" xfId="31280" xr:uid="{E3BCB28B-F0BC-42A9-A4ED-8FC53E91B45E}"/>
    <cellStyle name="40 % - Markeringsfarve1 3 5 3" xfId="31281" xr:uid="{39991177-3F3F-4AED-9A5B-C6BB322929EB}"/>
    <cellStyle name="40 % - Markeringsfarve1 3 6" xfId="31282" xr:uid="{BA48508B-D940-45BC-8D34-AA20226F527C}"/>
    <cellStyle name="40 % - Markeringsfarve1 3 6 2" xfId="31283" xr:uid="{1E718622-2523-4D0A-990C-F0323700F783}"/>
    <cellStyle name="40 % - Markeringsfarve1 3 6 3" xfId="31284" xr:uid="{BF29723F-11D5-467B-B532-B64A63A9EBFA}"/>
    <cellStyle name="40 % - Markeringsfarve1 3 7" xfId="31285" xr:uid="{0D684484-53A4-4398-98D1-62CF7D4E8C14}"/>
    <cellStyle name="40 % - Markeringsfarve1 3 7 2" xfId="31286" xr:uid="{26680639-6D96-411C-9D1B-73ACA82B3AF2}"/>
    <cellStyle name="40 % - Markeringsfarve1 3 7 3" xfId="31287" xr:uid="{307C0BB8-C7D2-4A05-BACE-0A5C435CAB23}"/>
    <cellStyle name="40 % - Markeringsfarve1 3 8" xfId="31288" xr:uid="{457AB07D-B00F-40CA-B41C-23FE7CD8F632}"/>
    <cellStyle name="40 % - Markeringsfarve1 3 8 2" xfId="31289" xr:uid="{3E9380CA-6F30-429A-B5E8-414055392C26}"/>
    <cellStyle name="40 % - Markeringsfarve1 3 8 3" xfId="31290" xr:uid="{71F6C1A4-7273-489E-8A47-4104D8488DD8}"/>
    <cellStyle name="40 % - Markeringsfarve1 3 9" xfId="31291" xr:uid="{2CE17BFD-7CEA-42E3-8AF6-169BD3C9E550}"/>
    <cellStyle name="40 % - Markeringsfarve1 3 9 2" xfId="31292" xr:uid="{6C926A71-AAEA-473D-B693-704D60A328B9}"/>
    <cellStyle name="40 % - Markeringsfarve1 4" xfId="23560" xr:uid="{2173E19B-936C-4058-A3F1-4A40AC489D86}"/>
    <cellStyle name="40 % - Markeringsfarve1 4 2" xfId="23561" xr:uid="{89C9F172-8089-46C9-8BE6-33A518089120}"/>
    <cellStyle name="40 % - Markeringsfarve1 4 2 2" xfId="31293" xr:uid="{42910B5C-C7A1-472F-B12D-EA921B7FB29E}"/>
    <cellStyle name="40 % - Markeringsfarve1 4 2 3" xfId="31294" xr:uid="{9E4916C4-20DC-44C4-869A-71623B0DA798}"/>
    <cellStyle name="40 % - Markeringsfarve1 4 3" xfId="31295" xr:uid="{2EFAC741-4077-479F-B52C-4977C9A57FE2}"/>
    <cellStyle name="40 % - Markeringsfarve1 4 3 2" xfId="31296" xr:uid="{5D6545F1-E8A1-40B6-8991-A7296A837FAD}"/>
    <cellStyle name="40 % - Markeringsfarve1 4 3 3" xfId="31297" xr:uid="{4B7FE20C-9A3F-4169-BD44-F0DFD0BB619A}"/>
    <cellStyle name="40 % - Markeringsfarve1 4 4" xfId="31298" xr:uid="{250298AB-6898-48D3-B898-8A3FF06BF2F4}"/>
    <cellStyle name="40 % - Markeringsfarve1 4 4 2" xfId="31299" xr:uid="{2AAFABC3-1BC6-4695-AE38-A908FF4121A1}"/>
    <cellStyle name="40 % - Markeringsfarve1 4 4 3" xfId="31300" xr:uid="{D79815C3-A96A-4AD8-9D63-B978FEF5E506}"/>
    <cellStyle name="40 % - Markeringsfarve1 4 5" xfId="31301" xr:uid="{D1D0386A-5321-416E-831B-1BC8CE945AFA}"/>
    <cellStyle name="40 % - Markeringsfarve1 4 5 2" xfId="31302" xr:uid="{89E6D132-3A17-4D34-9FEE-5B7D33C38B5C}"/>
    <cellStyle name="40 % - Markeringsfarve1 4 5 3" xfId="31303" xr:uid="{6AC1557C-95C6-40FA-9CDE-2BBCEC188322}"/>
    <cellStyle name="40 % - Markeringsfarve1 4 6" xfId="31304" xr:uid="{D067BF8F-2CA2-4851-AB72-D6802FAF17F0}"/>
    <cellStyle name="40 % - Markeringsfarve1 4 6 2" xfId="31305" xr:uid="{8197B634-905E-4E42-A89C-18ADE104E70A}"/>
    <cellStyle name="40 % - Markeringsfarve1 4 6 3" xfId="31306" xr:uid="{412C7245-8CF6-43DC-B176-FE9C4A18FF1C}"/>
    <cellStyle name="40 % - Markeringsfarve1 4 7" xfId="31307" xr:uid="{6840B232-535A-4F1E-A24C-972D7D5F04AD}"/>
    <cellStyle name="40 % - Markeringsfarve1 4 7 2" xfId="31308" xr:uid="{25953460-81A5-4E99-8BF6-ABF77833F6F0}"/>
    <cellStyle name="40 % - Markeringsfarve1 4 8" xfId="31309" xr:uid="{44B620ED-E94F-4A7E-90FC-642853FF1CA3}"/>
    <cellStyle name="40 % - Markeringsfarve1 5" xfId="23562" xr:uid="{10B2D19E-ABA2-4906-AB51-A4D5A23918A6}"/>
    <cellStyle name="40 % - Markeringsfarve1 5 2" xfId="23563" xr:uid="{C8996C41-2251-4F82-AA2D-154FA5CE5A41}"/>
    <cellStyle name="40 % - Markeringsfarve1 5 2 2" xfId="31310" xr:uid="{6D3E5041-15D8-4B77-B954-087C768A9A0E}"/>
    <cellStyle name="40 % - Markeringsfarve1 5 2 3" xfId="31311" xr:uid="{DD2EF52C-8D13-4C05-884D-2016336AAC2D}"/>
    <cellStyle name="40 % - Markeringsfarve1 5 3" xfId="31312" xr:uid="{16589480-32EB-47F9-AF75-643747B63180}"/>
    <cellStyle name="40 % - Markeringsfarve1 5 3 2" xfId="31313" xr:uid="{E2EA57D7-1926-4787-9D58-3C6BF055CFD6}"/>
    <cellStyle name="40 % - Markeringsfarve1 5 3 3" xfId="31314" xr:uid="{4E32FF56-4082-4951-8749-6EDF26CBAF36}"/>
    <cellStyle name="40 % - Markeringsfarve1 5 4" xfId="31315" xr:uid="{6B006EF8-C8FD-4EB8-A898-A9EEDEE1FACA}"/>
    <cellStyle name="40 % - Markeringsfarve1 5 4 2" xfId="31316" xr:uid="{A6F591C2-8474-4AB5-8855-13D832D7CF40}"/>
    <cellStyle name="40 % - Markeringsfarve1 5 4 3" xfId="31317" xr:uid="{4A830092-BCC9-4DD7-9FB8-78DA12F7DC67}"/>
    <cellStyle name="40 % - Markeringsfarve1 5 5" xfId="31318" xr:uid="{F60F8A7B-B0D5-4F4D-AC1D-0D698A1EFAD2}"/>
    <cellStyle name="40 % - Markeringsfarve1 5 5 2" xfId="31319" xr:uid="{8C9DC8D5-0F7B-4EF2-8BEC-F8E8A527B104}"/>
    <cellStyle name="40 % - Markeringsfarve1 5 5 3" xfId="31320" xr:uid="{F2F252D3-4B48-49B0-B8E0-B05D47AC887D}"/>
    <cellStyle name="40 % - Markeringsfarve1 5 6" xfId="31321" xr:uid="{4126B669-CF82-43EF-BC0B-5E9A3C0A96D1}"/>
    <cellStyle name="40 % - Markeringsfarve1 5 6 2" xfId="31322" xr:uid="{DB19BDDC-5556-4A1D-8B49-6E60F12AABF3}"/>
    <cellStyle name="40 % - Markeringsfarve1 5 6 3" xfId="31323" xr:uid="{61FE6E7B-CF5B-4608-9040-51DE3A657E2A}"/>
    <cellStyle name="40 % - Markeringsfarve1 5 7" xfId="31324" xr:uid="{967A44FB-ED1F-4B65-8335-FEB18A362C68}"/>
    <cellStyle name="40 % - Markeringsfarve1 5 7 2" xfId="31325" xr:uid="{0BCB15D6-BC4B-4FC2-9B78-439806B15E50}"/>
    <cellStyle name="40 % - Markeringsfarve1 5 8" xfId="31326" xr:uid="{81965027-3EFC-42FB-BF8C-E3526F45D43B}"/>
    <cellStyle name="40 % - Markeringsfarve1 6" xfId="23564" xr:uid="{6D2ABF1F-5552-4478-AF0B-C3C124E58037}"/>
    <cellStyle name="40 % - Markeringsfarve1 6 2" xfId="23565" xr:uid="{E332AB53-1BB4-4059-99D7-532A2EFA1B30}"/>
    <cellStyle name="40 % - Markeringsfarve1 6 3" xfId="31327" xr:uid="{E1C4E005-3706-47A9-B8C5-8BBA0E4BA836}"/>
    <cellStyle name="40 % - Markeringsfarve1 7" xfId="23566" xr:uid="{F2178E5E-2FB9-446E-86B1-D6AFB055BEC2}"/>
    <cellStyle name="40 % - Markeringsfarve1 7 2" xfId="31328" xr:uid="{3892E2F9-BAB3-4D91-A73D-69D876C44BD3}"/>
    <cellStyle name="40 % - Markeringsfarve1 7 3" xfId="31329" xr:uid="{E12BC252-3EEC-4764-8744-49DF5ACCC37D}"/>
    <cellStyle name="40 % - Markeringsfarve1 8" xfId="31330" xr:uid="{E504C238-99E3-4412-B844-E261887C185E}"/>
    <cellStyle name="40 % - Markeringsfarve1 8 2" xfId="31331" xr:uid="{4F5D58E5-C50A-4933-B06C-5F2499E3036B}"/>
    <cellStyle name="40 % - Markeringsfarve1 8 3" xfId="31332" xr:uid="{C6C73769-DCB4-49FB-9C9B-1F3629464FBF}"/>
    <cellStyle name="40 % - Markeringsfarve1 9" xfId="31333" xr:uid="{F8F74EBA-2374-46DA-BA9D-0A6C7EEB0791}"/>
    <cellStyle name="40 % - Markeringsfarve1 9 2" xfId="31334" xr:uid="{6DDBBB6F-EDC6-46E8-B3EA-4FDF387E5267}"/>
    <cellStyle name="40 % - Markeringsfarve1 9 3" xfId="31335" xr:uid="{8BC0FD0C-6762-4CA1-A7C4-102E1E313817}"/>
    <cellStyle name="40 % - Markeringsfarve2" xfId="1273" xr:uid="{00000000-0005-0000-0000-00001A000000}"/>
    <cellStyle name="40 % - Markeringsfarve2 10" xfId="31336" xr:uid="{4DED7AFA-D610-48AF-B07F-7915EE190ABE}"/>
    <cellStyle name="40 % - Markeringsfarve2 10 2" xfId="31337" xr:uid="{660B71C8-2EB9-4C8A-A928-B9298EBD3E67}"/>
    <cellStyle name="40 % - Markeringsfarve2 10 3" xfId="31338" xr:uid="{929CC669-C37D-4FC0-82D3-ED9CF9BD3FD2}"/>
    <cellStyle name="40 % - Markeringsfarve2 11" xfId="31339" xr:uid="{D565961F-FED2-41C5-BC77-0DC9C4291056}"/>
    <cellStyle name="40 % - Markeringsfarve2 11 2" xfId="31340" xr:uid="{5BE68803-2E45-4501-BBD3-DCEE9D03B6A4}"/>
    <cellStyle name="40 % - Markeringsfarve2 12" xfId="31341" xr:uid="{CBCA8456-989C-4681-BBC8-B50702BD7E0C}"/>
    <cellStyle name="40 % - Markeringsfarve2 13" xfId="17731" xr:uid="{8D5B3B87-2FD9-456A-B8CB-1848FC2472D4}"/>
    <cellStyle name="40 % - Markeringsfarve2 2" xfId="1274" xr:uid="{00000000-0005-0000-0000-00001B000000}"/>
    <cellStyle name="40 % - Markeringsfarve2 2 10" xfId="31342" xr:uid="{68FFC557-93E8-4FBA-98F0-A5FF913ECAC4}"/>
    <cellStyle name="40 % - Markeringsfarve2 2 11" xfId="17732" xr:uid="{D164C4B4-34CE-4B5C-B75E-474948711B14}"/>
    <cellStyle name="40 % - Markeringsfarve2 2 2" xfId="23567" xr:uid="{42C07D6F-176B-4AA7-9F79-89AE33BD6E81}"/>
    <cellStyle name="40 % - Markeringsfarve2 2 2 2" xfId="23568" xr:uid="{18441E0D-CD22-488D-B807-31D582BC193C}"/>
    <cellStyle name="40 % - Markeringsfarve2 2 2 2 2" xfId="31343" xr:uid="{2F040F8A-9E8B-4AC3-A366-DBB7939AC070}"/>
    <cellStyle name="40 % - Markeringsfarve2 2 2 2 3" xfId="31344" xr:uid="{F950EAA8-B8C1-4331-9483-8B73068A8EDC}"/>
    <cellStyle name="40 % - Markeringsfarve2 2 2 3" xfId="31345" xr:uid="{1F473F59-0BBD-4CAF-A69D-1EAA8BC37161}"/>
    <cellStyle name="40 % - Markeringsfarve2 2 2 3 2" xfId="31346" xr:uid="{D49152F8-CB8C-4104-A8D4-75125E87071C}"/>
    <cellStyle name="40 % - Markeringsfarve2 2 2 3 3" xfId="31347" xr:uid="{954B7B35-6C8C-41AC-B259-CB0CA6C0368C}"/>
    <cellStyle name="40 % - Markeringsfarve2 2 2 4" xfId="31348" xr:uid="{93262038-B52D-40E2-BC3B-315EDC75CC21}"/>
    <cellStyle name="40 % - Markeringsfarve2 2 2 4 2" xfId="31349" xr:uid="{C2415E53-2383-43FC-878C-1301436D2521}"/>
    <cellStyle name="40 % - Markeringsfarve2 2 2 4 3" xfId="31350" xr:uid="{C5B01F66-9577-413C-A6C6-11E602C144D1}"/>
    <cellStyle name="40 % - Markeringsfarve2 2 2 5" xfId="31351" xr:uid="{B2CC60B6-8A35-447B-9735-4D4BDEC6661A}"/>
    <cellStyle name="40 % - Markeringsfarve2 2 2 5 2" xfId="31352" xr:uid="{DF1496C1-266B-4749-B18F-A1C0FBD17DAA}"/>
    <cellStyle name="40 % - Markeringsfarve2 2 2 5 3" xfId="31353" xr:uid="{D03EDE31-5943-42D8-9162-7FE0C9062C57}"/>
    <cellStyle name="40 % - Markeringsfarve2 2 2 6" xfId="31354" xr:uid="{3093355E-2A01-442C-8AC9-F29C45CDDC52}"/>
    <cellStyle name="40 % - Markeringsfarve2 2 2 6 2" xfId="31355" xr:uid="{251CEE27-B703-4584-9A84-B189A912C2B7}"/>
    <cellStyle name="40 % - Markeringsfarve2 2 2 6 3" xfId="31356" xr:uid="{297EFF1A-59C9-4511-9754-F45A7F42616C}"/>
    <cellStyle name="40 % - Markeringsfarve2 2 2 7" xfId="31357" xr:uid="{23EEFBFE-F7F8-4657-8EA5-7CC9F6601B5E}"/>
    <cellStyle name="40 % - Markeringsfarve2 2 2 7 2" xfId="31358" xr:uid="{6B6C595B-39EE-4808-8296-7C00E9A5893C}"/>
    <cellStyle name="40 % - Markeringsfarve2 2 2 8" xfId="31359" xr:uid="{618A1C44-AD82-46FD-8DCF-0E0D50EE8028}"/>
    <cellStyle name="40 % - Markeringsfarve2 2 3" xfId="23569" xr:uid="{A55D2A89-42FD-4E68-8A77-A826AAFB5EF8}"/>
    <cellStyle name="40 % - Markeringsfarve2 2 3 2" xfId="23570" xr:uid="{C4E57587-7917-48D8-8A99-206C3C91B467}"/>
    <cellStyle name="40 % - Markeringsfarve2 2 3 2 2" xfId="31360" xr:uid="{74BE3748-EA8E-4F5A-9FBC-85AAFC7EE9EF}"/>
    <cellStyle name="40 % - Markeringsfarve2 2 3 2 3" xfId="31361" xr:uid="{0B6446D0-7D77-4F5A-A824-36E6CDA2D181}"/>
    <cellStyle name="40 % - Markeringsfarve2 2 3 3" xfId="31362" xr:uid="{9FA2119E-9943-4DE6-8B5D-3D5C157DA9BE}"/>
    <cellStyle name="40 % - Markeringsfarve2 2 3 3 2" xfId="31363" xr:uid="{A598CE34-E017-483C-A275-520430C7CDC1}"/>
    <cellStyle name="40 % - Markeringsfarve2 2 3 3 3" xfId="31364" xr:uid="{2428A835-5B3A-487B-9940-FA21B9D504A8}"/>
    <cellStyle name="40 % - Markeringsfarve2 2 3 4" xfId="31365" xr:uid="{FB23E754-A7F6-4D2C-9870-A931F50DC6FB}"/>
    <cellStyle name="40 % - Markeringsfarve2 2 3 4 2" xfId="31366" xr:uid="{FAE1577E-009E-40B0-A2F3-7BB6A8E562D9}"/>
    <cellStyle name="40 % - Markeringsfarve2 2 3 4 3" xfId="31367" xr:uid="{C3F64F9C-9411-4D2E-9229-EBEA06FE9AAA}"/>
    <cellStyle name="40 % - Markeringsfarve2 2 3 5" xfId="31368" xr:uid="{A770E128-FACE-4CA9-90DD-5147D89F682A}"/>
    <cellStyle name="40 % - Markeringsfarve2 2 3 5 2" xfId="31369" xr:uid="{77B1A02D-4997-45C9-B225-66A89DF74B73}"/>
    <cellStyle name="40 % - Markeringsfarve2 2 3 5 3" xfId="31370" xr:uid="{3176ECA7-31FB-4A8A-954C-2A27BD53F717}"/>
    <cellStyle name="40 % - Markeringsfarve2 2 3 6" xfId="31371" xr:uid="{75CD085E-DDC2-4D1D-A407-8F5349F084AA}"/>
    <cellStyle name="40 % - Markeringsfarve2 2 3 6 2" xfId="31372" xr:uid="{A72DFB5D-9C36-4CCA-B6FA-154A7D27EF02}"/>
    <cellStyle name="40 % - Markeringsfarve2 2 3 6 3" xfId="31373" xr:uid="{466113D1-A546-463B-8A7A-9351E891B498}"/>
    <cellStyle name="40 % - Markeringsfarve2 2 3 7" xfId="31374" xr:uid="{7B329BB0-D781-4E43-A322-80CDBA14B4A0}"/>
    <cellStyle name="40 % - Markeringsfarve2 2 3 7 2" xfId="31375" xr:uid="{33C3779A-6E9D-4937-8DBB-A44125A9AB5D}"/>
    <cellStyle name="40 % - Markeringsfarve2 2 3 8" xfId="31376" xr:uid="{2BCA0647-EB7C-4F67-A646-00B6B62B5625}"/>
    <cellStyle name="40 % - Markeringsfarve2 2 4" xfId="23571" xr:uid="{5400E6FA-F143-4D3B-900A-E2574859712A}"/>
    <cellStyle name="40 % - Markeringsfarve2 2 4 2" xfId="31377" xr:uid="{FEDBCE1C-EFCE-4500-A551-4D1D4698B78B}"/>
    <cellStyle name="40 % - Markeringsfarve2 2 4 3" xfId="31378" xr:uid="{BA76E42A-79EE-4127-B279-696B63222179}"/>
    <cellStyle name="40 % - Markeringsfarve2 2 5" xfId="31379" xr:uid="{B8D8BE9A-4250-4AF4-B797-C3E3685D0AEB}"/>
    <cellStyle name="40 % - Markeringsfarve2 2 5 2" xfId="31380" xr:uid="{3AE0B5D4-141A-4C57-9A07-59A065B47F66}"/>
    <cellStyle name="40 % - Markeringsfarve2 2 5 3" xfId="31381" xr:uid="{9492A1B9-D5B6-418A-A2DB-733B9C665684}"/>
    <cellStyle name="40 % - Markeringsfarve2 2 6" xfId="31382" xr:uid="{6265EE46-8E2B-4A4F-940B-1EC5CBAE3AB8}"/>
    <cellStyle name="40 % - Markeringsfarve2 2 6 2" xfId="31383" xr:uid="{BB5F4EE9-5ED8-4F66-B7E2-F8EA32F50D7D}"/>
    <cellStyle name="40 % - Markeringsfarve2 2 6 3" xfId="31384" xr:uid="{DD979DDE-E194-462D-A729-1DF8840AA6C9}"/>
    <cellStyle name="40 % - Markeringsfarve2 2 7" xfId="31385" xr:uid="{96E3CB3C-368D-4AA6-B1FD-998ED57602CE}"/>
    <cellStyle name="40 % - Markeringsfarve2 2 7 2" xfId="31386" xr:uid="{7ECAF6AF-C72A-4210-88FE-C9874B4CE1EA}"/>
    <cellStyle name="40 % - Markeringsfarve2 2 7 3" xfId="31387" xr:uid="{FCDED0CE-4AB3-466A-A8D3-76E7DED83C0C}"/>
    <cellStyle name="40 % - Markeringsfarve2 2 8" xfId="31388" xr:uid="{23846CD6-C602-41A8-96B8-BC6A4BE8A755}"/>
    <cellStyle name="40 % - Markeringsfarve2 2 8 2" xfId="31389" xr:uid="{2F4892ED-7880-459B-A43C-BDF3229D46E9}"/>
    <cellStyle name="40 % - Markeringsfarve2 2 8 3" xfId="31390" xr:uid="{E15603DB-FFD0-45C8-B7F1-61F1E80BF12D}"/>
    <cellStyle name="40 % - Markeringsfarve2 2 9" xfId="31391" xr:uid="{C9F07979-5900-47D8-A48C-72C3F872261E}"/>
    <cellStyle name="40 % - Markeringsfarve2 2 9 2" xfId="31392" xr:uid="{94D3F74D-CED6-42FC-88D3-4A2D731CDA1D}"/>
    <cellStyle name="40 % - Markeringsfarve2 3" xfId="2592" xr:uid="{CB06E381-6186-464D-BFF6-591602C798FB}"/>
    <cellStyle name="40 % - Markeringsfarve2 3 10" xfId="31393" xr:uid="{FE3CD0EC-D6FC-4FE1-B9B8-23CA475D7D3D}"/>
    <cellStyle name="40 % - Markeringsfarve2 3 2" xfId="23572" xr:uid="{C2C132AD-65E3-4866-A098-82B2784DFF2D}"/>
    <cellStyle name="40 % - Markeringsfarve2 3 2 2" xfId="31394" xr:uid="{10FDFF0B-73F9-4647-AA46-D732E2C4FCA5}"/>
    <cellStyle name="40 % - Markeringsfarve2 3 2 2 2" xfId="31395" xr:uid="{D0C6BFFA-0C0A-40E4-95E8-8016F6CBC81A}"/>
    <cellStyle name="40 % - Markeringsfarve2 3 2 2 3" xfId="31396" xr:uid="{CFFA175D-760B-4036-8154-70A2109545C5}"/>
    <cellStyle name="40 % - Markeringsfarve2 3 2 3" xfId="31397" xr:uid="{F2A89D4A-F17E-4797-858C-DEB2223AF287}"/>
    <cellStyle name="40 % - Markeringsfarve2 3 2 3 2" xfId="31398" xr:uid="{A00106EE-18E7-4AFF-BA9C-9BDBFD55E6D7}"/>
    <cellStyle name="40 % - Markeringsfarve2 3 2 3 3" xfId="31399" xr:uid="{7C02A6E7-69E7-437E-BA3C-043CDC5B4036}"/>
    <cellStyle name="40 % - Markeringsfarve2 3 2 4" xfId="31400" xr:uid="{95E8D49A-1D33-4F26-9D74-5180D9BB8034}"/>
    <cellStyle name="40 % - Markeringsfarve2 3 2 4 2" xfId="31401" xr:uid="{C4E386C0-9FA9-4CC1-9980-8DE0F897E72A}"/>
    <cellStyle name="40 % - Markeringsfarve2 3 2 4 3" xfId="31402" xr:uid="{41247D88-C644-4863-8431-084A694CDDB4}"/>
    <cellStyle name="40 % - Markeringsfarve2 3 2 5" xfId="31403" xr:uid="{A715E420-91DE-4EB7-B8A0-050302DB3FCB}"/>
    <cellStyle name="40 % - Markeringsfarve2 3 2 5 2" xfId="31404" xr:uid="{69A23B63-14C9-440A-AC1C-473D3CC30B43}"/>
    <cellStyle name="40 % - Markeringsfarve2 3 2 5 3" xfId="31405" xr:uid="{00BDF2C8-FB80-4754-9D3B-8FFD98B9A205}"/>
    <cellStyle name="40 % - Markeringsfarve2 3 2 6" xfId="31406" xr:uid="{ED9C6843-2272-4B24-A615-E4CF8A9D2677}"/>
    <cellStyle name="40 % - Markeringsfarve2 3 2 6 2" xfId="31407" xr:uid="{5F007FBD-0153-4E81-92DB-4A96713A257A}"/>
    <cellStyle name="40 % - Markeringsfarve2 3 2 6 3" xfId="31408" xr:uid="{8DAA9B7B-B63D-4A20-9F7D-79E246D1D4BC}"/>
    <cellStyle name="40 % - Markeringsfarve2 3 2 7" xfId="31409" xr:uid="{DDFC3ADA-1565-42B9-AF08-C3F07F9F8D19}"/>
    <cellStyle name="40 % - Markeringsfarve2 3 2 7 2" xfId="31410" xr:uid="{6A8917E8-BEF9-49BB-B42E-4CD71D74AC21}"/>
    <cellStyle name="40 % - Markeringsfarve2 3 2 8" xfId="31411" xr:uid="{6FC6C96D-0C5E-4A3D-BC4F-5FB211A85D80}"/>
    <cellStyle name="40 % - Markeringsfarve2 3 3" xfId="31412" xr:uid="{30D59D08-355E-4679-80F6-998724A6AB39}"/>
    <cellStyle name="40 % - Markeringsfarve2 3 3 2" xfId="31413" xr:uid="{D98F6708-7D7D-4337-A7D0-F5B66E440683}"/>
    <cellStyle name="40 % - Markeringsfarve2 3 3 2 2" xfId="31414" xr:uid="{EC314F44-B9E3-4023-B6CC-32AE9309EDA4}"/>
    <cellStyle name="40 % - Markeringsfarve2 3 3 2 3" xfId="31415" xr:uid="{86D39835-353D-41ED-821A-3DCE4785951D}"/>
    <cellStyle name="40 % - Markeringsfarve2 3 3 3" xfId="31416" xr:uid="{5FB52202-9A21-4BA8-B171-C9FF21327DE8}"/>
    <cellStyle name="40 % - Markeringsfarve2 3 3 3 2" xfId="31417" xr:uid="{F299B295-E993-425B-84A1-F8534DD80B01}"/>
    <cellStyle name="40 % - Markeringsfarve2 3 3 3 3" xfId="31418" xr:uid="{B762BDCC-C8E8-423D-8B04-D32126920AE0}"/>
    <cellStyle name="40 % - Markeringsfarve2 3 3 4" xfId="31419" xr:uid="{3BC3A8F8-0E51-4784-89A8-EE4251869DBF}"/>
    <cellStyle name="40 % - Markeringsfarve2 3 3 4 2" xfId="31420" xr:uid="{8993577E-DF96-4639-AA46-A03974614A67}"/>
    <cellStyle name="40 % - Markeringsfarve2 3 3 4 3" xfId="31421" xr:uid="{E37A9F83-7341-4FCB-ADC7-55CB5970845C}"/>
    <cellStyle name="40 % - Markeringsfarve2 3 3 5" xfId="31422" xr:uid="{37DB1229-7F77-457B-82EF-4065C9ECA3ED}"/>
    <cellStyle name="40 % - Markeringsfarve2 3 3 5 2" xfId="31423" xr:uid="{1BB06576-AD3A-4560-9325-3112FE54FE86}"/>
    <cellStyle name="40 % - Markeringsfarve2 3 3 5 3" xfId="31424" xr:uid="{968B6649-DDCC-47D2-B38E-1C34DD1382BA}"/>
    <cellStyle name="40 % - Markeringsfarve2 3 3 6" xfId="31425" xr:uid="{45514989-6FF1-452F-9141-C8F409BAB7A9}"/>
    <cellStyle name="40 % - Markeringsfarve2 3 3 6 2" xfId="31426" xr:uid="{0B1700D4-373A-4601-931F-218B296FB69A}"/>
    <cellStyle name="40 % - Markeringsfarve2 3 3 6 3" xfId="31427" xr:uid="{57A45972-C9E0-4C95-B2AC-BA3CD388893B}"/>
    <cellStyle name="40 % - Markeringsfarve2 3 3 7" xfId="31428" xr:uid="{92430AB1-E65A-4D7E-973B-4DA3D76C7EC9}"/>
    <cellStyle name="40 % - Markeringsfarve2 3 3 7 2" xfId="31429" xr:uid="{15FD15F3-43DE-475E-B426-05A494D274F7}"/>
    <cellStyle name="40 % - Markeringsfarve2 3 3 8" xfId="31430" xr:uid="{85ECB636-0A80-418C-B40C-9E9B57ACFADE}"/>
    <cellStyle name="40 % - Markeringsfarve2 3 4" xfId="31431" xr:uid="{F6992595-A117-456A-83C5-4C8032B0795B}"/>
    <cellStyle name="40 % - Markeringsfarve2 3 4 2" xfId="31432" xr:uid="{B9D28ED5-41C3-4182-A953-E5F840ADACC3}"/>
    <cellStyle name="40 % - Markeringsfarve2 3 4 3" xfId="31433" xr:uid="{8295AD96-DF38-413E-B0EB-E122D97E5DE9}"/>
    <cellStyle name="40 % - Markeringsfarve2 3 5" xfId="31434" xr:uid="{4543D5FD-3551-4BDF-A694-1AD3CD18CD68}"/>
    <cellStyle name="40 % - Markeringsfarve2 3 5 2" xfId="31435" xr:uid="{BA90D456-E160-4244-A644-F63F8A9EE4BC}"/>
    <cellStyle name="40 % - Markeringsfarve2 3 5 3" xfId="31436" xr:uid="{352BD718-8748-451E-8303-B4B2B87FF303}"/>
    <cellStyle name="40 % - Markeringsfarve2 3 6" xfId="31437" xr:uid="{1AAFBC35-96BA-455B-AD4A-87EA7055DFE6}"/>
    <cellStyle name="40 % - Markeringsfarve2 3 6 2" xfId="31438" xr:uid="{D975F4F7-8EC5-4412-BA8D-2868E87574FD}"/>
    <cellStyle name="40 % - Markeringsfarve2 3 6 3" xfId="31439" xr:uid="{7D8B96E4-1AED-477D-A0BD-17D83BE9B1BC}"/>
    <cellStyle name="40 % - Markeringsfarve2 3 7" xfId="31440" xr:uid="{86D25207-4E9A-47AD-870F-2DC0818CD34C}"/>
    <cellStyle name="40 % - Markeringsfarve2 3 7 2" xfId="31441" xr:uid="{3E186B0B-536B-4957-AC78-0A31BC8400CE}"/>
    <cellStyle name="40 % - Markeringsfarve2 3 7 3" xfId="31442" xr:uid="{F8CAD827-DE00-4537-999E-229F4A1230B2}"/>
    <cellStyle name="40 % - Markeringsfarve2 3 8" xfId="31443" xr:uid="{671B1406-802C-4B29-A3CF-1D5A9A0A4C08}"/>
    <cellStyle name="40 % - Markeringsfarve2 3 8 2" xfId="31444" xr:uid="{521CB500-5967-4279-A134-C0271D5C9C3B}"/>
    <cellStyle name="40 % - Markeringsfarve2 3 8 3" xfId="31445" xr:uid="{83EC2FAD-A8C6-4433-B045-E5E1CF419F30}"/>
    <cellStyle name="40 % - Markeringsfarve2 3 9" xfId="31446" xr:uid="{E138ACF7-BA09-49AC-8298-6FB7A34DDD77}"/>
    <cellStyle name="40 % - Markeringsfarve2 3 9 2" xfId="31447" xr:uid="{86516FD3-15D8-452E-A2BB-8273B7649F2A}"/>
    <cellStyle name="40 % - Markeringsfarve2 4" xfId="23573" xr:uid="{26BA2AF4-A904-45A4-88AF-EE8BE3CF73D4}"/>
    <cellStyle name="40 % - Markeringsfarve2 4 2" xfId="23574" xr:uid="{F0CE72D3-1ACB-4CB0-9241-1AE77281C159}"/>
    <cellStyle name="40 % - Markeringsfarve2 4 2 2" xfId="31448" xr:uid="{140FA812-87FB-4CB8-A5B4-F00A4B9F331D}"/>
    <cellStyle name="40 % - Markeringsfarve2 4 2 3" xfId="31449" xr:uid="{D76451CF-05A8-42E3-A34B-5436FB10EF13}"/>
    <cellStyle name="40 % - Markeringsfarve2 4 3" xfId="31450" xr:uid="{D82570FA-85D8-4717-8729-5A7D69C1584E}"/>
    <cellStyle name="40 % - Markeringsfarve2 4 3 2" xfId="31451" xr:uid="{47BB702C-16D1-4BB0-8232-E76E1541B764}"/>
    <cellStyle name="40 % - Markeringsfarve2 4 3 3" xfId="31452" xr:uid="{6C34C8DD-543F-4D14-AFC6-E99909562559}"/>
    <cellStyle name="40 % - Markeringsfarve2 4 4" xfId="31453" xr:uid="{342F5549-2166-49CD-AA02-639238033379}"/>
    <cellStyle name="40 % - Markeringsfarve2 4 4 2" xfId="31454" xr:uid="{3E2CA7FD-8F61-4172-B83A-2F5FAD675585}"/>
    <cellStyle name="40 % - Markeringsfarve2 4 4 3" xfId="31455" xr:uid="{8DFEC899-6D05-4D37-91A9-AC4FA9645179}"/>
    <cellStyle name="40 % - Markeringsfarve2 4 5" xfId="31456" xr:uid="{0B6D28A4-01CC-4513-85AF-1CE71CCF332E}"/>
    <cellStyle name="40 % - Markeringsfarve2 4 5 2" xfId="31457" xr:uid="{AC3E73CD-DDBF-40BF-A340-6B0163E0D1C4}"/>
    <cellStyle name="40 % - Markeringsfarve2 4 5 3" xfId="31458" xr:uid="{5D38EA77-C4F4-48A0-9421-E012CA9B06F8}"/>
    <cellStyle name="40 % - Markeringsfarve2 4 6" xfId="31459" xr:uid="{5F09DF1D-F663-40E5-867D-FE28A1EB18B7}"/>
    <cellStyle name="40 % - Markeringsfarve2 4 6 2" xfId="31460" xr:uid="{5652B94F-C21C-4799-B22E-D6D8D42BE77B}"/>
    <cellStyle name="40 % - Markeringsfarve2 4 6 3" xfId="31461" xr:uid="{AD56B10A-781A-4F1C-8D93-4E67825DDF49}"/>
    <cellStyle name="40 % - Markeringsfarve2 4 7" xfId="31462" xr:uid="{771E4A45-6CE8-4933-9764-3EE00BE539E6}"/>
    <cellStyle name="40 % - Markeringsfarve2 4 7 2" xfId="31463" xr:uid="{8FF9FF1E-F449-4E0C-9444-606F82C107BC}"/>
    <cellStyle name="40 % - Markeringsfarve2 4 8" xfId="31464" xr:uid="{500DD62A-CD8C-41FC-B86F-554FB3A71642}"/>
    <cellStyle name="40 % - Markeringsfarve2 5" xfId="23575" xr:uid="{B850BB25-C4AC-499F-A079-5194B9AFF75C}"/>
    <cellStyle name="40 % - Markeringsfarve2 5 2" xfId="23576" xr:uid="{3C939DED-4FA1-4734-9021-F2B52774515B}"/>
    <cellStyle name="40 % - Markeringsfarve2 5 2 2" xfId="31465" xr:uid="{3DC6EEFB-44E7-4327-8BE2-AE6D34DB0BD2}"/>
    <cellStyle name="40 % - Markeringsfarve2 5 2 3" xfId="31466" xr:uid="{474A8C52-8433-41E2-A5C9-BFE4C32E1E41}"/>
    <cellStyle name="40 % - Markeringsfarve2 5 3" xfId="31467" xr:uid="{27600280-C2A9-4838-BEE5-AAC6B2AD8FDE}"/>
    <cellStyle name="40 % - Markeringsfarve2 5 3 2" xfId="31468" xr:uid="{1F397DC7-6E5C-41C7-A076-45CFE14DB155}"/>
    <cellStyle name="40 % - Markeringsfarve2 5 3 3" xfId="31469" xr:uid="{9126C0EC-1A26-42FF-9B97-8405E3494034}"/>
    <cellStyle name="40 % - Markeringsfarve2 5 4" xfId="31470" xr:uid="{CD0A5759-13FD-4838-B96A-CEF8CCF21EFE}"/>
    <cellStyle name="40 % - Markeringsfarve2 5 4 2" xfId="31471" xr:uid="{58E609A8-AE9F-4E09-89BB-06C8D263B1D5}"/>
    <cellStyle name="40 % - Markeringsfarve2 5 4 3" xfId="31472" xr:uid="{9EF093B6-C6AE-4493-80D8-6BCB48BF1730}"/>
    <cellStyle name="40 % - Markeringsfarve2 5 5" xfId="31473" xr:uid="{5E1BC8D6-E613-4B8C-8FF2-54A0A5C616DC}"/>
    <cellStyle name="40 % - Markeringsfarve2 5 5 2" xfId="31474" xr:uid="{3D461708-D09F-44C8-822F-7E46E39319E0}"/>
    <cellStyle name="40 % - Markeringsfarve2 5 5 3" xfId="31475" xr:uid="{62279C92-6A74-45AD-8079-37ED90EA5B3F}"/>
    <cellStyle name="40 % - Markeringsfarve2 5 6" xfId="31476" xr:uid="{160FD8F2-E423-4FD6-B088-BBB5DD5B99B5}"/>
    <cellStyle name="40 % - Markeringsfarve2 5 6 2" xfId="31477" xr:uid="{FB1F6905-D859-452C-86CA-DA4974B28EBF}"/>
    <cellStyle name="40 % - Markeringsfarve2 5 6 3" xfId="31478" xr:uid="{1546547A-2014-4935-B81C-2D186C3B50F8}"/>
    <cellStyle name="40 % - Markeringsfarve2 5 7" xfId="31479" xr:uid="{4D64DDAA-5536-4F73-ACDE-9F79D38F1EAD}"/>
    <cellStyle name="40 % - Markeringsfarve2 5 7 2" xfId="31480" xr:uid="{CD07ABDD-E030-4475-ADE9-038595016A75}"/>
    <cellStyle name="40 % - Markeringsfarve2 5 8" xfId="31481" xr:uid="{09EDB3FD-7566-4751-BD18-ED7DB9DC9EA8}"/>
    <cellStyle name="40 % - Markeringsfarve2 6" xfId="23577" xr:uid="{12C8C011-DBBD-4CF9-B714-6F69BF9466B4}"/>
    <cellStyle name="40 % - Markeringsfarve2 6 2" xfId="23578" xr:uid="{D5CC744C-DA8F-4A57-9DB5-9E61DA2123ED}"/>
    <cellStyle name="40 % - Markeringsfarve2 6 3" xfId="31482" xr:uid="{05555FA4-C17F-4E91-AA9E-58E89A95B81C}"/>
    <cellStyle name="40 % - Markeringsfarve2 7" xfId="23579" xr:uid="{871FF48B-7102-4999-9CF1-8AE63D0C982C}"/>
    <cellStyle name="40 % - Markeringsfarve2 7 2" xfId="31483" xr:uid="{3A3CCD33-D3EF-4EA9-A69B-6A21AA24612E}"/>
    <cellStyle name="40 % - Markeringsfarve2 7 3" xfId="31484" xr:uid="{07867C4B-5844-4C7D-8BA8-6296A903ACCD}"/>
    <cellStyle name="40 % - Markeringsfarve2 8" xfId="31485" xr:uid="{D4C29018-6603-4DBB-B48C-753907060968}"/>
    <cellStyle name="40 % - Markeringsfarve2 8 2" xfId="31486" xr:uid="{610788F1-33F9-4E15-9B5F-F163ABAE94C3}"/>
    <cellStyle name="40 % - Markeringsfarve2 8 3" xfId="31487" xr:uid="{27A6216C-9041-4D4B-A8F1-76C0A00BB012}"/>
    <cellStyle name="40 % - Markeringsfarve2 9" xfId="31488" xr:uid="{86A8C153-D282-4682-AC46-97B8B839D056}"/>
    <cellStyle name="40 % - Markeringsfarve2 9 2" xfId="31489" xr:uid="{DDF3EC79-4778-4485-924D-B5832297B402}"/>
    <cellStyle name="40 % - Markeringsfarve2 9 3" xfId="31490" xr:uid="{A58856FD-1737-4A76-8826-80B3D08499EB}"/>
    <cellStyle name="40 % - Markeringsfarve3" xfId="1275" xr:uid="{00000000-0005-0000-0000-00001C000000}"/>
    <cellStyle name="40 % - Markeringsfarve3 10" xfId="31491" xr:uid="{3B5BFDE9-87BC-4F68-A184-87A2A1A66266}"/>
    <cellStyle name="40 % - Markeringsfarve3 10 2" xfId="31492" xr:uid="{12E936E4-18BB-4207-8F34-4625A0D40BE0}"/>
    <cellStyle name="40 % - Markeringsfarve3 11" xfId="31493" xr:uid="{A7960F74-4546-42FF-B64B-4B314CCFE3B7}"/>
    <cellStyle name="40 % - Markeringsfarve3 12" xfId="17733" xr:uid="{C41C59E3-2DD6-4DFA-B9D1-559CA0788B80}"/>
    <cellStyle name="40 % - Markeringsfarve3 2" xfId="1276" xr:uid="{00000000-0005-0000-0000-00001D000000}"/>
    <cellStyle name="40 % - Markeringsfarve3 2 10" xfId="31494" xr:uid="{66B26A0A-3AE6-4111-ADC4-4D49820FE3AB}"/>
    <cellStyle name="40 % - Markeringsfarve3 2 11" xfId="17734" xr:uid="{1EB8EDF9-8514-4295-B77A-C657772ABFCB}"/>
    <cellStyle name="40 % - Markeringsfarve3 2 2" xfId="23580" xr:uid="{0DB45BE1-48AC-4790-AEE4-24F6461EC84B}"/>
    <cellStyle name="40 % - Markeringsfarve3 2 2 2" xfId="23581" xr:uid="{2BD8327B-92FC-4F87-A1FB-B8228409AB8B}"/>
    <cellStyle name="40 % - Markeringsfarve3 2 2 2 2" xfId="31495" xr:uid="{0E97581C-2642-4843-B178-677F73A89383}"/>
    <cellStyle name="40 % - Markeringsfarve3 2 2 2 3" xfId="31496" xr:uid="{A029EB41-7A20-4C36-B29E-41CBDCE31855}"/>
    <cellStyle name="40 % - Markeringsfarve3 2 2 3" xfId="31497" xr:uid="{FB90316F-77E4-41BF-B47A-A7E3A1C2D18A}"/>
    <cellStyle name="40 % - Markeringsfarve3 2 2 3 2" xfId="31498" xr:uid="{591AE13C-8D8B-4A30-88DA-E6D9FA1BE49A}"/>
    <cellStyle name="40 % - Markeringsfarve3 2 2 3 3" xfId="31499" xr:uid="{A5EE6B6C-C3F2-43B2-8393-220401FA7872}"/>
    <cellStyle name="40 % - Markeringsfarve3 2 2 4" xfId="31500" xr:uid="{42565CC0-1EA6-41C1-9486-6C42B5E44EFB}"/>
    <cellStyle name="40 % - Markeringsfarve3 2 2 4 2" xfId="31501" xr:uid="{2E5CD19D-FFB8-45F4-9D83-F7526A92DE2B}"/>
    <cellStyle name="40 % - Markeringsfarve3 2 2 4 3" xfId="31502" xr:uid="{6404DDA0-B787-4830-BAC1-4AB16130141A}"/>
    <cellStyle name="40 % - Markeringsfarve3 2 2 5" xfId="31503" xr:uid="{B3EDC425-D1D1-4FBD-8DD1-FE9EF54D535F}"/>
    <cellStyle name="40 % - Markeringsfarve3 2 2 5 2" xfId="31504" xr:uid="{20CB9FC0-9CF1-4920-87E7-3C1C9EBFFAB7}"/>
    <cellStyle name="40 % - Markeringsfarve3 2 2 5 3" xfId="31505" xr:uid="{96F7E950-6D65-41D1-9985-F8761CB85E31}"/>
    <cellStyle name="40 % - Markeringsfarve3 2 2 6" xfId="31506" xr:uid="{35F77BB4-99CA-4850-85C5-BF31B88546DD}"/>
    <cellStyle name="40 % - Markeringsfarve3 2 2 6 2" xfId="31507" xr:uid="{5B88E60A-0DC0-4371-BF40-9C2DD6F2ECC2}"/>
    <cellStyle name="40 % - Markeringsfarve3 2 2 6 3" xfId="31508" xr:uid="{DAA6A91A-2510-4863-B74C-98645A060A68}"/>
    <cellStyle name="40 % - Markeringsfarve3 2 2 7" xfId="31509" xr:uid="{E1F81C12-7E0B-4AF2-958B-8DFE7970ECF9}"/>
    <cellStyle name="40 % - Markeringsfarve3 2 2 7 2" xfId="31510" xr:uid="{DEBA881F-AFB9-4701-9D63-A2FDD7CA3719}"/>
    <cellStyle name="40 % - Markeringsfarve3 2 2 8" xfId="31511" xr:uid="{8003DDB1-353F-48E3-A9BE-B401B568152F}"/>
    <cellStyle name="40 % - Markeringsfarve3 2 3" xfId="23582" xr:uid="{25079CE7-097F-4FC8-B858-AFB44A0AC413}"/>
    <cellStyle name="40 % - Markeringsfarve3 2 3 2" xfId="23583" xr:uid="{1083FDB0-D976-4E74-9E20-FE91679372DB}"/>
    <cellStyle name="40 % - Markeringsfarve3 2 3 2 2" xfId="31512" xr:uid="{17EE4FE7-77DB-4AF3-8765-2FE0F6579079}"/>
    <cellStyle name="40 % - Markeringsfarve3 2 3 2 3" xfId="31513" xr:uid="{A59511D6-8C9B-4816-BC21-93619908CEB6}"/>
    <cellStyle name="40 % - Markeringsfarve3 2 3 3" xfId="31514" xr:uid="{C5504548-FB1C-4C8C-B3B8-94B9E7687C28}"/>
    <cellStyle name="40 % - Markeringsfarve3 2 3 3 2" xfId="31515" xr:uid="{55E8C7E5-377C-4435-AAA2-442FCA1D94E9}"/>
    <cellStyle name="40 % - Markeringsfarve3 2 3 3 3" xfId="31516" xr:uid="{A8AC71CE-EA6C-4C8B-ACBE-1B1AE2304D37}"/>
    <cellStyle name="40 % - Markeringsfarve3 2 3 4" xfId="31517" xr:uid="{088F9F34-EE16-4DE2-8FAF-4B7B26C7EB8D}"/>
    <cellStyle name="40 % - Markeringsfarve3 2 3 4 2" xfId="31518" xr:uid="{3D128780-429D-4727-8AB8-2CAEB1FF8438}"/>
    <cellStyle name="40 % - Markeringsfarve3 2 3 4 3" xfId="31519" xr:uid="{BBEA81B6-A4B1-454F-8E56-3B4217370BDB}"/>
    <cellStyle name="40 % - Markeringsfarve3 2 3 5" xfId="31520" xr:uid="{1003C24F-F68C-47D5-B7C8-61259E9B7D0E}"/>
    <cellStyle name="40 % - Markeringsfarve3 2 3 5 2" xfId="31521" xr:uid="{2DE9F5F8-3029-4B93-AACA-74DE9257373A}"/>
    <cellStyle name="40 % - Markeringsfarve3 2 3 5 3" xfId="31522" xr:uid="{B2CB60F2-E1DD-48AB-AE95-862B71C90D0D}"/>
    <cellStyle name="40 % - Markeringsfarve3 2 3 6" xfId="31523" xr:uid="{79F39A80-9397-46CD-8398-6705CD4B7979}"/>
    <cellStyle name="40 % - Markeringsfarve3 2 3 6 2" xfId="31524" xr:uid="{CE035F89-776A-4C4A-AB8D-6E4B5206B484}"/>
    <cellStyle name="40 % - Markeringsfarve3 2 3 6 3" xfId="31525" xr:uid="{D3D2A8DB-4949-4EB0-94CC-AC06FB6AB270}"/>
    <cellStyle name="40 % - Markeringsfarve3 2 3 7" xfId="31526" xr:uid="{5EC44992-60D6-420C-9D0C-BA0ED7910BD3}"/>
    <cellStyle name="40 % - Markeringsfarve3 2 3 7 2" xfId="31527" xr:uid="{F97CCD00-BA10-45C0-9A51-541670D28790}"/>
    <cellStyle name="40 % - Markeringsfarve3 2 3 8" xfId="31528" xr:uid="{8BE05532-C1A9-402E-A6DC-893CE1ED4C91}"/>
    <cellStyle name="40 % - Markeringsfarve3 2 4" xfId="23584" xr:uid="{7F78B118-01FB-4D73-AA72-BED10173F4D4}"/>
    <cellStyle name="40 % - Markeringsfarve3 2 4 2" xfId="31529" xr:uid="{2CC8727B-B511-40E5-AEB3-EFE1AFFD6B5C}"/>
    <cellStyle name="40 % - Markeringsfarve3 2 4 3" xfId="31530" xr:uid="{7E3F01E4-5CEA-4714-B40B-EBC413F3FDFA}"/>
    <cellStyle name="40 % - Markeringsfarve3 2 5" xfId="31531" xr:uid="{3EC2EED3-0DC7-4CD2-A865-57C9DFC7D1F1}"/>
    <cellStyle name="40 % - Markeringsfarve3 2 5 2" xfId="31532" xr:uid="{5C216097-D45C-4524-892E-9B87695F4103}"/>
    <cellStyle name="40 % - Markeringsfarve3 2 5 3" xfId="31533" xr:uid="{A60E3930-7A05-4BC1-8977-8D5D2704A735}"/>
    <cellStyle name="40 % - Markeringsfarve3 2 6" xfId="31534" xr:uid="{EDBC5C46-8857-4A28-BF73-D8442F95CBDD}"/>
    <cellStyle name="40 % - Markeringsfarve3 2 6 2" xfId="31535" xr:uid="{3559A701-AFB8-49F6-8575-CCDA8F5F8222}"/>
    <cellStyle name="40 % - Markeringsfarve3 2 6 3" xfId="31536" xr:uid="{77FC19C4-8076-47F4-B95B-54A3806371CD}"/>
    <cellStyle name="40 % - Markeringsfarve3 2 7" xfId="31537" xr:uid="{E455C92C-1E55-4523-97C1-7D187C0E188D}"/>
    <cellStyle name="40 % - Markeringsfarve3 2 7 2" xfId="31538" xr:uid="{BDC1F23B-A9CC-4B60-BC8F-CC1E9C61F820}"/>
    <cellStyle name="40 % - Markeringsfarve3 2 7 3" xfId="31539" xr:uid="{CAA48C83-4B50-4638-8A1A-DA95741B8400}"/>
    <cellStyle name="40 % - Markeringsfarve3 2 8" xfId="31540" xr:uid="{5DA8B5D7-6395-4F0A-B7D7-7459DAF43E7A}"/>
    <cellStyle name="40 % - Markeringsfarve3 2 8 2" xfId="31541" xr:uid="{6BF4D697-3E82-4191-AE65-71914DFD7CBF}"/>
    <cellStyle name="40 % - Markeringsfarve3 2 8 3" xfId="31542" xr:uid="{50350A23-2F45-4D49-A519-1E9A4D84461D}"/>
    <cellStyle name="40 % - Markeringsfarve3 2 9" xfId="31543" xr:uid="{764CB302-C196-41CC-9B4A-029FF3187F2A}"/>
    <cellStyle name="40 % - Markeringsfarve3 2 9 2" xfId="31544" xr:uid="{F71781D5-EC52-48A1-9783-141E2761FD90}"/>
    <cellStyle name="40 % - Markeringsfarve3 3" xfId="2593" xr:uid="{9F89632D-0223-44FB-BEFB-F194ED332DA0}"/>
    <cellStyle name="40 % - Markeringsfarve3 3 10" xfId="31545" xr:uid="{F9E7E916-0CF4-4780-83EC-EBF709B35586}"/>
    <cellStyle name="40 % - Markeringsfarve3 3 2" xfId="23585" xr:uid="{DB07E96F-5326-4B92-9516-6539FAE121BB}"/>
    <cellStyle name="40 % - Markeringsfarve3 3 2 2" xfId="31546" xr:uid="{919B8F5B-CCDD-4D8B-AFD0-DF4DCA18F788}"/>
    <cellStyle name="40 % - Markeringsfarve3 3 2 2 2" xfId="31547" xr:uid="{F8155201-9090-4A04-ACC8-D1E33C4CB86E}"/>
    <cellStyle name="40 % - Markeringsfarve3 3 2 2 3" xfId="31548" xr:uid="{B7489D2B-B0E1-4119-8E3F-5888AD6D308B}"/>
    <cellStyle name="40 % - Markeringsfarve3 3 2 3" xfId="31549" xr:uid="{736DB73E-1812-4785-B0B1-53F23248FF71}"/>
    <cellStyle name="40 % - Markeringsfarve3 3 2 3 2" xfId="31550" xr:uid="{B2071758-0258-43CD-9FD1-359CFE6ED16D}"/>
    <cellStyle name="40 % - Markeringsfarve3 3 2 3 3" xfId="31551" xr:uid="{2A57465D-B492-4D9C-9119-34B2DD416E40}"/>
    <cellStyle name="40 % - Markeringsfarve3 3 2 4" xfId="31552" xr:uid="{1E3F5C9B-80EC-486E-926D-EA2CFE785D1B}"/>
    <cellStyle name="40 % - Markeringsfarve3 3 2 4 2" xfId="31553" xr:uid="{960AC69F-4BE2-4ED7-9172-A37DFFFE5E59}"/>
    <cellStyle name="40 % - Markeringsfarve3 3 2 4 3" xfId="31554" xr:uid="{6AB83AA8-6A09-4AB0-9821-8091B8FDEA8D}"/>
    <cellStyle name="40 % - Markeringsfarve3 3 2 5" xfId="31555" xr:uid="{3EC47751-B567-4714-96E2-AE6D0CF6DA90}"/>
    <cellStyle name="40 % - Markeringsfarve3 3 2 5 2" xfId="31556" xr:uid="{7847831D-0603-4773-9901-C435BD0C3A18}"/>
    <cellStyle name="40 % - Markeringsfarve3 3 2 5 3" xfId="31557" xr:uid="{0536C868-1475-485A-B217-08426A4B9655}"/>
    <cellStyle name="40 % - Markeringsfarve3 3 2 6" xfId="31558" xr:uid="{D0B312A8-8B13-4349-9618-42EBC5712E9D}"/>
    <cellStyle name="40 % - Markeringsfarve3 3 2 6 2" xfId="31559" xr:uid="{468F9B18-F4DB-4235-8E3A-5E428B9F90F8}"/>
    <cellStyle name="40 % - Markeringsfarve3 3 2 6 3" xfId="31560" xr:uid="{56D2AFFB-5F63-42E1-A49D-8792EEB40197}"/>
    <cellStyle name="40 % - Markeringsfarve3 3 2 7" xfId="31561" xr:uid="{6981486D-2C75-4557-A0A4-E39830FB7AFE}"/>
    <cellStyle name="40 % - Markeringsfarve3 3 2 7 2" xfId="31562" xr:uid="{DFC7A259-A552-44B2-AA81-2F2AB388E2BC}"/>
    <cellStyle name="40 % - Markeringsfarve3 3 2 8" xfId="31563" xr:uid="{7B16FF3E-E241-483C-BCCC-17BD53F45BCE}"/>
    <cellStyle name="40 % - Markeringsfarve3 3 3" xfId="31564" xr:uid="{6E64A3DA-7D17-4AA9-B52C-02BD397B2E64}"/>
    <cellStyle name="40 % - Markeringsfarve3 3 3 2" xfId="31565" xr:uid="{00ADC3FB-68C4-44CB-876D-58C3367D9EB2}"/>
    <cellStyle name="40 % - Markeringsfarve3 3 3 2 2" xfId="31566" xr:uid="{49106429-9C9E-4D5A-A180-2D2588FD8AC6}"/>
    <cellStyle name="40 % - Markeringsfarve3 3 3 2 3" xfId="31567" xr:uid="{E8CFA7B3-A1D9-4B0B-A455-2212F50798EE}"/>
    <cellStyle name="40 % - Markeringsfarve3 3 3 3" xfId="31568" xr:uid="{2433D2E7-2F9B-4E07-8678-D9F09B4E7000}"/>
    <cellStyle name="40 % - Markeringsfarve3 3 3 3 2" xfId="31569" xr:uid="{93541A2A-7651-4607-BE9A-DBFACD1DCC0B}"/>
    <cellStyle name="40 % - Markeringsfarve3 3 3 3 3" xfId="31570" xr:uid="{5E7BB51A-8121-4A36-94BD-B68CAA93B8E4}"/>
    <cellStyle name="40 % - Markeringsfarve3 3 3 4" xfId="31571" xr:uid="{15198328-7F30-4A95-905C-B1C1F01FB204}"/>
    <cellStyle name="40 % - Markeringsfarve3 3 3 4 2" xfId="31572" xr:uid="{E8C5F9CE-C110-4C4F-BF2E-F1C554CF53D4}"/>
    <cellStyle name="40 % - Markeringsfarve3 3 3 4 3" xfId="31573" xr:uid="{3C2FE18B-6C9C-4A4E-A7E9-D936C75D789E}"/>
    <cellStyle name="40 % - Markeringsfarve3 3 3 5" xfId="31574" xr:uid="{3BF161D6-D242-4B53-A4D5-91657C675636}"/>
    <cellStyle name="40 % - Markeringsfarve3 3 3 5 2" xfId="31575" xr:uid="{5B0257E6-9D0D-416B-B927-B7F3A5796CB8}"/>
    <cellStyle name="40 % - Markeringsfarve3 3 3 5 3" xfId="31576" xr:uid="{DEBAF938-BB29-45BE-84D5-9252017B3F9B}"/>
    <cellStyle name="40 % - Markeringsfarve3 3 3 6" xfId="31577" xr:uid="{DC87291F-819C-43C1-B626-A39F0735F496}"/>
    <cellStyle name="40 % - Markeringsfarve3 3 3 6 2" xfId="31578" xr:uid="{D8192D05-DD7D-435D-B0C4-F483C4FAC174}"/>
    <cellStyle name="40 % - Markeringsfarve3 3 3 6 3" xfId="31579" xr:uid="{0A2D4A6A-7AC6-4B79-8531-5EC21C261BC4}"/>
    <cellStyle name="40 % - Markeringsfarve3 3 3 7" xfId="31580" xr:uid="{EBA65332-FB87-4CD8-B112-F0D809385B68}"/>
    <cellStyle name="40 % - Markeringsfarve3 3 3 7 2" xfId="31581" xr:uid="{196AB7A1-2319-42B8-9ADC-D42849EAA239}"/>
    <cellStyle name="40 % - Markeringsfarve3 3 3 8" xfId="31582" xr:uid="{DF7A66FC-DAE5-4DA7-A0D7-F0C0ED21220B}"/>
    <cellStyle name="40 % - Markeringsfarve3 3 4" xfId="31583" xr:uid="{F5AC744E-4D0F-4241-86E5-C8E5B8EB49F2}"/>
    <cellStyle name="40 % - Markeringsfarve3 3 4 2" xfId="31584" xr:uid="{A821429B-F69F-4811-BDD4-E3682A39B0DC}"/>
    <cellStyle name="40 % - Markeringsfarve3 3 4 3" xfId="31585" xr:uid="{0FCB1B69-2D9B-42D4-A871-653533FE0485}"/>
    <cellStyle name="40 % - Markeringsfarve3 3 5" xfId="31586" xr:uid="{0214B028-51A9-4C96-B015-E888891B9F43}"/>
    <cellStyle name="40 % - Markeringsfarve3 3 5 2" xfId="31587" xr:uid="{B633A31A-C14C-44DB-9B9B-558F4A40CE36}"/>
    <cellStyle name="40 % - Markeringsfarve3 3 5 3" xfId="31588" xr:uid="{A77C25DC-781C-4381-99A4-FB589529FF0C}"/>
    <cellStyle name="40 % - Markeringsfarve3 3 6" xfId="31589" xr:uid="{17CEC948-23AB-4AA7-B2AD-52649144D2ED}"/>
    <cellStyle name="40 % - Markeringsfarve3 3 6 2" xfId="31590" xr:uid="{D55351D0-F27D-4792-BCC4-0399D002E555}"/>
    <cellStyle name="40 % - Markeringsfarve3 3 6 3" xfId="31591" xr:uid="{2E72C698-6F01-462D-ADF2-C65308B870BD}"/>
    <cellStyle name="40 % - Markeringsfarve3 3 7" xfId="31592" xr:uid="{57469B23-025C-4444-8407-6FFA1C6FC8D2}"/>
    <cellStyle name="40 % - Markeringsfarve3 3 7 2" xfId="31593" xr:uid="{564BEBCE-4DA2-4F59-97B5-B35E695F6101}"/>
    <cellStyle name="40 % - Markeringsfarve3 3 7 3" xfId="31594" xr:uid="{429F2312-DF81-4A50-AA1D-3A142F30E61A}"/>
    <cellStyle name="40 % - Markeringsfarve3 3 8" xfId="31595" xr:uid="{683A6DB4-D48D-483E-BDC7-C8B93220FA86}"/>
    <cellStyle name="40 % - Markeringsfarve3 3 8 2" xfId="31596" xr:uid="{1B57BAB4-3E5B-49B2-84B5-E5742181CC0D}"/>
    <cellStyle name="40 % - Markeringsfarve3 3 8 3" xfId="31597" xr:uid="{39A4652B-D407-44D5-ACF8-78E5C0EED72F}"/>
    <cellStyle name="40 % - Markeringsfarve3 3 9" xfId="31598" xr:uid="{30A81022-2F40-400C-89B5-7275164D7F8D}"/>
    <cellStyle name="40 % - Markeringsfarve3 3 9 2" xfId="31599" xr:uid="{7E2587CD-79D6-427C-A974-E10BF9CB24DE}"/>
    <cellStyle name="40 % - Markeringsfarve3 4" xfId="23586" xr:uid="{8B9AAE0E-1C2D-4EF0-A641-7F7848456DED}"/>
    <cellStyle name="40 % - Markeringsfarve3 4 2" xfId="23587" xr:uid="{F931D371-7C67-48E8-A3F0-653AB1139D8F}"/>
    <cellStyle name="40 % - Markeringsfarve3 4 2 2" xfId="31600" xr:uid="{7BB78C2F-A309-43DD-9878-703DDA710947}"/>
    <cellStyle name="40 % - Markeringsfarve3 4 2 3" xfId="31601" xr:uid="{654555DD-6186-46D2-B8C7-8D7846803C7E}"/>
    <cellStyle name="40 % - Markeringsfarve3 4 3" xfId="31602" xr:uid="{56955656-FA15-402D-9F77-26B70C403C63}"/>
    <cellStyle name="40 % - Markeringsfarve3 4 3 2" xfId="31603" xr:uid="{C587BFE2-64EC-46EC-959E-732CB48B4DEB}"/>
    <cellStyle name="40 % - Markeringsfarve3 4 3 3" xfId="31604" xr:uid="{7FC89EA7-1943-42FC-BB92-F492D7DA2D4B}"/>
    <cellStyle name="40 % - Markeringsfarve3 4 4" xfId="31605" xr:uid="{A1A3CA8E-5318-4C99-B6CD-A448237C8FD0}"/>
    <cellStyle name="40 % - Markeringsfarve3 4 4 2" xfId="31606" xr:uid="{B7E4F8F6-B353-4A57-8815-4D088E3DCBF7}"/>
    <cellStyle name="40 % - Markeringsfarve3 4 4 3" xfId="31607" xr:uid="{D2183994-8E54-461F-A2C6-CB91D62435D6}"/>
    <cellStyle name="40 % - Markeringsfarve3 4 5" xfId="31608" xr:uid="{654714C2-6A7A-4650-8D88-CDB57E5D2279}"/>
    <cellStyle name="40 % - Markeringsfarve3 4 5 2" xfId="31609" xr:uid="{933ECCF5-B199-4788-AFFE-C4389CAA8FE7}"/>
    <cellStyle name="40 % - Markeringsfarve3 4 5 3" xfId="31610" xr:uid="{5B2432DB-E8F4-452B-8576-192EA1CFEE4E}"/>
    <cellStyle name="40 % - Markeringsfarve3 4 6" xfId="31611" xr:uid="{E5257365-C61C-432E-8CBC-9E0A4BC7A81B}"/>
    <cellStyle name="40 % - Markeringsfarve3 4 6 2" xfId="31612" xr:uid="{19A62D03-719F-49A2-A56B-D51D41DDF36B}"/>
    <cellStyle name="40 % - Markeringsfarve3 4 6 3" xfId="31613" xr:uid="{EDE60570-B29E-4B7A-90B5-6187627AC3B2}"/>
    <cellStyle name="40 % - Markeringsfarve3 4 7" xfId="31614" xr:uid="{2277A63E-F715-4882-985F-C8E679E0DFD5}"/>
    <cellStyle name="40 % - Markeringsfarve3 4 7 2" xfId="31615" xr:uid="{5AB5507D-E569-4E1C-AC06-165850407CA7}"/>
    <cellStyle name="40 % - Markeringsfarve3 4 8" xfId="31616" xr:uid="{1C77ABA4-FDD4-4715-B3CA-CD1B9BA23CF7}"/>
    <cellStyle name="40 % - Markeringsfarve3 5" xfId="23588" xr:uid="{0C6EED2B-65FB-46C7-ABCD-6C1306F028DD}"/>
    <cellStyle name="40 % - Markeringsfarve3 5 2" xfId="23589" xr:uid="{9DAB96F8-D767-490E-8602-84B42B5E9D1B}"/>
    <cellStyle name="40 % - Markeringsfarve3 5 2 2" xfId="31617" xr:uid="{99C4628A-1482-4173-A3D3-4ED152EB1A15}"/>
    <cellStyle name="40 % - Markeringsfarve3 5 2 3" xfId="31618" xr:uid="{DC70B12E-4595-4162-AA7F-4005F1121D07}"/>
    <cellStyle name="40 % - Markeringsfarve3 5 3" xfId="31619" xr:uid="{AE54E5FB-C2FE-4149-99EA-D75F3D19449B}"/>
    <cellStyle name="40 % - Markeringsfarve3 5 3 2" xfId="31620" xr:uid="{17D93C02-219D-4369-8CCB-2B7D95CFC830}"/>
    <cellStyle name="40 % - Markeringsfarve3 5 3 3" xfId="31621" xr:uid="{8D7CB4D4-5CB2-4651-9833-498ABBB28BB4}"/>
    <cellStyle name="40 % - Markeringsfarve3 5 4" xfId="31622" xr:uid="{A71FD295-64C6-440F-AD35-C8F83676B404}"/>
    <cellStyle name="40 % - Markeringsfarve3 5 4 2" xfId="31623" xr:uid="{9D28D147-0B5F-4E5E-8903-8321763842A4}"/>
    <cellStyle name="40 % - Markeringsfarve3 5 4 3" xfId="31624" xr:uid="{11A97D17-E3DE-4776-A2EE-874489FDDB0D}"/>
    <cellStyle name="40 % - Markeringsfarve3 5 5" xfId="31625" xr:uid="{BFF4CDC4-86F7-4BB6-8E46-EA926AE71512}"/>
    <cellStyle name="40 % - Markeringsfarve3 5 5 2" xfId="31626" xr:uid="{7B05A7D7-2FA2-4323-ACEC-9808F0E0DD75}"/>
    <cellStyle name="40 % - Markeringsfarve3 5 5 3" xfId="31627" xr:uid="{8C5A50E1-B69F-494B-A2F8-754FD0F480F3}"/>
    <cellStyle name="40 % - Markeringsfarve3 5 6" xfId="31628" xr:uid="{7A02F2CA-3E95-4CD1-ADE2-2E2C496644C5}"/>
    <cellStyle name="40 % - Markeringsfarve3 5 6 2" xfId="31629" xr:uid="{44420E22-AD51-445A-8A40-D5BDEBC3BB09}"/>
    <cellStyle name="40 % - Markeringsfarve3 5 6 3" xfId="31630" xr:uid="{3A8F6EC5-6BBB-44A0-8E03-50A033922B1D}"/>
    <cellStyle name="40 % - Markeringsfarve3 5 7" xfId="31631" xr:uid="{5C9B46B0-6D3B-4074-848F-1411E9F3D00F}"/>
    <cellStyle name="40 % - Markeringsfarve3 5 7 2" xfId="31632" xr:uid="{07472225-1A8B-47E3-B7E3-FB61107F3F32}"/>
    <cellStyle name="40 % - Markeringsfarve3 5 8" xfId="31633" xr:uid="{F1908B39-BCD9-4957-B678-28AC9ECA69D4}"/>
    <cellStyle name="40 % - Markeringsfarve3 6" xfId="23590" xr:uid="{03178BB1-4C40-4E82-AD0A-D6626B4F45CB}"/>
    <cellStyle name="40 % - Markeringsfarve3 6 2" xfId="23591" xr:uid="{BAC4A3DB-9253-4493-B49B-D29BE3591121}"/>
    <cellStyle name="40 % - Markeringsfarve3 6 2 2" xfId="31634" xr:uid="{423572D2-973D-48C6-9D69-5CD8D66D6C35}"/>
    <cellStyle name="40 % - Markeringsfarve3 6 2 3" xfId="31635" xr:uid="{D473EC47-7D58-4FDD-A152-FBF9C3CBC943}"/>
    <cellStyle name="40 % - Markeringsfarve3 6 3" xfId="31636" xr:uid="{C91C252C-5C26-4296-B0F0-CAE4FEF6C279}"/>
    <cellStyle name="40 % - Markeringsfarve3 6 4" xfId="31637" xr:uid="{BD0A3FBB-87FD-406A-82C0-3220FB196D99}"/>
    <cellStyle name="40 % - Markeringsfarve3 7" xfId="23592" xr:uid="{832EFF4E-390B-4D20-9C2A-A637A136DC46}"/>
    <cellStyle name="40 % - Markeringsfarve3 7 2" xfId="31638" xr:uid="{D0D2BF2C-C301-47CC-BCDE-BDFBB1941888}"/>
    <cellStyle name="40 % - Markeringsfarve3 7 3" xfId="31639" xr:uid="{B15699D3-DA2A-42BA-A764-2B647F65BD70}"/>
    <cellStyle name="40 % - Markeringsfarve3 8" xfId="31640" xr:uid="{22D8F4AA-E3B3-47BD-AA8C-2121D2702DFB}"/>
    <cellStyle name="40 % - Markeringsfarve3 8 2" xfId="31641" xr:uid="{A783B227-B3FB-4B28-9F2A-D7A8FE8EEE50}"/>
    <cellStyle name="40 % - Markeringsfarve3 8 3" xfId="31642" xr:uid="{85D293C6-AEBF-495A-A3A9-B9388B9BA990}"/>
    <cellStyle name="40 % - Markeringsfarve3 9" xfId="31643" xr:uid="{81D2F152-F6A7-4367-986C-E20BD795D972}"/>
    <cellStyle name="40 % - Markeringsfarve3 9 2" xfId="31644" xr:uid="{7A2DD291-DCD6-41D3-9268-4E564F9E1CC9}"/>
    <cellStyle name="40 % - Markeringsfarve3 9 3" xfId="31645" xr:uid="{7AAEE393-37C0-423B-A412-1501A4A484A5}"/>
    <cellStyle name="40 % - Markeringsfarve4" xfId="1277" xr:uid="{00000000-0005-0000-0000-00001E000000}"/>
    <cellStyle name="40 % - Markeringsfarve4 10" xfId="31646" xr:uid="{7EF53806-9F8F-4D48-8BC8-0A543359D61C}"/>
    <cellStyle name="40 % - Markeringsfarve4 10 2" xfId="31647" xr:uid="{0359C418-31FD-408A-879F-462DD4A733E4}"/>
    <cellStyle name="40 % - Markeringsfarve4 10 3" xfId="31648" xr:uid="{7A1D4978-251F-41CE-98DD-9F30F4783EB0}"/>
    <cellStyle name="40 % - Markeringsfarve4 11" xfId="31649" xr:uid="{47373802-67ED-4B06-8B23-8C86995390A2}"/>
    <cellStyle name="40 % - Markeringsfarve4 11 2" xfId="31650" xr:uid="{3D4B7A64-DD58-436C-BEEB-EFC91C4F514A}"/>
    <cellStyle name="40 % - Markeringsfarve4 12" xfId="31651" xr:uid="{1D74DC19-9625-4729-9B33-77F2A25BB2E4}"/>
    <cellStyle name="40 % - Markeringsfarve4 13" xfId="17735" xr:uid="{51E71722-15D4-458E-B7C7-BFE81C47F7E7}"/>
    <cellStyle name="40 % - Markeringsfarve4 2" xfId="1278" xr:uid="{00000000-0005-0000-0000-00001F000000}"/>
    <cellStyle name="40 % - Markeringsfarve4 2 10" xfId="31652" xr:uid="{E84B310C-83C8-4178-9C91-09BBEE00CA57}"/>
    <cellStyle name="40 % - Markeringsfarve4 2 11" xfId="17736" xr:uid="{67ABDB2C-C1E5-4C9F-B2DA-8509CF5CE3D3}"/>
    <cellStyle name="40 % - Markeringsfarve4 2 2" xfId="23593" xr:uid="{3B5BA8DE-4AE2-4A9B-BDBA-DAB02BAB2105}"/>
    <cellStyle name="40 % - Markeringsfarve4 2 2 2" xfId="23594" xr:uid="{31F9A5DF-F544-4F56-B1D2-DA39A8A77B54}"/>
    <cellStyle name="40 % - Markeringsfarve4 2 2 2 2" xfId="31653" xr:uid="{23858516-B1C9-40E7-AD9A-1734BDCD75EB}"/>
    <cellStyle name="40 % - Markeringsfarve4 2 2 2 3" xfId="31654" xr:uid="{C40F2903-D7BB-4690-B16B-99C734AF16A3}"/>
    <cellStyle name="40 % - Markeringsfarve4 2 2 3" xfId="31655" xr:uid="{1F1C2841-9421-432B-B2D8-FD0FDC6F300B}"/>
    <cellStyle name="40 % - Markeringsfarve4 2 2 3 2" xfId="31656" xr:uid="{292B6D4D-8ED0-46BF-91FA-5A80C4E7B1AD}"/>
    <cellStyle name="40 % - Markeringsfarve4 2 2 3 3" xfId="31657" xr:uid="{1FEE0DC2-9215-44EE-BB41-AE6AE32C122F}"/>
    <cellStyle name="40 % - Markeringsfarve4 2 2 4" xfId="31658" xr:uid="{20B8AFD1-57C6-4D39-BF9B-E54CFAA84464}"/>
    <cellStyle name="40 % - Markeringsfarve4 2 2 4 2" xfId="31659" xr:uid="{47665F02-3F63-438B-94DA-2A34C7673F28}"/>
    <cellStyle name="40 % - Markeringsfarve4 2 2 4 3" xfId="31660" xr:uid="{7117A783-8A93-4D3B-9398-94C2D00677D4}"/>
    <cellStyle name="40 % - Markeringsfarve4 2 2 5" xfId="31661" xr:uid="{8179B18D-640C-4863-AFF4-75BE726B5250}"/>
    <cellStyle name="40 % - Markeringsfarve4 2 2 5 2" xfId="31662" xr:uid="{3CEB8E30-00B2-4720-A271-DBDAB13B871B}"/>
    <cellStyle name="40 % - Markeringsfarve4 2 2 5 3" xfId="31663" xr:uid="{012B031E-D47A-4229-987F-B19159D582A2}"/>
    <cellStyle name="40 % - Markeringsfarve4 2 2 6" xfId="31664" xr:uid="{D36F267A-1297-4DDE-89E3-9E40A884E586}"/>
    <cellStyle name="40 % - Markeringsfarve4 2 2 6 2" xfId="31665" xr:uid="{F6221EFA-A345-4114-9303-D3781CA92E39}"/>
    <cellStyle name="40 % - Markeringsfarve4 2 2 6 3" xfId="31666" xr:uid="{05A264B2-30B7-490F-B40F-F3D0758F6781}"/>
    <cellStyle name="40 % - Markeringsfarve4 2 2 7" xfId="31667" xr:uid="{D2AE48A2-E3E9-4BB3-9EE2-AC7B4AD5041A}"/>
    <cellStyle name="40 % - Markeringsfarve4 2 2 7 2" xfId="31668" xr:uid="{385B64B2-3386-43DA-83B6-D17915213046}"/>
    <cellStyle name="40 % - Markeringsfarve4 2 2 8" xfId="31669" xr:uid="{09643633-90E1-4979-93AD-DA887D279758}"/>
    <cellStyle name="40 % - Markeringsfarve4 2 3" xfId="23595" xr:uid="{E0ECC885-E476-4AB3-9AB5-BA7B55C850DC}"/>
    <cellStyle name="40 % - Markeringsfarve4 2 3 2" xfId="23596" xr:uid="{020605B7-2B37-463E-AABA-4C3C7D5E14C2}"/>
    <cellStyle name="40 % - Markeringsfarve4 2 3 2 2" xfId="31670" xr:uid="{09711237-2AE0-494B-A212-B4C8A8D2A62E}"/>
    <cellStyle name="40 % - Markeringsfarve4 2 3 2 3" xfId="31671" xr:uid="{EC67ECE5-90AC-4202-BFC4-EF286491D20D}"/>
    <cellStyle name="40 % - Markeringsfarve4 2 3 3" xfId="31672" xr:uid="{067130BC-8ECD-4259-B035-5B402CF0FD11}"/>
    <cellStyle name="40 % - Markeringsfarve4 2 3 3 2" xfId="31673" xr:uid="{676CE507-5672-4C0D-ADBF-BF64E543CE12}"/>
    <cellStyle name="40 % - Markeringsfarve4 2 3 3 3" xfId="31674" xr:uid="{ADC0670C-62D2-436C-8900-DE136C81171A}"/>
    <cellStyle name="40 % - Markeringsfarve4 2 3 4" xfId="31675" xr:uid="{DBD944C8-CB0E-4B62-B292-56E926F0954D}"/>
    <cellStyle name="40 % - Markeringsfarve4 2 3 4 2" xfId="31676" xr:uid="{4F2A2992-F451-4EA9-974F-A768B068C720}"/>
    <cellStyle name="40 % - Markeringsfarve4 2 3 4 3" xfId="31677" xr:uid="{4C9FC24E-C2DD-4702-B4A0-2DCC5394C315}"/>
    <cellStyle name="40 % - Markeringsfarve4 2 3 5" xfId="31678" xr:uid="{28DE9F73-C60D-45E2-95D9-C8618A7FDAB7}"/>
    <cellStyle name="40 % - Markeringsfarve4 2 3 5 2" xfId="31679" xr:uid="{2958E1C7-6E9A-4F76-8287-D1C6B9C8333E}"/>
    <cellStyle name="40 % - Markeringsfarve4 2 3 5 3" xfId="31680" xr:uid="{C78871E2-68FA-43DA-ACCF-98033EAD0597}"/>
    <cellStyle name="40 % - Markeringsfarve4 2 3 6" xfId="31681" xr:uid="{9B445A06-EB0A-42F1-AE8D-5E4D787EFC90}"/>
    <cellStyle name="40 % - Markeringsfarve4 2 3 6 2" xfId="31682" xr:uid="{16AD59EF-2EC8-4AA4-8DAA-4D42426383A2}"/>
    <cellStyle name="40 % - Markeringsfarve4 2 3 6 3" xfId="31683" xr:uid="{91D022A0-0555-41F9-BA26-C8AF60906861}"/>
    <cellStyle name="40 % - Markeringsfarve4 2 3 7" xfId="31684" xr:uid="{0E20F933-2ED3-4C15-AE53-26A049D12DE0}"/>
    <cellStyle name="40 % - Markeringsfarve4 2 3 7 2" xfId="31685" xr:uid="{DA3395C4-155E-404F-AD9A-564618DC1AC6}"/>
    <cellStyle name="40 % - Markeringsfarve4 2 3 8" xfId="31686" xr:uid="{728ACC72-88A4-48C4-9CCC-07F4E46784CA}"/>
    <cellStyle name="40 % - Markeringsfarve4 2 4" xfId="23597" xr:uid="{31E97C1A-1F0C-4F59-8197-FE5E81F6D6AB}"/>
    <cellStyle name="40 % - Markeringsfarve4 2 4 2" xfId="31687" xr:uid="{28A7A3F2-E1D1-436B-9C66-6584EC61FC23}"/>
    <cellStyle name="40 % - Markeringsfarve4 2 4 3" xfId="31688" xr:uid="{EC0A0284-6528-4B84-AF3B-808E8BBEBF3F}"/>
    <cellStyle name="40 % - Markeringsfarve4 2 5" xfId="31689" xr:uid="{C92A7DDE-94AB-48C4-8012-310AF701AEE0}"/>
    <cellStyle name="40 % - Markeringsfarve4 2 5 2" xfId="31690" xr:uid="{1A67B102-B273-43EA-98DE-90F910E64463}"/>
    <cellStyle name="40 % - Markeringsfarve4 2 5 3" xfId="31691" xr:uid="{927718D5-4127-4278-8871-A879CEAD47BD}"/>
    <cellStyle name="40 % - Markeringsfarve4 2 6" xfId="31692" xr:uid="{6EC2091D-AD59-4D2A-9453-D59E950FBE58}"/>
    <cellStyle name="40 % - Markeringsfarve4 2 6 2" xfId="31693" xr:uid="{467A3A50-D035-4910-AA77-33963511F576}"/>
    <cellStyle name="40 % - Markeringsfarve4 2 6 3" xfId="31694" xr:uid="{DD88A6F4-10ED-4B7B-B8D1-7F93F8933966}"/>
    <cellStyle name="40 % - Markeringsfarve4 2 7" xfId="31695" xr:uid="{B57865FB-2328-4527-9690-F1000A03F315}"/>
    <cellStyle name="40 % - Markeringsfarve4 2 7 2" xfId="31696" xr:uid="{36A463F3-BAB5-41F5-952E-AC0F2D0CD99E}"/>
    <cellStyle name="40 % - Markeringsfarve4 2 7 3" xfId="31697" xr:uid="{D99E3B4D-1360-4C50-957B-734CE9430CBF}"/>
    <cellStyle name="40 % - Markeringsfarve4 2 8" xfId="31698" xr:uid="{1205C3C9-5FC9-4F82-BFE4-74BE44454EAB}"/>
    <cellStyle name="40 % - Markeringsfarve4 2 8 2" xfId="31699" xr:uid="{96604D63-827E-462A-833A-B54D47AD9D36}"/>
    <cellStyle name="40 % - Markeringsfarve4 2 8 3" xfId="31700" xr:uid="{5D774DC9-F446-44D1-A65C-B515648AEA51}"/>
    <cellStyle name="40 % - Markeringsfarve4 2 9" xfId="31701" xr:uid="{491E4A00-BCC5-4FA8-BCED-DC33ECE4B65F}"/>
    <cellStyle name="40 % - Markeringsfarve4 2 9 2" xfId="31702" xr:uid="{5A733909-BAFC-4473-A131-A1A0D8F47FF0}"/>
    <cellStyle name="40 % - Markeringsfarve4 3" xfId="2594" xr:uid="{6B6FA26D-D7D9-49D8-9C74-7977749D407E}"/>
    <cellStyle name="40 % - Markeringsfarve4 3 10" xfId="31703" xr:uid="{A24CA5AF-0A5C-47C7-A8F0-72B885FAE6D0}"/>
    <cellStyle name="40 % - Markeringsfarve4 3 2" xfId="23598" xr:uid="{57F79A36-A4CF-4B46-A9D5-19B52CB175C5}"/>
    <cellStyle name="40 % - Markeringsfarve4 3 2 2" xfId="31704" xr:uid="{0B38F272-A4F3-4C3C-B8B6-020E6BEE70C6}"/>
    <cellStyle name="40 % - Markeringsfarve4 3 2 2 2" xfId="31705" xr:uid="{D0CD2C7B-1358-412D-B242-D5F7B714D006}"/>
    <cellStyle name="40 % - Markeringsfarve4 3 2 2 3" xfId="31706" xr:uid="{98F5413B-3A39-498E-9EAF-EAE35000C0B1}"/>
    <cellStyle name="40 % - Markeringsfarve4 3 2 3" xfId="31707" xr:uid="{0BFB5AA1-7E88-4CE0-80BC-2326AB1F6C3F}"/>
    <cellStyle name="40 % - Markeringsfarve4 3 2 3 2" xfId="31708" xr:uid="{B731E6C1-C13B-47E0-AAA8-1D586A08F6AA}"/>
    <cellStyle name="40 % - Markeringsfarve4 3 2 3 3" xfId="31709" xr:uid="{530C9E46-8AB9-4562-9DCE-FCAF0960916E}"/>
    <cellStyle name="40 % - Markeringsfarve4 3 2 4" xfId="31710" xr:uid="{C33AA668-37EB-4283-8690-BC252D013741}"/>
    <cellStyle name="40 % - Markeringsfarve4 3 2 4 2" xfId="31711" xr:uid="{350AF5AD-22B6-4971-B671-763F18548EB4}"/>
    <cellStyle name="40 % - Markeringsfarve4 3 2 4 3" xfId="31712" xr:uid="{41CE3A97-483D-45E2-9C27-413F1C89AC98}"/>
    <cellStyle name="40 % - Markeringsfarve4 3 2 5" xfId="31713" xr:uid="{136B0B69-7F42-4379-9C08-B1A730A515BA}"/>
    <cellStyle name="40 % - Markeringsfarve4 3 2 5 2" xfId="31714" xr:uid="{0D2FAD8C-2D3B-4A2D-BFE0-D5B5F2FCF835}"/>
    <cellStyle name="40 % - Markeringsfarve4 3 2 5 3" xfId="31715" xr:uid="{7445E274-95F3-4748-85E8-BC275006D252}"/>
    <cellStyle name="40 % - Markeringsfarve4 3 2 6" xfId="31716" xr:uid="{7C0BC8B2-DCF2-40C6-AC75-FAC72813F5B9}"/>
    <cellStyle name="40 % - Markeringsfarve4 3 2 6 2" xfId="31717" xr:uid="{B43EC0C9-D58D-415B-952A-D35F6DCAEAE4}"/>
    <cellStyle name="40 % - Markeringsfarve4 3 2 6 3" xfId="31718" xr:uid="{5AFC34E4-487B-4713-8125-4825BDF4E6AA}"/>
    <cellStyle name="40 % - Markeringsfarve4 3 2 7" xfId="31719" xr:uid="{1543514E-9EA1-4CBA-8C4C-1E9D6C19D959}"/>
    <cellStyle name="40 % - Markeringsfarve4 3 2 7 2" xfId="31720" xr:uid="{D14EA5B5-FAB8-4841-8174-7FEDAC35A11B}"/>
    <cellStyle name="40 % - Markeringsfarve4 3 2 8" xfId="31721" xr:uid="{0581E140-0BFF-44D3-8E6A-3D1F87C241D1}"/>
    <cellStyle name="40 % - Markeringsfarve4 3 3" xfId="31722" xr:uid="{AC89C4A7-AB7C-4E50-9612-E22C1EC8BCD5}"/>
    <cellStyle name="40 % - Markeringsfarve4 3 3 2" xfId="31723" xr:uid="{D8BDBEDD-444D-44B7-A902-3945C4F3A921}"/>
    <cellStyle name="40 % - Markeringsfarve4 3 3 2 2" xfId="31724" xr:uid="{75365845-B89B-4E40-BCB3-34B90D944534}"/>
    <cellStyle name="40 % - Markeringsfarve4 3 3 2 3" xfId="31725" xr:uid="{404C30FE-68C6-4114-8A6C-C6C796AA10A1}"/>
    <cellStyle name="40 % - Markeringsfarve4 3 3 3" xfId="31726" xr:uid="{56644C08-87FE-4880-A4A1-90007188F36A}"/>
    <cellStyle name="40 % - Markeringsfarve4 3 3 3 2" xfId="31727" xr:uid="{D35B23FC-A862-4D9A-87E0-E26F5A3AF241}"/>
    <cellStyle name="40 % - Markeringsfarve4 3 3 3 3" xfId="31728" xr:uid="{70CAFB66-0FE9-4CAF-83A8-049866CE3403}"/>
    <cellStyle name="40 % - Markeringsfarve4 3 3 4" xfId="31729" xr:uid="{BDEFA79C-E275-4D6A-A174-FC5FEC4CFD10}"/>
    <cellStyle name="40 % - Markeringsfarve4 3 3 4 2" xfId="31730" xr:uid="{E535E366-5529-4A21-896D-AD6471C112D8}"/>
    <cellStyle name="40 % - Markeringsfarve4 3 3 4 3" xfId="31731" xr:uid="{5F7B2C0F-642D-4DD3-940C-FEB5A979915A}"/>
    <cellStyle name="40 % - Markeringsfarve4 3 3 5" xfId="31732" xr:uid="{69F5E8F1-811E-4D91-A02C-1A00C23406E0}"/>
    <cellStyle name="40 % - Markeringsfarve4 3 3 5 2" xfId="31733" xr:uid="{E073D31A-F8AD-48C7-902E-D2B5F4AF6821}"/>
    <cellStyle name="40 % - Markeringsfarve4 3 3 5 3" xfId="31734" xr:uid="{2050EEF2-EDAC-4F85-B9C1-3E33D218A559}"/>
    <cellStyle name="40 % - Markeringsfarve4 3 3 6" xfId="31735" xr:uid="{85E00A2A-4FA7-423B-AAF1-AAF10240AED8}"/>
    <cellStyle name="40 % - Markeringsfarve4 3 3 6 2" xfId="31736" xr:uid="{6CC6D744-BAC2-464B-A586-17F0BDB45D0F}"/>
    <cellStyle name="40 % - Markeringsfarve4 3 3 6 3" xfId="31737" xr:uid="{DE903C0F-D4C0-4B7D-8B7B-1027910CBFA8}"/>
    <cellStyle name="40 % - Markeringsfarve4 3 3 7" xfId="31738" xr:uid="{AF2F1970-3106-480E-A735-CD20D4378C13}"/>
    <cellStyle name="40 % - Markeringsfarve4 3 3 7 2" xfId="31739" xr:uid="{EA461999-0C93-4879-987A-14912880182D}"/>
    <cellStyle name="40 % - Markeringsfarve4 3 3 8" xfId="31740" xr:uid="{F3122871-FBF2-48F7-8484-45A6E1DD6477}"/>
    <cellStyle name="40 % - Markeringsfarve4 3 4" xfId="31741" xr:uid="{D9CEF9BC-2FCD-4EF0-9306-F5C2F5E892B0}"/>
    <cellStyle name="40 % - Markeringsfarve4 3 4 2" xfId="31742" xr:uid="{727A612E-7075-4E9D-8B89-DF84A3854953}"/>
    <cellStyle name="40 % - Markeringsfarve4 3 4 3" xfId="31743" xr:uid="{09143E3A-E196-497B-B336-26229F38AE93}"/>
    <cellStyle name="40 % - Markeringsfarve4 3 5" xfId="31744" xr:uid="{37FEB273-281A-484E-BFBF-FE9DC77D653E}"/>
    <cellStyle name="40 % - Markeringsfarve4 3 5 2" xfId="31745" xr:uid="{E0282D7F-9043-41ED-9ED2-1E32B531F5CE}"/>
    <cellStyle name="40 % - Markeringsfarve4 3 5 3" xfId="31746" xr:uid="{DBCE11C1-DBA7-44E0-89B8-1DA32444EE06}"/>
    <cellStyle name="40 % - Markeringsfarve4 3 6" xfId="31747" xr:uid="{D931C9A8-ACCD-46FF-86CF-2BB8E5167F2C}"/>
    <cellStyle name="40 % - Markeringsfarve4 3 6 2" xfId="31748" xr:uid="{3B27C919-1F9C-4C40-B471-95C1C7F8EB1D}"/>
    <cellStyle name="40 % - Markeringsfarve4 3 6 3" xfId="31749" xr:uid="{450324A0-E8E4-48CA-9007-C4CFE5FAF2EA}"/>
    <cellStyle name="40 % - Markeringsfarve4 3 7" xfId="31750" xr:uid="{52C85B57-48FB-4590-84F7-998ED4BA6BAD}"/>
    <cellStyle name="40 % - Markeringsfarve4 3 7 2" xfId="31751" xr:uid="{347FCB41-E0C9-453A-91F6-09AE363DB7C4}"/>
    <cellStyle name="40 % - Markeringsfarve4 3 7 3" xfId="31752" xr:uid="{E650A1E7-4B84-4551-9CC0-300348308181}"/>
    <cellStyle name="40 % - Markeringsfarve4 3 8" xfId="31753" xr:uid="{2C07C8A3-7674-421A-AC58-68E38FB6FE55}"/>
    <cellStyle name="40 % - Markeringsfarve4 3 8 2" xfId="31754" xr:uid="{3DEC3B57-92DA-470C-8632-05DE7731F4EE}"/>
    <cellStyle name="40 % - Markeringsfarve4 3 8 3" xfId="31755" xr:uid="{892E5B21-0F6B-4D05-B96E-24082483E0D5}"/>
    <cellStyle name="40 % - Markeringsfarve4 3 9" xfId="31756" xr:uid="{C343CD5C-32FE-4E49-80D8-DB6452123BD7}"/>
    <cellStyle name="40 % - Markeringsfarve4 3 9 2" xfId="31757" xr:uid="{290C5198-8650-4163-870E-3D5BC6357813}"/>
    <cellStyle name="40 % - Markeringsfarve4 4" xfId="23599" xr:uid="{65D2686E-06B3-49B1-81A1-8BD43D1221AD}"/>
    <cellStyle name="40 % - Markeringsfarve4 4 2" xfId="23600" xr:uid="{0261A3ED-5293-442B-8248-81F13AAC20CF}"/>
    <cellStyle name="40 % - Markeringsfarve4 4 2 2" xfId="31758" xr:uid="{C27AFCAE-C08F-4FFF-A2BB-01EC2F28533F}"/>
    <cellStyle name="40 % - Markeringsfarve4 4 2 3" xfId="31759" xr:uid="{B11F1EFB-837D-4F29-B0C5-9D374FFC0F6B}"/>
    <cellStyle name="40 % - Markeringsfarve4 4 3" xfId="31760" xr:uid="{66FF0703-6A0B-4DB8-84FE-C9FB33AC7C3D}"/>
    <cellStyle name="40 % - Markeringsfarve4 4 3 2" xfId="31761" xr:uid="{49787788-9CFF-494D-A255-190564840952}"/>
    <cellStyle name="40 % - Markeringsfarve4 4 3 3" xfId="31762" xr:uid="{8D4177A8-567B-4232-BF16-3D765CE252EE}"/>
    <cellStyle name="40 % - Markeringsfarve4 4 4" xfId="31763" xr:uid="{27EA0D10-CABB-4D17-81BA-754CF98490A9}"/>
    <cellStyle name="40 % - Markeringsfarve4 4 4 2" xfId="31764" xr:uid="{7B562395-E76C-4816-B86F-9D4E96872AD1}"/>
    <cellStyle name="40 % - Markeringsfarve4 4 4 3" xfId="31765" xr:uid="{73B3CA51-783E-4792-B932-BB33D19BC9D5}"/>
    <cellStyle name="40 % - Markeringsfarve4 4 5" xfId="31766" xr:uid="{1A10FE00-BF54-44F1-A566-CB7592E9C020}"/>
    <cellStyle name="40 % - Markeringsfarve4 4 5 2" xfId="31767" xr:uid="{B2CFB740-8075-4BF0-83C9-527217EA6FE7}"/>
    <cellStyle name="40 % - Markeringsfarve4 4 5 3" xfId="31768" xr:uid="{6CC696DC-99B5-42E4-8E64-D093D6A35D15}"/>
    <cellStyle name="40 % - Markeringsfarve4 4 6" xfId="31769" xr:uid="{5FF2B6DD-2B26-4343-B7EF-997776C9335C}"/>
    <cellStyle name="40 % - Markeringsfarve4 4 6 2" xfId="31770" xr:uid="{F53E191E-347C-451D-B0D4-52BC4FBC8D0E}"/>
    <cellStyle name="40 % - Markeringsfarve4 4 6 3" xfId="31771" xr:uid="{F068CAB2-95BB-4097-886B-BAE419AAADD3}"/>
    <cellStyle name="40 % - Markeringsfarve4 4 7" xfId="31772" xr:uid="{AC4DBD26-3E3B-430F-828C-4D329617F3B8}"/>
    <cellStyle name="40 % - Markeringsfarve4 4 7 2" xfId="31773" xr:uid="{952823B4-0F99-4EB7-BB0A-8F4F25CFEA62}"/>
    <cellStyle name="40 % - Markeringsfarve4 4 8" xfId="31774" xr:uid="{3C19B8FD-E5F0-46DD-8B31-CC48572B5F91}"/>
    <cellStyle name="40 % - Markeringsfarve4 5" xfId="23601" xr:uid="{FAA08A51-E376-45ED-9101-67FB764BA201}"/>
    <cellStyle name="40 % - Markeringsfarve4 5 2" xfId="23602" xr:uid="{5B95315F-8581-4690-80FD-25D1A5EA249A}"/>
    <cellStyle name="40 % - Markeringsfarve4 5 2 2" xfId="31775" xr:uid="{3F0170D5-0F14-4849-9AD3-22C460EF40CF}"/>
    <cellStyle name="40 % - Markeringsfarve4 5 2 3" xfId="31776" xr:uid="{126DCA5A-0563-4437-85F3-C506797C5508}"/>
    <cellStyle name="40 % - Markeringsfarve4 5 3" xfId="31777" xr:uid="{6D55DA98-AF0E-4808-B0DB-0746A489B74F}"/>
    <cellStyle name="40 % - Markeringsfarve4 5 3 2" xfId="31778" xr:uid="{126C7AAB-54D7-4B7F-BB9D-C403347845F3}"/>
    <cellStyle name="40 % - Markeringsfarve4 5 3 3" xfId="31779" xr:uid="{C75EA6AB-930F-40FE-A488-E9EA316D9808}"/>
    <cellStyle name="40 % - Markeringsfarve4 5 4" xfId="31780" xr:uid="{F47F0A10-5C9F-4F45-8AE9-3669DD42CBDB}"/>
    <cellStyle name="40 % - Markeringsfarve4 5 4 2" xfId="31781" xr:uid="{DA7D9B5E-7C32-4E84-BDAE-7064D40BF50F}"/>
    <cellStyle name="40 % - Markeringsfarve4 5 4 3" xfId="31782" xr:uid="{A0E02CF5-FFF1-47E6-9231-460487BBC139}"/>
    <cellStyle name="40 % - Markeringsfarve4 5 5" xfId="31783" xr:uid="{00C8D691-AE58-40B2-9A6F-AC43E8649FD0}"/>
    <cellStyle name="40 % - Markeringsfarve4 5 5 2" xfId="31784" xr:uid="{21DA8EDC-DA7E-4164-A9A5-C8101E38DB65}"/>
    <cellStyle name="40 % - Markeringsfarve4 5 5 3" xfId="31785" xr:uid="{016E98AC-064C-4776-A5E2-5A63501E5151}"/>
    <cellStyle name="40 % - Markeringsfarve4 5 6" xfId="31786" xr:uid="{94ECE25D-0363-4A5A-86EA-6BFAA9114BCE}"/>
    <cellStyle name="40 % - Markeringsfarve4 5 6 2" xfId="31787" xr:uid="{56C0429D-3206-41A3-A22B-EBB0C62302AF}"/>
    <cellStyle name="40 % - Markeringsfarve4 5 6 3" xfId="31788" xr:uid="{F1F1BD71-1F22-4926-AFF9-4029E89A8D74}"/>
    <cellStyle name="40 % - Markeringsfarve4 5 7" xfId="31789" xr:uid="{79511C73-FAD7-43A4-82C7-5339D329A78A}"/>
    <cellStyle name="40 % - Markeringsfarve4 5 7 2" xfId="31790" xr:uid="{E4AC8180-D8FB-4FE0-9CE0-8DAB60A42CB1}"/>
    <cellStyle name="40 % - Markeringsfarve4 5 8" xfId="31791" xr:uid="{0DA72083-3097-44A9-A3BF-D91BAD38654C}"/>
    <cellStyle name="40 % - Markeringsfarve4 6" xfId="23603" xr:uid="{9A5E3BFC-C310-488B-A7F9-7813D158FFF1}"/>
    <cellStyle name="40 % - Markeringsfarve4 6 2" xfId="23604" xr:uid="{45ADDF8B-2D8D-44DC-940C-A106DBCFF905}"/>
    <cellStyle name="40 % - Markeringsfarve4 6 3" xfId="31792" xr:uid="{F4044E54-30BA-4021-A51F-2CF4B64D1ECE}"/>
    <cellStyle name="40 % - Markeringsfarve4 7" xfId="23605" xr:uid="{BD87218B-E060-4D1B-9957-452925653E0B}"/>
    <cellStyle name="40 % - Markeringsfarve4 7 2" xfId="31793" xr:uid="{0FBB17F9-DF5A-4D21-8904-C56644D2F110}"/>
    <cellStyle name="40 % - Markeringsfarve4 7 3" xfId="31794" xr:uid="{4CE64C2D-FF40-4D33-94E2-5113C4BE316B}"/>
    <cellStyle name="40 % - Markeringsfarve4 8" xfId="31795" xr:uid="{381626C9-D08A-4A33-B5B1-4369D4B0C031}"/>
    <cellStyle name="40 % - Markeringsfarve4 8 2" xfId="31796" xr:uid="{44F80F46-5A84-4D65-9C88-FFA14C9D20D9}"/>
    <cellStyle name="40 % - Markeringsfarve4 8 3" xfId="31797" xr:uid="{5B4D36B9-5F6E-4094-8F19-CEF232D6185F}"/>
    <cellStyle name="40 % - Markeringsfarve4 9" xfId="31798" xr:uid="{CEC73817-3CCA-4AA4-B17B-5FC23223C923}"/>
    <cellStyle name="40 % - Markeringsfarve4 9 2" xfId="31799" xr:uid="{BA86EEA2-5882-45FE-9556-A6E20C70E5AE}"/>
    <cellStyle name="40 % - Markeringsfarve4 9 3" xfId="31800" xr:uid="{D6D0C9E2-F1B5-4A5C-B683-1A51B1C76C54}"/>
    <cellStyle name="40 % - Markeringsfarve5" xfId="1279" xr:uid="{00000000-0005-0000-0000-000020000000}"/>
    <cellStyle name="40 % - Markeringsfarve5 10" xfId="31801" xr:uid="{29D9C160-9327-4BCA-BA0C-44D43C1B8F30}"/>
    <cellStyle name="40 % - Markeringsfarve5 10 2" xfId="31802" xr:uid="{4570428D-1FE9-4174-BA60-5681D07DA691}"/>
    <cellStyle name="40 % - Markeringsfarve5 10 3" xfId="31803" xr:uid="{2D1B73F1-4277-44FD-8610-DC80F85A0DE8}"/>
    <cellStyle name="40 % - Markeringsfarve5 11" xfId="31804" xr:uid="{988A3624-1ECB-4944-AF09-81C3AF3684FF}"/>
    <cellStyle name="40 % - Markeringsfarve5 11 2" xfId="31805" xr:uid="{7831BF20-88E1-4F0C-BEA9-692902903F64}"/>
    <cellStyle name="40 % - Markeringsfarve5 12" xfId="31806" xr:uid="{3D3A026F-62EF-4375-87C5-D08698D1185E}"/>
    <cellStyle name="40 % - Markeringsfarve5 13" xfId="17737" xr:uid="{B4AEFC90-F02D-480E-8FF5-4AE964192F87}"/>
    <cellStyle name="40 % - Markeringsfarve5 2" xfId="1280" xr:uid="{00000000-0005-0000-0000-000021000000}"/>
    <cellStyle name="40 % - Markeringsfarve5 2 10" xfId="31807" xr:uid="{0A2A87CB-4B34-48F9-8837-B09DD06E558F}"/>
    <cellStyle name="40 % - Markeringsfarve5 2 11" xfId="17738" xr:uid="{DBE9A9FD-F91F-44AE-B155-FC3A273479E8}"/>
    <cellStyle name="40 % - Markeringsfarve5 2 2" xfId="23606" xr:uid="{3E8D5AC5-12C9-4595-97B2-A60100FB33EA}"/>
    <cellStyle name="40 % - Markeringsfarve5 2 2 2" xfId="23607" xr:uid="{B1CD5133-94AD-4302-A86C-81182420DDEB}"/>
    <cellStyle name="40 % - Markeringsfarve5 2 2 2 2" xfId="31808" xr:uid="{6383760D-B570-4AC3-AD1E-4C74D7911EE4}"/>
    <cellStyle name="40 % - Markeringsfarve5 2 2 2 3" xfId="31809" xr:uid="{464B9D19-E457-49B3-A3DF-4B77CC0AEB4F}"/>
    <cellStyle name="40 % - Markeringsfarve5 2 2 3" xfId="31810" xr:uid="{309C46C9-4F51-4F82-A5FC-EDFB2AD58D5B}"/>
    <cellStyle name="40 % - Markeringsfarve5 2 2 3 2" xfId="31811" xr:uid="{7493D54D-617F-41ED-B27C-0405A0E52B25}"/>
    <cellStyle name="40 % - Markeringsfarve5 2 2 3 3" xfId="31812" xr:uid="{5C414FF2-4D73-4717-877A-41E7F31983DC}"/>
    <cellStyle name="40 % - Markeringsfarve5 2 2 4" xfId="31813" xr:uid="{A1DDBCC5-8407-448F-8D38-D514E12028A9}"/>
    <cellStyle name="40 % - Markeringsfarve5 2 2 4 2" xfId="31814" xr:uid="{F01A3DDB-B51D-4F66-9727-BCDFE4E138B6}"/>
    <cellStyle name="40 % - Markeringsfarve5 2 2 4 3" xfId="31815" xr:uid="{A4CAECA1-8506-48B8-A099-4E5B41118783}"/>
    <cellStyle name="40 % - Markeringsfarve5 2 2 5" xfId="31816" xr:uid="{FD879C7C-506F-4408-B718-A67D0674B13F}"/>
    <cellStyle name="40 % - Markeringsfarve5 2 2 5 2" xfId="31817" xr:uid="{7F930B7B-E76F-4EFB-907C-E569D2B95A13}"/>
    <cellStyle name="40 % - Markeringsfarve5 2 2 5 3" xfId="31818" xr:uid="{A6E5D123-382B-4142-9ED8-9FB4B43DF274}"/>
    <cellStyle name="40 % - Markeringsfarve5 2 2 6" xfId="31819" xr:uid="{A5F0CE21-37A6-4CBA-B1AD-13183DE611E5}"/>
    <cellStyle name="40 % - Markeringsfarve5 2 2 6 2" xfId="31820" xr:uid="{2D461269-BBBF-4D39-85A0-8BFCE7CE026D}"/>
    <cellStyle name="40 % - Markeringsfarve5 2 2 6 3" xfId="31821" xr:uid="{83E8BF6D-CA73-4AF5-8F63-2B9B00068995}"/>
    <cellStyle name="40 % - Markeringsfarve5 2 2 7" xfId="31822" xr:uid="{0B0211F5-D787-4B73-8746-147143EFD789}"/>
    <cellStyle name="40 % - Markeringsfarve5 2 2 7 2" xfId="31823" xr:uid="{E8B417CD-5027-40DC-BFC1-399E78AEE196}"/>
    <cellStyle name="40 % - Markeringsfarve5 2 2 8" xfId="31824" xr:uid="{676478AD-E601-4CB6-B93A-44DA37930587}"/>
    <cellStyle name="40 % - Markeringsfarve5 2 3" xfId="23608" xr:uid="{22EDCD09-98ED-45B7-B2B8-7DD36B72E2FB}"/>
    <cellStyle name="40 % - Markeringsfarve5 2 3 2" xfId="23609" xr:uid="{FABD1368-3EA9-4D31-8EA1-95C840402F26}"/>
    <cellStyle name="40 % - Markeringsfarve5 2 3 2 2" xfId="31825" xr:uid="{2C28FDFF-AA9F-447F-A7B4-2F7BF617C14C}"/>
    <cellStyle name="40 % - Markeringsfarve5 2 3 2 3" xfId="31826" xr:uid="{3D1E7B3C-D77C-4442-BD1E-2D2C9B36D00E}"/>
    <cellStyle name="40 % - Markeringsfarve5 2 3 3" xfId="31827" xr:uid="{48B0D09F-878F-46E3-9791-8BFAE6C40BA4}"/>
    <cellStyle name="40 % - Markeringsfarve5 2 3 3 2" xfId="31828" xr:uid="{7C59D820-65F9-4188-BD77-FF8F236D2E10}"/>
    <cellStyle name="40 % - Markeringsfarve5 2 3 3 3" xfId="31829" xr:uid="{201C73DC-0668-4935-A59D-66607C5B6B39}"/>
    <cellStyle name="40 % - Markeringsfarve5 2 3 4" xfId="31830" xr:uid="{F9111929-C137-49B0-BB99-886C36563D33}"/>
    <cellStyle name="40 % - Markeringsfarve5 2 3 4 2" xfId="31831" xr:uid="{CD4CE431-28AC-4AA3-AABE-17EB87F4A7C1}"/>
    <cellStyle name="40 % - Markeringsfarve5 2 3 4 3" xfId="31832" xr:uid="{E897E88B-B9F8-40CB-BD24-1104072D4544}"/>
    <cellStyle name="40 % - Markeringsfarve5 2 3 5" xfId="31833" xr:uid="{E707136D-2516-4511-A0EF-19B38E2A7E17}"/>
    <cellStyle name="40 % - Markeringsfarve5 2 3 5 2" xfId="31834" xr:uid="{FF45DC89-862D-41C9-8C48-A7807F52486E}"/>
    <cellStyle name="40 % - Markeringsfarve5 2 3 5 3" xfId="31835" xr:uid="{36E118FB-8502-4639-97AF-DE0E5C084989}"/>
    <cellStyle name="40 % - Markeringsfarve5 2 3 6" xfId="31836" xr:uid="{5CD7944A-08F8-40A5-ACDC-5C76FC38FFDE}"/>
    <cellStyle name="40 % - Markeringsfarve5 2 3 6 2" xfId="31837" xr:uid="{676E4561-D50F-450C-B282-90831E3235E0}"/>
    <cellStyle name="40 % - Markeringsfarve5 2 3 6 3" xfId="31838" xr:uid="{EF7CAA4D-3769-40E0-98C6-9781F1EA674E}"/>
    <cellStyle name="40 % - Markeringsfarve5 2 3 7" xfId="31839" xr:uid="{511FF2DB-BFE3-43B5-B62E-FFFFA06B3A3C}"/>
    <cellStyle name="40 % - Markeringsfarve5 2 3 7 2" xfId="31840" xr:uid="{0C8ADF69-6BB3-42F0-AA6A-99163B17EC1C}"/>
    <cellStyle name="40 % - Markeringsfarve5 2 3 8" xfId="31841" xr:uid="{E2A5B185-40D5-41CF-B1D9-772898021CA2}"/>
    <cellStyle name="40 % - Markeringsfarve5 2 4" xfId="23610" xr:uid="{E4086B6D-BF9C-495D-831D-2432E211E634}"/>
    <cellStyle name="40 % - Markeringsfarve5 2 4 2" xfId="31842" xr:uid="{888462B9-65F9-422E-8918-E62DCEE9B955}"/>
    <cellStyle name="40 % - Markeringsfarve5 2 4 3" xfId="31843" xr:uid="{BD2FE467-C0F0-41AE-8B20-BA42DE290F58}"/>
    <cellStyle name="40 % - Markeringsfarve5 2 5" xfId="31844" xr:uid="{6F91B52A-EE13-48C7-AA3E-1036335910F5}"/>
    <cellStyle name="40 % - Markeringsfarve5 2 5 2" xfId="31845" xr:uid="{94EC29F5-3626-48FE-82CC-22EE9D800CE1}"/>
    <cellStyle name="40 % - Markeringsfarve5 2 5 3" xfId="31846" xr:uid="{BF39A8DF-0E34-495D-8893-DAA7BC55157E}"/>
    <cellStyle name="40 % - Markeringsfarve5 2 6" xfId="31847" xr:uid="{7245EEE9-EF3F-4546-99AD-3E982013F99D}"/>
    <cellStyle name="40 % - Markeringsfarve5 2 6 2" xfId="31848" xr:uid="{EEA4B3A3-C9E9-412B-90D4-198A255EDDA8}"/>
    <cellStyle name="40 % - Markeringsfarve5 2 6 3" xfId="31849" xr:uid="{F6C3BA28-B452-4CB9-A1CE-B6D4C60A550D}"/>
    <cellStyle name="40 % - Markeringsfarve5 2 7" xfId="31850" xr:uid="{2ABDAEA1-40D8-4883-A91F-D024C75ABAD6}"/>
    <cellStyle name="40 % - Markeringsfarve5 2 7 2" xfId="31851" xr:uid="{E1A1BC12-94B3-4FFF-9781-99AC5D2886C1}"/>
    <cellStyle name="40 % - Markeringsfarve5 2 7 3" xfId="31852" xr:uid="{E292CA6E-2D43-4859-8A9A-013CAED5CA0C}"/>
    <cellStyle name="40 % - Markeringsfarve5 2 8" xfId="31853" xr:uid="{7126FE6B-10B9-46D6-9A8A-84A3A57D9AF6}"/>
    <cellStyle name="40 % - Markeringsfarve5 2 8 2" xfId="31854" xr:uid="{FA63A2FD-5BD5-47D6-8D27-991A4259D238}"/>
    <cellStyle name="40 % - Markeringsfarve5 2 8 3" xfId="31855" xr:uid="{336D1F01-66CF-458C-AB1E-143682999656}"/>
    <cellStyle name="40 % - Markeringsfarve5 2 9" xfId="31856" xr:uid="{97AD421E-62F8-47F8-A043-246005876A70}"/>
    <cellStyle name="40 % - Markeringsfarve5 2 9 2" xfId="31857" xr:uid="{D14EAD69-D1FA-423F-A157-F72FBB97077E}"/>
    <cellStyle name="40 % - Markeringsfarve5 3" xfId="2595" xr:uid="{6BEDEBE0-9333-4464-909A-6646045222C4}"/>
    <cellStyle name="40 % - Markeringsfarve5 3 10" xfId="31858" xr:uid="{B73A3AD5-8C87-4C22-9D85-E476F8BABEAF}"/>
    <cellStyle name="40 % - Markeringsfarve5 3 2" xfId="23611" xr:uid="{748F3534-1A92-4EFB-998E-A1909BF29871}"/>
    <cellStyle name="40 % - Markeringsfarve5 3 2 2" xfId="31859" xr:uid="{A50D0E6A-5F9E-4B43-9469-663F78B92870}"/>
    <cellStyle name="40 % - Markeringsfarve5 3 2 2 2" xfId="31860" xr:uid="{A02965D6-D14B-4283-8E87-55698638F689}"/>
    <cellStyle name="40 % - Markeringsfarve5 3 2 2 3" xfId="31861" xr:uid="{4F3DC080-3392-47E9-ABEE-35F7DEE70C6A}"/>
    <cellStyle name="40 % - Markeringsfarve5 3 2 3" xfId="31862" xr:uid="{DED4741C-14FE-4E2A-855C-1DE8D750E298}"/>
    <cellStyle name="40 % - Markeringsfarve5 3 2 3 2" xfId="31863" xr:uid="{1D532E8B-1CCD-4F5A-BB4C-0A4B18230A57}"/>
    <cellStyle name="40 % - Markeringsfarve5 3 2 3 3" xfId="31864" xr:uid="{2F9785CB-1647-4C9F-A577-7B8A1F12FC5E}"/>
    <cellStyle name="40 % - Markeringsfarve5 3 2 4" xfId="31865" xr:uid="{C2EF0179-F9D9-4705-9807-58CB70CA7D2B}"/>
    <cellStyle name="40 % - Markeringsfarve5 3 2 4 2" xfId="31866" xr:uid="{4333A3DA-EE23-4E1C-9A98-4A040BB61039}"/>
    <cellStyle name="40 % - Markeringsfarve5 3 2 4 3" xfId="31867" xr:uid="{3E83F244-83E2-4E45-9C50-4B5D2EBF6E6E}"/>
    <cellStyle name="40 % - Markeringsfarve5 3 2 5" xfId="31868" xr:uid="{C58F4B31-B3DC-499C-B5B8-C2F617F1A573}"/>
    <cellStyle name="40 % - Markeringsfarve5 3 2 5 2" xfId="31869" xr:uid="{9D80C8D3-F988-40DE-8B70-4B678CFA748F}"/>
    <cellStyle name="40 % - Markeringsfarve5 3 2 5 3" xfId="31870" xr:uid="{C2E867C2-0AAC-4587-9E8A-39160809F047}"/>
    <cellStyle name="40 % - Markeringsfarve5 3 2 6" xfId="31871" xr:uid="{176650D9-DCF9-4487-911C-09E07070FAEE}"/>
    <cellStyle name="40 % - Markeringsfarve5 3 2 6 2" xfId="31872" xr:uid="{EA3B2B47-994A-43A6-B7C3-BFF424AE6EF0}"/>
    <cellStyle name="40 % - Markeringsfarve5 3 2 6 3" xfId="31873" xr:uid="{FD87B69F-D570-457D-8733-52BD754C85A6}"/>
    <cellStyle name="40 % - Markeringsfarve5 3 2 7" xfId="31874" xr:uid="{8122F399-BB86-4DA9-9249-C368435BEE79}"/>
    <cellStyle name="40 % - Markeringsfarve5 3 2 7 2" xfId="31875" xr:uid="{0CDB1ABC-676D-4D9A-988B-7611C0007E10}"/>
    <cellStyle name="40 % - Markeringsfarve5 3 2 8" xfId="31876" xr:uid="{8B4A6133-7400-4A35-941E-03BC29853CD6}"/>
    <cellStyle name="40 % - Markeringsfarve5 3 3" xfId="31877" xr:uid="{EA2CBAE1-4079-494C-9404-AB332C5F2A79}"/>
    <cellStyle name="40 % - Markeringsfarve5 3 3 2" xfId="31878" xr:uid="{3AB73830-A0BD-4D49-AEDF-70FFAC09066E}"/>
    <cellStyle name="40 % - Markeringsfarve5 3 3 2 2" xfId="31879" xr:uid="{374D29F7-0B95-4A01-AD42-A2CB9F4575D9}"/>
    <cellStyle name="40 % - Markeringsfarve5 3 3 2 3" xfId="31880" xr:uid="{C62EAFD9-9096-4D73-B089-1ED6FB5BA65C}"/>
    <cellStyle name="40 % - Markeringsfarve5 3 3 3" xfId="31881" xr:uid="{891FDF5F-A512-484D-8BB5-DBA475413389}"/>
    <cellStyle name="40 % - Markeringsfarve5 3 3 3 2" xfId="31882" xr:uid="{641C0D33-8AF9-45B3-AACC-D9E710460158}"/>
    <cellStyle name="40 % - Markeringsfarve5 3 3 3 3" xfId="31883" xr:uid="{8CFA081D-36BF-4C02-94CF-43F601A5396B}"/>
    <cellStyle name="40 % - Markeringsfarve5 3 3 4" xfId="31884" xr:uid="{74C4C348-5353-434A-A3EE-4695472723CC}"/>
    <cellStyle name="40 % - Markeringsfarve5 3 3 4 2" xfId="31885" xr:uid="{7D9E7522-23B0-44C7-92C5-E0AE257DCCA9}"/>
    <cellStyle name="40 % - Markeringsfarve5 3 3 4 3" xfId="31886" xr:uid="{F6572C32-788A-400B-9F95-31F3FA0CF95B}"/>
    <cellStyle name="40 % - Markeringsfarve5 3 3 5" xfId="31887" xr:uid="{DACE5517-3FC0-435A-97DF-F9D3AC80BA42}"/>
    <cellStyle name="40 % - Markeringsfarve5 3 3 5 2" xfId="31888" xr:uid="{77697459-60DD-468C-BCAD-1EB128343798}"/>
    <cellStyle name="40 % - Markeringsfarve5 3 3 5 3" xfId="31889" xr:uid="{65EAEBE1-C554-4535-A6BF-952862029498}"/>
    <cellStyle name="40 % - Markeringsfarve5 3 3 6" xfId="31890" xr:uid="{062EFE93-1103-45AB-BA66-F9DA03093A8F}"/>
    <cellStyle name="40 % - Markeringsfarve5 3 3 6 2" xfId="31891" xr:uid="{725EB24E-9A3B-4056-82C9-8A3C5C61FF7E}"/>
    <cellStyle name="40 % - Markeringsfarve5 3 3 6 3" xfId="31892" xr:uid="{AC7D07EE-A0E0-47D9-9847-D02F842099A3}"/>
    <cellStyle name="40 % - Markeringsfarve5 3 3 7" xfId="31893" xr:uid="{A1460A30-0BC1-4AEA-A93D-2B97745285DB}"/>
    <cellStyle name="40 % - Markeringsfarve5 3 3 7 2" xfId="31894" xr:uid="{91F7AD2B-0008-43CD-9539-5653AABDE5D5}"/>
    <cellStyle name="40 % - Markeringsfarve5 3 3 8" xfId="31895" xr:uid="{20A7405C-58FF-4FC3-BF25-3F1D7149E576}"/>
    <cellStyle name="40 % - Markeringsfarve5 3 4" xfId="31896" xr:uid="{FD814917-81DF-4C01-BB27-9A0B108C3299}"/>
    <cellStyle name="40 % - Markeringsfarve5 3 4 2" xfId="31897" xr:uid="{52E94C91-CE04-4153-A9F0-91A740F0CA9E}"/>
    <cellStyle name="40 % - Markeringsfarve5 3 4 3" xfId="31898" xr:uid="{D9E1BA70-63EC-42CE-B140-A585DB2CDC54}"/>
    <cellStyle name="40 % - Markeringsfarve5 3 5" xfId="31899" xr:uid="{DB5F7C81-558F-404F-96E1-233B9BB60EF2}"/>
    <cellStyle name="40 % - Markeringsfarve5 3 5 2" xfId="31900" xr:uid="{427B9040-3F22-4561-AC32-37678D2AA303}"/>
    <cellStyle name="40 % - Markeringsfarve5 3 5 3" xfId="31901" xr:uid="{4131DB03-D30B-4107-9CC3-895C330A6B19}"/>
    <cellStyle name="40 % - Markeringsfarve5 3 6" xfId="31902" xr:uid="{29398C6A-C263-4CDC-8D08-D36DF2A475C2}"/>
    <cellStyle name="40 % - Markeringsfarve5 3 6 2" xfId="31903" xr:uid="{C455D4AF-DF65-411C-999F-E81EF2761DEA}"/>
    <cellStyle name="40 % - Markeringsfarve5 3 6 3" xfId="31904" xr:uid="{759971A0-0EAE-4D3B-89D0-F8ED5B5FC1AD}"/>
    <cellStyle name="40 % - Markeringsfarve5 3 7" xfId="31905" xr:uid="{DCF13669-A82D-460D-ABA7-85E56B5E0AD1}"/>
    <cellStyle name="40 % - Markeringsfarve5 3 7 2" xfId="31906" xr:uid="{CBD889EA-7FCC-422A-A0EE-5C44DFACED18}"/>
    <cellStyle name="40 % - Markeringsfarve5 3 7 3" xfId="31907" xr:uid="{5F0FDFAD-D0B5-47F5-8A02-0EC4175271DF}"/>
    <cellStyle name="40 % - Markeringsfarve5 3 8" xfId="31908" xr:uid="{66A0B4FD-6DA2-4D66-8F4E-0C368D6EE3CF}"/>
    <cellStyle name="40 % - Markeringsfarve5 3 8 2" xfId="31909" xr:uid="{E71270D9-13CE-4D74-AF3F-72CD68E676B6}"/>
    <cellStyle name="40 % - Markeringsfarve5 3 8 3" xfId="31910" xr:uid="{12A317A5-ADED-46B5-AC4A-6F611A18877D}"/>
    <cellStyle name="40 % - Markeringsfarve5 3 9" xfId="31911" xr:uid="{9F6DEC67-5150-47F0-9691-4732129965EE}"/>
    <cellStyle name="40 % - Markeringsfarve5 3 9 2" xfId="31912" xr:uid="{84808B93-63BF-41DF-A6DB-9199263E00F9}"/>
    <cellStyle name="40 % - Markeringsfarve5 4" xfId="23612" xr:uid="{63F869E4-23EA-4E1F-A049-4C43F92446C5}"/>
    <cellStyle name="40 % - Markeringsfarve5 4 2" xfId="23613" xr:uid="{44566414-B6EC-4C30-96E4-91AC240635BE}"/>
    <cellStyle name="40 % - Markeringsfarve5 4 2 2" xfId="31913" xr:uid="{A02E2831-2A12-4FB3-8CF3-282263148AB3}"/>
    <cellStyle name="40 % - Markeringsfarve5 4 2 3" xfId="31914" xr:uid="{EB48EDE7-E67E-440C-84F0-43A5623526F9}"/>
    <cellStyle name="40 % - Markeringsfarve5 4 3" xfId="31915" xr:uid="{76B210EC-C3BD-47F0-96A9-C4F42E3A1FC8}"/>
    <cellStyle name="40 % - Markeringsfarve5 4 3 2" xfId="31916" xr:uid="{061290B3-DFEE-4A27-96A6-69948ECE561F}"/>
    <cellStyle name="40 % - Markeringsfarve5 4 3 3" xfId="31917" xr:uid="{16DF8AAB-AB76-4839-A40E-105FC76BBF15}"/>
    <cellStyle name="40 % - Markeringsfarve5 4 4" xfId="31918" xr:uid="{2F8A9D6A-7913-43AF-BABE-2DE95BAF8297}"/>
    <cellStyle name="40 % - Markeringsfarve5 4 4 2" xfId="31919" xr:uid="{7A8CDD14-3FA7-48C8-8381-416F6D151025}"/>
    <cellStyle name="40 % - Markeringsfarve5 4 4 3" xfId="31920" xr:uid="{C2B4EBA1-1735-497E-BABF-42F088F130DB}"/>
    <cellStyle name="40 % - Markeringsfarve5 4 5" xfId="31921" xr:uid="{A9A80B17-E933-43C7-8B7F-D5DBD162AFDB}"/>
    <cellStyle name="40 % - Markeringsfarve5 4 5 2" xfId="31922" xr:uid="{CE0C9813-D61E-4430-9304-A6AC1FD49931}"/>
    <cellStyle name="40 % - Markeringsfarve5 4 5 3" xfId="31923" xr:uid="{271FA1A7-5A87-474D-861D-7B6A62848C5D}"/>
    <cellStyle name="40 % - Markeringsfarve5 4 6" xfId="31924" xr:uid="{695D979F-5551-494B-9269-F3D7F124A331}"/>
    <cellStyle name="40 % - Markeringsfarve5 4 6 2" xfId="31925" xr:uid="{9F4CE42D-7D11-43A8-8DC7-C8684C15B515}"/>
    <cellStyle name="40 % - Markeringsfarve5 4 6 3" xfId="31926" xr:uid="{96583D10-FA95-42B1-93D9-80A3F2E9CED7}"/>
    <cellStyle name="40 % - Markeringsfarve5 4 7" xfId="31927" xr:uid="{3B8A4C4C-178B-4C7C-A6F7-3260A4742020}"/>
    <cellStyle name="40 % - Markeringsfarve5 4 7 2" xfId="31928" xr:uid="{C2943E51-3E8B-47D7-A79F-0F0634A6F294}"/>
    <cellStyle name="40 % - Markeringsfarve5 4 8" xfId="31929" xr:uid="{71B704F5-8F9A-4D15-8A9A-C5791AB87940}"/>
    <cellStyle name="40 % - Markeringsfarve5 5" xfId="23614" xr:uid="{83BDF34E-B842-4529-B05A-C7E7CFD724F1}"/>
    <cellStyle name="40 % - Markeringsfarve5 5 2" xfId="23615" xr:uid="{3C2E5713-0A57-4E01-B8F0-150B5CAEA634}"/>
    <cellStyle name="40 % - Markeringsfarve5 5 2 2" xfId="31930" xr:uid="{BFB54B7B-0DC2-4AD4-BF75-62E997DF428B}"/>
    <cellStyle name="40 % - Markeringsfarve5 5 2 3" xfId="31931" xr:uid="{280E98F4-E16D-456A-88A8-16C175A74F0C}"/>
    <cellStyle name="40 % - Markeringsfarve5 5 3" xfId="31932" xr:uid="{C6FDC8CB-4D81-450E-B7B5-3CCA546E20D7}"/>
    <cellStyle name="40 % - Markeringsfarve5 5 3 2" xfId="31933" xr:uid="{06D2E730-2D95-407D-B564-1C4B91FA8E71}"/>
    <cellStyle name="40 % - Markeringsfarve5 5 3 3" xfId="31934" xr:uid="{7ECEBAA8-99B0-44EE-BE3D-BE5ABF2683E2}"/>
    <cellStyle name="40 % - Markeringsfarve5 5 4" xfId="31935" xr:uid="{A66A4CE1-5907-4A77-AD38-E201ADC35725}"/>
    <cellStyle name="40 % - Markeringsfarve5 5 4 2" xfId="31936" xr:uid="{09537570-6099-4854-A734-F64D04F2366D}"/>
    <cellStyle name="40 % - Markeringsfarve5 5 4 3" xfId="31937" xr:uid="{58B25154-6973-4DD1-9F1C-DC91DBDD759E}"/>
    <cellStyle name="40 % - Markeringsfarve5 5 5" xfId="31938" xr:uid="{0424BA80-FCD7-4037-AEC1-53E1EFCC1859}"/>
    <cellStyle name="40 % - Markeringsfarve5 5 5 2" xfId="31939" xr:uid="{F77B1801-62AE-47EB-AA12-866AA064841A}"/>
    <cellStyle name="40 % - Markeringsfarve5 5 5 3" xfId="31940" xr:uid="{DF53B6FD-CDA1-4BB4-93D0-F6984B78CFE3}"/>
    <cellStyle name="40 % - Markeringsfarve5 5 6" xfId="31941" xr:uid="{3E1275A1-FCC4-4180-A7B7-EE17607254BB}"/>
    <cellStyle name="40 % - Markeringsfarve5 5 6 2" xfId="31942" xr:uid="{E26660B4-547B-44D4-A734-7E5F1B7BDF5B}"/>
    <cellStyle name="40 % - Markeringsfarve5 5 6 3" xfId="31943" xr:uid="{C1BE81D4-B652-4540-A66A-F571A5F75FB3}"/>
    <cellStyle name="40 % - Markeringsfarve5 5 7" xfId="31944" xr:uid="{510FC001-1367-4DF1-9C72-5C7185E5FDED}"/>
    <cellStyle name="40 % - Markeringsfarve5 5 7 2" xfId="31945" xr:uid="{03324C39-E9FB-4A60-859F-AAC0DDA1D5E1}"/>
    <cellStyle name="40 % - Markeringsfarve5 5 8" xfId="31946" xr:uid="{0DD7455A-2296-4BB8-8705-F14B002B0568}"/>
    <cellStyle name="40 % - Markeringsfarve5 6" xfId="23616" xr:uid="{56BB0587-E464-4DD4-8CA1-3E7A0B4238E4}"/>
    <cellStyle name="40 % - Markeringsfarve5 6 2" xfId="23617" xr:uid="{273B1F06-D4F6-4EED-8975-C7DE0796FA09}"/>
    <cellStyle name="40 % - Markeringsfarve5 6 3" xfId="31947" xr:uid="{F5A3D9E2-F0E5-4756-A75F-F3B180D4D436}"/>
    <cellStyle name="40 % - Markeringsfarve5 7" xfId="23618" xr:uid="{4BA96272-AD16-4CB2-9AAD-3AA6C55DAF94}"/>
    <cellStyle name="40 % - Markeringsfarve5 7 2" xfId="31948" xr:uid="{942AE209-79A0-4524-91F6-F1ECAC9734B4}"/>
    <cellStyle name="40 % - Markeringsfarve5 7 3" xfId="31949" xr:uid="{CECAAB17-172E-4A0A-A222-2BC0E5B750D2}"/>
    <cellStyle name="40 % - Markeringsfarve5 8" xfId="31950" xr:uid="{D9BDEDBA-3298-4CD8-8662-885DD1E39FCC}"/>
    <cellStyle name="40 % - Markeringsfarve5 8 2" xfId="31951" xr:uid="{61BDB8C1-4EB4-46AC-89F9-F4DF67E72B67}"/>
    <cellStyle name="40 % - Markeringsfarve5 8 3" xfId="31952" xr:uid="{A72AC75D-77C9-4E97-A34D-226C2963CC5C}"/>
    <cellStyle name="40 % - Markeringsfarve5 9" xfId="31953" xr:uid="{7CF2E59C-64E6-4538-A69B-F6AC97BF3EAE}"/>
    <cellStyle name="40 % - Markeringsfarve5 9 2" xfId="31954" xr:uid="{80A93F8B-088C-46EE-83CB-C26CC3E30016}"/>
    <cellStyle name="40 % - Markeringsfarve5 9 3" xfId="31955" xr:uid="{C29BEADE-D498-455A-A53E-99943BE70B9D}"/>
    <cellStyle name="40 % - Markeringsfarve6" xfId="1281" xr:uid="{00000000-0005-0000-0000-000022000000}"/>
    <cellStyle name="40 % - Markeringsfarve6 10" xfId="31956" xr:uid="{EC5AAE7B-0F76-4A4A-B7B3-C20260F1312C}"/>
    <cellStyle name="40 % - Markeringsfarve6 10 2" xfId="31957" xr:uid="{98F2D6C6-7539-448B-81B5-BBF10742C831}"/>
    <cellStyle name="40 % - Markeringsfarve6 10 3" xfId="31958" xr:uid="{91057D61-72EC-426E-8D0E-FA63B58781A5}"/>
    <cellStyle name="40 % - Markeringsfarve6 11" xfId="31959" xr:uid="{9DEEEA39-BAA5-40F3-83B7-8B810675CC1E}"/>
    <cellStyle name="40 % - Markeringsfarve6 11 2" xfId="31960" xr:uid="{E491FFFF-DD6A-4811-B3BD-9B4C27033A62}"/>
    <cellStyle name="40 % - Markeringsfarve6 12" xfId="31961" xr:uid="{7AEB2CC0-DCFA-4E8B-BA58-0A79970EA1AD}"/>
    <cellStyle name="40 % - Markeringsfarve6 13" xfId="17739" xr:uid="{C87B72B5-541C-4DCD-B72D-00376F1ADDEE}"/>
    <cellStyle name="40 % - Markeringsfarve6 2" xfId="1282" xr:uid="{00000000-0005-0000-0000-000023000000}"/>
    <cellStyle name="40 % - Markeringsfarve6 2 10" xfId="31962" xr:uid="{148D4243-947E-4A7F-A278-C7C0DA298D59}"/>
    <cellStyle name="40 % - Markeringsfarve6 2 11" xfId="17740" xr:uid="{7EDB3965-2365-439C-BB2C-02738990AFBA}"/>
    <cellStyle name="40 % - Markeringsfarve6 2 2" xfId="23619" xr:uid="{128F2C9D-CBBC-41C5-B1C1-217F97DD5B13}"/>
    <cellStyle name="40 % - Markeringsfarve6 2 2 2" xfId="23620" xr:uid="{C0BC3B00-5223-4EC2-A12E-AFB6E26C9226}"/>
    <cellStyle name="40 % - Markeringsfarve6 2 2 2 2" xfId="31963" xr:uid="{590DB729-ABDB-4EF9-A9D8-4E0793202211}"/>
    <cellStyle name="40 % - Markeringsfarve6 2 2 2 3" xfId="31964" xr:uid="{92E54B89-7671-4CA0-95E9-7E50CDCAC225}"/>
    <cellStyle name="40 % - Markeringsfarve6 2 2 3" xfId="31965" xr:uid="{40D2C87D-BB33-481B-8751-CEEDEFBBCEA4}"/>
    <cellStyle name="40 % - Markeringsfarve6 2 2 3 2" xfId="31966" xr:uid="{C31CD303-B205-4B2E-AB42-2EED0B3F1D82}"/>
    <cellStyle name="40 % - Markeringsfarve6 2 2 3 3" xfId="31967" xr:uid="{89D7AABB-26DB-4690-A8A2-6788AA97A0B8}"/>
    <cellStyle name="40 % - Markeringsfarve6 2 2 4" xfId="31968" xr:uid="{2CE919DC-DF51-4BAC-A703-0ADB7A1A6D81}"/>
    <cellStyle name="40 % - Markeringsfarve6 2 2 4 2" xfId="31969" xr:uid="{B93327D5-0084-4D39-96A6-FAC54612D62D}"/>
    <cellStyle name="40 % - Markeringsfarve6 2 2 4 3" xfId="31970" xr:uid="{BEA2B190-384C-4908-BB02-B3440CFC6A32}"/>
    <cellStyle name="40 % - Markeringsfarve6 2 2 5" xfId="31971" xr:uid="{3D47101A-1E2C-4921-8E03-80733991EE53}"/>
    <cellStyle name="40 % - Markeringsfarve6 2 2 5 2" xfId="31972" xr:uid="{D7732CE8-2FFC-46A7-9B6D-CE05D52F990F}"/>
    <cellStyle name="40 % - Markeringsfarve6 2 2 5 3" xfId="31973" xr:uid="{A375FC63-A4EA-4892-82B8-9F3ECA20DF04}"/>
    <cellStyle name="40 % - Markeringsfarve6 2 2 6" xfId="31974" xr:uid="{D5B880BF-805C-470C-83A3-4115C1A4B2E5}"/>
    <cellStyle name="40 % - Markeringsfarve6 2 2 6 2" xfId="31975" xr:uid="{E63BFA38-FAF5-4ABD-BD01-72E2CD8B768B}"/>
    <cellStyle name="40 % - Markeringsfarve6 2 2 6 3" xfId="31976" xr:uid="{7AFDC77B-1376-4EAD-9DAE-92E3D691EC9D}"/>
    <cellStyle name="40 % - Markeringsfarve6 2 2 7" xfId="31977" xr:uid="{235DBEB9-C6ED-4E8B-A858-F5C4BCB1F864}"/>
    <cellStyle name="40 % - Markeringsfarve6 2 2 7 2" xfId="31978" xr:uid="{552000B7-9713-4B58-B813-C3C6F93AF39C}"/>
    <cellStyle name="40 % - Markeringsfarve6 2 2 8" xfId="31979" xr:uid="{8C754C1A-39ED-459A-AB00-9568B016DEE6}"/>
    <cellStyle name="40 % - Markeringsfarve6 2 3" xfId="23621" xr:uid="{F4D57D28-41AD-476A-A855-B8C1B5C927DB}"/>
    <cellStyle name="40 % - Markeringsfarve6 2 3 2" xfId="23622" xr:uid="{D4FCE1F5-016D-471C-897B-9BEA3F6E1B4C}"/>
    <cellStyle name="40 % - Markeringsfarve6 2 3 2 2" xfId="31980" xr:uid="{8C8C01D3-00BF-443F-8002-99218F7BED7F}"/>
    <cellStyle name="40 % - Markeringsfarve6 2 3 2 3" xfId="31981" xr:uid="{CE13D54B-E3DD-4E21-BAD9-38089CFEE2EA}"/>
    <cellStyle name="40 % - Markeringsfarve6 2 3 3" xfId="31982" xr:uid="{0F9AF3F1-1574-438D-B5CF-F46891503082}"/>
    <cellStyle name="40 % - Markeringsfarve6 2 3 3 2" xfId="31983" xr:uid="{90EFB016-E4A8-4B51-ACC1-5F41192C2913}"/>
    <cellStyle name="40 % - Markeringsfarve6 2 3 3 3" xfId="31984" xr:uid="{ED8CE86D-AE17-481A-AEA9-7E3021455717}"/>
    <cellStyle name="40 % - Markeringsfarve6 2 3 4" xfId="31985" xr:uid="{F431A925-9F81-4E3E-8786-007B0ECECD90}"/>
    <cellStyle name="40 % - Markeringsfarve6 2 3 4 2" xfId="31986" xr:uid="{0C73FAD4-97AA-4E3B-81B7-D24D35AD7D0A}"/>
    <cellStyle name="40 % - Markeringsfarve6 2 3 4 3" xfId="31987" xr:uid="{B3E29245-17B8-42ED-84E3-916A746D12F1}"/>
    <cellStyle name="40 % - Markeringsfarve6 2 3 5" xfId="31988" xr:uid="{46183080-0B90-448D-8501-BAAC70C1DFF3}"/>
    <cellStyle name="40 % - Markeringsfarve6 2 3 5 2" xfId="31989" xr:uid="{9D225A50-13D1-4F8A-9125-97CCEC47A8B0}"/>
    <cellStyle name="40 % - Markeringsfarve6 2 3 5 3" xfId="31990" xr:uid="{9D068593-3CCB-4248-8A14-8BB4EBFA95ED}"/>
    <cellStyle name="40 % - Markeringsfarve6 2 3 6" xfId="31991" xr:uid="{B65C4E88-D9EF-451E-88D7-699A810EA313}"/>
    <cellStyle name="40 % - Markeringsfarve6 2 3 6 2" xfId="31992" xr:uid="{0E4BDEA3-1EE2-47CC-A2F8-BD8C6ECFD8BA}"/>
    <cellStyle name="40 % - Markeringsfarve6 2 3 6 3" xfId="31993" xr:uid="{88591462-1D59-470A-8804-C885D2EAC3A2}"/>
    <cellStyle name="40 % - Markeringsfarve6 2 3 7" xfId="31994" xr:uid="{0C485E4D-B425-4F5E-AD87-7C75D8F25A15}"/>
    <cellStyle name="40 % - Markeringsfarve6 2 3 7 2" xfId="31995" xr:uid="{60132DF5-9ED1-464D-83F6-2B07D9CCC486}"/>
    <cellStyle name="40 % - Markeringsfarve6 2 3 8" xfId="31996" xr:uid="{9BC46B2E-8F95-4430-A823-46BD0397BC76}"/>
    <cellStyle name="40 % - Markeringsfarve6 2 4" xfId="23623" xr:uid="{429B215E-41F3-434D-A54C-C3203BE4AE3C}"/>
    <cellStyle name="40 % - Markeringsfarve6 2 4 2" xfId="31997" xr:uid="{A97FD553-6AD1-4EF4-B4DE-A325613B2130}"/>
    <cellStyle name="40 % - Markeringsfarve6 2 4 3" xfId="31998" xr:uid="{EFADC3A4-057A-4B59-B043-1C0C2FD31C96}"/>
    <cellStyle name="40 % - Markeringsfarve6 2 5" xfId="31999" xr:uid="{86C56A49-0BE0-4DC9-A548-A96953DADEE8}"/>
    <cellStyle name="40 % - Markeringsfarve6 2 5 2" xfId="32000" xr:uid="{8412EF1E-A5B1-4684-8F7D-923E4329EB4E}"/>
    <cellStyle name="40 % - Markeringsfarve6 2 5 3" xfId="32001" xr:uid="{6D2F4697-3BF1-4507-9540-F5A83A08ED51}"/>
    <cellStyle name="40 % - Markeringsfarve6 2 6" xfId="32002" xr:uid="{C9F4ACAE-E2C8-457E-A6A4-2FE329637942}"/>
    <cellStyle name="40 % - Markeringsfarve6 2 6 2" xfId="32003" xr:uid="{7C292225-7595-48F5-ABB0-07FA69104133}"/>
    <cellStyle name="40 % - Markeringsfarve6 2 6 3" xfId="32004" xr:uid="{A5650298-7A0F-44C9-B9E5-FF356A08A047}"/>
    <cellStyle name="40 % - Markeringsfarve6 2 7" xfId="32005" xr:uid="{684C5E67-F399-4244-814C-7B1B2422B4EB}"/>
    <cellStyle name="40 % - Markeringsfarve6 2 7 2" xfId="32006" xr:uid="{C8E1DE88-E5CE-4AD0-A429-FF7F991BB09F}"/>
    <cellStyle name="40 % - Markeringsfarve6 2 7 3" xfId="32007" xr:uid="{CB0FD41F-6255-4C97-8D87-5C8BDDB36A0D}"/>
    <cellStyle name="40 % - Markeringsfarve6 2 8" xfId="32008" xr:uid="{16B552E7-2490-4D79-BFA6-01FCE895A977}"/>
    <cellStyle name="40 % - Markeringsfarve6 2 8 2" xfId="32009" xr:uid="{172BF27D-1089-4074-83E7-75703DDA721C}"/>
    <cellStyle name="40 % - Markeringsfarve6 2 8 3" xfId="32010" xr:uid="{5B4F2686-A31A-4387-A8CC-94F09231AA66}"/>
    <cellStyle name="40 % - Markeringsfarve6 2 9" xfId="32011" xr:uid="{C870165E-D4E2-47A8-8CEE-B149FB8AB307}"/>
    <cellStyle name="40 % - Markeringsfarve6 2 9 2" xfId="32012" xr:uid="{4B4BEE55-9215-4A59-BA17-D467810C2783}"/>
    <cellStyle name="40 % - Markeringsfarve6 3" xfId="2596" xr:uid="{6FBBB8E0-3B6E-43BD-80D9-D7AAD483C000}"/>
    <cellStyle name="40 % - Markeringsfarve6 3 10" xfId="32013" xr:uid="{82B72161-D74E-4DD9-96EB-D1BE64F2FEFE}"/>
    <cellStyle name="40 % - Markeringsfarve6 3 2" xfId="23624" xr:uid="{22B7C103-371F-44A1-AAD1-3068EE4F917B}"/>
    <cellStyle name="40 % - Markeringsfarve6 3 2 2" xfId="32014" xr:uid="{786F043D-CDB3-48E8-A367-72B0A50BA88B}"/>
    <cellStyle name="40 % - Markeringsfarve6 3 2 2 2" xfId="32015" xr:uid="{EDCB024E-9E42-4CCD-A518-8172B94A0292}"/>
    <cellStyle name="40 % - Markeringsfarve6 3 2 2 3" xfId="32016" xr:uid="{9BC17F36-7B3F-4D3D-82B0-14FE9DBCCD84}"/>
    <cellStyle name="40 % - Markeringsfarve6 3 2 3" xfId="32017" xr:uid="{EDFF1535-DBF0-4B86-B4CC-EBCA697F9E9A}"/>
    <cellStyle name="40 % - Markeringsfarve6 3 2 3 2" xfId="32018" xr:uid="{C95C8301-CBC2-40CF-A948-291D2E42A16B}"/>
    <cellStyle name="40 % - Markeringsfarve6 3 2 3 3" xfId="32019" xr:uid="{6C903CF0-8363-4BBD-BFCD-31ED200B87BA}"/>
    <cellStyle name="40 % - Markeringsfarve6 3 2 4" xfId="32020" xr:uid="{0E5868E0-561E-4916-BD38-E6AD2CE5FE12}"/>
    <cellStyle name="40 % - Markeringsfarve6 3 2 4 2" xfId="32021" xr:uid="{7FDD3ADA-BA38-4E7D-86F7-E780D84977EE}"/>
    <cellStyle name="40 % - Markeringsfarve6 3 2 4 3" xfId="32022" xr:uid="{6D030073-5F44-4A8D-BCB0-69EAA7652B45}"/>
    <cellStyle name="40 % - Markeringsfarve6 3 2 5" xfId="32023" xr:uid="{11AA8930-D372-41FF-93BB-35ED474C278C}"/>
    <cellStyle name="40 % - Markeringsfarve6 3 2 5 2" xfId="32024" xr:uid="{97FF1D60-FB7F-4441-91B8-324E70233384}"/>
    <cellStyle name="40 % - Markeringsfarve6 3 2 5 3" xfId="32025" xr:uid="{EC0416C7-7218-4ADB-A8BA-67DB5298C322}"/>
    <cellStyle name="40 % - Markeringsfarve6 3 2 6" xfId="32026" xr:uid="{EE0AB542-5333-40A6-A6F7-EE6AB0FAF20E}"/>
    <cellStyle name="40 % - Markeringsfarve6 3 2 6 2" xfId="32027" xr:uid="{629B03DC-E66C-4325-9295-030DAD99B058}"/>
    <cellStyle name="40 % - Markeringsfarve6 3 2 6 3" xfId="32028" xr:uid="{CE1AA16C-0AD9-4BCC-B839-88C32DEE7947}"/>
    <cellStyle name="40 % - Markeringsfarve6 3 2 7" xfId="32029" xr:uid="{0ED76318-E899-4483-93ED-BFD88D5B856D}"/>
    <cellStyle name="40 % - Markeringsfarve6 3 2 7 2" xfId="32030" xr:uid="{0BF9132D-FC50-461A-A77C-39F76F419429}"/>
    <cellStyle name="40 % - Markeringsfarve6 3 2 8" xfId="32031" xr:uid="{14B6F125-C55D-4E3B-BF49-34A3443615A5}"/>
    <cellStyle name="40 % - Markeringsfarve6 3 3" xfId="32032" xr:uid="{22CC63A7-97D8-48BB-9BC6-5623204EC1B2}"/>
    <cellStyle name="40 % - Markeringsfarve6 3 3 2" xfId="32033" xr:uid="{EEAD151D-2465-45E5-95DB-E18319616632}"/>
    <cellStyle name="40 % - Markeringsfarve6 3 3 2 2" xfId="32034" xr:uid="{A994C82A-F8F0-4687-8D7B-66F3E2152BEC}"/>
    <cellStyle name="40 % - Markeringsfarve6 3 3 2 3" xfId="32035" xr:uid="{9303702E-E841-4DCF-B8A0-766CB90863E7}"/>
    <cellStyle name="40 % - Markeringsfarve6 3 3 3" xfId="32036" xr:uid="{120B48E2-4E53-4A91-A537-B2FAC4BCB4F5}"/>
    <cellStyle name="40 % - Markeringsfarve6 3 3 3 2" xfId="32037" xr:uid="{8F1963A0-4741-427A-99F9-A10755FE4CF8}"/>
    <cellStyle name="40 % - Markeringsfarve6 3 3 3 3" xfId="32038" xr:uid="{296A7086-AD10-4678-9592-CC954DC0FEFC}"/>
    <cellStyle name="40 % - Markeringsfarve6 3 3 4" xfId="32039" xr:uid="{B408A020-F392-480B-9F3B-74BFCABC0B84}"/>
    <cellStyle name="40 % - Markeringsfarve6 3 3 4 2" xfId="32040" xr:uid="{2D764744-B478-401A-8BAA-4B359E956EAA}"/>
    <cellStyle name="40 % - Markeringsfarve6 3 3 4 3" xfId="32041" xr:uid="{9C4D4359-8BBC-42F2-96B3-F7B3B514B3B8}"/>
    <cellStyle name="40 % - Markeringsfarve6 3 3 5" xfId="32042" xr:uid="{CA6DE8A8-D3D6-46CE-BE2B-2DD55E12FF46}"/>
    <cellStyle name="40 % - Markeringsfarve6 3 3 5 2" xfId="32043" xr:uid="{95E42FD3-2243-441E-854D-7D2F567079F8}"/>
    <cellStyle name="40 % - Markeringsfarve6 3 3 5 3" xfId="32044" xr:uid="{829E8179-B35D-4E6D-B25F-4791CC1A7444}"/>
    <cellStyle name="40 % - Markeringsfarve6 3 3 6" xfId="32045" xr:uid="{E587E1D7-9976-45A1-A83B-722067746A03}"/>
    <cellStyle name="40 % - Markeringsfarve6 3 3 6 2" xfId="32046" xr:uid="{500C6C5F-3765-478D-9333-A53C5921C001}"/>
    <cellStyle name="40 % - Markeringsfarve6 3 3 6 3" xfId="32047" xr:uid="{DE8AB853-EEF6-45FD-B6D6-93DDC451C9DD}"/>
    <cellStyle name="40 % - Markeringsfarve6 3 3 7" xfId="32048" xr:uid="{FD58D339-FB96-4E69-AC14-6AB762035AFC}"/>
    <cellStyle name="40 % - Markeringsfarve6 3 3 7 2" xfId="32049" xr:uid="{E3AC4E95-0DEF-490C-AD2C-780E3A910D9F}"/>
    <cellStyle name="40 % - Markeringsfarve6 3 3 8" xfId="32050" xr:uid="{49DD4818-6C5E-462B-9A68-BAD45591E630}"/>
    <cellStyle name="40 % - Markeringsfarve6 3 4" xfId="32051" xr:uid="{FA7E45C0-6E05-4F92-89C6-BED517622127}"/>
    <cellStyle name="40 % - Markeringsfarve6 3 4 2" xfId="32052" xr:uid="{7906519E-DBBD-41CD-BE42-F82CD75C5979}"/>
    <cellStyle name="40 % - Markeringsfarve6 3 4 3" xfId="32053" xr:uid="{E0ED768C-EADF-46E0-A3A3-40186D6BC51B}"/>
    <cellStyle name="40 % - Markeringsfarve6 3 5" xfId="32054" xr:uid="{AB93E065-44B8-4831-9844-C56A16823924}"/>
    <cellStyle name="40 % - Markeringsfarve6 3 5 2" xfId="32055" xr:uid="{D0EBF93D-04DE-4C96-A495-B7A9F8ED17D7}"/>
    <cellStyle name="40 % - Markeringsfarve6 3 5 3" xfId="32056" xr:uid="{D396BD59-85B2-4C35-9FAB-1A000221F034}"/>
    <cellStyle name="40 % - Markeringsfarve6 3 6" xfId="32057" xr:uid="{1D8DE9CB-531E-4A03-9C16-B00BF011F2F8}"/>
    <cellStyle name="40 % - Markeringsfarve6 3 6 2" xfId="32058" xr:uid="{DFE5C0A4-1533-4C16-A426-EF345916D678}"/>
    <cellStyle name="40 % - Markeringsfarve6 3 6 3" xfId="32059" xr:uid="{F013284F-E7DA-47F4-A54D-6C7DBDB4C0C5}"/>
    <cellStyle name="40 % - Markeringsfarve6 3 7" xfId="32060" xr:uid="{2346979D-D5AA-4AB6-95E9-DB5EDFF073B8}"/>
    <cellStyle name="40 % - Markeringsfarve6 3 7 2" xfId="32061" xr:uid="{23D4AD17-996D-4895-80C0-6FB34F66B452}"/>
    <cellStyle name="40 % - Markeringsfarve6 3 7 3" xfId="32062" xr:uid="{A212928A-A4AE-48A2-B128-D2355E6C6609}"/>
    <cellStyle name="40 % - Markeringsfarve6 3 8" xfId="32063" xr:uid="{0FA6A509-0F62-46A9-B708-540A7371900D}"/>
    <cellStyle name="40 % - Markeringsfarve6 3 8 2" xfId="32064" xr:uid="{4634F908-98BD-429F-8FD1-DF8C78B4B7EA}"/>
    <cellStyle name="40 % - Markeringsfarve6 3 8 3" xfId="32065" xr:uid="{942E4D4F-AF46-48CC-8F67-5D9DCE1F437A}"/>
    <cellStyle name="40 % - Markeringsfarve6 3 9" xfId="32066" xr:uid="{2951B334-4BAA-4F85-A095-8FE9085E031C}"/>
    <cellStyle name="40 % - Markeringsfarve6 3 9 2" xfId="32067" xr:uid="{49993DB7-C19E-4931-ADC4-D72F7FB0140D}"/>
    <cellStyle name="40 % - Markeringsfarve6 4" xfId="23625" xr:uid="{8B669A73-835F-4A26-AD87-C1150B24EB92}"/>
    <cellStyle name="40 % - Markeringsfarve6 4 2" xfId="23626" xr:uid="{85289CDB-C002-4FEF-9C9F-B86043E8BEF5}"/>
    <cellStyle name="40 % - Markeringsfarve6 4 2 2" xfId="32068" xr:uid="{35FAFEC7-93ED-4F00-B210-9898AC4C9185}"/>
    <cellStyle name="40 % - Markeringsfarve6 4 2 3" xfId="32069" xr:uid="{7DC82E38-0579-47F2-ADEC-5F3D1E31E596}"/>
    <cellStyle name="40 % - Markeringsfarve6 4 3" xfId="32070" xr:uid="{7DEECB36-63AA-476E-AEFF-9AEA355C54F0}"/>
    <cellStyle name="40 % - Markeringsfarve6 4 3 2" xfId="32071" xr:uid="{CF49037A-FBB9-4606-8DC1-0CC5B4A812A0}"/>
    <cellStyle name="40 % - Markeringsfarve6 4 3 3" xfId="32072" xr:uid="{7642EF24-794F-4361-B0C4-B3A0CA0F271F}"/>
    <cellStyle name="40 % - Markeringsfarve6 4 4" xfId="32073" xr:uid="{79DB3D27-2ED3-41DB-9606-305D6367B281}"/>
    <cellStyle name="40 % - Markeringsfarve6 4 4 2" xfId="32074" xr:uid="{98662FFA-744D-49B6-BD64-8FDCAE5B78D7}"/>
    <cellStyle name="40 % - Markeringsfarve6 4 4 3" xfId="32075" xr:uid="{D12F6088-4E90-4D2D-9436-227D174B5F7E}"/>
    <cellStyle name="40 % - Markeringsfarve6 4 5" xfId="32076" xr:uid="{F3D5FD55-9F8C-4827-8D16-FD582FA34F3E}"/>
    <cellStyle name="40 % - Markeringsfarve6 4 5 2" xfId="32077" xr:uid="{3D486588-169D-4556-BE17-984D7F36B81E}"/>
    <cellStyle name="40 % - Markeringsfarve6 4 5 3" xfId="32078" xr:uid="{0EDCADAA-5046-495D-935A-4451FBE03386}"/>
    <cellStyle name="40 % - Markeringsfarve6 4 6" xfId="32079" xr:uid="{74E8D3FA-08E7-4F41-B503-BAAA52A91030}"/>
    <cellStyle name="40 % - Markeringsfarve6 4 6 2" xfId="32080" xr:uid="{9F49047D-A249-4047-B2FB-F58911D36522}"/>
    <cellStyle name="40 % - Markeringsfarve6 4 6 3" xfId="32081" xr:uid="{C88B1833-9B5B-4FED-B6DF-8F1317749F93}"/>
    <cellStyle name="40 % - Markeringsfarve6 4 7" xfId="32082" xr:uid="{59D15DC1-3E8A-45F3-B606-7CAA4DD9FFA2}"/>
    <cellStyle name="40 % - Markeringsfarve6 4 7 2" xfId="32083" xr:uid="{8B830FCD-D55C-4C13-8286-6B384F0C09DA}"/>
    <cellStyle name="40 % - Markeringsfarve6 4 8" xfId="32084" xr:uid="{DA75186C-A091-4720-A527-4F299C070228}"/>
    <cellStyle name="40 % - Markeringsfarve6 5" xfId="23627" xr:uid="{DFF24C8F-0645-4F3F-8ECB-B1CB753C6D86}"/>
    <cellStyle name="40 % - Markeringsfarve6 5 2" xfId="23628" xr:uid="{F8F32FF3-4F96-4E78-ABB9-3070F6427F22}"/>
    <cellStyle name="40 % - Markeringsfarve6 5 2 2" xfId="32085" xr:uid="{3E665619-D13F-4CA6-A7CB-456F6080F0A4}"/>
    <cellStyle name="40 % - Markeringsfarve6 5 2 3" xfId="32086" xr:uid="{00DA536F-D285-4AFC-90B7-D3FC885F6AB3}"/>
    <cellStyle name="40 % - Markeringsfarve6 5 3" xfId="32087" xr:uid="{F280E1D8-C782-4BB8-A271-47470E636828}"/>
    <cellStyle name="40 % - Markeringsfarve6 5 3 2" xfId="32088" xr:uid="{BDF7A9EE-0D31-46D6-9EFE-293259E54742}"/>
    <cellStyle name="40 % - Markeringsfarve6 5 3 3" xfId="32089" xr:uid="{E6F98FEC-412B-451C-82D3-EE87117C3FDD}"/>
    <cellStyle name="40 % - Markeringsfarve6 5 4" xfId="32090" xr:uid="{F2C80958-484D-4742-A4D2-32E70ED80031}"/>
    <cellStyle name="40 % - Markeringsfarve6 5 4 2" xfId="32091" xr:uid="{BBAE0DEB-D70D-42E2-A119-BEDEDF9C9A7A}"/>
    <cellStyle name="40 % - Markeringsfarve6 5 4 3" xfId="32092" xr:uid="{E673ECAB-C5CE-4467-908A-5811553413F6}"/>
    <cellStyle name="40 % - Markeringsfarve6 5 5" xfId="32093" xr:uid="{E99A8961-079D-482C-9066-841F00CC7111}"/>
    <cellStyle name="40 % - Markeringsfarve6 5 5 2" xfId="32094" xr:uid="{86E9B85B-B1F3-4956-9520-014399AB57B7}"/>
    <cellStyle name="40 % - Markeringsfarve6 5 5 3" xfId="32095" xr:uid="{FF6F1CF4-FB4C-4099-B0CA-FF654D17AA9F}"/>
    <cellStyle name="40 % - Markeringsfarve6 5 6" xfId="32096" xr:uid="{EE608A0C-FACA-45FE-9D8B-3688A323BD2C}"/>
    <cellStyle name="40 % - Markeringsfarve6 5 6 2" xfId="32097" xr:uid="{47FA2A2B-5A27-4569-BCBE-1A06F6E5D1DF}"/>
    <cellStyle name="40 % - Markeringsfarve6 5 6 3" xfId="32098" xr:uid="{81BBD36E-0B76-4E2B-A7F8-32815328CB2D}"/>
    <cellStyle name="40 % - Markeringsfarve6 5 7" xfId="32099" xr:uid="{F1C46960-9699-46AB-90EC-E666ED2807F4}"/>
    <cellStyle name="40 % - Markeringsfarve6 5 7 2" xfId="32100" xr:uid="{317525FD-2ED1-4A21-B3F5-52138B4A5B38}"/>
    <cellStyle name="40 % - Markeringsfarve6 5 8" xfId="32101" xr:uid="{0F1E9AFD-C5B7-43AD-BA7A-2980A650AA8A}"/>
    <cellStyle name="40 % - Markeringsfarve6 6" xfId="23629" xr:uid="{61FF83E9-43D1-4F6E-BDDF-D9059E1C7ACE}"/>
    <cellStyle name="40 % - Markeringsfarve6 6 2" xfId="23630" xr:uid="{124F9F70-08BE-4680-AC49-725640823113}"/>
    <cellStyle name="40 % - Markeringsfarve6 6 3" xfId="32102" xr:uid="{9FD7885A-8EF7-414B-BCA4-8D082BE8575A}"/>
    <cellStyle name="40 % - Markeringsfarve6 7" xfId="23631" xr:uid="{F375B9C4-C4C1-467F-9DAC-A38E862F7160}"/>
    <cellStyle name="40 % - Markeringsfarve6 7 2" xfId="32103" xr:uid="{2EB3EAB9-09CE-4137-9A52-041E7C790EB1}"/>
    <cellStyle name="40 % - Markeringsfarve6 7 3" xfId="32104" xr:uid="{3442B480-24C9-4840-80C9-58447415CCE6}"/>
    <cellStyle name="40 % - Markeringsfarve6 8" xfId="32105" xr:uid="{9383DB0B-7110-4D38-92E3-A418165B7D46}"/>
    <cellStyle name="40 % - Markeringsfarve6 8 2" xfId="32106" xr:uid="{06C990DE-7837-4877-818D-E10C4F392140}"/>
    <cellStyle name="40 % - Markeringsfarve6 8 3" xfId="32107" xr:uid="{639E9F8B-3776-4EEF-B79F-6A078EC47BB4}"/>
    <cellStyle name="40 % - Markeringsfarve6 9" xfId="32108" xr:uid="{FD7C7D1B-CE31-47A0-ACC7-2FD9CA49A8C7}"/>
    <cellStyle name="40 % - Markeringsfarve6 9 2" xfId="32109" xr:uid="{C6963BAD-7375-4911-B2C5-9E2560EBF025}"/>
    <cellStyle name="40 % - Markeringsfarve6 9 3" xfId="32110" xr:uid="{CFDBFEF0-5BB3-4130-8128-33F27D483223}"/>
    <cellStyle name="40% - Accent1 2" xfId="23632" xr:uid="{6418353F-4D5B-4974-B10D-F356A2EC0461}"/>
    <cellStyle name="40% - Accent2 2" xfId="23633" xr:uid="{91D0976E-C358-41FE-BF01-08754447FCF7}"/>
    <cellStyle name="40% - Accent3 2" xfId="23634" xr:uid="{5805ECBF-3415-4C73-BD59-36715F2A5FC6}"/>
    <cellStyle name="40% - Accent4 2" xfId="23635" xr:uid="{53BD2906-FF9D-4228-9875-0BDB6F4922C1}"/>
    <cellStyle name="40% - Accent5 2" xfId="23636" xr:uid="{189E0385-4264-401E-B5C2-5642F02D970D}"/>
    <cellStyle name="40% - Accent6 2" xfId="23637" xr:uid="{733EF9E3-C673-4D27-97EA-F82148D6E7A0}"/>
    <cellStyle name="40% - Colore 1" xfId="13" xr:uid="{00000000-0005-0000-0000-000024000000}"/>
    <cellStyle name="40% - Colore 1 2" xfId="14" xr:uid="{00000000-0005-0000-0000-000025000000}"/>
    <cellStyle name="40% - Colore 2" xfId="15" xr:uid="{00000000-0005-0000-0000-000026000000}"/>
    <cellStyle name="40% - Colore 2 2" xfId="16" xr:uid="{00000000-0005-0000-0000-000027000000}"/>
    <cellStyle name="40% - Colore 3" xfId="17" xr:uid="{00000000-0005-0000-0000-000028000000}"/>
    <cellStyle name="40% - Colore 3 2" xfId="18" xr:uid="{00000000-0005-0000-0000-000029000000}"/>
    <cellStyle name="40% - Colore 4" xfId="19" xr:uid="{00000000-0005-0000-0000-00002A000000}"/>
    <cellStyle name="40% - Colore 4 2" xfId="20" xr:uid="{00000000-0005-0000-0000-00002B000000}"/>
    <cellStyle name="40% - Colore 5" xfId="21" xr:uid="{00000000-0005-0000-0000-00002C000000}"/>
    <cellStyle name="40% - Colore 5 2" xfId="22" xr:uid="{00000000-0005-0000-0000-00002D000000}"/>
    <cellStyle name="40% - Colore 6" xfId="23" xr:uid="{00000000-0005-0000-0000-00002E000000}"/>
    <cellStyle name="40% - Colore 6 2" xfId="24" xr:uid="{00000000-0005-0000-0000-00002F000000}"/>
    <cellStyle name="5x indented GHG Textfiels" xfId="25" xr:uid="{00000000-0005-0000-0000-000030000000}"/>
    <cellStyle name="5x indented GHG Textfiels 2" xfId="2597" xr:uid="{157CEF8C-1040-4470-AB58-985C8ACB82FC}"/>
    <cellStyle name="5x indented GHG Textfiels 2 2" xfId="13371" xr:uid="{1CDE7098-E6CE-47B7-A730-386AFC88299D}"/>
    <cellStyle name="5x indented GHG Textfiels 3" xfId="13054" xr:uid="{576B58E4-0AA3-4411-9023-7384A1682630}"/>
    <cellStyle name="60 % - Markeringsfarve1" xfId="1283" xr:uid="{00000000-0005-0000-0000-000031000000}"/>
    <cellStyle name="60 % - Markeringsfarve1 2" xfId="2598" xr:uid="{1B8F605D-9069-431D-87E1-008003429B0D}"/>
    <cellStyle name="60 % - Markeringsfarve2" xfId="1284" xr:uid="{00000000-0005-0000-0000-000032000000}"/>
    <cellStyle name="60 % - Markeringsfarve2 2" xfId="2599" xr:uid="{C344133D-C7FB-4DAA-9C9F-28FCE077B531}"/>
    <cellStyle name="60 % - Markeringsfarve3" xfId="1285" xr:uid="{00000000-0005-0000-0000-000033000000}"/>
    <cellStyle name="60 % - Markeringsfarve3 2" xfId="2600" xr:uid="{5423C402-57E4-4496-85B8-A2C87C957B0B}"/>
    <cellStyle name="60 % - Markeringsfarve4" xfId="1286" xr:uid="{00000000-0005-0000-0000-000034000000}"/>
    <cellStyle name="60 % - Markeringsfarve4 2" xfId="2601" xr:uid="{B907310D-3C65-4E0A-B4C6-EDE5FC4476CF}"/>
    <cellStyle name="60 % - Markeringsfarve5" xfId="1287" xr:uid="{00000000-0005-0000-0000-000035000000}"/>
    <cellStyle name="60 % - Markeringsfarve5 2" xfId="2602" xr:uid="{30D1AE32-EBAF-4A07-9CAC-C6C384153BD8}"/>
    <cellStyle name="60 % - Markeringsfarve6" xfId="1288" xr:uid="{00000000-0005-0000-0000-000036000000}"/>
    <cellStyle name="60 % - Markeringsfarve6 2" xfId="2603" xr:uid="{117988F5-4355-4526-8A7F-7B02821EF8BC}"/>
    <cellStyle name="60% - Accent1 2" xfId="23638" xr:uid="{C60610E2-15A7-4EF7-896B-ADE826D4AFF2}"/>
    <cellStyle name="60% - Accent2 2" xfId="23639" xr:uid="{47F3B249-8692-488B-A725-BDC1122C41EE}"/>
    <cellStyle name="60% - Accent3 2" xfId="23640" xr:uid="{45C01F27-4883-4049-8855-69E100136CDE}"/>
    <cellStyle name="60% - Accent4 2" xfId="23641" xr:uid="{60F23594-890D-4BEA-AF8C-45A0EE03E25B}"/>
    <cellStyle name="60% - Accent5 2" xfId="23642" xr:uid="{3CBD943A-06B6-491C-847D-C509308CA74F}"/>
    <cellStyle name="60% - Accent6 2" xfId="23643" xr:uid="{A6237FED-C582-4C69-BC1A-39F472D429DB}"/>
    <cellStyle name="60% - Colore 1" xfId="26" xr:uid="{00000000-0005-0000-0000-000037000000}"/>
    <cellStyle name="60% - Colore 2" xfId="27" xr:uid="{00000000-0005-0000-0000-000038000000}"/>
    <cellStyle name="60% - Colore 3" xfId="28" xr:uid="{00000000-0005-0000-0000-000039000000}"/>
    <cellStyle name="60% - Colore 4" xfId="29" xr:uid="{00000000-0005-0000-0000-00003A000000}"/>
    <cellStyle name="60% - Colore 5" xfId="30" xr:uid="{00000000-0005-0000-0000-00003B000000}"/>
    <cellStyle name="60% - Colore 6" xfId="31" xr:uid="{00000000-0005-0000-0000-00003C000000}"/>
    <cellStyle name="Accent1 2" xfId="23644" xr:uid="{BF52DB7E-C933-4524-8563-4F016F3D0436}"/>
    <cellStyle name="Accent2 2" xfId="23645" xr:uid="{6F38CD80-A80D-42C2-AA31-A3C59BBD5D69}"/>
    <cellStyle name="Accent3 2" xfId="23646" xr:uid="{4DDDC3A0-3417-41C3-9CEB-E978406F78C8}"/>
    <cellStyle name="Accent4 2" xfId="23647" xr:uid="{24D70446-8433-43FC-9A1D-F7FAF3103FF6}"/>
    <cellStyle name="Accent5 2" xfId="23648" xr:uid="{528DB808-7F67-431C-8329-8C11930ADDFC}"/>
    <cellStyle name="Accent6 2" xfId="23649" xr:uid="{C1220620-4508-4ABE-B486-A522AF791977}"/>
    <cellStyle name="AggblueCels_1x" xfId="30232" xr:uid="{0060BB5F-2BFF-4ADE-A73F-9E42C3B49485}"/>
    <cellStyle name="AggOrange_CRFReport-template" xfId="32" xr:uid="{00000000-0005-0000-0000-00003D000000}"/>
    <cellStyle name="AggOrange9_CRFReport-template" xfId="33" xr:uid="{00000000-0005-0000-0000-00003E000000}"/>
    <cellStyle name="Bad 2" xfId="34" xr:uid="{00000000-0005-0000-0000-00003F000000}"/>
    <cellStyle name="Bad 2 2" xfId="23650" xr:uid="{3425F975-D6FB-4985-8344-EF95503322E6}"/>
    <cellStyle name="Bad 3" xfId="35" xr:uid="{00000000-0005-0000-0000-000040000000}"/>
    <cellStyle name="Bad 4" xfId="11691" xr:uid="{3FACBD33-5963-497D-9C4F-5CD278FD285B}"/>
    <cellStyle name="Bad 5" xfId="32604" xr:uid="{746EB2D7-1581-4C91-8ABE-69082A10C16B}"/>
    <cellStyle name="Bemærk! 2" xfId="23651" xr:uid="{9373BE6E-2A29-42EF-BD0F-7406C4A017D0}"/>
    <cellStyle name="Bemærk! 2 10" xfId="32111" xr:uid="{D5AC8EFC-E589-400A-B26F-D2BB9BF1C837}"/>
    <cellStyle name="Bemærk! 2 10 2" xfId="32112" xr:uid="{84DC33B0-F1D1-44A7-BBE4-35E514EF4764}"/>
    <cellStyle name="Bemærk! 2 11" xfId="32113" xr:uid="{6F956C17-EFC8-41C7-B9BC-108AFE4DF890}"/>
    <cellStyle name="Bemærk! 2 2" xfId="23652" xr:uid="{BAA52B5B-9EB5-4581-BD8E-97F36BBDBAB4}"/>
    <cellStyle name="Bemærk! 2 2 10" xfId="32114" xr:uid="{821F02A5-6DC0-46C3-A16B-2EB424FAB241}"/>
    <cellStyle name="Bemærk! 2 2 2" xfId="23653" xr:uid="{241E8B99-FEBD-4373-8C32-00F2EA78E308}"/>
    <cellStyle name="Bemærk! 2 2 2 2" xfId="23654" xr:uid="{4A87E84F-BD1B-4718-A6A1-D7649D3D45FF}"/>
    <cellStyle name="Bemærk! 2 2 2 2 2" xfId="32115" xr:uid="{16D36176-82DD-4027-9D37-F1324AD2334D}"/>
    <cellStyle name="Bemærk! 2 2 2 2 3" xfId="32116" xr:uid="{667073C9-EFEE-4490-B7C6-5C225495CF52}"/>
    <cellStyle name="Bemærk! 2 2 2 3" xfId="32117" xr:uid="{D2FFD611-2391-49B9-BCEB-89CB5A2512B7}"/>
    <cellStyle name="Bemærk! 2 2 2 3 2" xfId="32118" xr:uid="{009CE85E-87CB-4D6C-9675-6202B1B9F086}"/>
    <cellStyle name="Bemærk! 2 2 2 3 3" xfId="32119" xr:uid="{B775F0A9-01DE-41E8-8BAC-EF7A1B278749}"/>
    <cellStyle name="Bemærk! 2 2 2 4" xfId="32120" xr:uid="{09B00C6E-8672-4BA5-BF14-FE13F409A602}"/>
    <cellStyle name="Bemærk! 2 2 2 4 2" xfId="32121" xr:uid="{4C11AF43-27E9-494D-9351-1E81B8ABAC97}"/>
    <cellStyle name="Bemærk! 2 2 2 4 3" xfId="32122" xr:uid="{8F0F8E7F-2BE7-45AE-88EA-F1E1340C963E}"/>
    <cellStyle name="Bemærk! 2 2 2 5" xfId="32123" xr:uid="{E94315C9-1AE9-4060-A008-3336AF95E170}"/>
    <cellStyle name="Bemærk! 2 2 2 5 2" xfId="32124" xr:uid="{73E16088-1B90-4D89-9F6C-B9903E46ABDB}"/>
    <cellStyle name="Bemærk! 2 2 2 5 3" xfId="32125" xr:uid="{1E146DDD-60BF-40CD-B245-A9BCE80E51DE}"/>
    <cellStyle name="Bemærk! 2 2 2 6" xfId="32126" xr:uid="{75B8C2EB-9374-4457-9C1E-BB7148A68E39}"/>
    <cellStyle name="Bemærk! 2 2 2 6 2" xfId="32127" xr:uid="{CDD40E75-4ECD-4AEE-BCB8-CCADCF27A457}"/>
    <cellStyle name="Bemærk! 2 2 2 6 3" xfId="32128" xr:uid="{3613587B-BFAD-404F-8C1F-D2511A05B7EC}"/>
    <cellStyle name="Bemærk! 2 2 2 7" xfId="32129" xr:uid="{C69B8693-980D-48E1-A7DE-6797E7A9BF43}"/>
    <cellStyle name="Bemærk! 2 2 2 7 2" xfId="32130" xr:uid="{3BA17DE0-3ACD-4948-95C7-18C198BC34F7}"/>
    <cellStyle name="Bemærk! 2 2 2 8" xfId="32131" xr:uid="{CE5D96F5-BDBB-4DB0-A9E0-B008FB486E37}"/>
    <cellStyle name="Bemærk! 2 2 3" xfId="23655" xr:uid="{51C9A40B-4AE6-47D9-9C93-28079F518509}"/>
    <cellStyle name="Bemærk! 2 2 3 2" xfId="23656" xr:uid="{D1B9E8EB-57BC-4373-85EA-1C033A17DAEE}"/>
    <cellStyle name="Bemærk! 2 2 3 2 2" xfId="32132" xr:uid="{39C525D6-D734-44B9-8D9D-B80131B37C1D}"/>
    <cellStyle name="Bemærk! 2 2 3 2 3" xfId="32133" xr:uid="{E40DCC2C-F19D-4175-A0DA-45B802B75D78}"/>
    <cellStyle name="Bemærk! 2 2 3 3" xfId="32134" xr:uid="{391F1EFC-E17D-4FB9-A178-A7CCCFDD53CF}"/>
    <cellStyle name="Bemærk! 2 2 3 3 2" xfId="32135" xr:uid="{3E726B34-DDF2-427F-BCA3-7F956341C64D}"/>
    <cellStyle name="Bemærk! 2 2 3 3 3" xfId="32136" xr:uid="{9F4B61C8-5B3B-4F6A-A463-194C89E58139}"/>
    <cellStyle name="Bemærk! 2 2 3 4" xfId="32137" xr:uid="{16B8CE36-6FB3-42AC-81ED-CEEE198AB99F}"/>
    <cellStyle name="Bemærk! 2 2 3 4 2" xfId="32138" xr:uid="{9FCDA293-3AE9-41F2-A8F9-164721FA9204}"/>
    <cellStyle name="Bemærk! 2 2 3 4 3" xfId="32139" xr:uid="{FEF5D38B-C00F-41C4-A38C-7E8FCCF6BA01}"/>
    <cellStyle name="Bemærk! 2 2 3 5" xfId="32140" xr:uid="{487E6CD6-2960-43E2-9D24-E46CD94D673A}"/>
    <cellStyle name="Bemærk! 2 2 3 5 2" xfId="32141" xr:uid="{8741D509-532E-4862-9F59-3B24F0FA5A45}"/>
    <cellStyle name="Bemærk! 2 2 3 5 3" xfId="32142" xr:uid="{D53BE8C4-8E13-48D6-87A6-BE4B18D4B589}"/>
    <cellStyle name="Bemærk! 2 2 3 6" xfId="32143" xr:uid="{72E7C6A1-FAC0-4806-9EA5-E026E0E4C121}"/>
    <cellStyle name="Bemærk! 2 2 3 6 2" xfId="32144" xr:uid="{6174E723-08CE-490F-9289-A1182806772A}"/>
    <cellStyle name="Bemærk! 2 2 3 6 3" xfId="32145" xr:uid="{F3752584-D129-45D9-91D4-0522D13AFD49}"/>
    <cellStyle name="Bemærk! 2 2 3 7" xfId="32146" xr:uid="{B44D26AE-EAEF-4587-BE71-11E9340FB9A9}"/>
    <cellStyle name="Bemærk! 2 2 3 7 2" xfId="32147" xr:uid="{64298D16-15FB-4ED4-9F9C-38E1D57A4C67}"/>
    <cellStyle name="Bemærk! 2 2 3 8" xfId="32148" xr:uid="{44703A25-0E8B-4DD4-B312-666447E2F9A5}"/>
    <cellStyle name="Bemærk! 2 2 4" xfId="23657" xr:uid="{1FBADDEE-71C6-4E90-85D9-6EA56DFFAB44}"/>
    <cellStyle name="Bemærk! 2 2 4 2" xfId="32149" xr:uid="{E5907336-B529-4B38-B37C-01AB86FD0218}"/>
    <cellStyle name="Bemærk! 2 2 4 3" xfId="32150" xr:uid="{62D330E7-C025-4258-8C8B-F8CFFD41EA45}"/>
    <cellStyle name="Bemærk! 2 2 5" xfId="32151" xr:uid="{95E1DE6D-8072-4692-9B3C-29CAC23D4ED6}"/>
    <cellStyle name="Bemærk! 2 2 5 2" xfId="32152" xr:uid="{13672071-284F-48B5-9BBC-2A67E8B4F49C}"/>
    <cellStyle name="Bemærk! 2 2 5 3" xfId="32153" xr:uid="{B0104D63-C42E-48F5-B427-5CCE2F2B7B04}"/>
    <cellStyle name="Bemærk! 2 2 6" xfId="32154" xr:uid="{AE8FA86E-43AF-4D9B-B83C-03234205934C}"/>
    <cellStyle name="Bemærk! 2 2 6 2" xfId="32155" xr:uid="{9BE2DC3E-CD21-4840-9C91-7A2D1288912D}"/>
    <cellStyle name="Bemærk! 2 2 6 3" xfId="32156" xr:uid="{1E31B04B-0009-4F45-8C1B-3CAE193C43AD}"/>
    <cellStyle name="Bemærk! 2 2 7" xfId="32157" xr:uid="{157C475D-294B-4C8A-9C2D-C19645EE3D85}"/>
    <cellStyle name="Bemærk! 2 2 7 2" xfId="32158" xr:uid="{97F29DA9-5367-4DEC-9810-6075C302ABB5}"/>
    <cellStyle name="Bemærk! 2 2 7 3" xfId="32159" xr:uid="{5D8E0BC8-FE04-4719-AAC0-2BC2E6656720}"/>
    <cellStyle name="Bemærk! 2 2 8" xfId="32160" xr:uid="{8F7F9DC7-D15B-48DE-9B48-1D08CDDA0756}"/>
    <cellStyle name="Bemærk! 2 2 8 2" xfId="32161" xr:uid="{65917F22-162D-44FC-9975-92AC0CF8634C}"/>
    <cellStyle name="Bemærk! 2 2 8 3" xfId="32162" xr:uid="{73B3EFF5-8AF5-4D72-8B3E-6F1D5B8BB781}"/>
    <cellStyle name="Bemærk! 2 2 9" xfId="32163" xr:uid="{D8C68C16-3194-4357-8ACA-C6F74933B5FD}"/>
    <cellStyle name="Bemærk! 2 2 9 2" xfId="32164" xr:uid="{ED83D84C-0ED0-4195-A2E9-533F7D03598C}"/>
    <cellStyle name="Bemærk! 2 3" xfId="23658" xr:uid="{BB798888-60E6-4583-BD05-C70AA10B4E15}"/>
    <cellStyle name="Bemærk! 2 3 2" xfId="23659" xr:uid="{F69B055C-3206-4BB3-A8E7-18DBE3B15C69}"/>
    <cellStyle name="Bemærk! 2 3 2 2" xfId="32165" xr:uid="{5E5FEF19-DD04-4505-960E-0561552931FF}"/>
    <cellStyle name="Bemærk! 2 3 2 3" xfId="32166" xr:uid="{A9FBCC9E-87FB-4A71-A966-76E0F22C59DC}"/>
    <cellStyle name="Bemærk! 2 3 3" xfId="32167" xr:uid="{AB7A0A12-0917-4D60-B264-1C1631613E9F}"/>
    <cellStyle name="Bemærk! 2 3 3 2" xfId="32168" xr:uid="{956A6DCB-B725-464A-9B4E-9D8D1418F2C2}"/>
    <cellStyle name="Bemærk! 2 3 3 3" xfId="32169" xr:uid="{ED6DF28E-5D7C-4606-B0D3-56B77ED4A880}"/>
    <cellStyle name="Bemærk! 2 3 4" xfId="32170" xr:uid="{82FC0555-3A30-4CEC-9282-0B9DCAFDC02A}"/>
    <cellStyle name="Bemærk! 2 3 4 2" xfId="32171" xr:uid="{534FA03D-B08D-43B2-9336-ED83CB92F500}"/>
    <cellStyle name="Bemærk! 2 3 4 3" xfId="32172" xr:uid="{94A496EA-D922-4DAE-B081-13263A6EDF2D}"/>
    <cellStyle name="Bemærk! 2 3 5" xfId="32173" xr:uid="{30300AEF-9DCB-4853-B386-050FAE4E67DD}"/>
    <cellStyle name="Bemærk! 2 3 5 2" xfId="32174" xr:uid="{12FB387D-0E38-4EC6-ACC1-C8895FD01A03}"/>
    <cellStyle name="Bemærk! 2 3 5 3" xfId="32175" xr:uid="{C357A56E-4524-4932-A02A-4EA0C5281A3A}"/>
    <cellStyle name="Bemærk! 2 3 6" xfId="32176" xr:uid="{F151A788-6443-4847-A4DB-F364703E34CC}"/>
    <cellStyle name="Bemærk! 2 3 6 2" xfId="32177" xr:uid="{B236B3CF-EC60-4593-8E3E-22558A84A040}"/>
    <cellStyle name="Bemærk! 2 3 6 3" xfId="32178" xr:uid="{4308D5AF-4156-4CA9-92A3-7DE8887D04BB}"/>
    <cellStyle name="Bemærk! 2 3 7" xfId="32179" xr:uid="{1FA27D3F-952A-4BAB-B9AA-17203F377BC0}"/>
    <cellStyle name="Bemærk! 2 3 7 2" xfId="32180" xr:uid="{C2C662CC-94EA-43AD-ADBE-874CD0CB3625}"/>
    <cellStyle name="Bemærk! 2 3 8" xfId="32181" xr:uid="{544D831A-DAB3-4A4E-B147-B61AB68A4B73}"/>
    <cellStyle name="Bemærk! 2 4" xfId="23660" xr:uid="{353858F9-B6CF-4FA4-9F26-BBE42A6AE029}"/>
    <cellStyle name="Bemærk! 2 4 2" xfId="23661" xr:uid="{8540102A-7B43-4513-B1B2-E0FD3F3C4F0F}"/>
    <cellStyle name="Bemærk! 2 4 2 2" xfId="32182" xr:uid="{206A998D-383A-4145-B058-C96D303A111E}"/>
    <cellStyle name="Bemærk! 2 4 2 3" xfId="32183" xr:uid="{4669F828-4A07-4388-89DE-7C07C2EBF949}"/>
    <cellStyle name="Bemærk! 2 4 3" xfId="32184" xr:uid="{B3E5C603-0537-41BA-8B90-8E0C04E5B6B8}"/>
    <cellStyle name="Bemærk! 2 4 3 2" xfId="32185" xr:uid="{04CE8552-D5F5-41AD-8659-4B62407FDB0D}"/>
    <cellStyle name="Bemærk! 2 4 3 3" xfId="32186" xr:uid="{0FB6B356-5774-4C98-BA25-5C2E37173D54}"/>
    <cellStyle name="Bemærk! 2 4 4" xfId="32187" xr:uid="{577A2A27-DF3F-4661-BF4E-ACF919705C5D}"/>
    <cellStyle name="Bemærk! 2 4 4 2" xfId="32188" xr:uid="{04158F11-DCC2-419B-9FA9-C373B79B12CF}"/>
    <cellStyle name="Bemærk! 2 4 4 3" xfId="32189" xr:uid="{4FD1BFA3-252F-4D9B-B3FE-DD9609DD3B55}"/>
    <cellStyle name="Bemærk! 2 4 5" xfId="32190" xr:uid="{E2D021F8-9C72-4333-85BE-14E28E9217AD}"/>
    <cellStyle name="Bemærk! 2 4 5 2" xfId="32191" xr:uid="{F96B879D-A96D-474B-B79F-8DAFD607CF00}"/>
    <cellStyle name="Bemærk! 2 4 5 3" xfId="32192" xr:uid="{204010CE-5A4F-4502-9C0E-52F6996BA965}"/>
    <cellStyle name="Bemærk! 2 4 6" xfId="32193" xr:uid="{D8A95BC3-D050-4DB6-9785-A7A119ACD6DC}"/>
    <cellStyle name="Bemærk! 2 4 6 2" xfId="32194" xr:uid="{D9CAE6CE-36D2-4835-BA37-BA41F0CB2157}"/>
    <cellStyle name="Bemærk! 2 4 6 3" xfId="32195" xr:uid="{1964F598-1E7B-46A1-8CCB-5977D9E8CDF4}"/>
    <cellStyle name="Bemærk! 2 4 7" xfId="32196" xr:uid="{18864F8D-D6AC-41BD-8C5B-F60B3DFC674F}"/>
    <cellStyle name="Bemærk! 2 4 7 2" xfId="32197" xr:uid="{45CB0B17-D0B7-41BE-997A-5CA8A977E716}"/>
    <cellStyle name="Bemærk! 2 4 8" xfId="32198" xr:uid="{7B85F6E9-34B6-42E8-957D-560649B0C4DB}"/>
    <cellStyle name="Bemærk! 2 5" xfId="23662" xr:uid="{B3D43376-5593-401B-A005-6B63BFE5625F}"/>
    <cellStyle name="Bemærk! 2 5 2" xfId="23663" xr:uid="{1B59DA08-37E7-4AB7-AEC4-62752A1E7F4A}"/>
    <cellStyle name="Bemærk! 2 5 3" xfId="32199" xr:uid="{4C1962C6-5258-475A-B0E4-4EB9EFB8F424}"/>
    <cellStyle name="Bemærk! 2 6" xfId="23664" xr:uid="{4C161280-FA25-49D9-B7D6-6242062D4491}"/>
    <cellStyle name="Bemærk! 2 6 2" xfId="32200" xr:uid="{551EE91B-ABF2-4599-A584-E23C16DB6464}"/>
    <cellStyle name="Bemærk! 2 6 3" xfId="32201" xr:uid="{BEC2C808-9616-43A9-BB83-45B06FC70063}"/>
    <cellStyle name="Bemærk! 2 7" xfId="23665" xr:uid="{F58A2777-A252-4AA4-817D-565554A0EB75}"/>
    <cellStyle name="Bemærk! 2 7 2" xfId="23666" xr:uid="{B6E09C6C-6BDB-4320-9642-46D20DE40B07}"/>
    <cellStyle name="Bemærk! 2 7 3" xfId="32202" xr:uid="{E05CE911-10ED-4845-8D64-4EC1F5D69C18}"/>
    <cellStyle name="Bemærk! 2 8" xfId="23667" xr:uid="{977A57F4-B207-420C-8477-07C36C5AA819}"/>
    <cellStyle name="Bemærk! 2 8 2" xfId="32203" xr:uid="{6C97BB3C-3CF7-4172-A575-653DEA0EA651}"/>
    <cellStyle name="Bemærk! 2 8 3" xfId="32204" xr:uid="{B50A274E-1FA5-4D93-A99B-C604A7832F7C}"/>
    <cellStyle name="Bemærk! 2 9" xfId="32205" xr:uid="{D6C6FC33-03B3-484D-AD58-3CAD66A9E5D7}"/>
    <cellStyle name="Bemærk! 2 9 2" xfId="32206" xr:uid="{E950A389-4E0E-44FD-9B85-038ACD765FF7}"/>
    <cellStyle name="Bemærk! 2 9 3" xfId="32207" xr:uid="{D4FEFA5C-EA53-44E3-A4CF-797E36032787}"/>
    <cellStyle name="Bemærk! 3" xfId="23668" xr:uid="{096AA7AC-4A8B-4A96-9567-5E09EAFD60B3}"/>
    <cellStyle name="Bemærk! 3 10" xfId="32208" xr:uid="{6941CA3B-8B21-4515-A72D-CB26E606C85D}"/>
    <cellStyle name="Bemærk! 3 2" xfId="30241" xr:uid="{2BC5965A-7B8A-4604-8FAB-77921E59B430}"/>
    <cellStyle name="Bemærk! 3 2 2" xfId="32209" xr:uid="{CFCB5BFD-5C47-4D9E-806C-075F1C0E6A48}"/>
    <cellStyle name="Bemærk! 3 2 2 2" xfId="32210" xr:uid="{D13708B7-D779-4145-BAAB-F80DC7BBEE35}"/>
    <cellStyle name="Bemærk! 3 2 2 3" xfId="32211" xr:uid="{7958ADE0-A42F-4252-B468-B4E458A12B06}"/>
    <cellStyle name="Bemærk! 3 2 3" xfId="32212" xr:uid="{E12850D1-5490-4483-99BE-BB6AEC626A81}"/>
    <cellStyle name="Bemærk! 3 2 3 2" xfId="32213" xr:uid="{D9547874-02BB-4CE8-A2E0-BEE9AD7165CF}"/>
    <cellStyle name="Bemærk! 3 2 3 3" xfId="32214" xr:uid="{791F691B-7C1E-4C9C-8D37-01D5D97E62F6}"/>
    <cellStyle name="Bemærk! 3 2 4" xfId="32215" xr:uid="{B09C661F-CADD-4D16-86A2-53B51BB9FD07}"/>
    <cellStyle name="Bemærk! 3 2 4 2" xfId="32216" xr:uid="{40FDEAF1-1EB0-4344-8D93-32BAFC034894}"/>
    <cellStyle name="Bemærk! 3 2 4 3" xfId="32217" xr:uid="{37B4F4EB-D431-4398-88A4-4520C74FDBF3}"/>
    <cellStyle name="Bemærk! 3 2 5" xfId="32218" xr:uid="{5F75D2B4-FC6D-43FA-B456-862D8BEC3E8D}"/>
    <cellStyle name="Bemærk! 3 2 5 2" xfId="32219" xr:uid="{06EE941D-7262-41A2-B2D9-0B4BA20A6EA3}"/>
    <cellStyle name="Bemærk! 3 2 5 3" xfId="32220" xr:uid="{BD92392B-53C5-43D5-843E-33C7D8CE5D1A}"/>
    <cellStyle name="Bemærk! 3 2 6" xfId="32221" xr:uid="{10A9BA7F-F06A-48FC-A3AE-061566A99583}"/>
    <cellStyle name="Bemærk! 3 2 6 2" xfId="32222" xr:uid="{00449C5D-7DE8-419E-9C9F-3A725E2CCD25}"/>
    <cellStyle name="Bemærk! 3 2 6 3" xfId="32223" xr:uid="{D9F04010-1F82-4A1E-8742-B7C21062BC8E}"/>
    <cellStyle name="Bemærk! 3 2 7" xfId="32224" xr:uid="{3F02C871-37C0-4A74-A38C-D5CBFC06215D}"/>
    <cellStyle name="Bemærk! 3 2 7 2" xfId="32225" xr:uid="{B24A5F66-D1AA-46DF-8159-21D9957566CC}"/>
    <cellStyle name="Bemærk! 3 2 8" xfId="32226" xr:uid="{34D2C64E-F7BD-4084-A5B5-0C5F40A5D845}"/>
    <cellStyle name="Bemærk! 3 3" xfId="32227" xr:uid="{F65A2F66-9E5A-4230-9D05-411298248526}"/>
    <cellStyle name="Bemærk! 3 3 2" xfId="32228" xr:uid="{2D2B8C1A-D52A-4562-8F9E-2D5F980207C6}"/>
    <cellStyle name="Bemærk! 3 3 2 2" xfId="32229" xr:uid="{18395612-0036-412F-BF5C-2DC112F358B1}"/>
    <cellStyle name="Bemærk! 3 3 2 3" xfId="32230" xr:uid="{24C6A305-A6DE-454D-8036-347749997263}"/>
    <cellStyle name="Bemærk! 3 3 3" xfId="32231" xr:uid="{CA087CA6-9142-4437-B29C-486C93CDFC1B}"/>
    <cellStyle name="Bemærk! 3 3 3 2" xfId="32232" xr:uid="{E58C7B28-CDEC-404F-A6E3-3226FD433A11}"/>
    <cellStyle name="Bemærk! 3 3 3 3" xfId="32233" xr:uid="{0EAF0F51-198D-4FD9-804C-1DD9C381FA87}"/>
    <cellStyle name="Bemærk! 3 3 4" xfId="32234" xr:uid="{ABDCE1E2-AADD-4C5C-A6A8-E44421E6497A}"/>
    <cellStyle name="Bemærk! 3 3 4 2" xfId="32235" xr:uid="{C3F40BB0-06C1-4AC4-9EA3-7CD27B814A08}"/>
    <cellStyle name="Bemærk! 3 3 4 3" xfId="32236" xr:uid="{72336176-852A-4D47-9FE3-D845339DFAFB}"/>
    <cellStyle name="Bemærk! 3 3 5" xfId="32237" xr:uid="{94521ABA-1AB2-4D4A-AA91-F9539D31DD19}"/>
    <cellStyle name="Bemærk! 3 3 5 2" xfId="32238" xr:uid="{1B4A1A3B-8B8B-436F-9813-B25D86D48391}"/>
    <cellStyle name="Bemærk! 3 3 5 3" xfId="32239" xr:uid="{E3487D6F-0C0A-4C29-9277-7880F12B0EE0}"/>
    <cellStyle name="Bemærk! 3 3 6" xfId="32240" xr:uid="{BA28B80A-BD88-4A37-8830-B42AA122FAE2}"/>
    <cellStyle name="Bemærk! 3 3 6 2" xfId="32241" xr:uid="{6763118E-78D5-485B-BFB2-083E09AFBE40}"/>
    <cellStyle name="Bemærk! 3 3 6 3" xfId="32242" xr:uid="{3CE0DBE0-1A2F-45A8-A9E5-D4083FD82D9B}"/>
    <cellStyle name="Bemærk! 3 3 7" xfId="32243" xr:uid="{0C508413-EA9E-4547-9BED-80ACAB5B870C}"/>
    <cellStyle name="Bemærk! 3 3 7 2" xfId="32244" xr:uid="{7A69D936-FBF4-49E8-8615-C8FD6D026B0D}"/>
    <cellStyle name="Bemærk! 3 3 8" xfId="32245" xr:uid="{86399F2D-697F-49F2-8829-F57F6B59A57F}"/>
    <cellStyle name="Bemærk! 3 4" xfId="32246" xr:uid="{2A10A7AF-B410-467B-ABC4-067DE2496E02}"/>
    <cellStyle name="Bemærk! 3 4 2" xfId="32247" xr:uid="{F5BBAAD8-5F2A-4812-9974-01FEF492EA06}"/>
    <cellStyle name="Bemærk! 3 4 3" xfId="32248" xr:uid="{E40EC000-B289-4341-A9F1-7420DB0703D4}"/>
    <cellStyle name="Bemærk! 3 5" xfId="32249" xr:uid="{0BF8C58B-FDF2-478A-9159-11402D1D9650}"/>
    <cellStyle name="Bemærk! 3 5 2" xfId="32250" xr:uid="{F59A8A4E-9912-4EF1-92AD-4834FE61C066}"/>
    <cellStyle name="Bemærk! 3 5 3" xfId="32251" xr:uid="{EEF4A43E-E70E-46A5-BAE7-F2C237B8CCA4}"/>
    <cellStyle name="Bemærk! 3 6" xfId="32252" xr:uid="{BB57616A-A766-4C32-89D8-BF972D5ADA86}"/>
    <cellStyle name="Bemærk! 3 6 2" xfId="32253" xr:uid="{357F80F0-4645-4E24-BB19-803158240F27}"/>
    <cellStyle name="Bemærk! 3 6 3" xfId="32254" xr:uid="{536619DD-5415-4BC1-AE88-237E22C74D31}"/>
    <cellStyle name="Bemærk! 3 7" xfId="32255" xr:uid="{7F543918-3317-4D58-8FAF-40C934A06E55}"/>
    <cellStyle name="Bemærk! 3 7 2" xfId="32256" xr:uid="{23AA626F-59BC-4E00-9767-3744DEC8ABB8}"/>
    <cellStyle name="Bemærk! 3 7 3" xfId="32257" xr:uid="{9008F13C-298C-46EA-BFA1-31AE6B83A2B8}"/>
    <cellStyle name="Bemærk! 3 8" xfId="32258" xr:uid="{CC097227-2521-4827-B894-BBE5BF263BB6}"/>
    <cellStyle name="Bemærk! 3 8 2" xfId="32259" xr:uid="{0AD2229A-BEEE-45B5-8992-E1ACA91154F0}"/>
    <cellStyle name="Bemærk! 3 8 3" xfId="32260" xr:uid="{2D270FB3-4669-4E39-8B88-03A3D85782AD}"/>
    <cellStyle name="Bemærk! 3 9" xfId="32261" xr:uid="{8579FBF9-8621-451C-B4FB-CF96D05A01CA}"/>
    <cellStyle name="Bemærk! 3 9 2" xfId="32262" xr:uid="{3908DCD4-0DA3-4858-9BA8-D8207D798F02}"/>
    <cellStyle name="Bemærk! 4" xfId="23669" xr:uid="{05967FC9-1B9D-413B-8CC3-3A13B4FED043}"/>
    <cellStyle name="Bemærk! 4 2" xfId="23670" xr:uid="{71477C25-5586-4D84-A55F-AAD6687049F3}"/>
    <cellStyle name="Bemærk! 4 2 2" xfId="23671" xr:uid="{2F466FB9-D821-43CB-9019-AF896C31A6C5}"/>
    <cellStyle name="Bemærk! 5" xfId="23672" xr:uid="{DDA4CC00-1A79-49E7-AA7E-5E6BE2E9D9B2}"/>
    <cellStyle name="Bemærk! 6" xfId="23673" xr:uid="{D4C899B0-5DAF-4BFC-8F66-51F97FFC0AAF}"/>
    <cellStyle name="Bemærk! 6 2" xfId="23674" xr:uid="{D5FD9BC6-5CA6-4055-AE62-74A10C435C44}"/>
    <cellStyle name="Bruger data" xfId="1252" xr:uid="{00000000-0005-0000-0000-000041000000}"/>
    <cellStyle name="Bruger data 2" xfId="11180" xr:uid="{AA6211FD-E3A6-4980-A31E-1D9961236792}"/>
    <cellStyle name="Bruger data 2 2" xfId="35553" xr:uid="{636E144F-223D-4B1A-98A2-6CC01E386B70}"/>
    <cellStyle name="Bruger data 2 3" xfId="32605" xr:uid="{14870784-EC10-4BA7-B9EA-82E259937C80}"/>
    <cellStyle name="Bruger data 3" xfId="10614" xr:uid="{F54873D6-FF5E-4707-940C-ABFECAA5487D}"/>
    <cellStyle name="Bruger data 3 2" xfId="46160" xr:uid="{6B86526D-0FD0-47C8-B220-8C63BCB99015}"/>
    <cellStyle name="Bruger data 3 3" xfId="32672" xr:uid="{6A0D491F-B90D-44E0-ADB8-BBC6C7B83A3A}"/>
    <cellStyle name="Bruger data 4" xfId="23675" xr:uid="{FF46509F-0D6E-4B9E-B89F-1430096DE960}"/>
    <cellStyle name="Bruger data 5" xfId="8913" xr:uid="{2600EE64-30B2-4BAD-A3E5-3763188A75C1}"/>
    <cellStyle name="C01_Main head" xfId="23676" xr:uid="{6588FF2C-182A-472D-909C-4D55764415F7}"/>
    <cellStyle name="C02_Column heads" xfId="23677" xr:uid="{C0648930-AF9E-4E38-8521-93E58EFB7397}"/>
    <cellStyle name="C03_Sub head bold" xfId="23678" xr:uid="{2818F8A4-726D-4507-A778-E339B2AE735A}"/>
    <cellStyle name="C03a_Sub head" xfId="23679" xr:uid="{8D818374-198D-4C43-8FE8-0F4B4D75C5BF}"/>
    <cellStyle name="C04_Total text white bold" xfId="23680" xr:uid="{D8FC01BB-3413-46AE-A5D6-0828587CC0FF}"/>
    <cellStyle name="C04a_Total text black with rule" xfId="23681" xr:uid="{0A57416A-AFDE-4B7A-8248-6E33EFEC82F6}"/>
    <cellStyle name="C05_Main text" xfId="23682" xr:uid="{5ABE3232-AEB2-4BC7-A59E-B24667E02740}"/>
    <cellStyle name="C06_Figs" xfId="23683" xr:uid="{55CB9D6B-87D5-4422-A1E8-41857260D471}"/>
    <cellStyle name="C07_Figs 1 dec percent" xfId="23684" xr:uid="{925351D2-7284-4CDF-9968-9C0A0EC29AAC}"/>
    <cellStyle name="C08_Figs 1 decimal" xfId="23685" xr:uid="{E841B24E-87F4-4C7C-AD79-5F174B117CD1}"/>
    <cellStyle name="C09_Notes" xfId="23686" xr:uid="{F902C3F2-CE6B-4FC3-BEFF-F636D451F084}"/>
    <cellStyle name="Calcolo" xfId="36" xr:uid="{00000000-0005-0000-0000-000042000000}"/>
    <cellStyle name="Calcolo 2" xfId="37" xr:uid="{00000000-0005-0000-0000-000043000000}"/>
    <cellStyle name="Calcolo 2 2" xfId="1289" xr:uid="{00000000-0005-0000-0000-000044000000}"/>
    <cellStyle name="Calcolo 2 2 2" xfId="17741" xr:uid="{124121E2-FBD2-4F73-82DA-53794C277F53}"/>
    <cellStyle name="Calcolo 2 2 2 2" xfId="35554" xr:uid="{0BA870E7-BAD0-4E5D-B8CD-24DB6860CB82}"/>
    <cellStyle name="Calcolo 2 2 3" xfId="32675" xr:uid="{F7A2E818-AD7F-45D5-865F-033CE2B0E8F8}"/>
    <cellStyle name="Calcolo 2 3" xfId="17703" xr:uid="{C6B35C0C-113D-4ED5-B4DF-34B4F5F7248C}"/>
    <cellStyle name="Calcolo 2 3 2" xfId="35054" xr:uid="{8DDB848F-2464-43BE-9B2E-0342E00229AF}"/>
    <cellStyle name="Calcolo 2 4" xfId="30242" xr:uid="{92E214D9-A962-41A1-B761-3B45EA25F18A}"/>
    <cellStyle name="Calcolo 2 4 2" xfId="35055" xr:uid="{60647F3B-200A-4BB3-B290-1826EE8F49D8}"/>
    <cellStyle name="Calcolo 2 5" xfId="30243" xr:uid="{090CA611-32BF-4FC4-8791-5362DF0BC0AB}"/>
    <cellStyle name="Calcolo 2 5 2" xfId="35056" xr:uid="{E60C48C7-0A37-4646-8158-D0E345F92E23}"/>
    <cellStyle name="Calcolo 2 6" xfId="32674" xr:uid="{5EBC7040-7A00-48AE-8D68-2CBCFE9BE885}"/>
    <cellStyle name="Calcolo 3" xfId="1290" xr:uid="{00000000-0005-0000-0000-000045000000}"/>
    <cellStyle name="Calcolo 3 2" xfId="17704" xr:uid="{1CA09E77-AB06-41F4-A318-722F10201A51}"/>
    <cellStyle name="Calcolo 3 2 2" xfId="35063" xr:uid="{20FC001F-FC79-42BD-87E0-055199A0E158}"/>
    <cellStyle name="Calcolo 3 3" xfId="32676" xr:uid="{A2D12F59-8F60-4042-8F24-B2B9FD300ACF}"/>
    <cellStyle name="Calcolo 4" xfId="8914" xr:uid="{95F318DA-1978-4390-BECB-400C20A6DE51}"/>
    <cellStyle name="Calcolo 4 2" xfId="32606" xr:uid="{33B9381E-4CA2-41CD-B1A5-0C0126357A32}"/>
    <cellStyle name="Calcolo 4 2 2" xfId="35555" xr:uid="{DE822BAD-DB7B-4E96-9AC6-9D3FFF9CECD6}"/>
    <cellStyle name="Calcolo 4 3" xfId="32607" xr:uid="{6C900488-D358-43AA-BE9B-CC99D47821D0}"/>
    <cellStyle name="Calcolo 4 3 2" xfId="35556" xr:uid="{AE598EF9-6E74-4BC5-9D0C-E04E491D008A}"/>
    <cellStyle name="Calcolo 4 4" xfId="32677" xr:uid="{4C0DEF7C-9C39-4377-89F9-D0AB650CE46D}"/>
    <cellStyle name="Calcolo 5" xfId="8915" xr:uid="{D51325E7-78BD-4F6E-9F91-501B5D6C6F42}"/>
    <cellStyle name="Calcolo 5 2" xfId="32608" xr:uid="{3D1618D7-F1E6-459A-BFFA-8B468F93F103}"/>
    <cellStyle name="Calcolo 5 2 2" xfId="35557" xr:uid="{ED588944-300E-4EF7-BFD5-91078B7663FB}"/>
    <cellStyle name="Calcolo 5 3" xfId="32609" xr:uid="{03CBC32C-A7D8-4CDB-922F-275A21D02EE6}"/>
    <cellStyle name="Calcolo 5 3 2" xfId="35558" xr:uid="{B309480E-019B-4AE4-A90E-C0F348E614CB}"/>
    <cellStyle name="Calcolo 5 4" xfId="32678" xr:uid="{9A63F37A-5100-457D-A5CF-BC71EA39D02A}"/>
    <cellStyle name="Calcolo 6" xfId="8916" xr:uid="{922C1E50-262C-412F-93DC-D8028592AB60}"/>
    <cellStyle name="Calcolo 6 2" xfId="32610" xr:uid="{D9457282-7983-4F10-97E1-F9E89AA1B716}"/>
    <cellStyle name="Calcolo 6 2 2" xfId="35559" xr:uid="{6F15812E-6BCF-482F-BE0F-42AF348E90A8}"/>
    <cellStyle name="Calcolo 6 3" xfId="32611" xr:uid="{9B33B142-B894-466B-A8F0-7BBA57165D85}"/>
    <cellStyle name="Calcolo 6 3 2" xfId="35560" xr:uid="{BBE85846-E107-4300-9A0A-9616577E7F5C}"/>
    <cellStyle name="Calcolo 6 4" xfId="32679" xr:uid="{8CBFB15F-428B-4F26-A631-C569F4206723}"/>
    <cellStyle name="Calcolo 7" xfId="8917" xr:uid="{4A9DDAC5-C0CE-47D7-A107-AD7A3DE1C404}"/>
    <cellStyle name="Calcolo 7 2" xfId="32612" xr:uid="{0932CA2C-7684-4171-818C-49E9CBFB3D91}"/>
    <cellStyle name="Calcolo 7 2 2" xfId="35561" xr:uid="{EEB837BB-230C-462B-BD2C-8D729DF1D27E}"/>
    <cellStyle name="Calcolo 7 3" xfId="32613" xr:uid="{B4987D60-259E-480B-92D7-060F0B8A418C}"/>
    <cellStyle name="Calcolo 7 3 2" xfId="35562" xr:uid="{8E8D5DD0-A58E-4A7F-9813-195BFF22F1A6}"/>
    <cellStyle name="Calcolo 7 4" xfId="32680" xr:uid="{BFF2191A-3EDB-4C52-994E-983019BB14B3}"/>
    <cellStyle name="Calcolo 8" xfId="32673" xr:uid="{DEE06948-2ACB-4E39-A4F0-8B7D9BCBD31E}"/>
    <cellStyle name="Calculation 2" xfId="38" xr:uid="{00000000-0005-0000-0000-000046000000}"/>
    <cellStyle name="Calculation 2 2" xfId="23687" xr:uid="{CBC4D063-C28C-466C-8661-7BD62CD6C263}"/>
    <cellStyle name="Calculation 2 2 2" xfId="32614" xr:uid="{89FEA145-8E46-41D3-B383-873D80FF9B41}"/>
    <cellStyle name="Calculation 2 2 2 2" xfId="35563" xr:uid="{112D25D1-B9CA-40A7-A428-5919ADAC3EF6}"/>
    <cellStyle name="Calculation 2 2 3" xfId="32615" xr:uid="{A50A6C8A-15C7-4E07-8106-A1AF35D220CD}"/>
    <cellStyle name="Calculation 2 2 3 2" xfId="35564" xr:uid="{03355C58-0043-4B33-88EA-1F6BC4B4A9B6}"/>
    <cellStyle name="Calculation 2 2 4" xfId="32681" xr:uid="{7C8BD276-716D-4017-AFE6-83FB5626D9C0}"/>
    <cellStyle name="Calculation 2 3" xfId="23688" xr:uid="{45BD1BC8-A8F7-4AC7-898D-3AF2D7530123}"/>
    <cellStyle name="Calculation 2 3 2" xfId="32616" xr:uid="{A7F4D76B-2F27-4DAF-AAA1-AFFC5B1DB2F5}"/>
    <cellStyle name="Calculation 2 3 2 2" xfId="35565" xr:uid="{BE8FF6C0-925C-464B-AF0B-B2ABAADFF45F}"/>
    <cellStyle name="Calculation 2 3 3" xfId="32617" xr:uid="{0452467F-8BF1-464E-A4AD-7048C8956A08}"/>
    <cellStyle name="Calculation 2 3 3 2" xfId="35566" xr:uid="{70288ABE-9266-4E8B-A3EC-DC04B85AA2B8}"/>
    <cellStyle name="Calculation 2 3 4" xfId="32682" xr:uid="{EF0B24F0-EEF7-4897-9884-AA994755B4BE}"/>
    <cellStyle name="Calculation 2 4" xfId="23689" xr:uid="{48549DCA-53B9-428C-91FA-D0F7C2EAB32A}"/>
    <cellStyle name="Calculations" xfId="8918" xr:uid="{AFA0CBB1-B95A-492B-9E6B-431160E8883D}"/>
    <cellStyle name="Calculations 2" xfId="32618" xr:uid="{4115DC77-D2D0-429A-9C6D-EAC8A0C2BA5B}"/>
    <cellStyle name="Calculations 2 2" xfId="35567" xr:uid="{89DF7B0C-4D42-4758-88BD-F22840AC9FD6}"/>
    <cellStyle name="Calculations 3" xfId="32683" xr:uid="{8BFE074A-82D1-49DE-BEB5-77FFCE7DA523}"/>
    <cellStyle name="Calculations 4" xfId="23690" xr:uid="{0684EA46-883C-44D2-A647-A6E15D6C36FD}"/>
    <cellStyle name="Cella collegata" xfId="39" xr:uid="{00000000-0005-0000-0000-000047000000}"/>
    <cellStyle name="Cella da controllare" xfId="40" xr:uid="{00000000-0005-0000-0000-000048000000}"/>
    <cellStyle name="Check Cell 2" xfId="23691" xr:uid="{CBAC0792-33FA-445F-AF6A-2D61E1EDD376}"/>
    <cellStyle name="Colore 1" xfId="41" xr:uid="{00000000-0005-0000-0000-000049000000}"/>
    <cellStyle name="Colore 2" xfId="42" xr:uid="{00000000-0005-0000-0000-00004A000000}"/>
    <cellStyle name="Colore 3" xfId="43" xr:uid="{00000000-0005-0000-0000-00004B000000}"/>
    <cellStyle name="Colore 4" xfId="44" xr:uid="{00000000-0005-0000-0000-00004C000000}"/>
    <cellStyle name="Colore 5" xfId="45" xr:uid="{00000000-0005-0000-0000-00004D000000}"/>
    <cellStyle name="Colore 6" xfId="46" xr:uid="{00000000-0005-0000-0000-00004E000000}"/>
    <cellStyle name="Comma" xfId="47" builtinId="3"/>
    <cellStyle name="Comma 10" xfId="10602" xr:uid="{B2495AA6-265C-41AE-81E6-B3A49B556931}"/>
    <cellStyle name="Comma 10 2" xfId="21247" xr:uid="{29C3F1C1-18BE-4CE6-A244-1FA2F494EA3E}"/>
    <cellStyle name="Comma 10 3" xfId="23692" xr:uid="{2F8BFBD6-D167-4B4B-8474-5363033E029D}"/>
    <cellStyle name="Comma 10 4" xfId="47855" xr:uid="{FCF5D1D8-4FDA-4B10-940D-3EBD6C3DB044}"/>
    <cellStyle name="Comma 10 5" xfId="48585" xr:uid="{590155D4-BF90-403E-A3CF-C969865CE7E9}"/>
    <cellStyle name="Comma 10 6" xfId="49495" xr:uid="{9B7D1D02-AB33-4BB1-87EB-C8F07F62C282}"/>
    <cellStyle name="Comma 10 7" xfId="50265" xr:uid="{C79AFDAD-A6D3-45D4-BDDC-4EAA5EFF2C65}"/>
    <cellStyle name="Comma 10 8" xfId="53281" xr:uid="{8DFB44D3-4E11-4A10-8C53-619C7677268A}"/>
    <cellStyle name="Comma 10 9" xfId="17715" xr:uid="{16529C12-FF40-4A4B-8E0D-AD4875F6E72F}"/>
    <cellStyle name="Comma 11" xfId="23693" xr:uid="{BC26AA5A-DFA6-4B4E-9782-39E048680D64}"/>
    <cellStyle name="Comma 11 2" xfId="48586" xr:uid="{599AA06F-A351-40F1-915F-ED9F32AB5885}"/>
    <cellStyle name="Comma 11 3" xfId="49496" xr:uid="{B6D3DA87-87B9-4125-A315-3F55BE5F5A81}"/>
    <cellStyle name="Comma 12" xfId="23694" xr:uid="{77E2CAA8-FDAD-44F5-91B4-77567048DFF5}"/>
    <cellStyle name="Comma 12 2" xfId="48587" xr:uid="{425A5421-BCFB-4771-B370-1183F06A410F}"/>
    <cellStyle name="Comma 12 3" xfId="49497" xr:uid="{39D53C45-AA6C-43CF-A23F-B0722F07083D}"/>
    <cellStyle name="Comma 13" xfId="23695" xr:uid="{BE5FC36E-88E3-466F-A964-6AEEDB038C31}"/>
    <cellStyle name="Comma 13 2" xfId="32684" xr:uid="{196D2C47-39F8-4177-816C-B62E64ED694C}"/>
    <cellStyle name="Comma 13 3" xfId="48588" xr:uid="{E7C9C900-95DC-4FD2-9AA0-3A02031FC3D8}"/>
    <cellStyle name="Comma 13 4" xfId="49498" xr:uid="{699DD753-E8A2-4275-875B-D79D8604807B}"/>
    <cellStyle name="Comma 14" xfId="55819" xr:uid="{27E49B0A-2530-4D8D-A2A3-E121A8EAA585}"/>
    <cellStyle name="Comma 15" xfId="6981" xr:uid="{0E51ADE3-AE6F-4EF4-9E84-0ACDB4CC6201}"/>
    <cellStyle name="Comma 2" xfId="48" xr:uid="{00000000-0005-0000-0000-000050000000}"/>
    <cellStyle name="Comma 2 10" xfId="2604" xr:uid="{07072C41-71DE-4EF3-A4AC-0329D0C5C78E}"/>
    <cellStyle name="Comma 2 10 2" xfId="23696" xr:uid="{6A11E770-453C-4462-9437-2CFD97B53C4C}"/>
    <cellStyle name="Comma 2 10 3" xfId="48590" xr:uid="{0C3AE32F-A71B-490A-8167-88F127BFF6F6}"/>
    <cellStyle name="Comma 2 10 4" xfId="49500" xr:uid="{DB19570D-EDD5-49DC-A9F7-B24698F8DEFB}"/>
    <cellStyle name="Comma 2 10 5" xfId="19466" xr:uid="{F1C2F289-B466-4DD8-BBFF-8D51DAD5593F}"/>
    <cellStyle name="Comma 2 11" xfId="23697" xr:uid="{A234C552-AF97-4211-B958-2851B2351C08}"/>
    <cellStyle name="Comma 2 12" xfId="32685" xr:uid="{77D5B730-09C7-4EED-8190-B0D1A646EAEF}"/>
    <cellStyle name="Comma 2 12 2" xfId="38059" xr:uid="{D7090DC4-AF7E-4118-9327-A008D0D6910E}"/>
    <cellStyle name="Comma 2 12 3" xfId="43361" xr:uid="{D829579E-A8DF-4F98-A1C5-88C02D51FE58}"/>
    <cellStyle name="Comma 2 13" xfId="35594" xr:uid="{A9528D90-0284-43A6-8FE7-409CF2E85620}"/>
    <cellStyle name="Comma 2 14" xfId="40710" xr:uid="{D2A5D7A7-BFE9-4038-9310-7C19438299F2}"/>
    <cellStyle name="Comma 2 15" xfId="48589" xr:uid="{6B20BAF4-B212-4AE8-AACF-919642295793}"/>
    <cellStyle name="Comma 2 16" xfId="49499" xr:uid="{9A7C8100-C653-43F4-BBDF-9B9E65888906}"/>
    <cellStyle name="Comma 2 17" xfId="6982" xr:uid="{D9EA276E-938A-4F83-AFD1-4A374F0F80CD}"/>
    <cellStyle name="Comma 2 2" xfId="49" xr:uid="{00000000-0005-0000-0000-000051000000}"/>
    <cellStyle name="Comma 2 2 10" xfId="6983" xr:uid="{4FAA9659-A276-40C1-BE52-C4BFB6F14CEE}"/>
    <cellStyle name="Comma 2 2 2" xfId="2606" xr:uid="{8E5D7C90-9CB3-45D5-8CF3-5DBFA3CCB7B7}"/>
    <cellStyle name="Comma 2 2 2 10" xfId="15939" xr:uid="{5B7213FD-B013-45D7-9C3E-BA87FD3A569F}"/>
    <cellStyle name="Comma 2 2 2 11" xfId="7230" xr:uid="{C99BC8A3-30E5-4F2C-B43C-2AD489F0DA46}"/>
    <cellStyle name="Comma 2 2 2 2" xfId="2607" xr:uid="{2130FD32-2C64-4223-B287-6CA4A9FCF640}"/>
    <cellStyle name="Comma 2 2 2 2 10" xfId="15455" xr:uid="{3A72FF15-C6BC-461B-BF80-DC50D6B5B396}"/>
    <cellStyle name="Comma 2 2 2 2 10 2" xfId="22990" xr:uid="{52D349F8-5F86-4268-8A36-A7D346BE90D7}"/>
    <cellStyle name="Comma 2 2 2 2 10 3" xfId="47495" xr:uid="{C882876C-D6FC-4328-93B8-DB05BC1C30F7}"/>
    <cellStyle name="Comma 2 2 2 2 10 4" xfId="52328" xr:uid="{CA88D0A8-4824-46B6-B8B2-81B7BFDB5CC9}"/>
    <cellStyle name="Comma 2 2 2 2 10 5" xfId="55344" xr:uid="{F9F041A4-F157-484A-8E76-2C4DA2A2EE52}"/>
    <cellStyle name="Comma 2 2 2 2 11" xfId="11580" xr:uid="{5B8AC5B7-3550-4B90-A408-D6B53BDD26D6}"/>
    <cellStyle name="Comma 2 2 2 2 11 2" xfId="21704" xr:uid="{EEC4AE3C-7C96-46DB-950C-A72D06B9B683}"/>
    <cellStyle name="Comma 2 2 2 2 11 3" xfId="37214" xr:uid="{09498DFB-D205-4831-A229-FE13D3ACF59B}"/>
    <cellStyle name="Comma 2 2 2 2 11 4" xfId="50727" xr:uid="{CF1437E8-2DE6-4B9C-A147-6AEB65665660}"/>
    <cellStyle name="Comma 2 2 2 2 11 5" xfId="53743" xr:uid="{94A65E27-5798-4311-8B00-D6BCFFE15E6D}"/>
    <cellStyle name="Comma 2 2 2 2 12" xfId="19469" xr:uid="{A2FE0AA6-9E27-4F74-86B5-CBCCE3E9CF5F}"/>
    <cellStyle name="Comma 2 2 2 2 13" xfId="23700" xr:uid="{0B352EE0-A643-4783-8955-14B87A680AE0}"/>
    <cellStyle name="Comma 2 2 2 2 14" xfId="48593" xr:uid="{0EDC620B-DCD2-4CD7-93C8-4806890A4EFC}"/>
    <cellStyle name="Comma 2 2 2 2 15" xfId="49503" xr:uid="{E0CF1DA3-4605-4826-88EA-F84C2F573BD5}"/>
    <cellStyle name="Comma 2 2 2 2 16" xfId="49791" xr:uid="{BCA0DE54-187A-4F7F-9AAD-0293FD66365B}"/>
    <cellStyle name="Comma 2 2 2 2 17" xfId="52806" xr:uid="{C76A3272-042D-4846-8D89-652323A703CE}"/>
    <cellStyle name="Comma 2 2 2 2 2" xfId="8919" xr:uid="{B4F07312-EE6B-4E91-BB2D-8925E69360F9}"/>
    <cellStyle name="Comma 2 2 2 2 2 10" xfId="12316" xr:uid="{505BDF99-C44C-4CD4-A2E3-DA6E74E36C36}"/>
    <cellStyle name="Comma 2 2 2 2 2 10 2" xfId="47662" xr:uid="{BE3485BE-7E21-4135-86F3-BE7108EA7F69}"/>
    <cellStyle name="Comma 2 2 2 2 2 10 3" xfId="50945" xr:uid="{D2F95A2D-5E48-4D9C-8C1C-D148E045F6B5}"/>
    <cellStyle name="Comma 2 2 2 2 2 10 4" xfId="53961" xr:uid="{30B6E461-79CA-42E4-8745-77A03D6F34EF}"/>
    <cellStyle name="Comma 2 2 2 2 2 11" xfId="23701" xr:uid="{DF2EEB08-D18E-44E4-B4C1-71DA638151B9}"/>
    <cellStyle name="Comma 2 2 2 2 2 12" xfId="48594" xr:uid="{21EB4CB9-6517-4E49-B9AC-435D75E07F33}"/>
    <cellStyle name="Comma 2 2 2 2 2 13" xfId="49504" xr:uid="{C179FCCE-CF9B-4877-9794-F3A384F85B2A}"/>
    <cellStyle name="Comma 2 2 2 2 2 14" xfId="49796" xr:uid="{3396E409-2E62-42F8-BA9D-964A538D0BD8}"/>
    <cellStyle name="Comma 2 2 2 2 2 15" xfId="52811" xr:uid="{60B0C435-0062-492B-B903-F0E972D36E92}"/>
    <cellStyle name="Comma 2 2 2 2 2 2" xfId="10006" xr:uid="{2E4663C2-EE9B-4023-94E0-086F74B3B7C0}"/>
    <cellStyle name="Comma 2 2 2 2 2 2 2" xfId="10314" xr:uid="{9FCE9BC6-DE1C-4A4D-9B0D-F2B511ABA869}"/>
    <cellStyle name="Comma 2 2 2 2 2 2 2 2" xfId="14759" xr:uid="{CFEB6229-5F39-437D-8D97-04D62DEBA073}"/>
    <cellStyle name="Comma 2 2 2 2 2 2 2 2 2" xfId="22306" xr:uid="{8D06D761-8E61-45F6-A447-E9E5DDE6A1A4}"/>
    <cellStyle name="Comma 2 2 2 2 2 2 2 2 3" xfId="46431" xr:uid="{2AA5E9F0-97BD-4F4D-868A-FBB388F1CB75}"/>
    <cellStyle name="Comma 2 2 2 2 2 2 2 2 4" xfId="51644" xr:uid="{8A3464D1-D7C4-4012-A7D3-F81CF7B7A8BA}"/>
    <cellStyle name="Comma 2 2 2 2 2 2 2 2 5" xfId="54660" xr:uid="{A1DD82F1-CFBB-4CF5-80A4-BA8863B768C1}"/>
    <cellStyle name="Comma 2 2 2 2 2 2 2 3" xfId="15244" xr:uid="{AE5A68D4-E4CA-4ECE-A2FD-0BC22A5E5094}"/>
    <cellStyle name="Comma 2 2 2 2 2 2 2 3 2" xfId="22783" xr:uid="{C6B26DA0-A2F3-433F-83C7-C7F82916EF5B}"/>
    <cellStyle name="Comma 2 2 2 2 2 2 2 3 3" xfId="46501" xr:uid="{A0A8AF6A-7EDC-479B-9C08-EF3F51F613BB}"/>
    <cellStyle name="Comma 2 2 2 2 2 2 2 3 4" xfId="52121" xr:uid="{F6DF0E6A-4DC6-4026-8024-CB1C0DC43C3A}"/>
    <cellStyle name="Comma 2 2 2 2 2 2 2 3 5" xfId="55137" xr:uid="{3AAFF37A-69AD-46F6-BE21-FD7CD826643E}"/>
    <cellStyle name="Comma 2 2 2 2 2 2 2 4" xfId="15731" xr:uid="{A3E7E8A4-AD54-4BA5-8FBC-D0B46500E092}"/>
    <cellStyle name="Comma 2 2 2 2 2 2 2 4 2" xfId="23260" xr:uid="{1FA81DBE-6620-4818-B161-1CF5BA3F1AE5}"/>
    <cellStyle name="Comma 2 2 2 2 2 2 2 4 3" xfId="25284" xr:uid="{960355A4-3F47-42EC-917A-BD78258A6848}"/>
    <cellStyle name="Comma 2 2 2 2 2 2 2 4 4" xfId="52598" xr:uid="{26BD4CF0-2460-44F8-9482-CEF24287FB8D}"/>
    <cellStyle name="Comma 2 2 2 2 2 2 2 4 5" xfId="55614" xr:uid="{7F0A4995-D171-450A-BD99-390C73A18D40}"/>
    <cellStyle name="Comma 2 2 2 2 2 2 2 5" xfId="12767" xr:uid="{81FB8099-5E58-4484-A30A-19FC559C9722}"/>
    <cellStyle name="Comma 2 2 2 2 2 2 2 5 2" xfId="34159" xr:uid="{3693B33A-9DB1-45FF-A967-20EC5190A5F4}"/>
    <cellStyle name="Comma 2 2 2 2 2 2 2 5 3" xfId="51167" xr:uid="{225C9A37-BE33-42F9-B1A9-441EFE3A5230}"/>
    <cellStyle name="Comma 2 2 2 2 2 2 2 5 4" xfId="54183" xr:uid="{7E882375-CB32-4A3B-B4DD-E1A9EAC72251}"/>
    <cellStyle name="Comma 2 2 2 2 2 2 2 6" xfId="48453" xr:uid="{A95F68C4-26B7-4D5F-9C9E-A44353A2F0EB}"/>
    <cellStyle name="Comma 2 2 2 2 2 2 2 7" xfId="50061" xr:uid="{7C6BF1C6-1376-40C3-8C83-363076C3EF3B}"/>
    <cellStyle name="Comma 2 2 2 2 2 2 2 8" xfId="53077" xr:uid="{A1789CD0-CBCD-4CE1-ABC4-23598921BFAE}"/>
    <cellStyle name="Comma 2 2 2 2 2 2 3" xfId="14547" xr:uid="{8658C64B-6469-4A6B-B0B1-BCF8437B4937}"/>
    <cellStyle name="Comma 2 2 2 2 2 2 3 2" xfId="22094" xr:uid="{E357FAFA-1553-44AB-B8DE-E193D8F6AD84}"/>
    <cellStyle name="Comma 2 2 2 2 2 2 3 3" xfId="34064" xr:uid="{5764C349-7CF0-4D8E-BDC8-AC15D2876064}"/>
    <cellStyle name="Comma 2 2 2 2 2 2 3 4" xfId="51432" xr:uid="{23EA88CA-CEDB-4596-B0F7-D3AACC66F157}"/>
    <cellStyle name="Comma 2 2 2 2 2 2 3 5" xfId="54448" xr:uid="{289BABBA-7264-4031-9DAD-D0DF56E443FE}"/>
    <cellStyle name="Comma 2 2 2 2 2 2 4" xfId="15031" xr:uid="{783B96A2-BB2A-467D-9F17-1D16C9CF19DA}"/>
    <cellStyle name="Comma 2 2 2 2 2 2 4 2" xfId="22571" xr:uid="{67B9256D-2DD9-4ACB-A2E8-914759D073EB}"/>
    <cellStyle name="Comma 2 2 2 2 2 2 4 3" xfId="47484" xr:uid="{12DAC970-375A-4CC9-A7F4-3ACDD0E1357D}"/>
    <cellStyle name="Comma 2 2 2 2 2 2 4 4" xfId="51909" xr:uid="{23725452-5364-4B42-9DAD-39851135EBFD}"/>
    <cellStyle name="Comma 2 2 2 2 2 2 4 5" xfId="54925" xr:uid="{B197A2E8-1721-4A7A-96A4-6CD961E015FD}"/>
    <cellStyle name="Comma 2 2 2 2 2 2 5" xfId="15518" xr:uid="{AF6FEBEC-BE82-424A-BDCD-16500AFB273F}"/>
    <cellStyle name="Comma 2 2 2 2 2 2 5 2" xfId="23048" xr:uid="{000BC2A9-836F-4213-8041-B8461235A421}"/>
    <cellStyle name="Comma 2 2 2 2 2 2 5 3" xfId="46544" xr:uid="{48B7AE38-8FD3-47EC-AE86-6B9ABC4C9853}"/>
    <cellStyle name="Comma 2 2 2 2 2 2 5 4" xfId="52386" xr:uid="{FE4DD2A8-3AF1-414B-9C90-301F75C6A7BE}"/>
    <cellStyle name="Comma 2 2 2 2 2 2 5 5" xfId="55402" xr:uid="{DEEDB44E-1420-45E8-8036-0E96736ABD50}"/>
    <cellStyle name="Comma 2 2 2 2 2 2 6" xfId="12466" xr:uid="{869BCB60-85E6-430E-8912-645CC3355A55}"/>
    <cellStyle name="Comma 2 2 2 2 2 2 6 2" xfId="47612" xr:uid="{119A369E-39C3-42CF-980C-CB672C810DCE}"/>
    <cellStyle name="Comma 2 2 2 2 2 2 6 3" xfId="50955" xr:uid="{27A55F2A-DC32-4404-8169-B2124B6ADFDC}"/>
    <cellStyle name="Comma 2 2 2 2 2 2 6 4" xfId="53971" xr:uid="{86BEB2C1-4DC2-41D0-B70F-70F65CD4C270}"/>
    <cellStyle name="Comma 2 2 2 2 2 2 7" xfId="47571" xr:uid="{E2AA023B-5B1E-407B-B229-F2E4C5DF300B}"/>
    <cellStyle name="Comma 2 2 2 2 2 2 8" xfId="49849" xr:uid="{D0430B2D-D7CE-4728-AF37-8DCEE02D7C6D}"/>
    <cellStyle name="Comma 2 2 2 2 2 2 9" xfId="52865" xr:uid="{AA733D7F-7234-46EF-8974-44469D57BBA2}"/>
    <cellStyle name="Comma 2 2 2 2 2 3" xfId="10080" xr:uid="{970F714D-CB1C-477C-8A88-3048DFFD1C72}"/>
    <cellStyle name="Comma 2 2 2 2 2 3 2" xfId="10393" xr:uid="{C142E82A-5F2F-4776-8138-B4C6038B4006}"/>
    <cellStyle name="Comma 2 2 2 2 2 3 2 2" xfId="14812" xr:uid="{55C5121F-8B72-4238-9408-ED3F2AA22108}"/>
    <cellStyle name="Comma 2 2 2 2 2 3 2 2 2" xfId="22359" xr:uid="{A6DFC0A6-DCEF-415D-822C-8E0C6D043197}"/>
    <cellStyle name="Comma 2 2 2 2 2 3 2 2 3" xfId="47335" xr:uid="{9E6D4D50-4CB5-4E21-A9DD-61DCB0332764}"/>
    <cellStyle name="Comma 2 2 2 2 2 3 2 2 4" xfId="51697" xr:uid="{49CF1385-AC72-440C-AF4D-ADF9668D6FF3}"/>
    <cellStyle name="Comma 2 2 2 2 2 3 2 2 5" xfId="54713" xr:uid="{3DA96183-08CF-45B6-88E2-664BE5500066}"/>
    <cellStyle name="Comma 2 2 2 2 2 3 2 3" xfId="15297" xr:uid="{93E1C2FA-7135-4E6A-96E4-C21AECBD0BFD}"/>
    <cellStyle name="Comma 2 2 2 2 2 3 2 3 2" xfId="22836" xr:uid="{756DA5D5-8AFE-4EDE-86F2-4647DEA5C806}"/>
    <cellStyle name="Comma 2 2 2 2 2 3 2 3 3" xfId="24448" xr:uid="{C8C75282-563A-404E-ADAC-809CAEAF0700}"/>
    <cellStyle name="Comma 2 2 2 2 2 3 2 3 4" xfId="52174" xr:uid="{925BD59B-2F3A-4428-8401-75550C5CB675}"/>
    <cellStyle name="Comma 2 2 2 2 2 3 2 3 5" xfId="55190" xr:uid="{1C980DFC-6654-4114-B1AD-240C506557DC}"/>
    <cellStyle name="Comma 2 2 2 2 2 3 2 4" xfId="15784" xr:uid="{77723292-3D9B-413B-9EB7-64AABDB92DBF}"/>
    <cellStyle name="Comma 2 2 2 2 2 3 2 4 2" xfId="23313" xr:uid="{A362F127-8A89-42BE-B9F1-0733F34CFCD7}"/>
    <cellStyle name="Comma 2 2 2 2 2 3 2 4 3" xfId="47502" xr:uid="{DB76F9AD-9166-4DA4-9DA0-63AA452BD6C5}"/>
    <cellStyle name="Comma 2 2 2 2 2 3 2 4 4" xfId="52651" xr:uid="{19BEE77E-09FE-45AD-BB6D-6558A4541692}"/>
    <cellStyle name="Comma 2 2 2 2 2 3 2 4 5" xfId="55667" xr:uid="{7C8AC423-0F70-4898-8582-5B24803937FD}"/>
    <cellStyle name="Comma 2 2 2 2 2 3 2 5" xfId="12846" xr:uid="{5B07B445-9DBD-49B8-ADB7-FF80CB5C7E78}"/>
    <cellStyle name="Comma 2 2 2 2 2 3 2 5 2" xfId="48202" xr:uid="{29731AAE-BF57-49A6-AE26-F6463016A967}"/>
    <cellStyle name="Comma 2 2 2 2 2 3 2 5 3" xfId="51220" xr:uid="{6E82D698-96B4-4D2B-A981-33C63325FA42}"/>
    <cellStyle name="Comma 2 2 2 2 2 3 2 5 4" xfId="54236" xr:uid="{DE262B3E-F0FD-4A67-B1E2-C471B406BA9B}"/>
    <cellStyle name="Comma 2 2 2 2 2 3 2 6" xfId="24265" xr:uid="{3785C0F0-39C6-4EC0-A1A8-3272A865FA32}"/>
    <cellStyle name="Comma 2 2 2 2 2 3 2 7" xfId="50114" xr:uid="{E9BF7258-5987-4EB0-9C11-07832AFC6ED0}"/>
    <cellStyle name="Comma 2 2 2 2 2 3 2 8" xfId="53130" xr:uid="{5F16275A-5277-4E75-BF76-F4C097A1F6E9}"/>
    <cellStyle name="Comma 2 2 2 2 2 3 3" xfId="14600" xr:uid="{0B76994E-89DD-48DE-B587-8B88460CC15D}"/>
    <cellStyle name="Comma 2 2 2 2 2 3 3 2" xfId="22147" xr:uid="{EE0BA41D-F67D-4E0D-AEDE-83B909A16399}"/>
    <cellStyle name="Comma 2 2 2 2 2 3 3 3" xfId="32378" xr:uid="{459AA75B-8BA7-438F-9C45-7DCE02591519}"/>
    <cellStyle name="Comma 2 2 2 2 2 3 3 4" xfId="51485" xr:uid="{A849E47D-B3AF-4975-AB97-F07DA27346A4}"/>
    <cellStyle name="Comma 2 2 2 2 2 3 3 5" xfId="54501" xr:uid="{9C15F928-15EE-4E5B-81A9-71C3075F2E45}"/>
    <cellStyle name="Comma 2 2 2 2 2 3 4" xfId="15085" xr:uid="{B2BCDD78-80BA-469C-BB15-C893BFE3565D}"/>
    <cellStyle name="Comma 2 2 2 2 2 3 4 2" xfId="22624" xr:uid="{0E89A623-FA31-46D1-9BE5-D953784501C7}"/>
    <cellStyle name="Comma 2 2 2 2 2 3 4 3" xfId="47979" xr:uid="{E425703B-BD91-4C39-AB8F-FAF91E0A15A1}"/>
    <cellStyle name="Comma 2 2 2 2 2 3 4 4" xfId="51962" xr:uid="{34D3BE25-5719-499A-A4EF-680346D7CDF0}"/>
    <cellStyle name="Comma 2 2 2 2 2 3 4 5" xfId="54978" xr:uid="{820A08E2-066D-41A3-8FA4-0053E7021F49}"/>
    <cellStyle name="Comma 2 2 2 2 2 3 5" xfId="15572" xr:uid="{CAA3C18F-824B-4839-B54C-1B60D0D5D15C}"/>
    <cellStyle name="Comma 2 2 2 2 2 3 5 2" xfId="23101" xr:uid="{E2B3A1D2-257A-42A2-82EE-8B8DC0431C0D}"/>
    <cellStyle name="Comma 2 2 2 2 2 3 5 3" xfId="46937" xr:uid="{3555D337-5A3C-4115-A595-CF49F9581390}"/>
    <cellStyle name="Comma 2 2 2 2 2 3 5 4" xfId="52439" xr:uid="{84CCAF27-CB5A-4C6A-A30E-60B7C2C2D241}"/>
    <cellStyle name="Comma 2 2 2 2 2 3 5 5" xfId="55455" xr:uid="{344E05F5-421B-4234-BA4F-10BD711C976A}"/>
    <cellStyle name="Comma 2 2 2 2 2 3 6" xfId="12537" xr:uid="{7AD45FF8-B690-4EA0-9FD7-074150ED9B9C}"/>
    <cellStyle name="Comma 2 2 2 2 2 3 6 2" xfId="47049" xr:uid="{54499611-F365-49F5-818D-8CAF7C88C0E7}"/>
    <cellStyle name="Comma 2 2 2 2 2 3 6 3" xfId="51008" xr:uid="{266D4795-A9A8-48A3-B2F7-1CC430E62F28}"/>
    <cellStyle name="Comma 2 2 2 2 2 3 6 4" xfId="54024" xr:uid="{3D978921-DAFC-4F4B-8FB9-C92789C38EF0}"/>
    <cellStyle name="Comma 2 2 2 2 2 3 7" xfId="47868" xr:uid="{34651C98-D292-4401-8341-1F0E46E39B5B}"/>
    <cellStyle name="Comma 2 2 2 2 2 3 8" xfId="49902" xr:uid="{25E4BC19-6E8F-423D-82A1-BBEA4A3880A4}"/>
    <cellStyle name="Comma 2 2 2 2 2 3 9" xfId="52918" xr:uid="{49EE71A9-ED4E-461E-99D1-881A1486DE58}"/>
    <cellStyle name="Comma 2 2 2 2 2 4" xfId="10159" xr:uid="{FACD275E-614A-44B1-BA26-C424803A2CF9}"/>
    <cellStyle name="Comma 2 2 2 2 2 4 2" xfId="10473" xr:uid="{FE84EF5C-7DB3-4C4E-A30C-FCA1E0D318A2}"/>
    <cellStyle name="Comma 2 2 2 2 2 4 2 2" xfId="14865" xr:uid="{80389E93-90B1-4AA3-9748-0361EF8DB92D}"/>
    <cellStyle name="Comma 2 2 2 2 2 4 2 2 2" xfId="22412" xr:uid="{199CE776-CC1B-4A96-A781-3F4948CDC636}"/>
    <cellStyle name="Comma 2 2 2 2 2 4 2 2 3" xfId="46448" xr:uid="{0B5D240B-BE6A-42B9-ADEB-A7965FA53434}"/>
    <cellStyle name="Comma 2 2 2 2 2 4 2 2 4" xfId="51750" xr:uid="{5BB876BC-D519-44C2-8D95-DF41F936273D}"/>
    <cellStyle name="Comma 2 2 2 2 2 4 2 2 5" xfId="54766" xr:uid="{D78F6095-2F09-4880-8940-5E8A892C87CA}"/>
    <cellStyle name="Comma 2 2 2 2 2 4 2 3" xfId="15350" xr:uid="{7E544995-A8F5-49D0-8D7C-3B35B59E17D1}"/>
    <cellStyle name="Comma 2 2 2 2 2 4 2 3 2" xfId="22889" xr:uid="{3DDBFA63-2E0E-4425-81C9-B654243AF80F}"/>
    <cellStyle name="Comma 2 2 2 2 2 4 2 3 3" xfId="48015" xr:uid="{D4F286EF-87FC-4925-B331-54AE32CF22BB}"/>
    <cellStyle name="Comma 2 2 2 2 2 4 2 3 4" xfId="52227" xr:uid="{9011DF74-8583-4934-B6DC-0A54B695D27B}"/>
    <cellStyle name="Comma 2 2 2 2 2 4 2 3 5" xfId="55243" xr:uid="{FC90E913-32A0-44F4-8ABA-A3C2F7BC70A1}"/>
    <cellStyle name="Comma 2 2 2 2 2 4 2 4" xfId="15837" xr:uid="{2E9958A5-F78C-48D0-9679-C2F7839C14DC}"/>
    <cellStyle name="Comma 2 2 2 2 2 4 2 4 2" xfId="23366" xr:uid="{3B16856C-DD71-4760-9A8C-15EB5DE0B75F}"/>
    <cellStyle name="Comma 2 2 2 2 2 4 2 4 3" xfId="47113" xr:uid="{50346FA3-B773-4FAB-B9C1-E9BDB6D15F18}"/>
    <cellStyle name="Comma 2 2 2 2 2 4 2 4 4" xfId="52704" xr:uid="{B7041E99-4155-4055-82F1-6159023EEA43}"/>
    <cellStyle name="Comma 2 2 2 2 2 4 2 4 5" xfId="55720" xr:uid="{DABAF87A-2F8D-4113-8957-FBCECBEFA192}"/>
    <cellStyle name="Comma 2 2 2 2 2 4 2 5" xfId="12926" xr:uid="{41FBEDC9-4215-44C3-90B6-64762A99D4FB}"/>
    <cellStyle name="Comma 2 2 2 2 2 4 2 5 2" xfId="47101" xr:uid="{FF7D8520-1A00-4138-A9B3-3D3F2DCDDF29}"/>
    <cellStyle name="Comma 2 2 2 2 2 4 2 5 3" xfId="51273" xr:uid="{F736CFAB-E736-43E1-9928-78615B9418D8}"/>
    <cellStyle name="Comma 2 2 2 2 2 4 2 5 4" xfId="54289" xr:uid="{0F8ADD53-4E17-4AAC-8E9F-190EB2C79D75}"/>
    <cellStyle name="Comma 2 2 2 2 2 4 2 6" xfId="47290" xr:uid="{4ED697B8-D494-4AC1-9BA8-636415DD957B}"/>
    <cellStyle name="Comma 2 2 2 2 2 4 2 7" xfId="50167" xr:uid="{69DBC064-78D7-415C-85E7-CF86F9CF48C2}"/>
    <cellStyle name="Comma 2 2 2 2 2 4 2 8" xfId="53183" xr:uid="{50B5A3E1-07E2-409F-80FC-69C97307A3ED}"/>
    <cellStyle name="Comma 2 2 2 2 2 4 3" xfId="14653" xr:uid="{1712DFA7-A8D9-48BF-B481-4413633BB52B}"/>
    <cellStyle name="Comma 2 2 2 2 2 4 3 2" xfId="22200" xr:uid="{73232129-6351-4C2C-BD98-F31997541C9E}"/>
    <cellStyle name="Comma 2 2 2 2 2 4 3 3" xfId="46413" xr:uid="{775FBD3C-D702-49C3-B207-39D60413FAA5}"/>
    <cellStyle name="Comma 2 2 2 2 2 4 3 4" xfId="51538" xr:uid="{7EB4CC36-55BB-410B-BE44-97519CBDB8F9}"/>
    <cellStyle name="Comma 2 2 2 2 2 4 3 5" xfId="54554" xr:uid="{52FD9CE8-B92E-4374-ADF2-45B1A41F73F7}"/>
    <cellStyle name="Comma 2 2 2 2 2 4 4" xfId="15138" xr:uid="{1B318126-B47C-4A5F-9C01-26484F470D91}"/>
    <cellStyle name="Comma 2 2 2 2 2 4 4 2" xfId="22677" xr:uid="{2DCF1E6B-7544-4BA2-8964-687CA2B223D7}"/>
    <cellStyle name="Comma 2 2 2 2 2 4 4 3" xfId="47713" xr:uid="{4BF4C5FA-B661-453F-8172-57307E89A9E6}"/>
    <cellStyle name="Comma 2 2 2 2 2 4 4 4" xfId="52015" xr:uid="{7214B823-058D-4ABC-9E1B-8543035DADEB}"/>
    <cellStyle name="Comma 2 2 2 2 2 4 4 5" xfId="55031" xr:uid="{DD66F60E-45F1-43DD-9E4D-C3CB134FCD10}"/>
    <cellStyle name="Comma 2 2 2 2 2 4 5" xfId="15625" xr:uid="{24849170-54BB-4972-A444-01393A6F2A55}"/>
    <cellStyle name="Comma 2 2 2 2 2 4 5 2" xfId="23154" xr:uid="{2660B9D5-766D-45FD-B2BD-815F87D23C54}"/>
    <cellStyle name="Comma 2 2 2 2 2 4 5 3" xfId="47550" xr:uid="{A07E5C24-B3AF-4C56-AC69-2202C5601745}"/>
    <cellStyle name="Comma 2 2 2 2 2 4 5 4" xfId="52492" xr:uid="{0F2A8386-01D8-4EB3-8DD0-A99666FB4D20}"/>
    <cellStyle name="Comma 2 2 2 2 2 4 5 5" xfId="55508" xr:uid="{6371B645-5257-4E55-AAC6-0590E64D9A23}"/>
    <cellStyle name="Comma 2 2 2 2 2 4 6" xfId="12613" xr:uid="{5D524775-CE51-4E74-A57E-C86440AD48E1}"/>
    <cellStyle name="Comma 2 2 2 2 2 4 6 2" xfId="47467" xr:uid="{4119900A-9E36-4E6D-BBA1-2678D27DB230}"/>
    <cellStyle name="Comma 2 2 2 2 2 4 6 3" xfId="51061" xr:uid="{3F22E74F-4CEB-4187-82DA-51194791A4E3}"/>
    <cellStyle name="Comma 2 2 2 2 2 4 6 4" xfId="54077" xr:uid="{287B5A27-B0EB-4363-9B69-5B2B0C9C26EE}"/>
    <cellStyle name="Comma 2 2 2 2 2 4 7" xfId="46056" xr:uid="{AADFDC8F-DBB9-4C2C-985D-E8145959D0F3}"/>
    <cellStyle name="Comma 2 2 2 2 2 4 8" xfId="49955" xr:uid="{8DE904A2-BA71-4CD7-AAE9-C4CA6D541B3A}"/>
    <cellStyle name="Comma 2 2 2 2 2 4 9" xfId="52971" xr:uid="{E37520D0-41AE-479B-A7C4-397917D9CD3C}"/>
    <cellStyle name="Comma 2 2 2 2 2 5" xfId="10239" xr:uid="{C3CFC777-3000-49DB-880E-25A43B39F62E}"/>
    <cellStyle name="Comma 2 2 2 2 2 5 2" xfId="14706" xr:uid="{747F9DA6-8F0C-48CB-BB6B-9D3D35EC393A}"/>
    <cellStyle name="Comma 2 2 2 2 2 5 2 2" xfId="22253" xr:uid="{4D42047A-BBDB-4999-BF85-BEF2628175AA}"/>
    <cellStyle name="Comma 2 2 2 2 2 5 2 3" xfId="46851" xr:uid="{6D8C8677-A18F-4C39-984D-7D653A8C3C1D}"/>
    <cellStyle name="Comma 2 2 2 2 2 5 2 4" xfId="51591" xr:uid="{DE9DC742-64E8-4D3E-8965-9DE7463EF210}"/>
    <cellStyle name="Comma 2 2 2 2 2 5 2 5" xfId="54607" xr:uid="{4EE2E687-29CD-4F1C-94B2-17417340D73A}"/>
    <cellStyle name="Comma 2 2 2 2 2 5 3" xfId="15191" xr:uid="{BB37FEA1-2494-420C-B533-268F32CEDB94}"/>
    <cellStyle name="Comma 2 2 2 2 2 5 3 2" xfId="22730" xr:uid="{5AE08140-A2A2-4088-84D2-0350A0AAD0E2}"/>
    <cellStyle name="Comma 2 2 2 2 2 5 3 3" xfId="48415" xr:uid="{CA49C0F7-3559-4873-B299-D5F683048A11}"/>
    <cellStyle name="Comma 2 2 2 2 2 5 3 4" xfId="52068" xr:uid="{419B18FD-FA8A-4E0D-9F96-B92624620A3C}"/>
    <cellStyle name="Comma 2 2 2 2 2 5 3 5" xfId="55084" xr:uid="{10B7AE44-B114-4355-858C-C225AAD19040}"/>
    <cellStyle name="Comma 2 2 2 2 2 5 4" xfId="15678" xr:uid="{2F0C533D-3258-4137-BF0E-81AFC32C505B}"/>
    <cellStyle name="Comma 2 2 2 2 2 5 4 2" xfId="23207" xr:uid="{6463E8A3-0ADB-480C-A987-B1746B220575}"/>
    <cellStyle name="Comma 2 2 2 2 2 5 4 3" xfId="46952" xr:uid="{73026AC1-06A1-4A7D-9952-1000E8A006E5}"/>
    <cellStyle name="Comma 2 2 2 2 2 5 4 4" xfId="52545" xr:uid="{64C15F0B-187F-4A60-83E2-D0941A51033D}"/>
    <cellStyle name="Comma 2 2 2 2 2 5 4 5" xfId="55561" xr:uid="{5BF937AA-A852-4B2E-A8DC-496105A53DF6}"/>
    <cellStyle name="Comma 2 2 2 2 2 5 5" xfId="12692" xr:uid="{B1DA0687-0720-436B-9B08-BABC7693DD43}"/>
    <cellStyle name="Comma 2 2 2 2 2 5 5 2" xfId="25064" xr:uid="{B5D26DF6-EDD3-4E02-8E4D-70AD5486F1C0}"/>
    <cellStyle name="Comma 2 2 2 2 2 5 5 3" xfId="51114" xr:uid="{7A7D35B5-4BE9-4BEA-A55D-FB727AD78B2E}"/>
    <cellStyle name="Comma 2 2 2 2 2 5 5 4" xfId="54130" xr:uid="{38AA09ED-79B4-4A8D-9B2F-81564C1E7211}"/>
    <cellStyle name="Comma 2 2 2 2 2 5 6" xfId="46070" xr:uid="{2254B413-0082-4CAA-8DC6-E42A687A00AF}"/>
    <cellStyle name="Comma 2 2 2 2 2 5 7" xfId="50008" xr:uid="{30DDCDEC-BB9B-45FD-99E4-111FCD00F212}"/>
    <cellStyle name="Comma 2 2 2 2 2 5 8" xfId="53024" xr:uid="{68414BA0-877F-4D58-B508-67BE282D9338}"/>
    <cellStyle name="Comma 2 2 2 2 2 6" xfId="10553" xr:uid="{66A51568-4155-4286-A218-F40F30F0D640}"/>
    <cellStyle name="Comma 2 2 2 2 2 6 2" xfId="14918" xr:uid="{929CC629-AA4A-44D1-B0F5-31C60618E5CE}"/>
    <cellStyle name="Comma 2 2 2 2 2 6 2 2" xfId="22465" xr:uid="{5DBE17C5-70FD-476C-941E-8A0E2C7767F8}"/>
    <cellStyle name="Comma 2 2 2 2 2 6 2 3" xfId="32522" xr:uid="{D14D000A-D07E-4E49-B26D-9293F3740068}"/>
    <cellStyle name="Comma 2 2 2 2 2 6 2 4" xfId="51803" xr:uid="{DC71A1C9-E69E-407F-B682-F8407D0AA95F}"/>
    <cellStyle name="Comma 2 2 2 2 2 6 2 5" xfId="54819" xr:uid="{D5D3F881-B19F-463C-AD91-16564B592310}"/>
    <cellStyle name="Comma 2 2 2 2 2 6 3" xfId="15403" xr:uid="{359D6F52-6DB2-4B2E-85E9-F80D21A4C8A6}"/>
    <cellStyle name="Comma 2 2 2 2 2 6 3 2" xfId="22942" xr:uid="{078D9B2C-B87A-484A-9235-14EEBB1B3BF0}"/>
    <cellStyle name="Comma 2 2 2 2 2 6 3 3" xfId="47058" xr:uid="{79C13ED4-30FB-4982-B4D6-F04E75E1C2A8}"/>
    <cellStyle name="Comma 2 2 2 2 2 6 3 4" xfId="52280" xr:uid="{4424CCC5-2B84-455C-A70C-DFEB409A5F1D}"/>
    <cellStyle name="Comma 2 2 2 2 2 6 3 5" xfId="55296" xr:uid="{03228C61-1E13-412A-BFE7-88A2685EFE30}"/>
    <cellStyle name="Comma 2 2 2 2 2 6 4" xfId="15891" xr:uid="{90185DC8-2A25-4974-959E-4611EBFB1ABF}"/>
    <cellStyle name="Comma 2 2 2 2 2 6 4 2" xfId="23419" xr:uid="{7DF16008-0AAA-468C-B757-01E9267C4CCD}"/>
    <cellStyle name="Comma 2 2 2 2 2 6 4 3" xfId="46601" xr:uid="{8C870BAF-90DD-4B33-8BE3-682B0D016328}"/>
    <cellStyle name="Comma 2 2 2 2 2 6 4 4" xfId="52757" xr:uid="{A5AABFFF-A322-4B5A-AE46-D106D3AE40CD}"/>
    <cellStyle name="Comma 2 2 2 2 2 6 4 5" xfId="55773" xr:uid="{9B6FB96C-57AF-484A-B8B2-4607D8380087}"/>
    <cellStyle name="Comma 2 2 2 2 2 6 5" xfId="13006" xr:uid="{6E81CCE5-B2B4-47AC-AED4-C6D53854875C}"/>
    <cellStyle name="Comma 2 2 2 2 2 6 5 2" xfId="32379" xr:uid="{4581F1F6-4D98-4260-9C37-753969E545FE}"/>
    <cellStyle name="Comma 2 2 2 2 2 6 5 3" xfId="51326" xr:uid="{C8627537-7545-48EC-8A96-76D0B3FCE033}"/>
    <cellStyle name="Comma 2 2 2 2 2 6 5 4" xfId="54342" xr:uid="{C0574B5D-088D-422F-97DF-33C34D9A42CE}"/>
    <cellStyle name="Comma 2 2 2 2 2 6 6" xfId="46147" xr:uid="{99BEAFB2-F8F4-4620-9998-97E2A0644AFF}"/>
    <cellStyle name="Comma 2 2 2 2 2 6 7" xfId="50220" xr:uid="{A4375C25-CCA4-43DC-AB6C-FB57FF7512E0}"/>
    <cellStyle name="Comma 2 2 2 2 2 6 8" xfId="53236" xr:uid="{0191B212-5F72-4944-8545-F488BC610865}"/>
    <cellStyle name="Comma 2 2 2 2 2 7" xfId="14494" xr:uid="{65CD0272-747F-4367-89AA-40082BEC0540}"/>
    <cellStyle name="Comma 2 2 2 2 2 7 2" xfId="22041" xr:uid="{662EDD2C-7CC6-4F6D-B00C-81F9195B5E0E}"/>
    <cellStyle name="Comma 2 2 2 2 2 7 3" xfId="24751" xr:uid="{68D3AF3C-9E5C-4D91-B40C-52BA69C2A28B}"/>
    <cellStyle name="Comma 2 2 2 2 2 7 4" xfId="51379" xr:uid="{AED98160-77B6-4CE0-9F32-F42252B60219}"/>
    <cellStyle name="Comma 2 2 2 2 2 7 5" xfId="54395" xr:uid="{157D5F30-681F-4101-AAC8-042E8EC37616}"/>
    <cellStyle name="Comma 2 2 2 2 2 8" xfId="14978" xr:uid="{5BD4A070-67FE-40E5-8F0E-FCD8B1F03A8A}"/>
    <cellStyle name="Comma 2 2 2 2 2 8 2" xfId="22518" xr:uid="{782EB7C7-3EFD-4EFC-96D2-3CCEF6C28B87}"/>
    <cellStyle name="Comma 2 2 2 2 2 8 3" xfId="24926" xr:uid="{D4849487-099D-41D4-9433-CC6869DBB64D}"/>
    <cellStyle name="Comma 2 2 2 2 2 8 4" xfId="51856" xr:uid="{A896F8EE-ACC6-4D55-A9E8-EE6B376EF199}"/>
    <cellStyle name="Comma 2 2 2 2 2 8 5" xfId="54872" xr:uid="{1D74A3DC-13BD-44B9-A389-617DAE6C24E3}"/>
    <cellStyle name="Comma 2 2 2 2 2 9" xfId="15465" xr:uid="{B64A9C67-09C6-4CF2-ADC8-E21A922F3387}"/>
    <cellStyle name="Comma 2 2 2 2 2 9 2" xfId="22995" xr:uid="{1341AB1B-8E3F-4BC6-A1E5-6EDE5859FF93}"/>
    <cellStyle name="Comma 2 2 2 2 2 9 3" xfId="47059" xr:uid="{6ED7F16C-208A-415F-BC02-EA1524F30C8F}"/>
    <cellStyle name="Comma 2 2 2 2 2 9 4" xfId="52333" xr:uid="{B2B468DF-DFA7-4433-BBCF-5E72110AE028}"/>
    <cellStyle name="Comma 2 2 2 2 2 9 5" xfId="55349" xr:uid="{4A92AB21-B618-44A2-B393-3F8C98702382}"/>
    <cellStyle name="Comma 2 2 2 2 3" xfId="9601" xr:uid="{BA9B6541-2BCE-4A54-9E9F-5BB14F5CE57A}"/>
    <cellStyle name="Comma 2 2 2 2 3 2" xfId="10293" xr:uid="{292C86D0-F0EE-4740-AD9E-D43B0D2EC3D7}"/>
    <cellStyle name="Comma 2 2 2 2 3 2 2" xfId="14754" xr:uid="{85F9CC31-B45B-4F1B-A0C7-9ACC715940DA}"/>
    <cellStyle name="Comma 2 2 2 2 3 2 2 2" xfId="22301" xr:uid="{586CD4D2-A5F9-4DF4-903A-3945D5C74CDC}"/>
    <cellStyle name="Comma 2 2 2 2 3 2 2 3" xfId="34042" xr:uid="{67894323-CED1-4D5C-AB94-6A4B84A1A168}"/>
    <cellStyle name="Comma 2 2 2 2 3 2 2 4" xfId="51639" xr:uid="{8B45D972-376A-4371-B3EF-1891332C824A}"/>
    <cellStyle name="Comma 2 2 2 2 3 2 2 5" xfId="54655" xr:uid="{4840EBE2-D63C-43E8-B376-A1E28B4FE8CC}"/>
    <cellStyle name="Comma 2 2 2 2 3 2 3" xfId="15239" xr:uid="{0F7DCC39-910A-4C04-BA25-76F05A004480}"/>
    <cellStyle name="Comma 2 2 2 2 3 2 3 2" xfId="22778" xr:uid="{21636499-C5A2-47DC-A644-3F612A26F450}"/>
    <cellStyle name="Comma 2 2 2 2 3 2 3 3" xfId="47128" xr:uid="{5D2345A4-580C-4976-99B5-DC8F572D52B5}"/>
    <cellStyle name="Comma 2 2 2 2 3 2 3 4" xfId="52116" xr:uid="{34E0336D-F97E-4049-AB05-8E2A079F7339}"/>
    <cellStyle name="Comma 2 2 2 2 3 2 3 5" xfId="55132" xr:uid="{791D61D8-872E-4CF4-8B1C-9C085EE9B51A}"/>
    <cellStyle name="Comma 2 2 2 2 3 2 4" xfId="15726" xr:uid="{794F5601-F486-4916-9CF2-06B632190F9F}"/>
    <cellStyle name="Comma 2 2 2 2 3 2 4 2" xfId="23255" xr:uid="{2F3CCE61-0693-4C7A-B451-2EACB44FD903}"/>
    <cellStyle name="Comma 2 2 2 2 3 2 4 3" xfId="47729" xr:uid="{1F88A7C6-50A2-453E-9AAB-0F5184143511}"/>
    <cellStyle name="Comma 2 2 2 2 3 2 4 4" xfId="52593" xr:uid="{FDE490D1-E9D6-4013-A787-30033C0F6807}"/>
    <cellStyle name="Comma 2 2 2 2 3 2 4 5" xfId="55609" xr:uid="{2515A06F-E40F-4B2A-B96C-51B8690B24CA}"/>
    <cellStyle name="Comma 2 2 2 2 3 2 5" xfId="12746" xr:uid="{FB9DBDA0-1BF8-4B6A-96C1-5571030131EC}"/>
    <cellStyle name="Comma 2 2 2 2 3 2 5 2" xfId="47367" xr:uid="{783D8C14-2C4D-415A-A1F5-E52E926F766F}"/>
    <cellStyle name="Comma 2 2 2 2 3 2 5 3" xfId="51162" xr:uid="{BBF974F6-09BC-46A5-AC06-CF59E912939C}"/>
    <cellStyle name="Comma 2 2 2 2 3 2 5 4" xfId="54178" xr:uid="{06A48745-AF1C-454F-A67F-9979F58CB21C}"/>
    <cellStyle name="Comma 2 2 2 2 3 2 6" xfId="46086" xr:uid="{DFC1BC07-B789-4808-B63E-3B7BF90C2FC6}"/>
    <cellStyle name="Comma 2 2 2 2 3 2 7" xfId="50056" xr:uid="{125ED242-B8F2-480A-9F1A-464056DAB4B6}"/>
    <cellStyle name="Comma 2 2 2 2 3 2 8" xfId="53072" xr:uid="{9141C87A-AF40-4F75-A454-E42CD14ADDA7}"/>
    <cellStyle name="Comma 2 2 2 2 3 3" xfId="14542" xr:uid="{9928C43E-4F8F-43B9-8A1E-AB14D60F262E}"/>
    <cellStyle name="Comma 2 2 2 2 3 3 2" xfId="22089" xr:uid="{6718C1A9-888A-46F7-80BF-387912A36FCE}"/>
    <cellStyle name="Comma 2 2 2 2 3 3 3" xfId="47827" xr:uid="{6ECF838B-85C0-49FC-B780-4F2E27950356}"/>
    <cellStyle name="Comma 2 2 2 2 3 3 4" xfId="51427" xr:uid="{606BAF1E-5706-4119-BF7C-5E2EC8C6A22C}"/>
    <cellStyle name="Comma 2 2 2 2 3 3 5" xfId="54443" xr:uid="{52DD6964-5203-4983-B976-D664B6D341FF}"/>
    <cellStyle name="Comma 2 2 2 2 3 4" xfId="15026" xr:uid="{4ABE2224-D3B5-4B61-9DBF-1D407E22FE40}"/>
    <cellStyle name="Comma 2 2 2 2 3 4 2" xfId="22566" xr:uid="{F23D9F18-8F98-4C5C-9589-56EDE83D369A}"/>
    <cellStyle name="Comma 2 2 2 2 3 4 3" xfId="47081" xr:uid="{3A8759D7-E4F4-4780-9152-33FB7C24BB0C}"/>
    <cellStyle name="Comma 2 2 2 2 3 4 4" xfId="51904" xr:uid="{FEEFEF69-4F61-482F-8C3E-B14910ED3248}"/>
    <cellStyle name="Comma 2 2 2 2 3 4 5" xfId="54920" xr:uid="{7329EB66-4F0A-42E2-A941-BDDEFF2555BA}"/>
    <cellStyle name="Comma 2 2 2 2 3 5" xfId="15513" xr:uid="{856C8EF2-D396-4FC8-B6E3-AD140AB3B153}"/>
    <cellStyle name="Comma 2 2 2 2 3 5 2" xfId="23043" xr:uid="{FD8F2115-40DE-47BA-BB98-7901D8C8A519}"/>
    <cellStyle name="Comma 2 2 2 2 3 5 3" xfId="47674" xr:uid="{138DA8A1-F3D3-4A08-9BFC-B048C6FE810D}"/>
    <cellStyle name="Comma 2 2 2 2 3 5 4" xfId="52381" xr:uid="{FE0CA76E-28AA-488E-BF80-CD4DD6D07037}"/>
    <cellStyle name="Comma 2 2 2 2 3 5 5" xfId="55397" xr:uid="{26BAED6D-3526-4FE5-8A69-4ADDD778E689}"/>
    <cellStyle name="Comma 2 2 2 2 3 6" xfId="12451" xr:uid="{B803E4D8-4A20-448F-8890-647C09EA74EE}"/>
    <cellStyle name="Comma 2 2 2 2 3 6 2" xfId="47818" xr:uid="{087A2A27-1A14-4006-8A1F-5A14F3BF382B}"/>
    <cellStyle name="Comma 2 2 2 2 3 6 3" xfId="50950" xr:uid="{952DDA13-B94B-4A89-B0EE-CC3DD5326C8B}"/>
    <cellStyle name="Comma 2 2 2 2 3 6 4" xfId="53966" xr:uid="{CA0D24F7-037F-4A0C-BC27-9B13EA58BD35}"/>
    <cellStyle name="Comma 2 2 2 2 3 7" xfId="46017" xr:uid="{212106EF-B201-4178-88B4-F6ED9A290968}"/>
    <cellStyle name="Comma 2 2 2 2 3 8" xfId="49844" xr:uid="{4FB9A4D4-131D-4F55-B141-D463AE5BA582}"/>
    <cellStyle name="Comma 2 2 2 2 3 9" xfId="52860" xr:uid="{E0C10286-7245-43CF-887F-5C0E09B6D39A}"/>
    <cellStyle name="Comma 2 2 2 2 4" xfId="10059" xr:uid="{63D3C008-48CC-47FE-9082-D64069A161C9}"/>
    <cellStyle name="Comma 2 2 2 2 4 2" xfId="10367" xr:uid="{C9CE8F7E-4EE9-4E24-919C-474E5B0BE6CE}"/>
    <cellStyle name="Comma 2 2 2 2 4 2 2" xfId="14807" xr:uid="{23D63635-6F5A-4943-8F7B-76BF2AEFD13F}"/>
    <cellStyle name="Comma 2 2 2 2 4 2 2 2" xfId="22354" xr:uid="{D1843139-784A-4C68-A0CF-A776C054C5E6}"/>
    <cellStyle name="Comma 2 2 2 2 4 2 2 3" xfId="46436" xr:uid="{8F133844-666B-4E85-A4A5-2358C8BC740A}"/>
    <cellStyle name="Comma 2 2 2 2 4 2 2 4" xfId="51692" xr:uid="{7DE3EB44-7CB4-4FAD-B0CF-67DDB8792EDC}"/>
    <cellStyle name="Comma 2 2 2 2 4 2 2 5" xfId="54708" xr:uid="{48546721-3B23-4CF1-9B8F-5481491C835F}"/>
    <cellStyle name="Comma 2 2 2 2 4 2 3" xfId="15292" xr:uid="{97BC0375-B5AD-4C93-91C0-9D4EDF8C54E7}"/>
    <cellStyle name="Comma 2 2 2 2 4 2 3 2" xfId="22831" xr:uid="{53FEC6B4-638F-4202-AA20-7FBE684B4C03}"/>
    <cellStyle name="Comma 2 2 2 2 4 2 3 3" xfId="46903" xr:uid="{475D8629-A450-4F36-AE1A-D19D510CBDB5}"/>
    <cellStyle name="Comma 2 2 2 2 4 2 3 4" xfId="52169" xr:uid="{BFB1C454-6CB0-407A-B11E-1A22A92AB197}"/>
    <cellStyle name="Comma 2 2 2 2 4 2 3 5" xfId="55185" xr:uid="{C6D0D33A-225F-4156-9AA6-35DCEB4B6DCF}"/>
    <cellStyle name="Comma 2 2 2 2 4 2 4" xfId="15779" xr:uid="{B076243D-DF65-4C8E-A36E-DB496D545FC3}"/>
    <cellStyle name="Comma 2 2 2 2 4 2 4 2" xfId="23308" xr:uid="{028AC26F-0D8C-4FC0-82F7-037325073073}"/>
    <cellStyle name="Comma 2 2 2 2 4 2 4 3" xfId="47948" xr:uid="{DCDE9C95-BCD6-4FC2-830E-2CEDD96A8246}"/>
    <cellStyle name="Comma 2 2 2 2 4 2 4 4" xfId="52646" xr:uid="{BBDBBE3B-BD5A-4ACC-959A-562548307AE9}"/>
    <cellStyle name="Comma 2 2 2 2 4 2 4 5" xfId="55662" xr:uid="{4C75A125-9A1B-4C3E-B831-D97F8138F356}"/>
    <cellStyle name="Comma 2 2 2 2 4 2 5" xfId="12820" xr:uid="{5F9FA642-489A-4237-88D8-D35DDD409F9C}"/>
    <cellStyle name="Comma 2 2 2 2 4 2 5 2" xfId="47324" xr:uid="{0FD8B71E-9A33-4BE5-B357-E32900DB4148}"/>
    <cellStyle name="Comma 2 2 2 2 4 2 5 3" xfId="51215" xr:uid="{807D928B-D780-4D30-A238-9E3592BDB012}"/>
    <cellStyle name="Comma 2 2 2 2 4 2 5 4" xfId="54231" xr:uid="{F663063E-9A4B-4877-B3B8-362863DF7E9A}"/>
    <cellStyle name="Comma 2 2 2 2 4 2 6" xfId="46102" xr:uid="{F454BFC1-89A8-42E3-88DA-9EF12D92EA75}"/>
    <cellStyle name="Comma 2 2 2 2 4 2 7" xfId="50109" xr:uid="{4B6AEC62-9DAD-4DFD-B0DA-5F9684519C8A}"/>
    <cellStyle name="Comma 2 2 2 2 4 2 8" xfId="53125" xr:uid="{FFF9C82C-D586-4DCB-80F3-DCEB43136446}"/>
    <cellStyle name="Comma 2 2 2 2 4 3" xfId="14595" xr:uid="{53CA5702-72B9-4F02-AA1E-3759B6163A79}"/>
    <cellStyle name="Comma 2 2 2 2 4 3 2" xfId="22142" xr:uid="{3337169A-B4D7-4DC6-A6B5-52BFC7621090}"/>
    <cellStyle name="Comma 2 2 2 2 4 3 3" xfId="32363" xr:uid="{2B4BA464-AEB8-42AF-A035-32796B4393DD}"/>
    <cellStyle name="Comma 2 2 2 2 4 3 4" xfId="51480" xr:uid="{BD5686ED-5DD5-47B0-B5A6-51F751126683}"/>
    <cellStyle name="Comma 2 2 2 2 4 3 5" xfId="54496" xr:uid="{D5740BEE-CAF5-4162-99FD-7E93A70D8CDE}"/>
    <cellStyle name="Comma 2 2 2 2 4 4" xfId="15080" xr:uid="{600E357B-42D0-48FA-B6AC-8621BE7D9615}"/>
    <cellStyle name="Comma 2 2 2 2 4 4 2" xfId="22619" xr:uid="{00EE5129-0827-408D-9453-C1F2A6015BCC}"/>
    <cellStyle name="Comma 2 2 2 2 4 4 3" xfId="47339" xr:uid="{E41CEC3B-60DA-4620-9E99-B106F62C51CC}"/>
    <cellStyle name="Comma 2 2 2 2 4 4 4" xfId="51957" xr:uid="{DBFD5C63-15D6-478C-B0D8-ED988C08FB99}"/>
    <cellStyle name="Comma 2 2 2 2 4 4 5" xfId="54973" xr:uid="{A3235CD2-E0D9-498C-ABAB-2A890BA3DE53}"/>
    <cellStyle name="Comma 2 2 2 2 4 5" xfId="15567" xr:uid="{70F1F37D-0333-4BFA-BE59-E5AE9EDD1349}"/>
    <cellStyle name="Comma 2 2 2 2 4 5 2" xfId="23096" xr:uid="{F4A2F9C5-79FE-48FD-B9D7-1F01F16A8D8D}"/>
    <cellStyle name="Comma 2 2 2 2 4 5 3" xfId="47196" xr:uid="{FF9B9EBB-DCA2-4617-9C50-2C726EE94008}"/>
    <cellStyle name="Comma 2 2 2 2 4 5 4" xfId="52434" xr:uid="{C379FB4D-7401-4A94-AB8A-813925B90C00}"/>
    <cellStyle name="Comma 2 2 2 2 4 5 5" xfId="55450" xr:uid="{F092273B-0A78-460B-B6D3-B12E29231CE5}"/>
    <cellStyle name="Comma 2 2 2 2 4 6" xfId="12518" xr:uid="{320DEE86-255C-48A0-A60A-FAAC4991248B}"/>
    <cellStyle name="Comma 2 2 2 2 4 6 2" xfId="32429" xr:uid="{0DB79412-9A39-45EC-A92C-89C44E658102}"/>
    <cellStyle name="Comma 2 2 2 2 4 6 3" xfId="51003" xr:uid="{5485D810-BA26-47C6-919B-31169F6EECB5}"/>
    <cellStyle name="Comma 2 2 2 2 4 6 4" xfId="54019" xr:uid="{9F74F681-BB4A-40A4-BE46-89FE6026021E}"/>
    <cellStyle name="Comma 2 2 2 2 4 7" xfId="32345" xr:uid="{449AC7E5-7A0D-49CA-B407-B55887D497E2}"/>
    <cellStyle name="Comma 2 2 2 2 4 8" xfId="49897" xr:uid="{7C58323E-3DEF-435C-9BFF-E0A3ADC32247}"/>
    <cellStyle name="Comma 2 2 2 2 4 9" xfId="52913" xr:uid="{AFAA12DC-30FA-42CB-832C-387C79EA96C7}"/>
    <cellStyle name="Comma 2 2 2 2 5" xfId="10133" xr:uid="{BCA0F7CE-9151-4EEA-92DC-E716A5A62523}"/>
    <cellStyle name="Comma 2 2 2 2 5 2" xfId="10447" xr:uid="{92238A4E-B31D-483A-803D-C8B925210587}"/>
    <cellStyle name="Comma 2 2 2 2 5 2 2" xfId="14860" xr:uid="{ECA7A2D5-EC87-4921-B907-A51C1DD16119}"/>
    <cellStyle name="Comma 2 2 2 2 5 2 2 2" xfId="22407" xr:uid="{03AE1F57-2F6B-4FE6-8185-E9DF5C0F4F51}"/>
    <cellStyle name="Comma 2 2 2 2 5 2 2 3" xfId="24938" xr:uid="{0CEBB27A-CA61-4077-86EB-E60E40AB1CCC}"/>
    <cellStyle name="Comma 2 2 2 2 5 2 2 4" xfId="51745" xr:uid="{38F82D44-F5CB-4E5A-87C2-BC040601F289}"/>
    <cellStyle name="Comma 2 2 2 2 5 2 2 5" xfId="54761" xr:uid="{8375CBB9-8529-44C6-8D3D-0D6382CE5A32}"/>
    <cellStyle name="Comma 2 2 2 2 5 2 3" xfId="15345" xr:uid="{FC9E2BA7-E7A6-461C-8098-A6F9350CC499}"/>
    <cellStyle name="Comma 2 2 2 2 5 2 3 2" xfId="22884" xr:uid="{A5E981A1-E91C-488E-ACC8-1C054307B2A3}"/>
    <cellStyle name="Comma 2 2 2 2 5 2 3 3" xfId="47546" xr:uid="{977AD06C-E5F6-4695-AA4B-2F62E63E2412}"/>
    <cellStyle name="Comma 2 2 2 2 5 2 3 4" xfId="52222" xr:uid="{09969718-FD70-4C74-BC8D-42268C3DB6C8}"/>
    <cellStyle name="Comma 2 2 2 2 5 2 3 5" xfId="55238" xr:uid="{0DFE0237-3A2D-4B17-9471-3FAFDD3CF6EA}"/>
    <cellStyle name="Comma 2 2 2 2 5 2 4" xfId="15832" xr:uid="{46542907-16FC-46A8-9724-5B0906731A0F}"/>
    <cellStyle name="Comma 2 2 2 2 5 2 4 2" xfId="23361" xr:uid="{29EC63D7-8274-417D-877D-9633549E9FEA}"/>
    <cellStyle name="Comma 2 2 2 2 5 2 4 3" xfId="46972" xr:uid="{2E4F6ABA-A392-42D3-B167-B26984642764}"/>
    <cellStyle name="Comma 2 2 2 2 5 2 4 4" xfId="52699" xr:uid="{A5B43C82-7931-4A11-B887-80E282FAF2C6}"/>
    <cellStyle name="Comma 2 2 2 2 5 2 4 5" xfId="55715" xr:uid="{4F6ECF82-80AD-4DA0-9957-FDEB4AB7EC22}"/>
    <cellStyle name="Comma 2 2 2 2 5 2 5" xfId="12900" xr:uid="{55E873BF-ACA8-4424-B41E-A90398E64FA2}"/>
    <cellStyle name="Comma 2 2 2 2 5 2 5 2" xfId="47173" xr:uid="{A616198E-209F-4285-AB55-569C30B46B59}"/>
    <cellStyle name="Comma 2 2 2 2 5 2 5 3" xfId="51268" xr:uid="{E2ABC7D3-86A9-4D41-A383-4F2E1BAE7F08}"/>
    <cellStyle name="Comma 2 2 2 2 5 2 5 4" xfId="54284" xr:uid="{0EA6610A-A198-4366-8D7F-9911FD898B54}"/>
    <cellStyle name="Comma 2 2 2 2 5 2 6" xfId="47586" xr:uid="{2F6882B2-0B25-4DA4-8A50-6B4B86EA2BAD}"/>
    <cellStyle name="Comma 2 2 2 2 5 2 7" xfId="50162" xr:uid="{63917856-D76A-4866-A168-492F49F65354}"/>
    <cellStyle name="Comma 2 2 2 2 5 2 8" xfId="53178" xr:uid="{CA3F191B-EE97-4881-9053-CC015425C081}"/>
    <cellStyle name="Comma 2 2 2 2 5 3" xfId="14648" xr:uid="{9B7FC070-1163-4500-98B3-BFC07F2A926C}"/>
    <cellStyle name="Comma 2 2 2 2 5 3 2" xfId="22195" xr:uid="{5DCEFD0D-8EE1-48BC-93C3-661413D6D49B}"/>
    <cellStyle name="Comma 2 2 2 2 5 3 3" xfId="47043" xr:uid="{BC96DF40-5162-41F0-8C20-86B455AEC7C3}"/>
    <cellStyle name="Comma 2 2 2 2 5 3 4" xfId="51533" xr:uid="{38E2D2C8-A1BF-4F63-B3D1-709CD800F5E0}"/>
    <cellStyle name="Comma 2 2 2 2 5 3 5" xfId="54549" xr:uid="{C69BB68E-A3AA-49B2-9390-8227AF6E0A78}"/>
    <cellStyle name="Comma 2 2 2 2 5 4" xfId="15133" xr:uid="{1C3F436F-8659-4A4B-97F0-9190A972844C}"/>
    <cellStyle name="Comma 2 2 2 2 5 4 2" xfId="22672" xr:uid="{064543FB-D34B-423E-92DC-CAD0BCE00094}"/>
    <cellStyle name="Comma 2 2 2 2 5 4 3" xfId="46487" xr:uid="{94B8EF02-F1B7-4ABC-BD8D-366CED555346}"/>
    <cellStyle name="Comma 2 2 2 2 5 4 4" xfId="52010" xr:uid="{A0BA3AD7-7ECE-45F5-8804-70C2D237DBE1}"/>
    <cellStyle name="Comma 2 2 2 2 5 4 5" xfId="55026" xr:uid="{6B2CFD9E-D227-4AFF-BDFA-35598DB20CCE}"/>
    <cellStyle name="Comma 2 2 2 2 5 5" xfId="15620" xr:uid="{42F85706-1F5C-4C84-AAB0-773914172B1F}"/>
    <cellStyle name="Comma 2 2 2 2 5 5 2" xfId="23149" xr:uid="{EB48E82F-E851-4E4E-AA2C-A3F67F1EA5FF}"/>
    <cellStyle name="Comma 2 2 2 2 5 5 3" xfId="46942" xr:uid="{DAB898D8-C1C7-4E5D-BB39-9F34C4E369D2}"/>
    <cellStyle name="Comma 2 2 2 2 5 5 4" xfId="52487" xr:uid="{026C0A70-2C60-44C1-BEED-B4B78D3D6E7E}"/>
    <cellStyle name="Comma 2 2 2 2 5 5 5" xfId="55503" xr:uid="{6817E224-EF67-4E56-82BE-86A47801AB7D}"/>
    <cellStyle name="Comma 2 2 2 2 5 6" xfId="12590" xr:uid="{50DDCA4E-491A-42AC-945E-CA77349C13E5}"/>
    <cellStyle name="Comma 2 2 2 2 5 6 2" xfId="47366" xr:uid="{E138A3D5-28F4-4B08-9B0A-69F529A71F17}"/>
    <cellStyle name="Comma 2 2 2 2 5 6 3" xfId="51056" xr:uid="{00A9EC46-5959-4EB2-9A1A-05B788FF0E2B}"/>
    <cellStyle name="Comma 2 2 2 2 5 6 4" xfId="54072" xr:uid="{178D40CF-5F18-4BD6-B139-C816B6147036}"/>
    <cellStyle name="Comma 2 2 2 2 5 7" xfId="47577" xr:uid="{B7B0F3FA-2DCE-408B-A714-C1BA55C6ECDA}"/>
    <cellStyle name="Comma 2 2 2 2 5 8" xfId="49950" xr:uid="{BEFDA9C6-6E4F-4B08-B930-45775C15AB51}"/>
    <cellStyle name="Comma 2 2 2 2 5 9" xfId="52966" xr:uid="{55470721-CB7A-421B-B767-46D8A95F345D}"/>
    <cellStyle name="Comma 2 2 2 2 6" xfId="10213" xr:uid="{E531A319-590F-4759-A4A6-50C33422283E}"/>
    <cellStyle name="Comma 2 2 2 2 6 2" xfId="14701" xr:uid="{3CF50FE4-7DCA-4278-8BE3-3A21A3BBE4B8}"/>
    <cellStyle name="Comma 2 2 2 2 6 2 2" xfId="22248" xr:uid="{9671F261-93D3-42AA-B64D-B72E24D076C3}"/>
    <cellStyle name="Comma 2 2 2 2 6 2 3" xfId="32362" xr:uid="{60A6E74A-AF70-4A38-BA9B-9EFF2B546E38}"/>
    <cellStyle name="Comma 2 2 2 2 6 2 4" xfId="51586" xr:uid="{03C5E1B9-B708-4AE7-BF1A-0A9C1B4C8562}"/>
    <cellStyle name="Comma 2 2 2 2 6 2 5" xfId="54602" xr:uid="{05B7D12A-350B-4B4B-A1BB-C698D164F9DD}"/>
    <cellStyle name="Comma 2 2 2 2 6 3" xfId="15186" xr:uid="{B4B260B3-2797-45B6-8616-2F611DBB2CA3}"/>
    <cellStyle name="Comma 2 2 2 2 6 3 2" xfId="22725" xr:uid="{9DA9AC2F-5040-452C-B8A3-72F7292DCCD1}"/>
    <cellStyle name="Comma 2 2 2 2 6 3 3" xfId="47977" xr:uid="{8B5BF4D5-0241-4AE2-BF39-963A12EE7023}"/>
    <cellStyle name="Comma 2 2 2 2 6 3 4" xfId="52063" xr:uid="{252017F1-6AA8-4FF3-A294-EA8720E60122}"/>
    <cellStyle name="Comma 2 2 2 2 6 3 5" xfId="55079" xr:uid="{7F5FE750-1A4C-4D05-BE89-01F2850B2327}"/>
    <cellStyle name="Comma 2 2 2 2 6 4" xfId="15673" xr:uid="{CC314527-4679-4C20-B1A3-FEABA78ED4DB}"/>
    <cellStyle name="Comma 2 2 2 2 6 4 2" xfId="23202" xr:uid="{A85D4818-68A2-4DE8-A8DD-EB5DF0857F40}"/>
    <cellStyle name="Comma 2 2 2 2 6 4 3" xfId="47500" xr:uid="{9B9567B4-9B35-4FCF-BB89-E70529F6A729}"/>
    <cellStyle name="Comma 2 2 2 2 6 4 4" xfId="52540" xr:uid="{26FFC0FB-195F-4F5E-B070-E561A089C576}"/>
    <cellStyle name="Comma 2 2 2 2 6 4 5" xfId="55556" xr:uid="{20AA1ACE-0AE5-4B09-B012-F7DD14BECB47}"/>
    <cellStyle name="Comma 2 2 2 2 6 5" xfId="12666" xr:uid="{AA76E586-57EE-4568-9C5A-791F5A55A189}"/>
    <cellStyle name="Comma 2 2 2 2 6 5 2" xfId="24215" xr:uid="{7E4925A7-AB49-44D9-9C22-3865AB7289A0}"/>
    <cellStyle name="Comma 2 2 2 2 6 5 3" xfId="51109" xr:uid="{FD3E979B-93E0-484E-8213-E48E7B435259}"/>
    <cellStyle name="Comma 2 2 2 2 6 5 4" xfId="54125" xr:uid="{53FB6E4A-61A0-41D6-9DFF-F28AF2C55B15}"/>
    <cellStyle name="Comma 2 2 2 2 6 6" xfId="47579" xr:uid="{54C3D5EF-04D6-46B5-A501-AE438CE11243}"/>
    <cellStyle name="Comma 2 2 2 2 6 7" xfId="50003" xr:uid="{070FF394-3C3E-46BC-9E95-059C74FA1A40}"/>
    <cellStyle name="Comma 2 2 2 2 6 8" xfId="53019" xr:uid="{3D5EE21F-C381-4511-9E2D-75E9C62D4F5C}"/>
    <cellStyle name="Comma 2 2 2 2 7" xfId="10527" xr:uid="{5382FF9B-52E4-4F62-9E37-D54D1D8D4F45}"/>
    <cellStyle name="Comma 2 2 2 2 7 2" xfId="14913" xr:uid="{0B225380-A7C3-4409-9FBB-67E4EEE9D46A}"/>
    <cellStyle name="Comma 2 2 2 2 7 2 2" xfId="22460" xr:uid="{B7B09CE1-556B-4E3A-B975-BCC0F14B50B4}"/>
    <cellStyle name="Comma 2 2 2 2 7 2 3" xfId="47861" xr:uid="{1653051E-4928-4223-AA77-F54239ED70B3}"/>
    <cellStyle name="Comma 2 2 2 2 7 2 4" xfId="51798" xr:uid="{9A555018-4BE1-4956-B1A5-C4645F48AD68}"/>
    <cellStyle name="Comma 2 2 2 2 7 2 5" xfId="54814" xr:uid="{09803405-1F5C-47B8-8093-89C231DB1A2D}"/>
    <cellStyle name="Comma 2 2 2 2 7 3" xfId="15398" xr:uid="{7FF2AEC8-5DAC-44B1-894C-3999FC0FCACC}"/>
    <cellStyle name="Comma 2 2 2 2 7 3 2" xfId="22937" xr:uid="{D802B28A-6788-488A-BB6B-41E75E1D536B}"/>
    <cellStyle name="Comma 2 2 2 2 7 3 3" xfId="46917" xr:uid="{13FB987F-B9B2-4741-9EF5-4358040715EA}"/>
    <cellStyle name="Comma 2 2 2 2 7 3 4" xfId="52275" xr:uid="{13F810D2-DFE0-42CD-BCBA-4EEE507D50B8}"/>
    <cellStyle name="Comma 2 2 2 2 7 3 5" xfId="55291" xr:uid="{52ACFBE7-3416-4AD0-8DE3-62FCB7409874}"/>
    <cellStyle name="Comma 2 2 2 2 7 4" xfId="15885" xr:uid="{194DC933-96A0-4C7B-A1AE-3743EF1770C1}"/>
    <cellStyle name="Comma 2 2 2 2 7 4 2" xfId="23414" xr:uid="{F72B1899-16E6-4970-86EC-65DEE2311002}"/>
    <cellStyle name="Comma 2 2 2 2 7 4 3" xfId="47419" xr:uid="{BC6C86DC-26CD-44B9-8D0C-EDB3FDBFDCDA}"/>
    <cellStyle name="Comma 2 2 2 2 7 4 4" xfId="52752" xr:uid="{B0C94EBE-6620-450F-B981-90E2417961F8}"/>
    <cellStyle name="Comma 2 2 2 2 7 4 5" xfId="55768" xr:uid="{DC4A04EB-5378-4F9D-A68B-8077F9485C1E}"/>
    <cellStyle name="Comma 2 2 2 2 7 5" xfId="12980" xr:uid="{4646C968-3280-4EC7-88E0-6F162B74AB0F}"/>
    <cellStyle name="Comma 2 2 2 2 7 5 2" xfId="34143" xr:uid="{069DD924-6F40-4237-812E-14FBDBD6D41F}"/>
    <cellStyle name="Comma 2 2 2 2 7 5 3" xfId="51321" xr:uid="{012236C0-1EBE-455E-9647-7BF84249BB01}"/>
    <cellStyle name="Comma 2 2 2 2 7 5 4" xfId="54337" xr:uid="{E5F8E963-A17C-46E6-B72B-23FBF2AB60FA}"/>
    <cellStyle name="Comma 2 2 2 2 7 6" xfId="47886" xr:uid="{9F903D32-DA9B-4ACC-95E7-B13E9B2FD7D6}"/>
    <cellStyle name="Comma 2 2 2 2 7 7" xfId="50215" xr:uid="{5B524DE3-7F5C-4062-BDEB-297BF90F53F8}"/>
    <cellStyle name="Comma 2 2 2 2 7 8" xfId="53231" xr:uid="{DE02C82D-B1BD-4B01-A4A6-E7ED4D92C398}"/>
    <cellStyle name="Comma 2 2 2 2 8" xfId="14489" xr:uid="{D12D6E51-25E6-4A14-8FF9-505279C39686}"/>
    <cellStyle name="Comma 2 2 2 2 8 2" xfId="22036" xr:uid="{62143C16-72EF-47F0-AFED-95E83D16357E}"/>
    <cellStyle name="Comma 2 2 2 2 8 3" xfId="24674" xr:uid="{C2135C45-4BC9-4E47-A733-D04DDB82270C}"/>
    <cellStyle name="Comma 2 2 2 2 8 4" xfId="51374" xr:uid="{3B15D0CF-B4A3-4EC3-89E5-7A801980AC2A}"/>
    <cellStyle name="Comma 2 2 2 2 8 5" xfId="54390" xr:uid="{FB40C4EB-6172-4DC5-A31C-6967ADF871A6}"/>
    <cellStyle name="Comma 2 2 2 2 9" xfId="14969" xr:uid="{670A6D72-AF6B-4AB0-85A3-21DE02C8CC6A}"/>
    <cellStyle name="Comma 2 2 2 2 9 2" xfId="22513" xr:uid="{EE4B1962-7451-474A-A321-43927B21B84D}"/>
    <cellStyle name="Comma 2 2 2 2 9 3" xfId="47633" xr:uid="{E6ADC56F-AE44-443E-AA90-18763D9CCB3B}"/>
    <cellStyle name="Comma 2 2 2 2 9 4" xfId="51851" xr:uid="{1F829EB8-4CD5-4BAD-BEA0-ADAC2833AC4E}"/>
    <cellStyle name="Comma 2 2 2 2 9 5" xfId="54867" xr:uid="{2C235E22-BFD7-457D-8A65-5F35270A505E}"/>
    <cellStyle name="Comma 2 2 2 3" xfId="4526" xr:uid="{F03A6F21-E65C-4FBC-89D5-98AB9DAFB4C2}"/>
    <cellStyle name="Comma 2 2 2 3 10" xfId="11494" xr:uid="{CDA3880D-923C-4E33-9763-33C163E8E2D7}"/>
    <cellStyle name="Comma 2 2 2 3 10 2" xfId="21698" xr:uid="{134B3B92-55CC-45F7-BA11-52CF84B54236}"/>
    <cellStyle name="Comma 2 2 2 3 10 3" xfId="46654" xr:uid="{AB77F849-9A3D-4DEE-94B3-FF6C3C4F0AEA}"/>
    <cellStyle name="Comma 2 2 2 3 10 4" xfId="50718" xr:uid="{02B7CC67-7684-4C86-8027-8AC699B078E8}"/>
    <cellStyle name="Comma 2 2 2 3 10 5" xfId="53734" xr:uid="{24624FB2-435C-43B7-BD50-0049FD347BA0}"/>
    <cellStyle name="Comma 2 2 2 3 11" xfId="23702" xr:uid="{68CF3884-8928-4934-84D9-43A8DF50E41C}"/>
    <cellStyle name="Comma 2 2 2 3 12" xfId="48595" xr:uid="{F0ED69A0-AC65-42A1-B56F-A207DCEB03B7}"/>
    <cellStyle name="Comma 2 2 2 3 13" xfId="49505" xr:uid="{9D034DF5-1275-432A-97EF-B24EDBC916F4}"/>
    <cellStyle name="Comma 2 2 2 3 14" xfId="49797" xr:uid="{442C3608-6BE0-4100-B66A-D612C5479AAD}"/>
    <cellStyle name="Comma 2 2 2 3 15" xfId="52812" xr:uid="{55BE50BA-FC75-4D03-AA2F-3D77A8972BEB}"/>
    <cellStyle name="Comma 2 2 2 3 16" xfId="17638" xr:uid="{069A48AF-A909-41CF-AC79-D1F5BA972F5F}"/>
    <cellStyle name="Comma 2 2 2 3 17" xfId="8920" xr:uid="{569FA342-ADB0-4568-A738-B45BF3B05155}"/>
    <cellStyle name="Comma 2 2 2 3 2" xfId="10007" xr:uid="{143CA32F-053E-4AC8-8819-066CDC10FFD6}"/>
    <cellStyle name="Comma 2 2 2 3 2 2" xfId="10315" xr:uid="{BE221390-0148-4659-92DC-5A08FB75DF5E}"/>
    <cellStyle name="Comma 2 2 2 3 2 2 2" xfId="14760" xr:uid="{48D90780-FF0B-47EC-BDC0-DC51585F0A38}"/>
    <cellStyle name="Comma 2 2 2 3 2 2 2 2" xfId="22307" xr:uid="{2275C2F1-A05D-4CAF-BC8F-BB71ED80273A}"/>
    <cellStyle name="Comma 2 2 2 3 2 2 2 3" xfId="24951" xr:uid="{6D3AC3B2-3466-41F6-8D36-AAC9B269EE2C}"/>
    <cellStyle name="Comma 2 2 2 3 2 2 2 4" xfId="51645" xr:uid="{0D2B718E-3ABE-4D74-99F5-D64C274FC44C}"/>
    <cellStyle name="Comma 2 2 2 3 2 2 2 5" xfId="54661" xr:uid="{10EBC20C-B88B-4F89-9878-2F59FFB6278D}"/>
    <cellStyle name="Comma 2 2 2 3 2 2 3" xfId="15245" xr:uid="{8845F029-FFD8-4C31-850B-17A030A799C9}"/>
    <cellStyle name="Comma 2 2 2 3 2 2 3 2" xfId="22784" xr:uid="{F9FF6EFC-4DAE-455B-9B6A-DECD151CF075}"/>
    <cellStyle name="Comma 2 2 2 3 2 2 3 3" xfId="46502" xr:uid="{5F163680-DD0C-4741-B283-BF391B479EEE}"/>
    <cellStyle name="Comma 2 2 2 3 2 2 3 4" xfId="52122" xr:uid="{3725FDEC-6AD1-44CE-AD5D-BFC7B9E0C3A9}"/>
    <cellStyle name="Comma 2 2 2 3 2 2 3 5" xfId="55138" xr:uid="{EAE567D0-4EBF-4DA6-A290-438BEA35F81D}"/>
    <cellStyle name="Comma 2 2 2 3 2 2 4" xfId="15732" xr:uid="{979AF9CD-6710-4BC8-B444-2B426DAD3021}"/>
    <cellStyle name="Comma 2 2 2 3 2 2 4 2" xfId="23261" xr:uid="{EF363C67-056E-4C9C-9AB2-4DD9A75780B0}"/>
    <cellStyle name="Comma 2 2 2 3 2 2 4 3" xfId="47985" xr:uid="{713DF0F8-F725-44FA-A61D-736F2382CEB1}"/>
    <cellStyle name="Comma 2 2 2 3 2 2 4 4" xfId="52599" xr:uid="{3D75D818-AAF5-4FD8-B7F4-978CF9318246}"/>
    <cellStyle name="Comma 2 2 2 3 2 2 4 5" xfId="55615" xr:uid="{302DCA13-1BFF-47DE-88E3-5A30BDAF273D}"/>
    <cellStyle name="Comma 2 2 2 3 2 2 5" xfId="12768" xr:uid="{B862210B-43E0-4C8E-A505-E3597E4BB8BF}"/>
    <cellStyle name="Comma 2 2 2 3 2 2 5 2" xfId="47229" xr:uid="{67DFF9C3-AD51-4A4F-8FC7-A35287DD23C5}"/>
    <cellStyle name="Comma 2 2 2 3 2 2 5 3" xfId="51168" xr:uid="{F0C48CEA-B61E-4EB0-BC0E-46653D58F05A}"/>
    <cellStyle name="Comma 2 2 2 3 2 2 5 4" xfId="54184" xr:uid="{244A0BA1-A42F-4E09-9B1F-3E1A9EE300B4}"/>
    <cellStyle name="Comma 2 2 2 3 2 2 6" xfId="25372" xr:uid="{D6CDB3BA-91FA-4811-8A61-A460E096251B}"/>
    <cellStyle name="Comma 2 2 2 3 2 2 7" xfId="50062" xr:uid="{4D009826-1722-4BCE-840A-0528927D213F}"/>
    <cellStyle name="Comma 2 2 2 3 2 2 8" xfId="53078" xr:uid="{005F6E13-C168-4478-8D56-66C273D2CD76}"/>
    <cellStyle name="Comma 2 2 2 3 2 3" xfId="14548" xr:uid="{35CD7512-FF84-45E9-8919-93FC0929158C}"/>
    <cellStyle name="Comma 2 2 2 3 2 3 2" xfId="22095" xr:uid="{83DF0469-1D57-47F0-8047-E910BDC52487}"/>
    <cellStyle name="Comma 2 2 2 3 2 3 3" xfId="48403" xr:uid="{DF2EE60C-19AE-4D6A-A544-6CFF95444F29}"/>
    <cellStyle name="Comma 2 2 2 3 2 3 4" xfId="51433" xr:uid="{6C00241A-87AD-4711-BD70-345679C44B5D}"/>
    <cellStyle name="Comma 2 2 2 3 2 3 5" xfId="54449" xr:uid="{CCEE6032-CB20-4078-B29E-307A30EA9343}"/>
    <cellStyle name="Comma 2 2 2 3 2 4" xfId="15032" xr:uid="{4E58589B-862F-4052-B723-8BDC639445C4}"/>
    <cellStyle name="Comma 2 2 2 3 2 4 2" xfId="22572" xr:uid="{57877491-37D5-490C-B9CF-F22AFD5A74FD}"/>
    <cellStyle name="Comma 2 2 2 3 2 4 3" xfId="47417" xr:uid="{E27BAF1F-9923-4149-874D-9018733B25B1}"/>
    <cellStyle name="Comma 2 2 2 3 2 4 4" xfId="51910" xr:uid="{692130AA-E861-45FC-821A-DDD06C75EFAA}"/>
    <cellStyle name="Comma 2 2 2 3 2 4 5" xfId="54926" xr:uid="{DBDBFDA0-F8A1-4391-86D2-2399DAFC344C}"/>
    <cellStyle name="Comma 2 2 2 3 2 5" xfId="15519" xr:uid="{56181DDA-F88D-4FB5-95AE-712B5C86E84F}"/>
    <cellStyle name="Comma 2 2 2 3 2 5 2" xfId="23049" xr:uid="{EA61A2CD-1780-4149-A9D3-C266AC8032AC}"/>
    <cellStyle name="Comma 2 2 2 3 2 5 3" xfId="47111" xr:uid="{AB657D7A-ED81-4A0B-859A-EED4C12248E9}"/>
    <cellStyle name="Comma 2 2 2 3 2 5 4" xfId="52387" xr:uid="{7B693DBF-C0DD-43D6-9171-8D1E1240CAE0}"/>
    <cellStyle name="Comma 2 2 2 3 2 5 5" xfId="55403" xr:uid="{52F0E1D5-7C83-48D4-9EA3-7A36B5A2A8E8}"/>
    <cellStyle name="Comma 2 2 2 3 2 6" xfId="12467" xr:uid="{90DE33EB-C59F-46DE-A8C4-F20C8B9EC871}"/>
    <cellStyle name="Comma 2 2 2 3 2 6 2" xfId="34519" xr:uid="{6A678F25-23F4-450F-BDCA-9C36903B0280}"/>
    <cellStyle name="Comma 2 2 2 3 2 6 3" xfId="50956" xr:uid="{E69B3BE8-7A2A-4108-894D-F84FD30E72FD}"/>
    <cellStyle name="Comma 2 2 2 3 2 6 4" xfId="53972" xr:uid="{6408C400-2B6F-4680-B97D-2A2DC85BDAA4}"/>
    <cellStyle name="Comma 2 2 2 3 2 7" xfId="46019" xr:uid="{EA6CB972-BF6F-48E5-8F2A-9A3FEBE95B48}"/>
    <cellStyle name="Comma 2 2 2 3 2 8" xfId="49850" xr:uid="{B0929AB3-64FC-4DCF-BE57-98FCD65F4A4D}"/>
    <cellStyle name="Comma 2 2 2 3 2 9" xfId="52866" xr:uid="{11F52959-7BAA-4151-853D-EBF1A7D428EB}"/>
    <cellStyle name="Comma 2 2 2 3 3" xfId="10081" xr:uid="{4DDC0DCE-6484-4D57-A5ED-617D315CA6ED}"/>
    <cellStyle name="Comma 2 2 2 3 3 2" xfId="10394" xr:uid="{2661B35B-8EA9-4FF8-A90E-F262E32DD8EA}"/>
    <cellStyle name="Comma 2 2 2 3 3 2 2" xfId="14813" xr:uid="{46C78F71-968E-4D1F-B2F1-BB1890B16F94}"/>
    <cellStyle name="Comma 2 2 2 3 3 2 2 2" xfId="22360" xr:uid="{90701CB0-C5FA-4D94-8F74-F5706A3B584D}"/>
    <cellStyle name="Comma 2 2 2 3 3 2 2 3" xfId="46437" xr:uid="{75B0D286-EEEF-4CE6-968B-89A1BB8A5185}"/>
    <cellStyle name="Comma 2 2 2 3 3 2 2 4" xfId="51698" xr:uid="{878BC221-C715-4218-AE11-A2EB9DB14C73}"/>
    <cellStyle name="Comma 2 2 2 3 3 2 2 5" xfId="54714" xr:uid="{879E2A98-404F-45C4-ACFF-A3AA0C29E5EB}"/>
    <cellStyle name="Comma 2 2 2 3 3 2 3" xfId="15298" xr:uid="{1D51749E-8005-4B75-BFA1-5C268B9AF8DE}"/>
    <cellStyle name="Comma 2 2 2 3 3 2 3 2" xfId="22837" xr:uid="{1A30E3A4-01B9-478A-808F-9379E891B681}"/>
    <cellStyle name="Comma 2 2 2 3 3 2 3 3" xfId="46904" xr:uid="{65A87EC1-083B-4B23-9048-381CDB6AEB6A}"/>
    <cellStyle name="Comma 2 2 2 3 3 2 3 4" xfId="52175" xr:uid="{086A5FE1-36E8-4C5C-B9C8-C61382B90660}"/>
    <cellStyle name="Comma 2 2 2 3 3 2 3 5" xfId="55191" xr:uid="{AC3F3B6C-D86C-4C33-9A04-61CB73EEA76D}"/>
    <cellStyle name="Comma 2 2 2 3 3 2 4" xfId="15785" xr:uid="{20D32EE1-A07D-4DA4-8834-6E38860EBE2E}"/>
    <cellStyle name="Comma 2 2 2 3 3 2 4 2" xfId="23314" xr:uid="{E2E2BE6B-7CF3-4ECD-B71D-9E28F453DA5E}"/>
    <cellStyle name="Comma 2 2 2 3 3 2 4 3" xfId="48522" xr:uid="{9593F96B-8186-4C5D-85C8-C9C2742CA156}"/>
    <cellStyle name="Comma 2 2 2 3 3 2 4 4" xfId="52652" xr:uid="{2366DF62-89D1-46BC-B8D6-5C8775CF12E5}"/>
    <cellStyle name="Comma 2 2 2 3 3 2 4 5" xfId="55668" xr:uid="{429D47E9-5F7A-4C81-BE21-E7A3C447D085}"/>
    <cellStyle name="Comma 2 2 2 3 3 2 5" xfId="12847" xr:uid="{D252DBFD-18E5-46BD-A838-1A493304A044}"/>
    <cellStyle name="Comma 2 2 2 3 3 2 5 2" xfId="46995" xr:uid="{CA4CD0FF-41BD-489F-A9FE-7624480BF945}"/>
    <cellStyle name="Comma 2 2 2 3 3 2 5 3" xfId="51221" xr:uid="{5C3ACCDC-D630-4435-9608-31B3FDD885B9}"/>
    <cellStyle name="Comma 2 2 2 3 3 2 5 4" xfId="54237" xr:uid="{AB780261-52F5-44C0-9E25-C752F7E349F4}"/>
    <cellStyle name="Comma 2 2 2 3 3 2 6" xfId="46105" xr:uid="{08299C50-B4A6-4302-ADF1-2E22EBDA3BA6}"/>
    <cellStyle name="Comma 2 2 2 3 3 2 7" xfId="50115" xr:uid="{64651A7A-39FF-4CCC-A67D-F4F16310A2B0}"/>
    <cellStyle name="Comma 2 2 2 3 3 2 8" xfId="53131" xr:uid="{E5EF0392-C441-421B-A1F6-33BE4E2C0970}"/>
    <cellStyle name="Comma 2 2 2 3 3 3" xfId="14601" xr:uid="{2EDE0DFF-6112-4428-BE84-F0F2E796E46A}"/>
    <cellStyle name="Comma 2 2 2 3 3 3 2" xfId="22148" xr:uid="{98E54E0B-ADA1-4478-9BB2-FE81FBE4879E}"/>
    <cellStyle name="Comma 2 2 2 3 3 3 3" xfId="48143" xr:uid="{6A517BC3-7062-472A-B5BC-42B18C86E32B}"/>
    <cellStyle name="Comma 2 2 2 3 3 3 4" xfId="51486" xr:uid="{5D8E144F-83DF-43EC-8F1E-E19F91616AB6}"/>
    <cellStyle name="Comma 2 2 2 3 3 3 5" xfId="54502" xr:uid="{4B3CCFB1-A82D-4123-9B1A-CD40A4ABF976}"/>
    <cellStyle name="Comma 2 2 2 3 3 4" xfId="15086" xr:uid="{91D5E2A7-1071-4AFA-BCE8-32F315C85632}"/>
    <cellStyle name="Comma 2 2 2 3 3 4 2" xfId="22625" xr:uid="{8C0B504E-E828-4262-A4AD-164E6FF7DA61}"/>
    <cellStyle name="Comma 2 2 2 3 3 4 3" xfId="47935" xr:uid="{FEEE5855-C953-4049-83B8-6EDCE820C338}"/>
    <cellStyle name="Comma 2 2 2 3 3 4 4" xfId="51963" xr:uid="{3A8E3800-EDB6-4E49-9F30-F17750DCD680}"/>
    <cellStyle name="Comma 2 2 2 3 3 4 5" xfId="54979" xr:uid="{87FF68A8-D41D-4A60-9F40-031FAA42B740}"/>
    <cellStyle name="Comma 2 2 2 3 3 5" xfId="15573" xr:uid="{11AF99CC-B5AE-4281-975F-F4CD332D8189}"/>
    <cellStyle name="Comma 2 2 2 3 3 5 2" xfId="23102" xr:uid="{CEB5AEDE-2355-45DF-9229-06C955630FAE}"/>
    <cellStyle name="Comma 2 2 2 3 3 5 3" xfId="47789" xr:uid="{5793B20F-5BD2-479A-BFEF-F2026B75237B}"/>
    <cellStyle name="Comma 2 2 2 3 3 5 4" xfId="52440" xr:uid="{D10A1085-0ED0-4F36-BA3F-71D6543A72DA}"/>
    <cellStyle name="Comma 2 2 2 3 3 5 5" xfId="55456" xr:uid="{DF32561A-A071-4A3D-9935-31C43E28E1E1}"/>
    <cellStyle name="Comma 2 2 2 3 3 6" xfId="12538" xr:uid="{F61C55D9-AE43-410A-9B14-82196454336B}"/>
    <cellStyle name="Comma 2 2 2 3 3 6 2" xfId="46766" xr:uid="{96E497FE-3848-47C9-AAFD-D4AC85515956}"/>
    <cellStyle name="Comma 2 2 2 3 3 6 3" xfId="51009" xr:uid="{1206E84F-FB38-4AB5-8747-2CBD34CF8D76}"/>
    <cellStyle name="Comma 2 2 2 3 3 6 4" xfId="54025" xr:uid="{52C5E97D-5DAD-4CE4-BD71-0B0241C61D32}"/>
    <cellStyle name="Comma 2 2 2 3 3 7" xfId="46036" xr:uid="{9FB5111E-8E25-42B6-AF99-31EF18733949}"/>
    <cellStyle name="Comma 2 2 2 3 3 8" xfId="49903" xr:uid="{39649D07-925E-4BDC-AF18-8AFB2C3D6253}"/>
    <cellStyle name="Comma 2 2 2 3 3 9" xfId="52919" xr:uid="{1E66F56D-9920-47E7-88A7-CCCDB18529D8}"/>
    <cellStyle name="Comma 2 2 2 3 4" xfId="10160" xr:uid="{956F4867-0C23-4713-969E-E342309E47DF}"/>
    <cellStyle name="Comma 2 2 2 3 4 2" xfId="10474" xr:uid="{E0A39435-C8DF-4172-9B33-39DE84CB4A7B}"/>
    <cellStyle name="Comma 2 2 2 3 4 2 2" xfId="14866" xr:uid="{0A674214-F7C3-464B-82E3-1A7141ECFE39}"/>
    <cellStyle name="Comma 2 2 2 3 4 2 2 2" xfId="22413" xr:uid="{F0ED6C1F-1828-4A3B-BDD7-9E6811D864D9}"/>
    <cellStyle name="Comma 2 2 2 3 4 2 2 3" xfId="24937" xr:uid="{CD315C5B-58A2-4A47-B15C-CA632D7639D6}"/>
    <cellStyle name="Comma 2 2 2 3 4 2 2 4" xfId="51751" xr:uid="{8ECB2BA6-D5F4-4846-813F-8CA72E1FA97E}"/>
    <cellStyle name="Comma 2 2 2 3 4 2 2 5" xfId="54767" xr:uid="{0C241A63-7DF0-4CB3-9739-83CB8FFD941C}"/>
    <cellStyle name="Comma 2 2 2 3 4 2 3" xfId="15351" xr:uid="{2F8AD938-9528-4C51-A87D-3EC54B8D0692}"/>
    <cellStyle name="Comma 2 2 2 3 4 2 3 2" xfId="22890" xr:uid="{BBED0C13-241D-4AC1-93D4-67B732175CDB}"/>
    <cellStyle name="Comma 2 2 2 3 4 2 3 3" xfId="48127" xr:uid="{75AED857-ED17-4D61-9905-C18361B86443}"/>
    <cellStyle name="Comma 2 2 2 3 4 2 3 4" xfId="52228" xr:uid="{1DFC658A-CF09-4F9F-8599-A5FF19C8A2EC}"/>
    <cellStyle name="Comma 2 2 2 3 4 2 3 5" xfId="55244" xr:uid="{16BCA587-E95D-41BD-B363-FD6346664752}"/>
    <cellStyle name="Comma 2 2 2 3 4 2 4" xfId="15838" xr:uid="{3AB39F75-0B66-4E34-A7A5-2896C509C105}"/>
    <cellStyle name="Comma 2 2 2 3 4 2 4 2" xfId="23367" xr:uid="{0866B2E1-2E3D-4DB8-B5AA-DCE15481DBE0}"/>
    <cellStyle name="Comma 2 2 2 3 4 2 4 3" xfId="48027" xr:uid="{413D6943-D76E-44D2-B873-9937526D1303}"/>
    <cellStyle name="Comma 2 2 2 3 4 2 4 4" xfId="52705" xr:uid="{2C1019D8-71A0-4F07-B1FA-65F5F7C8E2D1}"/>
    <cellStyle name="Comma 2 2 2 3 4 2 4 5" xfId="55721" xr:uid="{6071986A-4576-47F9-B7AA-A12048C35C69}"/>
    <cellStyle name="Comma 2 2 2 3 4 2 5" xfId="12927" xr:uid="{326CD07B-8C07-4AB0-8113-3BB46B30B13F}"/>
    <cellStyle name="Comma 2 2 2 3 4 2 5 2" xfId="46371" xr:uid="{F61AB77A-DB38-485F-8792-8CC1EC7E411D}"/>
    <cellStyle name="Comma 2 2 2 3 4 2 5 3" xfId="51274" xr:uid="{832FD27C-7979-4F0A-A1F1-929E695A0B56}"/>
    <cellStyle name="Comma 2 2 2 3 4 2 5 4" xfId="54290" xr:uid="{68B047DF-4ECE-401E-B7CD-0C648220A5B6}"/>
    <cellStyle name="Comma 2 2 2 3 4 2 6" xfId="46125" xr:uid="{5FDABE47-F038-45DF-A6A5-9C7419D0D650}"/>
    <cellStyle name="Comma 2 2 2 3 4 2 7" xfId="50168" xr:uid="{179B2D62-2CAD-4189-B86B-D1980116E4D6}"/>
    <cellStyle name="Comma 2 2 2 3 4 2 8" xfId="53184" xr:uid="{287E9CD7-E0E4-4A76-8C75-3443E9A14B89}"/>
    <cellStyle name="Comma 2 2 2 3 4 3" xfId="14654" xr:uid="{78EB5EDE-CA01-4423-8061-B7F7D26D1671}"/>
    <cellStyle name="Comma 2 2 2 3 4 3 2" xfId="22201" xr:uid="{A53889AB-2E0C-4F5E-AC35-9DFE89A3AE65}"/>
    <cellStyle name="Comma 2 2 2 3 4 3 3" xfId="34057" xr:uid="{BD816400-B4E5-46AF-867E-2E4668587328}"/>
    <cellStyle name="Comma 2 2 2 3 4 3 4" xfId="51539" xr:uid="{74487912-B742-481C-9EE9-71C64D089261}"/>
    <cellStyle name="Comma 2 2 2 3 4 3 5" xfId="54555" xr:uid="{7B00C472-68AF-41D2-8346-E5E7053D94A0}"/>
    <cellStyle name="Comma 2 2 2 3 4 4" xfId="15139" xr:uid="{F466BE79-B562-4A3B-9B2F-B82DA9A16FBD}"/>
    <cellStyle name="Comma 2 2 2 3 4 4 2" xfId="22678" xr:uid="{28A48FF2-0E7C-4A38-B689-23F63F989CF6}"/>
    <cellStyle name="Comma 2 2 2 3 4 4 3" xfId="46488" xr:uid="{7B6A5A95-ABBB-4309-AD8A-3C17389FCBA1}"/>
    <cellStyle name="Comma 2 2 2 3 4 4 4" xfId="52016" xr:uid="{217ABCA0-7CD1-418E-A83F-1117FE0434A0}"/>
    <cellStyle name="Comma 2 2 2 3 4 4 5" xfId="55032" xr:uid="{87BE3DE1-8C31-4105-A175-93E2ED63DE04}"/>
    <cellStyle name="Comma 2 2 2 3 4 5" xfId="15626" xr:uid="{4755EC8D-4B28-4398-B62A-12503029420A}"/>
    <cellStyle name="Comma 2 2 2 3 4 5 2" xfId="23155" xr:uid="{915520AE-5159-4E15-A448-2AE5B351E045}"/>
    <cellStyle name="Comma 2 2 2 3 4 5 3" xfId="46943" xr:uid="{9E1073E4-B5A8-4180-9555-5BCD484ED886}"/>
    <cellStyle name="Comma 2 2 2 3 4 5 4" xfId="52493" xr:uid="{86F63475-3252-4D8E-9BC8-C3443A4ACA32}"/>
    <cellStyle name="Comma 2 2 2 3 4 5 5" xfId="55509" xr:uid="{B56A3FB6-A695-45AB-83F7-87439689C56E}"/>
    <cellStyle name="Comma 2 2 2 3 4 6" xfId="12614" xr:uid="{32FCFDD6-9044-4625-AD7B-45AC1F0CA6BA}"/>
    <cellStyle name="Comma 2 2 2 3 4 6 2" xfId="48490" xr:uid="{A02275F7-4D34-41F2-A96E-260C00207D92}"/>
    <cellStyle name="Comma 2 2 2 3 4 6 3" xfId="51062" xr:uid="{27DC7ABD-9E92-4C79-97A9-20C49C436384}"/>
    <cellStyle name="Comma 2 2 2 3 4 6 4" xfId="54078" xr:uid="{784E3B9F-0241-42C4-9F5B-550D7C5009DE}"/>
    <cellStyle name="Comma 2 2 2 3 4 7" xfId="48153" xr:uid="{3720DB96-6B04-4185-BDBA-61B82AD7276E}"/>
    <cellStyle name="Comma 2 2 2 3 4 8" xfId="49956" xr:uid="{CC3618B1-84EB-4A63-866D-8137777305FE}"/>
    <cellStyle name="Comma 2 2 2 3 4 9" xfId="52972" xr:uid="{D7209B9E-6BD1-416A-8FF5-839CEF02EC02}"/>
    <cellStyle name="Comma 2 2 2 3 5" xfId="10240" xr:uid="{AFB18D2B-8206-462E-BD01-7CA9C3A5C59C}"/>
    <cellStyle name="Comma 2 2 2 3 5 2" xfId="14707" xr:uid="{6E00E698-027E-4BBA-974A-3B091210E177}"/>
    <cellStyle name="Comma 2 2 2 3 5 2 2" xfId="22254" xr:uid="{DB7CD565-F551-4C45-8DA0-C688AF62B4A0}"/>
    <cellStyle name="Comma 2 2 2 3 5 2 3" xfId="47179" xr:uid="{6823427A-3418-4653-B881-B47FF900A468}"/>
    <cellStyle name="Comma 2 2 2 3 5 2 4" xfId="51592" xr:uid="{765B2801-41B7-4216-BC58-5985BBB6C3EC}"/>
    <cellStyle name="Comma 2 2 2 3 5 2 5" xfId="54608" xr:uid="{F0F34F5C-C6DB-4E33-9C11-64911FE3B5E4}"/>
    <cellStyle name="Comma 2 2 2 3 5 3" xfId="15192" xr:uid="{ACAC82D9-6BB8-4BAE-B1E5-D4F928096FAE}"/>
    <cellStyle name="Comma 2 2 2 3 5 3 2" xfId="22731" xr:uid="{B9EC384A-A093-4773-A7F8-8F7F0A3CEE40}"/>
    <cellStyle name="Comma 2 2 2 3 5 3 3" xfId="46891" xr:uid="{6F9FAFBE-DA95-42AF-84DD-C72BE2A67A49}"/>
    <cellStyle name="Comma 2 2 2 3 5 3 4" xfId="52069" xr:uid="{6B51926B-7BB4-4E47-B6A1-75B54DC90FA9}"/>
    <cellStyle name="Comma 2 2 2 3 5 3 5" xfId="55085" xr:uid="{AA9563D4-0B89-4DC6-AF5D-6C27F284286F}"/>
    <cellStyle name="Comma 2 2 2 3 5 4" xfId="15679" xr:uid="{C3B68CC7-86D9-42F2-B650-A6E247A6B1A0}"/>
    <cellStyle name="Comma 2 2 2 3 5 4 2" xfId="23208" xr:uid="{E6B713C6-13AA-4FE5-8CB9-2E52522087AC}"/>
    <cellStyle name="Comma 2 2 2 3 5 4 3" xfId="48081" xr:uid="{73D1BC13-1BC4-44CA-8786-38597827651B}"/>
    <cellStyle name="Comma 2 2 2 3 5 4 4" xfId="52546" xr:uid="{92868F59-5809-4A03-AC73-DBB341DD28BA}"/>
    <cellStyle name="Comma 2 2 2 3 5 4 5" xfId="55562" xr:uid="{6EA51E40-9E77-41DC-AB55-6C93327C1BDF}"/>
    <cellStyle name="Comma 2 2 2 3 5 5" xfId="12693" xr:uid="{7380E796-72F0-4B4A-9419-5888EF66E38E}"/>
    <cellStyle name="Comma 2 2 2 3 5 5 2" xfId="47525" xr:uid="{59F436D2-E61D-4497-AC82-E0DE7C8949F0}"/>
    <cellStyle name="Comma 2 2 2 3 5 5 3" xfId="51115" xr:uid="{A52A3020-9385-4967-9C3A-197DA225D30E}"/>
    <cellStyle name="Comma 2 2 2 3 5 5 4" xfId="54131" xr:uid="{06BD4809-8B8B-4DDF-AEAA-088567119B95}"/>
    <cellStyle name="Comma 2 2 2 3 5 6" xfId="47705" xr:uid="{A9BDD55F-2A08-41A7-B6E6-C9952A405722}"/>
    <cellStyle name="Comma 2 2 2 3 5 7" xfId="50009" xr:uid="{AD6B4287-E81E-4905-85B7-E304531CB6B2}"/>
    <cellStyle name="Comma 2 2 2 3 5 8" xfId="53025" xr:uid="{7D103BA2-A17B-4E4D-A320-6F411B8378E5}"/>
    <cellStyle name="Comma 2 2 2 3 6" xfId="10554" xr:uid="{4F3D004A-931B-4DCD-A04D-18308F56F6BE}"/>
    <cellStyle name="Comma 2 2 2 3 6 2" xfId="14919" xr:uid="{6BB716E5-C656-46FF-AEE5-ACB701A118B4}"/>
    <cellStyle name="Comma 2 2 2 3 6 2 2" xfId="22466" xr:uid="{7DAAF684-F260-43EE-9969-5C3AF6BA9DAA}"/>
    <cellStyle name="Comma 2 2 2 3 6 2 3" xfId="48067" xr:uid="{B02561A9-B394-44FB-A455-F94CB7CAFABE}"/>
    <cellStyle name="Comma 2 2 2 3 6 2 4" xfId="51804" xr:uid="{123A4742-7EC5-4A8B-9B9E-D9EF32F80EE4}"/>
    <cellStyle name="Comma 2 2 2 3 6 2 5" xfId="54820" xr:uid="{F95A93ED-55A0-44D4-A190-30AA97016974}"/>
    <cellStyle name="Comma 2 2 2 3 6 3" xfId="15404" xr:uid="{CD388197-B637-41C0-BECF-68443CB459B9}"/>
    <cellStyle name="Comma 2 2 2 3 6 3 2" xfId="22943" xr:uid="{BF8D78EA-CDD1-474E-9E82-313AA7233C59}"/>
    <cellStyle name="Comma 2 2 2 3 6 3 3" xfId="46918" xr:uid="{8DBAE5BE-0B75-4F1A-B33D-E0B57A8B4613}"/>
    <cellStyle name="Comma 2 2 2 3 6 3 4" xfId="52281" xr:uid="{64516FDA-F394-4591-A7FD-FA758003F8FD}"/>
    <cellStyle name="Comma 2 2 2 3 6 3 5" xfId="55297" xr:uid="{8D7CBA09-B415-4623-9759-FCB973FCB2D8}"/>
    <cellStyle name="Comma 2 2 2 3 6 4" xfId="15892" xr:uid="{E68D858F-BFC6-47A8-9A7B-D540447EB7C0}"/>
    <cellStyle name="Comma 2 2 2 3 6 4 2" xfId="23420" xr:uid="{D0117341-97A6-4683-8834-434BBEBB4743}"/>
    <cellStyle name="Comma 2 2 2 3 6 4 3" xfId="48028" xr:uid="{E1BED2FD-F1D6-44E0-ACC7-2A1D369CDE2A}"/>
    <cellStyle name="Comma 2 2 2 3 6 4 4" xfId="52758" xr:uid="{1BA2131A-9AF3-4424-99F1-3C95ABFC59A1}"/>
    <cellStyle name="Comma 2 2 2 3 6 4 5" xfId="55774" xr:uid="{0ACBB54C-FF3C-46F6-9B6F-6C509BC7A454}"/>
    <cellStyle name="Comma 2 2 2 3 6 5" xfId="13007" xr:uid="{2F3E130D-1D37-48AF-BAF3-614CAB27D3B7}"/>
    <cellStyle name="Comma 2 2 2 3 6 5 2" xfId="47860" xr:uid="{534BB568-B35E-46A8-A2C2-48C765A19B96}"/>
    <cellStyle name="Comma 2 2 2 3 6 5 3" xfId="51327" xr:uid="{EB579BE5-967B-4663-B466-D09A64CC6C43}"/>
    <cellStyle name="Comma 2 2 2 3 6 5 4" xfId="54343" xr:uid="{ED960FB1-1A8D-4171-9463-C7049AA0C01E}"/>
    <cellStyle name="Comma 2 2 2 3 6 6" xfId="47590" xr:uid="{2A2E0254-41AD-4298-AF84-1609CE443422}"/>
    <cellStyle name="Comma 2 2 2 3 6 7" xfId="50221" xr:uid="{A697F473-DF76-4F60-9730-DC88555DF874}"/>
    <cellStyle name="Comma 2 2 2 3 6 8" xfId="53237" xr:uid="{912C0BD3-18DC-493D-AF9C-18E1A6D74018}"/>
    <cellStyle name="Comma 2 2 2 3 7" xfId="14495" xr:uid="{5A8765C9-704C-4EB6-BEC1-4482C8F14F64}"/>
    <cellStyle name="Comma 2 2 2 3 7 2" xfId="22042" xr:uid="{44907127-9202-4D64-9D19-C1DC6BC9E582}"/>
    <cellStyle name="Comma 2 2 2 3 7 3" xfId="48440" xr:uid="{C718ADF8-38CC-4301-9166-A1CA8E0C6222}"/>
    <cellStyle name="Comma 2 2 2 3 7 4" xfId="51380" xr:uid="{ADEEFD41-195E-4EB8-B014-82C0DE05D8EA}"/>
    <cellStyle name="Comma 2 2 2 3 7 5" xfId="54396" xr:uid="{64F3D8A0-DEAF-4C84-8542-2FCFFAB0D681}"/>
    <cellStyle name="Comma 2 2 2 3 8" xfId="14979" xr:uid="{6BFE1B7B-D8EE-4221-9866-1B6CBFE33FA9}"/>
    <cellStyle name="Comma 2 2 2 3 8 2" xfId="22519" xr:uid="{490FB2B0-ED3D-4865-BB6E-D33BBC3EDB73}"/>
    <cellStyle name="Comma 2 2 2 3 8 3" xfId="48122" xr:uid="{AA96E2EC-08BF-425F-B43C-C0D49594C514}"/>
    <cellStyle name="Comma 2 2 2 3 8 4" xfId="51857" xr:uid="{E450C6D3-C589-4E91-8BD7-98E79B37CA3F}"/>
    <cellStyle name="Comma 2 2 2 3 8 5" xfId="54873" xr:uid="{A95CFCAF-FA22-426C-9278-E5024CFBB1E1}"/>
    <cellStyle name="Comma 2 2 2 3 9" xfId="15466" xr:uid="{45C7F282-C082-4841-818B-AE84A3922482}"/>
    <cellStyle name="Comma 2 2 2 3 9 2" xfId="22996" xr:uid="{53DED7D0-F5E7-4F23-8EA5-302F4CB8EE26}"/>
    <cellStyle name="Comma 2 2 2 3 9 3" xfId="46924" xr:uid="{A00FD034-18E1-4FD1-AE70-FB89761BD409}"/>
    <cellStyle name="Comma 2 2 2 3 9 4" xfId="52334" xr:uid="{A3E65B41-B129-44E0-B617-33F6DB7F3F88}"/>
    <cellStyle name="Comma 2 2 2 3 9 5" xfId="55350" xr:uid="{DD39A7D1-21B1-46AD-8002-661D4D7CE0A6}"/>
    <cellStyle name="Comma 2 2 2 4" xfId="5808" xr:uid="{51A6860B-AC18-48F9-B8BE-80BA6AE39BA2}"/>
    <cellStyle name="Comma 2 2 2 4 2" xfId="23703" xr:uid="{74EAC097-F92F-4045-9BD7-8C36710157B6}"/>
    <cellStyle name="Comma 2 2 2 4 3" xfId="48596" xr:uid="{651ACCC7-887D-4600-BD40-272FA755B9D4}"/>
    <cellStyle name="Comma 2 2 2 4 4" xfId="49506" xr:uid="{EA44B682-7982-46F4-BF9A-4E7FACE54195}"/>
    <cellStyle name="Comma 2 2 2 4 5" xfId="11097" xr:uid="{9E53871A-7ADC-46A4-A46A-B50C07A29658}"/>
    <cellStyle name="Comma 2 2 2 5" xfId="11183" xr:uid="{958BBA74-ED11-4845-AF17-E82353C14E2F}"/>
    <cellStyle name="Comma 2 2 2 5 2" xfId="21680" xr:uid="{7A93F93B-D240-44F0-AD51-4A5D409E2B92}"/>
    <cellStyle name="Comma 2 2 2 5 3" xfId="34284" xr:uid="{3EC51282-1892-42DD-8C3F-CDB136A02CDD}"/>
    <cellStyle name="Comma 2 2 2 5 4" xfId="50696" xr:uid="{AE4907A7-416D-4361-9A9D-EEF0FD83543E}"/>
    <cellStyle name="Comma 2 2 2 5 5" xfId="53712" xr:uid="{1ADDE85B-5D64-494B-904A-B37D4D6C40A1}"/>
    <cellStyle name="Comma 2 2 2 6" xfId="19468" xr:uid="{B852CDB4-2543-4999-8334-6492F101E168}"/>
    <cellStyle name="Comma 2 2 2 7" xfId="23699" xr:uid="{39A954A3-1195-471F-9D60-18F258ADF1B7}"/>
    <cellStyle name="Comma 2 2 2 8" xfId="48592" xr:uid="{BF6074D8-C857-44DD-923E-C68D2E1A3CBD}"/>
    <cellStyle name="Comma 2 2 2 9" xfId="49502" xr:uid="{7C0EABE3-310A-47B0-AC8D-D816B7098F9D}"/>
    <cellStyle name="Comma 2 2 3" xfId="2608" xr:uid="{762A1755-CD26-4A49-AB15-EE181F3B462B}"/>
    <cellStyle name="Comma 2 2 3 2" xfId="4527" xr:uid="{476826B3-936B-482E-9D57-564FD3FF8302}"/>
    <cellStyle name="Comma 2 2 3 2 2" xfId="23705" xr:uid="{9A9CD6E9-77BF-4ECE-AD93-49FC34E5750A}"/>
    <cellStyle name="Comma 2 2 3 2 3" xfId="48598" xr:uid="{10CBE904-2E74-4826-9A50-3BC5F6386A57}"/>
    <cellStyle name="Comma 2 2 3 2 4" xfId="49508" xr:uid="{66817341-5743-489B-AAB6-D99F0507AC3C}"/>
    <cellStyle name="Comma 2 2 3 2 5" xfId="12216" xr:uid="{8AC9BD21-9C05-4A19-94CA-3BE2F9B0AC7C}"/>
    <cellStyle name="Comma 2 2 3 3" xfId="5809" xr:uid="{284B1233-7F77-4692-9FFC-CF3A840C0868}"/>
    <cellStyle name="Comma 2 2 3 3 2" xfId="21715" xr:uid="{E06D1891-1262-46BA-BC45-CFF468C4BFD1}"/>
    <cellStyle name="Comma 2 2 3 3 3" xfId="48556" xr:uid="{7D954A40-A2AB-4F4F-AB7B-AEE914F81E5F}"/>
    <cellStyle name="Comma 2 2 3 3 4" xfId="50740" xr:uid="{D2B84113-6701-4169-AD88-1324E12E1B56}"/>
    <cellStyle name="Comma 2 2 3 3 5" xfId="53756" xr:uid="{A0A33306-F30E-4F64-885E-3769953E5707}"/>
    <cellStyle name="Comma 2 2 3 3 6" xfId="11692" xr:uid="{A0E93526-92E3-4716-8164-06B81E133CB2}"/>
    <cellStyle name="Comma 2 2 3 4" xfId="19470" xr:uid="{6184FA53-594D-4966-AB11-45B80D3D22BF}"/>
    <cellStyle name="Comma 2 2 3 5" xfId="23704" xr:uid="{C2F5A523-1CDC-4C42-9623-844D0425443C}"/>
    <cellStyle name="Comma 2 2 3 6" xfId="48597" xr:uid="{8A78084C-FC5B-4D57-AC04-306A9802FF80}"/>
    <cellStyle name="Comma 2 2 3 7" xfId="49507" xr:uid="{45AB3AED-448E-4E72-A084-F5A7D825AB8D}"/>
    <cellStyle name="Comma 2 2 3 8" xfId="8182" xr:uid="{CA3F99E9-98E7-410D-9A16-95E1ED14B95C}"/>
    <cellStyle name="Comma 2 2 4" xfId="4525" xr:uid="{51DF797C-6936-41D0-AC40-F7052E6C0D35}"/>
    <cellStyle name="Comma 2 2 4 10" xfId="11182" xr:uid="{5440D016-AEC9-41ED-9C5C-38BE83FBFF15}"/>
    <cellStyle name="Comma 2 2 4 2" xfId="11227" xr:uid="{78F98B57-EC42-4844-9521-2C52503D67CC}"/>
    <cellStyle name="Comma 2 2 4 3" xfId="18049" xr:uid="{CC7B65B4-4092-4183-931D-DE7D56323D37}"/>
    <cellStyle name="Comma 2 2 4 3 2" xfId="21679" xr:uid="{8927A93D-7C99-4894-89D8-5A59F2CA52AF}"/>
    <cellStyle name="Comma 2 2 4 4" xfId="23706" xr:uid="{08D5C8B7-EACD-485F-A2C5-1A80A9492B77}"/>
    <cellStyle name="Comma 2 2 4 5" xfId="46276" xr:uid="{8E6D809B-A51E-4BF0-BB89-F636BF693A1D}"/>
    <cellStyle name="Comma 2 2 4 6" xfId="48599" xr:uid="{1BBD619B-98AE-4E0C-A25F-7A2E0F2C4E78}"/>
    <cellStyle name="Comma 2 2 4 7" xfId="49509" xr:uid="{829065A0-909F-4D31-B559-544DFB523854}"/>
    <cellStyle name="Comma 2 2 4 8" xfId="50695" xr:uid="{8279618A-F19A-4040-A0AB-CC36807F163E}"/>
    <cellStyle name="Comma 2 2 4 9" xfId="53711" xr:uid="{499BB0D5-878D-4B4F-85BF-6DDA38BDD25B}"/>
    <cellStyle name="Comma 2 2 5" xfId="5807" xr:uid="{F52E9258-EE5D-425B-A7BF-F6F8D8A245EC}"/>
    <cellStyle name="Comma 2 2 5 2" xfId="23707" xr:uid="{7C7FCB72-78C1-42D5-B08E-CA5762E4DD3E}"/>
    <cellStyle name="Comma 2 2 5 3" xfId="48600" xr:uid="{DF742C37-A855-4AD6-9BA6-C27A7D17E0CD}"/>
    <cellStyle name="Comma 2 2 5 4" xfId="49510" xr:uid="{660955D9-7F52-46A6-86D1-56BB1F167A60}"/>
    <cellStyle name="Comma 2 2 5 5" xfId="19467" xr:uid="{A474FBF8-29C5-4C79-8A04-CD65E3BC3CF0}"/>
    <cellStyle name="Comma 2 2 6" xfId="2605" xr:uid="{23EAAC6A-E518-4A9C-959F-AE5270BDD31F}"/>
    <cellStyle name="Comma 2 2 6 2" xfId="23708" xr:uid="{13C92877-8F2E-4CD7-9E2D-6BE2F2589691}"/>
    <cellStyle name="Comma 2 2 7" xfId="23698" xr:uid="{E9C5394C-100F-4A37-80DD-E8C3010D0ECE}"/>
    <cellStyle name="Comma 2 2 8" xfId="48591" xr:uid="{F0F43FA4-8165-4258-9467-515828FF2250}"/>
    <cellStyle name="Comma 2 2 9" xfId="49501" xr:uid="{DDB2CB50-1153-44F6-8D3C-9BC389559AFE}"/>
    <cellStyle name="Comma 2 3" xfId="50" xr:uid="{00000000-0005-0000-0000-000052000000}"/>
    <cellStyle name="Comma 2 3 10" xfId="48601" xr:uid="{C852367C-1EAD-424C-B380-6205F5DD5CED}"/>
    <cellStyle name="Comma 2 3 11" xfId="49511" xr:uid="{72787197-6517-4B4C-806E-CA386552C8D5}"/>
    <cellStyle name="Comma 2 3 12" xfId="6984" xr:uid="{46C2EC60-96AC-49EA-8A6F-A9FCE4988771}"/>
    <cellStyle name="Comma 2 3 2" xfId="1291" xr:uid="{00000000-0005-0000-0000-000053000000}"/>
    <cellStyle name="Comma 2 3 2 10" xfId="49512" xr:uid="{BC01E01F-F59A-4713-A74B-26E4E5E335A2}"/>
    <cellStyle name="Comma 2 3 2 11" xfId="7232" xr:uid="{D5321128-32F4-479C-B897-AFA64F0CB3C3}"/>
    <cellStyle name="Comma 2 3 2 2" xfId="1292" xr:uid="{00000000-0005-0000-0000-000054000000}"/>
    <cellStyle name="Comma 2 3 2 2 10" xfId="14980" xr:uid="{903A0EC0-5488-4DCB-8721-B20034451450}"/>
    <cellStyle name="Comma 2 3 2 2 10 2" xfId="22520" xr:uid="{C7FF0B9F-3EDB-4C28-A4EC-49978A17575C}"/>
    <cellStyle name="Comma 2 3 2 2 10 3" xfId="32514" xr:uid="{3BA61A52-225C-4AE7-B897-97E434A650D7}"/>
    <cellStyle name="Comma 2 3 2 2 10 4" xfId="51858" xr:uid="{BBB98D8A-4D56-4807-AF0E-80017A9069F2}"/>
    <cellStyle name="Comma 2 3 2 2 10 5" xfId="54874" xr:uid="{D6D15CB2-19CD-415E-AF16-184C226DAF6A}"/>
    <cellStyle name="Comma 2 3 2 2 11" xfId="15467" xr:uid="{416AB14A-E007-4B4A-A639-3C63562B4B5E}"/>
    <cellStyle name="Comma 2 3 2 2 11 2" xfId="22997" xr:uid="{772CD3E0-3A44-4DF5-AC9E-595C880BE9AA}"/>
    <cellStyle name="Comma 2 3 2 2 11 3" xfId="48076" xr:uid="{78A92F05-6AEE-45A8-BBF1-24F6D35E715A}"/>
    <cellStyle name="Comma 2 3 2 2 11 4" xfId="52335" xr:uid="{EE8AD611-26DA-436A-AD00-0FE1A4C1E750}"/>
    <cellStyle name="Comma 2 3 2 2 11 5" xfId="55351" xr:uid="{7E5685B1-B5DD-47A6-9EA5-E6A8BFD38133}"/>
    <cellStyle name="Comma 2 3 2 2 12" xfId="17742" xr:uid="{5C2305A0-CB65-4B71-94A7-21EC6C1F218F}"/>
    <cellStyle name="Comma 2 3 2 2 12 2" xfId="21250" xr:uid="{C706E131-8752-4A91-80A9-674CF81131FF}"/>
    <cellStyle name="Comma 2 3 2 2 13" xfId="23711" xr:uid="{FE4ABE9C-94A4-4ADC-ADDF-22A2E3588ABD}"/>
    <cellStyle name="Comma 2 3 2 2 14" xfId="48603" xr:uid="{B22AC725-4282-4D0E-89CA-D06F1887CAB3}"/>
    <cellStyle name="Comma 2 3 2 2 15" xfId="49513" xr:uid="{2D46D74F-F54E-4312-94EF-8B5A3A9B34E2}"/>
    <cellStyle name="Comma 2 3 2 2 16" xfId="49798" xr:uid="{60EC447D-35E2-46D5-B44B-3B9BD658C6A1}"/>
    <cellStyle name="Comma 2 3 2 2 17" xfId="52813" xr:uid="{64E9F705-2701-4BF9-B945-EC86165D57A3}"/>
    <cellStyle name="Comma 2 3 2 2 18" xfId="8921" xr:uid="{0ADCC419-33A5-4011-96FC-BB09ADC95809}"/>
    <cellStyle name="Comma 2 3 2 2 2" xfId="4530" xr:uid="{7213A233-0B90-4107-8438-DCD4807E6D56}"/>
    <cellStyle name="Comma 2 3 2 2 2 10" xfId="52867" xr:uid="{408EF00B-129A-43D6-B11A-1075CFFC14F8}"/>
    <cellStyle name="Comma 2 3 2 2 2 11" xfId="10008" xr:uid="{63DA0ABE-27FC-485D-8C1C-E135C40031DA}"/>
    <cellStyle name="Comma 2 3 2 2 2 2" xfId="10316" xr:uid="{A02C5F1B-EDB3-42AF-ACF5-BE7FB397CB6B}"/>
    <cellStyle name="Comma 2 3 2 2 2 2 2" xfId="14761" xr:uid="{959CAD0D-A43F-4B7E-A704-85A59DBAEDB5}"/>
    <cellStyle name="Comma 2 3 2 2 2 2 2 2" xfId="22308" xr:uid="{FAFC2C04-6C6A-4A74-9764-A73730E63C39}"/>
    <cellStyle name="Comma 2 3 2 2 2 2 2 3" xfId="47832" xr:uid="{7ED3C404-E8B5-46D8-B933-4633E7B764DB}"/>
    <cellStyle name="Comma 2 3 2 2 2 2 2 4" xfId="51646" xr:uid="{DC36A1D0-B6BE-4DC2-A551-503BFAD84183}"/>
    <cellStyle name="Comma 2 3 2 2 2 2 2 5" xfId="54662" xr:uid="{EBE79AB6-3D3E-4486-AA66-63D7B3180E01}"/>
    <cellStyle name="Comma 2 3 2 2 2 2 3" xfId="15246" xr:uid="{E93C2DCC-A88D-4E2C-8716-299E82002908}"/>
    <cellStyle name="Comma 2 3 2 2 2 2 3 2" xfId="22785" xr:uid="{8E873991-D112-42ED-A704-404C0CD53913}"/>
    <cellStyle name="Comma 2 3 2 2 2 2 3 3" xfId="47720" xr:uid="{7D4B075E-F7B4-4950-ABDA-360059A71A74}"/>
    <cellStyle name="Comma 2 3 2 2 2 2 3 4" xfId="52123" xr:uid="{3D9DCAE9-0FC6-4466-87B0-36185168D194}"/>
    <cellStyle name="Comma 2 3 2 2 2 2 3 5" xfId="55139" xr:uid="{BE340F5F-AECF-44D0-9CBA-AB81B63F52A2}"/>
    <cellStyle name="Comma 2 3 2 2 2 2 4" xfId="15733" xr:uid="{6DCD6FF5-77D7-4177-997B-8BEF1070E992}"/>
    <cellStyle name="Comma 2 3 2 2 2 2 4 2" xfId="23262" xr:uid="{8810460B-7B06-4F88-B3D3-27BD4929DE63}"/>
    <cellStyle name="Comma 2 3 2 2 2 2 4 3" xfId="46700" xr:uid="{04F308B7-1857-4FC6-BC40-B049000E9551}"/>
    <cellStyle name="Comma 2 3 2 2 2 2 4 4" xfId="52600" xr:uid="{4FAC267F-F49D-455A-B00C-C8D39B48A47E}"/>
    <cellStyle name="Comma 2 3 2 2 2 2 4 5" xfId="55616" xr:uid="{B31E64A9-ACDA-4B4F-ABB5-84AF3FCFF3DC}"/>
    <cellStyle name="Comma 2 3 2 2 2 2 5" xfId="12769" xr:uid="{44B68935-E015-4897-BAD8-9F94EF57C0D6}"/>
    <cellStyle name="Comma 2 3 2 2 2 2 5 2" xfId="46791" xr:uid="{09A24BC7-6F88-4074-805A-D43F749E4CCC}"/>
    <cellStyle name="Comma 2 3 2 2 2 2 5 3" xfId="51169" xr:uid="{C51A3CB8-A870-4AD3-B28E-75059C66EF03}"/>
    <cellStyle name="Comma 2 3 2 2 2 2 5 4" xfId="54185" xr:uid="{83666CAF-BC64-4E64-824E-BE84127AB20E}"/>
    <cellStyle name="Comma 2 3 2 2 2 2 6" xfId="47798" xr:uid="{01AB64BA-314C-4289-9D26-E0CD9112AAF5}"/>
    <cellStyle name="Comma 2 3 2 2 2 2 7" xfId="50063" xr:uid="{57CFAC31-33BE-4702-9736-D51985EEA1CB}"/>
    <cellStyle name="Comma 2 3 2 2 2 2 8" xfId="53079" xr:uid="{3BD25BAB-4B1B-4A39-AF26-B032F579DAF2}"/>
    <cellStyle name="Comma 2 3 2 2 2 3" xfId="12468" xr:uid="{E7A0D0AE-99E7-43BC-BBD1-425E00A452D1}"/>
    <cellStyle name="Comma 2 3 2 2 2 3 2" xfId="21913" xr:uid="{DEC2945D-4760-499B-B92F-252F6703BBF3}"/>
    <cellStyle name="Comma 2 3 2 2 2 3 3" xfId="47213" xr:uid="{6D372531-49CF-4C32-86E6-CF1DBD59A1EA}"/>
    <cellStyle name="Comma 2 3 2 2 2 3 4" xfId="50957" xr:uid="{E23667E0-45CC-4DF7-8F5F-CDC8BA12F1CA}"/>
    <cellStyle name="Comma 2 3 2 2 2 3 5" xfId="53973" xr:uid="{5C64E9D5-CA2D-437B-9BCF-591081EE654F}"/>
    <cellStyle name="Comma 2 3 2 2 2 4" xfId="14549" xr:uid="{27A975A5-DA53-47CB-AA46-E59C7B77409F}"/>
    <cellStyle name="Comma 2 3 2 2 2 4 2" xfId="22096" xr:uid="{85557804-B38A-4838-B8B9-B238418818E1}"/>
    <cellStyle name="Comma 2 3 2 2 2 4 3" xfId="46833" xr:uid="{1E0811A3-8009-41F6-A436-D771FDC1121C}"/>
    <cellStyle name="Comma 2 3 2 2 2 4 4" xfId="51434" xr:uid="{3E6576A9-48D7-4C4E-A121-2747C322766F}"/>
    <cellStyle name="Comma 2 3 2 2 2 4 5" xfId="54450" xr:uid="{C823FB99-BBD1-49FF-9582-6F37FE27D408}"/>
    <cellStyle name="Comma 2 3 2 2 2 5" xfId="15033" xr:uid="{56F0543F-E196-4423-9560-AB22FF2A5296}"/>
    <cellStyle name="Comma 2 3 2 2 2 5 2" xfId="22573" xr:uid="{698AAB81-F71E-4DFA-AEB2-11A1694892E1}"/>
    <cellStyle name="Comma 2 3 2 2 2 5 3" xfId="46470" xr:uid="{E2C5C05C-FAED-41D1-84E9-94F373826078}"/>
    <cellStyle name="Comma 2 3 2 2 2 5 4" xfId="51911" xr:uid="{5B413FEC-3E7A-4396-91A0-1D9F0B53C68A}"/>
    <cellStyle name="Comma 2 3 2 2 2 5 5" xfId="54927" xr:uid="{B480A7C8-6C01-4A15-BC5A-97A0A93EDAAD}"/>
    <cellStyle name="Comma 2 3 2 2 2 6" xfId="15520" xr:uid="{E5FEDF81-50AA-4CBC-8006-476AF9413CEF}"/>
    <cellStyle name="Comma 2 3 2 2 2 6 2" xfId="23050" xr:uid="{13F1A26D-1087-47C7-80A9-6E11D865C7BD}"/>
    <cellStyle name="Comma 2 3 2 2 2 6 3" xfId="48254" xr:uid="{E2084E84-C35C-40F9-AB0A-4A2235CDC631}"/>
    <cellStyle name="Comma 2 3 2 2 2 6 4" xfId="52388" xr:uid="{19401D57-B31F-49F8-B154-13B731070D5F}"/>
    <cellStyle name="Comma 2 3 2 2 2 6 5" xfId="55404" xr:uid="{0978E4CE-95FD-418D-95E6-8053B62D3054}"/>
    <cellStyle name="Comma 2 3 2 2 2 7" xfId="11693" xr:uid="{2819927F-5632-496C-A58A-850FC68B2C6F}"/>
    <cellStyle name="Comma 2 3 2 2 2 7 2" xfId="46732" xr:uid="{5AC057AB-A21C-42CF-AE4D-28BD94D20125}"/>
    <cellStyle name="Comma 2 3 2 2 2 7 3" xfId="50741" xr:uid="{9BD65C1C-3361-437C-89BB-55D8F21DC1EA}"/>
    <cellStyle name="Comma 2 3 2 2 2 7 4" xfId="53757" xr:uid="{BE3AED0F-BCD2-4C5B-A376-F7565E13879E}"/>
    <cellStyle name="Comma 2 3 2 2 2 8" xfId="23712" xr:uid="{27D84BF7-6D72-440E-BD2D-F63D7F4382FA}"/>
    <cellStyle name="Comma 2 3 2 2 2 9" xfId="49851" xr:uid="{69284817-176F-40FE-9665-B2BB7FB19BD1}"/>
    <cellStyle name="Comma 2 3 2 2 3" xfId="2611" xr:uid="{11FFFB8E-1ACE-44F4-BB0E-54CDF7E287DF}"/>
    <cellStyle name="Comma 2 3 2 2 3 10" xfId="10082" xr:uid="{AC3C1994-C4CF-489D-AD7C-EEA6E04C68FA}"/>
    <cellStyle name="Comma 2 3 2 2 3 2" xfId="10395" xr:uid="{3ABB86C3-88B3-47B8-A145-B30A43D3E76B}"/>
    <cellStyle name="Comma 2 3 2 2 3 2 2" xfId="14814" xr:uid="{2A675DF2-272A-4353-B648-4A3CF80DEC71}"/>
    <cellStyle name="Comma 2 3 2 2 3 2 2 2" xfId="22361" xr:uid="{20CEB529-2649-435B-A4EF-DD6AECFD3239}"/>
    <cellStyle name="Comma 2 3 2 2 3 2 2 3" xfId="46438" xr:uid="{BFE1D256-73E4-45D5-A584-ECEECB0F136A}"/>
    <cellStyle name="Comma 2 3 2 2 3 2 2 4" xfId="51699" xr:uid="{390082D3-7715-43FE-93D7-ECF3A3337378}"/>
    <cellStyle name="Comma 2 3 2 2 3 2 2 5" xfId="54715" xr:uid="{D5FF8E22-C760-4E08-9133-B5D95F303982}"/>
    <cellStyle name="Comma 2 3 2 2 3 2 3" xfId="15299" xr:uid="{5A217326-A828-4B81-9A33-FFCE2C630BF8}"/>
    <cellStyle name="Comma 2 3 2 2 3 2 3 2" xfId="22838" xr:uid="{F7CDC67D-E0EE-47DB-860D-9B7FF240AA21}"/>
    <cellStyle name="Comma 2 3 2 2 3 2 3 3" xfId="48361" xr:uid="{1546A004-ABD4-45FC-929F-AACB589E6F54}"/>
    <cellStyle name="Comma 2 3 2 2 3 2 3 4" xfId="52176" xr:uid="{3A0BD322-2481-422A-9FC0-D348F3DFE3CC}"/>
    <cellStyle name="Comma 2 3 2 2 3 2 3 5" xfId="55192" xr:uid="{3918C03F-9C72-405B-8F79-B0919E44F183}"/>
    <cellStyle name="Comma 2 3 2 2 3 2 4" xfId="15786" xr:uid="{C282B9D9-08B8-4CE7-9B2B-DED8077219E3}"/>
    <cellStyle name="Comma 2 3 2 2 3 2 4 2" xfId="23315" xr:uid="{271A0838-EB70-4121-B908-F672B16CAB24}"/>
    <cellStyle name="Comma 2 3 2 2 3 2 4 3" xfId="46585" xr:uid="{EE467738-A621-4F4E-84D6-33384ACCCB2B}"/>
    <cellStyle name="Comma 2 3 2 2 3 2 4 4" xfId="52653" xr:uid="{4AFC2307-1998-4F7F-A2ED-2428D1ECFCB5}"/>
    <cellStyle name="Comma 2 3 2 2 3 2 4 5" xfId="55669" xr:uid="{606567A5-264B-43FB-904A-4B0903920A1A}"/>
    <cellStyle name="Comma 2 3 2 2 3 2 5" xfId="12848" xr:uid="{2F295206-6364-4E14-A377-1DEB098D3FD1}"/>
    <cellStyle name="Comma 2 3 2 2 3 2 5 2" xfId="48381" xr:uid="{58BA4E72-1E99-4341-97E2-171183DF65EF}"/>
    <cellStyle name="Comma 2 3 2 2 3 2 5 3" xfId="51222" xr:uid="{B8DFC350-DF6E-4CC9-B2E8-303F88F90DA4}"/>
    <cellStyle name="Comma 2 3 2 2 3 2 5 4" xfId="54238" xr:uid="{C971BFF0-E1B3-4FEE-945F-A53BE4C47E16}"/>
    <cellStyle name="Comma 2 3 2 2 3 2 6" xfId="47286" xr:uid="{83F910CB-83F6-48C2-97DD-697E4CBF2D7B}"/>
    <cellStyle name="Comma 2 3 2 2 3 2 7" xfId="50116" xr:uid="{BA5D57AA-9808-4D0B-95D3-AA6C58C33ADB}"/>
    <cellStyle name="Comma 2 3 2 2 3 2 8" xfId="53132" xr:uid="{8220DF12-D688-4E56-B7D8-C757A971CBC7}"/>
    <cellStyle name="Comma 2 3 2 2 3 3" xfId="14602" xr:uid="{6E328643-0F75-457B-8C44-D1C82EADCCAF}"/>
    <cellStyle name="Comma 2 3 2 2 3 3 2" xfId="22149" xr:uid="{DB801428-361D-4F25-81E6-987FA9518E53}"/>
    <cellStyle name="Comma 2 3 2 2 3 3 3" xfId="47369" xr:uid="{E1C4A89A-241E-4880-8D8E-1266778C9B76}"/>
    <cellStyle name="Comma 2 3 2 2 3 3 4" xfId="51487" xr:uid="{A123A020-9151-4609-A72F-8E61503B9B8F}"/>
    <cellStyle name="Comma 2 3 2 2 3 3 5" xfId="54503" xr:uid="{3F0E0EFA-C411-45E8-88EA-8823FC0E082A}"/>
    <cellStyle name="Comma 2 3 2 2 3 4" xfId="15087" xr:uid="{265FF9A5-9247-4432-B2A1-71AD6DFFB1D2}"/>
    <cellStyle name="Comma 2 3 2 2 3 4 2" xfId="22626" xr:uid="{6D9EC13C-F98E-4FBB-B5B6-3728FCA2E244}"/>
    <cellStyle name="Comma 2 3 2 2 3 4 3" xfId="46476" xr:uid="{7BCEF593-CC64-44E3-814C-E62B2360A3D7}"/>
    <cellStyle name="Comma 2 3 2 2 3 4 4" xfId="51964" xr:uid="{D2DAE5C4-D16E-44D6-9D4D-7EF05AB86596}"/>
    <cellStyle name="Comma 2 3 2 2 3 4 5" xfId="54980" xr:uid="{8865B410-B00D-427C-86EC-933BAD200EA1}"/>
    <cellStyle name="Comma 2 3 2 2 3 5" xfId="15574" xr:uid="{CD39F5F9-DEEB-4684-AFCF-B2007AA6A5D6}"/>
    <cellStyle name="Comma 2 3 2 2 3 5 2" xfId="23103" xr:uid="{A560A81A-D7F6-45F7-9DD6-D687A9C73F69}"/>
    <cellStyle name="Comma 2 3 2 2 3 5 3" xfId="47349" xr:uid="{3531F0CD-8653-4C7A-A406-04D39B891560}"/>
    <cellStyle name="Comma 2 3 2 2 3 5 4" xfId="52441" xr:uid="{8BCBC552-7CEA-4E37-9BBF-78B6BC270B28}"/>
    <cellStyle name="Comma 2 3 2 2 3 5 5" xfId="55457" xr:uid="{F94730FF-54D1-484D-9426-BF9A97EC07D2}"/>
    <cellStyle name="Comma 2 3 2 2 3 6" xfId="12539" xr:uid="{7841B187-1008-49F0-8EF6-F95C2D74C3C7}"/>
    <cellStyle name="Comma 2 3 2 2 3 6 2" xfId="47466" xr:uid="{D09BA315-ADE3-492F-AA3C-81E3B0D3077D}"/>
    <cellStyle name="Comma 2 3 2 2 3 6 3" xfId="51010" xr:uid="{4D6D22C4-0A50-45FA-A839-BEBEED0BE413}"/>
    <cellStyle name="Comma 2 3 2 2 3 6 4" xfId="54026" xr:uid="{AFD2F015-D821-4289-84EC-D0364409AF1D}"/>
    <cellStyle name="Comma 2 3 2 2 3 7" xfId="48447" xr:uid="{20A08395-B566-4820-B3A9-530AC55A79D9}"/>
    <cellStyle name="Comma 2 3 2 2 3 8" xfId="49904" xr:uid="{90833ED4-C1FA-48A1-B875-EDEC667FECB2}"/>
    <cellStyle name="Comma 2 3 2 2 3 9" xfId="52920" xr:uid="{9A7A3AE1-6DE1-4B1C-A158-492445BEBF04}"/>
    <cellStyle name="Comma 2 3 2 2 4" xfId="10161" xr:uid="{CD7B2A4A-DA9B-4125-867B-913B7F6EED8A}"/>
    <cellStyle name="Comma 2 3 2 2 4 2" xfId="10475" xr:uid="{C43F6456-EB69-49E4-A03B-6452CC64D653}"/>
    <cellStyle name="Comma 2 3 2 2 4 2 2" xfId="14867" xr:uid="{8028EFE2-7A34-4F9D-8119-7031C2A0375A}"/>
    <cellStyle name="Comma 2 3 2 2 4 2 2 2" xfId="22414" xr:uid="{47BD27C2-D7DB-4D10-95AA-870B2C69F989}"/>
    <cellStyle name="Comma 2 3 2 2 4 2 2 3" xfId="47539" xr:uid="{D0465578-0653-4630-8E6F-E3DEE8FFF998}"/>
    <cellStyle name="Comma 2 3 2 2 4 2 2 4" xfId="51752" xr:uid="{26C64B37-3FD2-4D6E-A66F-18C575805B02}"/>
    <cellStyle name="Comma 2 3 2 2 4 2 2 5" xfId="54768" xr:uid="{7E1F53E8-E5D0-410B-AEDA-4D3A831D0BA0}"/>
    <cellStyle name="Comma 2 3 2 2 4 2 3" xfId="15352" xr:uid="{4AB35C76-06D6-46CD-9DF5-757CD3406761}"/>
    <cellStyle name="Comma 2 3 2 2 4 2 3 2" xfId="22891" xr:uid="{0AA5EC37-2A79-42F4-9164-D2A65C930FAD}"/>
    <cellStyle name="Comma 2 3 2 2 4 2 3 3" xfId="46910" xr:uid="{D48D3B32-A146-43F1-B582-2B68199EA9ED}"/>
    <cellStyle name="Comma 2 3 2 2 4 2 3 4" xfId="52229" xr:uid="{40BFB071-03F8-46FE-B9B0-6DD7F6181BAA}"/>
    <cellStyle name="Comma 2 3 2 2 4 2 3 5" xfId="55245" xr:uid="{CC78B78A-17B7-44A2-B1E1-64F8678C35EF}"/>
    <cellStyle name="Comma 2 3 2 2 4 2 4" xfId="15839" xr:uid="{EDE270A4-A51D-42BE-856A-8B85BE4A8247}"/>
    <cellStyle name="Comma 2 3 2 2 4 2 4 2" xfId="23368" xr:uid="{77596663-9342-4E59-B24A-725A28D2FEA3}"/>
    <cellStyle name="Comma 2 3 2 2 4 2 4 3" xfId="47258" xr:uid="{2336151A-CEDF-4251-9D1B-5E263642987E}"/>
    <cellStyle name="Comma 2 3 2 2 4 2 4 4" xfId="52706" xr:uid="{A0CC4543-9D51-4C08-9C74-02AABC45521B}"/>
    <cellStyle name="Comma 2 3 2 2 4 2 4 5" xfId="55722" xr:uid="{3028A140-A066-4FE6-A6C3-C43D43104AA9}"/>
    <cellStyle name="Comma 2 3 2 2 4 2 5" xfId="12928" xr:uid="{D8AF83F3-0B85-4A23-B8C5-CCF71B80D313}"/>
    <cellStyle name="Comma 2 3 2 2 4 2 5 2" xfId="46372" xr:uid="{7E6D03F6-F876-4340-9C71-E8AEFC933ED6}"/>
    <cellStyle name="Comma 2 3 2 2 4 2 5 3" xfId="51275" xr:uid="{4242B3A3-6D92-4D01-9E4F-9BE2D1190602}"/>
    <cellStyle name="Comma 2 3 2 2 4 2 5 4" xfId="54291" xr:uid="{B2BFEB1F-D5E2-41E9-A69B-8A0FD45467A8}"/>
    <cellStyle name="Comma 2 3 2 2 4 2 6" xfId="47883" xr:uid="{DCB62397-EBC3-4ABD-B9F3-68E5E48301F2}"/>
    <cellStyle name="Comma 2 3 2 2 4 2 7" xfId="50169" xr:uid="{27CD276F-01A6-4D66-85D0-F9C015AA6819}"/>
    <cellStyle name="Comma 2 3 2 2 4 2 8" xfId="53185" xr:uid="{D84A5376-1E6E-4A38-961F-443760F4D526}"/>
    <cellStyle name="Comma 2 3 2 2 4 3" xfId="14655" xr:uid="{84B5DA62-2330-4129-B157-BCD9F42FE066}"/>
    <cellStyle name="Comma 2 3 2 2 4 3 2" xfId="22202" xr:uid="{7E2FA8F2-B524-4F40-94C9-790CC44AFBCF}"/>
    <cellStyle name="Comma 2 3 2 2 4 3 3" xfId="47534" xr:uid="{60963161-D76E-4E5F-8353-1A50DF0B6CCE}"/>
    <cellStyle name="Comma 2 3 2 2 4 3 4" xfId="51540" xr:uid="{8905B78B-D9E7-4B98-BC05-477AF6668335}"/>
    <cellStyle name="Comma 2 3 2 2 4 3 5" xfId="54556" xr:uid="{31A29E14-9CA9-459C-B190-54F8C3895FE3}"/>
    <cellStyle name="Comma 2 3 2 2 4 4" xfId="15140" xr:uid="{7390BF0A-8CEF-41CD-A560-3484A1E39F47}"/>
    <cellStyle name="Comma 2 3 2 2 4 4 2" xfId="22679" xr:uid="{D732CB98-759C-44F3-9588-5770935473F1}"/>
    <cellStyle name="Comma 2 3 2 2 4 4 3" xfId="47719" xr:uid="{BD7F2B0D-7F6C-4AED-82FA-063D81F7F370}"/>
    <cellStyle name="Comma 2 3 2 2 4 4 4" xfId="52017" xr:uid="{253623B3-414E-4E92-8357-47733ABCBA39}"/>
    <cellStyle name="Comma 2 3 2 2 4 4 5" xfId="55033" xr:uid="{2D7DE462-B76F-4700-B724-5E2DCC84A84E}"/>
    <cellStyle name="Comma 2 3 2 2 4 5" xfId="15627" xr:uid="{084D94C7-78FE-449E-BC38-69035DF038BD}"/>
    <cellStyle name="Comma 2 3 2 2 4 5 2" xfId="23156" xr:uid="{CB6D6614-75A5-4CA2-841B-D71869EA329A}"/>
    <cellStyle name="Comma 2 3 2 2 4 5 3" xfId="47790" xr:uid="{16853FAF-435B-4E44-9B43-ECD23C634817}"/>
    <cellStyle name="Comma 2 3 2 2 4 5 4" xfId="52494" xr:uid="{CF5FD152-4295-4632-8C26-C859232CA963}"/>
    <cellStyle name="Comma 2 3 2 2 4 5 5" xfId="55510" xr:uid="{9D83C704-9C89-4CF5-A209-887D32445983}"/>
    <cellStyle name="Comma 2 3 2 2 4 6" xfId="12615" xr:uid="{078008B6-8F77-44B4-9F2D-829681009395}"/>
    <cellStyle name="Comma 2 3 2 2 4 6 2" xfId="46330" xr:uid="{540052B8-F1CE-40BA-9C9F-3AD05ECDB9FC}"/>
    <cellStyle name="Comma 2 3 2 2 4 6 3" xfId="51063" xr:uid="{6916FDC5-61B9-48F0-BCA6-0395C0D7BC30}"/>
    <cellStyle name="Comma 2 3 2 2 4 6 4" xfId="54079" xr:uid="{3CFC1612-3072-4F38-AEB2-8F83414A9E3D}"/>
    <cellStyle name="Comma 2 3 2 2 4 7" xfId="46057" xr:uid="{239796BB-D49C-4FD8-8A68-F245AE85B671}"/>
    <cellStyle name="Comma 2 3 2 2 4 8" xfId="49957" xr:uid="{B7E0E0CB-0419-4BAA-975C-93D4DCF2BF63}"/>
    <cellStyle name="Comma 2 3 2 2 4 9" xfId="52973" xr:uid="{99390D04-2F91-4A11-A5E9-F49A03CF57A4}"/>
    <cellStyle name="Comma 2 3 2 2 5" xfId="10241" xr:uid="{34E282BF-3774-469D-84C7-87219F1BD2B9}"/>
    <cellStyle name="Comma 2 3 2 2 5 2" xfId="14708" xr:uid="{2BEDB347-7438-4EDF-8D3D-6E6CB65C8BA7}"/>
    <cellStyle name="Comma 2 3 2 2 5 2 2" xfId="22255" xr:uid="{AC0B6C29-4A56-460C-8D98-480E18208F35}"/>
    <cellStyle name="Comma 2 3 2 2 5 2 3" xfId="24192" xr:uid="{D276435E-DF55-4B69-8BC3-1619E7ECA2A2}"/>
    <cellStyle name="Comma 2 3 2 2 5 2 4" xfId="51593" xr:uid="{C852BADA-D751-48B8-B78B-06F7DEE6915C}"/>
    <cellStyle name="Comma 2 3 2 2 5 2 5" xfId="54609" xr:uid="{E9BC575D-BBF0-4B90-A4C9-48C9DBF5C6CD}"/>
    <cellStyle name="Comma 2 3 2 2 5 3" xfId="15193" xr:uid="{B4B3970B-EC7C-42A2-8868-CC199D43DC6E}"/>
    <cellStyle name="Comma 2 3 2 2 5 3 2" xfId="22732" xr:uid="{3F711FB6-7673-4AE9-BB95-07BC9BBB9FD5}"/>
    <cellStyle name="Comma 2 3 2 2 5 3 3" xfId="48263" xr:uid="{062E630C-BF6E-4634-8EA1-7016F28E0F41}"/>
    <cellStyle name="Comma 2 3 2 2 5 3 4" xfId="52070" xr:uid="{FCC2F2E8-C349-4E54-8CA3-7ED512C75AC6}"/>
    <cellStyle name="Comma 2 3 2 2 5 3 5" xfId="55086" xr:uid="{9D566D94-1254-436A-B492-595DB258EC35}"/>
    <cellStyle name="Comma 2 3 2 2 5 4" xfId="15680" xr:uid="{015CE1E4-D585-4665-9F7C-B31FB673BBD6}"/>
    <cellStyle name="Comma 2 3 2 2 5 4 2" xfId="23209" xr:uid="{6A3B391A-D91C-4434-88B7-9DAD83502D38}"/>
    <cellStyle name="Comma 2 3 2 2 5 4 3" xfId="48520" xr:uid="{D395E98C-495B-4227-A67D-4F7A454B608C}"/>
    <cellStyle name="Comma 2 3 2 2 5 4 4" xfId="52547" xr:uid="{6ADE9D52-2F98-4C60-9572-11FEC9171C46}"/>
    <cellStyle name="Comma 2 3 2 2 5 4 5" xfId="55563" xr:uid="{5196A128-BCFA-44FB-8E24-873608B8A225}"/>
    <cellStyle name="Comma 2 3 2 2 5 5" xfId="12694" xr:uid="{C4B648AF-0EC9-4271-8130-64FD4436E4B1}"/>
    <cellStyle name="Comma 2 3 2 2 5 5 2" xfId="46783" xr:uid="{44F9A946-C1FB-4312-A077-217FD43A2BB8}"/>
    <cellStyle name="Comma 2 3 2 2 5 5 3" xfId="51116" xr:uid="{F404C3CF-DDBD-4F38-B5C3-B0F62F03F319}"/>
    <cellStyle name="Comma 2 3 2 2 5 5 4" xfId="54132" xr:uid="{B5B0ADFB-31D5-4438-A49F-36868EE5FC36}"/>
    <cellStyle name="Comma 2 3 2 2 5 6" xfId="47065" xr:uid="{9E5294AC-F0A4-454F-A77B-4952533084D0}"/>
    <cellStyle name="Comma 2 3 2 2 5 7" xfId="50010" xr:uid="{610C28C0-557C-4715-9DF7-B27967A7FA22}"/>
    <cellStyle name="Comma 2 3 2 2 5 8" xfId="53026" xr:uid="{CD60FDC1-7F53-489F-84C7-9BF4AFFC58BB}"/>
    <cellStyle name="Comma 2 3 2 2 6" xfId="10555" xr:uid="{1D619F59-1B4F-47A1-BEA4-3872C4DEBC44}"/>
    <cellStyle name="Comma 2 3 2 2 6 2" xfId="14920" xr:uid="{85BD085D-6E9B-4ED9-8846-BF11991FBA63}"/>
    <cellStyle name="Comma 2 3 2 2 6 2 2" xfId="22467" xr:uid="{9E44E96A-8E9B-4480-BADE-E9631360E98A}"/>
    <cellStyle name="Comma 2 3 2 2 6 2 3" xfId="47632" xr:uid="{0C7B8459-665A-4333-8A88-4C627D6D1CFB}"/>
    <cellStyle name="Comma 2 3 2 2 6 2 4" xfId="51805" xr:uid="{52F2556B-6432-4CC0-BFE3-23B1ABA26269}"/>
    <cellStyle name="Comma 2 3 2 2 6 2 5" xfId="54821" xr:uid="{493FAC5A-1DA8-45B1-87FB-66942A84333E}"/>
    <cellStyle name="Comma 2 3 2 2 6 3" xfId="15405" xr:uid="{225469CC-E072-4BA5-ACF7-2B628BE36EB6}"/>
    <cellStyle name="Comma 2 3 2 2 6 3 2" xfId="22944" xr:uid="{E269A07B-88F6-4804-BA2A-361EBCD57976}"/>
    <cellStyle name="Comma 2 3 2 2 6 3 3" xfId="47494" xr:uid="{ACDAF7C6-01B7-4DA6-80F2-DCCF397B7783}"/>
    <cellStyle name="Comma 2 3 2 2 6 3 4" xfId="52282" xr:uid="{F9C8ACBC-3183-403B-B208-CC1AEF372E16}"/>
    <cellStyle name="Comma 2 3 2 2 6 3 5" xfId="55298" xr:uid="{EC8D68D1-981D-4A45-A6EE-1C17A6D8BD36}"/>
    <cellStyle name="Comma 2 3 2 2 6 4" xfId="15893" xr:uid="{429961F2-F1B8-41D6-AD1C-48F7D3A74AC0}"/>
    <cellStyle name="Comma 2 3 2 2 6 4 2" xfId="23421" xr:uid="{4B59EFB9-E40B-44D6-AC5D-806F7AA41040}"/>
    <cellStyle name="Comma 2 3 2 2 6 4 3" xfId="47259" xr:uid="{98A7F0B4-B057-4FC1-8337-229E5E1D8D3F}"/>
    <cellStyle name="Comma 2 3 2 2 6 4 4" xfId="52759" xr:uid="{FD80F61B-3A63-455D-B8A0-287DEA2F03E5}"/>
    <cellStyle name="Comma 2 3 2 2 6 4 5" xfId="55775" xr:uid="{8CAF1096-3716-41B2-8B11-429704DCEBE3}"/>
    <cellStyle name="Comma 2 3 2 2 6 5" xfId="13008" xr:uid="{31D32552-A39F-4498-89BB-6900B8C06071}"/>
    <cellStyle name="Comma 2 3 2 2 6 5 2" xfId="48534" xr:uid="{B7E23389-4DD9-4F8D-8741-61BBC150CB7C}"/>
    <cellStyle name="Comma 2 3 2 2 6 5 3" xfId="51328" xr:uid="{D1346554-F627-4C89-90E6-3B0204495B30}"/>
    <cellStyle name="Comma 2 3 2 2 6 5 4" xfId="54344" xr:uid="{01DB7310-3CE4-4E73-B09C-D0227C30B9AF}"/>
    <cellStyle name="Comma 2 3 2 2 6 6" xfId="46148" xr:uid="{F5B72D3A-9F0E-4C9A-9C6E-9FE493612359}"/>
    <cellStyle name="Comma 2 3 2 2 6 7" xfId="50222" xr:uid="{20240709-0D8E-4300-8CC3-4A47B73E1309}"/>
    <cellStyle name="Comma 2 3 2 2 6 8" xfId="53238" xr:uid="{7EF2D2B8-EA29-48E4-8BB5-33EB38F5EDB4}"/>
    <cellStyle name="Comma 2 3 2 2 7" xfId="11122" xr:uid="{B3E6B635-2643-4006-BCA1-FA194549362A}"/>
    <cellStyle name="Comma 2 3 2 2 7 2" xfId="21674" xr:uid="{5DAF8C21-AE9C-40D9-BE0E-1C4FBE8FA729}"/>
    <cellStyle name="Comma 2 3 2 2 7 3" xfId="46725" xr:uid="{6E61455D-7EB3-4D03-BF85-01935D956726}"/>
    <cellStyle name="Comma 2 3 2 2 7 4" xfId="50689" xr:uid="{7BE36A4C-A66D-4B1C-8603-2719C810AFD0}"/>
    <cellStyle name="Comma 2 3 2 2 7 5" xfId="53705" xr:uid="{687189D2-D207-4371-933A-DCB4F30E4DAD}"/>
    <cellStyle name="Comma 2 3 2 2 8" xfId="12311" xr:uid="{2A4B8CD0-D57B-4B6B-ABEA-3E8569B6F2AC}"/>
    <cellStyle name="Comma 2 3 2 2 9" xfId="14496" xr:uid="{C050B31A-2CFD-4263-A641-5122C49BB61B}"/>
    <cellStyle name="Comma 2 3 2 2 9 2" xfId="22043" xr:uid="{3357FF0C-2D75-40CA-8B19-609C27D27989}"/>
    <cellStyle name="Comma 2 3 2 2 9 3" xfId="23983" xr:uid="{10BB6176-E51B-4715-9FA3-DF9ECEF7DFA3}"/>
    <cellStyle name="Comma 2 3 2 2 9 4" xfId="51381" xr:uid="{42EE97CD-A9E8-47CD-912D-2AB8328E3997}"/>
    <cellStyle name="Comma 2 3 2 2 9 5" xfId="54397" xr:uid="{563BD351-B5B2-4A93-8513-428463E258DA}"/>
    <cellStyle name="Comma 2 3 2 3" xfId="4529" xr:uid="{493F0920-1550-45DA-85B3-CDB7AA338E6B}"/>
    <cellStyle name="Comma 2 3 2 3 2" xfId="21716" xr:uid="{B49E0C13-3719-4B41-A4B8-DB03CDDBD846}"/>
    <cellStyle name="Comma 2 3 2 3 3" xfId="23713" xr:uid="{A0170B78-8522-4D32-A727-90D6ACC9EA5C}"/>
    <cellStyle name="Comma 2 3 2 3 4" xfId="50742" xr:uid="{1E7B3250-A20A-4991-B3E1-A7C465C95007}"/>
    <cellStyle name="Comma 2 3 2 3 5" xfId="53758" xr:uid="{082C403F-C876-48A9-9E27-D877800CBE68}"/>
    <cellStyle name="Comma 2 3 2 3 6" xfId="11694" xr:uid="{098E537A-E47F-4A06-AA8E-6FCA327D5068}"/>
    <cellStyle name="Comma 2 3 2 4" xfId="5811" xr:uid="{CC19D272-5B8D-4595-8509-7E3E23D36B66}"/>
    <cellStyle name="Comma 2 3 2 4 2" xfId="21682" xr:uid="{BD26BCE2-2701-467C-B149-EA8D1E770D3E}"/>
    <cellStyle name="Comma 2 3 2 4 3" xfId="46726" xr:uid="{7A9A975A-0A12-4B1E-ABFE-181D9F114B0C}"/>
    <cellStyle name="Comma 2 3 2 4 4" xfId="50698" xr:uid="{0817EAA9-AB46-4E5B-821F-4C289F7C7DBA}"/>
    <cellStyle name="Comma 2 3 2 4 5" xfId="53714" xr:uid="{58EEE596-3727-40CB-944B-96CA993CD4A2}"/>
    <cellStyle name="Comma 2 3 2 4 6" xfId="11185" xr:uid="{33D517A5-B922-4A2A-A40D-B136B944428A}"/>
    <cellStyle name="Comma 2 3 2 5" xfId="2610" xr:uid="{10789FBE-91FF-46F3-A589-E2E54D327238}"/>
    <cellStyle name="Comma 2 3 2 5 2" xfId="12269" xr:uid="{BA7B05E1-60A8-4A02-9280-3228D4EDFABD}"/>
    <cellStyle name="Comma 2 3 2 6" xfId="10615" xr:uid="{EF893778-A32A-4A00-A411-F9B4B6D6020D}"/>
    <cellStyle name="Comma 2 3 2 6 2" xfId="21249" xr:uid="{415F0277-F3EE-43B9-BAA0-7C113CB7960C}"/>
    <cellStyle name="Comma 2 3 2 6 3" xfId="48463" xr:uid="{8D242996-DBF5-4792-A6A4-1DB98DDC38E2}"/>
    <cellStyle name="Comma 2 3 2 6 4" xfId="50267" xr:uid="{2751CE10-A565-44C9-B00E-9647CAE07792}"/>
    <cellStyle name="Comma 2 3 2 6 5" xfId="53283" xr:uid="{3FD5148E-2F18-49C3-80BC-7B80BB7DEB3C}"/>
    <cellStyle name="Comma 2 3 2 7" xfId="19472" xr:uid="{DEBB2457-2723-40D6-995B-301AD4F56059}"/>
    <cellStyle name="Comma 2 3 2 8" xfId="23710" xr:uid="{FF5CA31E-C717-497F-985D-A0A703D97CDF}"/>
    <cellStyle name="Comma 2 3 2 9" xfId="48602" xr:uid="{3BA1CA65-EB90-45DF-B2FF-D4BBC07791FF}"/>
    <cellStyle name="Comma 2 3 3" xfId="2612" xr:uid="{35500606-BD11-43FF-A04E-4CFAB9AB4FEE}"/>
    <cellStyle name="Comma 2 3 3 10" xfId="49514" xr:uid="{9A724045-E256-4A53-A978-E20D74DB40C2}"/>
    <cellStyle name="Comma 2 3 3 11" xfId="7231" xr:uid="{B6EEB2F8-17AC-4EAC-ABFA-72379096343A}"/>
    <cellStyle name="Comma 2 3 3 2" xfId="4531" xr:uid="{ADB9BCDB-CCC2-47E0-B081-D408D2462514}"/>
    <cellStyle name="Comma 2 3 3 2 10" xfId="14981" xr:uid="{562B44BF-B022-445B-8BE5-7A7DA1469D7E}"/>
    <cellStyle name="Comma 2 3 3 2 10 2" xfId="22521" xr:uid="{C152A64C-17E9-42A6-BBFB-B43A3EA7395B}"/>
    <cellStyle name="Comma 2 3 3 2 10 3" xfId="47186" xr:uid="{D083A669-C520-4D35-B8BD-AE555FEC43D7}"/>
    <cellStyle name="Comma 2 3 3 2 10 4" xfId="51859" xr:uid="{578341D6-A9DE-4C92-8EAD-45B0D287BACD}"/>
    <cellStyle name="Comma 2 3 3 2 10 5" xfId="54875" xr:uid="{6BF11EBB-86F6-4FA6-B345-4F1FC26BF27F}"/>
    <cellStyle name="Comma 2 3 3 2 11" xfId="15468" xr:uid="{9B62C31B-3741-4528-B32E-ED3AD2FDDB59}"/>
    <cellStyle name="Comma 2 3 3 2 11 2" xfId="22998" xr:uid="{4ADE233E-BDCA-446C-86B2-B7B42C8B9328}"/>
    <cellStyle name="Comma 2 3 3 2 11 3" xfId="47641" xr:uid="{EEDBA100-76BC-4CCE-A149-6989EDB32C8F}"/>
    <cellStyle name="Comma 2 3 3 2 11 4" xfId="52336" xr:uid="{005DC9B1-7011-490A-A2E1-F94F8700F777}"/>
    <cellStyle name="Comma 2 3 3 2 11 5" xfId="55352" xr:uid="{59CB1526-335C-43FE-B3D9-7BFE0C877C36}"/>
    <cellStyle name="Comma 2 3 3 2 12" xfId="11582" xr:uid="{7E74BE7B-9B17-4967-AB52-DF93C0779EF4}"/>
    <cellStyle name="Comma 2 3 3 2 12 2" xfId="21706" xr:uid="{9B46831B-8FB9-4684-A782-4FA3C93C718D}"/>
    <cellStyle name="Comma 2 3 3 2 12 3" xfId="46730" xr:uid="{3BC7E94F-9216-41F8-8518-0B46A1AF1890}"/>
    <cellStyle name="Comma 2 3 3 2 12 4" xfId="50729" xr:uid="{5DCF5BB9-4031-4BC4-BA2A-A1053069F8DD}"/>
    <cellStyle name="Comma 2 3 3 2 12 5" xfId="53745" xr:uid="{E7215E71-6CCD-474C-BD84-B858CB095097}"/>
    <cellStyle name="Comma 2 3 3 2 13" xfId="23715" xr:uid="{7CCB8D40-203B-4208-9320-B525AE293FB6}"/>
    <cellStyle name="Comma 2 3 3 2 14" xfId="48605" xr:uid="{44FF0D3C-81B0-4A0A-9D3E-EDB78A8EB395}"/>
    <cellStyle name="Comma 2 3 3 2 15" xfId="49515" xr:uid="{CF554274-D85E-4CD3-8285-C1E6265C7EAE}"/>
    <cellStyle name="Comma 2 3 3 2 16" xfId="49799" xr:uid="{21D1C680-E72A-4A8E-AC32-E643184D36A6}"/>
    <cellStyle name="Comma 2 3 3 2 17" xfId="52814" xr:uid="{593A9DFC-63F8-4B25-8EDC-259204A11F54}"/>
    <cellStyle name="Comma 2 3 3 2 18" xfId="8922" xr:uid="{839081CE-7388-4740-A0F1-62F461438EEF}"/>
    <cellStyle name="Comma 2 3 3 2 2" xfId="8923" xr:uid="{9AEA7300-493B-48F4-98D8-C62EE68DBE80}"/>
    <cellStyle name="Comma 2 3 3 2 2 10" xfId="12163" xr:uid="{3DB2886A-2FD7-4B82-95BE-63CCE69C41D3}"/>
    <cellStyle name="Comma 2 3 3 2 2 10 2" xfId="47913" xr:uid="{0238C066-A38B-4B77-960B-11B99A23B220}"/>
    <cellStyle name="Comma 2 3 3 2 2 10 3" xfId="50932" xr:uid="{2C8A6751-9B7D-4DC6-B249-3268E74D2AB9}"/>
    <cellStyle name="Comma 2 3 3 2 2 10 4" xfId="53948" xr:uid="{B7D9D4FB-58D4-4864-BAEB-62E6F7C878FF}"/>
    <cellStyle name="Comma 2 3 3 2 2 11" xfId="23716" xr:uid="{14166768-0383-4AE8-8CEC-20DAE490F871}"/>
    <cellStyle name="Comma 2 3 3 2 2 12" xfId="48606" xr:uid="{13D3CBD7-EC16-4393-9082-29846C4A450F}"/>
    <cellStyle name="Comma 2 3 3 2 2 13" xfId="49516" xr:uid="{9F87A458-DE35-4FAE-B3F6-7F48DF475C42}"/>
    <cellStyle name="Comma 2 3 3 2 2 14" xfId="49800" xr:uid="{C30DD9B7-FD1D-4A60-9DC5-2F5E6B6C8636}"/>
    <cellStyle name="Comma 2 3 3 2 2 15" xfId="52815" xr:uid="{5914E20D-9A23-4EBC-8A2E-93D99C1251A4}"/>
    <cellStyle name="Comma 2 3 3 2 2 2" xfId="10010" xr:uid="{81D7DE8A-A586-4370-B685-D0A0E83E2D3D}"/>
    <cellStyle name="Comma 2 3 3 2 2 2 2" xfId="10318" xr:uid="{C9901270-A9E1-4D0A-BE4A-13E6ECF979B7}"/>
    <cellStyle name="Comma 2 3 3 2 2 2 2 2" xfId="14763" xr:uid="{6380216F-EB34-486D-892B-640937363C35}"/>
    <cellStyle name="Comma 2 3 3 2 2 2 2 2 2" xfId="22310" xr:uid="{A71D6395-2217-4B37-98B1-98949EB923DC}"/>
    <cellStyle name="Comma 2 3 3 2 2 2 2 2 3" xfId="47482" xr:uid="{CC347AEF-7DBB-4D8B-8A8C-BED38257B085}"/>
    <cellStyle name="Comma 2 3 3 2 2 2 2 2 4" xfId="51648" xr:uid="{46690CEA-F3BB-4AC8-8778-64D1EBFDC241}"/>
    <cellStyle name="Comma 2 3 3 2 2 2 2 2 5" xfId="54664" xr:uid="{698849CB-44B5-442A-9C45-E9B6DB71620C}"/>
    <cellStyle name="Comma 2 3 3 2 2 2 2 3" xfId="15248" xr:uid="{0E3EAEEF-4431-4682-B9F4-E9DDD358A2F5}"/>
    <cellStyle name="Comma 2 3 3 2 2 2 2 3 2" xfId="22787" xr:uid="{F0757066-0C0C-41E9-BAC6-71F50CF3E863}"/>
    <cellStyle name="Comma 2 3 3 2 2 2 2 3 3" xfId="32503" xr:uid="{BCEAD07F-7392-49AC-8732-E52FAB8D14CB}"/>
    <cellStyle name="Comma 2 3 3 2 2 2 2 3 4" xfId="52125" xr:uid="{B337458A-506E-46FB-AB70-E1C358D3A166}"/>
    <cellStyle name="Comma 2 3 3 2 2 2 2 3 5" xfId="55141" xr:uid="{EEBF4E12-4B91-4121-97D3-0000D76A38B8}"/>
    <cellStyle name="Comma 2 3 3 2 2 2 2 4" xfId="15735" xr:uid="{6777FA06-7326-4AE3-996D-D21B6AFBD20C}"/>
    <cellStyle name="Comma 2 3 3 2 2 2 2 4 2" xfId="23264" xr:uid="{3CD9D1E3-5474-4A3A-BDBC-E09C6448732E}"/>
    <cellStyle name="Comma 2 3 3 2 2 2 2 4 3" xfId="48147" xr:uid="{4C080507-189E-48B0-A598-D3529FD4F2E4}"/>
    <cellStyle name="Comma 2 3 3 2 2 2 2 4 4" xfId="52602" xr:uid="{EEB82CFB-3ED0-458C-AB6F-8015CE2A3AC4}"/>
    <cellStyle name="Comma 2 3 3 2 2 2 2 4 5" xfId="55618" xr:uid="{BDC065A7-74CE-4F4B-A173-032167B585ED}"/>
    <cellStyle name="Comma 2 3 3 2 2 2 2 5" xfId="12771" xr:uid="{4BE36D60-AA4A-4D04-923E-80D2C81FA136}"/>
    <cellStyle name="Comma 2 3 3 2 2 2 2 5 2" xfId="32290" xr:uid="{491DA435-EF2C-4B63-8463-15436F516362}"/>
    <cellStyle name="Comma 2 3 3 2 2 2 2 5 3" xfId="51171" xr:uid="{80E6891A-9D17-41DF-B54A-C3B9FB044326}"/>
    <cellStyle name="Comma 2 3 3 2 2 2 2 5 4" xfId="54187" xr:uid="{75E33824-8EF5-4871-8AB8-50DCFF7A8A50}"/>
    <cellStyle name="Comma 2 3 3 2 2 2 2 6" xfId="24767" xr:uid="{96C08D6B-920B-4FC2-976E-FF4009562835}"/>
    <cellStyle name="Comma 2 3 3 2 2 2 2 7" xfId="50065" xr:uid="{3143380A-9FCA-4B49-9559-6EBB773F820F}"/>
    <cellStyle name="Comma 2 3 3 2 2 2 2 8" xfId="53081" xr:uid="{EE4E6D69-C339-4CB3-BE37-E8EE301DE50C}"/>
    <cellStyle name="Comma 2 3 3 2 2 2 3" xfId="14551" xr:uid="{634818F9-6026-4274-9BFF-E461EE018545}"/>
    <cellStyle name="Comma 2 3 3 2 2 2 3 2" xfId="22098" xr:uid="{33F36FE2-1FF3-43BE-B62B-CA50029C6400}"/>
    <cellStyle name="Comma 2 3 3 2 2 2 3 3" xfId="32286" xr:uid="{A1BD8C33-FA27-4704-93BD-BC1C134BF0D5}"/>
    <cellStyle name="Comma 2 3 3 2 2 2 3 4" xfId="51436" xr:uid="{AFE0FA84-D37D-4450-961E-40062980A3FC}"/>
    <cellStyle name="Comma 2 3 3 2 2 2 3 5" xfId="54452" xr:uid="{20765DF2-6BBE-488A-98F2-016954FB5105}"/>
    <cellStyle name="Comma 2 3 3 2 2 2 4" xfId="15035" xr:uid="{F92A3C6D-A559-41EA-90AF-4D4E318F6382}"/>
    <cellStyle name="Comma 2 3 3 2 2 2 4 2" xfId="22575" xr:uid="{EAE6AFE0-8C56-4349-A81E-EE6E722E73FE}"/>
    <cellStyle name="Comma 2 3 3 2 2 2 4 3" xfId="47055" xr:uid="{F4B6E4B4-A93C-463A-9616-788BC1B90FE4}"/>
    <cellStyle name="Comma 2 3 3 2 2 2 4 4" xfId="51913" xr:uid="{D61DA29A-49A4-48CB-A324-486424AB35FE}"/>
    <cellStyle name="Comma 2 3 3 2 2 2 4 5" xfId="54929" xr:uid="{FFB8FF1D-AE3A-49BA-BEB3-06D0DB962AB4}"/>
    <cellStyle name="Comma 2 3 3 2 2 2 5" xfId="15522" xr:uid="{7F91B782-E650-409D-8F07-1E91D279A253}"/>
    <cellStyle name="Comma 2 3 3 2 2 2 5 2" xfId="23052" xr:uid="{58271FC9-8401-411D-AA5C-D8AD294EA41F}"/>
    <cellStyle name="Comma 2 3 3 2 2 2 5 3" xfId="32500" xr:uid="{22606DFB-173B-4721-986E-4782441FEA91}"/>
    <cellStyle name="Comma 2 3 3 2 2 2 5 4" xfId="52390" xr:uid="{236997D6-D482-45F5-A3F4-007138511349}"/>
    <cellStyle name="Comma 2 3 3 2 2 2 5 5" xfId="55406" xr:uid="{F4DF83BA-4308-4105-8BB9-586C385EA8D6}"/>
    <cellStyle name="Comma 2 3 3 2 2 2 6" xfId="12470" xr:uid="{EAC8620C-B7D3-438C-AB3E-4A507A4089F9}"/>
    <cellStyle name="Comma 2 3 3 2 2 2 6 2" xfId="47148" xr:uid="{084ABE5D-FC3D-4C4B-9A06-346752CF7969}"/>
    <cellStyle name="Comma 2 3 3 2 2 2 6 3" xfId="50959" xr:uid="{28AFCB86-CDD0-4ACF-BE44-A032860DA834}"/>
    <cellStyle name="Comma 2 3 3 2 2 2 6 4" xfId="53975" xr:uid="{ED95C7B1-01EA-41B4-ABC6-77D2E1BE2ADC}"/>
    <cellStyle name="Comma 2 3 3 2 2 2 7" xfId="24283" xr:uid="{302BE3D2-5A72-491D-AA1F-8C65A89B0C40}"/>
    <cellStyle name="Comma 2 3 3 2 2 2 8" xfId="49853" xr:uid="{D5134812-2946-4B86-98F3-C4CAE961E59A}"/>
    <cellStyle name="Comma 2 3 3 2 2 2 9" xfId="52869" xr:uid="{05F9DBF3-FB26-4109-AE51-3420A3ECBDBB}"/>
    <cellStyle name="Comma 2 3 3 2 2 3" xfId="10084" xr:uid="{3DDF6CCC-95FC-4217-875B-86D8D59B625D}"/>
    <cellStyle name="Comma 2 3 3 2 2 3 2" xfId="10397" xr:uid="{F327FD35-5F63-40A8-BFF9-0B1F9342CB8F}"/>
    <cellStyle name="Comma 2 3 3 2 2 3 2 2" xfId="14816" xr:uid="{88D3B751-9245-4432-993E-B86D8E2E3764}"/>
    <cellStyle name="Comma 2 3 3 2 2 3 2 2 2" xfId="22363" xr:uid="{D009B561-F0F6-4F97-AE37-8ED7841D5089}"/>
    <cellStyle name="Comma 2 3 3 2 2 3 2 2 3" xfId="47833" xr:uid="{4E61C217-312D-4172-9D6F-BEEEA9799E27}"/>
    <cellStyle name="Comma 2 3 3 2 2 3 2 2 4" xfId="51701" xr:uid="{6E3A6567-E406-4C06-BC36-69437C75180D}"/>
    <cellStyle name="Comma 2 3 3 2 2 3 2 2 5" xfId="54717" xr:uid="{A0D76394-B054-4B51-A66E-8CA3518B168B}"/>
    <cellStyle name="Comma 2 3 3 2 2 3 2 3" xfId="15301" xr:uid="{FEDCBEA9-F5B0-4E48-9139-CA82F373B178}"/>
    <cellStyle name="Comma 2 3 3 2 2 3 2 3 2" xfId="22840" xr:uid="{03132B17-FBDC-4402-AAB6-BD0F60246768}"/>
    <cellStyle name="Comma 2 3 3 2 2 3 2 3 3" xfId="46513" xr:uid="{612B8823-77C1-4149-8941-41423BA1D4DE}"/>
    <cellStyle name="Comma 2 3 3 2 2 3 2 3 4" xfId="52178" xr:uid="{CC4A7E16-688A-4504-AD8A-3779A4BB4C16}"/>
    <cellStyle name="Comma 2 3 3 2 2 3 2 3 5" xfId="55194" xr:uid="{0C156BC6-44C8-4B83-B638-2C34A95E7B69}"/>
    <cellStyle name="Comma 2 3 3 2 2 3 2 4" xfId="15788" xr:uid="{E527D0FC-D9B4-4634-B114-F4A7874ADCDF}"/>
    <cellStyle name="Comma 2 3 3 2 2 3 2 4 2" xfId="23317" xr:uid="{17E391A2-A348-49C5-AEAA-144058E07378}"/>
    <cellStyle name="Comma 2 3 3 2 2 3 2 4 3" xfId="48134" xr:uid="{CE490C57-4F08-408D-8F5E-CB05E9BDC62B}"/>
    <cellStyle name="Comma 2 3 3 2 2 3 2 4 4" xfId="52655" xr:uid="{3FC421B0-5298-4FA2-A196-9A6A026618E1}"/>
    <cellStyle name="Comma 2 3 3 2 2 3 2 4 5" xfId="55671" xr:uid="{B0E0ADA2-D489-4697-AAA5-4FF2FBE5664A}"/>
    <cellStyle name="Comma 2 3 3 2 2 3 2 5" xfId="12850" xr:uid="{F02A9E2F-3C96-40D1-AB83-A3DC2D641ED4}"/>
    <cellStyle name="Comma 2 3 3 2 2 3 2 5 2" xfId="47449" xr:uid="{551A6DAC-3CE8-4220-9907-7609AAA74BD9}"/>
    <cellStyle name="Comma 2 3 3 2 2 3 2 5 3" xfId="51224" xr:uid="{F5DA4536-E7C5-4E12-B552-04B5BB8ED2AB}"/>
    <cellStyle name="Comma 2 3 3 2 2 3 2 5 4" xfId="54240" xr:uid="{28697651-E5D9-43A7-8E11-A25139D74C84}"/>
    <cellStyle name="Comma 2 3 3 2 2 3 2 6" xfId="47880" xr:uid="{C880A799-911F-4B63-BF31-D28D3914124F}"/>
    <cellStyle name="Comma 2 3 3 2 2 3 2 7" xfId="50118" xr:uid="{7A83D633-EB12-43EA-9DD0-D6569E8CBCBB}"/>
    <cellStyle name="Comma 2 3 3 2 2 3 2 8" xfId="53134" xr:uid="{13E1A844-308F-48A3-A7E4-0F788F51C76D}"/>
    <cellStyle name="Comma 2 3 3 2 2 3 3" xfId="14604" xr:uid="{D613A7A4-2151-47FE-B52B-0AC7155C0794}"/>
    <cellStyle name="Comma 2 3 3 2 2 3 3 2" xfId="22151" xr:uid="{5FD6806E-727F-4225-BA71-1E3F6E627C9C}"/>
    <cellStyle name="Comma 2 3 3 2 2 3 3 3" xfId="25304" xr:uid="{12C0E995-F3FD-4622-A9F6-09A0F229C4A0}"/>
    <cellStyle name="Comma 2 3 3 2 2 3 3 4" xfId="51489" xr:uid="{279E5EBF-2CE8-4875-821C-757823174AB2}"/>
    <cellStyle name="Comma 2 3 3 2 2 3 3 5" xfId="54505" xr:uid="{C3CF9289-CF76-49AD-9891-B6035A94CB03}"/>
    <cellStyle name="Comma 2 3 3 2 2 3 4" xfId="15089" xr:uid="{9CDF5FC9-4D21-476E-9268-4F6EEAAA7D34}"/>
    <cellStyle name="Comma 2 3 3 2 2 3 4 2" xfId="22628" xr:uid="{D2272AFA-EDF4-4082-871C-7C521E68F8BD}"/>
    <cellStyle name="Comma 2 3 3 2 2 3 4 3" xfId="47126" xr:uid="{66644AA2-FCE6-4699-AE11-620482B316FB}"/>
    <cellStyle name="Comma 2 3 3 2 2 3 4 4" xfId="51966" xr:uid="{F8F41B77-E29F-4B90-8CCE-F30E1274B869}"/>
    <cellStyle name="Comma 2 3 3 2 2 3 4 5" xfId="54982" xr:uid="{A2521340-861F-403E-B1BB-1674CE9D2C4F}"/>
    <cellStyle name="Comma 2 3 3 2 2 3 5" xfId="15576" xr:uid="{9635ECC7-7C15-4138-9C90-EF955C4BEFB7}"/>
    <cellStyle name="Comma 2 3 3 2 2 3 5 2" xfId="23105" xr:uid="{6B9CD819-5734-4A60-BA18-FFE23A01C13B}"/>
    <cellStyle name="Comma 2 3 3 2 2 3 5 3" xfId="48307" xr:uid="{467439F8-EF41-4FBA-A00C-E26CFDC83A06}"/>
    <cellStyle name="Comma 2 3 3 2 2 3 5 4" xfId="52443" xr:uid="{16D38A50-D63D-41C5-BB50-0C7BA72C4815}"/>
    <cellStyle name="Comma 2 3 3 2 2 3 5 5" xfId="55459" xr:uid="{EE725219-C4AD-445D-A29A-3BDACE3B21D6}"/>
    <cellStyle name="Comma 2 3 3 2 2 3 6" xfId="12541" xr:uid="{30C6DAE7-EE60-4C07-8A11-7CABC3FBC9C0}"/>
    <cellStyle name="Comma 2 3 3 2 2 3 6 2" xfId="46321" xr:uid="{209DBD0A-A89A-4E56-86BD-9CD479A7CCFB}"/>
    <cellStyle name="Comma 2 3 3 2 2 3 6 3" xfId="51012" xr:uid="{44701997-BD55-4720-9AB5-9DD4B31D0A31}"/>
    <cellStyle name="Comma 2 3 3 2 2 3 6 4" xfId="54028" xr:uid="{F45856DA-ADE5-43E8-9981-DC8A922643E0}"/>
    <cellStyle name="Comma 2 3 3 2 2 3 7" xfId="47575" xr:uid="{C1C0392D-C286-449A-A01D-FE38F0969377}"/>
    <cellStyle name="Comma 2 3 3 2 2 3 8" xfId="49906" xr:uid="{DB6C0079-84A4-40F4-9586-571B0509EB81}"/>
    <cellStyle name="Comma 2 3 3 2 2 3 9" xfId="52922" xr:uid="{9384B0DF-F466-4835-B9CD-053A203023BF}"/>
    <cellStyle name="Comma 2 3 3 2 2 4" xfId="10163" xr:uid="{B04E7CCF-B7C1-415F-BB8E-544B1623EC40}"/>
    <cellStyle name="Comma 2 3 3 2 2 4 2" xfId="10477" xr:uid="{634D9298-CD82-4347-961F-7107AD66779B}"/>
    <cellStyle name="Comma 2 3 3 2 2 4 2 2" xfId="14869" xr:uid="{B5F65823-6A19-426B-8600-431C181EAD10}"/>
    <cellStyle name="Comma 2 3 3 2 2 4 2 2 2" xfId="22416" xr:uid="{28FBD4DE-8ECB-4953-87E9-43BFCF095D18}"/>
    <cellStyle name="Comma 2 3 3 2 2 4 2 2 3" xfId="24663" xr:uid="{4ACA0F8C-88D0-4E96-A57F-FA4EB4FAA3BD}"/>
    <cellStyle name="Comma 2 3 3 2 2 4 2 2 4" xfId="51754" xr:uid="{64704F0A-197E-42A5-A3A6-3940EBAA2FC3}"/>
    <cellStyle name="Comma 2 3 3 2 2 4 2 2 5" xfId="54770" xr:uid="{0449EDBD-FB6B-4535-ABA6-40A6203BC46C}"/>
    <cellStyle name="Comma 2 3 3 2 2 4 2 3" xfId="15354" xr:uid="{DC3FE315-8E4E-4A20-8943-27B7EC640E87}"/>
    <cellStyle name="Comma 2 3 3 2 2 4 2 3 2" xfId="22893" xr:uid="{2C5F59BA-A079-4490-BA29-0B17EBF56483}"/>
    <cellStyle name="Comma 2 3 3 2 2 4 2 3 3" xfId="24172" xr:uid="{CC64EF9F-6377-4C40-B215-65C238DDD62D}"/>
    <cellStyle name="Comma 2 3 3 2 2 4 2 3 4" xfId="52231" xr:uid="{74A5077B-E4A8-4F22-8175-E4BFD90267EC}"/>
    <cellStyle name="Comma 2 3 3 2 2 4 2 3 5" xfId="55247" xr:uid="{D686F579-40AF-4055-A505-0881561068A5}"/>
    <cellStyle name="Comma 2 3 3 2 2 4 2 4" xfId="15841" xr:uid="{8698290C-7EE2-4A04-BA00-3EC86F704A42}"/>
    <cellStyle name="Comma 2 3 3 2 2 4 2 4 2" xfId="23370" xr:uid="{EBAEB50D-8A3D-4556-8E1F-2F12181AEED9}"/>
    <cellStyle name="Comma 2 3 3 2 2 4 2 4 3" xfId="47202" xr:uid="{473318F6-6C2E-42F7-998B-22E7CAEC5110}"/>
    <cellStyle name="Comma 2 3 3 2 2 4 2 4 4" xfId="52708" xr:uid="{CD3D6EF2-33C5-4C9E-AE0B-8F23AD8C5186}"/>
    <cellStyle name="Comma 2 3 3 2 2 4 2 4 5" xfId="55724" xr:uid="{FF7D31D6-A4B0-400E-984E-53233D607287}"/>
    <cellStyle name="Comma 2 3 3 2 2 4 2 5" xfId="12930" xr:uid="{597246DD-2EF0-49E7-A42A-59F2538DFE83}"/>
    <cellStyle name="Comma 2 3 3 2 2 4 2 5 2" xfId="25040" xr:uid="{1B92E4ED-9B1D-447E-8880-D8A4933C89D5}"/>
    <cellStyle name="Comma 2 3 3 2 2 4 2 5 3" xfId="51277" xr:uid="{11274D5A-AF52-45A1-B1C5-027FC2FE710D}"/>
    <cellStyle name="Comma 2 3 3 2 2 4 2 5 4" xfId="54293" xr:uid="{1AA17386-68F9-4D6E-B2D9-BC1D8AFF3AE3}"/>
    <cellStyle name="Comma 2 3 3 2 2 4 2 6" xfId="48460" xr:uid="{AA75026D-1267-4816-9270-296CAA45F2CA}"/>
    <cellStyle name="Comma 2 3 3 2 2 4 2 7" xfId="50171" xr:uid="{35687136-A10C-4F44-8299-3FFF4D41D326}"/>
    <cellStyle name="Comma 2 3 3 2 2 4 2 8" xfId="53187" xr:uid="{3D72BCB1-0140-49BB-8EE6-4DC9A3686AD8}"/>
    <cellStyle name="Comma 2 3 3 2 2 4 3" xfId="14657" xr:uid="{140666AB-F31C-4C80-B489-1CED8B06FFC8}"/>
    <cellStyle name="Comma 2 3 3 2 2 4 3 2" xfId="22204" xr:uid="{2D5073D0-2AD3-4772-ABDD-C332E6F7B0D8}"/>
    <cellStyle name="Comma 2 3 3 2 2 4 3 3" xfId="24668" xr:uid="{90A4B1B7-9C2A-47D5-BFDC-00365EF83A81}"/>
    <cellStyle name="Comma 2 3 3 2 2 4 3 4" xfId="51542" xr:uid="{17B80620-401D-4099-93DF-F6B585214272}"/>
    <cellStyle name="Comma 2 3 3 2 2 4 3 5" xfId="54558" xr:uid="{9AA6AA5B-4856-4877-9C08-F40D25A5FFD3}"/>
    <cellStyle name="Comma 2 3 3 2 2 4 4" xfId="15142" xr:uid="{49E682B6-F4DD-4850-B3E0-5BB8DE2CCC74}"/>
    <cellStyle name="Comma 2 3 3 2 2 4 4 2" xfId="22681" xr:uid="{191456E4-5803-4D43-8BBB-B1FEA159F539}"/>
    <cellStyle name="Comma 2 3 3 2 2 4 4 3" xfId="46886" xr:uid="{FA35787F-83C2-4257-84F8-3DA415558891}"/>
    <cellStyle name="Comma 2 3 3 2 2 4 4 4" xfId="52019" xr:uid="{81E48D3E-8A6A-4287-AB2D-71EF93DBE51C}"/>
    <cellStyle name="Comma 2 3 3 2 2 4 4 5" xfId="55035" xr:uid="{9945936D-7235-401A-B8B5-9A627AC17D74}"/>
    <cellStyle name="Comma 2 3 3 2 2 4 5" xfId="15629" xr:uid="{209B5AF4-6963-4CA3-8089-7FFA58BEB8ED}"/>
    <cellStyle name="Comma 2 3 3 2 2 4 5 2" xfId="23158" xr:uid="{445799C3-9728-4D1D-AC9D-69AC5C0983C6}"/>
    <cellStyle name="Comma 2 3 3 2 2 4 5 3" xfId="46560" xr:uid="{E0DBD783-334B-4962-A4CA-1AB91DF52878}"/>
    <cellStyle name="Comma 2 3 3 2 2 4 5 4" xfId="52496" xr:uid="{50DE72DC-5B17-45E1-A722-C48C19BA3D92}"/>
    <cellStyle name="Comma 2 3 3 2 2 4 5 5" xfId="55512" xr:uid="{06EE886B-25C4-4872-B31A-DAADAB083FBA}"/>
    <cellStyle name="Comma 2 3 3 2 2 4 6" xfId="12617" xr:uid="{70E781F8-BB35-4F8D-B87D-5D57ADF1C8DE}"/>
    <cellStyle name="Comma 2 3 3 2 2 4 6 2" xfId="48105" xr:uid="{30F71BCC-B179-4F83-8821-CBE3C69DC981}"/>
    <cellStyle name="Comma 2 3 3 2 2 4 6 3" xfId="51065" xr:uid="{40C3B186-8008-46C4-BF1D-115B93BADC31}"/>
    <cellStyle name="Comma 2 3 3 2 2 4 6 4" xfId="54081" xr:uid="{CDDDEF76-BFBA-41AF-95D6-3EFA561C40E7}"/>
    <cellStyle name="Comma 2 3 3 2 2 4 7" xfId="37549" xr:uid="{6EA288DE-F4B9-4807-A555-7C39D0B72D1C}"/>
    <cellStyle name="Comma 2 3 3 2 2 4 8" xfId="49959" xr:uid="{75C94E26-BDD7-4071-9E20-50B8B6241F70}"/>
    <cellStyle name="Comma 2 3 3 2 2 4 9" xfId="52975" xr:uid="{9352FA9F-73B6-447F-A4FC-C60222185F71}"/>
    <cellStyle name="Comma 2 3 3 2 2 5" xfId="10243" xr:uid="{04948784-9473-4C0E-9EF9-7D10D2EED147}"/>
    <cellStyle name="Comma 2 3 3 2 2 5 2" xfId="14710" xr:uid="{04790763-19D9-4232-8274-A6FFE837B242}"/>
    <cellStyle name="Comma 2 3 3 2 2 5 2 2" xfId="22257" xr:uid="{10F0F58B-ABE7-44E0-8621-1EF271DBFDF4}"/>
    <cellStyle name="Comma 2 3 3 2 2 5 2 3" xfId="32408" xr:uid="{72565A0D-7E01-4730-9790-CE98AE1C6027}"/>
    <cellStyle name="Comma 2 3 3 2 2 5 2 4" xfId="51595" xr:uid="{DD2C4D15-C404-4B58-9374-AE3C9A0E7537}"/>
    <cellStyle name="Comma 2 3 3 2 2 5 2 5" xfId="54611" xr:uid="{E5D418A9-739C-4DE0-A6CE-86DA2C41CA79}"/>
    <cellStyle name="Comma 2 3 3 2 2 5 3" xfId="15195" xr:uid="{561D71AA-BF53-42D8-A418-F03A56FBB955}"/>
    <cellStyle name="Comma 2 3 3 2 2 5 3 2" xfId="22734" xr:uid="{8D32DD5B-9BB5-44E8-9D2A-B786ABCA31E5}"/>
    <cellStyle name="Comma 2 3 3 2 2 5 3 3" xfId="25293" xr:uid="{1E3F4908-BCF1-49BA-AEBC-DC95B06D3515}"/>
    <cellStyle name="Comma 2 3 3 2 2 5 3 4" xfId="52072" xr:uid="{D13E17F8-8006-4F21-82C3-351CC2C9F1B0}"/>
    <cellStyle name="Comma 2 3 3 2 2 5 3 5" xfId="55088" xr:uid="{A9A7432B-FB81-451D-9C3C-3BF423CD25B5}"/>
    <cellStyle name="Comma 2 3 3 2 2 5 4" xfId="15682" xr:uid="{65316279-DD5F-4E6E-BCAE-C1B2A6F474F5}"/>
    <cellStyle name="Comma 2 3 3 2 2 5 4 2" xfId="23211" xr:uid="{7BCCA78E-C64F-4C42-892C-8BBF3067C1A1}"/>
    <cellStyle name="Comma 2 3 3 2 2 5 4 3" xfId="47443" xr:uid="{6BAE5DAF-3E43-4807-9165-38B28437A281}"/>
    <cellStyle name="Comma 2 3 3 2 2 5 4 4" xfId="52549" xr:uid="{D04785B6-8989-42E4-A8C1-F52A97B128AD}"/>
    <cellStyle name="Comma 2 3 3 2 2 5 4 5" xfId="55565" xr:uid="{56DB0038-DACA-4101-8E4E-4ACD00DFB951}"/>
    <cellStyle name="Comma 2 3 3 2 2 5 5" xfId="12696" xr:uid="{D018CF7A-5CF2-4314-A5AA-66349A200C4B}"/>
    <cellStyle name="Comma 2 3 3 2 2 5 5 2" xfId="48492" xr:uid="{AC6D66D0-1AAC-451E-B31B-D3D51D25D539}"/>
    <cellStyle name="Comma 2 3 3 2 2 5 5 3" xfId="51118" xr:uid="{63A82555-6ECF-4C24-A3AB-8E51D85D12CC}"/>
    <cellStyle name="Comma 2 3 3 2 2 5 5 4" xfId="54134" xr:uid="{425F0BC5-8D40-4739-94DF-EF370D66802D}"/>
    <cellStyle name="Comma 2 3 3 2 2 5 6" xfId="47066" xr:uid="{F72097DF-9FBC-4161-BCBA-63036345E53E}"/>
    <cellStyle name="Comma 2 3 3 2 2 5 7" xfId="50012" xr:uid="{D1AC5D3F-9256-43D0-A06C-15166C31C55D}"/>
    <cellStyle name="Comma 2 3 3 2 2 5 8" xfId="53028" xr:uid="{2B734D23-3A83-4C99-B0DA-2BEE4953DAA7}"/>
    <cellStyle name="Comma 2 3 3 2 2 6" xfId="10557" xr:uid="{0F2EDD79-8D78-40E3-A5D5-A7B8D9505597}"/>
    <cellStyle name="Comma 2 3 3 2 2 6 2" xfId="14922" xr:uid="{D2E6BDBA-41FC-4358-AD04-6E2BC6E6DEBB}"/>
    <cellStyle name="Comma 2 3 3 2 2 6 2 2" xfId="22469" xr:uid="{45A6045B-11BA-42A1-A740-73CAC7F598CE}"/>
    <cellStyle name="Comma 2 3 3 2 2 6 2 3" xfId="47216" xr:uid="{7F323C29-BA99-402F-821D-26CE09DCA92E}"/>
    <cellStyle name="Comma 2 3 3 2 2 6 2 4" xfId="51807" xr:uid="{870BC3A5-84B4-4893-AE70-02B2F73FBA4E}"/>
    <cellStyle name="Comma 2 3 3 2 2 6 2 5" xfId="54823" xr:uid="{43F0D32A-5D8E-407F-8215-6B56B2C34211}"/>
    <cellStyle name="Comma 2 3 3 2 2 6 3" xfId="15407" xr:uid="{537C3F3A-2FA2-4EF7-8944-90AC74EF0BF3}"/>
    <cellStyle name="Comma 2 3 3 2 2 6 3 2" xfId="22946" xr:uid="{83757C3A-9B11-498B-B661-1935D37CA84C}"/>
    <cellStyle name="Comma 2 3 3 2 2 6 3 3" xfId="46530" xr:uid="{00AB1A0E-9C5A-4F7B-A1E4-FE39CE187293}"/>
    <cellStyle name="Comma 2 3 3 2 2 6 3 4" xfId="52284" xr:uid="{8E8E0ECE-1CEE-4BC7-9FC9-4D7297764136}"/>
    <cellStyle name="Comma 2 3 3 2 2 6 3 5" xfId="55300" xr:uid="{077E2F33-E6C6-4B34-ACC2-B6275E84F2C2}"/>
    <cellStyle name="Comma 2 3 3 2 2 6 4" xfId="15895" xr:uid="{1E0723AF-6660-4ECB-9F9A-7EF66B6EC262}"/>
    <cellStyle name="Comma 2 3 3 2 2 6 4 2" xfId="23423" xr:uid="{EBFBC522-A0F5-480A-AFB0-DEB50BB9EB0D}"/>
    <cellStyle name="Comma 2 3 3 2 2 6 4 3" xfId="47203" xr:uid="{287D6B84-EF37-45C7-884F-A10E14BAB107}"/>
    <cellStyle name="Comma 2 3 3 2 2 6 4 4" xfId="52761" xr:uid="{EAA5214C-594A-423C-BA65-0B473B8119F5}"/>
    <cellStyle name="Comma 2 3 3 2 2 6 4 5" xfId="55777" xr:uid="{2F663129-7E3D-4D5C-B632-F5174AC18C3D}"/>
    <cellStyle name="Comma 2 3 3 2 2 6 5" xfId="13010" xr:uid="{57D6A7D9-6152-4E98-9E9A-80A2431DA986}"/>
    <cellStyle name="Comma 2 3 3 2 2 6 5 2" xfId="25030" xr:uid="{4FFA8E65-719B-4C1B-9117-C4E8DB443861}"/>
    <cellStyle name="Comma 2 3 3 2 2 6 5 3" xfId="51330" xr:uid="{06FF790C-0EEF-4A5D-A032-4FC572258DF1}"/>
    <cellStyle name="Comma 2 3 3 2 2 6 5 4" xfId="54346" xr:uid="{A3077C8C-71A9-4DBB-B1E0-8C8D55FCBBBA}"/>
    <cellStyle name="Comma 2 3 3 2 2 6 6" xfId="46149" xr:uid="{6701E823-D573-4352-8B05-53F335E63EBC}"/>
    <cellStyle name="Comma 2 3 3 2 2 6 7" xfId="50224" xr:uid="{826E46B8-136D-453F-87C6-C010ABEF4B5E}"/>
    <cellStyle name="Comma 2 3 3 2 2 6 8" xfId="53240" xr:uid="{D5366F76-B593-4BEC-85E6-12335C575869}"/>
    <cellStyle name="Comma 2 3 3 2 2 7" xfId="14498" xr:uid="{A61F8E3B-3D87-4952-A1F1-2AD195AA481E}"/>
    <cellStyle name="Comma 2 3 3 2 2 7 2" xfId="22045" xr:uid="{3B95EBA4-B2BE-4F69-97DE-7F8259459B63}"/>
    <cellStyle name="Comma 2 3 3 2 2 7 3" xfId="24987" xr:uid="{E4355425-C184-4C78-A68C-F5C0633A82B0}"/>
    <cellStyle name="Comma 2 3 3 2 2 7 4" xfId="51383" xr:uid="{7D3ABDE0-CA00-4FB9-89F9-A559AACF77C1}"/>
    <cellStyle name="Comma 2 3 3 2 2 7 5" xfId="54399" xr:uid="{2FD48C33-A294-4951-BEFE-7DA0CFB91FB2}"/>
    <cellStyle name="Comma 2 3 3 2 2 8" xfId="14982" xr:uid="{1FEFD389-A114-4F8A-8F93-1AD77E47CAB9}"/>
    <cellStyle name="Comma 2 3 3 2 2 8 2" xfId="22522" xr:uid="{3DDF08D1-53AB-4ED2-A4B6-B76A6D74EF28}"/>
    <cellStyle name="Comma 2 3 3 2 2 8 3" xfId="47334" xr:uid="{DC4799D3-624B-41CD-8A6A-9939AB488189}"/>
    <cellStyle name="Comma 2 3 3 2 2 8 4" xfId="51860" xr:uid="{B8D3AB0F-0072-45BE-B76E-31227BB43BD8}"/>
    <cellStyle name="Comma 2 3 3 2 2 8 5" xfId="54876" xr:uid="{2F449CD7-37D8-4DE9-87B3-0778DB8890CC}"/>
    <cellStyle name="Comma 2 3 3 2 2 9" xfId="15469" xr:uid="{CC41493E-1ED9-4843-85E1-CD4F94B514D1}"/>
    <cellStyle name="Comma 2 3 3 2 2 9 2" xfId="22999" xr:uid="{771B201C-2A66-4B24-A7D7-4E133BFE85FF}"/>
    <cellStyle name="Comma 2 3 3 2 2 9 3" xfId="47001" xr:uid="{0775FE58-01A6-4B92-A37E-DC39FB9AD7B6}"/>
    <cellStyle name="Comma 2 3 3 2 2 9 4" xfId="52337" xr:uid="{D41F65A8-8A10-47C5-A7BF-C96B17D9F4E9}"/>
    <cellStyle name="Comma 2 3 3 2 2 9 5" xfId="55353" xr:uid="{162BB384-DE09-431D-A5A7-1B4C8D54A7C4}"/>
    <cellStyle name="Comma 2 3 3 2 3" xfId="10009" xr:uid="{8E4EB684-8056-4E51-9E0A-45DCFC96D217}"/>
    <cellStyle name="Comma 2 3 3 2 3 2" xfId="10317" xr:uid="{D564A100-381F-43C1-9A1E-7CA5C4D8101B}"/>
    <cellStyle name="Comma 2 3 3 2 3 2 2" xfId="14762" xr:uid="{272C46AA-4058-40B3-8201-AD80E6AEBEF8}"/>
    <cellStyle name="Comma 2 3 3 2 3 2 2 2" xfId="22309" xr:uid="{C302F4F1-5E4D-46A5-8192-DF9BEB5D4805}"/>
    <cellStyle name="Comma 2 3 3 2 3 2 2 3" xfId="46860" xr:uid="{981DA0AA-DB31-4009-9056-4C4878A2126D}"/>
    <cellStyle name="Comma 2 3 3 2 3 2 2 4" xfId="51647" xr:uid="{7FB11E94-91A4-409F-8902-615488925A85}"/>
    <cellStyle name="Comma 2 3 3 2 3 2 2 5" xfId="54663" xr:uid="{CF664BE6-F968-4ACC-A7AF-3490732379F7}"/>
    <cellStyle name="Comma 2 3 3 2 3 2 3" xfId="15247" xr:uid="{9DD605CB-A988-4368-BDE1-18E778C01FC7}"/>
    <cellStyle name="Comma 2 3 3 2 3 2 3 2" xfId="22786" xr:uid="{86E1AB43-9F78-48F0-A22D-EBF15D9EBF85}"/>
    <cellStyle name="Comma 2 3 3 2 3 2 3 3" xfId="48564" xr:uid="{39BEB515-BF5C-4D5E-A79E-68E51E5F2656}"/>
    <cellStyle name="Comma 2 3 3 2 3 2 3 4" xfId="52124" xr:uid="{4B6EC1B1-8019-445C-86B4-EC8EA9CBA3EF}"/>
    <cellStyle name="Comma 2 3 3 2 3 2 3 5" xfId="55140" xr:uid="{03628BC7-392A-4180-A012-4B7FA172442A}"/>
    <cellStyle name="Comma 2 3 3 2 3 2 4" xfId="15734" xr:uid="{712FB333-A1F1-421E-9201-F4905DFC60EE}"/>
    <cellStyle name="Comma 2 3 3 2 3 2 4 2" xfId="23263" xr:uid="{94AFB809-6CFA-48F1-B4EE-C6D75E77BCAA}"/>
    <cellStyle name="Comma 2 3 3 2 3 2 4 3" xfId="48038" xr:uid="{3BEE630A-3BBD-4ED0-BADE-494ACB9F4438}"/>
    <cellStyle name="Comma 2 3 3 2 3 2 4 4" xfId="52601" xr:uid="{B6DA7D62-2D29-4162-9B9A-C112A54B5F51}"/>
    <cellStyle name="Comma 2 3 3 2 3 2 4 5" xfId="55617" xr:uid="{FA96D515-0777-4C2C-B29A-E0946A29D0BD}"/>
    <cellStyle name="Comma 2 3 3 2 3 2 5" xfId="12770" xr:uid="{26ABC75D-79FD-4E54-B9F9-5C5679E6C93B}"/>
    <cellStyle name="Comma 2 3 3 2 3 2 5 2" xfId="47169" xr:uid="{664135F1-0BA6-4657-8030-97BFB462CEA7}"/>
    <cellStyle name="Comma 2 3 3 2 3 2 5 3" xfId="51170" xr:uid="{F3665133-E79E-49DB-9D25-AA9EB9405AF5}"/>
    <cellStyle name="Comma 2 3 3 2 3 2 5 4" xfId="54186" xr:uid="{20DBCEE5-F009-4241-9D35-971B4E4A2A3E}"/>
    <cellStyle name="Comma 2 3 3 2 3 2 6" xfId="32554" xr:uid="{C3422A0D-6BEE-4C5D-ACC6-F8411FE5450F}"/>
    <cellStyle name="Comma 2 3 3 2 3 2 7" xfId="50064" xr:uid="{711669B7-BE12-4372-95D7-00FCA358763A}"/>
    <cellStyle name="Comma 2 3 3 2 3 2 8" xfId="53080" xr:uid="{F19EEDBB-EA5D-47B2-8F36-1CFAC4D16289}"/>
    <cellStyle name="Comma 2 3 3 2 3 3" xfId="14550" xr:uid="{D3733CDD-CBBD-453D-9A95-1ABEE74BC0A4}"/>
    <cellStyle name="Comma 2 3 3 2 3 3 2" xfId="22097" xr:uid="{0D6CF712-2C0E-4760-A0BD-3037660503BB}"/>
    <cellStyle name="Comma 2 3 3 2 3 3 3" xfId="47769" xr:uid="{AD5EEAB9-1D5B-453E-8E9D-3B49283CE9B6}"/>
    <cellStyle name="Comma 2 3 3 2 3 3 4" xfId="51435" xr:uid="{8A6C24D3-AC07-450E-A305-019329A02BE4}"/>
    <cellStyle name="Comma 2 3 3 2 3 3 5" xfId="54451" xr:uid="{BBC76D7B-16C3-467F-B3F2-8FCCE4705071}"/>
    <cellStyle name="Comma 2 3 3 2 3 4" xfId="15034" xr:uid="{30D400E4-2792-4B3B-86EB-58D8E0AD7F74}"/>
    <cellStyle name="Comma 2 3 3 2 3 4 2" xfId="22574" xr:uid="{BCF8C267-4D8E-4138-AA63-20F198BFFF0E}"/>
    <cellStyle name="Comma 2 3 3 2 3 4 3" xfId="32400" xr:uid="{767984B2-D1F0-40FE-A55C-520D8E27D800}"/>
    <cellStyle name="Comma 2 3 3 2 3 4 4" xfId="51912" xr:uid="{2F914409-83FA-46DB-9DED-B4DC1D699849}"/>
    <cellStyle name="Comma 2 3 3 2 3 4 5" xfId="54928" xr:uid="{9477A096-EB5E-4328-8E65-096C682EAC48}"/>
    <cellStyle name="Comma 2 3 3 2 3 5" xfId="15521" xr:uid="{9F14716B-DC6C-4E93-9479-634E82E480DA}"/>
    <cellStyle name="Comma 2 3 3 2 3 5 2" xfId="23051" xr:uid="{B807D395-8002-437C-B942-3E039FFD0B6F}"/>
    <cellStyle name="Comma 2 3 3 2 3 5 3" xfId="47843" xr:uid="{444067A8-D3F1-4F18-9968-EB0A9EB8E647}"/>
    <cellStyle name="Comma 2 3 3 2 3 5 4" xfId="52389" xr:uid="{1AA476FC-913C-469D-8302-B27CE2EB8DEE}"/>
    <cellStyle name="Comma 2 3 3 2 3 5 5" xfId="55405" xr:uid="{28C2F937-45A1-4CF6-9267-6F77DD2FCD64}"/>
    <cellStyle name="Comma 2 3 3 2 3 6" xfId="12469" xr:uid="{92D33652-E6CB-4148-AC7D-404A27C7D833}"/>
    <cellStyle name="Comma 2 3 3 2 3 6 2" xfId="46663" xr:uid="{46A846F0-CA08-4643-8E59-51125EEE276B}"/>
    <cellStyle name="Comma 2 3 3 2 3 6 3" xfId="50958" xr:uid="{165C28D9-0CEC-486F-BBA4-0F94ED91EABC}"/>
    <cellStyle name="Comma 2 3 3 2 3 6 4" xfId="53974" xr:uid="{64204EC0-42B6-47BE-9E43-2F5D8D106091}"/>
    <cellStyle name="Comma 2 3 3 2 3 7" xfId="46020" xr:uid="{9936546C-A75B-43AA-8A20-7E6657D30290}"/>
    <cellStyle name="Comma 2 3 3 2 3 8" xfId="49852" xr:uid="{6CA19C92-0241-4B98-8720-100C38E530C9}"/>
    <cellStyle name="Comma 2 3 3 2 3 9" xfId="52868" xr:uid="{EE22E379-C0CB-4B19-B982-FE0FA53B0102}"/>
    <cellStyle name="Comma 2 3 3 2 4" xfId="10083" xr:uid="{AB059C79-A1F9-4FE3-8209-C84910994116}"/>
    <cellStyle name="Comma 2 3 3 2 4 2" xfId="10396" xr:uid="{7ECA2633-2AE5-4D8F-9D62-429D7B9B4C98}"/>
    <cellStyle name="Comma 2 3 3 2 4 2 2" xfId="14815" xr:uid="{876884F4-EE5D-4F3C-8FB9-C32A08D6FD0A}"/>
    <cellStyle name="Comma 2 3 3 2 4 2 2 2" xfId="22362" xr:uid="{6A3146B5-AF4C-44CC-B0FC-7099F2A9D795}"/>
    <cellStyle name="Comma 2 3 3 2 4 2 2 3" xfId="32406" xr:uid="{14C7C815-8600-4A3C-9466-C452C9FBB47F}"/>
    <cellStyle name="Comma 2 3 3 2 4 2 2 4" xfId="51700" xr:uid="{D32B8427-6A6F-4E10-8386-77876769ECBF}"/>
    <cellStyle name="Comma 2 3 3 2 4 2 2 5" xfId="54716" xr:uid="{CB268E21-C5A5-471B-A97D-66D7DE4CADEA}"/>
    <cellStyle name="Comma 2 3 3 2 4 2 3" xfId="15300" xr:uid="{0C4FC0BA-093B-4F25-B35E-798FCE21B2DB}"/>
    <cellStyle name="Comma 2 3 3 2 4 2 3 2" xfId="22839" xr:uid="{7E1934C2-16ED-45B4-9B13-1AB38F052336}"/>
    <cellStyle name="Comma 2 3 3 2 4 2 3 3" xfId="47939" xr:uid="{03D42EC7-47FD-4873-B6E3-022A2A642E82}"/>
    <cellStyle name="Comma 2 3 3 2 4 2 3 4" xfId="52177" xr:uid="{E2E9AC15-01B0-422D-AAD6-DD8FEFF81D2D}"/>
    <cellStyle name="Comma 2 3 3 2 4 2 3 5" xfId="55193" xr:uid="{6CFA4FD3-4478-4A1A-BED1-D96DE52A7601}"/>
    <cellStyle name="Comma 2 3 3 2 4 2 4" xfId="15787" xr:uid="{6C4E4E07-2941-4E43-B56B-B6E9ED4BA193}"/>
    <cellStyle name="Comma 2 3 3 2 4 2 4 2" xfId="23316" xr:uid="{B311BF27-D167-4474-9263-EA2156476301}"/>
    <cellStyle name="Comma 2 3 3 2 4 2 4 3" xfId="47974" xr:uid="{D35154FB-819A-4803-B349-F5E53A3AE04C}"/>
    <cellStyle name="Comma 2 3 3 2 4 2 4 4" xfId="52654" xr:uid="{0EF7D395-0DC1-4D83-AF1F-43C4B6007ECD}"/>
    <cellStyle name="Comma 2 3 3 2 4 2 4 5" xfId="55670" xr:uid="{658269CC-E1DA-44F8-8A3D-9B8D0A0C2F7A}"/>
    <cellStyle name="Comma 2 3 3 2 4 2 5" xfId="12849" xr:uid="{94B068EF-3CB2-40D1-8A60-844BA8A24F92}"/>
    <cellStyle name="Comma 2 3 3 2 4 2 5 2" xfId="46670" xr:uid="{FBC93FE9-7907-40B0-9BBA-B450FFA5E87A}"/>
    <cellStyle name="Comma 2 3 3 2 4 2 5 3" xfId="51223" xr:uid="{B23A1D4B-7C48-4779-A378-F320CC3F7CC1}"/>
    <cellStyle name="Comma 2 3 3 2 4 2 5 4" xfId="54239" xr:uid="{A101766B-DD74-4024-92A3-BB5033062D45}"/>
    <cellStyle name="Comma 2 3 3 2 4 2 6" xfId="46106" xr:uid="{130E3B3B-7B80-435A-82FE-E55298443A5A}"/>
    <cellStyle name="Comma 2 3 3 2 4 2 7" xfId="50117" xr:uid="{8A253A62-277A-485A-8B0F-0FC2858B7984}"/>
    <cellStyle name="Comma 2 3 3 2 4 2 8" xfId="53133" xr:uid="{62B89682-458B-437E-A5B8-EC2A9FE2F210}"/>
    <cellStyle name="Comma 2 3 3 2 4 3" xfId="14603" xr:uid="{1C27FE4B-CFC8-409A-8948-6288C1C1530D}"/>
    <cellStyle name="Comma 2 3 3 2 4 3 2" xfId="22150" xr:uid="{EA97E7B8-295E-4963-94E9-F434CF35AE04}"/>
    <cellStyle name="Comma 2 3 3 2 4 3 3" xfId="46406" xr:uid="{22079576-4423-4B80-AE0F-C534DE3BB644}"/>
    <cellStyle name="Comma 2 3 3 2 4 3 4" xfId="51488" xr:uid="{AA0BFD6E-073E-4098-BBDA-C4EF3919021F}"/>
    <cellStyle name="Comma 2 3 3 2 4 3 5" xfId="54504" xr:uid="{0B7B157E-EBD1-4FCA-97B5-CA7F2628E252}"/>
    <cellStyle name="Comma 2 3 3 2 4 4" xfId="15088" xr:uid="{99DDC7B6-D9FE-48C2-8937-46E52D8FCBBC}"/>
    <cellStyle name="Comma 2 3 3 2 4 4 2" xfId="22627" xr:uid="{C8F8A66C-8A15-4C7E-9C69-0387D15832F6}"/>
    <cellStyle name="Comma 2 3 3 2 4 4 3" xfId="46477" xr:uid="{9D3B84FD-3AB7-44DB-9D3C-81270C09B018}"/>
    <cellStyle name="Comma 2 3 3 2 4 4 4" xfId="51965" xr:uid="{2B974291-0194-4CB7-82E8-7FB94C930EEB}"/>
    <cellStyle name="Comma 2 3 3 2 4 4 5" xfId="54981" xr:uid="{E1D02D94-4F95-455D-9778-337928A0012F}"/>
    <cellStyle name="Comma 2 3 3 2 4 5" xfId="15575" xr:uid="{843D7F53-CE84-4631-B382-F719627A8E94}"/>
    <cellStyle name="Comma 2 3 3 2 4 5 2" xfId="23104" xr:uid="{3C079F4E-9497-4047-AA61-BC83212AAF81}"/>
    <cellStyle name="Comma 2 3 3 2 4 5 3" xfId="46554" xr:uid="{9DD3DED6-028D-44A2-9B7C-6CA03BF9E9E2}"/>
    <cellStyle name="Comma 2 3 3 2 4 5 4" xfId="52442" xr:uid="{236243E6-D4FA-4F5A-A37F-BA57BD25AF48}"/>
    <cellStyle name="Comma 2 3 3 2 4 5 5" xfId="55458" xr:uid="{51359E5F-1A74-41FA-95A4-4A13E892477E}"/>
    <cellStyle name="Comma 2 3 3 2 4 6" xfId="12540" xr:uid="{1E67CA12-1FF6-4704-B0A0-4DCC922278E3}"/>
    <cellStyle name="Comma 2 3 3 2 4 6 2" xfId="35942" xr:uid="{22353791-0157-4BD1-A6EB-1D3996794312}"/>
    <cellStyle name="Comma 2 3 3 2 4 6 3" xfId="51011" xr:uid="{CA16BB5C-61AE-4E29-B717-FCE1288C76AA}"/>
    <cellStyle name="Comma 2 3 3 2 4 6 4" xfId="54027" xr:uid="{1BFD6DF7-D6FD-4C17-BEE9-E16CD21DB7B1}"/>
    <cellStyle name="Comma 2 3 3 2 4 7" xfId="46037" xr:uid="{8824AF6D-8B64-4614-896D-25CBB80D6985}"/>
    <cellStyle name="Comma 2 3 3 2 4 8" xfId="49905" xr:uid="{6FB4937C-E10D-4117-A696-1CD91CBBE058}"/>
    <cellStyle name="Comma 2 3 3 2 4 9" xfId="52921" xr:uid="{290B9B4B-1244-4BA1-91E6-173274B485BF}"/>
    <cellStyle name="Comma 2 3 3 2 5" xfId="10162" xr:uid="{E7024F87-8E6F-48B0-B561-BA3E462DC4B0}"/>
    <cellStyle name="Comma 2 3 3 2 5 2" xfId="10476" xr:uid="{3468BB46-4BE8-4A0F-8F75-D9D655DAE68D}"/>
    <cellStyle name="Comma 2 3 3 2 5 2 2" xfId="14868" xr:uid="{3DB62473-DF9C-4065-9E37-8B66A5C452B8}"/>
    <cellStyle name="Comma 2 3 3 2 5 2 2 2" xfId="22415" xr:uid="{E3BE7BD0-F22D-4487-A5B9-BBBE62B3C69B}"/>
    <cellStyle name="Comma 2 3 3 2 5 2 2 3" xfId="46872" xr:uid="{3F1E8EC1-642D-4FA1-B288-D3E782E329F5}"/>
    <cellStyle name="Comma 2 3 3 2 5 2 2 4" xfId="51753" xr:uid="{344536D4-9687-4D10-86BB-773E77D3DF7B}"/>
    <cellStyle name="Comma 2 3 3 2 5 2 2 5" xfId="54769" xr:uid="{23B318C3-D3E5-41D4-BDAF-1452D6B40A7A}"/>
    <cellStyle name="Comma 2 3 3 2 5 2 3" xfId="15353" xr:uid="{3F9C672C-30B5-4461-9FA9-6DDD77B742E7}"/>
    <cellStyle name="Comma 2 3 3 2 5 2 3 2" xfId="22892" xr:uid="{3FF38C40-C3B0-4155-BE95-30375ADD4AA7}"/>
    <cellStyle name="Comma 2 3 3 2 5 2 3 3" xfId="48362" xr:uid="{C5AA1C75-9F0C-4836-B69B-97A741DD8890}"/>
    <cellStyle name="Comma 2 3 3 2 5 2 3 4" xfId="52230" xr:uid="{93DC914A-D6E5-4F53-B4BA-046403B3D877}"/>
    <cellStyle name="Comma 2 3 3 2 5 2 3 5" xfId="55246" xr:uid="{AE2514D7-8835-4FF7-A4BA-288BF74E215A}"/>
    <cellStyle name="Comma 2 3 3 2 5 2 4" xfId="15840" xr:uid="{DBE64DE4-A0DE-4840-9336-2E7042896752}"/>
    <cellStyle name="Comma 2 3 3 2 5 2 4 2" xfId="23369" xr:uid="{A502E1FF-63CC-4AC7-AA65-7DDFDC927F3B}"/>
    <cellStyle name="Comma 2 3 3 2 5 2 4 3" xfId="46973" xr:uid="{974D39B1-1867-4E21-BAAA-67169546A77C}"/>
    <cellStyle name="Comma 2 3 3 2 5 2 4 4" xfId="52707" xr:uid="{AAA213DC-B704-435D-83A7-B6ED74BF8C79}"/>
    <cellStyle name="Comma 2 3 3 2 5 2 4 5" xfId="55723" xr:uid="{6436BDEB-9051-4CD4-A4B8-105221D45077}"/>
    <cellStyle name="Comma 2 3 3 2 5 2 5" xfId="12929" xr:uid="{BF782DE1-3C54-4BF3-AF29-B9888A1398A1}"/>
    <cellStyle name="Comma 2 3 3 2 5 2 5 2" xfId="46373" xr:uid="{B05F62D2-D483-44C5-91F3-16890E713B3B}"/>
    <cellStyle name="Comma 2 3 3 2 5 2 5 3" xfId="51276" xr:uid="{D9EA5F7B-615A-4E7F-8B9E-29BCAB531C96}"/>
    <cellStyle name="Comma 2 3 3 2 5 2 5 4" xfId="54292" xr:uid="{7682C313-19A1-4432-AB1E-B8208CD0B16C}"/>
    <cellStyle name="Comma 2 3 3 2 5 2 6" xfId="46126" xr:uid="{6F9275D4-E21E-4A85-8DC2-E9454E719129}"/>
    <cellStyle name="Comma 2 3 3 2 5 2 7" xfId="50170" xr:uid="{443A7F27-1223-45A2-9BC2-A20DC695289B}"/>
    <cellStyle name="Comma 2 3 3 2 5 2 8" xfId="53186" xr:uid="{5239FEA7-46CD-4616-8550-074F9CE297AF}"/>
    <cellStyle name="Comma 2 3 3 2 5 3" xfId="14656" xr:uid="{5E9C0DE6-EE2C-47B0-B592-638D7B8CC1F0}"/>
    <cellStyle name="Comma 2 3 3 2 5 3 2" xfId="22203" xr:uid="{D2242160-2F6A-492D-9E76-2DAE20F79B68}"/>
    <cellStyle name="Comma 2 3 3 2 5 3 3" xfId="46846" xr:uid="{0CEDAD65-6618-4747-ABAA-4724B6891BB4}"/>
    <cellStyle name="Comma 2 3 3 2 5 3 4" xfId="51541" xr:uid="{6DFB898B-3BEB-4B99-9A1E-6831A48AE25E}"/>
    <cellStyle name="Comma 2 3 3 2 5 3 5" xfId="54557" xr:uid="{473FFDF3-561C-40CB-BC44-F5FA39F10ED8}"/>
    <cellStyle name="Comma 2 3 3 2 5 4" xfId="15141" xr:uid="{2A38BE7D-EA49-4A40-B47B-33009EEFFF34}"/>
    <cellStyle name="Comma 2 3 3 2 5 4 2" xfId="22680" xr:uid="{8A008A0F-9D0D-40E6-A546-E6CA92F4C238}"/>
    <cellStyle name="Comma 2 3 3 2 5 4 3" xfId="48563" xr:uid="{215C975F-7170-4A6F-B2DB-A4C76AA9B104}"/>
    <cellStyle name="Comma 2 3 3 2 5 4 4" xfId="52018" xr:uid="{D3B7B443-FC66-4958-B304-BFD22E172F31}"/>
    <cellStyle name="Comma 2 3 3 2 5 4 5" xfId="55034" xr:uid="{926DF2B1-46CA-493C-BF07-01704BCE3272}"/>
    <cellStyle name="Comma 2 3 3 2 5 5" xfId="15628" xr:uid="{B0BF72A4-E770-4B16-AFC0-D54613E8EFB1}"/>
    <cellStyle name="Comma 2 3 3 2 5 5 2" xfId="23157" xr:uid="{6F519448-0C8F-4ACE-B48B-54E0D943246C}"/>
    <cellStyle name="Comma 2 3 3 2 5 5 3" xfId="47350" xr:uid="{06A3EBFB-4ACA-4962-8C73-4ABC13FD612D}"/>
    <cellStyle name="Comma 2 3 3 2 5 5 4" xfId="52495" xr:uid="{C2653AF9-ACAD-4AAB-BFCE-088927463474}"/>
    <cellStyle name="Comma 2 3 3 2 5 5 5" xfId="55511" xr:uid="{D00601C4-3E62-418B-83B1-B2CFDEE9CB4A}"/>
    <cellStyle name="Comma 2 3 3 2 5 6" xfId="12616" xr:uid="{E4E74932-088D-4C09-863B-38845BB961D2}"/>
    <cellStyle name="Comma 2 3 3 2 5 6 2" xfId="25073" xr:uid="{408A8E70-2AAF-4C68-A960-236B2DC26451}"/>
    <cellStyle name="Comma 2 3 3 2 5 6 3" xfId="51064" xr:uid="{6B8D51C3-D6CE-44F7-AADE-294422B8987F}"/>
    <cellStyle name="Comma 2 3 3 2 5 6 4" xfId="54080" xr:uid="{16121314-6DF3-4998-8CA7-6A0E9253C6E7}"/>
    <cellStyle name="Comma 2 3 3 2 5 7" xfId="32303" xr:uid="{98FF7AC0-E8CC-405F-B6DF-5535174B8C08}"/>
    <cellStyle name="Comma 2 3 3 2 5 8" xfId="49958" xr:uid="{C5B86F78-E939-42B0-9014-9107A4939934}"/>
    <cellStyle name="Comma 2 3 3 2 5 9" xfId="52974" xr:uid="{CD2085D2-3A05-441B-8A24-AF60D0F12783}"/>
    <cellStyle name="Comma 2 3 3 2 6" xfId="10242" xr:uid="{57E14E19-7BC6-4413-8C2A-6F81021873FE}"/>
    <cellStyle name="Comma 2 3 3 2 6 2" xfId="14709" xr:uid="{A9C127BD-10BA-46D5-826F-E7141B21E610}"/>
    <cellStyle name="Comma 2 3 3 2 6 2 2" xfId="22256" xr:uid="{CA4C345D-7EC1-49B8-BE1A-F5D7A4E05D46}"/>
    <cellStyle name="Comma 2 3 3 2 6 2 3" xfId="46421" xr:uid="{ECFD3D92-23BB-4BF9-ADA6-6A66B42352BA}"/>
    <cellStyle name="Comma 2 3 3 2 6 2 4" xfId="51594" xr:uid="{F2859A5E-60F1-4661-90B0-94724436DF14}"/>
    <cellStyle name="Comma 2 3 3 2 6 2 5" xfId="54610" xr:uid="{CB8B3F2B-46B3-4063-9758-7EC3D85F0BDB}"/>
    <cellStyle name="Comma 2 3 3 2 6 3" xfId="15194" xr:uid="{546E23BA-3695-418D-A4C4-6B84E5945725}"/>
    <cellStyle name="Comma 2 3 3 2 6 3 2" xfId="22733" xr:uid="{CB8C0B74-C274-4A87-A5AD-EAB9D61AD0DA}"/>
    <cellStyle name="Comma 2 3 3 2 6 3 3" xfId="48217" xr:uid="{41504EC4-1DBB-47CE-889F-6EEF6632E066}"/>
    <cellStyle name="Comma 2 3 3 2 6 3 4" xfId="52071" xr:uid="{31B5824A-7BB5-456F-9B2F-C816C96EF8D9}"/>
    <cellStyle name="Comma 2 3 3 2 6 3 5" xfId="55087" xr:uid="{4378B8D1-4CD0-48DA-9F1F-31E9223C48EC}"/>
    <cellStyle name="Comma 2 3 3 2 6 4" xfId="15681" xr:uid="{9B781461-9B36-49A0-A2D7-D0EBCCCC6C73}"/>
    <cellStyle name="Comma 2 3 3 2 6 4 2" xfId="23210" xr:uid="{E405A530-C197-4294-A33C-97B377583096}"/>
    <cellStyle name="Comma 2 3 3 2 6 4 3" xfId="46571" xr:uid="{A02FF497-AFAD-4C4C-8C52-86B22D61759A}"/>
    <cellStyle name="Comma 2 3 3 2 6 4 4" xfId="52548" xr:uid="{436FC0DC-9C40-47FB-9014-51F71592B54E}"/>
    <cellStyle name="Comma 2 3 3 2 6 4 5" xfId="55564" xr:uid="{AD97ED55-7AF2-4AC3-BD49-0820043058C1}"/>
    <cellStyle name="Comma 2 3 3 2 6 5" xfId="12695" xr:uid="{C09D8128-191F-4098-9086-0616465DFDFD}"/>
    <cellStyle name="Comma 2 3 3 2 6 5 2" xfId="47469" xr:uid="{C017EFAB-F9EA-4E8C-84C0-95EEA24D8110}"/>
    <cellStyle name="Comma 2 3 3 2 6 5 3" xfId="51117" xr:uid="{8E83F78C-66F9-439E-A33C-7F22807B2652}"/>
    <cellStyle name="Comma 2 3 3 2 6 5 4" xfId="54133" xr:uid="{E7817242-E788-44B0-A534-98A6733E36EC}"/>
    <cellStyle name="Comma 2 3 3 2 6 6" xfId="46071" xr:uid="{7FCDCCA1-C18B-407A-9485-FF67EC187F58}"/>
    <cellStyle name="Comma 2 3 3 2 6 7" xfId="50011" xr:uid="{F0EAD72A-9ED6-480F-BD0F-ADB64BB1F427}"/>
    <cellStyle name="Comma 2 3 3 2 6 8" xfId="53027" xr:uid="{DFA3DD29-B9D9-4AFF-9680-1FF533F17AEC}"/>
    <cellStyle name="Comma 2 3 3 2 7" xfId="10556" xr:uid="{F75C6B7C-92B8-4C9B-9A90-9592787C7E1F}"/>
    <cellStyle name="Comma 2 3 3 2 7 2" xfId="14921" xr:uid="{2703B21D-79ED-4636-A6B0-96674A30A3D7}"/>
    <cellStyle name="Comma 2 3 3 2 7 2 2" xfId="22468" xr:uid="{9736B68B-D5D2-49CD-AE46-0E0AC79FA7D1}"/>
    <cellStyle name="Comma 2 3 3 2 7 2 3" xfId="37456" xr:uid="{EDE33139-D983-4657-9563-3D3270856D58}"/>
    <cellStyle name="Comma 2 3 3 2 7 2 4" xfId="51806" xr:uid="{A9BBFDE0-7793-4725-8F68-35A0168AF8DF}"/>
    <cellStyle name="Comma 2 3 3 2 7 2 5" xfId="54822" xr:uid="{003F6935-6326-4E7E-A833-96614885394E}"/>
    <cellStyle name="Comma 2 3 3 2 7 3" xfId="15406" xr:uid="{926594E9-E662-4827-A5D9-0C4155438539}"/>
    <cellStyle name="Comma 2 3 3 2 7 3 2" xfId="22945" xr:uid="{E51E2856-9633-4C59-9E9F-550D33FFBF6A}"/>
    <cellStyle name="Comma 2 3 3 2 7 3 3" xfId="48515" xr:uid="{19E99B51-D79D-4678-B91B-A028D51364B9}"/>
    <cellStyle name="Comma 2 3 3 2 7 3 4" xfId="52283" xr:uid="{5816AEEF-3DD2-4298-A529-24B1238F0239}"/>
    <cellStyle name="Comma 2 3 3 2 7 3 5" xfId="55299" xr:uid="{8E39EAD8-C299-4562-B959-E2C3F51107AF}"/>
    <cellStyle name="Comma 2 3 3 2 7 4" xfId="15894" xr:uid="{B36B3C02-D451-4E1B-86F2-1E939FBEB63D}"/>
    <cellStyle name="Comma 2 3 3 2 7 4 2" xfId="23422" xr:uid="{061074A7-3097-452A-AB82-1B2B450E4671}"/>
    <cellStyle name="Comma 2 3 3 2 7 4 3" xfId="46979" xr:uid="{6F40AA5D-7C92-4AD6-A064-A4C348F2358A}"/>
    <cellStyle name="Comma 2 3 3 2 7 4 4" xfId="52760" xr:uid="{A9313B15-83DC-4BFA-A122-F66CC69F8CDC}"/>
    <cellStyle name="Comma 2 3 3 2 7 4 5" xfId="55776" xr:uid="{5297460E-E679-49A2-AB67-D9ED75F903A9}"/>
    <cellStyle name="Comma 2 3 3 2 7 5" xfId="13009" xr:uid="{8F25AB89-1E9C-40EC-A80D-522983E92B86}"/>
    <cellStyle name="Comma 2 3 3 2 7 5 2" xfId="46382" xr:uid="{4D02F96F-FF09-4FF6-994B-5D2E1F2CECDA}"/>
    <cellStyle name="Comma 2 3 3 2 7 5 3" xfId="51329" xr:uid="{53754099-FE64-40FB-9D14-F7C3F809174F}"/>
    <cellStyle name="Comma 2 3 3 2 7 5 4" xfId="54345" xr:uid="{7A738E34-054D-4D54-B9E9-F5D4D066307E}"/>
    <cellStyle name="Comma 2 3 3 2 7 6" xfId="48165" xr:uid="{6C1BCD39-A5D7-451E-A298-C0603C0AA214}"/>
    <cellStyle name="Comma 2 3 3 2 7 7" xfId="50223" xr:uid="{8B11B3B5-96E6-4764-9B0E-DF7E549FA7B3}"/>
    <cellStyle name="Comma 2 3 3 2 7 8" xfId="53239" xr:uid="{B73F50E4-7868-474C-9973-AC609FE2A44C}"/>
    <cellStyle name="Comma 2 3 3 2 8" xfId="13374" xr:uid="{3D071428-4660-47B3-A037-1CC912794E58}"/>
    <cellStyle name="Comma 2 3 3 2 9" xfId="14497" xr:uid="{ACFEEE99-C32D-4E38-8601-0F0DD88F2DD8}"/>
    <cellStyle name="Comma 2 3 3 2 9 2" xfId="22044" xr:uid="{359FA72D-ECE5-466C-B807-9D7412ED007E}"/>
    <cellStyle name="Comma 2 3 3 2 9 3" xfId="46389" xr:uid="{6F5002DF-9129-4031-96A6-8A3351861EFB}"/>
    <cellStyle name="Comma 2 3 3 2 9 4" xfId="51382" xr:uid="{55F6D1DB-DEA7-481B-A676-21D0F50A4E23}"/>
    <cellStyle name="Comma 2 3 3 2 9 5" xfId="54398" xr:uid="{4DE8A2B1-04DF-41EE-876D-E9DF76E92B03}"/>
    <cellStyle name="Comma 2 3 3 3" xfId="5812" xr:uid="{DBD09C03-6BC1-4C1A-AA8A-1B0B2DE06A38}"/>
    <cellStyle name="Comma 2 3 3 3 10" xfId="12177" xr:uid="{FA611106-D1D5-497A-B63C-53E491FCD06F}"/>
    <cellStyle name="Comma 2 3 3 3 10 2" xfId="47817" xr:uid="{F460E6C1-1AA8-4929-909B-028D883C78CB}"/>
    <cellStyle name="Comma 2 3 3 3 10 3" xfId="50934" xr:uid="{B6562F41-CEC5-414E-9181-16A49534921D}"/>
    <cellStyle name="Comma 2 3 3 3 10 4" xfId="53950" xr:uid="{547FA2F4-485C-48F0-AF66-551FDDB02D65}"/>
    <cellStyle name="Comma 2 3 3 3 11" xfId="23717" xr:uid="{7AB58172-8E1D-4419-AED2-92228FC40AC7}"/>
    <cellStyle name="Comma 2 3 3 3 12" xfId="48607" xr:uid="{026FA99C-9486-4ACA-AF7C-230AFC04519C}"/>
    <cellStyle name="Comma 2 3 3 3 13" xfId="49517" xr:uid="{DA302695-0576-4E55-89A7-BB7FC276EF9F}"/>
    <cellStyle name="Comma 2 3 3 3 14" xfId="49801" xr:uid="{C70A8D38-2596-4DA2-9F5F-DB2CA6F9A8A4}"/>
    <cellStyle name="Comma 2 3 3 3 15" xfId="52816" xr:uid="{8F1F976A-48A6-4C72-B1B9-EA55FBEFD88E}"/>
    <cellStyle name="Comma 2 3 3 3 16" xfId="8924" xr:uid="{F42D2224-A3BE-4FAC-9E3B-30E8271EAC18}"/>
    <cellStyle name="Comma 2 3 3 3 2" xfId="10011" xr:uid="{607FD3FD-7E44-4749-A943-9379F6D1F759}"/>
    <cellStyle name="Comma 2 3 3 3 2 2" xfId="10319" xr:uid="{00ED828B-11FC-4604-B37C-6BA64252DC94}"/>
    <cellStyle name="Comma 2 3 3 3 2 2 2" xfId="14764" xr:uid="{2B89DFAC-E9BB-4471-AA80-7457355B2FDB}"/>
    <cellStyle name="Comma 2 3 3 3 2 2 2 2" xfId="22311" xr:uid="{CBB6F2D0-6F31-4627-BFC2-5C1ECD13055A}"/>
    <cellStyle name="Comma 2 3 3 3 2 2 2 3" xfId="48504" xr:uid="{0DD38E2E-5CF4-46D2-9E2E-574A47107FB4}"/>
    <cellStyle name="Comma 2 3 3 3 2 2 2 4" xfId="51649" xr:uid="{73420C2C-2DD0-4578-810B-45680CBD0487}"/>
    <cellStyle name="Comma 2 3 3 3 2 2 2 5" xfId="54665" xr:uid="{206A23A2-D5FA-4041-B3E9-038A1F9A24CE}"/>
    <cellStyle name="Comma 2 3 3 3 2 2 3" xfId="15249" xr:uid="{4A6816C3-FCD2-49AE-9D39-62E918A5F24F}"/>
    <cellStyle name="Comma 2 3 3 3 2 2 3 2" xfId="22788" xr:uid="{C09C36D6-75FD-4AF9-96F5-52B0E55823A5}"/>
    <cellStyle name="Comma 2 3 3 3 2 2 3 3" xfId="47189" xr:uid="{F5B6686C-864E-48CF-A953-EAF55EF4EFDB}"/>
    <cellStyle name="Comma 2 3 3 3 2 2 3 4" xfId="52126" xr:uid="{4B6FAB7F-17AA-49F3-A9FF-199F40CD24E4}"/>
    <cellStyle name="Comma 2 3 3 3 2 2 3 5" xfId="55142" xr:uid="{5FA7C494-87E1-43AB-8539-F558B691BCD4}"/>
    <cellStyle name="Comma 2 3 3 3 2 2 4" xfId="15736" xr:uid="{99254E5D-5ABB-456D-A867-936A6E416DB4}"/>
    <cellStyle name="Comma 2 3 3 3 2 2 4 2" xfId="23265" xr:uid="{2C49CD95-6400-4E5A-B572-3CDB9390ADFB}"/>
    <cellStyle name="Comma 2 3 3 3 2 2 4 3" xfId="47970" xr:uid="{21BD8016-1A24-489F-BB81-3488C77FA3E7}"/>
    <cellStyle name="Comma 2 3 3 3 2 2 4 4" xfId="52603" xr:uid="{2D0D6500-3718-4FB1-B193-7E299CB87D15}"/>
    <cellStyle name="Comma 2 3 3 3 2 2 4 5" xfId="55619" xr:uid="{CBF7D2CA-8D82-41AE-8641-5BC0324779A1}"/>
    <cellStyle name="Comma 2 3 3 3 2 2 5" xfId="12772" xr:uid="{0ABA650F-F908-4835-87EB-711F59A670F0}"/>
    <cellStyle name="Comma 2 3 3 3 2 2 5 2" xfId="46351" xr:uid="{0FAA2A9D-87CC-4F37-BB8E-9BA76D811630}"/>
    <cellStyle name="Comma 2 3 3 3 2 2 5 3" xfId="51172" xr:uid="{C784874B-B1F2-48F9-A825-4FAE2CAF504D}"/>
    <cellStyle name="Comma 2 3 3 3 2 2 5 4" xfId="54188" xr:uid="{568AB2E6-3CFE-41A5-BAB8-9357731FB9A9}"/>
    <cellStyle name="Comma 2 3 3 3 2 2 6" xfId="24333" xr:uid="{28A494A3-FBB2-4F6E-8822-375F97AD9A38}"/>
    <cellStyle name="Comma 2 3 3 3 2 2 7" xfId="50066" xr:uid="{5F5692D2-2DBC-406E-9B3F-CC5052B1AC6D}"/>
    <cellStyle name="Comma 2 3 3 3 2 2 8" xfId="53082" xr:uid="{9042DE8F-1823-4867-8DB3-D1A2707A9C78}"/>
    <cellStyle name="Comma 2 3 3 3 2 3" xfId="14552" xr:uid="{4E3C0CD4-149A-4D6E-B2DB-C60124078D1C}"/>
    <cellStyle name="Comma 2 3 3 3 2 3 2" xfId="22099" xr:uid="{C685BED7-80E1-4293-8F97-BCFDA21A7D59}"/>
    <cellStyle name="Comma 2 3 3 3 2 3 3" xfId="46396" xr:uid="{36AA9864-31F1-420F-AE55-A1CDAE627C2B}"/>
    <cellStyle name="Comma 2 3 3 3 2 3 4" xfId="51437" xr:uid="{F11F25E3-39DC-4FD7-AA59-BA4C09DDD15A}"/>
    <cellStyle name="Comma 2 3 3 3 2 3 5" xfId="54453" xr:uid="{0A064592-D949-4724-9B20-BEF475C16734}"/>
    <cellStyle name="Comma 2 3 3 3 2 4" xfId="15036" xr:uid="{D3346C67-CEC7-478F-8378-A2E8DEA63094}"/>
    <cellStyle name="Comma 2 3 3 3 2 4 2" xfId="22576" xr:uid="{2D208AD5-06DB-4FD3-BC44-5C567BBC244F}"/>
    <cellStyle name="Comma 2 3 3 3 2 4 3" xfId="46874" xr:uid="{97DC1208-FBA6-4C4A-A8BD-98E5287063F1}"/>
    <cellStyle name="Comma 2 3 3 3 2 4 4" xfId="51914" xr:uid="{83A88AF5-3DED-4885-80DE-A826F78EA660}"/>
    <cellStyle name="Comma 2 3 3 3 2 4 5" xfId="54930" xr:uid="{09D60681-C193-487C-9BDB-D49E4EE4F09F}"/>
    <cellStyle name="Comma 2 3 3 3 2 5" xfId="15523" xr:uid="{2809D93E-5010-482B-A703-3D056A4F6803}"/>
    <cellStyle name="Comma 2 3 3 3 2 5 2" xfId="23053" xr:uid="{820F21B7-488E-4A2B-9F9B-424BD30E062A}"/>
    <cellStyle name="Comma 2 3 3 3 2 5 3" xfId="24651" xr:uid="{1E81F203-44AB-4401-A501-9096E75CE2C1}"/>
    <cellStyle name="Comma 2 3 3 3 2 5 4" xfId="52391" xr:uid="{CC3D0EDD-6AEB-4981-80E8-6A069E9E03C3}"/>
    <cellStyle name="Comma 2 3 3 3 2 5 5" xfId="55407" xr:uid="{232375CD-76D2-4AA8-8C2E-81EF1C91C2FF}"/>
    <cellStyle name="Comma 2 3 3 3 2 6" xfId="12471" xr:uid="{8C4280C6-C09F-4EC0-8A06-063E329164E3}"/>
    <cellStyle name="Comma 2 3 3 3 2 6 2" xfId="47858" xr:uid="{FB48FD94-285E-4ACA-8DEC-C087D9EB553B}"/>
    <cellStyle name="Comma 2 3 3 3 2 6 3" xfId="50960" xr:uid="{6DB3C008-FC38-41A6-990F-554845C127BF}"/>
    <cellStyle name="Comma 2 3 3 3 2 6 4" xfId="53976" xr:uid="{0A855877-258F-4DCB-AF98-553F6C24BEF5}"/>
    <cellStyle name="Comma 2 3 3 3 2 7" xfId="46021" xr:uid="{B8B756BC-90C4-4D9A-B159-4CB8526236C7}"/>
    <cellStyle name="Comma 2 3 3 3 2 8" xfId="49854" xr:uid="{A1FD478E-2C36-402F-BE69-F421CBF40D8F}"/>
    <cellStyle name="Comma 2 3 3 3 2 9" xfId="52870" xr:uid="{CABCD0B0-2D0E-40D4-BA63-F28F0C0FEA86}"/>
    <cellStyle name="Comma 2 3 3 3 3" xfId="10085" xr:uid="{3B2AB6DA-8641-4AEC-8E7A-7CC1D97EB31B}"/>
    <cellStyle name="Comma 2 3 3 3 3 2" xfId="10398" xr:uid="{C251B392-A011-43D2-9DEB-CA1223890AE8}"/>
    <cellStyle name="Comma 2 3 3 3 3 2 2" xfId="14817" xr:uid="{08991D33-48DA-44BC-A1E8-880C90272515}"/>
    <cellStyle name="Comma 2 3 3 3 3 2 2 2" xfId="22364" xr:uid="{3DF53ED3-5F59-48F1-A20F-E99B89A334F6}"/>
    <cellStyle name="Comma 2 3 3 3 3 2 2 3" xfId="32527" xr:uid="{0F43B9C8-EA9A-4C88-BC9C-101CF4FC2677}"/>
    <cellStyle name="Comma 2 3 3 3 3 2 2 4" xfId="51702" xr:uid="{D1A4D807-C1C1-42F1-9B3B-354536C3A69B}"/>
    <cellStyle name="Comma 2 3 3 3 3 2 2 5" xfId="54718" xr:uid="{5E20933D-8229-4C11-A88D-B6F894119D7B}"/>
    <cellStyle name="Comma 2 3 3 3 3 2 3" xfId="15302" xr:uid="{7E99657C-6307-4A75-BCF7-724C10A1C447}"/>
    <cellStyle name="Comma 2 3 3 3 3 2 3 2" xfId="22841" xr:uid="{11C75D43-673B-43D6-890B-48BFD970C0DE}"/>
    <cellStyle name="Comma 2 3 3 3 3 2 3 3" xfId="48019" xr:uid="{F2EC4816-0A4B-4597-96F8-0794BAF486D8}"/>
    <cellStyle name="Comma 2 3 3 3 3 2 3 4" xfId="52179" xr:uid="{27CE4F7C-0F54-4E72-B935-30E479FA04FC}"/>
    <cellStyle name="Comma 2 3 3 3 3 2 3 5" xfId="55195" xr:uid="{FC0AB2C8-A343-4068-9B4F-A1965FFA2EAB}"/>
    <cellStyle name="Comma 2 3 3 3 3 2 4" xfId="15789" xr:uid="{1861D49C-CBB4-49CC-BED1-269F1A987830}"/>
    <cellStyle name="Comma 2 3 3 3 3 2 4 2" xfId="23318" xr:uid="{F3A14F93-08F3-4FFB-B641-05580D5DFDB6}"/>
    <cellStyle name="Comma 2 3 3 3 3 2 4 3" xfId="46965" xr:uid="{82CC6C89-DF0A-4ED5-B1A5-EA2520576C22}"/>
    <cellStyle name="Comma 2 3 3 3 3 2 4 4" xfId="52656" xr:uid="{D0B27469-7449-469B-AB6E-643A5AEA70DE}"/>
    <cellStyle name="Comma 2 3 3 3 3 2 4 5" xfId="55672" xr:uid="{55524865-59F0-424F-9DA1-B38BA32034E3}"/>
    <cellStyle name="Comma 2 3 3 3 3 2 5" xfId="12851" xr:uid="{BA648AA0-42C9-4A75-B7FA-DA2564879AC1}"/>
    <cellStyle name="Comma 2 3 3 3 3 2 5 2" xfId="47565" xr:uid="{E698D502-6183-444C-9258-61988794A5A8}"/>
    <cellStyle name="Comma 2 3 3 3 3 2 5 3" xfId="51225" xr:uid="{1738B1D8-6975-48AF-9D59-7B823CB4EC6E}"/>
    <cellStyle name="Comma 2 3 3 3 3 2 5 4" xfId="54241" xr:uid="{244CD865-A533-4034-AA90-3550675BAACA}"/>
    <cellStyle name="Comma 2 3 3 3 3 2 6" xfId="46107" xr:uid="{F30B7A80-299A-4C9F-9B92-B7156FF3E852}"/>
    <cellStyle name="Comma 2 3 3 3 3 2 7" xfId="50119" xr:uid="{E00DE7A4-0666-48A4-9B3A-C90E6499EAFE}"/>
    <cellStyle name="Comma 2 3 3 3 3 2 8" xfId="53135" xr:uid="{A543840C-344A-4FB5-8E2E-AB059CA259F4}"/>
    <cellStyle name="Comma 2 3 3 3 3 3" xfId="14605" xr:uid="{5D435CD7-EEBD-4C35-AF2C-BBEDF73A80E4}"/>
    <cellStyle name="Comma 2 3 3 3 3 3 2" xfId="22152" xr:uid="{98572BD2-88D2-4DD5-A1DF-74D1200FC3D1}"/>
    <cellStyle name="Comma 2 3 3 3 3 3 3" xfId="48095" xr:uid="{8C10D0C1-EC2D-44BB-9EED-5E7053B592F5}"/>
    <cellStyle name="Comma 2 3 3 3 3 3 4" xfId="51490" xr:uid="{BFC7D369-EEE3-455D-9403-B047684BD36E}"/>
    <cellStyle name="Comma 2 3 3 3 3 3 5" xfId="54506" xr:uid="{096E0FEC-C774-4C9C-ADA3-94C5EEA997B3}"/>
    <cellStyle name="Comma 2 3 3 3 3 4" xfId="15090" xr:uid="{EB1B0DFB-85F0-4885-BB24-23B8D67B2C2B}"/>
    <cellStyle name="Comma 2 3 3 3 3 4 2" xfId="22629" xr:uid="{CF8986C8-D4F1-4D0A-8E54-A14318A8AE7D}"/>
    <cellStyle name="Comma 2 3 3 3 3 4 3" xfId="47838" xr:uid="{E5855D2A-26E1-47F5-925F-A97CB7D2BA28}"/>
    <cellStyle name="Comma 2 3 3 3 3 4 4" xfId="51967" xr:uid="{313BC715-C0CE-41F8-8237-778E7AC65BF7}"/>
    <cellStyle name="Comma 2 3 3 3 3 4 5" xfId="54983" xr:uid="{3F811ABA-68DA-42A2-9F2F-8C7E5739F979}"/>
    <cellStyle name="Comma 2 3 3 3 3 5" xfId="15577" xr:uid="{EE01A174-8582-4BB2-81BD-08422A58C1C6}"/>
    <cellStyle name="Comma 2 3 3 3 3 5 2" xfId="23106" xr:uid="{C66619C6-ABA0-43BC-ACDB-D58500841509}"/>
    <cellStyle name="Comma 2 3 3 3 3 5 3" xfId="48130" xr:uid="{1296428F-A651-4A52-AC35-EBCB9E79E5D0}"/>
    <cellStyle name="Comma 2 3 3 3 3 5 4" xfId="52444" xr:uid="{75DC60FD-4E2E-4E9F-A522-FE9E6F0EA6F3}"/>
    <cellStyle name="Comma 2 3 3 3 3 5 5" xfId="55460" xr:uid="{22170D4B-EE2B-4F13-8341-FFF0CB5828A4}"/>
    <cellStyle name="Comma 2 3 3 3 3 6" xfId="12542" xr:uid="{E24F3DD1-3E4C-4004-93FC-F8FB84536A2F}"/>
    <cellStyle name="Comma 2 3 3 3 3 6 2" xfId="25084" xr:uid="{A5B416E5-F475-424A-BD80-DB189DC19D6E}"/>
    <cellStyle name="Comma 2 3 3 3 3 6 3" xfId="51013" xr:uid="{B614EFB3-A457-42F1-A749-86D6415F0532}"/>
    <cellStyle name="Comma 2 3 3 3 3 6 4" xfId="54029" xr:uid="{4147A14F-AFFF-43B2-B3B7-C21996CD768A}"/>
    <cellStyle name="Comma 2 3 3 3 3 7" xfId="46038" xr:uid="{3607210C-A2EF-416A-8F34-17AF3B425A88}"/>
    <cellStyle name="Comma 2 3 3 3 3 8" xfId="49907" xr:uid="{A4618C85-B6EC-4198-84B3-7B250D6A90F5}"/>
    <cellStyle name="Comma 2 3 3 3 3 9" xfId="52923" xr:uid="{AFFCE54D-6C62-4A8E-B43E-9F9A302D128E}"/>
    <cellStyle name="Comma 2 3 3 3 4" xfId="10164" xr:uid="{4A2DFEB4-9345-453E-BA88-E3CDC7CC9D73}"/>
    <cellStyle name="Comma 2 3 3 3 4 2" xfId="10478" xr:uid="{68DFA0D4-0D9D-4AED-8D74-1DC1754941A5}"/>
    <cellStyle name="Comma 2 3 3 3 4 2 2" xfId="14870" xr:uid="{58F427DE-E82F-4F69-BA3F-697E035513F6}"/>
    <cellStyle name="Comma 2 3 3 3 4 2 2 2" xfId="22417" xr:uid="{4514008B-01AD-4F52-8284-FCCDDAEFB996}"/>
    <cellStyle name="Comma 2 3 3 3 4 2 2 3" xfId="48213" xr:uid="{29B6FCD9-1D07-41EF-9D51-5D608597D106}"/>
    <cellStyle name="Comma 2 3 3 3 4 2 2 4" xfId="51755" xr:uid="{658C0DEA-8F8C-4EE3-8321-FA7F4219F568}"/>
    <cellStyle name="Comma 2 3 3 3 4 2 2 5" xfId="54771" xr:uid="{A8DF7C98-9C1C-4F7C-89CA-7D6601F15B07}"/>
    <cellStyle name="Comma 2 3 3 3 4 2 3" xfId="15355" xr:uid="{6945C260-61DB-4D1F-8D35-91E638184B34}"/>
    <cellStyle name="Comma 2 3 3 3 4 2 3 2" xfId="22894" xr:uid="{8AF19A33-ACC7-4151-9A7A-600E347F014D}"/>
    <cellStyle name="Comma 2 3 3 3 4 2 3 3" xfId="46519" xr:uid="{79A1D580-F388-4B9B-9E06-F034CBAF4179}"/>
    <cellStyle name="Comma 2 3 3 3 4 2 3 4" xfId="52232" xr:uid="{DFD68A4B-91C8-45DC-BB83-5A380F3A9D21}"/>
    <cellStyle name="Comma 2 3 3 3 4 2 3 5" xfId="55248" xr:uid="{3F438BB8-A776-4972-AAC2-F64FC852052C}"/>
    <cellStyle name="Comma 2 3 3 3 4 2 4" xfId="15842" xr:uid="{7973227E-15B3-46C9-AB9D-5FFFFC0470F8}"/>
    <cellStyle name="Comma 2 3 3 3 4 2 4 2" xfId="23371" xr:uid="{91053B6C-1A21-49D0-9539-27E0BDCB36AC}"/>
    <cellStyle name="Comma 2 3 3 3 4 2 4 3" xfId="24156" xr:uid="{24FE9C03-9F6B-4F89-A85C-9E662E93FC1D}"/>
    <cellStyle name="Comma 2 3 3 3 4 2 4 4" xfId="52709" xr:uid="{76A48E35-9493-45B2-91B1-2CDD16023E6B}"/>
    <cellStyle name="Comma 2 3 3 3 4 2 4 5" xfId="55725" xr:uid="{4D393EAB-ABA8-4B29-B359-A280B27B24BD}"/>
    <cellStyle name="Comma 2 3 3 3 4 2 5" xfId="12931" xr:uid="{B5C264E7-C88F-4B1C-BEE2-F9196333B240}"/>
    <cellStyle name="Comma 2 3 3 3 4 2 5 2" xfId="32334" xr:uid="{56E92569-5CF1-4FFD-8EEB-9F74BD624329}"/>
    <cellStyle name="Comma 2 3 3 3 4 2 5 3" xfId="51278" xr:uid="{B4DB83B8-1094-42BE-A72E-FD8A729FC01B}"/>
    <cellStyle name="Comma 2 3 3 3 4 2 5 4" xfId="54294" xr:uid="{001AC309-5E41-4097-A0B9-0C0FC1EEEF75}"/>
    <cellStyle name="Comma 2 3 3 3 4 2 6" xfId="46127" xr:uid="{796FE1BA-C1A7-44D4-A7DC-A66D8F2D3F66}"/>
    <cellStyle name="Comma 2 3 3 3 4 2 7" xfId="50172" xr:uid="{98C91434-C011-48AE-94C5-C1DBFCBFF53A}"/>
    <cellStyle name="Comma 2 3 3 3 4 2 8" xfId="53188" xr:uid="{7028AD34-AB8C-438C-A8E5-F03D47FC1554}"/>
    <cellStyle name="Comma 2 3 3 3 4 3" xfId="14658" xr:uid="{7F2E80A0-E23A-4472-A6D6-C543BF359978}"/>
    <cellStyle name="Comma 2 3 3 3 4 3 2" xfId="22205" xr:uid="{605E97E0-7155-4A68-8930-4A84F5E21C3B}"/>
    <cellStyle name="Comma 2 3 3 3 4 3 3" xfId="48207" xr:uid="{1DD00369-26F2-429E-B8F8-B89AB3BAB976}"/>
    <cellStyle name="Comma 2 3 3 3 4 3 4" xfId="51543" xr:uid="{2DA81128-DDC0-4A23-A6CB-5BA4538B182B}"/>
    <cellStyle name="Comma 2 3 3 3 4 3 5" xfId="54559" xr:uid="{18D95584-1CF4-4F7B-B8A5-4DCC013D21CD}"/>
    <cellStyle name="Comma 2 3 3 3 4 4" xfId="15143" xr:uid="{1E0074AA-F52C-4210-A818-AC2F315613F1}"/>
    <cellStyle name="Comma 2 3 3 3 4 4 2" xfId="22682" xr:uid="{1CBE9C5E-F935-4AFA-A46B-ED0EF4C6D26F}"/>
    <cellStyle name="Comma 2 3 3 3 4 4 3" xfId="47039" xr:uid="{9A4A1156-1DF4-4F4E-B9F3-5E97308EAE5E}"/>
    <cellStyle name="Comma 2 3 3 3 4 4 4" xfId="52020" xr:uid="{81A42077-A0A7-42BB-80EE-3B98A6D06F7F}"/>
    <cellStyle name="Comma 2 3 3 3 4 4 5" xfId="55036" xr:uid="{C439BD23-40DE-4B80-82DA-3D1961C83F8C}"/>
    <cellStyle name="Comma 2 3 3 3 4 5" xfId="15630" xr:uid="{2C50A1F7-A445-442F-B993-0DB8E5082519}"/>
    <cellStyle name="Comma 2 3 3 3 4 5 2" xfId="23159" xr:uid="{AF65749C-6583-49A3-9D07-E8396399195E}"/>
    <cellStyle name="Comma 2 3 3 3 4 5 3" xfId="47437" xr:uid="{A7D97F41-60C7-4FD2-9051-3AAE9650587D}"/>
    <cellStyle name="Comma 2 3 3 3 4 5 4" xfId="52497" xr:uid="{11406608-C878-48E7-8A35-32BA7A96C255}"/>
    <cellStyle name="Comma 2 3 3 3 4 5 5" xfId="55513" xr:uid="{85706C9D-3B3D-4A06-980D-B055321FB457}"/>
    <cellStyle name="Comma 2 3 3 3 4 6" xfId="12618" xr:uid="{DC7D37D0-5405-4067-9684-9B2F5E396E4E}"/>
    <cellStyle name="Comma 2 3 3 3 4 6 2" xfId="46774" xr:uid="{54C2A6C3-CCE6-4067-B459-BA1A8EB1D1E4}"/>
    <cellStyle name="Comma 2 3 3 3 4 6 3" xfId="51066" xr:uid="{9A74E8CC-3E02-4857-A3AA-24F4840DA0FF}"/>
    <cellStyle name="Comma 2 3 3 3 4 6 4" xfId="54082" xr:uid="{BBFF2DAF-65E8-41AA-9535-D97890AA2A4C}"/>
    <cellStyle name="Comma 2 3 3 3 4 7" xfId="48089" xr:uid="{85AEF028-36F4-41F2-8590-D3505D576BA0}"/>
    <cellStyle name="Comma 2 3 3 3 4 8" xfId="49960" xr:uid="{2CA91E0D-C0A5-4472-80C0-54099D61A9AA}"/>
    <cellStyle name="Comma 2 3 3 3 4 9" xfId="52976" xr:uid="{39F103DE-AA92-4DEB-93A6-D56D073C8BBB}"/>
    <cellStyle name="Comma 2 3 3 3 5" xfId="10244" xr:uid="{4BADF85C-3A5A-46B5-81B5-8260580C4267}"/>
    <cellStyle name="Comma 2 3 3 3 5 2" xfId="14711" xr:uid="{C62FFDE6-F977-40FB-8389-41CBED2BD349}"/>
    <cellStyle name="Comma 2 3 3 3 5 2 2" xfId="22258" xr:uid="{FE2E7A0F-EA9A-459D-86B8-97A5FFF837CE}"/>
    <cellStyle name="Comma 2 3 3 3 5 2 3" xfId="33370" xr:uid="{BA666AAC-AABE-4604-939D-42829399E828}"/>
    <cellStyle name="Comma 2 3 3 3 5 2 4" xfId="51596" xr:uid="{4A403994-322E-4ABF-92AA-27ACC6D37A93}"/>
    <cellStyle name="Comma 2 3 3 3 5 2 5" xfId="54612" xr:uid="{AF7F6D18-6F7A-4AF8-8D2D-44378CDBF349}"/>
    <cellStyle name="Comma 2 3 3 3 5 3" xfId="15196" xr:uid="{EC539C67-D9FF-4145-A650-25353F786EBB}"/>
    <cellStyle name="Comma 2 3 3 3 5 3 2" xfId="22735" xr:uid="{88DDC486-E054-40AA-8F6F-4B70DF63FB89}"/>
    <cellStyle name="Comma 2 3 3 3 5 3 3" xfId="47394" xr:uid="{AB81FAEF-D198-42C9-850B-709CDF463DFA}"/>
    <cellStyle name="Comma 2 3 3 3 5 3 4" xfId="52073" xr:uid="{72C1907D-0DE7-4E6E-B578-C057BF9A757A}"/>
    <cellStyle name="Comma 2 3 3 3 5 3 5" xfId="55089" xr:uid="{9B978BA1-8133-4F38-AC32-25911D42C212}"/>
    <cellStyle name="Comma 2 3 3 3 5 4" xfId="15683" xr:uid="{0D5A5EC9-DAC4-4F84-A193-A4A0D97290D3}"/>
    <cellStyle name="Comma 2 3 3 3 5 4 2" xfId="23212" xr:uid="{0247D9F3-B34A-4085-8CE7-14BD87E4A0AB}"/>
    <cellStyle name="Comma 2 3 3 3 5 4 3" xfId="32324" xr:uid="{C8BBDB71-4175-4B9B-8EF9-08148388446F}"/>
    <cellStyle name="Comma 2 3 3 3 5 4 4" xfId="52550" xr:uid="{6F5A67C8-FB56-41F2-902D-6B698674D64C}"/>
    <cellStyle name="Comma 2 3 3 3 5 4 5" xfId="55566" xr:uid="{2C9C95D5-9876-4121-9C49-2A4AA1AA31F2}"/>
    <cellStyle name="Comma 2 3 3 3 5 5" xfId="12697" xr:uid="{B0C7F417-2582-4E45-8499-6613145FC030}"/>
    <cellStyle name="Comma 2 3 3 3 5 5 2" xfId="46342" xr:uid="{829FF7BE-0B92-4F27-99A5-BF3F2D4B8A7B}"/>
    <cellStyle name="Comma 2 3 3 3 5 5 3" xfId="51119" xr:uid="{1446A87C-E1B4-4850-AA69-CA5FF05260FA}"/>
    <cellStyle name="Comma 2 3 3 3 5 5 4" xfId="54135" xr:uid="{768E342D-F3B9-45A7-B2F2-9A4557D2DD9B}"/>
    <cellStyle name="Comma 2 3 3 3 5 6" xfId="46072" xr:uid="{0623919D-886F-4877-A559-FE0E0696C5EE}"/>
    <cellStyle name="Comma 2 3 3 3 5 7" xfId="50013" xr:uid="{53B00AC4-F885-4A83-BEC6-B8F6288BBE49}"/>
    <cellStyle name="Comma 2 3 3 3 5 8" xfId="53029" xr:uid="{302CDD85-F8AD-4429-B0B1-63BF8627C12F}"/>
    <cellStyle name="Comma 2 3 3 3 6" xfId="10558" xr:uid="{F94897A4-04F1-492E-B521-ECD5650CAF4D}"/>
    <cellStyle name="Comma 2 3 3 3 6 2" xfId="14923" xr:uid="{CA7CCA9A-5A4E-4197-94E2-6D5E2A5CE804}"/>
    <cellStyle name="Comma 2 3 3 3 6 2 2" xfId="22470" xr:uid="{E1D03C3F-04BB-45A3-806A-46976EACBCDE}"/>
    <cellStyle name="Comma 2 3 3 3 6 2 3" xfId="46684" xr:uid="{255E4A4E-BF2F-41E2-9302-29ABC453EF1B}"/>
    <cellStyle name="Comma 2 3 3 3 6 2 4" xfId="51808" xr:uid="{8F21B56E-C33C-4866-8761-CD5BF70BE2F9}"/>
    <cellStyle name="Comma 2 3 3 3 6 2 5" xfId="54824" xr:uid="{A89A1EB9-9691-4CF2-AC23-73965132E303}"/>
    <cellStyle name="Comma 2 3 3 3 6 3" xfId="15408" xr:uid="{19865513-10F9-4892-9364-E4E8B24AD88F}"/>
    <cellStyle name="Comma 2 3 3 3 6 3 2" xfId="22947" xr:uid="{EBD334CC-F03C-4F18-9770-2F5112484FDC}"/>
    <cellStyle name="Comma 2 3 3 3 6 3 3" xfId="34000" xr:uid="{617B09F4-6B9B-4E51-99BC-09CD7FA51AF9}"/>
    <cellStyle name="Comma 2 3 3 3 6 3 4" xfId="52285" xr:uid="{2B0DBE85-5807-47FA-98CA-73D28DAFB432}"/>
    <cellStyle name="Comma 2 3 3 3 6 3 5" xfId="55301" xr:uid="{0C5BE557-0343-48A6-AF40-DEB30832283B}"/>
    <cellStyle name="Comma 2 3 3 3 6 4" xfId="15896" xr:uid="{9F6AF2E7-BF6C-4FA6-80F3-8DB24978A366}"/>
    <cellStyle name="Comma 2 3 3 3 6 4 2" xfId="23424" xr:uid="{526083A9-B26B-44D0-9CF3-340BB0660579}"/>
    <cellStyle name="Comma 2 3 3 3 6 4 3" xfId="32280" xr:uid="{D834844D-DD9D-4083-8372-D99763AD0445}"/>
    <cellStyle name="Comma 2 3 3 3 6 4 4" xfId="52762" xr:uid="{9D72D5BE-701C-40D9-A09F-A86286EFB70F}"/>
    <cellStyle name="Comma 2 3 3 3 6 4 5" xfId="55778" xr:uid="{EA9B4EDF-7B61-441C-8CD4-20225CCD24CD}"/>
    <cellStyle name="Comma 2 3 3 3 6 5" xfId="13011" xr:uid="{8BA5BF54-71FC-4E98-AB98-ED48D9940A87}"/>
    <cellStyle name="Comma 2 3 3 3 6 5 2" xfId="47233" xr:uid="{A1F8ABE9-F15C-4D78-B137-405F7BBC8FAC}"/>
    <cellStyle name="Comma 2 3 3 3 6 5 3" xfId="51331" xr:uid="{4406E0ED-A3F9-478D-9E4C-8DF4B1FBEB1C}"/>
    <cellStyle name="Comma 2 3 3 3 6 5 4" xfId="54347" xr:uid="{AAFDF0FB-0EC6-4403-A7E3-0368B5A8C56F}"/>
    <cellStyle name="Comma 2 3 3 3 6 6" xfId="24259" xr:uid="{ABFF2311-9CED-4C89-8F04-AFE7B3FCBD61}"/>
    <cellStyle name="Comma 2 3 3 3 6 7" xfId="50225" xr:uid="{9A2D1815-6ED3-4927-82E6-C65C894EDF4E}"/>
    <cellStyle name="Comma 2 3 3 3 6 8" xfId="53241" xr:uid="{34649781-27C2-4769-9351-707329D3F1F8}"/>
    <cellStyle name="Comma 2 3 3 3 7" xfId="14499" xr:uid="{3134330D-82FA-45B3-93B1-024EC09EF4DD}"/>
    <cellStyle name="Comma 2 3 3 3 7 2" xfId="22046" xr:uid="{B13036FA-0D76-4AAE-BC3C-5F9F77720B50}"/>
    <cellStyle name="Comma 2 3 3 3 7 3" xfId="47826" xr:uid="{7D8FC8E7-8F4B-4DA7-8038-FD129CAD70D4}"/>
    <cellStyle name="Comma 2 3 3 3 7 4" xfId="51384" xr:uid="{8DE65D16-B619-49EA-9241-7F399F8F3F2A}"/>
    <cellStyle name="Comma 2 3 3 3 7 5" xfId="54400" xr:uid="{E7C0089A-2EA9-4BD9-9742-0F82BD2E440F}"/>
    <cellStyle name="Comma 2 3 3 3 8" xfId="14983" xr:uid="{51689C52-6B1D-4601-88C8-9F4D25DF9000}"/>
    <cellStyle name="Comma 2 3 3 3 8 2" xfId="22523" xr:uid="{FD30D35C-2306-42AF-9FE7-30873ACEC126}"/>
    <cellStyle name="Comma 2 3 3 3 8 3" xfId="46461" xr:uid="{47DE919F-F1AD-4924-BCBF-44DBADF9142D}"/>
    <cellStyle name="Comma 2 3 3 3 8 4" xfId="51861" xr:uid="{E573E620-FBA3-42D0-B1A8-B742BAC0CED7}"/>
    <cellStyle name="Comma 2 3 3 3 8 5" xfId="54877" xr:uid="{CF77DD6E-84B0-4258-A79B-AC68FB6E1644}"/>
    <cellStyle name="Comma 2 3 3 3 9" xfId="15470" xr:uid="{6F14ABA7-2EE0-4EC2-88C6-56B1334494C1}"/>
    <cellStyle name="Comma 2 3 3 3 9 2" xfId="23000" xr:uid="{4DB1EA38-8758-4699-B65E-4E114179135C}"/>
    <cellStyle name="Comma 2 3 3 3 9 3" xfId="48385" xr:uid="{90DB06A0-3F8D-4EA2-AFE3-3ED4BC8B043F}"/>
    <cellStyle name="Comma 2 3 3 3 9 4" xfId="52338" xr:uid="{B67D98C3-2CEE-4FAF-8810-4B2852288A92}"/>
    <cellStyle name="Comma 2 3 3 3 9 5" xfId="55354" xr:uid="{A1F37E8D-AB34-42D6-9679-776CEFCDD68F}"/>
    <cellStyle name="Comma 2 3 3 4" xfId="9600" xr:uid="{E2B60A01-B2D5-4A09-9233-5CDAEA742089}"/>
    <cellStyle name="Comma 2 3 3 5" xfId="11155" xr:uid="{C6ED8799-30B0-4A5D-A980-72BA5A6B5F1D}"/>
    <cellStyle name="Comma 2 3 3 6" xfId="11186" xr:uid="{14997A01-1840-4CBC-A7EF-946D8E8C2A3E}"/>
    <cellStyle name="Comma 2 3 3 6 2" xfId="21683" xr:uid="{970D0524-7356-461F-8698-1EBE349593D4}"/>
    <cellStyle name="Comma 2 3 3 6 3" xfId="47680" xr:uid="{0488DE54-7F81-4C32-81DC-637813DBFD5E}"/>
    <cellStyle name="Comma 2 3 3 6 4" xfId="50699" xr:uid="{B87441D8-A244-4450-A2EF-807FEBF7346D}"/>
    <cellStyle name="Comma 2 3 3 6 5" xfId="53715" xr:uid="{AE283084-088E-453D-B4AC-A288633A10C7}"/>
    <cellStyle name="Comma 2 3 3 7" xfId="19473" xr:uid="{0D7984B0-D934-410A-B899-155727F469DE}"/>
    <cellStyle name="Comma 2 3 3 8" xfId="23714" xr:uid="{BA6AF5FF-366B-4974-AE3B-492DA705C450}"/>
    <cellStyle name="Comma 2 3 3 9" xfId="48604" xr:uid="{503FBF52-515C-4FB7-9D1A-EBDC0F065E58}"/>
    <cellStyle name="Comma 2 3 4" xfId="2613" xr:uid="{41019E59-81DB-4908-B0D9-F616798FF7AD}"/>
    <cellStyle name="Comma 2 3 4 2" xfId="4532" xr:uid="{4B789FC1-6E81-4394-82CA-DEEF6D57BF65}"/>
    <cellStyle name="Comma 2 3 4 2 10" xfId="15471" xr:uid="{973C67D9-9F47-4001-8EAA-EE7A76C3B895}"/>
    <cellStyle name="Comma 2 3 4 2 10 2" xfId="23001" xr:uid="{D8FD3E7D-6272-447D-A1F0-A74391A9FCFA}"/>
    <cellStyle name="Comma 2 3 4 2 10 3" xfId="46694" xr:uid="{F11E7710-C58F-4311-825A-04A624020610}"/>
    <cellStyle name="Comma 2 3 4 2 10 4" xfId="52339" xr:uid="{C975CAE0-213D-4C0E-A605-C528AA6810EA}"/>
    <cellStyle name="Comma 2 3 4 2 10 5" xfId="55355" xr:uid="{A671DA2F-CAE9-4C08-A7B1-38015AB9374F}"/>
    <cellStyle name="Comma 2 3 4 2 11" xfId="11162" xr:uid="{64B6F6FF-0FCB-4452-997D-63D34257025C}"/>
    <cellStyle name="Comma 2 3 4 2 11 2" xfId="21677" xr:uid="{31B3D145-FF1A-48C5-A68F-1D78E3D05B4F}"/>
    <cellStyle name="Comma 2 3 4 2 11 3" xfId="46274" xr:uid="{37EB7811-3038-4722-BCDB-5041A13AE136}"/>
    <cellStyle name="Comma 2 3 4 2 11 4" xfId="50693" xr:uid="{C12A9902-94E5-4248-A51D-1760FEBE167D}"/>
    <cellStyle name="Comma 2 3 4 2 11 5" xfId="53709" xr:uid="{FB484BA0-1B38-4CBD-A585-576CD2BBA716}"/>
    <cellStyle name="Comma 2 3 4 2 12" xfId="23719" xr:uid="{A34DFF9F-7532-4EE8-829D-4D959C68022B}"/>
    <cellStyle name="Comma 2 3 4 2 13" xfId="48609" xr:uid="{1C644DD5-9B6E-4A1B-980B-40341EA770E2}"/>
    <cellStyle name="Comma 2 3 4 2 14" xfId="49519" xr:uid="{97C1874C-481A-478B-8F02-518536DD2148}"/>
    <cellStyle name="Comma 2 3 4 2 15" xfId="49802" xr:uid="{22D55E92-C958-467F-8852-F0D8B58D7519}"/>
    <cellStyle name="Comma 2 3 4 2 16" xfId="52817" xr:uid="{FE69728A-D18B-4A8A-9779-6CFDF63DB2AD}"/>
    <cellStyle name="Comma 2 3 4 2 17" xfId="8925" xr:uid="{2D65130C-4FE7-4F60-A7AD-4ACD7B9DF9F4}"/>
    <cellStyle name="Comma 2 3 4 2 2" xfId="10012" xr:uid="{9CEF64B3-7B0C-4D8D-AB0F-A02D9DD31350}"/>
    <cellStyle name="Comma 2 3 4 2 2 2" xfId="10320" xr:uid="{2839EF62-7D8B-4ED3-A4AB-22679D310824}"/>
    <cellStyle name="Comma 2 3 4 2 2 2 2" xfId="14765" xr:uid="{4EA23EF0-E642-484E-B03A-556BE975606B}"/>
    <cellStyle name="Comma 2 3 4 2 2 2 2 2" xfId="22312" xr:uid="{53E8C14F-51E3-46CF-A768-4B35D9FB445C}"/>
    <cellStyle name="Comma 2 3 4 2 2 2 2 3" xfId="25301" xr:uid="{5ABBEC66-62D5-4DBE-A876-CDCC91B432F5}"/>
    <cellStyle name="Comma 2 3 4 2 2 2 2 4" xfId="51650" xr:uid="{8ED4AEC9-AC0A-44B8-822B-CBA5685B1784}"/>
    <cellStyle name="Comma 2 3 4 2 2 2 2 5" xfId="54666" xr:uid="{3C256CC0-514B-4082-BB60-68AD6BF6413B}"/>
    <cellStyle name="Comma 2 3 4 2 2 2 3" xfId="15250" xr:uid="{30FE6953-40E8-4E77-9556-63A475A6FEB5}"/>
    <cellStyle name="Comma 2 3 4 2 2 2 3 2" xfId="22789" xr:uid="{5ECD68CA-5344-4224-B8CE-E68D1A09F6F6}"/>
    <cellStyle name="Comma 2 3 4 2 2 2 3 3" xfId="24179" xr:uid="{A42A616A-F7DB-4C60-A69B-EFE92196AB9B}"/>
    <cellStyle name="Comma 2 3 4 2 2 2 3 4" xfId="52127" xr:uid="{1C355221-4CF2-4730-8285-63824BD0D009}"/>
    <cellStyle name="Comma 2 3 4 2 2 2 3 5" xfId="55143" xr:uid="{F4B40977-1F0E-4323-9B6C-B1945D9EBDE5}"/>
    <cellStyle name="Comma 2 3 4 2 2 2 4" xfId="15737" xr:uid="{98ED245C-F942-4381-84E7-9619A4E9BBF4}"/>
    <cellStyle name="Comma 2 3 4 2 2 2 4 2" xfId="23266" xr:uid="{A2581EAE-5CE5-410F-BCA1-BC154C3358CD}"/>
    <cellStyle name="Comma 2 3 4 2 2 2 4 3" xfId="46579" xr:uid="{12F7E386-C873-4406-A397-CE25FCF43293}"/>
    <cellStyle name="Comma 2 3 4 2 2 2 4 4" xfId="52604" xr:uid="{AA58ACA2-2513-4CF1-870E-FD884349F477}"/>
    <cellStyle name="Comma 2 3 4 2 2 2 4 5" xfId="55620" xr:uid="{71D097C3-6E88-4656-8BB3-AE18DC1D2BB0}"/>
    <cellStyle name="Comma 2 3 4 2 2 2 5" xfId="12773" xr:uid="{E2B619D6-1455-48DC-A64E-09B08E1C95A7}"/>
    <cellStyle name="Comma 2 3 4 2 2 2 5 2" xfId="25056" xr:uid="{7592CA7C-627E-47E1-8A07-647792C179A7}"/>
    <cellStyle name="Comma 2 3 4 2 2 2 5 3" xfId="51173" xr:uid="{320A5600-E7C2-49C7-B2E8-8E6E7129BF1F}"/>
    <cellStyle name="Comma 2 3 4 2 2 2 5 4" xfId="54189" xr:uid="{58030C92-D073-4EFA-BBCE-ACB426115685}"/>
    <cellStyle name="Comma 2 3 4 2 2 2 6" xfId="47360" xr:uid="{B34CDA71-5E39-411C-9D3E-63316FB06E1E}"/>
    <cellStyle name="Comma 2 3 4 2 2 2 7" xfId="50067" xr:uid="{2D2634B4-3584-4F7A-8919-E33D1ADBA62C}"/>
    <cellStyle name="Comma 2 3 4 2 2 2 8" xfId="53083" xr:uid="{CF3510EC-564C-45AE-9208-EA5071AE8338}"/>
    <cellStyle name="Comma 2 3 4 2 2 3" xfId="14553" xr:uid="{8AB7FF64-D754-4FCD-8033-9E8F468E5587}"/>
    <cellStyle name="Comma 2 3 4 2 2 3 2" xfId="22100" xr:uid="{5B42144F-BDBD-4CB1-ADBA-88DF8141EEB8}"/>
    <cellStyle name="Comma 2 3 4 2 2 3 3" xfId="24979" xr:uid="{49EBC87E-53F5-48D2-ACD3-9FBB4F4EC443}"/>
    <cellStyle name="Comma 2 3 4 2 2 3 4" xfId="51438" xr:uid="{04677D73-7E77-447A-81C1-547E3737BFE2}"/>
    <cellStyle name="Comma 2 3 4 2 2 3 5" xfId="54454" xr:uid="{958995A2-A2A5-451D-A528-234C6F08E158}"/>
    <cellStyle name="Comma 2 3 4 2 2 4" xfId="15037" xr:uid="{2BAFC2B6-8F52-422D-9484-D400512657E5}"/>
    <cellStyle name="Comma 2 3 4 2 2 4 2" xfId="22577" xr:uid="{44266408-9924-47C0-A561-E91011CAD392}"/>
    <cellStyle name="Comma 2 3 4 2 2 4 3" xfId="48065" xr:uid="{3533BC2C-E27E-463A-A7F0-AAD6EC7177FD}"/>
    <cellStyle name="Comma 2 3 4 2 2 4 4" xfId="51915" xr:uid="{F14ED952-C681-4D1F-84E8-BD70E77DC9E3}"/>
    <cellStyle name="Comma 2 3 4 2 2 4 5" xfId="54931" xr:uid="{01616061-BC97-4319-8C15-2AD920B19E0B}"/>
    <cellStyle name="Comma 2 3 4 2 2 5" xfId="15524" xr:uid="{397F5BA1-8E87-478F-8850-DCD9A30ECBAA}"/>
    <cellStyle name="Comma 2 3 4 2 2 5 2" xfId="23054" xr:uid="{F0CAACBF-C31D-4A11-AADE-7B8161CDB87E}"/>
    <cellStyle name="Comma 2 3 4 2 2 5 3" xfId="48224" xr:uid="{7D11330A-07D3-4E83-9C0C-8FED23503418}"/>
    <cellStyle name="Comma 2 3 4 2 2 5 4" xfId="52392" xr:uid="{3C11777A-071D-45BB-B825-132D63BF0946}"/>
    <cellStyle name="Comma 2 3 4 2 2 5 5" xfId="55408" xr:uid="{63665518-EE44-41F7-A741-6B8000AF1887}"/>
    <cellStyle name="Comma 2 3 4 2 2 6" xfId="12472" xr:uid="{D798500C-DA41-42A0-960F-C6899B2CFAE2}"/>
    <cellStyle name="Comma 2 3 4 2 2 6 2" xfId="48584" xr:uid="{C90875FD-450D-472E-9661-B6C40B6C9A04}"/>
    <cellStyle name="Comma 2 3 4 2 2 6 3" xfId="50961" xr:uid="{B14F59A8-685C-4379-B096-95254222EFD8}"/>
    <cellStyle name="Comma 2 3 4 2 2 6 4" xfId="53977" xr:uid="{FED7D60A-4E95-435F-98F0-970CA17CABC7}"/>
    <cellStyle name="Comma 2 3 4 2 2 7" xfId="46022" xr:uid="{2FA1C153-97D7-436F-99D2-060091D3D806}"/>
    <cellStyle name="Comma 2 3 4 2 2 8" xfId="49855" xr:uid="{DF19D266-C541-4D65-BDC6-DC7C18F7A6CD}"/>
    <cellStyle name="Comma 2 3 4 2 2 9" xfId="52871" xr:uid="{2007564D-E020-4BC7-A054-53A092F69542}"/>
    <cellStyle name="Comma 2 3 4 2 3" xfId="10086" xr:uid="{B0D5279D-25D5-45DC-800D-20BF3441B5AC}"/>
    <cellStyle name="Comma 2 3 4 2 3 2" xfId="10399" xr:uid="{BED88A0B-3C2B-402F-9BEA-E769D54F32E6}"/>
    <cellStyle name="Comma 2 3 4 2 3 2 2" xfId="14818" xr:uid="{4C839779-92E5-456A-99E9-E8325646BF54}"/>
    <cellStyle name="Comma 2 3 4 2 3 2 2 2" xfId="22365" xr:uid="{C24D95C0-3539-4C0F-BECA-577954A76066}"/>
    <cellStyle name="Comma 2 3 4 2 3 2 2 3" xfId="48064" xr:uid="{B3E49431-B201-46FA-A6F3-1784832705A1}"/>
    <cellStyle name="Comma 2 3 4 2 3 2 2 4" xfId="51703" xr:uid="{80653393-5A4E-46CA-97D9-5A9A987B2259}"/>
    <cellStyle name="Comma 2 3 4 2 3 2 2 5" xfId="54719" xr:uid="{19932575-C0D1-4CAA-9CB1-9F3C41B11598}"/>
    <cellStyle name="Comma 2 3 4 2 3 2 3" xfId="15303" xr:uid="{4DEF75F7-DE44-4F89-A5B6-EEB194D9ED22}"/>
    <cellStyle name="Comma 2 3 4 2 3 2 3 2" xfId="22842" xr:uid="{BCCC6EFE-8EFC-477B-AE17-322BC5E92054}"/>
    <cellStyle name="Comma 2 3 4 2 3 2 3 3" xfId="24444" xr:uid="{9671A0B8-B532-455B-AC28-CC32059FB733}"/>
    <cellStyle name="Comma 2 3 4 2 3 2 3 4" xfId="52180" xr:uid="{4C1CD2C8-A352-443E-805D-B78CFA1E53C4}"/>
    <cellStyle name="Comma 2 3 4 2 3 2 3 5" xfId="55196" xr:uid="{2997971F-012C-4696-9E9A-694BF0E4681C}"/>
    <cellStyle name="Comma 2 3 4 2 3 2 4" xfId="15790" xr:uid="{533F5FF7-4E76-4231-AC8E-DC6978465F39}"/>
    <cellStyle name="Comma 2 3 4 2 3 2 4 2" xfId="23319" xr:uid="{AB3522C1-0C52-4D40-95D4-0D5024F6ABB5}"/>
    <cellStyle name="Comma 2 3 4 2 3 2 4 3" xfId="48083" xr:uid="{C89C2ADB-6A47-4CB5-8FAF-1BA4ED841C04}"/>
    <cellStyle name="Comma 2 3 4 2 3 2 4 4" xfId="52657" xr:uid="{062F3C55-09DB-439E-95A4-C33A765870A0}"/>
    <cellStyle name="Comma 2 3 4 2 3 2 4 5" xfId="55673" xr:uid="{C11A4F64-FC75-4F3C-A4C0-484A86540FCA}"/>
    <cellStyle name="Comma 2 3 4 2 3 2 5" xfId="12852" xr:uid="{381F75B4-087F-428B-8DEE-2F98C17F09AA}"/>
    <cellStyle name="Comma 2 3 4 2 3 2 5 2" xfId="48533" xr:uid="{9C0DB007-0269-47AC-AA28-6DE4505B8D18}"/>
    <cellStyle name="Comma 2 3 4 2 3 2 5 3" xfId="51226" xr:uid="{E6DD873E-A539-4672-96F7-FC47037BA29D}"/>
    <cellStyle name="Comma 2 3 4 2 3 2 5 4" xfId="54242" xr:uid="{3DEB45B9-4BFD-43FC-B250-D3A9E9ED4F56}"/>
    <cellStyle name="Comma 2 3 4 2 3 2 6" xfId="48456" xr:uid="{864A6F75-D148-472F-8318-96269D19D621}"/>
    <cellStyle name="Comma 2 3 4 2 3 2 7" xfId="50120" xr:uid="{8D49CE4C-36CA-4D7E-8255-8B481AF1EE3D}"/>
    <cellStyle name="Comma 2 3 4 2 3 2 8" xfId="53136" xr:uid="{0191505F-DBD4-4FD2-B007-0F571128AB9F}"/>
    <cellStyle name="Comma 2 3 4 2 3 3" xfId="14606" xr:uid="{C7403158-6A13-4F63-A65D-2B7223657587}"/>
    <cellStyle name="Comma 2 3 4 2 3 3 2" xfId="22153" xr:uid="{FDD46C1D-14D2-4D28-81BB-BEF4E8119B29}"/>
    <cellStyle name="Comma 2 3 4 2 3 3 3" xfId="46676" xr:uid="{E5A1AF95-EFAC-45BF-BA7D-29BA1E69BFD8}"/>
    <cellStyle name="Comma 2 3 4 2 3 3 4" xfId="51491" xr:uid="{9BE8C2F4-BE6E-4D23-85F2-4F21420FFCDB}"/>
    <cellStyle name="Comma 2 3 4 2 3 3 5" xfId="54507" xr:uid="{383EA049-0DF2-4D75-8BCA-57AAB93D3BCD}"/>
    <cellStyle name="Comma 2 3 4 2 3 4" xfId="15091" xr:uid="{3125982A-8F10-478E-A06D-E353337DE2AF}"/>
    <cellStyle name="Comma 2 3 4 2 3 4 2" xfId="22630" xr:uid="{C1382C9C-9613-4D8E-9633-8886DD777ED3}"/>
    <cellStyle name="Comma 2 3 4 2 3 4 3" xfId="32506" xr:uid="{F3CD20EF-2452-4155-81BA-0150C77415D5}"/>
    <cellStyle name="Comma 2 3 4 2 3 4 4" xfId="51968" xr:uid="{52E080C3-875B-47DE-AE98-8EAA33B00C35}"/>
    <cellStyle name="Comma 2 3 4 2 3 4 5" xfId="54984" xr:uid="{F7E6AD3E-B37E-46FD-BCF0-F58476ED096F}"/>
    <cellStyle name="Comma 2 3 4 2 3 5" xfId="15578" xr:uid="{7D8623F6-238F-4B0C-BBEE-1DA441214A5D}"/>
    <cellStyle name="Comma 2 3 4 2 3 5 2" xfId="23107" xr:uid="{7DE1E102-4EA1-4B7B-A134-AF0F94485735}"/>
    <cellStyle name="Comma 2 3 4 2 3 5 3" xfId="46938" xr:uid="{06650FC6-8785-4880-BB46-51C7BF2ECED5}"/>
    <cellStyle name="Comma 2 3 4 2 3 5 4" xfId="52445" xr:uid="{8A86BE3C-D43B-4123-ADE5-303772B13796}"/>
    <cellStyle name="Comma 2 3 4 2 3 5 5" xfId="55461" xr:uid="{7DF77C6C-3842-4225-90E6-02068EB39CBB}"/>
    <cellStyle name="Comma 2 3 4 2 3 6" xfId="12543" xr:uid="{9CFCEDE8-7E96-4EA4-ADD0-63F6DA48218B}"/>
    <cellStyle name="Comma 2 3 4 2 3 6 2" xfId="47397" xr:uid="{3E6ACB98-8A0D-4A5A-BA9F-B151DE5E4226}"/>
    <cellStyle name="Comma 2 3 4 2 3 6 3" xfId="51014" xr:uid="{41753606-2DD4-4300-8D8E-70A447B4E267}"/>
    <cellStyle name="Comma 2 3 4 2 3 6 4" xfId="54030" xr:uid="{D8DFA6D0-5276-42DB-AF91-AAA3D744C370}"/>
    <cellStyle name="Comma 2 3 4 2 3 7" xfId="48150" xr:uid="{8B91F4F2-53F5-4E12-9577-DD9B2D1EF6EC}"/>
    <cellStyle name="Comma 2 3 4 2 3 8" xfId="49908" xr:uid="{97E13A50-D7D7-42E0-A27A-D2E1DD0E59B2}"/>
    <cellStyle name="Comma 2 3 4 2 3 9" xfId="52924" xr:uid="{2C6F6614-F126-4619-9B29-35D1C908B2F5}"/>
    <cellStyle name="Comma 2 3 4 2 4" xfId="10165" xr:uid="{5D246DCE-6C39-4027-BAA1-12B7E11D6E22}"/>
    <cellStyle name="Comma 2 3 4 2 4 2" xfId="10479" xr:uid="{8F7A1FE6-9A29-4A18-AE3B-6D4D6C6EA3C4}"/>
    <cellStyle name="Comma 2 3 4 2 4 2 2" xfId="14871" xr:uid="{3901DDF8-BA7D-419B-956A-8DB82D575896}"/>
    <cellStyle name="Comma 2 3 4 2 4 2 2 2" xfId="22418" xr:uid="{1EE95974-01A0-4331-A943-481E8E6BB71A}"/>
    <cellStyle name="Comma 2 3 4 2 4 2 2 3" xfId="46998" xr:uid="{77854747-44AA-48DC-BB29-1321503077DE}"/>
    <cellStyle name="Comma 2 3 4 2 4 2 2 4" xfId="51756" xr:uid="{31B5E6DA-11B4-421F-8023-55A4467BF121}"/>
    <cellStyle name="Comma 2 3 4 2 4 2 2 5" xfId="54772" xr:uid="{1202CC1F-87C8-4A2E-B732-1221082102F9}"/>
    <cellStyle name="Comma 2 3 4 2 4 2 3" xfId="15356" xr:uid="{35677AEF-1843-4D22-9C2F-A81DADBB6B68}"/>
    <cellStyle name="Comma 2 3 4 2 4 2 3 2" xfId="22895" xr:uid="{4D667B85-D19F-4C11-94CF-378C15A99776}"/>
    <cellStyle name="Comma 2 3 4 2 4 2 3 3" xfId="24907" xr:uid="{9DE31FC2-FDD9-4AFB-B9B2-6B22502D6BB6}"/>
    <cellStyle name="Comma 2 3 4 2 4 2 3 4" xfId="52233" xr:uid="{DD456199-39E6-45C1-9C77-DE809565183E}"/>
    <cellStyle name="Comma 2 3 4 2 4 2 3 5" xfId="55249" xr:uid="{EDFAF2A1-FBD6-4764-9F7D-2EC25C7B62F4}"/>
    <cellStyle name="Comma 2 3 4 2 4 2 4" xfId="15843" xr:uid="{599BA92C-CD7D-4A02-B01C-FB3890F5CCE3}"/>
    <cellStyle name="Comma 2 3 4 2 4 2 4 2" xfId="23372" xr:uid="{9C1B69F8-DDB9-4004-8A65-62A184D2BBFE}"/>
    <cellStyle name="Comma 2 3 4 2 4 2 4 3" xfId="46596" xr:uid="{D03F3063-3208-4A89-956B-DAF929D61F17}"/>
    <cellStyle name="Comma 2 3 4 2 4 2 4 4" xfId="52710" xr:uid="{59F68CCE-9745-4940-9F22-D6E588B05B58}"/>
    <cellStyle name="Comma 2 3 4 2 4 2 4 5" xfId="55726" xr:uid="{2069E285-890E-42FE-ACCB-E4E2BAC32351}"/>
    <cellStyle name="Comma 2 3 4 2 4 2 5" xfId="12932" xr:uid="{F2FBE7F2-AC98-4666-BF7D-518FCE7B76F2}"/>
    <cellStyle name="Comma 2 3 4 2 4 2 5 2" xfId="46813" xr:uid="{0C08B37A-04A7-4BBE-8DA8-D59949B73D23}"/>
    <cellStyle name="Comma 2 3 4 2 4 2 5 3" xfId="51279" xr:uid="{02878AC1-F6C6-4854-86A3-6059E67DDDD5}"/>
    <cellStyle name="Comma 2 3 4 2 4 2 5 4" xfId="54295" xr:uid="{E876AA62-5C1C-4989-8CCE-20AF275B9FE8}"/>
    <cellStyle name="Comma 2 3 4 2 4 2 6" xfId="47587" xr:uid="{7409D4E5-F6E8-4FDD-8966-DBE6C8236EDE}"/>
    <cellStyle name="Comma 2 3 4 2 4 2 7" xfId="50173" xr:uid="{93A3E029-A279-40C6-A6A9-503FD3CA82C6}"/>
    <cellStyle name="Comma 2 3 4 2 4 2 8" xfId="53189" xr:uid="{D339AC9A-AC65-45FE-8EA1-CCA6F2E4CAF8}"/>
    <cellStyle name="Comma 2 3 4 2 4 3" xfId="14659" xr:uid="{8F95E271-788C-4ACB-93D7-0C6404036915}"/>
    <cellStyle name="Comma 2 3 4 2 4 3 2" xfId="22206" xr:uid="{A68CD093-70EB-490C-8E4D-6A6C82B7C945}"/>
    <cellStyle name="Comma 2 3 4 2 4 3 3" xfId="25302" xr:uid="{46F31577-B50B-4616-9597-FDBCBB63BA6B}"/>
    <cellStyle name="Comma 2 3 4 2 4 3 4" xfId="51544" xr:uid="{AF3722FC-AC7C-47A6-A13B-14C30984EE3F}"/>
    <cellStyle name="Comma 2 3 4 2 4 3 5" xfId="54560" xr:uid="{4EB77FFF-B6E5-4CC9-A8AC-C970147178B3}"/>
    <cellStyle name="Comma 2 3 4 2 4 4" xfId="15144" xr:uid="{CA103B5A-EB9A-46A5-936E-99BD1F0DE250}"/>
    <cellStyle name="Comma 2 3 4 2 4 4 2" xfId="22683" xr:uid="{F9EA030C-4820-4071-8D9D-893769131B00}"/>
    <cellStyle name="Comma 2 3 4 2 4 4 3" xfId="48294" xr:uid="{BAC5D89C-57D5-4482-893C-78F1719A4B1A}"/>
    <cellStyle name="Comma 2 3 4 2 4 4 4" xfId="52021" xr:uid="{1FB17AC0-28DD-401C-85BE-9C51D97B6A02}"/>
    <cellStyle name="Comma 2 3 4 2 4 4 5" xfId="55037" xr:uid="{11FAB90D-11B7-4D54-9E79-FE659802C50A}"/>
    <cellStyle name="Comma 2 3 4 2 4 5" xfId="15631" xr:uid="{0AC4B005-A27A-41D0-83CE-E2D8B8619370}"/>
    <cellStyle name="Comma 2 3 4 2 4 5 2" xfId="23160" xr:uid="{CB06C5B5-4932-4A9B-AF18-951FC5DE8DA2}"/>
    <cellStyle name="Comma 2 3 4 2 4 5 3" xfId="48131" xr:uid="{5FE63104-AFE8-44C8-8507-EF7868D9816C}"/>
    <cellStyle name="Comma 2 3 4 2 4 5 4" xfId="52498" xr:uid="{5EB1CBE6-C61D-4EFF-9D1F-CDF40CE84F74}"/>
    <cellStyle name="Comma 2 3 4 2 4 5 5" xfId="55514" xr:uid="{4A6381A0-3A8C-4981-A46B-0A568DB90270}"/>
    <cellStyle name="Comma 2 3 4 2 4 6" xfId="12619" xr:uid="{7E25A57F-39C6-4ED4-A997-C234680615B0}"/>
    <cellStyle name="Comma 2 3 4 2 4 6 2" xfId="48048" xr:uid="{B6774B78-B954-4EBD-80EB-80A8220F05E5}"/>
    <cellStyle name="Comma 2 3 4 2 4 6 3" xfId="51067" xr:uid="{9145F18E-40A6-4A32-A45D-B355067A4265}"/>
    <cellStyle name="Comma 2 3 4 2 4 6 4" xfId="54083" xr:uid="{2B6728AB-E8A2-42BE-9A8E-C0A016F925F1}"/>
    <cellStyle name="Comma 2 3 4 2 4 7" xfId="46617" xr:uid="{6C25B415-C1D0-4139-87AA-9BC3E43B9B6F}"/>
    <cellStyle name="Comma 2 3 4 2 4 8" xfId="49961" xr:uid="{BC2EB103-A81D-4BF9-8DA1-4A866700288B}"/>
    <cellStyle name="Comma 2 3 4 2 4 9" xfId="52977" xr:uid="{E1C7403A-EE33-472A-B3A5-85244D370A18}"/>
    <cellStyle name="Comma 2 3 4 2 5" xfId="10245" xr:uid="{C0000E45-76F0-4712-8205-D063C5431C84}"/>
    <cellStyle name="Comma 2 3 4 2 5 2" xfId="14712" xr:uid="{40615CEA-9602-4542-9831-45C7E65D3785}"/>
    <cellStyle name="Comma 2 3 4 2 5 2 2" xfId="22259" xr:uid="{23CABDE4-7FAA-4372-831B-DB4DB54C544F}"/>
    <cellStyle name="Comma 2 3 4 2 5 2 3" xfId="46852" xr:uid="{27F25384-B772-4E31-861A-B6B35C6A32F9}"/>
    <cellStyle name="Comma 2 3 4 2 5 2 4" xfId="51597" xr:uid="{30D72B1A-6EAE-42C0-B39F-17872BBA587D}"/>
    <cellStyle name="Comma 2 3 4 2 5 2 5" xfId="54613" xr:uid="{A5F70F48-9C0B-47B7-B130-80BD09A3C265}"/>
    <cellStyle name="Comma 2 3 4 2 5 3" xfId="15197" xr:uid="{2E2BCE27-193B-4D22-9549-5305834F44E0}"/>
    <cellStyle name="Comma 2 3 4 2 5 3 2" xfId="22736" xr:uid="{83C2E063-9269-43C9-B17A-F5E57C93BFD8}"/>
    <cellStyle name="Comma 2 3 4 2 5 3 3" xfId="46690" xr:uid="{9EF0F097-924A-4BE0-9BEB-9D26D9466673}"/>
    <cellStyle name="Comma 2 3 4 2 5 3 4" xfId="52074" xr:uid="{DB674279-F0AF-477D-B959-7F74396D4134}"/>
    <cellStyle name="Comma 2 3 4 2 5 3 5" xfId="55090" xr:uid="{3A9317D2-4D79-433E-8E86-E1A8AAD0527E}"/>
    <cellStyle name="Comma 2 3 4 2 5 4" xfId="15684" xr:uid="{A2377EBD-3960-4FC8-B630-17A5B5F570B2}"/>
    <cellStyle name="Comma 2 3 4 2 5 4 2" xfId="23213" xr:uid="{CCC77F15-CE3F-4943-8BD2-E1EEF7030D89}"/>
    <cellStyle name="Comma 2 3 4 2 5 4 3" xfId="46953" xr:uid="{6BFD8B11-BF33-4882-AF77-92EE4E233D11}"/>
    <cellStyle name="Comma 2 3 4 2 5 4 4" xfId="52551" xr:uid="{279F7F5B-00D0-4C5E-A1AB-1C395776D7F6}"/>
    <cellStyle name="Comma 2 3 4 2 5 4 5" xfId="55567" xr:uid="{461037AC-42EE-4E74-A45B-A8EE57378CE5}"/>
    <cellStyle name="Comma 2 3 4 2 5 5" xfId="12698" xr:uid="{DF21CEBD-46CE-439C-90C5-D8621FC14EE2}"/>
    <cellStyle name="Comma 2 3 4 2 5 5 2" xfId="46343" xr:uid="{4C5D5999-B08F-4E62-B279-1F6CE69D3F60}"/>
    <cellStyle name="Comma 2 3 4 2 5 5 3" xfId="51120" xr:uid="{D3E46E5F-1F85-4C39-9DB6-D45CA17A42CB}"/>
    <cellStyle name="Comma 2 3 4 2 5 5 4" xfId="54136" xr:uid="{44A08D2F-9AA4-403C-9758-FAA4341D396E}"/>
    <cellStyle name="Comma 2 3 4 2 5 6" xfId="47409" xr:uid="{E6D4B0DC-4D89-4C31-A45A-A5AA24F4C2D9}"/>
    <cellStyle name="Comma 2 3 4 2 5 7" xfId="50014" xr:uid="{6C95E196-C4FD-438E-8D24-FD78A69FF3EB}"/>
    <cellStyle name="Comma 2 3 4 2 5 8" xfId="53030" xr:uid="{401D6554-CF2D-4DCE-A5B2-468BA175A613}"/>
    <cellStyle name="Comma 2 3 4 2 6" xfId="10559" xr:uid="{55477357-EACE-4FA9-A4C9-B66704D34DD1}"/>
    <cellStyle name="Comma 2 3 4 2 6 2" xfId="14924" xr:uid="{1C6DB4A4-AF49-4530-A44D-5E678D09E0C8}"/>
    <cellStyle name="Comma 2 3 4 2 6 2 2" xfId="22471" xr:uid="{5D335B7F-765E-4F54-9CA5-ABE4CB82D009}"/>
    <cellStyle name="Comma 2 3 4 2 6 2 3" xfId="48323" xr:uid="{2F359B3E-8A16-43C9-B4C8-99BB43F422C9}"/>
    <cellStyle name="Comma 2 3 4 2 6 2 4" xfId="51809" xr:uid="{579754E7-D3D6-493C-80B3-A3E65F9FBB86}"/>
    <cellStyle name="Comma 2 3 4 2 6 2 5" xfId="54825" xr:uid="{A989450B-1F2A-493B-B2D6-B5654ADD6B16}"/>
    <cellStyle name="Comma 2 3 4 2 6 3" xfId="15409" xr:uid="{044C2E20-E9F0-4AF9-BADA-D6FD4E8B2BB2}"/>
    <cellStyle name="Comma 2 3 4 2 6 3 2" xfId="22948" xr:uid="{4C5B6181-33B6-43A8-879E-890B27192675}"/>
    <cellStyle name="Comma 2 3 4 2 6 3 3" xfId="47404" xr:uid="{20E855E8-963D-4239-94D4-1D57AF67453B}"/>
    <cellStyle name="Comma 2 3 4 2 6 3 4" xfId="52286" xr:uid="{D81009AB-434F-49B9-B30B-3D73A450B56E}"/>
    <cellStyle name="Comma 2 3 4 2 6 3 5" xfId="55302" xr:uid="{9D235538-A5AF-411D-B0C5-BA5CA6673B17}"/>
    <cellStyle name="Comma 2 3 4 2 6 4" xfId="15897" xr:uid="{0DBF7D2E-0D9B-4630-95E8-47EA28EBEDE5}"/>
    <cellStyle name="Comma 2 3 4 2 6 4 2" xfId="23425" xr:uid="{4FA83FED-6431-49FB-A593-C64601D14893}"/>
    <cellStyle name="Comma 2 3 4 2 6 4 3" xfId="46602" xr:uid="{65A14DDC-5046-408B-8C4B-D43356703A57}"/>
    <cellStyle name="Comma 2 3 4 2 6 4 4" xfId="52763" xr:uid="{0138A6F1-65E9-4B60-A3A4-6ADF0CC1A407}"/>
    <cellStyle name="Comma 2 3 4 2 6 4 5" xfId="55779" xr:uid="{60003B52-ADDF-4FC4-90BE-1CA77C96ECA4}"/>
    <cellStyle name="Comma 2 3 4 2 6 5" xfId="13012" xr:uid="{2A89C149-134A-4326-B2D2-DFA8E38BE0D5}"/>
    <cellStyle name="Comma 2 3 4 2 6 5 2" xfId="46821" xr:uid="{245F2F40-8135-47DA-A42F-8F6D40DC66F6}"/>
    <cellStyle name="Comma 2 3 4 2 6 5 3" xfId="51332" xr:uid="{A7868FE0-541D-4F50-8998-38A76DD8798C}"/>
    <cellStyle name="Comma 2 3 4 2 6 5 4" xfId="54348" xr:uid="{054661EB-6831-4818-97E0-CE23C37C157C}"/>
    <cellStyle name="Comma 2 3 4 2 6 6" xfId="32473" xr:uid="{18487AE0-58B6-4257-8085-5FA286BBCAC6}"/>
    <cellStyle name="Comma 2 3 4 2 6 7" xfId="50226" xr:uid="{8BBA7CE6-1E40-42D1-A37B-97AE0DA0D331}"/>
    <cellStyle name="Comma 2 3 4 2 6 8" xfId="53242" xr:uid="{04C3DDA2-644C-414D-A572-A98169EAD76F}"/>
    <cellStyle name="Comma 2 3 4 2 7" xfId="13373" xr:uid="{B8CFA68C-54EC-4406-A3CB-9C7312B72AF0}"/>
    <cellStyle name="Comma 2 3 4 2 8" xfId="14500" xr:uid="{25CFCF9B-5E7C-40B4-AE34-B29C29455218}"/>
    <cellStyle name="Comma 2 3 4 2 8 2" xfId="22047" xr:uid="{6A4C69F8-9556-4FE8-A4A2-916C3DB15AEA}"/>
    <cellStyle name="Comma 2 3 4 2 8 3" xfId="46828" xr:uid="{D84C003C-BD3C-4DEA-9180-3489B94AF63E}"/>
    <cellStyle name="Comma 2 3 4 2 8 4" xfId="51385" xr:uid="{8E8713A4-ED20-426A-B46F-FDF57A2550F4}"/>
    <cellStyle name="Comma 2 3 4 2 8 5" xfId="54401" xr:uid="{D59EDA3E-4137-442D-8410-C1A3130B21A9}"/>
    <cellStyle name="Comma 2 3 4 2 9" xfId="14984" xr:uid="{7DC9D707-1F72-435A-BED6-0BF5F4267ADE}"/>
    <cellStyle name="Comma 2 3 4 2 9 2" xfId="22524" xr:uid="{6764BA9F-52DE-4D35-AE55-23AE1FB174F2}"/>
    <cellStyle name="Comma 2 3 4 2 9 3" xfId="32402" xr:uid="{7DA90685-D286-4016-82A3-1EB96E88B059}"/>
    <cellStyle name="Comma 2 3 4 2 9 4" xfId="51862" xr:uid="{0552AD6B-564F-40B2-8E16-156DD1938044}"/>
    <cellStyle name="Comma 2 3 4 2 9 5" xfId="54878" xr:uid="{544FD741-E049-45C4-AC2C-C1302E47B433}"/>
    <cellStyle name="Comma 2 3 4 3" xfId="5813" xr:uid="{71311E5F-8844-4C6D-B2A7-3F9E1F338858}"/>
    <cellStyle name="Comma 2 3 4 3 2" xfId="12270" xr:uid="{59A692F0-4649-48AF-93DE-87A8EE2C0DE5}"/>
    <cellStyle name="Comma 2 3 4 4" xfId="11581" xr:uid="{761DBB6F-17E2-4EC5-8136-0AD151B8744F}"/>
    <cellStyle name="Comma 2 3 4 4 2" xfId="21705" xr:uid="{81E55082-0311-49B4-8E33-36D8FE31928E}"/>
    <cellStyle name="Comma 2 3 4 4 3" xfId="48390" xr:uid="{F7E1564A-C4BB-4F8E-B6D2-7EB39D2B06C3}"/>
    <cellStyle name="Comma 2 3 4 4 4" xfId="50728" xr:uid="{4293E585-CA9A-4F3D-A8C9-31DC89BE8EE2}"/>
    <cellStyle name="Comma 2 3 4 4 5" xfId="53744" xr:uid="{959C9C27-4996-4F57-AE52-FEAB552B6E84}"/>
    <cellStyle name="Comma 2 3 4 5" xfId="19474" xr:uid="{DC63F786-1A2A-4909-B065-92D05DB07035}"/>
    <cellStyle name="Comma 2 3 4 6" xfId="23718" xr:uid="{C366195C-9496-4627-B938-CFC7C4097D97}"/>
    <cellStyle name="Comma 2 3 4 7" xfId="48608" xr:uid="{36AB1D3D-2D01-4A66-99EA-F46BE923321F}"/>
    <cellStyle name="Comma 2 3 4 8" xfId="49518" xr:uid="{456699C7-E092-4954-A822-A7C65A39349F}"/>
    <cellStyle name="Comma 2 3 4 9" xfId="7227" xr:uid="{E94B720B-CFFF-4031-9FD0-70DDB37E4FF8}"/>
    <cellStyle name="Comma 2 3 5" xfId="2614" xr:uid="{80CB021D-4E8D-49A0-B08C-7ACB84E33FFB}"/>
    <cellStyle name="Comma 2 3 5 2" xfId="4533" xr:uid="{61410ED2-BE81-418B-AB28-BCC6AC907C05}"/>
    <cellStyle name="Comma 2 3 5 2 2" xfId="35064" xr:uid="{E5303C72-7508-4557-9217-3DA9C22B11F5}"/>
    <cellStyle name="Comma 2 3 5 2 2 2" xfId="40225" xr:uid="{21B99591-E13C-4E64-8EF1-D9C1E61B9B3C}"/>
    <cellStyle name="Comma 2 3 5 2 2 3" xfId="45527" xr:uid="{77412F70-D141-4945-B6EF-D9F5F3C79587}"/>
    <cellStyle name="Comma 2 3 5 2 3" xfId="37574" xr:uid="{9EA42155-A56E-41B2-8954-9563BE113DF3}"/>
    <cellStyle name="Comma 2 3 5 2 4" xfId="42876" xr:uid="{007FACC0-60BC-4AB2-991E-5AF053BD8E83}"/>
    <cellStyle name="Comma 2 3 5 2 5" xfId="12217" xr:uid="{148D5C60-D492-4753-A3C7-35631121B08F}"/>
    <cellStyle name="Comma 2 3 5 3" xfId="5814" xr:uid="{CCE30DD6-D117-4FE5-81F5-D9085349F850}"/>
    <cellStyle name="Comma 2 3 5 3 2" xfId="21717" xr:uid="{A5EFA49C-4C07-471C-9F01-1A6B56340A0A}"/>
    <cellStyle name="Comma 2 3 5 3 3" xfId="48188" xr:uid="{047496C1-43B7-4088-BCF9-8DDEE6265477}"/>
    <cellStyle name="Comma 2 3 5 3 4" xfId="50743" xr:uid="{56AEEA75-2134-491E-A7AD-24CA8F985438}"/>
    <cellStyle name="Comma 2 3 5 3 5" xfId="53759" xr:uid="{F6BA89DF-B6E7-4D04-90EE-D0346964BD46}"/>
    <cellStyle name="Comma 2 3 5 3 6" xfId="11695" xr:uid="{002F357A-E0B9-46C4-91FA-A67BF3735A1F}"/>
    <cellStyle name="Comma 2 3 5 4" xfId="19475" xr:uid="{69C28A44-EAAE-4A6B-93E0-A4E2A2B5584B}"/>
    <cellStyle name="Comma 2 3 5 5" xfId="23720" xr:uid="{3CA9308A-79EC-4C87-82B3-2344F8E29D15}"/>
    <cellStyle name="Comma 2 3 5 6" xfId="48610" xr:uid="{293D50F8-4B89-4D36-A5DD-3B1C0735C387}"/>
    <cellStyle name="Comma 2 3 5 7" xfId="49520" xr:uid="{E52C8E33-5321-4ECE-8374-50CC37A6EE0E}"/>
    <cellStyle name="Comma 2 3 5 8" xfId="8183" xr:uid="{21C81C4E-5F14-48A5-8E77-E76D5A72DC12}"/>
    <cellStyle name="Comma 2 3 6" xfId="4528" xr:uid="{7E56354E-4C7E-4689-AF31-B607BC12E24A}"/>
    <cellStyle name="Comma 2 3 6 2" xfId="11542" xr:uid="{2BE4F284-9FCF-4E4D-AF6C-E1B405688C22}"/>
    <cellStyle name="Comma 2 3 6 3" xfId="18050" xr:uid="{17BF0ADC-2825-4CE5-894B-64A485169D96}"/>
    <cellStyle name="Comma 2 3 6 3 2" xfId="21681" xr:uid="{06D266F9-9A18-47D8-907C-6A583BAB3238}"/>
    <cellStyle name="Comma 2 3 6 4" xfId="23721" xr:uid="{D420FA9A-911D-44E8-BCD0-E7FE44393567}"/>
    <cellStyle name="Comma 2 3 6 5" xfId="50697" xr:uid="{42E7E866-994A-4CE9-A3C0-816E15FF63A9}"/>
    <cellStyle name="Comma 2 3 6 6" xfId="53713" xr:uid="{B06C3A7C-C214-4E3C-97D7-C6DD40C8F5E6}"/>
    <cellStyle name="Comma 2 3 6 7" xfId="11184" xr:uid="{AECF0BD4-1318-463C-B393-4A78E9FAB334}"/>
    <cellStyle name="Comma 2 3 7" xfId="5810" xr:uid="{6D07E8E1-4FD3-4B24-98FC-825E1B37A4A0}"/>
    <cellStyle name="Comma 2 3 7 2" xfId="13056" xr:uid="{6AC41B87-FE14-4BF2-A1DF-2AB6209D3A8C}"/>
    <cellStyle name="Comma 2 3 8" xfId="2609" xr:uid="{5963EEB3-6336-485C-B87E-65C099A806BF}"/>
    <cellStyle name="Comma 2 3 8 2" xfId="19471" xr:uid="{0C28B240-2510-43C0-9A95-5233EDD28740}"/>
    <cellStyle name="Comma 2 3 9" xfId="23709" xr:uid="{3E299553-8E00-4615-BDE6-F32438CBA509}"/>
    <cellStyle name="Comma 2 4" xfId="1293" xr:uid="{00000000-0005-0000-0000-000055000000}"/>
    <cellStyle name="Comma 2 4 10" xfId="7233" xr:uid="{3F558B89-F574-4956-BDC9-A1488BD4E42D}"/>
    <cellStyle name="Comma 2 4 2" xfId="4534" xr:uid="{856E831D-F07A-4A53-994F-2E1204E7FA63}"/>
    <cellStyle name="Comma 2 4 2 10" xfId="15472" xr:uid="{337CE5CD-45CC-4C4C-9C75-EE0A5549F20C}"/>
    <cellStyle name="Comma 2 4 2 10 2" xfId="23002" xr:uid="{7FFA72FF-7415-4450-84EB-75E0FF7EAA66}"/>
    <cellStyle name="Comma 2 4 2 10 3" xfId="48037" xr:uid="{5D44AD8B-D4E2-440E-80ED-DC654ED8A771}"/>
    <cellStyle name="Comma 2 4 2 10 4" xfId="52340" xr:uid="{A180428C-B58E-48FF-A8A9-2DBB1FAB1D62}"/>
    <cellStyle name="Comma 2 4 2 10 5" xfId="55356" xr:uid="{27A7D9F1-EB1D-4820-B506-A51B5686F105}"/>
    <cellStyle name="Comma 2 4 2 11" xfId="11696" xr:uid="{1D35AB61-2B12-4D81-AB06-AB45AADB9AA4}"/>
    <cellStyle name="Comma 2 4 2 11 2" xfId="21718" xr:uid="{2800C085-0883-4C3B-A21A-D8FD904C3A13}"/>
    <cellStyle name="Comma 2 4 2 11 3" xfId="46282" xr:uid="{4CD57A30-49CA-425A-BC2B-B0DEB1A4B488}"/>
    <cellStyle name="Comma 2 4 2 11 4" xfId="50744" xr:uid="{E1EF063A-5B48-4700-A04A-8CAA71C6B2DC}"/>
    <cellStyle name="Comma 2 4 2 11 5" xfId="53760" xr:uid="{598C7F24-9A09-47CA-B372-1EDA95D1F7CD}"/>
    <cellStyle name="Comma 2 4 2 12" xfId="23723" xr:uid="{6D3164DB-076C-469D-AC39-777571A3F1CE}"/>
    <cellStyle name="Comma 2 4 2 13" xfId="48612" xr:uid="{6A217085-E5B3-4C0D-9652-018CBA483A3C}"/>
    <cellStyle name="Comma 2 4 2 14" xfId="49522" xr:uid="{7159213E-EFCF-4A23-A2B1-CAA306B8DDB0}"/>
    <cellStyle name="Comma 2 4 2 15" xfId="49803" xr:uid="{263A6E4C-75E3-4678-A3F2-9A9DC5E68744}"/>
    <cellStyle name="Comma 2 4 2 16" xfId="52818" xr:uid="{056F3268-018B-4ADD-A272-215FC486CC07}"/>
    <cellStyle name="Comma 2 4 2 17" xfId="8926" xr:uid="{CC0C97E8-8668-43D9-9804-10264AE4426D}"/>
    <cellStyle name="Comma 2 4 2 2" xfId="10013" xr:uid="{95F67B37-AA24-4E93-9906-5B76CB624148}"/>
    <cellStyle name="Comma 2 4 2 2 2" xfId="10321" xr:uid="{96C1C876-499B-4173-BB46-B24C18026FBE}"/>
    <cellStyle name="Comma 2 4 2 2 2 2" xfId="14766" xr:uid="{CFCD6282-352E-4222-8EB9-1F8851E237F0}"/>
    <cellStyle name="Comma 2 4 2 2 2 2 2" xfId="22313" xr:uid="{595D285E-2C15-4119-9DEF-30533A716335}"/>
    <cellStyle name="Comma 2 4 2 2 2 2 3" xfId="47393" xr:uid="{63498283-0E94-4BB4-983B-BB34C8468AFF}"/>
    <cellStyle name="Comma 2 4 2 2 2 2 4" xfId="51651" xr:uid="{C9C23899-4038-48C1-8957-2B3303E6CCD1}"/>
    <cellStyle name="Comma 2 4 2 2 2 2 5" xfId="54667" xr:uid="{E16D0831-02B7-448E-820C-D29B32751E10}"/>
    <cellStyle name="Comma 2 4 2 2 2 3" xfId="15251" xr:uid="{BE33BF0F-421A-408D-9374-178C9460C56D}"/>
    <cellStyle name="Comma 2 4 2 2 2 3 2" xfId="22790" xr:uid="{597E7650-D860-4728-9380-5F114205215A}"/>
    <cellStyle name="Comma 2 4 2 2 2 3 3" xfId="46503" xr:uid="{A6F85228-45BA-4F30-A2D4-4D2DDEDAECC1}"/>
    <cellStyle name="Comma 2 4 2 2 2 3 4" xfId="52128" xr:uid="{3A3A61D4-BEE4-4BBF-BDBB-CCFFA09BF3C0}"/>
    <cellStyle name="Comma 2 4 2 2 2 3 5" xfId="55144" xr:uid="{D2D5480F-858B-46BB-9B30-43C62C5857A8}"/>
    <cellStyle name="Comma 2 4 2 2 2 4" xfId="15738" xr:uid="{52D95BC7-0DFD-495D-929D-AC5DC2947889}"/>
    <cellStyle name="Comma 2 4 2 2 2 4 2" xfId="23267" xr:uid="{A858B2ED-AB99-45A4-B64F-FC69EDF5BD34}"/>
    <cellStyle name="Comma 2 4 2 2 2 4 3" xfId="48310" xr:uid="{10690667-3BA5-4215-9D55-8CD8CC1649EE}"/>
    <cellStyle name="Comma 2 4 2 2 2 4 4" xfId="52605" xr:uid="{F2EA3445-1FFA-498B-81CF-F22DA240538E}"/>
    <cellStyle name="Comma 2 4 2 2 2 4 5" xfId="55621" xr:uid="{1FAF8687-2D85-4DF5-B763-21B208D7EB67}"/>
    <cellStyle name="Comma 2 4 2 2 2 5" xfId="12774" xr:uid="{2B6DB337-5476-4EFD-A778-27241F947191}"/>
    <cellStyle name="Comma 2 4 2 2 2 5 2" xfId="47821" xr:uid="{1142D422-D1D2-4D76-9273-588C95A13E3F}"/>
    <cellStyle name="Comma 2 4 2 2 2 5 3" xfId="51174" xr:uid="{6F189493-4371-4A83-8B1F-23763073C580}"/>
    <cellStyle name="Comma 2 4 2 2 2 5 4" xfId="54190" xr:uid="{6B3EE06E-7872-4136-AABC-3D0E1EDD1D85}"/>
    <cellStyle name="Comma 2 4 2 2 2 6" xfId="46088" xr:uid="{2DBE433D-44D9-45C1-AFBE-83C484A43D35}"/>
    <cellStyle name="Comma 2 4 2 2 2 7" xfId="50068" xr:uid="{4256C48C-A91C-4285-A03C-55FE39551DA8}"/>
    <cellStyle name="Comma 2 4 2 2 2 8" xfId="53084" xr:uid="{5919BC02-4B07-4EE7-95A1-B87FA85CB967}"/>
    <cellStyle name="Comma 2 4 2 2 3" xfId="14554" xr:uid="{60FB29DB-3CC5-4DE1-9D01-5F9AF50B1433}"/>
    <cellStyle name="Comma 2 4 2 2 3 2" xfId="22101" xr:uid="{6BE345CE-9A82-45FC-9E69-DCF3C0C230C9}"/>
    <cellStyle name="Comma 2 4 2 2 3 3" xfId="47532" xr:uid="{288E7326-AF53-4166-8A02-71E1F8D26812}"/>
    <cellStyle name="Comma 2 4 2 2 3 4" xfId="51439" xr:uid="{3A5D21D3-8135-416F-B680-1602F97011D3}"/>
    <cellStyle name="Comma 2 4 2 2 3 5" xfId="54455" xr:uid="{B1EC2738-D1C6-4903-9395-02A938DB7052}"/>
    <cellStyle name="Comma 2 4 2 2 4" xfId="15038" xr:uid="{09D04F18-FA45-4765-86B0-4E167EBB440D}"/>
    <cellStyle name="Comma 2 4 2 2 4 2" xfId="22578" xr:uid="{063054EC-9F17-47EE-97A5-BB106ACC6DE7}"/>
    <cellStyle name="Comma 2 4 2 2 4 3" xfId="48008" xr:uid="{C61A9A3B-5483-4B3C-8A22-2BAD0C027EBF}"/>
    <cellStyle name="Comma 2 4 2 2 4 4" xfId="51916" xr:uid="{C251BF31-03C1-47DF-AE04-90EF85C81FBD}"/>
    <cellStyle name="Comma 2 4 2 2 4 5" xfId="54932" xr:uid="{BB1D83D0-36C5-43B8-B3C8-7D762AD094C6}"/>
    <cellStyle name="Comma 2 4 2 2 5" xfId="15525" xr:uid="{7272F2CB-7879-4939-AD88-F8C468B4E74F}"/>
    <cellStyle name="Comma 2 4 2 2 5 2" xfId="23055" xr:uid="{6120FA6B-2C1C-41CA-8D43-FEDF6E36341B}"/>
    <cellStyle name="Comma 2 4 2 2 5 3" xfId="46545" xr:uid="{EC28DAE8-90F1-4796-936E-ED9B8D0EF09D}"/>
    <cellStyle name="Comma 2 4 2 2 5 4" xfId="52393" xr:uid="{E724E70F-6DDA-4470-83F8-A89AE9DCB713}"/>
    <cellStyle name="Comma 2 4 2 2 5 5" xfId="55409" xr:uid="{72706A6A-5AFB-41D3-9B39-407D713BCD73}"/>
    <cellStyle name="Comma 2 4 2 2 6" xfId="12473" xr:uid="{B19F4004-3A70-4289-A26D-97790D6A6B52}"/>
    <cellStyle name="Comma 2 4 2 2 6 2" xfId="47716" xr:uid="{33314D03-DF6D-496D-B201-F0BE7843EC40}"/>
    <cellStyle name="Comma 2 4 2 2 6 3" xfId="50962" xr:uid="{FD1D093E-8F01-44C6-A70A-50E9842390E3}"/>
    <cellStyle name="Comma 2 4 2 2 6 4" xfId="53978" xr:uid="{09BC4457-4C64-4231-887F-1E64076B0177}"/>
    <cellStyle name="Comma 2 4 2 2 7" xfId="47866" xr:uid="{A91338B8-A502-4732-BF1A-7B551924221E}"/>
    <cellStyle name="Comma 2 4 2 2 8" xfId="49856" xr:uid="{4B449CAF-1E2A-4477-A3F4-FB21B49CB6B7}"/>
    <cellStyle name="Comma 2 4 2 2 9" xfId="52872" xr:uid="{BFE18F86-6D43-4215-AE24-5E975AF566E4}"/>
    <cellStyle name="Comma 2 4 2 3" xfId="10087" xr:uid="{220DDDC9-B054-478C-B8E4-013CE854E41C}"/>
    <cellStyle name="Comma 2 4 2 3 2" xfId="10400" xr:uid="{D9303CD9-49E9-40FE-BFBF-38625CEA02DD}"/>
    <cellStyle name="Comma 2 4 2 3 2 2" xfId="14819" xr:uid="{80A3CC5F-0DDB-4DCE-98E0-85901967793B}"/>
    <cellStyle name="Comma 2 4 2 3 2 2 2" xfId="22366" xr:uid="{EEC6A05B-6A73-4AB8-9AC7-477975084B1A}"/>
    <cellStyle name="Comma 2 4 2 3 2 2 3" xfId="48506" xr:uid="{0344DFD1-14DB-4EE3-9A8D-16DE4AC49D9C}"/>
    <cellStyle name="Comma 2 4 2 3 2 2 4" xfId="51704" xr:uid="{EF3114E7-E338-4F91-A9AA-4A0C8F5AFBF1}"/>
    <cellStyle name="Comma 2 4 2 3 2 2 5" xfId="54720" xr:uid="{A7701EAF-E6B7-4B63-88C9-5B7A77342B63}"/>
    <cellStyle name="Comma 2 4 2 3 2 3" xfId="15304" xr:uid="{D9828A40-2F41-4EB7-8AD7-BBEECA1EC5D0}"/>
    <cellStyle name="Comma 2 4 2 3 2 3 2" xfId="22843" xr:uid="{1D70E220-D1F0-4052-8A23-C17721C72FB5}"/>
    <cellStyle name="Comma 2 4 2 3 2 3 3" xfId="46905" xr:uid="{5EDE7533-09BB-40D0-8E26-AAB5668E0BCA}"/>
    <cellStyle name="Comma 2 4 2 3 2 3 4" xfId="52181" xr:uid="{9D445BAE-4B74-46B7-99CB-8E752525B5F0}"/>
    <cellStyle name="Comma 2 4 2 3 2 3 5" xfId="55197" xr:uid="{AF7F324C-3585-4727-833A-147FEF4283D6}"/>
    <cellStyle name="Comma 2 4 2 3 2 4" xfId="15791" xr:uid="{041CC5A0-AAC6-4BB2-A234-8D168018220E}"/>
    <cellStyle name="Comma 2 4 2 3 2 4 2" xfId="23320" xr:uid="{7F51EA4B-42F0-4BF1-A364-B995888F2934}"/>
    <cellStyle name="Comma 2 4 2 3 2 4 3" xfId="47648" xr:uid="{7E6F2D00-5782-4036-A670-45B76EEE65D3}"/>
    <cellStyle name="Comma 2 4 2 3 2 4 4" xfId="52658" xr:uid="{7EC2F652-D4F3-4681-A889-96C9DB044A03}"/>
    <cellStyle name="Comma 2 4 2 3 2 4 5" xfId="55674" xr:uid="{18BF4625-317A-4AF8-838E-CB7DE025194E}"/>
    <cellStyle name="Comma 2 4 2 3 2 5" xfId="12853" xr:uid="{B5D1AD6C-88F5-4BA6-91F3-8F5D902AB57A}"/>
    <cellStyle name="Comma 2 4 2 3 2 5 2" xfId="46363" xr:uid="{1F9EC336-D7AB-43DF-B4C8-97EB2F8F78F0}"/>
    <cellStyle name="Comma 2 4 2 3 2 5 3" xfId="51227" xr:uid="{762EC6D1-93AE-4768-9E25-9489A858D146}"/>
    <cellStyle name="Comma 2 4 2 3 2 5 4" xfId="54243" xr:uid="{B69B7E75-189C-454F-8050-2315340D0458}"/>
    <cellStyle name="Comma 2 4 2 3 2 6" xfId="46108" xr:uid="{951566C0-E250-447F-9213-C9E3D54934A6}"/>
    <cellStyle name="Comma 2 4 2 3 2 7" xfId="50121" xr:uid="{1B57CE2E-B025-4059-9EF0-D37D98354A7B}"/>
    <cellStyle name="Comma 2 4 2 3 2 8" xfId="53137" xr:uid="{6420BE9B-7C76-471C-8625-6028008118B1}"/>
    <cellStyle name="Comma 2 4 2 3 3" xfId="14607" xr:uid="{B11B45C3-C60B-43E3-852B-915189403297}"/>
    <cellStyle name="Comma 2 4 2 3 3 2" xfId="22154" xr:uid="{EF4DCDFD-5F29-4792-8F10-F30930A110A1}"/>
    <cellStyle name="Comma 2 4 2 3 3 3" xfId="47151" xr:uid="{0CED81BA-B146-43E3-809B-FAC7FBCDE9FB}"/>
    <cellStyle name="Comma 2 4 2 3 3 4" xfId="51492" xr:uid="{B960BBCB-2C0A-4C7A-8226-16F4E0ECC7B0}"/>
    <cellStyle name="Comma 2 4 2 3 3 5" xfId="54508" xr:uid="{FC9B8E97-D412-43FD-AA84-60B180740999}"/>
    <cellStyle name="Comma 2 4 2 3 4" xfId="15092" xr:uid="{006DEACA-0657-414F-974B-86702AD6C6E9}"/>
    <cellStyle name="Comma 2 4 2 3 4 2" xfId="22631" xr:uid="{407A70E7-A2E8-4D1D-B8BA-906D4BCC455A}"/>
    <cellStyle name="Comma 2 4 2 3 4 3" xfId="47681" xr:uid="{55C3814E-DCC5-4F03-A1D2-1D7B2F474185}"/>
    <cellStyle name="Comma 2 4 2 3 4 4" xfId="51969" xr:uid="{CB45D0FE-1C89-4FD2-95E7-BD5FFF7BD665}"/>
    <cellStyle name="Comma 2 4 2 3 4 5" xfId="54985" xr:uid="{018650D8-501F-47E6-B078-9A1050EA752D}"/>
    <cellStyle name="Comma 2 4 2 3 5" xfId="15579" xr:uid="{3CA12EFC-0D92-482D-84B1-806332DF92F7}"/>
    <cellStyle name="Comma 2 4 2 3 5 2" xfId="23108" xr:uid="{C360B4EF-A333-4426-87B3-1712F188D15D}"/>
    <cellStyle name="Comma 2 4 2 3 5 3" xfId="48366" xr:uid="{E3C97DD9-C3E3-45DA-A43C-2E1A5C8F1B3C}"/>
    <cellStyle name="Comma 2 4 2 3 5 4" xfId="52446" xr:uid="{4D1A4745-5396-43C3-9EF3-55C039525136}"/>
    <cellStyle name="Comma 2 4 2 3 5 5" xfId="55462" xr:uid="{79D7BC43-69F1-4A18-94BC-4A7EC9D568F8}"/>
    <cellStyle name="Comma 2 4 2 3 6" xfId="12544" xr:uid="{009D6A39-5003-41D4-96DE-CEC22A1792A9}"/>
    <cellStyle name="Comma 2 4 2 3 6 2" xfId="46767" xr:uid="{99E82C29-D5DC-4AB0-A959-BB51101B4199}"/>
    <cellStyle name="Comma 2 4 2 3 6 3" xfId="51015" xr:uid="{729A1172-4A1C-45CD-B0FB-650799522718}"/>
    <cellStyle name="Comma 2 4 2 3 6 4" xfId="54031" xr:uid="{AE1F530C-D736-4E1E-BB0E-96C33918FBCE}"/>
    <cellStyle name="Comma 2 4 2 3 7" xfId="46039" xr:uid="{E793EF50-6ED4-49C0-82F6-522DE2C0E839}"/>
    <cellStyle name="Comma 2 4 2 3 8" xfId="49909" xr:uid="{312E9CF2-2C9F-489E-9A51-AD0081A5F0C9}"/>
    <cellStyle name="Comma 2 4 2 3 9" xfId="52925" xr:uid="{E2C05F86-1615-4CD8-A1A4-F6387081A7FA}"/>
    <cellStyle name="Comma 2 4 2 4" xfId="10166" xr:uid="{4BD8A67B-B4EA-4E65-9E7D-767AC5739C53}"/>
    <cellStyle name="Comma 2 4 2 4 2" xfId="10480" xr:uid="{EFA9A8CE-F058-4CDD-A268-94046CAE591C}"/>
    <cellStyle name="Comma 2 4 2 4 2 2" xfId="14872" xr:uid="{85EDC283-872F-4654-BD24-664BA03AF5A5}"/>
    <cellStyle name="Comma 2 4 2 4 2 2 2" xfId="22419" xr:uid="{0A04517D-803A-4B3E-9446-B0F9FD09CE2B}"/>
    <cellStyle name="Comma 2 4 2 4 2 2 3" xfId="48553" xr:uid="{14B7C776-A202-47F3-A691-C5882D16EEBF}"/>
    <cellStyle name="Comma 2 4 2 4 2 2 4" xfId="51757" xr:uid="{9EC0599A-B812-4447-A4FF-8F325138C870}"/>
    <cellStyle name="Comma 2 4 2 4 2 2 5" xfId="54773" xr:uid="{BA1F417C-7D26-4FA5-B08D-05146613C276}"/>
    <cellStyle name="Comma 2 4 2 4 2 3" xfId="15357" xr:uid="{71C8366F-E694-4D25-9335-6D129230AE89}"/>
    <cellStyle name="Comma 2 4 2 4 2 3 2" xfId="22896" xr:uid="{0EC7BDE9-B58E-4144-91F8-89F60F8E1A73}"/>
    <cellStyle name="Comma 2 4 2 4 2 3 3" xfId="24443" xr:uid="{D137A10D-7135-4D79-A315-59ED6314920F}"/>
    <cellStyle name="Comma 2 4 2 4 2 3 4" xfId="52234" xr:uid="{8E415A8A-87D5-4ABA-AAB5-CFB558D64228}"/>
    <cellStyle name="Comma 2 4 2 4 2 3 5" xfId="55250" xr:uid="{D7421756-26AE-4FC7-931B-D5BE3906EE2C}"/>
    <cellStyle name="Comma 2 4 2 4 2 4" xfId="15844" xr:uid="{E59AC59C-5C02-4E23-8669-C8E0CB9DA95C}"/>
    <cellStyle name="Comma 2 4 2 4 2 4 2" xfId="23373" xr:uid="{42F59088-E99B-4599-AF12-E8A76FCD95B8}"/>
    <cellStyle name="Comma 2 4 2 4 2 4 3" xfId="24892" xr:uid="{0A28A9D5-D6F4-4EAE-8191-9FA4FEC79154}"/>
    <cellStyle name="Comma 2 4 2 4 2 4 4" xfId="52711" xr:uid="{1E5BC623-8AB0-4FE1-B4A7-C7A91DFC77C8}"/>
    <cellStyle name="Comma 2 4 2 4 2 4 5" xfId="55727" xr:uid="{4BC1ABAE-7553-4F3B-82ED-A46819670FCB}"/>
    <cellStyle name="Comma 2 4 2 4 2 5" xfId="12933" xr:uid="{27933EAF-168C-4314-AFD0-A47B214E0CC9}"/>
    <cellStyle name="Comma 2 4 2 4 2 5 2" xfId="33684" xr:uid="{491A8D4A-3E92-40E5-80BA-EC5C46FDCCFA}"/>
    <cellStyle name="Comma 2 4 2 4 2 5 3" xfId="51280" xr:uid="{34AD46EA-9E98-435E-8521-BCA841D8E942}"/>
    <cellStyle name="Comma 2 4 2 4 2 5 4" xfId="54296" xr:uid="{C408A5FC-E8D9-4953-9E95-5F3C7F4B15C8}"/>
    <cellStyle name="Comma 2 4 2 4 2 6" xfId="46128" xr:uid="{ABA42040-DA32-4D1F-AB80-C7517CB0EAD3}"/>
    <cellStyle name="Comma 2 4 2 4 2 7" xfId="50174" xr:uid="{B8156AEA-5A93-49FD-97C8-B12C91ACD532}"/>
    <cellStyle name="Comma 2 4 2 4 2 8" xfId="53190" xr:uid="{70C58317-F4ED-4073-9A98-9D5C1C01A129}"/>
    <cellStyle name="Comma 2 4 2 4 3" xfId="14660" xr:uid="{07A53D3E-FAF0-4EA8-AE36-FF314878CF31}"/>
    <cellStyle name="Comma 2 4 2 4 3 2" xfId="22207" xr:uid="{07D4B53A-1149-4E8C-B8A4-C3D7CD9E3130}"/>
    <cellStyle name="Comma 2 4 2 4 3 3" xfId="47044" xr:uid="{98E31DEB-F9A0-4169-B8CC-9E781B07E920}"/>
    <cellStyle name="Comma 2 4 2 4 3 4" xfId="51545" xr:uid="{DE6537BE-5F75-4B1E-8C45-F75FE36440E6}"/>
    <cellStyle name="Comma 2 4 2 4 3 5" xfId="54561" xr:uid="{BA3C666B-4CB6-45A3-ADFF-81DACCCE8B65}"/>
    <cellStyle name="Comma 2 4 2 4 4" xfId="15145" xr:uid="{4168D4AF-C659-4B75-B2AF-79DB267DA36A}"/>
    <cellStyle name="Comma 2 4 2 4 4 2" xfId="22684" xr:uid="{1733B92C-E0C4-41D4-A543-FD0AFDE318A5}"/>
    <cellStyle name="Comma 2 4 2 4 4 3" xfId="25294" xr:uid="{D6D107F8-D1FE-499B-915E-6F089E61268B}"/>
    <cellStyle name="Comma 2 4 2 4 4 4" xfId="52022" xr:uid="{C513A153-6C32-4228-A362-242602B41D17}"/>
    <cellStyle name="Comma 2 4 2 4 4 5" xfId="55038" xr:uid="{8B2EBED7-7AD8-4449-B9FB-B73DFAF7B4E7}"/>
    <cellStyle name="Comma 2 4 2 4 5" xfId="15632" xr:uid="{3787668D-4A1C-463C-AF61-AEFC1F4B47CE}"/>
    <cellStyle name="Comma 2 4 2 4 5 2" xfId="23161" xr:uid="{12A00C7C-0134-41AE-9DF7-0D801FEE0C7F}"/>
    <cellStyle name="Comma 2 4 2 4 5 3" xfId="46944" xr:uid="{10D9FF16-1325-472A-9797-E23A13D8F35C}"/>
    <cellStyle name="Comma 2 4 2 4 5 4" xfId="52499" xr:uid="{23AEF0BA-F7D3-4496-98C1-6631BEEDC1F5}"/>
    <cellStyle name="Comma 2 4 2 4 5 5" xfId="55515" xr:uid="{3350EA83-693D-4412-AC60-4DB1D9E189B3}"/>
    <cellStyle name="Comma 2 4 2 4 6" xfId="12620" xr:uid="{FE41386F-C61E-4BA9-9F4D-8163940D5049}"/>
    <cellStyle name="Comma 2 4 2 4 6 2" xfId="47615" xr:uid="{B5CBC765-772C-4360-A484-3EE95F1EEE17}"/>
    <cellStyle name="Comma 2 4 2 4 6 3" xfId="51068" xr:uid="{BC2070A5-45AC-49FE-9F62-4DFC3C9724BF}"/>
    <cellStyle name="Comma 2 4 2 4 6 4" xfId="54084" xr:uid="{C3E30A39-3F3A-47A8-B7A3-785F5CE613CA}"/>
    <cellStyle name="Comma 2 4 2 4 7" xfId="47975" xr:uid="{D87611B1-E071-444B-AAB6-0D75281802BC}"/>
    <cellStyle name="Comma 2 4 2 4 8" xfId="49962" xr:uid="{8115D37A-8147-490F-9E67-34EA3E36C44F}"/>
    <cellStyle name="Comma 2 4 2 4 9" xfId="52978" xr:uid="{5F7F86FC-2312-47EC-8BEF-AB31221EFCA4}"/>
    <cellStyle name="Comma 2 4 2 5" xfId="10246" xr:uid="{36EB3856-B0B5-4361-8E45-C77E00791B0D}"/>
    <cellStyle name="Comma 2 4 2 5 2" xfId="14713" xr:uid="{446B4EAC-A82B-4018-A6DE-0139ACBC617E}"/>
    <cellStyle name="Comma 2 4 2 5 2 2" xfId="22260" xr:uid="{3D54CCDA-1B6F-40EB-863D-1824809B17E4}"/>
    <cellStyle name="Comma 2 4 2 5 2 3" xfId="47772" xr:uid="{F7F1A659-D9A0-4438-9C79-0702159C128B}"/>
    <cellStyle name="Comma 2 4 2 5 2 4" xfId="51598" xr:uid="{A258C2AB-9660-4BFC-8684-2D7F095F23CD}"/>
    <cellStyle name="Comma 2 4 2 5 2 5" xfId="54614" xr:uid="{74C5A695-4507-46B1-AED4-DF46BC9F1FC4}"/>
    <cellStyle name="Comma 2 4 2 5 3" xfId="15198" xr:uid="{46D823BD-E62D-4BF3-ABC1-12BB11C47B2E}"/>
    <cellStyle name="Comma 2 4 2 5 3 2" xfId="22737" xr:uid="{01A5590C-2B7E-4669-B06C-BC8E88D27F6D}"/>
    <cellStyle name="Comma 2 4 2 5 3 3" xfId="48547" xr:uid="{44C9E8AD-B558-47F6-93C9-00C6E69BA4BC}"/>
    <cellStyle name="Comma 2 4 2 5 3 4" xfId="52075" xr:uid="{513FF6CA-62A2-4B3C-9D8F-6C5FE40CAF54}"/>
    <cellStyle name="Comma 2 4 2 5 3 5" xfId="55091" xr:uid="{D38A05F1-432F-4B8A-A959-A3B96BE7AF04}"/>
    <cellStyle name="Comma 2 4 2 5 4" xfId="15685" xr:uid="{C818A561-1E71-4D5E-85FC-C8B2E0E7D25F}"/>
    <cellStyle name="Comma 2 4 2 5 4 2" xfId="23214" xr:uid="{D5EB7296-6E50-4753-B069-BB9BDCDC558F}"/>
    <cellStyle name="Comma 2 4 2 5 4 3" xfId="24650" xr:uid="{4D9F53B5-8105-4CED-9FD7-BFDFBD5EE624}"/>
    <cellStyle name="Comma 2 4 2 5 4 4" xfId="52552" xr:uid="{379EE709-130B-4920-8EAD-1C746640370E}"/>
    <cellStyle name="Comma 2 4 2 5 4 5" xfId="55568" xr:uid="{B0AF4A1F-CDCA-4F06-BB87-33773EF32F23}"/>
    <cellStyle name="Comma 2 4 2 5 5" xfId="12699" xr:uid="{5D3544B5-2025-409E-BBB3-14BFA5CE9CD6}"/>
    <cellStyle name="Comma 2 4 2 5 5 2" xfId="46344" xr:uid="{84D8B59F-2BBF-41D0-A2DF-2CB48984184E}"/>
    <cellStyle name="Comma 2 4 2 5 5 3" xfId="51121" xr:uid="{CD2AEB15-E233-44CE-B27C-C1B6B611CB8E}"/>
    <cellStyle name="Comma 2 4 2 5 5 4" xfId="54137" xr:uid="{B099E87B-D427-4030-AEBA-D0DBC75A211F}"/>
    <cellStyle name="Comma 2 4 2 5 6" xfId="46073" xr:uid="{B6B77C97-CDBE-4B93-B123-A8363CAAD5CC}"/>
    <cellStyle name="Comma 2 4 2 5 7" xfId="50015" xr:uid="{C38404D9-C137-4EC6-8E4E-EF2B47E4F1FA}"/>
    <cellStyle name="Comma 2 4 2 5 8" xfId="53031" xr:uid="{C344E8A4-7771-4440-BD01-159C363570F5}"/>
    <cellStyle name="Comma 2 4 2 6" xfId="10560" xr:uid="{1400F6AD-1656-496F-A9AA-82A07E59BDEC}"/>
    <cellStyle name="Comma 2 4 2 6 2" xfId="14925" xr:uid="{17D593FB-70AE-4E82-942F-357870DEFC17}"/>
    <cellStyle name="Comma 2 4 2 6 2 2" xfId="22472" xr:uid="{AA25924D-84D9-40CD-B70A-263BA59CCCB3}"/>
    <cellStyle name="Comma 2 4 2 6 2 3" xfId="48441" xr:uid="{29FC0810-FFFC-4C50-A688-47181E1E6CCD}"/>
    <cellStyle name="Comma 2 4 2 6 2 4" xfId="51810" xr:uid="{AB1C8A68-83AE-4DA1-891B-27B0913E6D4A}"/>
    <cellStyle name="Comma 2 4 2 6 2 5" xfId="54826" xr:uid="{2180F39A-0EFC-4789-B9A4-4CA9E6A7BAF3}"/>
    <cellStyle name="Comma 2 4 2 6 3" xfId="15410" xr:uid="{055B5823-A343-44C3-8107-6C9B67DD62B4}"/>
    <cellStyle name="Comma 2 4 2 6 3 2" xfId="22949" xr:uid="{2D6ED1A6-8E0C-454B-8099-88890F8E459F}"/>
    <cellStyle name="Comma 2 4 2 6 3 3" xfId="46919" xr:uid="{A7966DC2-8891-46B5-B682-3625D8A50F8A}"/>
    <cellStyle name="Comma 2 4 2 6 3 4" xfId="52287" xr:uid="{A7C66DAF-7A0A-4308-B403-D675B3943B6C}"/>
    <cellStyle name="Comma 2 4 2 6 3 5" xfId="55303" xr:uid="{E1D9B01B-167C-467A-8405-6699119988ED}"/>
    <cellStyle name="Comma 2 4 2 6 4" xfId="15898" xr:uid="{F7A63C54-D84C-49A2-82E9-AAC624528C2E}"/>
    <cellStyle name="Comma 2 4 2 6 4 2" xfId="23426" xr:uid="{40B1A1A1-FB30-4623-A4D2-D8BFB731E374}"/>
    <cellStyle name="Comma 2 4 2 6 4 3" xfId="47135" xr:uid="{843CAF7E-93A9-4E4F-AFBF-5AECF5790BE1}"/>
    <cellStyle name="Comma 2 4 2 6 4 4" xfId="52764" xr:uid="{D0773B1E-7341-49BA-872E-72D0FDFA40C9}"/>
    <cellStyle name="Comma 2 4 2 6 4 5" xfId="55780" xr:uid="{69DD7260-4B9C-4BF8-8DE4-F58AEFFE4F76}"/>
    <cellStyle name="Comma 2 4 2 6 5" xfId="13013" xr:uid="{2CD91B77-3A25-41BD-94A3-9B0D30814E93}"/>
    <cellStyle name="Comma 2 4 2 6 5 2" xfId="47472" xr:uid="{E9F62553-4A81-4B06-82A9-0237136586D0}"/>
    <cellStyle name="Comma 2 4 2 6 5 3" xfId="51333" xr:uid="{56D1964E-DD2A-4659-858B-3A74255EE5BB}"/>
    <cellStyle name="Comma 2 4 2 6 5 4" xfId="54349" xr:uid="{0E620746-52AD-4B93-ACBB-55CB5E53A278}"/>
    <cellStyle name="Comma 2 4 2 6 6" xfId="48374" xr:uid="{171593F4-85D5-42E8-8C5E-32FB73D3CF14}"/>
    <cellStyle name="Comma 2 4 2 6 7" xfId="50227" xr:uid="{8DA5D08A-5DA5-472F-BE73-BDA69CA27FB4}"/>
    <cellStyle name="Comma 2 4 2 6 8" xfId="53243" xr:uid="{41EE6CAA-57B1-4AE4-9BDA-69BF27FA53F0}"/>
    <cellStyle name="Comma 2 4 2 7" xfId="11098" xr:uid="{FFB23523-ECB3-4821-9F07-DF63CDC7C5B1}"/>
    <cellStyle name="Comma 2 4 2 8" xfId="14501" xr:uid="{E0269445-C1C8-4C1F-BDB8-728F2FD4F068}"/>
    <cellStyle name="Comma 2 4 2 8 2" xfId="22048" xr:uid="{1E005939-AA3C-4FF5-81B8-367FFC5870AB}"/>
    <cellStyle name="Comma 2 4 2 8 3" xfId="47175" xr:uid="{7DB37FEA-51EC-46BD-B1FC-80151F3D47EE}"/>
    <cellStyle name="Comma 2 4 2 8 4" xfId="51386" xr:uid="{EA5C13D3-5767-4EC2-AD67-132AA6E0B4F7}"/>
    <cellStyle name="Comma 2 4 2 8 5" xfId="54402" xr:uid="{42C35175-1BF0-4716-9357-A8F51F4C43F9}"/>
    <cellStyle name="Comma 2 4 2 9" xfId="14985" xr:uid="{4ACDEB0D-7501-4C1D-BC0E-C3094A0A7105}"/>
    <cellStyle name="Comma 2 4 2 9 2" xfId="22525" xr:uid="{B96B551A-FAD4-4769-BA61-A473CD97CBC4}"/>
    <cellStyle name="Comma 2 4 2 9 3" xfId="32326" xr:uid="{77626ADF-D610-4DE0-B5F3-00E63FAFB2D0}"/>
    <cellStyle name="Comma 2 4 2 9 4" xfId="51863" xr:uid="{32C0DA9C-E3E5-4505-87E1-80F9AB975E42}"/>
    <cellStyle name="Comma 2 4 2 9 5" xfId="54879" xr:uid="{BF9B87A8-AF9C-4277-B2E6-0A64A3D57D64}"/>
    <cellStyle name="Comma 2 4 3" xfId="5815" xr:uid="{74C3612D-150B-4A3C-A2AA-26FF0A8E2327}"/>
    <cellStyle name="Comma 2 4 3 2" xfId="21684" xr:uid="{1D8762A4-696D-423F-83F1-3BB5FEC86D09}"/>
    <cellStyle name="Comma 2 4 3 3" xfId="23724" xr:uid="{9D0C228D-ADAF-42B0-BF57-B6511CE0B083}"/>
    <cellStyle name="Comma 2 4 3 4" xfId="50700" xr:uid="{F0B7D922-18AE-44A7-B69B-FE47A0F1EBE0}"/>
    <cellStyle name="Comma 2 4 3 5" xfId="53716" xr:uid="{6E85CEFA-A1DA-4E29-AE38-A10B43F73376}"/>
    <cellStyle name="Comma 2 4 3 6" xfId="11187" xr:uid="{850F489F-DD6D-4B62-BA1D-876AADD0D856}"/>
    <cellStyle name="Comma 2 4 4" xfId="2615" xr:uid="{4105B42B-595D-4114-8525-0D1A1D3222D0}"/>
    <cellStyle name="Comma 2 4 4 2" xfId="11090" xr:uid="{CE2BF550-4B04-429C-B80D-18317EF06409}"/>
    <cellStyle name="Comma 2 4 5" xfId="17743" xr:uid="{9970E3AB-38F5-4A9F-9379-BC072F7A55AD}"/>
    <cellStyle name="Comma 2 4 5 2" xfId="21251" xr:uid="{E2F5C460-22C9-4E06-8F90-969467571CC6}"/>
    <cellStyle name="Comma 2 4 6" xfId="19476" xr:uid="{9B7F2BFC-E491-46FC-9FE4-65FE668A771E}"/>
    <cellStyle name="Comma 2 4 7" xfId="23722" xr:uid="{5C6077D6-CAFB-4E23-9547-FC20AAC7FA8B}"/>
    <cellStyle name="Comma 2 4 8" xfId="48611" xr:uid="{D6D9FD66-6C05-4E49-90E6-61FDEE6BFA9E}"/>
    <cellStyle name="Comma 2 4 9" xfId="49521" xr:uid="{AB22CBB7-393B-48FF-BF40-E0D2151F78F6}"/>
    <cellStyle name="Comma 2 5" xfId="2616" xr:uid="{5689246B-C520-414D-A68D-3AC6BE34D6B4}"/>
    <cellStyle name="Comma 2 5 10" xfId="23725" xr:uid="{E19413B0-08AD-490E-8F48-797A901A96F6}"/>
    <cellStyle name="Comma 2 5 11" xfId="7229" xr:uid="{089D8BB1-1D47-4BB5-ACD4-B191EC77A876}"/>
    <cellStyle name="Comma 2 5 2" xfId="2617" xr:uid="{AAAE9B4A-AEF0-4CB4-8060-DC1C842F2470}"/>
    <cellStyle name="Comma 2 5 2 2" xfId="4536" xr:uid="{73B667F8-CEC9-444B-8F0C-6081965467CF}"/>
    <cellStyle name="Comma 2 5 2 2 2" xfId="23727" xr:uid="{687B7A26-95BA-4CC6-9AD4-9AF4177C9EDA}"/>
    <cellStyle name="Comma 2 5 2 2 3" xfId="48613" xr:uid="{1D5EA4E1-3182-4101-B94C-8410EB534689}"/>
    <cellStyle name="Comma 2 5 2 2 4" xfId="49523" xr:uid="{083AE715-DA75-4F09-95E1-713E9BB25450}"/>
    <cellStyle name="Comma 2 5 2 2 5" xfId="17637" xr:uid="{4440873F-AF7E-46E1-A426-2899A0F4CE66}"/>
    <cellStyle name="Comma 2 5 2 3" xfId="5817" xr:uid="{CCEAF00F-DF31-4D5F-B5D9-D6944E21B2D0}"/>
    <cellStyle name="Comma 2 5 2 3 2" xfId="38061" xr:uid="{236D4C20-4F32-45DF-8895-405FA6EE4E73}"/>
    <cellStyle name="Comma 2 5 2 3 3" xfId="43363" xr:uid="{38D881F4-9E8D-49E0-8585-E020D6690C01}"/>
    <cellStyle name="Comma 2 5 2 3 4" xfId="32687" xr:uid="{AE232031-1642-4F44-B601-D5AB429CEFA9}"/>
    <cellStyle name="Comma 2 5 2 3 5" xfId="19478" xr:uid="{F1F3EC3F-4A31-47FD-ACF2-DB19343BD6AD}"/>
    <cellStyle name="Comma 2 5 2 4" xfId="35596" xr:uid="{A513AFB8-355A-4D8E-A601-1EC2F1D5DDA3}"/>
    <cellStyle name="Comma 2 5 2 5" xfId="40712" xr:uid="{F02DB13C-687D-4F21-A543-993A21AEDAEC}"/>
    <cellStyle name="Comma 2 5 2 6" xfId="23726" xr:uid="{4F75FC89-EDD1-41BF-8D50-417E8CA07E95}"/>
    <cellStyle name="Comma 2 5 2 7" xfId="15940" xr:uid="{999598C5-9EDD-45AB-B046-B785170D3F0C}"/>
    <cellStyle name="Comma 2 5 2 8" xfId="7226" xr:uid="{986D9E34-E59C-42BB-9423-CFB1D6F28DB8}"/>
    <cellStyle name="Comma 2 5 3" xfId="4535" xr:uid="{470E6876-E4FE-4C13-98A9-E8FC185A7E1D}"/>
    <cellStyle name="Comma 2 5 3 2" xfId="23728" xr:uid="{F11D2D2F-FD01-409C-B833-711835845060}"/>
    <cellStyle name="Comma 2 5 3 3" xfId="48614" xr:uid="{3CA0E583-B207-4BA8-B58F-6E20726B780E}"/>
    <cellStyle name="Comma 2 5 3 4" xfId="49524" xr:uid="{F7FA28DF-9E6F-492C-9253-6960A5A801AF}"/>
    <cellStyle name="Comma 2 5 3 5" xfId="12436" xr:uid="{04DA9337-6C89-4FFA-90DB-260F117642C0}"/>
    <cellStyle name="Comma 2 5 4" xfId="5816" xr:uid="{F2EACDBC-3A74-435B-AEF8-294371D4A8DF}"/>
    <cellStyle name="Comma 2 5 4 2" xfId="21902" xr:uid="{151B0167-F40E-4CA8-8E78-D46C38CEFBE6}"/>
    <cellStyle name="Comma 2 5 4 2 2" xfId="38062" xr:uid="{BAE0797C-55F8-4895-B35C-6491FF7982CA}"/>
    <cellStyle name="Comma 2 5 4 2 3" xfId="43364" xr:uid="{9CEEB68C-BF4F-4461-AF82-91C521189CEB}"/>
    <cellStyle name="Comma 2 5 4 2 4" xfId="32688" xr:uid="{30E35FEA-6AC7-4C4E-9F1A-13333A824BF8}"/>
    <cellStyle name="Comma 2 5 4 3" xfId="35597" xr:uid="{404BAB69-09E1-4848-AF6B-4BD649100E73}"/>
    <cellStyle name="Comma 2 5 4 4" xfId="40713" xr:uid="{CB004F45-A1AF-49F4-A11E-621222B07475}"/>
    <cellStyle name="Comma 2 5 4 5" xfId="23729" xr:uid="{D433AE08-F3F2-49D4-9367-2755C1A05DCD}"/>
    <cellStyle name="Comma 2 5 4 6" xfId="48380" xr:uid="{FBCC0151-09A5-4D71-AB50-8B523D593F06}"/>
    <cellStyle name="Comma 2 5 4 7" xfId="50930" xr:uid="{007C05F7-FE4A-468C-B156-5A8B4915E583}"/>
    <cellStyle name="Comma 2 5 4 8" xfId="53946" xr:uid="{2925D5E2-890E-4853-AA6F-1FB2CF4176CA}"/>
    <cellStyle name="Comma 2 5 4 9" xfId="12140" xr:uid="{081D191D-BE5C-4462-B952-6605A29E87CB}"/>
    <cellStyle name="Comma 2 5 5" xfId="11188" xr:uid="{4EE1E12C-9403-4794-84A0-4DB243FA8ED3}"/>
    <cellStyle name="Comma 2 5 5 2" xfId="21685" xr:uid="{3E272959-9A3F-4DF4-A20B-1FDBE75BF91B}"/>
    <cellStyle name="Comma 2 5 5 2 2" xfId="38063" xr:uid="{23163768-C9BD-4F9D-8B66-5AC934796822}"/>
    <cellStyle name="Comma 2 5 5 2 3" xfId="43365" xr:uid="{DC956AE5-E896-4350-BFF1-32D99F1A15F3}"/>
    <cellStyle name="Comma 2 5 5 2 4" xfId="32689" xr:uid="{67BBB109-138E-4F23-9579-1C8D3AFC90F9}"/>
    <cellStyle name="Comma 2 5 5 3" xfId="35598" xr:uid="{8E9E09E8-B903-4757-9053-8A0C03896DF6}"/>
    <cellStyle name="Comma 2 5 5 4" xfId="40714" xr:uid="{AC8ABD2B-86B1-4CB8-9CB7-B933E5473CFF}"/>
    <cellStyle name="Comma 2 5 5 5" xfId="23730" xr:uid="{F46AAC8C-6E65-46F1-A305-F9B4ECC21C63}"/>
    <cellStyle name="Comma 2 5 5 6" xfId="46277" xr:uid="{8D673E28-2574-4BF0-B31E-536A2A514B4D}"/>
    <cellStyle name="Comma 2 5 5 7" xfId="48615" xr:uid="{2A380DCB-6F72-4D50-83C9-466C4624FA8E}"/>
    <cellStyle name="Comma 2 5 5 8" xfId="50701" xr:uid="{07B019E0-1B0A-4C29-B50E-8EBD4FF3BF38}"/>
    <cellStyle name="Comma 2 5 5 9" xfId="53717" xr:uid="{809AC7BF-247C-4877-B185-2F0B17A920C8}"/>
    <cellStyle name="Comma 2 5 6" xfId="19477" xr:uid="{BE8DC3C2-0EDA-4F5D-B9C6-A433629A6B88}"/>
    <cellStyle name="Comma 2 5 6 2" xfId="32690" xr:uid="{3B5B2637-A017-4675-A046-C0697DF90AB1}"/>
    <cellStyle name="Comma 2 5 6 2 2" xfId="38064" xr:uid="{99E0C977-C200-48D7-947B-229F333565F0}"/>
    <cellStyle name="Comma 2 5 6 2 3" xfId="43366" xr:uid="{28666524-714C-4A00-9232-C87B41C0DFAD}"/>
    <cellStyle name="Comma 2 5 6 3" xfId="35599" xr:uid="{087DB0E1-DEC8-4C1F-8B29-305072BA8D71}"/>
    <cellStyle name="Comma 2 5 6 4" xfId="40715" xr:uid="{587D4256-7FF6-46B9-AA31-D8456E99033B}"/>
    <cellStyle name="Comma 2 5 6 5" xfId="23731" xr:uid="{CE0694A8-07FA-4E92-9E6D-B97D68FE547F}"/>
    <cellStyle name="Comma 2 5 6 6" xfId="48616" xr:uid="{94D95250-4F29-492F-868E-5E06BD1C57D8}"/>
    <cellStyle name="Comma 2 5 7" xfId="32686" xr:uid="{541DD640-4CA2-42E5-AC94-DB4EDFBA9D51}"/>
    <cellStyle name="Comma 2 5 7 2" xfId="38060" xr:uid="{154F8C9A-DD16-497B-B350-2EA91ED79385}"/>
    <cellStyle name="Comma 2 5 7 3" xfId="43362" xr:uid="{C9C2E745-79AA-44C2-9916-4BF9B5D9AF6D}"/>
    <cellStyle name="Comma 2 5 8" xfId="35595" xr:uid="{0E47B72F-6E72-44B8-8CD7-622F8D269C31}"/>
    <cellStyle name="Comma 2 5 9" xfId="40711" xr:uid="{F6045744-9EE4-4A8C-A13B-9AD7BBE1618B}"/>
    <cellStyle name="Comma 2 6" xfId="2618" xr:uid="{501B6C15-5F98-45F8-8882-9FB8820FE96F}"/>
    <cellStyle name="Comma 2 6 2" xfId="4537" xr:uid="{3E0ED0F9-F6D5-414D-A473-9E6F426A9190}"/>
    <cellStyle name="Comma 2 6 2 2" xfId="18051" xr:uid="{B9CBB962-9D23-4295-9ADE-14FB42A9B6E2}"/>
    <cellStyle name="Comma 2 6 2 2 2" xfId="38066" xr:uid="{10733DF2-B20B-4956-8F4B-81726110BAF6}"/>
    <cellStyle name="Comma 2 6 2 2 3" xfId="43368" xr:uid="{B81FA9D6-EAD6-4B56-B116-B09B699EB369}"/>
    <cellStyle name="Comma 2 6 2 3" xfId="19480" xr:uid="{F247FB0C-87AB-4C0B-AA6F-F37163A6CB4A}"/>
    <cellStyle name="Comma 2 6 2 3 2" xfId="35601" xr:uid="{CA083AAD-E2F0-4170-AA3A-71FDFFD86C83}"/>
    <cellStyle name="Comma 2 6 2 4" xfId="40717" xr:uid="{0ED8D236-4B9E-4778-A0BE-351F3CB2495E}"/>
    <cellStyle name="Comma 2 6 2 5" xfId="15942" xr:uid="{4DE01613-B28E-4F2C-B53A-08C4C9DF1363}"/>
    <cellStyle name="Comma 2 6 2 6" xfId="8424" xr:uid="{E4DF80F3-C85E-4DAD-834C-F0A7293A51B6}"/>
    <cellStyle name="Comma 2 6 3" xfId="5818" xr:uid="{C8077B81-EC2B-4027-BDED-CB5520B38AB0}"/>
    <cellStyle name="Comma 2 6 3 2" xfId="32692" xr:uid="{517E1B4C-D8F8-401A-BD17-6D4CF31B375A}"/>
    <cellStyle name="Comma 2 6 3 2 2" xfId="38067" xr:uid="{43AD1B57-2ADA-4CD4-8FC6-9C6C444BEE99}"/>
    <cellStyle name="Comma 2 6 3 2 3" xfId="43369" xr:uid="{8653D554-CD57-4410-B7E0-A6D64639B1DF}"/>
    <cellStyle name="Comma 2 6 3 3" xfId="35602" xr:uid="{B98388C5-620B-4C39-8B95-D9BC31D7B856}"/>
    <cellStyle name="Comma 2 6 3 4" xfId="40718" xr:uid="{DB1BEA7C-9877-4C70-9069-B56B7C5184B6}"/>
    <cellStyle name="Comma 2 6 3 5" xfId="17636" xr:uid="{79D466BE-076C-4147-9012-A17DBA9D35A0}"/>
    <cellStyle name="Comma 2 6 4" xfId="19479" xr:uid="{2751E83A-DB0B-4270-AA32-145C9127AACB}"/>
    <cellStyle name="Comma 2 6 4 2" xfId="38065" xr:uid="{F99111C7-9705-47D6-B388-B07940FCD706}"/>
    <cellStyle name="Comma 2 6 4 3" xfId="43367" xr:uid="{29C3CD83-04DC-45EB-9EDB-113C985E356C}"/>
    <cellStyle name="Comma 2 6 4 4" xfId="32691" xr:uid="{FA268116-63B3-4328-973F-89563C0AB309}"/>
    <cellStyle name="Comma 2 6 5" xfId="35600" xr:uid="{ECE416BA-2C3B-452A-A733-A54F4879006D}"/>
    <cellStyle name="Comma 2 6 6" xfId="40716" xr:uid="{F4B5D2D1-EE19-4AEE-9D68-ECD4711A3970}"/>
    <cellStyle name="Comma 2 6 7" xfId="23732" xr:uid="{58C9B369-112E-4C76-AF5F-0237DEF41404}"/>
    <cellStyle name="Comma 2 6 8" xfId="15941" xr:uid="{B79E11FD-7629-4AFF-BAAD-1861188B84F2}"/>
    <cellStyle name="Comma 2 6 9" xfId="7225" xr:uid="{445F20AE-E44E-4C2D-BE53-F119B4CF430D}"/>
    <cellStyle name="Comma 2 7" xfId="2619" xr:uid="{5A4E0375-9F2A-4607-A8E8-54606C3A37A6}"/>
    <cellStyle name="Comma 2 7 2" xfId="4538" xr:uid="{576E4192-EE01-4C9A-A85D-EB20EA1D8DF7}"/>
    <cellStyle name="Comma 2 7 2 2" xfId="35065" xr:uid="{7700BE8A-A116-4A71-828E-143AB4353175}"/>
    <cellStyle name="Comma 2 7 2 2 2" xfId="40226" xr:uid="{0D2C8D0B-3852-4C3C-83D3-4DE7AAD8E2B2}"/>
    <cellStyle name="Comma 2 7 2 2 3" xfId="45528" xr:uid="{91114260-4BDA-4337-99A1-F5FAF7FF0811}"/>
    <cellStyle name="Comma 2 7 2 3" xfId="37575" xr:uid="{22E603B4-E64E-4D44-86DD-7ED2F2479F62}"/>
    <cellStyle name="Comma 2 7 2 4" xfId="42877" xr:uid="{9C7875D5-77B5-4F15-9FC2-379E4B29EE72}"/>
    <cellStyle name="Comma 2 7 2 5" xfId="12389" xr:uid="{24CF4180-9D27-4B8E-A3D2-F699649FCD39}"/>
    <cellStyle name="Comma 2 7 3" xfId="5819" xr:uid="{5CB109AD-8D4D-4AE2-9424-2240FD7348D7}"/>
    <cellStyle name="Comma 2 7 3 2" xfId="21678" xr:uid="{FECE9EA0-960F-4643-9518-DC45590A7B11}"/>
    <cellStyle name="Comma 2 7 3 2 2" xfId="38068" xr:uid="{2AB0D40A-1FF0-4E77-AF24-0CA5598B41D5}"/>
    <cellStyle name="Comma 2 7 3 3" xfId="43370" xr:uid="{E5D050ED-4474-433E-A597-62F43687DC8A}"/>
    <cellStyle name="Comma 2 7 3 4" xfId="32693" xr:uid="{B203C05C-30CC-4D3A-B957-285D2C7CCE36}"/>
    <cellStyle name="Comma 2 7 3 5" xfId="46275" xr:uid="{A587E871-D087-40EB-A461-F113AD9023D6}"/>
    <cellStyle name="Comma 2 7 3 6" xfId="50694" xr:uid="{64DF7D83-20D7-4CA1-BB02-F625AFBDDCC4}"/>
    <cellStyle name="Comma 2 7 3 7" xfId="53710" xr:uid="{BA3AE7A2-CFDF-46E3-BA9B-0336882DC45A}"/>
    <cellStyle name="Comma 2 7 3 8" xfId="11181" xr:uid="{11385883-863A-48FB-8DE8-0F08F191E8DF}"/>
    <cellStyle name="Comma 2 7 4" xfId="19481" xr:uid="{97EC4717-B026-4383-B01C-99EC761DD9CF}"/>
    <cellStyle name="Comma 2 7 4 2" xfId="35603" xr:uid="{5C3D10EF-FD67-4E53-8C85-1E35A9D6AA23}"/>
    <cellStyle name="Comma 2 7 5" xfId="40719" xr:uid="{BBE06C31-2F13-4510-9535-F359ABC4CBE9}"/>
    <cellStyle name="Comma 2 7 6" xfId="23733" xr:uid="{5F236F3E-A33E-4384-93FC-318C357F5E25}"/>
    <cellStyle name="Comma 2 7 7" xfId="8181" xr:uid="{97ACA371-2160-4DE1-B651-229AB2780A4C}"/>
    <cellStyle name="Comma 2 8" xfId="4524" xr:uid="{0D3DD6AD-F146-47DE-873E-0B55E9068F23}"/>
    <cellStyle name="Comma 2 8 2" xfId="12437" xr:uid="{B66C4490-8281-4114-8752-31128E591CE3}"/>
    <cellStyle name="Comma 2 8 3" xfId="18299" xr:uid="{CFCB3147-CB06-49FA-9399-B0A3FBEA9686}"/>
    <cellStyle name="Comma 2 8 4" xfId="23734" xr:uid="{A0A8D89A-643A-4A75-A4DD-010AAE856E49}"/>
    <cellStyle name="Comma 2 8 5" xfId="48617" xr:uid="{269C4EC3-C1F7-43AE-B56F-7AF0C2F78443}"/>
    <cellStyle name="Comma 2 8 6" xfId="49525" xr:uid="{F2C258E7-8980-4A07-9262-20B1507F6FFB}"/>
    <cellStyle name="Comma 2 8 7" xfId="17001" xr:uid="{12B66691-188B-4607-AB02-4920ECABEBE0}"/>
    <cellStyle name="Comma 2 8 8" xfId="11697" xr:uid="{6EAFC332-3DBB-40D5-A2A7-A60E3658C245}"/>
    <cellStyle name="Comma 2 9" xfId="5806" xr:uid="{DFA9DCA4-B0CE-4A21-BA24-A2958DE4C237}"/>
    <cellStyle name="Comma 2 9 2" xfId="23735" xr:uid="{31906545-09AE-42D0-BA88-B09F17937298}"/>
    <cellStyle name="Comma 2 9 3" xfId="48618" xr:uid="{5477A4FC-8488-46C1-83F6-C1BD2ED3ADAD}"/>
    <cellStyle name="Comma 2 9 4" xfId="49526" xr:uid="{E0C43F4A-1C2E-4EB1-91F6-B737F4EF43C1}"/>
    <cellStyle name="Comma 2 9 5" xfId="18041" xr:uid="{E01D0902-A9D9-4780-9DD8-616D974C380F}"/>
    <cellStyle name="Comma 2 9 6" xfId="11142" xr:uid="{13AC344B-E83A-461F-A5A7-9F7C9EF091EC}"/>
    <cellStyle name="Comma 3" xfId="51" xr:uid="{00000000-0005-0000-0000-000056000000}"/>
    <cellStyle name="Comma 3 10" xfId="23736" xr:uid="{D6A44CA0-6B23-4B66-BE51-2C810A1CF7D0}"/>
    <cellStyle name="Comma 3 11" xfId="48619" xr:uid="{9809AF90-B796-45F5-A17E-65A3A12CF11E}"/>
    <cellStyle name="Comma 3 12" xfId="49527" xr:uid="{1BE29EE5-D650-4EEC-8E46-CCB9D16CCD88}"/>
    <cellStyle name="Comma 3 13" xfId="6985" xr:uid="{570D7C33-49E7-482D-8AFA-0CBE7EC83FA2}"/>
    <cellStyle name="Comma 3 2" xfId="2621" xr:uid="{ED3A89DF-F18E-4928-A1A4-13D0CAFDF48C}"/>
    <cellStyle name="Comma 3 2 10" xfId="49528" xr:uid="{45373BD6-A14B-41E5-B4C0-27905F960BCC}"/>
    <cellStyle name="Comma 3 2 11" xfId="7234" xr:uid="{BD112E32-8A3F-49DA-AFC5-7A8198103696}"/>
    <cellStyle name="Comma 3 2 2" xfId="2622" xr:uid="{9A40CF28-859B-4133-87AA-FD64F35B9407}"/>
    <cellStyle name="Comma 3 2 2 10" xfId="15454" xr:uid="{1B109E06-AAF6-4D13-A153-303BCA51F34D}"/>
    <cellStyle name="Comma 3 2 2 10 2" xfId="22989" xr:uid="{DBDBE973-3298-4410-895C-7CBC5EB3D735}"/>
    <cellStyle name="Comma 3 2 2 10 3" xfId="46923" xr:uid="{D2850EA0-C7B4-4E32-AB34-F8A8A49DCDDB}"/>
    <cellStyle name="Comma 3 2 2 10 4" xfId="52327" xr:uid="{C7FAD2A8-5AB6-4A79-AFA0-A987A1B2943B}"/>
    <cellStyle name="Comma 3 2 2 10 5" xfId="55343" xr:uid="{F38BF1CC-C954-41FD-AB9D-517A4351455E}"/>
    <cellStyle name="Comma 3 2 2 11" xfId="11191" xr:uid="{CD1A02C1-95F9-49AE-9E0E-C7C05F9178A4}"/>
    <cellStyle name="Comma 3 2 2 11 2" xfId="21687" xr:uid="{75874064-90B9-4187-B6BC-7267503CB6B1}"/>
    <cellStyle name="Comma 3 2 2 11 3" xfId="46727" xr:uid="{FBD659C1-B4B3-47B4-9886-65CADC529CC0}"/>
    <cellStyle name="Comma 3 2 2 11 4" xfId="50704" xr:uid="{B7DBA9FC-45E2-4504-A23D-271EAAEC3A0E}"/>
    <cellStyle name="Comma 3 2 2 11 5" xfId="53720" xr:uid="{7343A92D-866A-4533-B561-672EF9A70B44}"/>
    <cellStyle name="Comma 3 2 2 12" xfId="19484" xr:uid="{9EB9FF23-9781-452D-985A-7BDC75139171}"/>
    <cellStyle name="Comma 3 2 2 13" xfId="23738" xr:uid="{5D6B2C3D-E3FD-4909-9A98-3C403489FE14}"/>
    <cellStyle name="Comma 3 2 2 14" xfId="48621" xr:uid="{954F3A3E-DD81-4B80-BC27-0FAA5CAE447B}"/>
    <cellStyle name="Comma 3 2 2 15" xfId="49529" xr:uid="{856E8312-268C-4E5E-9550-2DBB54F18A9F}"/>
    <cellStyle name="Comma 3 2 2 16" xfId="49790" xr:uid="{59849D90-8BD4-4D49-BDD1-BE9F77E6B8EB}"/>
    <cellStyle name="Comma 3 2 2 17" xfId="52805" xr:uid="{3A801849-1434-43E1-A5A5-1C0884E53814}"/>
    <cellStyle name="Comma 3 2 2 2" xfId="8927" xr:uid="{D824278B-4A79-452D-8D5A-EF654B66EFD2}"/>
    <cellStyle name="Comma 3 2 2 2 10" xfId="12198" xr:uid="{9248D0DC-31A7-4B3F-BB22-5957FE9F737B}"/>
    <cellStyle name="Comma 3 2 2 2 10 2" xfId="47365" xr:uid="{E1946003-389F-42CB-9F9F-C1FD3F329C84}"/>
    <cellStyle name="Comma 3 2 2 2 10 3" xfId="50943" xr:uid="{05F226F5-B553-486E-B28D-3C8B8EB0A041}"/>
    <cellStyle name="Comma 3 2 2 2 10 4" xfId="53959" xr:uid="{A6FAE80D-D729-48C1-ADF1-5B65B8260C9A}"/>
    <cellStyle name="Comma 3 2 2 2 11" xfId="23739" xr:uid="{087A3E5A-7FB8-40A7-82A9-FB62EE4D27F6}"/>
    <cellStyle name="Comma 3 2 2 2 12" xfId="48622" xr:uid="{DEACC0E6-D639-4827-B8B0-29E027FEE9E2}"/>
    <cellStyle name="Comma 3 2 2 2 13" xfId="49530" xr:uid="{913EB959-78F0-45DF-9321-0358B7C4EE01}"/>
    <cellStyle name="Comma 3 2 2 2 14" xfId="49804" xr:uid="{25895E02-D8E2-4714-8A0E-FF4D4C580349}"/>
    <cellStyle name="Comma 3 2 2 2 15" xfId="52819" xr:uid="{C36BAC74-DAB3-4FEF-A46E-08E8B439FDBF}"/>
    <cellStyle name="Comma 3 2 2 2 2" xfId="10014" xr:uid="{856C538B-1F12-4B95-9C09-C4BB259D0037}"/>
    <cellStyle name="Comma 3 2 2 2 2 2" xfId="10322" xr:uid="{6F51CE29-DD53-46F6-A948-E65FF20DC7F3}"/>
    <cellStyle name="Comma 3 2 2 2 2 2 2" xfId="14767" xr:uid="{602C496F-30E7-44D2-B9AC-501B771DB86A}"/>
    <cellStyle name="Comma 3 2 2 2 2 2 2 2" xfId="22314" xr:uid="{66E20A01-4C30-4BE4-855B-37C0CC8E1D41}"/>
    <cellStyle name="Comma 3 2 2 2 2 2 2 3" xfId="32547" xr:uid="{7DA7785B-11BD-4B54-9D45-32C02341EFFF}"/>
    <cellStyle name="Comma 3 2 2 2 2 2 2 4" xfId="51652" xr:uid="{0C435B74-5382-4167-A87A-E1A4F4295C67}"/>
    <cellStyle name="Comma 3 2 2 2 2 2 2 5" xfId="54668" xr:uid="{50D9B7B5-54C3-41E4-8435-26AC2123FB40}"/>
    <cellStyle name="Comma 3 2 2 2 2 2 3" xfId="15252" xr:uid="{827AB7E8-FC57-46A3-94D0-B5D938046F77}"/>
    <cellStyle name="Comma 3 2 2 2 2 2 3 2" xfId="22791" xr:uid="{A6AE5E32-605A-431C-A2B5-080CB8B14133}"/>
    <cellStyle name="Comma 3 2 2 2 2 2 3 3" xfId="48301" xr:uid="{7111A7C7-382C-4031-B2CF-50DEDBC013EE}"/>
    <cellStyle name="Comma 3 2 2 2 2 2 3 4" xfId="52129" xr:uid="{3F6D908C-7A1C-4E1B-B0C5-A8E3C058A79D}"/>
    <cellStyle name="Comma 3 2 2 2 2 2 3 5" xfId="55145" xr:uid="{8157B350-038B-4FD1-8750-A40D7E002196}"/>
    <cellStyle name="Comma 3 2 2 2 2 2 4" xfId="15739" xr:uid="{973368F5-96B5-4C61-844B-2AB4FAD8C866}"/>
    <cellStyle name="Comma 3 2 2 2 2 2 4 2" xfId="23268" xr:uid="{54FBCD37-A599-4133-BCE8-64017C0FB628}"/>
    <cellStyle name="Comma 3 2 2 2 2 2 4 3" xfId="48133" xr:uid="{D4D1DEEB-EF8A-42BC-A1BF-1E979F6E28BC}"/>
    <cellStyle name="Comma 3 2 2 2 2 2 4 4" xfId="52606" xr:uid="{600C85E6-5C6E-461A-B270-709985C09198}"/>
    <cellStyle name="Comma 3 2 2 2 2 2 4 5" xfId="55622" xr:uid="{C9B7F0F4-58C2-4B2B-AD12-216C7C57E1DC}"/>
    <cellStyle name="Comma 3 2 2 2 2 2 5" xfId="12775" xr:uid="{2E75F358-E7BE-4D13-8E1E-8390BDBFA804}"/>
    <cellStyle name="Comma 3 2 2 2 2 2 5 2" xfId="46792" xr:uid="{7FEE9054-AAC1-4D5C-AB14-34AB1A0316EB}"/>
    <cellStyle name="Comma 3 2 2 2 2 2 5 3" xfId="51175" xr:uid="{B7F3FDDA-59FB-49A0-B67C-3FC3A322A78B}"/>
    <cellStyle name="Comma 3 2 2 2 2 2 5 4" xfId="54191" xr:uid="{11DB1AFA-8364-4614-ABF0-D1417273DD59}"/>
    <cellStyle name="Comma 3 2 2 2 2 2 6" xfId="47581" xr:uid="{1A24D4CF-1055-44C3-A518-D712CE113C44}"/>
    <cellStyle name="Comma 3 2 2 2 2 2 7" xfId="50069" xr:uid="{19EEBCFA-B3D6-4144-A082-D044981E13DF}"/>
    <cellStyle name="Comma 3 2 2 2 2 2 8" xfId="53085" xr:uid="{E25E9EEA-ABAF-47D7-99DE-8E7F4315B32F}"/>
    <cellStyle name="Comma 3 2 2 2 2 3" xfId="14555" xr:uid="{991AC00C-3AA7-4A09-9158-71629605511C}"/>
    <cellStyle name="Comma 3 2 2 2 2 3 2" xfId="22102" xr:uid="{EA2C4B2F-8420-449E-9FE9-A69509B977FD}"/>
    <cellStyle name="Comma 3 2 2 2 2 3 3" xfId="46834" xr:uid="{8E855145-5D6D-4FBD-856B-3B08DD5EB43A}"/>
    <cellStyle name="Comma 3 2 2 2 2 3 4" xfId="51440" xr:uid="{97A989D0-7551-4F18-9828-5D27BA55850C}"/>
    <cellStyle name="Comma 3 2 2 2 2 3 5" xfId="54456" xr:uid="{DF41D2B2-E775-42A1-B737-38E40F30ACD8}"/>
    <cellStyle name="Comma 3 2 2 2 2 4" xfId="15039" xr:uid="{12B96A0F-ED4E-48CA-B1EA-08F289954EF0}"/>
    <cellStyle name="Comma 3 2 2 2 2 4 2" xfId="22579" xr:uid="{8EA0E190-FC1D-4D17-BE0D-352CA87C23E8}"/>
    <cellStyle name="Comma 3 2 2 2 2 4 3" xfId="25295" xr:uid="{889C05FA-76AE-495C-86E3-E1D392ED0DD3}"/>
    <cellStyle name="Comma 3 2 2 2 2 4 4" xfId="51917" xr:uid="{1277FDD3-1C09-4CB5-A463-37D81B1EC0B6}"/>
    <cellStyle name="Comma 3 2 2 2 2 4 5" xfId="54933" xr:uid="{E621CBB8-630D-4D0C-BDEC-F4D2DD535042}"/>
    <cellStyle name="Comma 3 2 2 2 2 5" xfId="15526" xr:uid="{25ED1E81-EA62-4A7B-A83A-39CB28B4F42C}"/>
    <cellStyle name="Comma 3 2 2 2 2 5 2" xfId="23056" xr:uid="{C8BA60B2-E61B-437E-B20B-0DC7021EEF87}"/>
    <cellStyle name="Comma 3 2 2 2 2 5 3" xfId="47133" xr:uid="{744A8FCF-3E53-49F1-9715-FD69E97946F1}"/>
    <cellStyle name="Comma 3 2 2 2 2 5 4" xfId="52394" xr:uid="{D6B5AF93-8620-4B7A-AF71-6389E18D1611}"/>
    <cellStyle name="Comma 3 2 2 2 2 5 5" xfId="55410" xr:uid="{B8BD1A6F-9368-4C34-B894-B539E446BF10}"/>
    <cellStyle name="Comma 3 2 2 2 2 6" xfId="12474" xr:uid="{7C5B7208-D539-4697-880B-362B6712D8B5}"/>
    <cellStyle name="Comma 3 2 2 2 2 6 2" xfId="46310" xr:uid="{FD58D5DA-0147-4584-9A62-220AD86A22EF}"/>
    <cellStyle name="Comma 3 2 2 2 2 6 3" xfId="50963" xr:uid="{847BF0A3-BE3E-4FEF-861B-27869C981343}"/>
    <cellStyle name="Comma 3 2 2 2 2 6 4" xfId="53979" xr:uid="{7120C10A-CA13-42C6-9BE5-C8C0FC27D650}"/>
    <cellStyle name="Comma 3 2 2 2 2 7" xfId="47865" xr:uid="{BA51EC8D-479B-4F79-BA3B-A4561F87F1D8}"/>
    <cellStyle name="Comma 3 2 2 2 2 8" xfId="49857" xr:uid="{D423BE80-E802-4254-A0EE-538A515E3481}"/>
    <cellStyle name="Comma 3 2 2 2 2 9" xfId="52873" xr:uid="{7DE4CA52-66D4-487C-A4E0-39C567325FA3}"/>
    <cellStyle name="Comma 3 2 2 2 3" xfId="10088" xr:uid="{66317D47-589A-409A-89E7-8879D2C4DF3D}"/>
    <cellStyle name="Comma 3 2 2 2 3 2" xfId="10401" xr:uid="{762ECFF4-5CC7-4DBA-B01C-A6EC20BB1EDA}"/>
    <cellStyle name="Comma 3 2 2 2 3 2 2" xfId="14820" xr:uid="{D5614786-1D81-4558-A7A1-6CF2C757A365}"/>
    <cellStyle name="Comma 3 2 2 2 3 2 2 2" xfId="22367" xr:uid="{2A801D4B-9D77-47E0-BC4E-3B2EBA97AB3C}"/>
    <cellStyle name="Comma 3 2 2 2 3 2 2 3" xfId="46439" xr:uid="{74A9A75F-1FB4-4A7F-BE8E-78DEB1BF1146}"/>
    <cellStyle name="Comma 3 2 2 2 3 2 2 4" xfId="51705" xr:uid="{34759F77-3A9C-49AC-BE14-C54BBA52D013}"/>
    <cellStyle name="Comma 3 2 2 2 3 2 2 5" xfId="54721" xr:uid="{B53DABAC-76A6-4AE0-9A5C-08EB634D9AA6}"/>
    <cellStyle name="Comma 3 2 2 2 3 2 3" xfId="15305" xr:uid="{EAE1C5A3-B51B-452F-B1C8-105D63742915}"/>
    <cellStyle name="Comma 3 2 2 2 3 2 3 2" xfId="22844" xr:uid="{FD2F120A-69F2-47D4-BD24-D7C0A641C5D4}"/>
    <cellStyle name="Comma 3 2 2 2 3 2 3 3" xfId="47492" xr:uid="{CE0D2C86-7A84-456F-A5A2-4AEE5ACAD6C8}"/>
    <cellStyle name="Comma 3 2 2 2 3 2 3 4" xfId="52182" xr:uid="{9FCB414F-4615-42FE-A2FC-E82B694A7435}"/>
    <cellStyle name="Comma 3 2 2 2 3 2 3 5" xfId="55198" xr:uid="{64347BB2-E0BC-43EB-9738-F21FA4AEDC44}"/>
    <cellStyle name="Comma 3 2 2 2 3 2 4" xfId="15792" xr:uid="{C5B61F20-7F4A-40DA-8E3C-51D29C8B1F43}"/>
    <cellStyle name="Comma 3 2 2 2 3 2 4 2" xfId="23321" xr:uid="{60830E0E-FA3A-4650-BA1D-F45064AD34DE}"/>
    <cellStyle name="Comma 3 2 2 2 3 2 4 3" xfId="46586" xr:uid="{7649FADF-F1AC-4EF8-BAE9-620995EA37F8}"/>
    <cellStyle name="Comma 3 2 2 2 3 2 4 4" xfId="52659" xr:uid="{1D168DFF-1277-4A03-8E71-DF21182A1A1D}"/>
    <cellStyle name="Comma 3 2 2 2 3 2 4 5" xfId="55675" xr:uid="{3CDBEC56-5F77-47C9-9FBA-95034713A285}"/>
    <cellStyle name="Comma 3 2 2 2 3 2 5" xfId="12854" xr:uid="{60E4C5C2-2136-4FF3-A2E2-D0DCDF4F9AFB}"/>
    <cellStyle name="Comma 3 2 2 2 3 2 5 2" xfId="25047" xr:uid="{B91A9D95-B10C-48FC-9A08-7DF9DB1ED55A}"/>
    <cellStyle name="Comma 3 2 2 2 3 2 5 3" xfId="51228" xr:uid="{F9CA9FA4-85E2-41A6-BA46-6B767BEB6763}"/>
    <cellStyle name="Comma 3 2 2 2 3 2 5 4" xfId="54244" xr:uid="{8F634324-FFF3-41CD-9F9F-183961FB2FC1}"/>
    <cellStyle name="Comma 3 2 2 2 3 2 6" xfId="46109" xr:uid="{0EB84B2C-2933-46B2-81EF-20324C4ACD74}"/>
    <cellStyle name="Comma 3 2 2 2 3 2 7" xfId="50122" xr:uid="{D279CBFE-8CB1-4004-B6AB-3FBDB7CFFAF7}"/>
    <cellStyle name="Comma 3 2 2 2 3 2 8" xfId="53138" xr:uid="{82B0E152-5FFD-47B9-BE45-F35119C98213}"/>
    <cellStyle name="Comma 3 2 2 2 3 3" xfId="14608" xr:uid="{E17D392E-5AFD-400C-A9A6-8B7F304CA0E7}"/>
    <cellStyle name="Comma 3 2 2 2 3 3 2" xfId="22155" xr:uid="{136701AA-81A6-4A5D-8E77-741C94B1779A}"/>
    <cellStyle name="Comma 3 2 2 2 3 3 3" xfId="24316" xr:uid="{FFEA2142-C4ED-44E5-B2CA-8203AD2EB568}"/>
    <cellStyle name="Comma 3 2 2 2 3 3 4" xfId="51493" xr:uid="{58A54225-B4F3-4BF6-AB5E-5EE91145F4D3}"/>
    <cellStyle name="Comma 3 2 2 2 3 3 5" xfId="54509" xr:uid="{7DF8D5A7-DFED-40A9-AFBD-0B6620C1E4BE}"/>
    <cellStyle name="Comma 3 2 2 2 3 4" xfId="15093" xr:uid="{F3D0F750-2EB3-4C84-89CC-9D3C2E5BC867}"/>
    <cellStyle name="Comma 3 2 2 2 3 4 2" xfId="22632" xr:uid="{D9C1E4C9-A9FE-424C-803E-9A1126DF367B}"/>
    <cellStyle name="Comma 3 2 2 2 3 4 3" xfId="47634" xr:uid="{FC016ACF-2E74-43A8-AE3B-850AC3EBE058}"/>
    <cellStyle name="Comma 3 2 2 2 3 4 4" xfId="51970" xr:uid="{0ECAADF3-5097-4E6B-8951-26C4250C21FB}"/>
    <cellStyle name="Comma 3 2 2 2 3 4 5" xfId="54986" xr:uid="{0139E49C-D85D-4970-A413-7F9D6029D9DB}"/>
    <cellStyle name="Comma 3 2 2 2 3 5" xfId="15580" xr:uid="{788F8EAB-9C15-4057-ADE1-1F0473CD5095}"/>
    <cellStyle name="Comma 3 2 2 2 3 5 2" xfId="23109" xr:uid="{4FAB8745-D912-4CB0-A884-D44791D761E5}"/>
    <cellStyle name="Comma 3 2 2 2 3 5 3" xfId="47944" xr:uid="{C98C7851-3EDB-4D5E-A781-919D437D82B9}"/>
    <cellStyle name="Comma 3 2 2 2 3 5 4" xfId="52447" xr:uid="{B8AECE73-1F79-4ABA-923E-1E827BA50B9E}"/>
    <cellStyle name="Comma 3 2 2 2 3 5 5" xfId="55463" xr:uid="{9257EA9D-BAE4-4879-874C-B1F464832F77}"/>
    <cellStyle name="Comma 3 2 2 2 3 6" xfId="12545" xr:uid="{E2FD77EA-A049-4853-A6D9-85965FEED5BE}"/>
    <cellStyle name="Comma 3 2 2 2 3 6 2" xfId="48047" xr:uid="{922FD073-C5B2-40C3-A54D-CEA6D560B226}"/>
    <cellStyle name="Comma 3 2 2 2 3 6 3" xfId="51016" xr:uid="{E7C43B71-C2FE-4A59-86FA-FCA0AAEC29BF}"/>
    <cellStyle name="Comma 3 2 2 2 3 6 4" xfId="54032" xr:uid="{88E181A5-3F5F-4A99-80A9-036D20B1FDD2}"/>
    <cellStyle name="Comma 3 2 2 2 3 7" xfId="46040" xr:uid="{7264D5BA-D8E9-4BA9-881F-2E0D513AB4FC}"/>
    <cellStyle name="Comma 3 2 2 2 3 8" xfId="49910" xr:uid="{B69D3CB4-E5D3-4498-9372-71836519AE88}"/>
    <cellStyle name="Comma 3 2 2 2 3 9" xfId="52926" xr:uid="{24816FC9-5760-40B7-BD7E-D25E626EB594}"/>
    <cellStyle name="Comma 3 2 2 2 4" xfId="10167" xr:uid="{3D4BA7AD-922D-4FE7-9969-0C458DDA4593}"/>
    <cellStyle name="Comma 3 2 2 2 4 2" xfId="10481" xr:uid="{545748B9-813C-44F2-BD67-6EDC18445C5D}"/>
    <cellStyle name="Comma 3 2 2 2 4 2 2" xfId="14873" xr:uid="{63B780DA-CA66-47ED-9AF2-D7054149E0F6}"/>
    <cellStyle name="Comma 3 2 2 2 4 2 2 2" xfId="22420" xr:uid="{24C480B5-CD9E-4994-92F5-BA65F7223A47}"/>
    <cellStyle name="Comma 3 2 2 2 4 2 2 3" xfId="46681" xr:uid="{D6B010AD-D5AF-48D2-AD21-1FF593146C6C}"/>
    <cellStyle name="Comma 3 2 2 2 4 2 2 4" xfId="51758" xr:uid="{6C6BE38B-B6EB-4B64-9CB4-F4AE8E7FBF91}"/>
    <cellStyle name="Comma 3 2 2 2 4 2 2 5" xfId="54774" xr:uid="{295FED1B-541D-4DA5-933A-1F0A393C4247}"/>
    <cellStyle name="Comma 3 2 2 2 4 2 3" xfId="15358" xr:uid="{76912D5E-EABD-4998-B544-1EF94F0AA83E}"/>
    <cellStyle name="Comma 3 2 2 2 4 2 3 2" xfId="22897" xr:uid="{A4BA92D3-E08C-442C-8396-6D025B079898}"/>
    <cellStyle name="Comma 3 2 2 2 4 2 3 3" xfId="46911" xr:uid="{E997A984-8075-429B-8DFB-45550A0E81A9}"/>
    <cellStyle name="Comma 3 2 2 2 4 2 3 4" xfId="52235" xr:uid="{546E6F98-9BAE-40D6-AE3B-7EBB554BE139}"/>
    <cellStyle name="Comma 3 2 2 2 4 2 3 5" xfId="55251" xr:uid="{6F97A27E-BA8A-49EB-8718-162126B16847}"/>
    <cellStyle name="Comma 3 2 2 2 4 2 4" xfId="15845" xr:uid="{6B501821-0509-4FE6-9E03-67EC715283F6}"/>
    <cellStyle name="Comma 3 2 2 2 4 2 4 2" xfId="23374" xr:uid="{8423DF0C-FDB4-4E41-9854-2BED36309488}"/>
    <cellStyle name="Comma 3 2 2 2 4 2 4 3" xfId="47850" xr:uid="{05584150-8C91-4A89-93D2-BB26FE9601BB}"/>
    <cellStyle name="Comma 3 2 2 2 4 2 4 4" xfId="52712" xr:uid="{35BD4801-70D0-40BF-A5EC-354A08A68D0B}"/>
    <cellStyle name="Comma 3 2 2 2 4 2 4 5" xfId="55728" xr:uid="{9F67F1F7-85E3-4656-B63D-A2E4D37EE252}"/>
    <cellStyle name="Comma 3 2 2 2 4 2 5" xfId="12934" xr:uid="{35A0D416-B6EC-4B71-8B7E-1C4E9EE65032}"/>
    <cellStyle name="Comma 3 2 2 2 4 2 5 2" xfId="48204" xr:uid="{A9D51342-446E-4F97-9207-99CA716EDF8C}"/>
    <cellStyle name="Comma 3 2 2 2 4 2 5 3" xfId="51281" xr:uid="{F7933E77-0076-4469-B245-AF0A395BCA00}"/>
    <cellStyle name="Comma 3 2 2 2 4 2 5 4" xfId="54297" xr:uid="{5E040C40-3832-421A-AD4C-4563B76F2984}"/>
    <cellStyle name="Comma 3 2 2 2 4 2 6" xfId="48161" xr:uid="{B26B23F7-4CBB-488E-BFAF-88549CAA17C1}"/>
    <cellStyle name="Comma 3 2 2 2 4 2 7" xfId="50175" xr:uid="{528435F8-7B9F-4BA4-B827-5E7A29E77C40}"/>
    <cellStyle name="Comma 3 2 2 2 4 2 8" xfId="53191" xr:uid="{15051B97-37DC-4813-844B-44492B33B547}"/>
    <cellStyle name="Comma 3 2 2 2 4 3" xfId="14661" xr:uid="{10C4C730-7FB6-45F8-936A-E0DC4C220AA0}"/>
    <cellStyle name="Comma 3 2 2 2 4 3 2" xfId="22208" xr:uid="{71DFC383-93C8-4956-A1E7-668DEE468532}"/>
    <cellStyle name="Comma 3 2 2 2 4 3 3" xfId="46679" xr:uid="{414E4F28-8611-4265-98EB-51E51524C838}"/>
    <cellStyle name="Comma 3 2 2 2 4 3 4" xfId="51546" xr:uid="{28D04ED0-BAD0-439F-AF6E-7791745C397B}"/>
    <cellStyle name="Comma 3 2 2 2 4 3 5" xfId="54562" xr:uid="{1FDC3681-7F6C-4D62-B8D8-0A51890A3A7A}"/>
    <cellStyle name="Comma 3 2 2 2 4 4" xfId="15146" xr:uid="{EDC3C2B6-2124-42E0-B1C0-9107872DE174}"/>
    <cellStyle name="Comma 3 2 2 2 4 4 2" xfId="22685" xr:uid="{ED8A8D3F-5ACD-4ADE-AAB2-5A882C811077}"/>
    <cellStyle name="Comma 3 2 2 2 4 4 3" xfId="48096" xr:uid="{0F08DE77-BC37-463D-8186-8E4B685B862D}"/>
    <cellStyle name="Comma 3 2 2 2 4 4 4" xfId="52023" xr:uid="{654B38FA-C68E-4C85-B1E4-6368E0924A2A}"/>
    <cellStyle name="Comma 3 2 2 2 4 4 5" xfId="55039" xr:uid="{EC284DF0-C491-4138-A560-C86B6683C90F}"/>
    <cellStyle name="Comma 3 2 2 2 4 5" xfId="15633" xr:uid="{9558D60C-7F7F-484C-A982-FE577CD80835}"/>
    <cellStyle name="Comma 3 2 2 2 4 5 2" xfId="23162" xr:uid="{646A4E1A-9948-42F1-90AD-2A0630D05EEC}"/>
    <cellStyle name="Comma 3 2 2 2 4 5 3" xfId="48367" xr:uid="{98D099B7-6988-4A7E-84C0-227111D74D79}"/>
    <cellStyle name="Comma 3 2 2 2 4 5 4" xfId="52500" xr:uid="{CB0D806D-1FF5-478F-9B12-07F65CBBACC2}"/>
    <cellStyle name="Comma 3 2 2 2 4 5 5" xfId="55516" xr:uid="{6AB13493-5A28-4286-8214-6D17331D7AE6}"/>
    <cellStyle name="Comma 3 2 2 2 4 6" xfId="12621" xr:uid="{9607DF36-0361-40B3-8C71-093FC2A4F354}"/>
    <cellStyle name="Comma 3 2 2 2 4 6 2" xfId="47092" xr:uid="{77A552A0-62EA-4679-8A76-D35E4C8BB95C}"/>
    <cellStyle name="Comma 3 2 2 2 4 6 3" xfId="51069" xr:uid="{8CC0EBA3-5374-41DD-85ED-785F491CCDB9}"/>
    <cellStyle name="Comma 3 2 2 2 4 6 4" xfId="54085" xr:uid="{BAB6E4D8-A0D7-41EF-82AF-083D151FBEE9}"/>
    <cellStyle name="Comma 3 2 2 2 4 7" xfId="47996" xr:uid="{5D916ED7-F554-4E5B-A728-FB37CF309B76}"/>
    <cellStyle name="Comma 3 2 2 2 4 8" xfId="49963" xr:uid="{A996FD72-A47C-482D-84E3-1F9C63FF9285}"/>
    <cellStyle name="Comma 3 2 2 2 4 9" xfId="52979" xr:uid="{8364AB6E-AF0D-4F5E-8F6A-3B797DBB8999}"/>
    <cellStyle name="Comma 3 2 2 2 5" xfId="10247" xr:uid="{FEDCCBE0-E336-4A76-A782-B5AC27F2C9DB}"/>
    <cellStyle name="Comma 3 2 2 2 5 2" xfId="14714" xr:uid="{D2BBD23F-45D1-40CD-8250-07C02ED3965B}"/>
    <cellStyle name="Comma 3 2 2 2 5 2 2" xfId="22261" xr:uid="{260A4143-5E62-4AC5-B094-7B85929BF9CC}"/>
    <cellStyle name="Comma 3 2 2 2 5 2 3" xfId="47332" xr:uid="{31F58142-CC68-4C88-BD3D-72543EFB585B}"/>
    <cellStyle name="Comma 3 2 2 2 5 2 4" xfId="51599" xr:uid="{83CA7309-9D58-4015-B316-16B1851A07AF}"/>
    <cellStyle name="Comma 3 2 2 2 5 2 5" xfId="54615" xr:uid="{5AAF10BE-070B-41F2-853A-6F64F8E5711D}"/>
    <cellStyle name="Comma 3 2 2 2 5 3" xfId="15199" xr:uid="{00245ACD-A966-4305-B19E-6880250F0F60}"/>
    <cellStyle name="Comma 3 2 2 2 5 3 2" xfId="22738" xr:uid="{3379AAD4-9D41-405E-9317-E71318E3734D}"/>
    <cellStyle name="Comma 3 2 2 2 5 3 3" xfId="47568" xr:uid="{27D7AB7D-9CC5-42D9-B294-679433F9BEC2}"/>
    <cellStyle name="Comma 3 2 2 2 5 3 4" xfId="52076" xr:uid="{C77708F1-2407-44E8-8112-2126998936F3}"/>
    <cellStyle name="Comma 3 2 2 2 5 3 5" xfId="55092" xr:uid="{7345E02F-2DC0-4D81-A9E3-6E6596EF2C46}"/>
    <cellStyle name="Comma 3 2 2 2 5 4" xfId="15686" xr:uid="{A7C310B2-DF71-4980-9FFD-5A2974DBD313}"/>
    <cellStyle name="Comma 3 2 2 2 5 4 2" xfId="23215" xr:uid="{420D01CC-AEE4-48F2-B882-42E067515D47}"/>
    <cellStyle name="Comma 3 2 2 2 5 4 3" xfId="47646" xr:uid="{32AD25B4-D402-4BEC-A855-7DDF26A2FB28}"/>
    <cellStyle name="Comma 3 2 2 2 5 4 4" xfId="52553" xr:uid="{136529C8-E5D5-4747-930D-E1147E466E21}"/>
    <cellStyle name="Comma 3 2 2 2 5 4 5" xfId="55569" xr:uid="{5FFA5F5C-6F68-4234-B05B-12FE43F97077}"/>
    <cellStyle name="Comma 3 2 2 2 5 5" xfId="12700" xr:uid="{C758D124-DCA9-42BD-8B2F-4A9FA4A62D12}"/>
    <cellStyle name="Comma 3 2 2 2 5 5 2" xfId="25061" xr:uid="{10FCF3AC-E8E2-4D47-B13B-5E6D3F11D413}"/>
    <cellStyle name="Comma 3 2 2 2 5 5 3" xfId="51122" xr:uid="{92151A28-ADEB-4149-B80E-0AAAAB340D3A}"/>
    <cellStyle name="Comma 3 2 2 2 5 5 4" xfId="54138" xr:uid="{6FB17C51-C5B8-439C-B166-CCD479E7BEEB}"/>
    <cellStyle name="Comma 3 2 2 2 5 6" xfId="48000" xr:uid="{6FB0C71F-5772-4B41-BDC3-B577052835E4}"/>
    <cellStyle name="Comma 3 2 2 2 5 7" xfId="50016" xr:uid="{24702676-4179-4969-9E60-7B02137A3C34}"/>
    <cellStyle name="Comma 3 2 2 2 5 8" xfId="53032" xr:uid="{B3CFBF58-09A1-4958-ADB4-53CB1DE96BF1}"/>
    <cellStyle name="Comma 3 2 2 2 6" xfId="10561" xr:uid="{8141ADD9-8511-4503-A969-3BAA5E8FD7A5}"/>
    <cellStyle name="Comma 3 2 2 2 6 2" xfId="14926" xr:uid="{B99E2762-168F-4BF7-A2A8-561EFF8788A7}"/>
    <cellStyle name="Comma 3 2 2 2 6 2 2" xfId="22473" xr:uid="{94BF4C70-4E5A-48A3-8443-0C1C9339FB68}"/>
    <cellStyle name="Comma 3 2 2 2 6 2 3" xfId="47371" xr:uid="{EC31F4A9-5CD4-4D6D-8215-A12B506A173C}"/>
    <cellStyle name="Comma 3 2 2 2 6 2 4" xfId="51811" xr:uid="{8E6EFDFE-535B-483C-9CBD-958A15B58006}"/>
    <cellStyle name="Comma 3 2 2 2 6 2 5" xfId="54827" xr:uid="{A98BC70E-BAAE-4A32-B59B-77016207A6B2}"/>
    <cellStyle name="Comma 3 2 2 2 6 3" xfId="15411" xr:uid="{47623028-A9C5-4FF2-8F9E-CF10D5CBECBB}"/>
    <cellStyle name="Comma 3 2 2 2 6 3 2" xfId="22950" xr:uid="{6161B99A-71ED-4943-A4BD-FECCA8E708F8}"/>
    <cellStyle name="Comma 3 2 2 2 6 3 3" xfId="48075" xr:uid="{0E78E7EE-6DF9-4C61-8E1F-91A89EDC8F40}"/>
    <cellStyle name="Comma 3 2 2 2 6 3 4" xfId="52288" xr:uid="{FEF08864-F357-4AAD-B56C-DA53F536B01C}"/>
    <cellStyle name="Comma 3 2 2 2 6 3 5" xfId="55304" xr:uid="{96BA9C4D-DB14-46AE-8795-BB15933EAC3E}"/>
    <cellStyle name="Comma 3 2 2 2 6 4" xfId="15899" xr:uid="{F73B677A-B8C2-4301-84BE-A28DF1EE6933}"/>
    <cellStyle name="Comma 3 2 2 2 6 4 2" xfId="23427" xr:uid="{5D2672AF-6924-4B32-8B3B-29C52C72BC0E}"/>
    <cellStyle name="Comma 3 2 2 2 6 4 3" xfId="47851" xr:uid="{E6265ABC-F7DB-4E43-8860-6A72BF2ECC09}"/>
    <cellStyle name="Comma 3 2 2 2 6 4 4" xfId="52765" xr:uid="{A97904BD-7193-4F76-A06D-36B0B514751C}"/>
    <cellStyle name="Comma 3 2 2 2 6 4 5" xfId="55781" xr:uid="{5192AD7F-8423-41F5-8DDF-2B891B20AAF6}"/>
    <cellStyle name="Comma 3 2 2 2 6 5" xfId="13014" xr:uid="{62141DE3-BEE1-4E9C-AC55-D0088762871F}"/>
    <cellStyle name="Comma 3 2 2 2 6 5 2" xfId="47416" xr:uid="{4A21D4B3-5E2C-47A4-A075-823689560A5B}"/>
    <cellStyle name="Comma 3 2 2 2 6 5 3" xfId="51334" xr:uid="{A47E1AD0-3CDC-4D98-876B-90FDE586D33F}"/>
    <cellStyle name="Comma 3 2 2 2 6 5 4" xfId="54350" xr:uid="{51E68D1B-D896-40EB-A9BF-DFE2A20D2C61}"/>
    <cellStyle name="Comma 3 2 2 2 6 6" xfId="46630" xr:uid="{657FAE97-931E-4BAC-BD22-3EC665E72FCB}"/>
    <cellStyle name="Comma 3 2 2 2 6 7" xfId="50228" xr:uid="{99230DBB-9302-4D6C-A533-21D8D074B67E}"/>
    <cellStyle name="Comma 3 2 2 2 6 8" xfId="53244" xr:uid="{5F0EB218-BE0B-47FB-BA60-C2F83FA81C49}"/>
    <cellStyle name="Comma 3 2 2 2 7" xfId="14502" xr:uid="{16D2382E-5AAA-4378-8F9E-D9D44A3DD86B}"/>
    <cellStyle name="Comma 3 2 2 2 7 2" xfId="22049" xr:uid="{A272928F-ABB7-4B28-B4AB-F2ECAE49F903}"/>
    <cellStyle name="Comma 3 2 2 2 7 3" xfId="33025" xr:uid="{02E59F15-486F-44B7-99D1-D76B817EFB95}"/>
    <cellStyle name="Comma 3 2 2 2 7 4" xfId="51387" xr:uid="{15F72F3D-1387-4FAB-AFB2-393C3E9F02FD}"/>
    <cellStyle name="Comma 3 2 2 2 7 5" xfId="54403" xr:uid="{E6D517D7-3B1C-46A7-B914-5223A8B54072}"/>
    <cellStyle name="Comma 3 2 2 2 8" xfId="14986" xr:uid="{9AC8FE11-A769-4050-8264-118CBCCE2CE3}"/>
    <cellStyle name="Comma 3 2 2 2 8 2" xfId="22526" xr:uid="{B0743509-4F3C-458E-A9C6-72975E7834C1}"/>
    <cellStyle name="Comma 3 2 2 2 8 3" xfId="32513" xr:uid="{4CA91C28-6381-49AC-9324-C1A3F42F2C9D}"/>
    <cellStyle name="Comma 3 2 2 2 8 4" xfId="51864" xr:uid="{6D9AE224-EABD-411B-B5EC-7F24DA8B7405}"/>
    <cellStyle name="Comma 3 2 2 2 8 5" xfId="54880" xr:uid="{3600F3A1-1194-436C-BBFE-92731F21C3AC}"/>
    <cellStyle name="Comma 3 2 2 2 9" xfId="15473" xr:uid="{3488FF39-0CC3-460F-94AB-D1A76543D331}"/>
    <cellStyle name="Comma 3 2 2 2 9 2" xfId="23003" xr:uid="{74EE8EC5-66E9-4878-A057-6F2DD29AA4C5}"/>
    <cellStyle name="Comma 3 2 2 2 9 3" xfId="48146" xr:uid="{894A4B80-922B-409D-8836-CC5B6AE0AF8E}"/>
    <cellStyle name="Comma 3 2 2 2 9 4" xfId="52341" xr:uid="{647A26B7-093D-49A8-8E0E-1CBFECABA101}"/>
    <cellStyle name="Comma 3 2 2 2 9 5" xfId="55357" xr:uid="{0844BF52-EA8C-464C-9872-3086BFAEA504}"/>
    <cellStyle name="Comma 3 2 2 3" xfId="9598" xr:uid="{09B05D12-8000-47FE-90D9-251BB24E08D2}"/>
    <cellStyle name="Comma 3 2 2 3 2" xfId="10292" xr:uid="{3DFB47BA-09F8-4D0C-BDD0-D7023C707517}"/>
    <cellStyle name="Comma 3 2 2 3 2 2" xfId="14753" xr:uid="{60111B6D-5CE3-43DE-859F-65B9FDF4280F}"/>
    <cellStyle name="Comma 3 2 2 3 2 2 2" xfId="22300" xr:uid="{7BB27D0E-2A7C-40EE-A454-6EFCB88F15FD}"/>
    <cellStyle name="Comma 3 2 2 3 2 2 3" xfId="46430" xr:uid="{49E155AE-C03C-420B-88D4-59091F8DE7E9}"/>
    <cellStyle name="Comma 3 2 2 3 2 2 4" xfId="51638" xr:uid="{4BE23321-9D8A-4609-9E82-790AF80D9931}"/>
    <cellStyle name="Comma 3 2 2 3 2 2 5" xfId="54654" xr:uid="{5DAD981F-8333-4332-A895-FA23D332F56D}"/>
    <cellStyle name="Comma 3 2 2 3 2 3" xfId="15238" xr:uid="{78CF676D-5FA2-43BA-A9AC-52840D87408D}"/>
    <cellStyle name="Comma 3 2 2 3 2 3 2" xfId="22777" xr:uid="{CCD043A5-B28E-4817-93D9-F3329E5C40E0}"/>
    <cellStyle name="Comma 3 2 2 3 2 3 3" xfId="46500" xr:uid="{F281AFB7-1D8A-4617-B122-A9339414465F}"/>
    <cellStyle name="Comma 3 2 2 3 2 3 4" xfId="52115" xr:uid="{ABD83F8A-42D3-481C-99AA-46CABF81CBAB}"/>
    <cellStyle name="Comma 3 2 2 3 2 3 5" xfId="55131" xr:uid="{188BAE42-710A-4E17-87A2-DE34C07BCE6E}"/>
    <cellStyle name="Comma 3 2 2 3 2 4" xfId="15725" xr:uid="{B6F3460B-4A48-44AB-9D2F-FC26DE30B685}"/>
    <cellStyle name="Comma 3 2 2 3 2 4 2" xfId="23254" xr:uid="{D4151D21-BE13-454A-A82C-CB4C55C76505}"/>
    <cellStyle name="Comma 3 2 2 3 2 4 3" xfId="46578" xr:uid="{6BB0C8D2-D2AB-4E5E-ABF5-CAB139086661}"/>
    <cellStyle name="Comma 3 2 2 3 2 4 4" xfId="52592" xr:uid="{A1FA2CDC-09E0-42B4-8336-2BE7CF48DA45}"/>
    <cellStyle name="Comma 3 2 2 3 2 4 5" xfId="55608" xr:uid="{5FBD222E-1088-41C4-806C-06DC3E0D05BF}"/>
    <cellStyle name="Comma 3 2 2 3 2 5" xfId="12745" xr:uid="{E0946F00-091F-450C-B9DA-D78B6082AE6D}"/>
    <cellStyle name="Comma 3 2 2 3 2 5 2" xfId="48438" xr:uid="{2B4293AF-EBD6-4545-B380-14555E1E79F1}"/>
    <cellStyle name="Comma 3 2 2 3 2 5 3" xfId="51161" xr:uid="{E2D6F0C5-05B7-426E-AD37-2924CA9328FF}"/>
    <cellStyle name="Comma 3 2 2 3 2 5 4" xfId="54177" xr:uid="{AE93DE9A-A8C4-4CCC-B294-206603752DE4}"/>
    <cellStyle name="Comma 3 2 2 3 2 6" xfId="47283" xr:uid="{ACF5DE09-7EE8-4DA7-B80B-FC5D61BC6F7E}"/>
    <cellStyle name="Comma 3 2 2 3 2 7" xfId="50055" xr:uid="{477C7DC6-87A1-47C7-BEDC-8340B1600BF7}"/>
    <cellStyle name="Comma 3 2 2 3 2 8" xfId="53071" xr:uid="{34DCEB80-C4D0-481A-A140-8E986FC3D0BD}"/>
    <cellStyle name="Comma 3 2 2 3 3" xfId="14541" xr:uid="{80010E3C-96B8-4118-99A4-5B3D5ADDCADF}"/>
    <cellStyle name="Comma 3 2 2 3 3 2" xfId="22088" xr:uid="{EC22ED08-E4B4-4B2E-890A-DA4DA485DC93}"/>
    <cellStyle name="Comma 3 2 2 3 3 3" xfId="24980" xr:uid="{AF501CD0-448B-4D47-A13A-7FBF12B0F4A7}"/>
    <cellStyle name="Comma 3 2 2 3 3 4" xfId="51426" xr:uid="{E5EE7217-61B6-4CAC-AC60-1C2ED6EA0340}"/>
    <cellStyle name="Comma 3 2 2 3 3 5" xfId="54442" xr:uid="{652B758D-4C03-4566-849A-01E48EE75D0B}"/>
    <cellStyle name="Comma 3 2 2 3 4" xfId="15025" xr:uid="{85EE1C01-67EF-4613-B477-DFBAB52B3F9D}"/>
    <cellStyle name="Comma 3 2 2 3 4 2" xfId="22565" xr:uid="{65A2A2DB-7373-42D5-9144-EA38D2B13BBD}"/>
    <cellStyle name="Comma 3 2 2 3 4 3" xfId="48353" xr:uid="{10D9CE32-BD95-433F-A6F1-5FF6ABAC1593}"/>
    <cellStyle name="Comma 3 2 2 3 4 4" xfId="51903" xr:uid="{CA79DA37-D35E-4056-BF04-A2852E19EA8D}"/>
    <cellStyle name="Comma 3 2 2 3 4 5" xfId="54919" xr:uid="{A4608EDA-A495-48D6-86E1-CEAC017010F6}"/>
    <cellStyle name="Comma 3 2 2 3 5" xfId="15512" xr:uid="{26038AA6-ADAF-46B9-8F2E-AA103CFDCCE8}"/>
    <cellStyle name="Comma 3 2 2 3 5 2" xfId="23042" xr:uid="{6B289180-3E04-403D-A912-E0E23BE74D8F}"/>
    <cellStyle name="Comma 3 2 2 3 5 3" xfId="46543" xr:uid="{88E817BA-5555-4986-B9C7-AB7A43CCE7BF}"/>
    <cellStyle name="Comma 3 2 2 3 5 4" xfId="52380" xr:uid="{08186274-DA0D-4B4B-8903-A62527F09710}"/>
    <cellStyle name="Comma 3 2 2 3 5 5" xfId="55396" xr:uid="{2D9D8B41-6634-4DA5-9388-F95C37106FA4}"/>
    <cellStyle name="Comma 3 2 2 3 6" xfId="12450" xr:uid="{DE45F256-2799-4C32-9B2C-9FFC487B7BCF}"/>
    <cellStyle name="Comma 3 2 2 3 6 2" xfId="47013" xr:uid="{450AB842-07D1-4FF3-B602-2B87772F1CEF}"/>
    <cellStyle name="Comma 3 2 2 3 6 3" xfId="50949" xr:uid="{88FC0DFB-C503-4215-B5DC-C648342C5E18}"/>
    <cellStyle name="Comma 3 2 2 3 6 4" xfId="53965" xr:uid="{A87D91CC-AF7E-4C43-95F5-E94440695BC4}"/>
    <cellStyle name="Comma 3 2 2 3 7" xfId="47114" xr:uid="{51AAF258-D21C-4127-A5A5-20D7D3BA14E4}"/>
    <cellStyle name="Comma 3 2 2 3 8" xfId="49843" xr:uid="{32DA9B56-2102-4BE2-AAEF-674C776AE0C5}"/>
    <cellStyle name="Comma 3 2 2 3 9" xfId="52859" xr:uid="{918491A9-6114-466A-8B24-318A93DFDA5E}"/>
    <cellStyle name="Comma 3 2 2 4" xfId="10058" xr:uid="{A5DF87DD-61AB-479B-BAD3-9CCAA8F8A512}"/>
    <cellStyle name="Comma 3 2 2 4 2" xfId="10366" xr:uid="{F37B2E5E-C4A3-4B89-A292-CA4636EBB9C5}"/>
    <cellStyle name="Comma 3 2 2 4 2 2" xfId="14806" xr:uid="{613DD49A-26CB-4756-9E9C-8F8635E77826}"/>
    <cellStyle name="Comma 3 2 2 4 2 2 2" xfId="22353" xr:uid="{6838C5CE-FE94-4089-9519-0FFF7B20242C}"/>
    <cellStyle name="Comma 3 2 2 4 2 2 3" xfId="32284" xr:uid="{5E9CDCFF-D8DA-4B73-9DD7-ABB21228E55D}"/>
    <cellStyle name="Comma 3 2 2 4 2 2 4" xfId="51691" xr:uid="{F3751406-2734-455A-977D-2EF2B77A489B}"/>
    <cellStyle name="Comma 3 2 2 4 2 2 5" xfId="54707" xr:uid="{78D43539-88FB-4857-BDA0-695E6DD18C24}"/>
    <cellStyle name="Comma 3 2 2 4 2 3" xfId="15291" xr:uid="{13011A58-0745-40EF-92D2-A1875CF4A641}"/>
    <cellStyle name="Comma 3 2 2 4 2 3 2" xfId="22830" xr:uid="{8E5769F0-D1B7-4487-AC43-26231844854D}"/>
    <cellStyle name="Comma 3 2 2 4 2 3 3" xfId="48126" xr:uid="{E1BB08CC-7DA7-4026-8BFB-1FA0078882CF}"/>
    <cellStyle name="Comma 3 2 2 4 2 3 4" xfId="52168" xr:uid="{6DFC8927-FE87-48EC-9964-C10176036B4B}"/>
    <cellStyle name="Comma 3 2 2 4 2 3 5" xfId="55184" xr:uid="{B516AD90-3F44-46D6-979B-0C4D71F23A4F}"/>
    <cellStyle name="Comma 3 2 2 4 2 4" xfId="15778" xr:uid="{6ECD9277-5D74-4347-9C0C-28DA23A1D144}"/>
    <cellStyle name="Comma 3 2 2 4 2 4 2" xfId="23307" xr:uid="{26ACC468-8E50-4BEF-AF2F-AD912ABACC60}"/>
    <cellStyle name="Comma 3 2 2 4 2 4 3" xfId="48370" xr:uid="{6AB63CCB-4D6A-427B-90B8-5800A6ED03E2}"/>
    <cellStyle name="Comma 3 2 2 4 2 4 4" xfId="52645" xr:uid="{5BB03434-1889-4D6E-9A4F-2E64F6790CC5}"/>
    <cellStyle name="Comma 3 2 2 4 2 4 5" xfId="55661" xr:uid="{7AB16830-6C08-4806-A4D1-9003E26CD966}"/>
    <cellStyle name="Comma 3 2 2 4 2 5" xfId="12819" xr:uid="{1AB0C3C7-B8B9-4A87-B55B-BC2BB9DA7360}"/>
    <cellStyle name="Comma 3 2 2 4 2 5 2" xfId="47764" xr:uid="{2A6CF7F0-6DC1-41AD-BBCA-42D1C54BD2F4}"/>
    <cellStyle name="Comma 3 2 2 4 2 5 3" xfId="51214" xr:uid="{5E86FE0C-7A57-4F5A-9413-A1EAE28D55EF}"/>
    <cellStyle name="Comma 3 2 2 4 2 5 4" xfId="54230" xr:uid="{7EFD7A9B-E9BD-434B-8701-C2010AB102CA}"/>
    <cellStyle name="Comma 3 2 2 4 2 6" xfId="46101" xr:uid="{F399765E-55D0-42A6-85E6-0D79356AED73}"/>
    <cellStyle name="Comma 3 2 2 4 2 7" xfId="50108" xr:uid="{BCA56EA0-68E1-4FE0-993C-651A8F30F28B}"/>
    <cellStyle name="Comma 3 2 2 4 2 8" xfId="53124" xr:uid="{1ACE6736-CF18-44D3-9558-9BBDB1FEBC20}"/>
    <cellStyle name="Comma 3 2 2 4 3" xfId="14594" xr:uid="{B0B70332-50E4-4A7C-89A7-1D6532127D6F}"/>
    <cellStyle name="Comma 3 2 2 4 3 2" xfId="22141" xr:uid="{6011F0AB-37B4-4807-B454-0C806C10CFE8}"/>
    <cellStyle name="Comma 3 2 2 4 3 3" xfId="46840" xr:uid="{2897ED8F-65C8-4BB4-9AB2-B1AEFF94FE0E}"/>
    <cellStyle name="Comma 3 2 2 4 3 4" xfId="51479" xr:uid="{C354C2C2-ACDD-4BF2-86DC-8B48C3BFC2CA}"/>
    <cellStyle name="Comma 3 2 2 4 3 5" xfId="54495" xr:uid="{A5205083-EABB-440C-B853-7CDA672B43E2}"/>
    <cellStyle name="Comma 3 2 2 4 4" xfId="15079" xr:uid="{20991A78-E846-44FD-8FE1-362359D2788B}"/>
    <cellStyle name="Comma 3 2 2 4 4 2" xfId="22618" xr:uid="{DA2D12E3-CEE5-4513-975D-55E771E3D169}"/>
    <cellStyle name="Comma 3 2 2 4 4 3" xfId="47390" xr:uid="{F23299B9-C65E-4699-A133-87DB92F2473B}"/>
    <cellStyle name="Comma 3 2 2 4 4 4" xfId="51956" xr:uid="{1A976BEC-CFB4-4D68-9129-E72A15540B9E}"/>
    <cellStyle name="Comma 3 2 2 4 4 5" xfId="54972" xr:uid="{A45F8C68-C928-4DB9-9C03-27C1BB538CC5}"/>
    <cellStyle name="Comma 3 2 2 4 5" xfId="15566" xr:uid="{592288C0-B674-44F0-ABB2-7D1AA96F56AE}"/>
    <cellStyle name="Comma 3 2 2 4 5 2" xfId="23095" xr:uid="{B9C4C428-870F-42FA-8BA1-94E7FB89C1E2}"/>
    <cellStyle name="Comma 3 2 2 4 5 3" xfId="46936" xr:uid="{EF34C682-2280-45DC-8F4D-D00FA30C9816}"/>
    <cellStyle name="Comma 3 2 2 4 5 4" xfId="52433" xr:uid="{B3320DF9-42CA-4AAB-877A-EAF2F218ED22}"/>
    <cellStyle name="Comma 3 2 2 4 5 5" xfId="55449" xr:uid="{89AC7E15-740D-422F-9F57-A8B3C73E3E72}"/>
    <cellStyle name="Comma 3 2 2 4 6" xfId="12517" xr:uid="{D8A4538D-4B84-44AE-A77C-76327B6890A4}"/>
    <cellStyle name="Comma 3 2 2 4 6 2" xfId="46317" xr:uid="{22464992-75A9-489B-B841-AD47440793E4}"/>
    <cellStyle name="Comma 3 2 2 4 6 3" xfId="51002" xr:uid="{2E8865F6-E7E7-4557-B1F4-A1E482888E4A}"/>
    <cellStyle name="Comma 3 2 2 4 6 4" xfId="54018" xr:uid="{215BEF48-F736-4CB1-BFA9-C1DFB4A6F85C}"/>
    <cellStyle name="Comma 3 2 2 4 7" xfId="25383" xr:uid="{CD7A3539-8907-4579-8B03-8BAA2841DD6E}"/>
    <cellStyle name="Comma 3 2 2 4 8" xfId="49896" xr:uid="{36C60A6E-2E70-491D-B19A-A739FBD70F20}"/>
    <cellStyle name="Comma 3 2 2 4 9" xfId="52912" xr:uid="{AFC752DD-5889-491A-846C-0A35EB9024FB}"/>
    <cellStyle name="Comma 3 2 2 5" xfId="10132" xr:uid="{6302CA91-F478-46D0-AF15-57ACCC6C2A08}"/>
    <cellStyle name="Comma 3 2 2 5 2" xfId="10446" xr:uid="{CE4D8F13-F2DC-45FE-9AD6-D1C0AF8DA731}"/>
    <cellStyle name="Comma 3 2 2 5 2 2" xfId="14859" xr:uid="{4BA676A3-2CAB-42BA-8EB4-C0844ED5E79E}"/>
    <cellStyle name="Comma 3 2 2 5 2 2 2" xfId="22406" xr:uid="{B5C5462D-75B4-40D8-8380-CFC6438CEFDB}"/>
    <cellStyle name="Comma 3 2 2 5 2 2 3" xfId="46447" xr:uid="{DC8D3F50-2505-42C1-86F3-5FFA00F8785E}"/>
    <cellStyle name="Comma 3 2 2 5 2 2 4" xfId="51744" xr:uid="{4DC8B9E5-7937-4035-93E2-CB06FCDB53F0}"/>
    <cellStyle name="Comma 3 2 2 5 2 2 5" xfId="54760" xr:uid="{0CA68980-FF68-47B5-AF54-450B0D25A4AE}"/>
    <cellStyle name="Comma 3 2 2 5 2 3" xfId="15344" xr:uid="{1C1A42E2-757C-4F9B-821D-372E8F215A84}"/>
    <cellStyle name="Comma 3 2 2 5 2 3 2" xfId="22883" xr:uid="{C799601D-F2DC-4C20-914A-05B3572E20AB}"/>
    <cellStyle name="Comma 3 2 2 5 2 3 3" xfId="47432" xr:uid="{6F0F4C78-8461-4D7E-8ACC-70F5759349B5}"/>
    <cellStyle name="Comma 3 2 2 5 2 3 4" xfId="52221" xr:uid="{407B1003-076B-475A-959F-82445DD62755}"/>
    <cellStyle name="Comma 3 2 2 5 2 3 5" xfId="55237" xr:uid="{09806E51-1B67-4874-8FDB-6A14A12B6C60}"/>
    <cellStyle name="Comma 3 2 2 5 2 4" xfId="15831" xr:uid="{FB821E0C-5CE9-4EB4-BDA4-A66616984EB2}"/>
    <cellStyle name="Comma 3 2 2 5 2 4 2" xfId="23360" xr:uid="{43912178-9449-4BEE-A102-28BF3A5FBC43}"/>
    <cellStyle name="Comma 3 2 2 5 2 4 3" xfId="24430" xr:uid="{E68B86ED-75E7-435E-8139-E25B3314FC61}"/>
    <cellStyle name="Comma 3 2 2 5 2 4 4" xfId="52698" xr:uid="{4A73EDA1-80EF-48E6-BF6D-D2ABAAC42E90}"/>
    <cellStyle name="Comma 3 2 2 5 2 4 5" xfId="55714" xr:uid="{B98E56FC-8F74-4991-B593-104EB8639E0F}"/>
    <cellStyle name="Comma 3 2 2 5 2 5" xfId="12899" xr:uid="{4229E837-75D9-4FAC-B414-A9FCC00CA74C}"/>
    <cellStyle name="Comma 3 2 2 5 2 5 2" xfId="46808" xr:uid="{580B9AE4-4A2D-4832-BA40-AB63E4FD717F}"/>
    <cellStyle name="Comma 3 2 2 5 2 5 3" xfId="51267" xr:uid="{C4794CBD-BE4B-4B15-9C19-A6A125754B3F}"/>
    <cellStyle name="Comma 3 2 2 5 2 5 4" xfId="54283" xr:uid="{A633E349-CF87-4AD3-BF7C-04E4297EDB8A}"/>
    <cellStyle name="Comma 3 2 2 5 2 6" xfId="46123" xr:uid="{B0F50DD4-BB84-4077-B4C9-468DC296ECE6}"/>
    <cellStyle name="Comma 3 2 2 5 2 7" xfId="50161" xr:uid="{3299088E-9726-4203-823C-2C6B670F5941}"/>
    <cellStyle name="Comma 3 2 2 5 2 8" xfId="53177" xr:uid="{C72DD6CA-88D3-4D82-B369-C4F23B85ECFE}"/>
    <cellStyle name="Comma 3 2 2 5 3" xfId="14647" xr:uid="{36A211E7-6A3E-4BA4-BC7D-D3F7B7275D61}"/>
    <cellStyle name="Comma 3 2 2 5 3 2" xfId="22194" xr:uid="{6B37611F-2BFA-46AD-9FB5-C2478C9772AE}"/>
    <cellStyle name="Comma 3 2 2 5 3 3" xfId="34486" xr:uid="{940E8F12-E5B2-45D5-B138-9D69AC063227}"/>
    <cellStyle name="Comma 3 2 2 5 3 4" xfId="51532" xr:uid="{6B925A6B-9819-4459-BBA2-BE26389E0472}"/>
    <cellStyle name="Comma 3 2 2 5 3 5" xfId="54548" xr:uid="{E06BA94E-53D1-4159-81A8-F7BAA9E6F20C}"/>
    <cellStyle name="Comma 3 2 2 5 4" xfId="15132" xr:uid="{21AA32D5-4363-4A34-A948-DE91C56A9381}"/>
    <cellStyle name="Comma 3 2 2 5 4 2" xfId="22671" xr:uid="{F2B8D8B5-F79B-45D2-9917-A8E90AE76AA4}"/>
    <cellStyle name="Comma 3 2 2 5 4 3" xfId="48581" xr:uid="{5F627C29-4648-484B-AF08-8A598DF28B25}"/>
    <cellStyle name="Comma 3 2 2 5 4 4" xfId="52009" xr:uid="{55E59FC4-430E-4FEA-9204-B3911B69DE1D}"/>
    <cellStyle name="Comma 3 2 2 5 4 5" xfId="55025" xr:uid="{52EF2A79-274E-474A-9C86-B9BB533DF62B}"/>
    <cellStyle name="Comma 3 2 2 5 5" xfId="15619" xr:uid="{1F6B2609-A9E1-4031-B8D2-BC8BEEC38161}"/>
    <cellStyle name="Comma 3 2 2 5 5 2" xfId="23148" xr:uid="{2FFB3B5D-4970-4C17-9E46-F5461610F18C}"/>
    <cellStyle name="Comma 3 2 2 5 5 3" xfId="48421" xr:uid="{5A608AAD-5F38-419B-AE4C-75475C34F186}"/>
    <cellStyle name="Comma 3 2 2 5 5 4" xfId="52486" xr:uid="{25F5C881-B92E-451B-B177-8A929BE3B5EF}"/>
    <cellStyle name="Comma 3 2 2 5 5 5" xfId="55502" xr:uid="{D8D79811-98B8-4CC0-A1A4-AED445716E0A}"/>
    <cellStyle name="Comma 3 2 2 5 6" xfId="12589" xr:uid="{2BC99FFA-16B6-47B9-81A6-4484FB83EFA7}"/>
    <cellStyle name="Comma 3 2 2 5 6 2" xfId="47564" xr:uid="{A2A6E88C-66BF-4334-8EB9-725C70C9D051}"/>
    <cellStyle name="Comma 3 2 2 5 6 3" xfId="51055" xr:uid="{63EC6278-341B-4235-90EB-0BBCE504825F}"/>
    <cellStyle name="Comma 3 2 2 5 6 4" xfId="54071" xr:uid="{1985DAB9-8711-49AA-8886-A701996C3162}"/>
    <cellStyle name="Comma 3 2 2 5 7" xfId="46054" xr:uid="{CFD9B3B6-5DA7-4A3A-B56A-ACA452501025}"/>
    <cellStyle name="Comma 3 2 2 5 8" xfId="49949" xr:uid="{DBCC4C5B-E7AA-463B-AB8E-26152B3B6D83}"/>
    <cellStyle name="Comma 3 2 2 5 9" xfId="52965" xr:uid="{F0EC81B5-7BFF-4D91-8EEF-68B9F98A9757}"/>
    <cellStyle name="Comma 3 2 2 6" xfId="10212" xr:uid="{5AA6C29E-0260-414B-8E69-76CEAB29E6E0}"/>
    <cellStyle name="Comma 3 2 2 6 2" xfId="14700" xr:uid="{5B54C1FE-AC7E-4659-A640-8681DD6691B1}"/>
    <cellStyle name="Comma 3 2 2 6 2 2" xfId="22247" xr:uid="{35C668AC-65AF-4368-84A8-F00526148FB8}"/>
    <cellStyle name="Comma 3 2 2 6 2 3" xfId="46850" xr:uid="{F0BC3C06-14F8-47C2-BF9B-6B97E0A405EF}"/>
    <cellStyle name="Comma 3 2 2 6 2 4" xfId="51585" xr:uid="{9EFE5A15-4F1A-47C8-BE5E-69FD10924237}"/>
    <cellStyle name="Comma 3 2 2 6 2 5" xfId="54601" xr:uid="{3CC1BA97-1B13-44C3-B4B0-6C99DC7C3C26}"/>
    <cellStyle name="Comma 3 2 2 6 3" xfId="15185" xr:uid="{27D869FD-C87B-4FC7-9D44-498E5D00E707}"/>
    <cellStyle name="Comma 3 2 2 6 3 2" xfId="22724" xr:uid="{39993D73-76D0-4CD5-895E-C747C92D15FA}"/>
    <cellStyle name="Comma 3 2 2 6 3 3" xfId="46689" xr:uid="{401880E1-242E-4054-B481-55C0D4B6CD5A}"/>
    <cellStyle name="Comma 3 2 2 6 3 4" xfId="52062" xr:uid="{D23B95F6-95AB-4555-9702-4E9901BA1BFB}"/>
    <cellStyle name="Comma 3 2 2 6 3 5" xfId="55078" xr:uid="{C27B9AB0-3BCC-4F37-A304-053F8D55E190}"/>
    <cellStyle name="Comma 3 2 2 6 4" xfId="15672" xr:uid="{D05C04A6-BC3E-45DB-A3FB-787DB18C59D0}"/>
    <cellStyle name="Comma 3 2 2 6 4 2" xfId="23201" xr:uid="{2667D363-F023-4BDC-81FF-B15C1AA24E0B}"/>
    <cellStyle name="Comma 3 2 2 6 4 3" xfId="46951" xr:uid="{479A3996-29A1-42ED-BA10-931FE200DA8B}"/>
    <cellStyle name="Comma 3 2 2 6 4 4" xfId="52539" xr:uid="{77366F69-CBF4-42F3-AB49-1E9B17C02F9A}"/>
    <cellStyle name="Comma 3 2 2 6 4 5" xfId="55555" xr:uid="{D73E957F-7B40-4712-9BD9-ADAEA97D4C68}"/>
    <cellStyle name="Comma 3 2 2 6 5" xfId="12665" xr:uid="{9A3FF69A-84AD-447C-9051-45D1F3115203}"/>
    <cellStyle name="Comma 3 2 2 6 5 2" xfId="47167" xr:uid="{27439E0D-4B4C-457A-B34C-1384FFAA14FE}"/>
    <cellStyle name="Comma 3 2 2 6 5 3" xfId="51108" xr:uid="{47185D1F-A9DD-4050-930F-8BFED5D41C80}"/>
    <cellStyle name="Comma 3 2 2 6 5 4" xfId="54124" xr:uid="{B9200481-7549-4FAE-AD28-9823E7338F3C}"/>
    <cellStyle name="Comma 3 2 2 6 6" xfId="46066" xr:uid="{0BE63BDC-66CF-4D63-9D65-6FC3566108BC}"/>
    <cellStyle name="Comma 3 2 2 6 7" xfId="50002" xr:uid="{849E24EA-D714-476F-8E2D-2E9CA67A4D53}"/>
    <cellStyle name="Comma 3 2 2 6 8" xfId="53018" xr:uid="{42D5B5EB-4E5D-48BE-8727-876535B9981D}"/>
    <cellStyle name="Comma 3 2 2 7" xfId="10526" xr:uid="{AD1181B1-ED95-45B3-9948-2EE194AD37D3}"/>
    <cellStyle name="Comma 3 2 2 7 2" xfId="14912" xr:uid="{1C9FDFE6-0957-403A-BC70-A298CDAB429F}"/>
    <cellStyle name="Comma 3 2 2 7 2 2" xfId="22459" xr:uid="{C51DAC77-E882-4583-AA1A-D8D4E282F78E}"/>
    <cellStyle name="Comma 3 2 2 7 2 3" xfId="47744" xr:uid="{2EFA336D-A853-47E6-BFB4-B2030D8CC8F0}"/>
    <cellStyle name="Comma 3 2 2 7 2 4" xfId="51797" xr:uid="{4D9255B7-3C8B-486F-B931-0F704CCE9CB0}"/>
    <cellStyle name="Comma 3 2 2 7 2 5" xfId="54813" xr:uid="{4E9FBA86-65C4-4914-8B19-524E25C92205}"/>
    <cellStyle name="Comma 3 2 2 7 3" xfId="15397" xr:uid="{1020E763-4CCD-4F3D-8C5E-615402DC2972}"/>
    <cellStyle name="Comma 3 2 2 7 3 2" xfId="22936" xr:uid="{D5531CCE-B875-4BFE-B368-C3B66FD9870C}"/>
    <cellStyle name="Comma 3 2 2 7 3 3" xfId="48128" xr:uid="{F344AD2E-7A27-458F-A9A3-6A845023D9F2}"/>
    <cellStyle name="Comma 3 2 2 7 3 4" xfId="52274" xr:uid="{3D8DB2F9-61DF-42F1-B41F-76241C75F83A}"/>
    <cellStyle name="Comma 3 2 2 7 3 5" xfId="55290" xr:uid="{1265EBD1-C71D-47AD-B60E-D4546105BA9A}"/>
    <cellStyle name="Comma 3 2 2 7 4" xfId="15884" xr:uid="{B0B99E4A-BF51-45E0-B32B-6C308C531DF3}"/>
    <cellStyle name="Comma 3 2 2 7 4 2" xfId="23413" xr:uid="{E93223FE-1EC7-42C3-B76E-5AD729F6211C}"/>
    <cellStyle name="Comma 3 2 2 7 4 3" xfId="47505" xr:uid="{4CEAEDA3-4213-47DB-BE22-2FA72C07C956}"/>
    <cellStyle name="Comma 3 2 2 7 4 4" xfId="52751" xr:uid="{62286AC6-ECED-4AC6-8B08-5F3725FFF89B}"/>
    <cellStyle name="Comma 3 2 2 7 4 5" xfId="55767" xr:uid="{B5904F77-6DC1-4A42-B29C-74B2955E2267}"/>
    <cellStyle name="Comma 3 2 2 7 5" xfId="12979" xr:uid="{3EB1070F-06A4-462A-A6B4-2E7DD99545BF}"/>
    <cellStyle name="Comma 3 2 2 7 5 2" xfId="46379" xr:uid="{274F74DE-5FC4-470C-BFA3-30AA6F49C4EA}"/>
    <cellStyle name="Comma 3 2 2 7 5 3" xfId="51320" xr:uid="{9A6AE347-E84D-4891-8772-4566EC727096}"/>
    <cellStyle name="Comma 3 2 2 7 5 4" xfId="54336" xr:uid="{2892B31F-0988-4FCC-97C0-4499A578830D}"/>
    <cellStyle name="Comma 3 2 2 7 6" xfId="35987" xr:uid="{F43F94CA-D16C-4E30-B2E5-133740B41564}"/>
    <cellStyle name="Comma 3 2 2 7 7" xfId="50214" xr:uid="{0A813C73-3CB4-4453-9F10-CD78E32759E9}"/>
    <cellStyle name="Comma 3 2 2 7 8" xfId="53230" xr:uid="{BE411CD6-A8D7-41A4-9E54-7C6743808670}"/>
    <cellStyle name="Comma 3 2 2 8" xfId="14488" xr:uid="{87FBD247-E222-44F6-85C1-A66BB4B49BFD}"/>
    <cellStyle name="Comma 3 2 2 8 2" xfId="22035" xr:uid="{EF13034B-29F1-4824-86CB-3F4790023A08}"/>
    <cellStyle name="Comma 3 2 2 8 3" xfId="46827" xr:uid="{A4470FAD-EA94-4661-94F6-759285A5FB83}"/>
    <cellStyle name="Comma 3 2 2 8 4" xfId="51373" xr:uid="{F7AF8238-4036-4DDB-8BFF-E54F9A90A7E3}"/>
    <cellStyle name="Comma 3 2 2 8 5" xfId="54389" xr:uid="{42987B15-37F7-4CBA-B508-B1BB3AA05D2F}"/>
    <cellStyle name="Comma 3 2 2 9" xfId="14968" xr:uid="{8B69CD80-8E12-416E-A143-CCB33D99CC88}"/>
    <cellStyle name="Comma 3 2 2 9 2" xfId="22512" xr:uid="{AE6C467B-4BDA-45E3-974D-0C04E56D6E3C}"/>
    <cellStyle name="Comma 3 2 2 9 3" xfId="48068" xr:uid="{544BADA6-FEC7-4A8F-AF00-DE1910B52231}"/>
    <cellStyle name="Comma 3 2 2 9 4" xfId="51850" xr:uid="{2837C514-23DB-4C40-B4FF-B9AA894BC471}"/>
    <cellStyle name="Comma 3 2 2 9 5" xfId="54866" xr:uid="{8756CF39-65A0-4400-AE7F-1E3B49EAB8D8}"/>
    <cellStyle name="Comma 3 2 3" xfId="4540" xr:uid="{E717803F-F25D-4CA2-8E0A-56246ED101EB}"/>
    <cellStyle name="Comma 3 2 3 10" xfId="15474" xr:uid="{BBD225D2-6AB7-466C-BC6F-E47CF286E085}"/>
    <cellStyle name="Comma 3 2 3 10 2" xfId="23004" xr:uid="{963C54C4-58B3-4FD5-9D3B-8FBDD5138421}"/>
    <cellStyle name="Comma 3 2 3 10 3" xfId="23837" xr:uid="{964E2F4D-EB49-4C9A-8E8D-5E86E3B063EB}"/>
    <cellStyle name="Comma 3 2 3 10 4" xfId="52342" xr:uid="{A75AE7D5-9DC6-4BB0-B148-EA5396D8B7B1}"/>
    <cellStyle name="Comma 3 2 3 10 5" xfId="55358" xr:uid="{6A3FC6B5-CD5B-424D-975A-2A39E58C557F}"/>
    <cellStyle name="Comma 3 2 3 11" xfId="11495" xr:uid="{BAC39D7A-56A8-4A8B-83A3-D5844FBD0DA9}"/>
    <cellStyle name="Comma 3 2 3 11 2" xfId="21699" xr:uid="{FEC0CE67-4E35-4AC1-B8CC-0BFF8AE07C03}"/>
    <cellStyle name="Comma 3 2 3 11 3" xfId="24760" xr:uid="{963249ED-4499-4905-8E3C-067C2E3ADB1D}"/>
    <cellStyle name="Comma 3 2 3 11 4" xfId="50719" xr:uid="{98A1F0FF-9D05-4187-8A94-128771820F6A}"/>
    <cellStyle name="Comma 3 2 3 11 5" xfId="53735" xr:uid="{7FCD745E-678B-488D-B296-7C74C1208170}"/>
    <cellStyle name="Comma 3 2 3 12" xfId="23740" xr:uid="{40F51FBD-F3FF-47F6-A6AB-3F9F4770484C}"/>
    <cellStyle name="Comma 3 2 3 13" xfId="48623" xr:uid="{CFD07B57-4BDD-45FF-8B59-D78368F05BBA}"/>
    <cellStyle name="Comma 3 2 3 14" xfId="49531" xr:uid="{BB55A240-0DCE-4D51-BAFD-106E41A16FBD}"/>
    <cellStyle name="Comma 3 2 3 15" xfId="49805" xr:uid="{9629678C-098B-4873-BAF7-13CEEE1ECC2A}"/>
    <cellStyle name="Comma 3 2 3 16" xfId="52820" xr:uid="{A67AF94C-C3CF-45DB-9E02-6D1776C8E366}"/>
    <cellStyle name="Comma 3 2 3 17" xfId="8928" xr:uid="{61B9CC70-94E9-4A6C-BB4A-184E022E91E8}"/>
    <cellStyle name="Comma 3 2 3 2" xfId="10015" xr:uid="{D612F5C7-A0D3-44C7-A693-C360C8002DBB}"/>
    <cellStyle name="Comma 3 2 3 2 2" xfId="10323" xr:uid="{1F489179-B2F8-4855-B2AC-0D5E0BF4BB5B}"/>
    <cellStyle name="Comma 3 2 3 2 2 2" xfId="14768" xr:uid="{BFCA319E-9D96-4447-A3D2-941C668704C8}"/>
    <cellStyle name="Comma 3 2 3 2 2 2 2" xfId="22315" xr:uid="{E35E0C63-B8C1-4F2C-825A-8CFF8A88DC8C}"/>
    <cellStyle name="Comma 3 2 3 2 2 2 3" xfId="48035" xr:uid="{8A1DF83E-2B7E-45FC-A099-6B3E43B04EF7}"/>
    <cellStyle name="Comma 3 2 3 2 2 2 4" xfId="51653" xr:uid="{C829E1CE-B026-40CE-82DE-AD0F8D8F5770}"/>
    <cellStyle name="Comma 3 2 3 2 2 2 5" xfId="54669" xr:uid="{9901CC78-E80C-4086-9DAC-ED32FFDAC0F1}"/>
    <cellStyle name="Comma 3 2 3 2 2 3" xfId="15253" xr:uid="{5AC23BFD-C120-4157-902D-203E8D776FB8}"/>
    <cellStyle name="Comma 3 2 3 2 2 3 2" xfId="22792" xr:uid="{E3F6F54B-71DC-4D09-977A-BFB07A82DAC7}"/>
    <cellStyle name="Comma 3 2 3 2 2 3 3" xfId="47697" xr:uid="{183BF8AD-BC98-43FE-AC4B-AE6921D03F7C}"/>
    <cellStyle name="Comma 3 2 3 2 2 3 4" xfId="52130" xr:uid="{2DD6DBAF-B50D-448A-9CDE-214158845C2D}"/>
    <cellStyle name="Comma 3 2 3 2 2 3 5" xfId="55146" xr:uid="{CB34A80F-791D-441E-A2F0-5BB088A7D471}"/>
    <cellStyle name="Comma 3 2 3 2 2 4" xfId="15740" xr:uid="{569109E6-6DBC-40C3-86F1-B143F1D12573}"/>
    <cellStyle name="Comma 3 2 3 2 2 4 2" xfId="23269" xr:uid="{F4925221-9D2E-4C1D-86CD-F66F207A7F18}"/>
    <cellStyle name="Comma 3 2 3 2 2 4 3" xfId="46959" xr:uid="{3D2BCA4E-F345-42DE-8C64-E748800AD3D3}"/>
    <cellStyle name="Comma 3 2 3 2 2 4 4" xfId="52607" xr:uid="{AE8792C2-3E89-4878-B3B8-CBA8126844AB}"/>
    <cellStyle name="Comma 3 2 3 2 2 4 5" xfId="55623" xr:uid="{B1615274-5F36-4E44-9BE7-3B87C5A52346}"/>
    <cellStyle name="Comma 3 2 3 2 2 5" xfId="12776" xr:uid="{CE6A774A-8C85-4B2E-85A9-46DD12DBD358}"/>
    <cellStyle name="Comma 3 2 3 2 2 5 2" xfId="47762" xr:uid="{A10E765E-E464-453E-B559-695A87826DAD}"/>
    <cellStyle name="Comma 3 2 3 2 2 5 3" xfId="51176" xr:uid="{BE01D3E3-D535-4B7D-AF4D-4AD24C787C2B}"/>
    <cellStyle name="Comma 3 2 3 2 2 5 4" xfId="54192" xr:uid="{64C99D11-4E33-4D55-8372-32EF0A458625}"/>
    <cellStyle name="Comma 3 2 3 2 2 6" xfId="32474" xr:uid="{0285E2A6-BAC5-424D-AD11-F7ED5AEA24F8}"/>
    <cellStyle name="Comma 3 2 3 2 2 7" xfId="50070" xr:uid="{77270C9B-4AB1-4303-B902-118984C9BD3C}"/>
    <cellStyle name="Comma 3 2 3 2 2 8" xfId="53086" xr:uid="{3609F151-BDBD-43BC-AF0F-404A0F20ABF3}"/>
    <cellStyle name="Comma 3 2 3 2 3" xfId="14556" xr:uid="{7C777A73-8D19-4DC9-9DAD-6EA0EC94DABA}"/>
    <cellStyle name="Comma 3 2 3 2 3 2" xfId="22103" xr:uid="{EB1FD2E5-A721-4EC1-9226-C7D2F9081C44}"/>
    <cellStyle name="Comma 3 2 3 2 3 3" xfId="48347" xr:uid="{E4166A18-C085-4559-A719-E06E35869582}"/>
    <cellStyle name="Comma 3 2 3 2 3 4" xfId="51441" xr:uid="{0AA9D3C1-4E5D-4779-9ACD-D19FD7F09A82}"/>
    <cellStyle name="Comma 3 2 3 2 3 5" xfId="54457" xr:uid="{16E78C2F-32D6-4501-A687-1274F4959AE3}"/>
    <cellStyle name="Comma 3 2 3 2 4" xfId="15040" xr:uid="{01A0D0C3-1F1E-403D-9AF8-1F8EFE87E5D4}"/>
    <cellStyle name="Comma 3 2 3 2 4 2" xfId="22580" xr:uid="{055E3789-B382-4FEE-A4F6-D73F77167614}"/>
    <cellStyle name="Comma 3 2 3 2 4 3" xfId="48384" xr:uid="{83909057-C7A8-4867-839F-C4D74F9F4CE7}"/>
    <cellStyle name="Comma 3 2 3 2 4 4" xfId="51918" xr:uid="{990F9980-D9DA-4764-B0CE-F8907429CB83}"/>
    <cellStyle name="Comma 3 2 3 2 4 5" xfId="54934" xr:uid="{7A540261-5C56-4AB1-87E6-5F5E46875C9B}"/>
    <cellStyle name="Comma 3 2 3 2 5" xfId="15527" xr:uid="{E256B73C-6F62-4D60-A1B8-9CBF6AACA9F6}"/>
    <cellStyle name="Comma 3 2 3 2 5 2" xfId="23057" xr:uid="{1086D8DC-8357-4A8D-82F5-73FFCAE96D78}"/>
    <cellStyle name="Comma 3 2 3 2 5 3" xfId="48419" xr:uid="{0F50829C-D3A7-460D-82A4-D3BC7EA55E2C}"/>
    <cellStyle name="Comma 3 2 3 2 5 4" xfId="52395" xr:uid="{C7CD3858-931B-4D29-92BB-1EB63D723692}"/>
    <cellStyle name="Comma 3 2 3 2 5 5" xfId="55411" xr:uid="{4A172907-F6F5-4F74-BAAF-D7772A76D3F6}"/>
    <cellStyle name="Comma 3 2 3 2 6" xfId="12475" xr:uid="{CA922D21-469F-4468-96A3-0D8F5E0D7B0C}"/>
    <cellStyle name="Comma 3 2 3 2 6 2" xfId="37143" xr:uid="{58F8F9C9-A75D-4514-B26B-0A8A07C9D6A2}"/>
    <cellStyle name="Comma 3 2 3 2 6 3" xfId="50964" xr:uid="{D4D76CAC-8A0B-4C30-B0F0-EFEF5C5DE38C}"/>
    <cellStyle name="Comma 3 2 3 2 6 4" xfId="53980" xr:uid="{AC63B3E1-0486-467B-982E-F6CF6811FFE2}"/>
    <cellStyle name="Comma 3 2 3 2 7" xfId="46023" xr:uid="{9371CD64-34EA-4AFD-8DC8-183E4A39DB99}"/>
    <cellStyle name="Comma 3 2 3 2 8" xfId="49858" xr:uid="{32461B5D-C310-43A2-9BA7-0747D8A6206F}"/>
    <cellStyle name="Comma 3 2 3 2 9" xfId="52874" xr:uid="{39B319FA-EF59-417D-BEAF-2D48BE209D49}"/>
    <cellStyle name="Comma 3 2 3 3" xfId="10089" xr:uid="{A004F6B5-DE65-440C-9952-FCBD017B6081}"/>
    <cellStyle name="Comma 3 2 3 3 2" xfId="10402" xr:uid="{EFB9EC1A-0CC0-487C-ACE1-7EF48764E754}"/>
    <cellStyle name="Comma 3 2 3 3 2 2" xfId="14821" xr:uid="{403F72EB-080E-4559-9C24-DA9EAB22A34A}"/>
    <cellStyle name="Comma 3 2 3 3 2 2 2" xfId="22368" xr:uid="{8D9ED8E6-B917-40A7-89A4-7250B764665F}"/>
    <cellStyle name="Comma 3 2 3 3 2 2 3" xfId="24943" xr:uid="{CDF66EA5-D654-485A-BE4C-740BD4D4F853}"/>
    <cellStyle name="Comma 3 2 3 3 2 2 4" xfId="51706" xr:uid="{78A14D94-5C2C-450F-8D25-59A13042520C}"/>
    <cellStyle name="Comma 3 2 3 3 2 2 5" xfId="54722" xr:uid="{40004FE7-C4FF-4AD3-84EF-DAEBC7DDBD9C}"/>
    <cellStyle name="Comma 3 2 3 3 2 3" xfId="15306" xr:uid="{E473E757-1AFD-455F-96B0-D9FE266D8074}"/>
    <cellStyle name="Comma 3 2 3 3 2 3 2" xfId="22845" xr:uid="{002AC47A-09B5-40AC-8D9E-432E9296AB28}"/>
    <cellStyle name="Comma 3 2 3 3 2 3 3" xfId="48513" xr:uid="{DCB71E38-66B8-4D52-A094-E2B134D0BDDE}"/>
    <cellStyle name="Comma 3 2 3 3 2 3 4" xfId="52183" xr:uid="{45835DB1-3486-43C1-B644-3A49C4005DAE}"/>
    <cellStyle name="Comma 3 2 3 3 2 3 5" xfId="55199" xr:uid="{31D5A442-DFA3-410F-8A3E-0726A56DCE10}"/>
    <cellStyle name="Comma 3 2 3 3 2 4" xfId="15793" xr:uid="{7837ED4C-BCF7-4AE5-96A8-0F1CD303A6A9}"/>
    <cellStyle name="Comma 3 2 3 3 2 4 2" xfId="23322" xr:uid="{8D62821B-0662-4AEC-9832-B217CEB9B01C}"/>
    <cellStyle name="Comma 3 2 3 3 2 4 3" xfId="46587" xr:uid="{C86BB467-83E1-4355-B10C-77207E581FAA}"/>
    <cellStyle name="Comma 3 2 3 3 2 4 4" xfId="52660" xr:uid="{FB630A0F-19F1-437C-B640-B840CC511BC2}"/>
    <cellStyle name="Comma 3 2 3 3 2 4 5" xfId="55676" xr:uid="{1529DFFA-EBB2-4841-983E-20B8430FA200}"/>
    <cellStyle name="Comma 3 2 3 3 2 5" xfId="12855" xr:uid="{BE4B34A4-CB40-4DC9-B129-E0F8AA98CB7E}"/>
    <cellStyle name="Comma 3 2 3 3 2 5 2" xfId="47232" xr:uid="{9EEDABCF-3B90-4C87-85AB-5607F4371DCD}"/>
    <cellStyle name="Comma 3 2 3 3 2 5 3" xfId="51229" xr:uid="{83C164F7-ED84-44CC-9C30-CD3C4A666729}"/>
    <cellStyle name="Comma 3 2 3 3 2 5 4" xfId="54245" xr:uid="{B435CCCE-A8C6-41E9-B816-33DF7919B869}"/>
    <cellStyle name="Comma 3 2 3 3 2 6" xfId="48159" xr:uid="{40712BFF-820F-4A9E-9843-6AEAF336BD89}"/>
    <cellStyle name="Comma 3 2 3 3 2 7" xfId="50123" xr:uid="{A77572A9-3C6E-4F3F-9CCF-BFFE8F89AB07}"/>
    <cellStyle name="Comma 3 2 3 3 2 8" xfId="53139" xr:uid="{2C76ABB3-AFAC-4699-838F-F838F86D28DF}"/>
    <cellStyle name="Comma 3 2 3 3 3" xfId="14609" xr:uid="{FD8863E1-E802-435E-A8A4-BAF8BD1F3877}"/>
    <cellStyle name="Comma 3 2 3 3 3 2" xfId="22156" xr:uid="{93931BB0-A523-4273-9A44-86724A78688E}"/>
    <cellStyle name="Comma 3 2 3 3 3 3" xfId="47964" xr:uid="{4528B5DD-3D18-47D1-864C-284D8A0E8D5A}"/>
    <cellStyle name="Comma 3 2 3 3 3 4" xfId="51494" xr:uid="{A2545EE6-10C7-43FE-B738-42F77A018D63}"/>
    <cellStyle name="Comma 3 2 3 3 3 5" xfId="54510" xr:uid="{18A25AD1-E0FE-460B-BE8B-5CEF8ACD5B1B}"/>
    <cellStyle name="Comma 3 2 3 3 4" xfId="15094" xr:uid="{DD056D46-9A5D-416B-B4B1-EF1492477D6E}"/>
    <cellStyle name="Comma 3 2 3 3 4 2" xfId="22633" xr:uid="{85652F55-E76C-4D92-AE5A-9A10174C3E96}"/>
    <cellStyle name="Comma 3 2 3 3 4 3" xfId="46478" xr:uid="{0F705069-3B8B-4954-A649-AD974A2221F3}"/>
    <cellStyle name="Comma 3 2 3 3 4 4" xfId="51971" xr:uid="{D767C2DA-7FAA-4C15-B797-A4F32183E318}"/>
    <cellStyle name="Comma 3 2 3 3 4 5" xfId="54987" xr:uid="{7941934B-08BF-498E-9967-F236CECB18B5}"/>
    <cellStyle name="Comma 3 2 3 3 5" xfId="15581" xr:uid="{595B8A97-4E95-43BB-956E-C99165C9A235}"/>
    <cellStyle name="Comma 3 2 3 3 5 2" xfId="23110" xr:uid="{A4182278-7E55-4B99-BC05-2ECEBD2DA72B}"/>
    <cellStyle name="Comma 3 2 3 3 5 3" xfId="46555" xr:uid="{CD3C231A-D8BE-48F1-85C0-C5DFB04396A8}"/>
    <cellStyle name="Comma 3 2 3 3 5 4" xfId="52448" xr:uid="{345632FA-A4A9-43F7-8929-646F19124B83}"/>
    <cellStyle name="Comma 3 2 3 3 5 5" xfId="55464" xr:uid="{826D99CC-E301-426C-9B8C-4BB3824FEDE0}"/>
    <cellStyle name="Comma 3 2 3 3 6" xfId="12546" xr:uid="{F2619BE4-FAD1-4007-9F36-9D56C6FD3253}"/>
    <cellStyle name="Comma 3 2 3 3 6 2" xfId="47317" xr:uid="{95760035-80C5-40A3-B033-E0F5B33D45A0}"/>
    <cellStyle name="Comma 3 2 3 3 6 3" xfId="51017" xr:uid="{478B945B-F425-4257-9D7D-8DF2965ACFF1}"/>
    <cellStyle name="Comma 3 2 3 3 6 4" xfId="54033" xr:uid="{359EE8D2-8184-450C-9F00-D971040C88CB}"/>
    <cellStyle name="Comma 3 2 3 3 7" xfId="48449" xr:uid="{BDE2212F-8213-4BFB-B832-F731FCB62FE7}"/>
    <cellStyle name="Comma 3 2 3 3 8" xfId="49911" xr:uid="{F15B3F5F-B45D-4859-9D12-E4599ABC7E55}"/>
    <cellStyle name="Comma 3 2 3 3 9" xfId="52927" xr:uid="{5E5A298C-12F5-4F7A-BC11-5BB3F15CFA31}"/>
    <cellStyle name="Comma 3 2 3 4" xfId="10168" xr:uid="{22BC432B-08A9-444F-A5BF-AEC6367B1ACD}"/>
    <cellStyle name="Comma 3 2 3 4 2" xfId="10482" xr:uid="{4C281CAF-0ABC-426D-A8D0-88FE10B80961}"/>
    <cellStyle name="Comma 3 2 3 4 2 2" xfId="14874" xr:uid="{BF995FA5-2FC2-4000-A7C7-D4586F211B60}"/>
    <cellStyle name="Comma 3 2 3 4 2 2 2" xfId="22421" xr:uid="{C5DE893F-CCEA-42DD-9937-948271DAED8E}"/>
    <cellStyle name="Comma 3 2 3 4 2 2 3" xfId="32377" xr:uid="{A70A19C1-54C0-4CA5-B29D-0E85D9F1A85E}"/>
    <cellStyle name="Comma 3 2 3 4 2 2 4" xfId="51759" xr:uid="{886A14FE-C53B-48DC-B4E0-17DB79C93305}"/>
    <cellStyle name="Comma 3 2 3 4 2 2 5" xfId="54775" xr:uid="{752997BF-B488-495C-9224-7D15898453C8}"/>
    <cellStyle name="Comma 3 2 3 4 2 3" xfId="15359" xr:uid="{C20E1B98-5E6B-4CFF-8775-26F13DD3E268}"/>
    <cellStyle name="Comma 3 2 3 4 2 3 2" xfId="22898" xr:uid="{85912014-87FA-4AFA-815C-E4F2308B888B}"/>
    <cellStyle name="Comma 3 2 3 4 2 3 3" xfId="47493" xr:uid="{10096C6F-BBD3-419F-8074-576DDA145A44}"/>
    <cellStyle name="Comma 3 2 3 4 2 3 4" xfId="52236" xr:uid="{BDC486A7-5358-4323-85E8-B9F28F7C9368}"/>
    <cellStyle name="Comma 3 2 3 4 2 3 5" xfId="55252" xr:uid="{EC26F03A-6FCD-4C65-AAE5-B88835143501}"/>
    <cellStyle name="Comma 3 2 3 4 2 4" xfId="15846" xr:uid="{BA94AB76-49FB-45DC-BE23-993A90F4FD28}"/>
    <cellStyle name="Comma 3 2 3 4 2 4 2" xfId="23375" xr:uid="{A17C927F-75E7-465B-BEBF-A1A6A3091714}"/>
    <cellStyle name="Comma 3 2 3 4 2 4 3" xfId="46974" xr:uid="{EC70F2EC-19FA-439C-872B-AF28ABB0B7F2}"/>
    <cellStyle name="Comma 3 2 3 4 2 4 4" xfId="52713" xr:uid="{3622E87F-D29B-4310-AA0F-1C72EE46E4D6}"/>
    <cellStyle name="Comma 3 2 3 4 2 4 5" xfId="55729" xr:uid="{470C88BA-BC6A-4D09-A45D-133CD8E00EE1}"/>
    <cellStyle name="Comma 3 2 3 4 2 5" xfId="12935" xr:uid="{0ED1E747-62AC-42D9-9D4E-8E5C3FEC325C}"/>
    <cellStyle name="Comma 3 2 3 4 2 5 2" xfId="46374" xr:uid="{59E7B989-240F-4560-842B-7CA4770090FD}"/>
    <cellStyle name="Comma 3 2 3 4 2 5 3" xfId="51282" xr:uid="{3E7D98FE-C60E-4B3F-A77F-2C09C72B1C96}"/>
    <cellStyle name="Comma 3 2 3 4 2 5 4" xfId="54298" xr:uid="{A488F365-9615-4CB7-BD72-12A47B147199}"/>
    <cellStyle name="Comma 3 2 3 4 2 6" xfId="46129" xr:uid="{F3FD7FA5-3F4E-4A0F-8D9C-8CEEE168EDA3}"/>
    <cellStyle name="Comma 3 2 3 4 2 7" xfId="50176" xr:uid="{FFDF9576-DE7C-4D38-8040-31F8613F884F}"/>
    <cellStyle name="Comma 3 2 3 4 2 8" xfId="53192" xr:uid="{D6043647-8C87-40E7-8124-1731B24C197F}"/>
    <cellStyle name="Comma 3 2 3 4 3" xfId="14662" xr:uid="{7534C9F9-7D42-40C3-98B2-E14952D1D5B2}"/>
    <cellStyle name="Comma 3 2 3 4 3 2" xfId="22209" xr:uid="{83A397EB-9B80-4228-A74A-54565DCD9B9C}"/>
    <cellStyle name="Comma 3 2 3 4 3 3" xfId="47453" xr:uid="{E20C8F67-0130-46BB-A8BF-D0FFF379DB24}"/>
    <cellStyle name="Comma 3 2 3 4 3 4" xfId="51547" xr:uid="{5CD77785-6CA4-402B-A050-142E899C3FBD}"/>
    <cellStyle name="Comma 3 2 3 4 3 5" xfId="54563" xr:uid="{AEA4B17A-C49F-4FA4-813C-89D411322F46}"/>
    <cellStyle name="Comma 3 2 3 4 4" xfId="15147" xr:uid="{990E03F9-3B75-4C2B-8DD5-25C0829D58A1}"/>
    <cellStyle name="Comma 3 2 3 4 4 2" xfId="22686" xr:uid="{980E06D7-EA0B-4163-A1BB-7A97FBEDBB3E}"/>
    <cellStyle name="Comma 3 2 3 4 4 3" xfId="32546" xr:uid="{AB316849-F68B-4406-B8EE-C63C18355AEB}"/>
    <cellStyle name="Comma 3 2 3 4 4 4" xfId="52024" xr:uid="{69367B77-6D72-4955-813C-4EDF914D849A}"/>
    <cellStyle name="Comma 3 2 3 4 4 5" xfId="55040" xr:uid="{4FBEF40F-3D73-4307-8426-43AD4DA607BC}"/>
    <cellStyle name="Comma 3 2 3 4 5" xfId="15634" xr:uid="{C1CF8C1F-997E-4FBD-8D73-A5D9B662B7CB}"/>
    <cellStyle name="Comma 3 2 3 4 5 2" xfId="23163" xr:uid="{F020D323-6B78-4BBE-8917-27604A8D2872}"/>
    <cellStyle name="Comma 3 2 3 4 5 3" xfId="47945" xr:uid="{2658DAC0-8992-4505-9EEA-D8A2764C5DCA}"/>
    <cellStyle name="Comma 3 2 3 4 5 4" xfId="52501" xr:uid="{00AAE9A3-B1EB-4DDD-A4DE-1DF1EC25079B}"/>
    <cellStyle name="Comma 3 2 3 4 5 5" xfId="55517" xr:uid="{3AF3CADC-68E1-4435-A93E-F9F3C4BF3DE3}"/>
    <cellStyle name="Comma 3 2 3 4 6" xfId="12622" xr:uid="{CE6997E8-103F-4F3A-91C1-3CE8DE27836D}"/>
    <cellStyle name="Comma 3 2 3 4 6 2" xfId="46331" xr:uid="{57942BDC-7AC6-46F6-A7D4-4F460F09490E}"/>
    <cellStyle name="Comma 3 2 3 4 6 3" xfId="51070" xr:uid="{3A4F07CD-4A5B-4B53-A89D-25A03DD2CBF7}"/>
    <cellStyle name="Comma 3 2 3 4 6 4" xfId="54086" xr:uid="{591CFF52-F314-4D5C-966F-080B854F8A9A}"/>
    <cellStyle name="Comma 3 2 3 4 7" xfId="47651" xr:uid="{2D93665F-AF7D-4B62-95A5-FB416CFE7589}"/>
    <cellStyle name="Comma 3 2 3 4 8" xfId="49964" xr:uid="{17F2787D-DF61-4835-AF28-462574B1B86E}"/>
    <cellStyle name="Comma 3 2 3 4 9" xfId="52980" xr:uid="{01CD9B73-E3FF-4FCE-9B47-EA6014C25FB3}"/>
    <cellStyle name="Comma 3 2 3 5" xfId="10248" xr:uid="{34EB9378-EA75-429F-97A5-4F1102DF898B}"/>
    <cellStyle name="Comma 3 2 3 5 2" xfId="14715" xr:uid="{5530813D-EC4D-4B12-97C9-FC67F1A86D68}"/>
    <cellStyle name="Comma 3 2 3 5 2 2" xfId="22262" xr:uid="{C0F895C2-48B4-48A3-9872-5B39B55B3837}"/>
    <cellStyle name="Comma 3 2 3 5 2 3" xfId="46422" xr:uid="{61A81332-45B5-4DD8-BAA5-C2310F11EB48}"/>
    <cellStyle name="Comma 3 2 3 5 2 4" xfId="51600" xr:uid="{35418A30-A2ED-40D4-B8FE-29783858B18C}"/>
    <cellStyle name="Comma 3 2 3 5 2 5" xfId="54616" xr:uid="{11091EB4-8CE4-401C-9C00-F212C5CE41BD}"/>
    <cellStyle name="Comma 3 2 3 5 3" xfId="15200" xr:uid="{D465A659-0AEE-4E4D-8F62-D5BFB34AC3C7}"/>
    <cellStyle name="Comma 3 2 3 5 3 2" xfId="22739" xr:uid="{697BE84C-5697-40CB-9A08-DBA2034B22CD}"/>
    <cellStyle name="Comma 3 2 3 5 3 3" xfId="47669" xr:uid="{7C254756-2C7C-410B-B550-84B0905CE1BE}"/>
    <cellStyle name="Comma 3 2 3 5 3 4" xfId="52077" xr:uid="{6E285BF6-12FF-497F-9127-A008E240346C}"/>
    <cellStyle name="Comma 3 2 3 5 3 5" xfId="55093" xr:uid="{D68E7011-9BF2-401E-8FA7-CADFA97D699E}"/>
    <cellStyle name="Comma 3 2 3 5 4" xfId="15687" xr:uid="{3D14508F-2E1E-4C1C-B980-6EE85F24F371}"/>
    <cellStyle name="Comma 3 2 3 5 4 2" xfId="23216" xr:uid="{913DA3B6-094C-4726-A8D3-596537F956AF}"/>
    <cellStyle name="Comma 3 2 3 5 4 3" xfId="46572" xr:uid="{20411759-CE82-45CD-8F69-6D84C170E5A4}"/>
    <cellStyle name="Comma 3 2 3 5 4 4" xfId="52554" xr:uid="{B9CAAA57-1327-48D3-8D30-D017C2C06581}"/>
    <cellStyle name="Comma 3 2 3 5 4 5" xfId="55570" xr:uid="{DE9BCC26-BF39-4706-91EA-0C0A97782C99}"/>
    <cellStyle name="Comma 3 2 3 5 5" xfId="12701" xr:uid="{3DF11F05-1C36-4018-93BA-EBFC76AED16E}"/>
    <cellStyle name="Comma 3 2 3 5 5 2" xfId="48106" xr:uid="{7EF61BA2-401D-40F3-A435-B48FD45E1554}"/>
    <cellStyle name="Comma 3 2 3 5 5 3" xfId="51123" xr:uid="{9A68410C-EA27-4E02-B4FF-D26DF2720A0E}"/>
    <cellStyle name="Comma 3 2 3 5 5 4" xfId="54139" xr:uid="{F06666A9-749C-4D7C-BC2C-B01ADB8BEF99}"/>
    <cellStyle name="Comma 3 2 3 5 6" xfId="37545" xr:uid="{1549EC9E-FD41-436C-AC07-CD9845E51946}"/>
    <cellStyle name="Comma 3 2 3 5 7" xfId="50017" xr:uid="{AAE31E02-E2A0-46A3-8855-9A38968F2945}"/>
    <cellStyle name="Comma 3 2 3 5 8" xfId="53033" xr:uid="{34EB9EC9-D9C2-4A90-887F-0C58B5BD2576}"/>
    <cellStyle name="Comma 3 2 3 6" xfId="10562" xr:uid="{800627E8-5732-490E-8021-29AFAD87A1B8}"/>
    <cellStyle name="Comma 3 2 3 6 2" xfId="14927" xr:uid="{F70E2DC1-965D-4BCC-A7EA-E2E442CDF333}"/>
    <cellStyle name="Comma 3 2 3 6 2 2" xfId="22474" xr:uid="{0B73E834-82D6-4FAC-A94E-C1E0A4D72A9E}"/>
    <cellStyle name="Comma 3 2 3 6 2 3" xfId="46456" xr:uid="{F926B426-5A6D-437E-8DF3-036A023DEE9F}"/>
    <cellStyle name="Comma 3 2 3 6 2 4" xfId="51812" xr:uid="{5133882B-93C3-41F1-89D0-8B64E30BB85A}"/>
    <cellStyle name="Comma 3 2 3 6 2 5" xfId="54828" xr:uid="{5F01FB1A-B12C-4D0F-B75C-34F81291757C}"/>
    <cellStyle name="Comma 3 2 3 6 3" xfId="15412" xr:uid="{5E2A6DF0-D190-49EC-B4D7-200493BA0399}"/>
    <cellStyle name="Comma 3 2 3 6 3 2" xfId="22951" xr:uid="{21853A90-1C34-4713-BB3E-38D4115C5AB2}"/>
    <cellStyle name="Comma 3 2 3 6 3 3" xfId="47640" xr:uid="{EA9105AD-5D82-47FD-9EB5-4BD52B38FE95}"/>
    <cellStyle name="Comma 3 2 3 6 3 4" xfId="52289" xr:uid="{1D7C76B9-03C7-41C1-A843-B4E7F76386BF}"/>
    <cellStyle name="Comma 3 2 3 6 3 5" xfId="55305" xr:uid="{6EB60C08-2D25-4B96-8530-3ADB868F30D9}"/>
    <cellStyle name="Comma 3 2 3 6 4" xfId="15900" xr:uid="{CE3E66B1-EA07-41C1-8FEF-A07615A8EC77}"/>
    <cellStyle name="Comma 3 2 3 6 4 2" xfId="23428" xr:uid="{FAF4F11A-2D6C-477D-9B74-CA4087ECC34A}"/>
    <cellStyle name="Comma 3 2 3 6 4 3" xfId="46980" xr:uid="{4DC72FCE-ACD1-4E63-BEDF-E1A6D1CD781F}"/>
    <cellStyle name="Comma 3 2 3 6 4 4" xfId="52766" xr:uid="{F6CA5F1D-A35E-4AA5-A640-83A7E96967FB}"/>
    <cellStyle name="Comma 3 2 3 6 4 5" xfId="55782" xr:uid="{703E6DBD-588D-4978-9C75-042995F1A302}"/>
    <cellStyle name="Comma 3 2 3 6 5" xfId="13015" xr:uid="{B764B081-EE0D-444E-9D8E-64FDC4B89D0A}"/>
    <cellStyle name="Comma 3 2 3 6 5 2" xfId="25319" xr:uid="{0852CFC7-80EC-4EFE-B766-6E72E7983CAD}"/>
    <cellStyle name="Comma 3 2 3 6 5 3" xfId="51335" xr:uid="{395B5E87-C51D-44AF-B61E-A0B5DBE3DD41}"/>
    <cellStyle name="Comma 3 2 3 6 5 4" xfId="54351" xr:uid="{FA1D4836-DAED-4B42-9BA4-244726368D8E}"/>
    <cellStyle name="Comma 3 2 3 6 6" xfId="24766" xr:uid="{CF83F286-32BD-493C-8E3B-33882F74A866}"/>
    <cellStyle name="Comma 3 2 3 6 7" xfId="50229" xr:uid="{18C6AA5F-6D61-439D-8DC2-71C968BA7C46}"/>
    <cellStyle name="Comma 3 2 3 6 8" xfId="53245" xr:uid="{2640BB0C-E8D6-45D1-995B-3E096B51C2AB}"/>
    <cellStyle name="Comma 3 2 3 7" xfId="12310" xr:uid="{E9019799-1759-4A01-9F27-EC49AA823B43}"/>
    <cellStyle name="Comma 3 2 3 8" xfId="14503" xr:uid="{4281A846-3FC4-4570-8D4A-0F893104419C}"/>
    <cellStyle name="Comma 3 2 3 8 2" xfId="22050" xr:uid="{7CEA0B3E-7961-44FA-8DEF-195E4325E94A}"/>
    <cellStyle name="Comma 3 2 3 8 3" xfId="34491" xr:uid="{7935185F-BF2C-4359-9C5F-15430C9E486F}"/>
    <cellStyle name="Comma 3 2 3 8 4" xfId="51388" xr:uid="{B23AA5FE-DDE6-4935-98E7-A66560A26E64}"/>
    <cellStyle name="Comma 3 2 3 8 5" xfId="54404" xr:uid="{4723A9AC-03ED-4AE9-961D-C1371734414E}"/>
    <cellStyle name="Comma 3 2 3 9" xfId="14987" xr:uid="{7AB4B4DA-FB24-4617-A28D-DF346A9E4AF7}"/>
    <cellStyle name="Comma 3 2 3 9 2" xfId="22527" xr:uid="{629A8EAD-18E9-40B5-BE43-DBA31D5E5960}"/>
    <cellStyle name="Comma 3 2 3 9 3" xfId="47779" xr:uid="{8B3EE6D0-6234-4122-B406-209527AD417E}"/>
    <cellStyle name="Comma 3 2 3 9 4" xfId="51865" xr:uid="{EB31DD0E-0A7F-4AD0-A327-6A0D9B811D71}"/>
    <cellStyle name="Comma 3 2 3 9 5" xfId="54881" xr:uid="{1E237DED-69CF-41D6-BE11-77C82D97C69E}"/>
    <cellStyle name="Comma 3 2 4" xfId="5821" xr:uid="{CEF8F8EC-EFB8-4F42-ABE7-10A67FE7BF1B}"/>
    <cellStyle name="Comma 3 2 4 2" xfId="23741" xr:uid="{B9F4635A-EAEB-475E-9C78-EFFE9591201F}"/>
    <cellStyle name="Comma 3 2 4 3" xfId="48624" xr:uid="{4DB344AB-5736-4C29-A899-C4E22F4DFEE1}"/>
    <cellStyle name="Comma 3 2 4 4" xfId="49532" xr:uid="{E9FCC0ED-2FE6-4D6C-8DB5-1C864DC12BE0}"/>
    <cellStyle name="Comma 3 2 4 5" xfId="11167" xr:uid="{BFA3CFD9-B849-42EA-B55F-DEC12F7142A4}"/>
    <cellStyle name="Comma 3 2 5" xfId="12424" xr:uid="{D42B46DC-B4A9-4EE1-AA7A-B5873E395B53}"/>
    <cellStyle name="Comma 3 2 5 2" xfId="21909" xr:uid="{54674185-1B60-40EF-A010-DA20FB27882E}"/>
    <cellStyle name="Comma 3 2 5 3" xfId="23742" xr:uid="{7158B6FF-C275-4F98-A44B-35D4E585D390}"/>
    <cellStyle name="Comma 3 2 5 4" xfId="46307" xr:uid="{1F61A455-5C1D-4CAE-97A1-32D62FDE9580}"/>
    <cellStyle name="Comma 3 2 5 5" xfId="48625" xr:uid="{5797B5B2-0926-454F-8557-103514BC354C}"/>
    <cellStyle name="Comma 3 2 5 6" xfId="49533" xr:uid="{7A782119-91E9-4A0C-9DF2-72E9DE3933C2}"/>
    <cellStyle name="Comma 3 2 5 7" xfId="50947" xr:uid="{1E2CDCB5-38B9-4EF6-B365-B15F6BC42DB4}"/>
    <cellStyle name="Comma 3 2 5 8" xfId="53963" xr:uid="{0163032C-9B5B-446A-A163-312F52CA6F37}"/>
    <cellStyle name="Comma 3 2 6" xfId="11190" xr:uid="{08685A17-DCA4-4E35-B332-4DFD2E288134}"/>
    <cellStyle name="Comma 3 2 6 2" xfId="21686" xr:uid="{D4362A92-CA5B-4CC2-8F05-F1BCA9D993FB}"/>
    <cellStyle name="Comma 3 2 6 3" xfId="24499" xr:uid="{FBB0A694-8811-4E32-BDA2-BB9D450B3F49}"/>
    <cellStyle name="Comma 3 2 6 4" xfId="50703" xr:uid="{67434015-74BA-4F74-97F6-8A6D888595C1}"/>
    <cellStyle name="Comma 3 2 6 5" xfId="53719" xr:uid="{45C8F6A7-3968-4BB4-8567-A98B51C9C1E4}"/>
    <cellStyle name="Comma 3 2 7" xfId="19483" xr:uid="{E5F5948A-FDE0-4BA1-819C-8B3F3B6EEA66}"/>
    <cellStyle name="Comma 3 2 8" xfId="23737" xr:uid="{B6AF80AE-B51E-4006-BABE-D6A1B3C3E331}"/>
    <cellStyle name="Comma 3 2 9" xfId="48620" xr:uid="{33F449F5-B4D4-43F6-ACE1-D956AA96A52D}"/>
    <cellStyle name="Comma 3 3" xfId="2623" xr:uid="{B1AB9893-6890-4D1D-BAF6-2C57967D9D53}"/>
    <cellStyle name="Comma 3 3 10" xfId="15943" xr:uid="{AA38FC86-5CA5-45B5-97B1-E23AAC095E15}"/>
    <cellStyle name="Comma 3 3 11" xfId="8184" xr:uid="{A5EA7E93-3CA5-448F-97B5-50CD66B8F844}"/>
    <cellStyle name="Comma 3 3 2" xfId="4541" xr:uid="{0E4346B9-A856-4532-A686-99B776FF2BAF}"/>
    <cellStyle name="Comma 3 3 2 10" xfId="14988" xr:uid="{83CBBAD0-10A3-4AC4-9CB8-FC6B3AFB85F3}"/>
    <cellStyle name="Comma 3 3 2 10 2" xfId="22528" xr:uid="{22BE963D-04C0-4F03-8864-E711BB767342}"/>
    <cellStyle name="Comma 3 3 2 10 3" xfId="47930" xr:uid="{C2E64E2E-673C-44BF-8F3D-75D90E067182}"/>
    <cellStyle name="Comma 3 3 2 10 4" xfId="51866" xr:uid="{A357516D-4B94-4D09-9A2B-0F56F5A30FB5}"/>
    <cellStyle name="Comma 3 3 2 10 5" xfId="54882" xr:uid="{F3F03764-5ED5-4095-8ACC-5ACA82F201B9}"/>
    <cellStyle name="Comma 3 3 2 10 6" xfId="19184" xr:uid="{4AFADD6F-E4CC-43E7-BC26-D99ED5EB7F61}"/>
    <cellStyle name="Comma 3 3 2 11" xfId="15475" xr:uid="{EE40EC4A-34AE-467D-89DA-645BEA87B8A6}"/>
    <cellStyle name="Comma 3 3 2 11 2" xfId="23005" xr:uid="{A7164320-9B99-48E3-868B-B9083173882E}"/>
    <cellStyle name="Comma 3 3 2 11 3" xfId="46538" xr:uid="{BD29CD10-EE3E-4CA6-AB25-3AFD70C4B25E}"/>
    <cellStyle name="Comma 3 3 2 11 4" xfId="52343" xr:uid="{CD29027F-B395-4DDB-BB16-0A0C97045205}"/>
    <cellStyle name="Comma 3 3 2 11 5" xfId="55359" xr:uid="{E822CAFF-5C7F-4085-8832-5E343F4BA68A}"/>
    <cellStyle name="Comma 3 3 2 11 6" xfId="19329" xr:uid="{24BF0245-B736-4249-8552-4C5EF4A8E54A}"/>
    <cellStyle name="Comma 3 3 2 12" xfId="11584" xr:uid="{950659FB-FAFE-45F7-BBBA-AFE4620C4EE2}"/>
    <cellStyle name="Comma 3 3 2 12 2" xfId="21708" xr:uid="{D4241C79-DCB9-4D73-AA7D-7ED3E236CE2E}"/>
    <cellStyle name="Comma 3 3 2 12 3" xfId="48187" xr:uid="{69F53440-ACC2-477E-A550-9B1A5484C563}"/>
    <cellStyle name="Comma 3 3 2 12 4" xfId="50731" xr:uid="{6A9FAB04-A2A3-4A89-9D03-9F91C88622C5}"/>
    <cellStyle name="Comma 3 3 2 12 5" xfId="53747" xr:uid="{A54E2F7F-0E6D-412D-ADC2-BBAC6C858156}"/>
    <cellStyle name="Comma 3 3 2 12 6" xfId="18160" xr:uid="{FAAA4F64-A6EB-4D96-8390-E81A4D74D496}"/>
    <cellStyle name="Comma 3 3 2 13" xfId="23744" xr:uid="{7106DBE0-980C-4D0E-8C7D-D1A4D2F457FC}"/>
    <cellStyle name="Comma 3 3 2 14" xfId="32279" xr:uid="{2885E86A-83ED-40CF-BEBA-9621152578E8}"/>
    <cellStyle name="Comma 3 3 2 15" xfId="48627" xr:uid="{A3F229C4-530A-4423-8F43-9C67E82587CF}"/>
    <cellStyle name="Comma 3 3 2 16" xfId="49535" xr:uid="{AD1DB6AF-82A8-44D2-AFDC-724493A42A0F}"/>
    <cellStyle name="Comma 3 3 2 17" xfId="49806" xr:uid="{3AD3DF7A-F6D0-4044-AE48-25CCA239CDA3}"/>
    <cellStyle name="Comma 3 3 2 18" xfId="52821" xr:uid="{8B1BA82E-CF53-47EE-866D-048C03D391D7}"/>
    <cellStyle name="Comma 3 3 2 19" xfId="8929" xr:uid="{5E8A6EC9-20A4-4069-BBC0-10D760D04816}"/>
    <cellStyle name="Comma 3 3 2 2" xfId="8930" xr:uid="{549EF77B-AE01-4CA5-B074-3277546B3DC0}"/>
    <cellStyle name="Comma 3 3 2 2 10" xfId="12196" xr:uid="{12F92076-2DAB-4073-9DE4-6499D44B8006}"/>
    <cellStyle name="Comma 3 3 2 2 10 2" xfId="48258" xr:uid="{8B80FEE0-11D2-4C25-9192-8792E84669D5}"/>
    <cellStyle name="Comma 3 3 2 2 10 3" xfId="50941" xr:uid="{B68CD165-DAE3-4862-9DCC-8C03A6520E3B}"/>
    <cellStyle name="Comma 3 3 2 2 10 4" xfId="53957" xr:uid="{C738B07D-6E16-4458-BD5E-10F82A51DFD7}"/>
    <cellStyle name="Comma 3 3 2 2 10 5" xfId="21906" xr:uid="{75DD4DAA-54DC-4520-803A-B1578931B1D6}"/>
    <cellStyle name="Comma 3 3 2 2 11" xfId="23745" xr:uid="{7357528C-57FF-44AB-863A-FD0921375654}"/>
    <cellStyle name="Comma 3 3 2 2 12" xfId="47379" xr:uid="{BFD40ED3-A3CD-462D-A7EA-D115966A670E}"/>
    <cellStyle name="Comma 3 3 2 2 13" xfId="48628" xr:uid="{D42509EE-2E35-49CC-93A4-23F542C2CCD3}"/>
    <cellStyle name="Comma 3 3 2 2 14" xfId="49536" xr:uid="{272CD3E1-D795-4B74-86A7-51D9AC87ADF3}"/>
    <cellStyle name="Comma 3 3 2 2 15" xfId="49807" xr:uid="{C94A6755-7D21-4537-A30E-5665F1C59DDB}"/>
    <cellStyle name="Comma 3 3 2 2 16" xfId="52822" xr:uid="{4DF4B157-66E3-4E4F-8763-34142DAC0CBA}"/>
    <cellStyle name="Comma 3 3 2 2 17" xfId="18570" xr:uid="{FDA7775E-963A-4ABC-A68A-098DF326BBD4}"/>
    <cellStyle name="Comma 3 3 2 2 2" xfId="10017" xr:uid="{F67B855F-EEA3-48FC-8863-8EDDD0BAD4CC}"/>
    <cellStyle name="Comma 3 3 2 2 2 10" xfId="18748" xr:uid="{DBFDCE65-93D7-4ACB-B4C7-08D8F4C843EF}"/>
    <cellStyle name="Comma 3 3 2 2 2 2" xfId="10325" xr:uid="{36C63269-736A-4B16-B64A-2F56C0244132}"/>
    <cellStyle name="Comma 3 3 2 2 2 2 2" xfId="14770" xr:uid="{F0A03771-04FC-4C1B-B794-E21E7914CDA5}"/>
    <cellStyle name="Comma 3 3 2 2 2 2 2 2" xfId="22317" xr:uid="{F08CCFDD-BEC7-4F95-8466-3D29687055F7}"/>
    <cellStyle name="Comma 3 3 2 2 2 2 2 3" xfId="47370" xr:uid="{2419239B-6E9F-4F12-90C6-2AA6C3B4F83C}"/>
    <cellStyle name="Comma 3 3 2 2 2 2 2 4" xfId="51655" xr:uid="{55BB18DB-69A7-4C99-BC4B-238BE5A09D01}"/>
    <cellStyle name="Comma 3 3 2 2 2 2 2 5" xfId="54671" xr:uid="{45617F0B-0D4A-4554-8BD7-667A25EB9381}"/>
    <cellStyle name="Comma 3 3 2 2 2 2 2 6" xfId="19118" xr:uid="{33012C11-C93C-4469-9DD9-6F8D16570751}"/>
    <cellStyle name="Comma 3 3 2 2 2 2 3" xfId="15255" xr:uid="{DF92F60F-CD5E-43A1-8283-C92A9C59A444}"/>
    <cellStyle name="Comma 3 3 2 2 2 2 3 2" xfId="22794" xr:uid="{8AC318F9-3120-4343-B1BE-34F43E1F82CD}"/>
    <cellStyle name="Comma 3 3 2 2 2 2 3 3" xfId="47782" xr:uid="{A775B4A7-4984-47C0-9E62-B8000FEC5548}"/>
    <cellStyle name="Comma 3 3 2 2 2 2 3 4" xfId="52132" xr:uid="{D6B8A95D-CC53-463D-AFBF-C98396FF0164}"/>
    <cellStyle name="Comma 3 3 2 2 2 2 3 5" xfId="55148" xr:uid="{279F862D-BC8C-4E7D-9193-9C3672C7DC71}"/>
    <cellStyle name="Comma 3 3 2 2 2 2 3 6" xfId="19261" xr:uid="{2625543B-66B5-44F2-A41D-9718B439AE55}"/>
    <cellStyle name="Comma 3 3 2 2 2 2 4" xfId="15742" xr:uid="{E798E00E-00A5-4C2B-A7BB-737D32DCA0C4}"/>
    <cellStyle name="Comma 3 3 2 2 2 2 4 2" xfId="23271" xr:uid="{5268E7F6-3196-4C08-8BD6-1CD77B9B06FE}"/>
    <cellStyle name="Comma 3 3 2 2 2 2 4 3" xfId="47647" xr:uid="{A188A8D8-BF2C-445A-A83C-3C79A7B21A93}"/>
    <cellStyle name="Comma 3 3 2 2 2 2 4 4" xfId="52609" xr:uid="{E08F9F36-E9D3-4CD3-8182-5BB7D1F6DCBD}"/>
    <cellStyle name="Comma 3 3 2 2 2 2 4 5" xfId="55625" xr:uid="{0BE168F5-0BC3-4211-8514-9DEE53D2A431}"/>
    <cellStyle name="Comma 3 3 2 2 2 2 4 6" xfId="19406" xr:uid="{B9938502-FB95-4F1D-86A9-4FD850953D02}"/>
    <cellStyle name="Comma 3 3 2 2 2 2 5" xfId="12778" xr:uid="{4EFC4504-FD37-43A7-A247-2775979DF9AC}"/>
    <cellStyle name="Comma 3 3 2 2 2 2 5 2" xfId="47096" xr:uid="{7E3B1605-6681-4614-A31F-A23DCD543DA3}"/>
    <cellStyle name="Comma 3 3 2 2 2 2 5 3" xfId="51178" xr:uid="{12394768-B278-45E1-8C98-8A4DEC9EC8A0}"/>
    <cellStyle name="Comma 3 3 2 2 2 2 5 4" xfId="54194" xr:uid="{D0E7E456-6BA8-428E-A393-EE36289E0A9F}"/>
    <cellStyle name="Comma 3 3 2 2 2 2 5 5" xfId="21976" xr:uid="{F87BCE5E-3281-4338-B843-1FD5350B7A33}"/>
    <cellStyle name="Comma 3 3 2 2 2 2 6" xfId="46623" xr:uid="{89E2568B-FE81-4BCE-A632-87F0B5B09603}"/>
    <cellStyle name="Comma 3 3 2 2 2 2 7" xfId="50072" xr:uid="{FBC50167-C6C2-441B-AA34-EEF028E716F8}"/>
    <cellStyle name="Comma 3 3 2 2 2 2 8" xfId="53088" xr:uid="{4A843D2E-D42A-4AF9-B882-522FD8402D05}"/>
    <cellStyle name="Comma 3 3 2 2 2 2 9" xfId="18897" xr:uid="{6F9CDC8D-0C05-440C-A5A7-237906258786}"/>
    <cellStyle name="Comma 3 3 2 2 2 3" xfId="14558" xr:uid="{C638265C-949A-4A21-B4BA-FAFDA306287F}"/>
    <cellStyle name="Comma 3 3 2 2 2 3 2" xfId="22105" xr:uid="{332C9C46-5052-434A-946E-6848BFC2DE48}"/>
    <cellStyle name="Comma 3 3 2 2 2 3 3" xfId="46397" xr:uid="{CF6326AF-8029-4AA6-BF64-A9DFCE3D5CDB}"/>
    <cellStyle name="Comma 3 3 2 2 2 3 4" xfId="51443" xr:uid="{23C45729-5750-447D-B2AD-936DEF98F5E8}"/>
    <cellStyle name="Comma 3 3 2 2 2 3 5" xfId="54459" xr:uid="{ADC4436C-0A28-4779-8992-FDE331166F37}"/>
    <cellStyle name="Comma 3 3 2 2 2 3 6" xfId="19058" xr:uid="{98566550-F6E4-4492-B744-21B893130AA7}"/>
    <cellStyle name="Comma 3 3 2 2 2 4" xfId="15042" xr:uid="{F618BB84-D02A-4249-80FA-79BB3D7C57CB}"/>
    <cellStyle name="Comma 3 3 2 2 2 4 2" xfId="22582" xr:uid="{77C6B4AF-FCAE-4738-A3B2-BE50EAA85E2D}"/>
    <cellStyle name="Comma 3 3 2 2 2 4 3" xfId="48036" xr:uid="{B73AC690-0C74-49CF-AB25-29C637661021}"/>
    <cellStyle name="Comma 3 3 2 2 2 4 4" xfId="51920" xr:uid="{1CA63C38-B0E5-47C2-83F0-C7F705FA59E2}"/>
    <cellStyle name="Comma 3 3 2 2 2 4 5" xfId="54936" xr:uid="{946262A2-C6B6-44A2-8C95-61E7CDC08008}"/>
    <cellStyle name="Comma 3 3 2 2 2 4 6" xfId="19200" xr:uid="{E259F6F2-6ED9-4425-83AF-BB842588E0B9}"/>
    <cellStyle name="Comma 3 3 2 2 2 5" xfId="15529" xr:uid="{56B8DBD9-5987-466F-93FF-E3F4E027A364}"/>
    <cellStyle name="Comma 3 3 2 2 2 5 2" xfId="23059" xr:uid="{BE861CFD-CEDB-4117-B331-E6688C3133BC}"/>
    <cellStyle name="Comma 3 3 2 2 2 5 3" xfId="47195" xr:uid="{F0F049BF-8B9E-464E-AEA1-2457524913D4}"/>
    <cellStyle name="Comma 3 3 2 2 2 5 4" xfId="52397" xr:uid="{C0E4D41B-AFA9-4344-BEC9-D18E430923D2}"/>
    <cellStyle name="Comma 3 3 2 2 2 5 5" xfId="55413" xr:uid="{50693469-5CED-469C-94D8-7A7C6C40AF88}"/>
    <cellStyle name="Comma 3 3 2 2 2 5 6" xfId="19345" xr:uid="{2348ECA8-D247-45B0-8496-2312F638CD4D}"/>
    <cellStyle name="Comma 3 3 2 2 2 6" xfId="12477" xr:uid="{51A9C7A6-DF9A-4818-B988-DD69C7713355}"/>
    <cellStyle name="Comma 3 3 2 2 2 6 2" xfId="46757" xr:uid="{64CF7C70-FD16-4562-9476-5F0344DD2D3E}"/>
    <cellStyle name="Comma 3 3 2 2 2 6 3" xfId="50966" xr:uid="{C320B5EE-8837-4A93-A4E5-2892A5D5F33B}"/>
    <cellStyle name="Comma 3 3 2 2 2 6 4" xfId="53982" xr:uid="{A5CA67AC-B28C-419B-BA6D-164C468F627D}"/>
    <cellStyle name="Comma 3 3 2 2 2 6 5" xfId="21915" xr:uid="{EFD271DD-A8FC-4C93-9CBC-31243EB585EF}"/>
    <cellStyle name="Comma 3 3 2 2 2 7" xfId="46024" xr:uid="{4E0B95C0-FD0A-4783-99B2-FC7129162FA5}"/>
    <cellStyle name="Comma 3 3 2 2 2 8" xfId="49860" xr:uid="{4B38AFCB-E1C3-4C68-94BD-E96FB3AD9C9F}"/>
    <cellStyle name="Comma 3 3 2 2 2 9" xfId="52876" xr:uid="{D12A6F8A-6A8A-4928-8B68-5E8A362A7851}"/>
    <cellStyle name="Comma 3 3 2 2 3" xfId="10091" xr:uid="{7506356B-B3A8-4CF0-9732-01D3C54918E7}"/>
    <cellStyle name="Comma 3 3 2 2 3 10" xfId="18781" xr:uid="{AB75EEDB-773D-4FAA-8F66-761C1EF4AD1C}"/>
    <cellStyle name="Comma 3 3 2 2 3 2" xfId="10404" xr:uid="{8B434A9C-F9C6-4B7F-9D58-BBC106DE4DF7}"/>
    <cellStyle name="Comma 3 3 2 2 3 2 2" xfId="14823" xr:uid="{50DFF364-E123-4246-94D5-4E3A3562676A}"/>
    <cellStyle name="Comma 3 3 2 2 3 2 2 2" xfId="22370" xr:uid="{0B97EF36-5E92-41A5-BDB0-12CD34390E7C}"/>
    <cellStyle name="Comma 3 3 2 2 3 2 2 3" xfId="46865" xr:uid="{34676346-4619-4BEB-9723-C7CC269A5ED9}"/>
    <cellStyle name="Comma 3 3 2 2 3 2 2 4" xfId="51708" xr:uid="{564F278F-FD8D-4873-AB74-BFCC7FEBE500}"/>
    <cellStyle name="Comma 3 3 2 2 3 2 2 5" xfId="54724" xr:uid="{A3DC3387-9AA8-46C7-892D-BEFB69075638}"/>
    <cellStyle name="Comma 3 3 2 2 3 2 2 6" xfId="19133" xr:uid="{0877C82B-9E2B-4C9B-861F-35D0EF992A11}"/>
    <cellStyle name="Comma 3 3 2 2 3 2 3" xfId="15308" xr:uid="{9779757B-E772-470C-ABDF-6F436210AD0D}"/>
    <cellStyle name="Comma 3 3 2 2 3 2 3 2" xfId="22847" xr:uid="{DF867C1A-A9C9-4CCE-83F9-192D921AA499}"/>
    <cellStyle name="Comma 3 3 2 2 3 2 3 3" xfId="47125" xr:uid="{6E0E22DA-3403-4AEE-AFF4-FC6CF876C91C}"/>
    <cellStyle name="Comma 3 3 2 2 3 2 3 4" xfId="52185" xr:uid="{20281962-50F7-4951-B010-D7B86EC3A9C6}"/>
    <cellStyle name="Comma 3 3 2 2 3 2 3 5" xfId="55201" xr:uid="{A01BD316-B9B3-4296-8C35-7DB3C9958554}"/>
    <cellStyle name="Comma 3 3 2 2 3 2 3 6" xfId="19276" xr:uid="{D6CAC46A-885C-4051-B829-A2CA2D753635}"/>
    <cellStyle name="Comma 3 3 2 2 3 2 4" xfId="15795" xr:uid="{0193C7AA-6B86-4763-82F1-150FAAFD42C3}"/>
    <cellStyle name="Comma 3 3 2 2 3 2 4 2" xfId="23324" xr:uid="{7E374974-CEAC-4429-9B13-B2840C807F65}"/>
    <cellStyle name="Comma 3 3 2 2 3 2 4 3" xfId="24433" xr:uid="{3A2B911F-F5C8-4BA4-AF6A-61EC7E35DED5}"/>
    <cellStyle name="Comma 3 3 2 2 3 2 4 4" xfId="52662" xr:uid="{1E2AE6CC-1CF1-4F66-B32C-12D8D2D56CA6}"/>
    <cellStyle name="Comma 3 3 2 2 3 2 4 5" xfId="55678" xr:uid="{95C1D923-DC9F-48CC-A8EA-02A4376514CB}"/>
    <cellStyle name="Comma 3 3 2 2 3 2 4 6" xfId="19421" xr:uid="{1EAB8ACF-0E86-4D6E-9634-51268C469CAF}"/>
    <cellStyle name="Comma 3 3 2 2 3 2 5" xfId="12857" xr:uid="{D202CC3F-03AD-4B55-9DA3-82BF007B0A55}"/>
    <cellStyle name="Comma 3 3 2 2 3 2 5 2" xfId="47172" xr:uid="{E74C7C32-7D7F-485D-B2F0-BD1FCF1A08E8}"/>
    <cellStyle name="Comma 3 3 2 2 3 2 5 3" xfId="51231" xr:uid="{496CC16A-C1B8-4857-B7F9-8461B8CA62BB}"/>
    <cellStyle name="Comma 3 3 2 2 3 2 5 4" xfId="54247" xr:uid="{B73C217A-7543-46DA-BA02-DFF7C59F5B2E}"/>
    <cellStyle name="Comma 3 3 2 2 3 2 5 5" xfId="21991" xr:uid="{9F2D1917-06DC-47DE-89E1-11D3A011B7FE}"/>
    <cellStyle name="Comma 3 3 2 2 3 2 6" xfId="46110" xr:uid="{0F3DCED0-CE50-4B11-B2CF-9DC54ED69D29}"/>
    <cellStyle name="Comma 3 3 2 2 3 2 7" xfId="50125" xr:uid="{37FED224-B42F-49C5-ACB8-0CFCBE444FCA}"/>
    <cellStyle name="Comma 3 3 2 2 3 2 8" xfId="53141" xr:uid="{A5ED7CAE-9C95-4C81-993E-640B29D71864}"/>
    <cellStyle name="Comma 3 3 2 2 3 2 9" xfId="18938" xr:uid="{22D6B26B-F77B-4102-8C4E-A0E18FFD5CCC}"/>
    <cellStyle name="Comma 3 3 2 2 3 3" xfId="14611" xr:uid="{E6EC4925-F4BC-4E74-A4FE-5D42AEB1CB2C}"/>
    <cellStyle name="Comma 3 3 2 2 3 3 2" xfId="22158" xr:uid="{3A68F25B-1116-4AD0-8DB6-E0A5C9357465}"/>
    <cellStyle name="Comma 3 3 2 2 3 3 3" xfId="48114" xr:uid="{0416081F-A6B5-4EC5-ABF8-643CF150A961}"/>
    <cellStyle name="Comma 3 3 2 2 3 3 4" xfId="51496" xr:uid="{32D1583E-91E8-4754-AC5C-95F79AE42046}"/>
    <cellStyle name="Comma 3 3 2 2 3 3 5" xfId="54512" xr:uid="{DF6E451A-AF40-4A7C-80A9-5AD2196A13DC}"/>
    <cellStyle name="Comma 3 3 2 2 3 3 6" xfId="19073" xr:uid="{DB4E17C9-A5AC-4549-BC4A-6C39C2375CDF}"/>
    <cellStyle name="Comma 3 3 2 2 3 4" xfId="15096" xr:uid="{FCCCD56D-14AA-4595-9CE7-9734A9A2EA6A}"/>
    <cellStyle name="Comma 3 3 2 2 3 4 2" xfId="22635" xr:uid="{A7B3920B-5B00-4876-9314-B7A5D467F48E}"/>
    <cellStyle name="Comma 3 3 2 2 3 4 3" xfId="48414" xr:uid="{6B31ABD8-4FE7-4CED-859F-E58091B311EE}"/>
    <cellStyle name="Comma 3 3 2 2 3 4 4" xfId="51973" xr:uid="{A7FD81B9-CFEC-4995-A87A-DC9E8274F85A}"/>
    <cellStyle name="Comma 3 3 2 2 3 4 5" xfId="54989" xr:uid="{4E774B2C-F5E2-4CAA-A239-6CAEC7A1291F}"/>
    <cellStyle name="Comma 3 3 2 2 3 4 6" xfId="19216" xr:uid="{2BF9B76A-C151-4AE4-8D9B-C926ECB13578}"/>
    <cellStyle name="Comma 3 3 2 2 3 5" xfId="15583" xr:uid="{9858AE68-BDAF-4CCC-B52C-14FC097CF138}"/>
    <cellStyle name="Comma 3 3 2 2 3 5 2" xfId="23112" xr:uid="{5A9B5582-52C7-488E-993A-C2A65A0F7722}"/>
    <cellStyle name="Comma 3 3 2 2 3 5 3" xfId="24436" xr:uid="{46EB2520-0822-4209-B0DE-8530521C82F0}"/>
    <cellStyle name="Comma 3 3 2 2 3 5 4" xfId="52450" xr:uid="{5D245104-7849-4973-BD05-1312C9F793E3}"/>
    <cellStyle name="Comma 3 3 2 2 3 5 5" xfId="55466" xr:uid="{36F25A09-ABCA-462F-A313-3FC0277CD728}"/>
    <cellStyle name="Comma 3 3 2 2 3 5 6" xfId="19361" xr:uid="{F2E23B75-0E7A-4235-9B7E-BD064DA24D5E}"/>
    <cellStyle name="Comma 3 3 2 2 3 6" xfId="12548" xr:uid="{B14253FB-C3A7-4447-A27C-AA91CF2D028A}"/>
    <cellStyle name="Comma 3 3 2 2 3 6 2" xfId="46323" xr:uid="{2FDF292B-E41A-43FA-88BD-922DB1BDECE7}"/>
    <cellStyle name="Comma 3 3 2 2 3 6 3" xfId="51019" xr:uid="{95E41BE2-BD78-4B2A-908E-61271EE677FA}"/>
    <cellStyle name="Comma 3 3 2 2 3 6 4" xfId="54035" xr:uid="{436CCDAD-E4B5-4CE7-BE4A-D4D68AC355D3}"/>
    <cellStyle name="Comma 3 3 2 2 3 6 5" xfId="21931" xr:uid="{0599D99F-9517-42F1-A04A-AEFB3DA9A2C7}"/>
    <cellStyle name="Comma 3 3 2 2 3 7" xfId="46041" xr:uid="{6D32CF88-9BE9-45DF-855C-432922244C25}"/>
    <cellStyle name="Comma 3 3 2 2 3 8" xfId="49913" xr:uid="{C1BDF783-DC88-4F4F-95DF-E3BC08BA80AA}"/>
    <cellStyle name="Comma 3 3 2 2 3 9" xfId="52929" xr:uid="{8E3B032B-105E-4AFF-895E-CCF54AC4155D}"/>
    <cellStyle name="Comma 3 3 2 2 4" xfId="10170" xr:uid="{34B3D3A9-0CE6-4782-9FE1-8B5BA81BE60E}"/>
    <cellStyle name="Comma 3 3 2 2 4 10" xfId="18819" xr:uid="{697554CA-C5DF-469C-AEF7-30E44F0268C1}"/>
    <cellStyle name="Comma 3 3 2 2 4 2" xfId="10484" xr:uid="{C824E401-ECA1-4D75-9D06-BB454C003676}"/>
    <cellStyle name="Comma 3 3 2 2 4 2 2" xfId="14876" xr:uid="{F9C3EB91-ED24-4036-AB88-9C50B797CFB4}"/>
    <cellStyle name="Comma 3 3 2 2 4 2 2 2" xfId="22423" xr:uid="{7601A2FE-AEC5-4D2E-9CB7-9549F1EA1A31}"/>
    <cellStyle name="Comma 3 3 2 2 4 2 2 3" xfId="47667" xr:uid="{11E02FB1-839A-4DBC-A0F6-D0B32250190B}"/>
    <cellStyle name="Comma 3 3 2 2 4 2 2 4" xfId="51761" xr:uid="{A3AEA99B-F892-4BF9-9A48-B00E55F7C00D}"/>
    <cellStyle name="Comma 3 3 2 2 4 2 2 5" xfId="54777" xr:uid="{CD3EDF07-8666-4D4A-BA65-E8A138882953}"/>
    <cellStyle name="Comma 3 3 2 2 4 2 2 6" xfId="19148" xr:uid="{B7F4B667-CCB9-4B7F-A608-BCFFAC7496D4}"/>
    <cellStyle name="Comma 3 3 2 2 4 2 3" xfId="15361" xr:uid="{4CCF2278-5E7F-4419-8224-86C5070DB9B9}"/>
    <cellStyle name="Comma 3 3 2 2 4 2 3 2" xfId="22900" xr:uid="{97F3CC11-8E40-4774-A785-61743B13F266}"/>
    <cellStyle name="Comma 3 3 2 2 4 2 3 3" xfId="47110" xr:uid="{9DCE3C17-1872-4FDA-A19B-E68B0524E29D}"/>
    <cellStyle name="Comma 3 3 2 2 4 2 3 4" xfId="52238" xr:uid="{207B8005-1C38-4F5F-B7A3-0284B25BBA4B}"/>
    <cellStyle name="Comma 3 3 2 2 4 2 3 5" xfId="55254" xr:uid="{51ACE392-BA0A-4798-A188-E1EEEA64120B}"/>
    <cellStyle name="Comma 3 3 2 2 4 2 3 6" xfId="19291" xr:uid="{A8683BA8-EB5B-4BAC-98EE-AA7CCED9BFA3}"/>
    <cellStyle name="Comma 3 3 2 2 4 2 4" xfId="15848" xr:uid="{66B87698-D898-48D1-BC35-62E6A3FE25A0}"/>
    <cellStyle name="Comma 3 3 2 2 4 2 4 2" xfId="23377" xr:uid="{D922E64A-69C9-4709-810F-024ED8B1F320}"/>
    <cellStyle name="Comma 3 3 2 2 4 2 4 3" xfId="47355" xr:uid="{EFB4819C-9B59-495E-A774-9C99E64DD6FE}"/>
    <cellStyle name="Comma 3 3 2 2 4 2 4 4" xfId="52715" xr:uid="{E9FC62E5-0B10-40BD-A3D5-F055636DCA49}"/>
    <cellStyle name="Comma 3 3 2 2 4 2 4 5" xfId="55731" xr:uid="{0A773F04-F964-458B-879D-CC1F3A3EF438}"/>
    <cellStyle name="Comma 3 3 2 2 4 2 4 6" xfId="19436" xr:uid="{E164D8B8-546C-4E1C-8CF6-FB41C2F8BFE0}"/>
    <cellStyle name="Comma 3 3 2 2 4 2 5" xfId="12937" xr:uid="{6357A216-E4D8-4DEF-8678-41CC0F14BCA3}"/>
    <cellStyle name="Comma 3 3 2 2 4 2 5 2" xfId="24477" xr:uid="{9E1CB38F-C9EA-4DDF-A33E-778E0FA13770}"/>
    <cellStyle name="Comma 3 3 2 2 4 2 5 3" xfId="51284" xr:uid="{E85DC153-BCFC-4C6B-A952-0749661BC7C1}"/>
    <cellStyle name="Comma 3 3 2 2 4 2 5 4" xfId="54300" xr:uid="{C3BA20AE-6C54-4C03-804A-25C6B3007C3A}"/>
    <cellStyle name="Comma 3 3 2 2 4 2 5 5" xfId="22006" xr:uid="{4ACDE3E6-5A88-4A01-B150-8EA95C4AC5E5}"/>
    <cellStyle name="Comma 3 3 2 2 4 2 6" xfId="47885" xr:uid="{C1047794-1D99-4E27-92AA-17EEAA188EF0}"/>
    <cellStyle name="Comma 3 3 2 2 4 2 7" xfId="50178" xr:uid="{133BB624-C239-4FBF-BC01-970B6EDD0E74}"/>
    <cellStyle name="Comma 3 3 2 2 4 2 8" xfId="53194" xr:uid="{2D6AB77C-2139-44A1-99AC-9D151EAC8F67}"/>
    <cellStyle name="Comma 3 3 2 2 4 2 9" xfId="18980" xr:uid="{F7089A33-712E-4074-A90B-D79DD3F9844E}"/>
    <cellStyle name="Comma 3 3 2 2 4 3" xfId="14664" xr:uid="{0E3EBD98-420A-41AE-848A-AEA9363D9D85}"/>
    <cellStyle name="Comma 3 3 2 2 4 3 2" xfId="22211" xr:uid="{B54FA7CB-D226-4925-BD45-DD0AE6ECBC62}"/>
    <cellStyle name="Comma 3 3 2 2 4 3 3" xfId="48243" xr:uid="{926DA584-9324-4D5B-A749-409E09929BD3}"/>
    <cellStyle name="Comma 3 3 2 2 4 3 4" xfId="51549" xr:uid="{765852DD-0A4D-41B4-8473-96733A374F55}"/>
    <cellStyle name="Comma 3 3 2 2 4 3 5" xfId="54565" xr:uid="{EBAC977C-E165-4E32-AA3F-3BA0701398D8}"/>
    <cellStyle name="Comma 3 3 2 2 4 3 6" xfId="19088" xr:uid="{F80852E2-925B-4CE5-8D8D-DF9362264221}"/>
    <cellStyle name="Comma 3 3 2 2 4 4" xfId="15149" xr:uid="{E2B8A7A9-81B8-4B2E-A88A-9973EA23041A}"/>
    <cellStyle name="Comma 3 3 2 2 4 4 2" xfId="22688" xr:uid="{33FF66F6-CCD5-47FF-ACFA-FE00D1F28BF5}"/>
    <cellStyle name="Comma 3 3 2 2 4 4 3" xfId="47269" xr:uid="{7E60BCB5-F43B-48B4-B19D-7A50540F5CEF}"/>
    <cellStyle name="Comma 3 3 2 2 4 4 4" xfId="52026" xr:uid="{AB2FEEA3-E729-42AE-90EA-6F4DEDF9A146}"/>
    <cellStyle name="Comma 3 3 2 2 4 4 5" xfId="55042" xr:uid="{4F0014C0-24F4-4380-A7CD-16652E37B2B6}"/>
    <cellStyle name="Comma 3 3 2 2 4 4 6" xfId="19231" xr:uid="{1AE329BA-A4C6-498A-8308-D4BDD86D124D}"/>
    <cellStyle name="Comma 3 3 2 2 4 5" xfId="15636" xr:uid="{7C403774-BB2C-439E-88F8-6185F9CF49E4}"/>
    <cellStyle name="Comma 3 3 2 2 4 5 2" xfId="23165" xr:uid="{6B5F6F4E-CF15-46C2-BED1-73297F04802C}"/>
    <cellStyle name="Comma 3 3 2 2 4 5 3" xfId="46562" xr:uid="{9B6B908B-41EF-4647-8D6D-D81F38586B20}"/>
    <cellStyle name="Comma 3 3 2 2 4 5 4" xfId="52503" xr:uid="{21ACECF3-A5C6-457C-9A5A-2054D14FE7E1}"/>
    <cellStyle name="Comma 3 3 2 2 4 5 5" xfId="55519" xr:uid="{E7EAD8BA-4CBE-4578-B152-8C0895265A0B}"/>
    <cellStyle name="Comma 3 3 2 2 4 5 6" xfId="19376" xr:uid="{3EFA5BE1-D17D-48A8-ABAB-2CEF17B42FB0}"/>
    <cellStyle name="Comma 3 3 2 2 4 6" xfId="12624" xr:uid="{04C77342-F455-4FF9-8ACE-9A26C7445884}"/>
    <cellStyle name="Comma 3 3 2 2 4 6 2" xfId="47050" xr:uid="{F3B8115F-DDB2-439D-8592-00030FE25651}"/>
    <cellStyle name="Comma 3 3 2 2 4 6 3" xfId="51072" xr:uid="{0BFF2684-718B-4D95-BA80-6E332D9AB7A9}"/>
    <cellStyle name="Comma 3 3 2 2 4 6 4" xfId="54088" xr:uid="{584C78CE-522C-4136-84AF-4C544FC02BDE}"/>
    <cellStyle name="Comma 3 3 2 2 4 6 5" xfId="21946" xr:uid="{94640B1E-C635-4A50-A29C-95617FBDC143}"/>
    <cellStyle name="Comma 3 3 2 2 4 7" xfId="47874" xr:uid="{9271AD17-2652-4217-89AE-0285A31873F7}"/>
    <cellStyle name="Comma 3 3 2 2 4 8" xfId="49966" xr:uid="{B2D55D78-FEF6-4A63-8294-DEAFBF1FC741}"/>
    <cellStyle name="Comma 3 3 2 2 4 9" xfId="52982" xr:uid="{E5D9C3B6-48CF-472F-9012-A0BB28A29162}"/>
    <cellStyle name="Comma 3 3 2 2 5" xfId="10250" xr:uid="{167DB3A2-9585-464A-87D2-C610A693E802}"/>
    <cellStyle name="Comma 3 3 2 2 5 2" xfId="14717" xr:uid="{5D3CD295-5E7E-491C-AB14-290BE6D9B4EC}"/>
    <cellStyle name="Comma 3 3 2 2 5 2 2" xfId="22264" xr:uid="{56A34516-39E9-4469-84CA-139F8AD6369F}"/>
    <cellStyle name="Comma 3 3 2 2 5 2 3" xfId="47239" xr:uid="{5DECFDB9-BA0D-47C5-B895-46AF21ABC797}"/>
    <cellStyle name="Comma 3 3 2 2 5 2 4" xfId="51602" xr:uid="{3086D0A8-6C7A-42B1-B551-F49599BD888A}"/>
    <cellStyle name="Comma 3 3 2 2 5 2 5" xfId="54618" xr:uid="{4CE0D671-AD44-4B64-B1EC-94E168B755DF}"/>
    <cellStyle name="Comma 3 3 2 2 5 2 6" xfId="19103" xr:uid="{16D325E9-B23A-4679-9145-20252914F4EF}"/>
    <cellStyle name="Comma 3 3 2 2 5 3" xfId="15202" xr:uid="{43A64320-D8B5-48ED-B67C-9FC856A8E7C7}"/>
    <cellStyle name="Comma 3 3 2 2 5 3 2" xfId="22741" xr:uid="{345DF0E9-51D4-4849-9423-7F2A1B411DC3}"/>
    <cellStyle name="Comma 3 3 2 2 5 3 3" xfId="47383" xr:uid="{EC0F5A93-D754-4CC7-B680-6EB625C62755}"/>
    <cellStyle name="Comma 3 3 2 2 5 3 4" xfId="52079" xr:uid="{8796E43D-FE45-45E8-97E3-AA31AEF6060D}"/>
    <cellStyle name="Comma 3 3 2 2 5 3 5" xfId="55095" xr:uid="{E955041F-188F-4066-8ACC-64B2EBD63C0C}"/>
    <cellStyle name="Comma 3 3 2 2 5 3 6" xfId="19246" xr:uid="{6E78F9B0-BD5E-4554-B1BC-2F13FFD87BD1}"/>
    <cellStyle name="Comma 3 3 2 2 5 4" xfId="15689" xr:uid="{3ACCEED7-91B6-4BBA-9A44-6D355C2FA216}"/>
    <cellStyle name="Comma 3 3 2 2 5 4 2" xfId="23218" xr:uid="{AFEBA153-7599-4B98-B9A3-D576CAF9E4C2}"/>
    <cellStyle name="Comma 3 3 2 2 5 4 3" xfId="24434" xr:uid="{E42DB1FC-8C53-41EE-993A-12F36C324F9B}"/>
    <cellStyle name="Comma 3 3 2 2 5 4 4" xfId="52556" xr:uid="{C3A2F0E3-8E72-4AC4-97B2-6986B22F9BFE}"/>
    <cellStyle name="Comma 3 3 2 2 5 4 5" xfId="55572" xr:uid="{24D4EDC8-E3D4-4AC3-8663-D662A9A49EA8}"/>
    <cellStyle name="Comma 3 3 2 2 5 4 6" xfId="19391" xr:uid="{CB45B9F1-2D78-48C6-9E09-62BA58195D6F}"/>
    <cellStyle name="Comma 3 3 2 2 5 5" xfId="12703" xr:uid="{4272E9FC-78BD-4857-A896-AB1D984A9BDF}"/>
    <cellStyle name="Comma 3 3 2 2 5 5 2" xfId="48050" xr:uid="{5E415C7D-0AF5-4B9B-ACA7-3858CD3058D2}"/>
    <cellStyle name="Comma 3 3 2 2 5 5 3" xfId="51125" xr:uid="{6D2E83CE-D2F2-4E66-87A5-13C31896822E}"/>
    <cellStyle name="Comma 3 3 2 2 5 5 4" xfId="54141" xr:uid="{BBEAB586-4D14-47EA-931D-94CCD8B17507}"/>
    <cellStyle name="Comma 3 3 2 2 5 5 5" xfId="21961" xr:uid="{322EE1E8-82AF-41A2-A60E-136608065BF1}"/>
    <cellStyle name="Comma 3 3 2 2 5 6" xfId="46621" xr:uid="{13937503-B5F3-49CE-9AC7-D4EE51E8BE2D}"/>
    <cellStyle name="Comma 3 3 2 2 5 7" xfId="50019" xr:uid="{99EAD003-78B2-4B32-8100-D3D4C3B0A400}"/>
    <cellStyle name="Comma 3 3 2 2 5 8" xfId="53035" xr:uid="{C43C7671-E88C-4285-9A23-E1C2FED5AE54}"/>
    <cellStyle name="Comma 3 3 2 2 5 9" xfId="18860" xr:uid="{51DFE3F9-0B3C-402C-AC15-D6C6221BC7A6}"/>
    <cellStyle name="Comma 3 3 2 2 6" xfId="10564" xr:uid="{603FB061-626C-4707-BBAB-FCC271611E93}"/>
    <cellStyle name="Comma 3 3 2 2 6 2" xfId="14929" xr:uid="{5347687F-C5A0-4792-9F9C-1B479A879F4E}"/>
    <cellStyle name="Comma 3 3 2 2 6 2 2" xfId="22476" xr:uid="{53B54F3E-2225-4CBE-A8F3-D623D875B10B}"/>
    <cellStyle name="Comma 3 3 2 2 6 2 3" xfId="47540" xr:uid="{3A81C107-4F14-4B29-B5A9-91C7A8FD590D}"/>
    <cellStyle name="Comma 3 3 2 2 6 2 4" xfId="51814" xr:uid="{9C8DF9D8-2BDD-41E9-9C2E-54C144E149E0}"/>
    <cellStyle name="Comma 3 3 2 2 6 2 5" xfId="54830" xr:uid="{82B87A2E-DDD4-458D-B1CA-935F06BBFE0E}"/>
    <cellStyle name="Comma 3 3 2 2 6 2 6" xfId="19163" xr:uid="{8B3D0990-E046-41C6-86D2-774C168306AA}"/>
    <cellStyle name="Comma 3 3 2 2 6 3" xfId="15414" xr:uid="{4534C6C1-F808-495C-91E7-0414A114256F}"/>
    <cellStyle name="Comma 3 3 2 2 6 3 2" xfId="22953" xr:uid="{AD05786E-F4E5-4AD9-8E43-68933B65FDA2}"/>
    <cellStyle name="Comma 3 3 2 2 6 3 3" xfId="24901" xr:uid="{83C5D732-BE69-486C-A654-170092413A61}"/>
    <cellStyle name="Comma 3 3 2 2 6 3 4" xfId="52291" xr:uid="{DC9373D3-83DB-45A3-8C35-B8CDBC556C2C}"/>
    <cellStyle name="Comma 3 3 2 2 6 3 5" xfId="55307" xr:uid="{5C957E35-B442-431F-905C-4A89412FDB95}"/>
    <cellStyle name="Comma 3 3 2 2 6 3 6" xfId="19306" xr:uid="{61D46606-8990-45E4-B237-9827105FB17C}"/>
    <cellStyle name="Comma 3 3 2 2 6 4" xfId="15902" xr:uid="{275C3E65-FCB5-4F78-AA46-D35C4CB2BC37}"/>
    <cellStyle name="Comma 3 3 2 2 6 4 2" xfId="23430" xr:uid="{47F9E802-5E4C-4BCC-A04B-B31A9C5DD213}"/>
    <cellStyle name="Comma 3 3 2 2 6 4 3" xfId="47083" xr:uid="{34ED4C92-4849-436E-9445-4495B1D11AA7}"/>
    <cellStyle name="Comma 3 3 2 2 6 4 4" xfId="52768" xr:uid="{23803C54-4058-4CA6-A418-A18AE3639265}"/>
    <cellStyle name="Comma 3 3 2 2 6 4 5" xfId="55784" xr:uid="{5E58897A-2452-42C3-8615-247EDD2203E3}"/>
    <cellStyle name="Comma 3 3 2 2 6 4 6" xfId="19452" xr:uid="{08B6026E-43B4-4E30-896E-88811CEC7215}"/>
    <cellStyle name="Comma 3 3 2 2 6 5" xfId="13017" xr:uid="{6F4DAD38-1A0E-4C97-A7CF-6D151A8352E7}"/>
    <cellStyle name="Comma 3 3 2 2 6 5 2" xfId="32550" xr:uid="{D78D4EC1-5BF6-4585-BC10-24A63F3AEBA2}"/>
    <cellStyle name="Comma 3 3 2 2 6 5 3" xfId="51337" xr:uid="{4762E3D2-A96E-4455-B0D4-1347CFFAA6E5}"/>
    <cellStyle name="Comma 3 3 2 2 6 5 4" xfId="54353" xr:uid="{0188E51A-A6CD-4359-9A8D-55482DB35A95}"/>
    <cellStyle name="Comma 3 3 2 2 6 5 5" xfId="22021" xr:uid="{72D9F5FC-5BCB-4B26-AF60-49BE2AA72EBC}"/>
    <cellStyle name="Comma 3 3 2 2 6 6" xfId="48235" xr:uid="{09EF5354-B0F6-4170-B76B-BF243DA3E828}"/>
    <cellStyle name="Comma 3 3 2 2 6 7" xfId="50231" xr:uid="{BCA97CF8-4BE8-48FE-8B2D-3BB59070699E}"/>
    <cellStyle name="Comma 3 3 2 2 6 8" xfId="53247" xr:uid="{DCB6C015-921D-4840-A8D0-60AA487E5B85}"/>
    <cellStyle name="Comma 3 3 2 2 6 9" xfId="19022" xr:uid="{5E3B02FF-9A2A-4319-86DB-0860318F3234}"/>
    <cellStyle name="Comma 3 3 2 2 7" xfId="14505" xr:uid="{B7C3C0A5-7429-4F59-8679-71A6C6CFCD88}"/>
    <cellStyle name="Comma 3 3 2 2 7 2" xfId="22052" xr:uid="{D7389CE7-EDA7-4EBE-845B-8B3271DFB1ED}"/>
    <cellStyle name="Comma 3 3 2 2 7 3" xfId="32549" xr:uid="{70D70712-7B41-4810-8137-76E6B526536B}"/>
    <cellStyle name="Comma 3 3 2 2 7 4" xfId="51390" xr:uid="{E62057ED-84FD-44D0-B051-DA39620FE1DD}"/>
    <cellStyle name="Comma 3 3 2 2 7 5" xfId="54406" xr:uid="{8907CF41-E2F4-4D80-B1E1-1E5E4D2A8589}"/>
    <cellStyle name="Comma 3 3 2 2 7 6" xfId="19043" xr:uid="{BFD3D89B-8B14-4519-9D96-3AD2F7A13CB6}"/>
    <cellStyle name="Comma 3 3 2 2 8" xfId="14989" xr:uid="{477BAE71-6675-41B9-BF41-AC4327AAFFC0}"/>
    <cellStyle name="Comma 3 3 2 2 8 2" xfId="22529" xr:uid="{28AEAA75-D425-48BE-8A8C-32C30AC92E82}"/>
    <cellStyle name="Comma 3 3 2 2 8 3" xfId="46462" xr:uid="{08DA489B-E598-429B-8AD1-122375D49B9B}"/>
    <cellStyle name="Comma 3 3 2 2 8 4" xfId="51867" xr:uid="{A0314253-272D-43DA-A617-62C07DA6EABE}"/>
    <cellStyle name="Comma 3 3 2 2 8 5" xfId="54883" xr:uid="{A1A96467-00D4-48DA-A84D-4F3265D3B430}"/>
    <cellStyle name="Comma 3 3 2 2 8 6" xfId="19185" xr:uid="{AB49FADF-6F2E-4C31-8D19-1C1B224F2AD5}"/>
    <cellStyle name="Comma 3 3 2 2 9" xfId="15476" xr:uid="{B8006023-2C6B-446D-80B8-5EA610025CD8}"/>
    <cellStyle name="Comma 3 3 2 2 9 2" xfId="23006" xr:uid="{65FF21B1-68C0-4850-9098-9788B769D733}"/>
    <cellStyle name="Comma 3 3 2 2 9 3" xfId="32397" xr:uid="{2A1400CB-DC4B-4B7E-9FFC-D657843494E4}"/>
    <cellStyle name="Comma 3 3 2 2 9 4" xfId="52344" xr:uid="{18BF7CA9-2221-4F8A-8FB1-4E47509A7A3C}"/>
    <cellStyle name="Comma 3 3 2 2 9 5" xfId="55360" xr:uid="{59F4170F-AF01-4245-A977-B89818787D4D}"/>
    <cellStyle name="Comma 3 3 2 2 9 6" xfId="19330" xr:uid="{628ED4CC-7C9F-492C-A12F-053158B2178B}"/>
    <cellStyle name="Comma 3 3 2 3" xfId="10016" xr:uid="{C8978A96-B6ED-486D-9544-8B313B7F461B}"/>
    <cellStyle name="Comma 3 3 2 3 10" xfId="18747" xr:uid="{1AE98A55-0FBB-4099-9050-9AA30A96D5E2}"/>
    <cellStyle name="Comma 3 3 2 3 2" xfId="10324" xr:uid="{BAE18317-6844-4FEF-A15D-D6B332A76043}"/>
    <cellStyle name="Comma 3 3 2 3 2 2" xfId="14769" xr:uid="{48DE4AA1-47A6-4242-92D8-5A21DFF82E47}"/>
    <cellStyle name="Comma 3 3 2 3 2 2 2" xfId="22316" xr:uid="{6C649CDC-0BF9-43F6-A193-4B996E99D617}"/>
    <cellStyle name="Comma 3 3 2 3 2 2 3" xfId="48570" xr:uid="{9C15A1DB-E90A-4B64-AC6A-EB2077816CD0}"/>
    <cellStyle name="Comma 3 3 2 3 2 2 4" xfId="51654" xr:uid="{78BC5CC2-AEE7-4E25-B018-CEF2653FDA3A}"/>
    <cellStyle name="Comma 3 3 2 3 2 2 5" xfId="54670" xr:uid="{1E232DC9-A6A5-4B90-BB83-459684F249A9}"/>
    <cellStyle name="Comma 3 3 2 3 2 2 6" xfId="19117" xr:uid="{6BC6EE93-1A49-4E1B-A29C-01E65F60EA12}"/>
    <cellStyle name="Comma 3 3 2 3 2 3" xfId="15254" xr:uid="{FC2479F1-6F6E-42F3-9715-1DCF10EB4425}"/>
    <cellStyle name="Comma 3 3 2 3 2 3 2" xfId="22793" xr:uid="{D0B452A0-4293-4F74-8C81-01FFFF84378F}"/>
    <cellStyle name="Comma 3 3 2 3 2 3 3" xfId="46897" xr:uid="{AEF15A94-9877-4004-8449-6A143FEF7E36}"/>
    <cellStyle name="Comma 3 3 2 3 2 3 4" xfId="52131" xr:uid="{B1701092-AF13-4598-B97E-E3E1521AF3A5}"/>
    <cellStyle name="Comma 3 3 2 3 2 3 5" xfId="55147" xr:uid="{DE1ED104-9037-47C8-9DF1-11ADDEBF4863}"/>
    <cellStyle name="Comma 3 3 2 3 2 3 6" xfId="19260" xr:uid="{97D8C614-276B-4EBD-8107-A2BA9BF7F47A}"/>
    <cellStyle name="Comma 3 3 2 3 2 4" xfId="15741" xr:uid="{FAA809FD-8CBB-471A-9A25-69B23A22C790}"/>
    <cellStyle name="Comma 3 3 2 3 2 4 2" xfId="23270" xr:uid="{FE769534-F687-495C-B5E5-394D7099F276}"/>
    <cellStyle name="Comma 3 3 2 3 2 4 3" xfId="48082" xr:uid="{41E31879-7BFA-41D4-9D07-97908CA8BA8F}"/>
    <cellStyle name="Comma 3 3 2 3 2 4 4" xfId="52608" xr:uid="{1F6235D2-016B-4374-AC2B-372A75934D5C}"/>
    <cellStyle name="Comma 3 3 2 3 2 4 5" xfId="55624" xr:uid="{03F2168A-413A-4726-9BC3-9D7B99E677B8}"/>
    <cellStyle name="Comma 3 3 2 3 2 4 6" xfId="19405" xr:uid="{A89F605D-540E-4CB7-96E5-3FC16B1E54E3}"/>
    <cellStyle name="Comma 3 3 2 3 2 5" xfId="12777" xr:uid="{215B8A4D-75B6-4A46-B5C2-0EAC5150DC2B}"/>
    <cellStyle name="Comma 3 3 2 3 2 5 2" xfId="24213" xr:uid="{FD4E68BE-8816-4B1A-8888-EFAAEBA9AC21}"/>
    <cellStyle name="Comma 3 3 2 3 2 5 3" xfId="51177" xr:uid="{D9562295-2AA8-46D5-957A-105BC67D1874}"/>
    <cellStyle name="Comma 3 3 2 3 2 5 4" xfId="54193" xr:uid="{03ED0AC0-3968-4B42-9BC5-35F5D9875F9D}"/>
    <cellStyle name="Comma 3 3 2 3 2 5 5" xfId="21975" xr:uid="{4C553271-39CA-422A-9F74-3D7876205710}"/>
    <cellStyle name="Comma 3 3 2 3 2 6" xfId="48377" xr:uid="{32D6D3E8-77F1-4E9E-83CE-F10120D26D6A}"/>
    <cellStyle name="Comma 3 3 2 3 2 7" xfId="50071" xr:uid="{E9482CEA-707C-4196-BEAB-2E87824540ED}"/>
    <cellStyle name="Comma 3 3 2 3 2 8" xfId="53087" xr:uid="{50BBE4C5-F085-4693-99AE-0CA4FF9D677D}"/>
    <cellStyle name="Comma 3 3 2 3 2 9" xfId="18896" xr:uid="{9718A623-2CB2-445F-AD21-B16989B58E9B}"/>
    <cellStyle name="Comma 3 3 2 3 3" xfId="14557" xr:uid="{FF6B17F1-3F94-494C-AECF-C2B8E8712CBC}"/>
    <cellStyle name="Comma 3 3 2 3 3 2" xfId="22104" xr:uid="{98BAD240-854A-432D-A790-BCB558646FDD}"/>
    <cellStyle name="Comma 3 3 2 3 3 3" xfId="24193" xr:uid="{BBBEDB98-E6D0-490C-89D8-DA84E781C1A4}"/>
    <cellStyle name="Comma 3 3 2 3 3 4" xfId="51442" xr:uid="{32E37B56-0EB5-48C1-AFD0-3BBA815856B0}"/>
    <cellStyle name="Comma 3 3 2 3 3 5" xfId="54458" xr:uid="{A5B9A645-D6CA-43F7-9AC7-5F549411B656}"/>
    <cellStyle name="Comma 3 3 2 3 3 6" xfId="19057" xr:uid="{8619168E-E38A-40B7-9207-028422D556F1}"/>
    <cellStyle name="Comma 3 3 2 3 4" xfId="15041" xr:uid="{AA8CC1D9-62B3-47D7-80CE-50B1E1F323E0}"/>
    <cellStyle name="Comma 3 3 2 3 4 2" xfId="22581" xr:uid="{6BD827E8-30F7-40EC-9EF1-5F1D817E593D}"/>
    <cellStyle name="Comma 3 3 2 3 4 3" xfId="46686" xr:uid="{FF03155E-7FAB-4BF1-81F6-35F07202804A}"/>
    <cellStyle name="Comma 3 3 2 3 4 4" xfId="51919" xr:uid="{FB095A81-9250-4EFC-BAD0-83CD2AE455AA}"/>
    <cellStyle name="Comma 3 3 2 3 4 5" xfId="54935" xr:uid="{64CA5A7B-529B-4AA4-AD8E-8EED8D826650}"/>
    <cellStyle name="Comma 3 3 2 3 4 6" xfId="19199" xr:uid="{47DE50E2-57AE-4EF5-A5B8-1614E1DC997B}"/>
    <cellStyle name="Comma 3 3 2 3 5" xfId="15528" xr:uid="{7E618F79-AB1F-4BAA-BC7F-29C5D0560978}"/>
    <cellStyle name="Comma 3 3 2 3 5 2" xfId="23058" xr:uid="{FA7FB2E4-B914-4D2F-8BD8-2ECFE63804DE}"/>
    <cellStyle name="Comma 3 3 2 3 5 3" xfId="46930" xr:uid="{A312F77E-642E-431D-9D68-774A7602B7CA}"/>
    <cellStyle name="Comma 3 3 2 3 5 4" xfId="52396" xr:uid="{7C79E681-D950-4A73-B92E-83B21A25DC0C}"/>
    <cellStyle name="Comma 3 3 2 3 5 5" xfId="55412" xr:uid="{487D0F3C-6E99-479D-B2CE-8BFAA460A3B8}"/>
    <cellStyle name="Comma 3 3 2 3 5 6" xfId="19344" xr:uid="{FB164A49-F237-477D-82EB-5493A1FBE696}"/>
    <cellStyle name="Comma 3 3 2 3 6" xfId="12476" xr:uid="{3312385D-7FC1-4C97-99A2-5C4431714704}"/>
    <cellStyle name="Comma 3 3 2 3 6 2" xfId="47523" xr:uid="{E68E3929-BB70-432D-8AC1-DCD3A90F1A35}"/>
    <cellStyle name="Comma 3 3 2 3 6 3" xfId="50965" xr:uid="{32B3E02E-DCD5-4D92-A16B-8B92730F6253}"/>
    <cellStyle name="Comma 3 3 2 3 6 4" xfId="53981" xr:uid="{B4663765-CDF7-48FA-A1BE-318EBE6935C4}"/>
    <cellStyle name="Comma 3 3 2 3 6 5" xfId="21914" xr:uid="{E6632E8D-49B9-4F43-A9C4-9257B49E6CEF}"/>
    <cellStyle name="Comma 3 3 2 3 7" xfId="48445" xr:uid="{8723D09B-6864-4EFB-9547-B65B90DAB38B}"/>
    <cellStyle name="Comma 3 3 2 3 8" xfId="49859" xr:uid="{9B17A866-2595-4762-B112-253D5745B698}"/>
    <cellStyle name="Comma 3 3 2 3 9" xfId="52875" xr:uid="{93304566-5322-4DC9-ADD9-2875A96BE1AE}"/>
    <cellStyle name="Comma 3 3 2 4" xfId="10090" xr:uid="{B6F96063-E1EB-4BDA-97B2-82B36C055FF4}"/>
    <cellStyle name="Comma 3 3 2 4 10" xfId="18780" xr:uid="{C5F7AE6C-6B2B-425E-8907-089F80F2EC82}"/>
    <cellStyle name="Comma 3 3 2 4 2" xfId="10403" xr:uid="{C3B496AF-5841-48E5-9BC6-F4C3D6D2624D}"/>
    <cellStyle name="Comma 3 3 2 4 2 2" xfId="14822" xr:uid="{5FC0CB54-0C5C-4BA4-A777-112676564F6E}"/>
    <cellStyle name="Comma 3 3 2 4 2 2 2" xfId="22369" xr:uid="{3C86717D-7AC0-49DF-88D3-07987FF6E9F9}"/>
    <cellStyle name="Comma 3 3 2 4 2 2 3" xfId="48409" xr:uid="{7D8A3A17-80CA-45F6-AB7E-A287EFDFA5AF}"/>
    <cellStyle name="Comma 3 3 2 4 2 2 4" xfId="51707" xr:uid="{A63FDEA2-8EF6-4088-9102-E4EC6FC15C67}"/>
    <cellStyle name="Comma 3 3 2 4 2 2 5" xfId="54723" xr:uid="{42624D33-D5F3-4139-BEDD-65D1B3A0E7B4}"/>
    <cellStyle name="Comma 3 3 2 4 2 2 6" xfId="19132" xr:uid="{FD4C34EF-3B79-4EAE-ACC2-89CEC52A38B2}"/>
    <cellStyle name="Comma 3 3 2 4 2 3" xfId="15307" xr:uid="{1BA243E0-8D39-4BFF-A10B-08262D1F60F4}"/>
    <cellStyle name="Comma 3 3 2 4 2 3 2" xfId="22846" xr:uid="{D4C52E0C-9791-4E12-83D0-69D90DD8C55E}"/>
    <cellStyle name="Comma 3 3 2 4 2 3 3" xfId="46514" xr:uid="{6A465D51-040B-4B42-ADC5-457790723669}"/>
    <cellStyle name="Comma 3 3 2 4 2 3 4" xfId="52184" xr:uid="{552EFB68-7B33-42E4-9924-40D651AD86A1}"/>
    <cellStyle name="Comma 3 3 2 4 2 3 5" xfId="55200" xr:uid="{79D83715-AB6B-4671-9FED-0F13AE72624B}"/>
    <cellStyle name="Comma 3 3 2 4 2 3 6" xfId="19275" xr:uid="{4C2B7263-5724-4696-9364-32CBE800B6F7}"/>
    <cellStyle name="Comma 3 3 2 4 2 4" xfId="15794" xr:uid="{39FC0849-3752-4473-8345-46581B45D9F5}"/>
    <cellStyle name="Comma 3 3 2 4 2 4 2" xfId="23323" xr:uid="{B9437E33-76A9-4308-B6F6-49EF283F9C2D}"/>
    <cellStyle name="Comma 3 3 2 4 2 4 3" xfId="48544" xr:uid="{FB7DC876-DC56-4942-98DE-FAFA7D334157}"/>
    <cellStyle name="Comma 3 3 2 4 2 4 4" xfId="52661" xr:uid="{BED6EEE3-A048-4B8C-BB2C-6061838D0695}"/>
    <cellStyle name="Comma 3 3 2 4 2 4 5" xfId="55677" xr:uid="{5D69C59E-3DE2-4061-B05F-80F04BD83119}"/>
    <cellStyle name="Comma 3 3 2 4 2 4 6" xfId="19420" xr:uid="{D826B784-CB4A-42F0-8FEE-0D12F3AC9A2E}"/>
    <cellStyle name="Comma 3 3 2 4 2 5" xfId="12856" xr:uid="{73C81A1A-E340-4E79-84CC-F6C8D0E2A4A4}"/>
    <cellStyle name="Comma 3 3 2 4 2 5 2" xfId="46802" xr:uid="{59F753DA-B325-4F8B-87E7-7A3500D4921C}"/>
    <cellStyle name="Comma 3 3 2 4 2 5 3" xfId="51230" xr:uid="{6AF496B5-7063-4F57-B48F-CAC82AAFB8AF}"/>
    <cellStyle name="Comma 3 3 2 4 2 5 4" xfId="54246" xr:uid="{C71DC756-37E8-4E58-AFFC-EDC0C75E7149}"/>
    <cellStyle name="Comma 3 3 2 4 2 5 5" xfId="21990" xr:uid="{ED021C19-B80A-41F0-9393-A076E95F7B9B}"/>
    <cellStyle name="Comma 3 3 2 4 2 6" xfId="48158" xr:uid="{336D626F-DAF1-44EE-BCC1-9ED1DBCF9BF8}"/>
    <cellStyle name="Comma 3 3 2 4 2 7" xfId="50124" xr:uid="{C23FA528-9A7E-4C69-88CA-2C722FA187AB}"/>
    <cellStyle name="Comma 3 3 2 4 2 8" xfId="53140" xr:uid="{EB8E5CA4-125D-4E9F-BC27-C1983B9E98A1}"/>
    <cellStyle name="Comma 3 3 2 4 2 9" xfId="18937" xr:uid="{92C64FF9-FAE2-4B49-A3E3-3AC9F8D1F4CC}"/>
    <cellStyle name="Comma 3 3 2 4 3" xfId="14610" xr:uid="{BE6D4057-A144-46E1-8B14-49D3C4B0B79D}"/>
    <cellStyle name="Comma 3 3 2 4 3 2" xfId="22157" xr:uid="{E47D4199-87EA-4243-A835-64A2DD38777C}"/>
    <cellStyle name="Comma 3 3 2 4 3 3" xfId="24971" xr:uid="{A1F8EDD3-ED15-410F-8D82-41E1978207F1}"/>
    <cellStyle name="Comma 3 3 2 4 3 4" xfId="51495" xr:uid="{3B6F4D2B-E8D5-4324-BEDC-D26EAB62D653}"/>
    <cellStyle name="Comma 3 3 2 4 3 5" xfId="54511" xr:uid="{D6F20E56-DC0F-4905-BCAF-01194A4A8157}"/>
    <cellStyle name="Comma 3 3 2 4 3 6" xfId="19072" xr:uid="{0386C4B4-448E-41CF-BE22-3350E744D579}"/>
    <cellStyle name="Comma 3 3 2 4 4" xfId="15095" xr:uid="{66C00D13-18B8-4D85-B085-D4FDE680087C}"/>
    <cellStyle name="Comma 3 3 2 4 4 2" xfId="22634" xr:uid="{E55EEE7A-9066-4BF3-869B-EE350DDF116C}"/>
    <cellStyle name="Comma 3 3 2 4 4 3" xfId="47718" xr:uid="{4B1A58B2-752D-4989-BF8C-95E22D2D18B2}"/>
    <cellStyle name="Comma 3 3 2 4 4 4" xfId="51972" xr:uid="{1AFF8444-EA70-40C9-B509-4F4C47A424B7}"/>
    <cellStyle name="Comma 3 3 2 4 4 5" xfId="54988" xr:uid="{8FD43A0E-906D-41A1-A501-2414C1933A4F}"/>
    <cellStyle name="Comma 3 3 2 4 4 6" xfId="19215" xr:uid="{D608CC67-4DFE-43FD-9BEE-CA5B68243B7D}"/>
    <cellStyle name="Comma 3 3 2 4 5" xfId="15582" xr:uid="{191A2C2C-14B7-4429-A563-6249DFB195D3}"/>
    <cellStyle name="Comma 3 3 2 4 5 2" xfId="23111" xr:uid="{E1CB4F67-20F1-4B37-8862-1B64B18A680C}"/>
    <cellStyle name="Comma 3 3 2 4 5 3" xfId="47441" xr:uid="{B214EC48-46AC-4C9D-A399-3C3ED167840C}"/>
    <cellStyle name="Comma 3 3 2 4 5 4" xfId="52449" xr:uid="{5F475952-8B23-46A7-AECD-9ED894ADA108}"/>
    <cellStyle name="Comma 3 3 2 4 5 5" xfId="55465" xr:uid="{6ABD0371-08D9-482B-9E5D-65779348DF5D}"/>
    <cellStyle name="Comma 3 3 2 4 5 6" xfId="19360" xr:uid="{0812989F-60F8-4C42-91EA-252270D52DE6}"/>
    <cellStyle name="Comma 3 3 2 4 6" xfId="12547" xr:uid="{954D466F-E79E-4CB2-A962-66D3F0253FEA}"/>
    <cellStyle name="Comma 3 3 2 4 6 2" xfId="46322" xr:uid="{8D671D36-029A-4EF6-88E0-5254A4635814}"/>
    <cellStyle name="Comma 3 3 2 4 6 3" xfId="51018" xr:uid="{4988A37C-E59F-4982-9591-3CE3CB2D22AB}"/>
    <cellStyle name="Comma 3 3 2 4 6 4" xfId="54034" xr:uid="{E7453D4E-7962-4491-8136-980DDCC15A6C}"/>
    <cellStyle name="Comma 3 3 2 4 6 5" xfId="21930" xr:uid="{DD598FCB-E8EB-42B5-B412-E5EE9AE339EF}"/>
    <cellStyle name="Comma 3 3 2 4 7" xfId="47275" xr:uid="{406440F7-2A64-4722-947E-7C78FF15B982}"/>
    <cellStyle name="Comma 3 3 2 4 8" xfId="49912" xr:uid="{4EC4AE59-8FBF-42B6-AA6D-F4C0AD83DAD3}"/>
    <cellStyle name="Comma 3 3 2 4 9" xfId="52928" xr:uid="{9B26CF90-8653-45B6-8D2D-A02DA7A3789B}"/>
    <cellStyle name="Comma 3 3 2 5" xfId="10169" xr:uid="{37DCB192-7C95-4317-8205-63DCA815F937}"/>
    <cellStyle name="Comma 3 3 2 5 10" xfId="18818" xr:uid="{890D5489-5F50-4D26-B805-717478C05438}"/>
    <cellStyle name="Comma 3 3 2 5 2" xfId="10483" xr:uid="{5B1076D5-22DB-4EED-84AF-7CF0AC6F3E90}"/>
    <cellStyle name="Comma 3 3 2 5 2 2" xfId="14875" xr:uid="{A31170F0-1D37-45E8-B529-60A234C114C5}"/>
    <cellStyle name="Comma 3 3 2 5 2 2 2" xfId="22422" xr:uid="{A3254F7C-9DA1-4E77-A0BB-125958610B2F}"/>
    <cellStyle name="Comma 3 3 2 5 2 2 3" xfId="48283" xr:uid="{DFF575F4-7E60-4AD5-AF04-3088C8ACADAB}"/>
    <cellStyle name="Comma 3 3 2 5 2 2 4" xfId="51760" xr:uid="{40D1D752-3F04-4429-B53F-2ED430E8B540}"/>
    <cellStyle name="Comma 3 3 2 5 2 2 5" xfId="54776" xr:uid="{B2B6BFF5-57B3-4AC9-B5C6-B9A2619FDBBD}"/>
    <cellStyle name="Comma 3 3 2 5 2 2 6" xfId="19147" xr:uid="{4939471A-9CD8-4AA9-AD2F-17FECEAF7596}"/>
    <cellStyle name="Comma 3 3 2 5 2 3" xfId="15360" xr:uid="{FD769FDE-71ED-425B-AD85-EC4F7D9A6CEF}"/>
    <cellStyle name="Comma 3 3 2 5 2 3 2" xfId="22899" xr:uid="{EB269841-0C21-4C18-A5EF-1CDC333BFD53}"/>
    <cellStyle name="Comma 3 3 2 5 2 3 3" xfId="47344" xr:uid="{9952C88B-768B-49F8-9748-C46DBD8E4D24}"/>
    <cellStyle name="Comma 3 3 2 5 2 3 4" xfId="52237" xr:uid="{7670538D-C49B-4652-BC33-FBD15DB2C7C6}"/>
    <cellStyle name="Comma 3 3 2 5 2 3 5" xfId="55253" xr:uid="{1DBBEFBB-0BBE-48B1-A4B4-4FAD177F5189}"/>
    <cellStyle name="Comma 3 3 2 5 2 3 6" xfId="19290" xr:uid="{C061C30E-A357-4C31-B161-FC27A93086A1}"/>
    <cellStyle name="Comma 3 3 2 5 2 4" xfId="15847" xr:uid="{7B5EEC47-35DB-44B2-BDA4-DD4A5865AF03}"/>
    <cellStyle name="Comma 3 3 2 5 2 4 2" xfId="23376" xr:uid="{39EB5CFD-409A-4DF6-99C0-C52AB75EFF2A}"/>
    <cellStyle name="Comma 3 3 2 5 2 4 3" xfId="47795" xr:uid="{5B558D55-2038-43D9-9FD8-6A8C548DB9C9}"/>
    <cellStyle name="Comma 3 3 2 5 2 4 4" xfId="52714" xr:uid="{2E077B4F-0D80-4D6A-AE71-B44F22600E97}"/>
    <cellStyle name="Comma 3 3 2 5 2 4 5" xfId="55730" xr:uid="{8F9C0691-462C-4FD9-A428-B4CBC391A0FA}"/>
    <cellStyle name="Comma 3 3 2 5 2 4 6" xfId="19435" xr:uid="{1B58B9A6-141D-4AC5-947E-EAE260D17C3B}"/>
    <cellStyle name="Comma 3 3 2 5 2 5" xfId="12936" xr:uid="{770389D4-519F-4858-9924-A2C33FB83DBD}"/>
    <cellStyle name="Comma 3 3 2 5 2 5 2" xfId="32420" xr:uid="{63FD7FCE-2F21-4697-B4E2-746E1D5297DD}"/>
    <cellStyle name="Comma 3 3 2 5 2 5 3" xfId="51283" xr:uid="{75D74D6D-BF0E-4730-ABDE-BEE3169BC234}"/>
    <cellStyle name="Comma 3 3 2 5 2 5 4" xfId="54299" xr:uid="{F4E4B87F-FFB4-4A38-85D0-05B9F3E4FB15}"/>
    <cellStyle name="Comma 3 3 2 5 2 5 5" xfId="22005" xr:uid="{00D12900-F431-4113-ABA7-A29AD622E5A2}"/>
    <cellStyle name="Comma 3 3 2 5 2 6" xfId="46130" xr:uid="{214DED0F-836C-4F8E-A6DA-EE60D5F3B720}"/>
    <cellStyle name="Comma 3 3 2 5 2 7" xfId="50177" xr:uid="{CCC93663-1FAD-48DB-8A8F-BA8BEA039A97}"/>
    <cellStyle name="Comma 3 3 2 5 2 8" xfId="53193" xr:uid="{3E3EB044-3E95-4119-A5D6-7FBAC84662F3}"/>
    <cellStyle name="Comma 3 3 2 5 2 9" xfId="18979" xr:uid="{5B267DD9-9660-4887-92C0-055AB7DE0C15}"/>
    <cellStyle name="Comma 3 3 2 5 3" xfId="14663" xr:uid="{E4C8901A-EFE0-40EC-8DAA-687C1D2E0E27}"/>
    <cellStyle name="Comma 3 3 2 5 3 2" xfId="22210" xr:uid="{219942F9-9FD0-4DA1-9AFB-D2A875607D09}"/>
    <cellStyle name="Comma 3 3 2 5 3 3" xfId="47999" xr:uid="{AEC7AD62-1485-4C45-87AC-B21346EF0A85}"/>
    <cellStyle name="Comma 3 3 2 5 3 4" xfId="51548" xr:uid="{FE24DADC-D8A2-499D-BDE8-3A1C29926FB8}"/>
    <cellStyle name="Comma 3 3 2 5 3 5" xfId="54564" xr:uid="{367612CB-70A8-403E-B30C-19E4619DFD22}"/>
    <cellStyle name="Comma 3 3 2 5 3 6" xfId="19087" xr:uid="{121FE77F-F027-41AF-97F7-304640898789}"/>
    <cellStyle name="Comma 3 3 2 5 4" xfId="15148" xr:uid="{96EC06A4-CDDC-4702-8264-961D0D31CE8E}"/>
    <cellStyle name="Comma 3 3 2 5 4 2" xfId="22687" xr:uid="{B8FB7815-9427-4DAB-A066-5241A0591547}"/>
    <cellStyle name="Comma 3 3 2 5 4 3" xfId="47033" xr:uid="{BF3A1AE4-B7A5-4408-89B0-51498B2324DF}"/>
    <cellStyle name="Comma 3 3 2 5 4 4" xfId="52025" xr:uid="{AB5167F6-1200-4F7D-889F-BCB356EE045F}"/>
    <cellStyle name="Comma 3 3 2 5 4 5" xfId="55041" xr:uid="{C72F0699-93B6-4D33-A276-F717703C9E55}"/>
    <cellStyle name="Comma 3 3 2 5 4 6" xfId="19230" xr:uid="{08527E1B-45AC-4BB5-B1A3-C123F8E40D19}"/>
    <cellStyle name="Comma 3 3 2 5 5" xfId="15635" xr:uid="{EA2D3262-B569-4136-86E6-8AE095977985}"/>
    <cellStyle name="Comma 3 3 2 5 5 2" xfId="23164" xr:uid="{04C8947F-393A-4031-BBC7-27F0AB128941}"/>
    <cellStyle name="Comma 3 3 2 5 5 3" xfId="46561" xr:uid="{8648BEE0-658B-47DC-9B21-B787409E1C2F}"/>
    <cellStyle name="Comma 3 3 2 5 5 4" xfId="52502" xr:uid="{3F96DD4C-8F82-43F5-BF3E-5287192460BE}"/>
    <cellStyle name="Comma 3 3 2 5 5 5" xfId="55518" xr:uid="{9B49E5AF-18E0-4D4B-AA83-14CBC6F47646}"/>
    <cellStyle name="Comma 3 3 2 5 5 6" xfId="19375" xr:uid="{E2239542-4E05-4801-8A5E-8FAACF7779B3}"/>
    <cellStyle name="Comma 3 3 2 5 6" xfId="12623" xr:uid="{582FC185-9A7F-4A3C-AC19-8B7897235367}"/>
    <cellStyle name="Comma 3 3 2 5 6 2" xfId="25071" xr:uid="{1C9BB8D5-B5CB-4A8E-B28F-3919060B3840}"/>
    <cellStyle name="Comma 3 3 2 5 6 3" xfId="51071" xr:uid="{53C5AB0C-D4CD-405F-9C11-8E539868CFF6}"/>
    <cellStyle name="Comma 3 3 2 5 6 4" xfId="54087" xr:uid="{3A9793A7-EB9E-4858-9868-B27E29A36421}"/>
    <cellStyle name="Comma 3 3 2 5 6 5" xfId="21945" xr:uid="{4B7B4C19-1AD5-47BB-BA59-72F48DB25FFE}"/>
    <cellStyle name="Comma 3 3 2 5 7" xfId="46058" xr:uid="{E69EA298-68FC-4A77-81AC-513BE55D97F8}"/>
    <cellStyle name="Comma 3 3 2 5 8" xfId="49965" xr:uid="{DAD5836C-3A9A-493E-997A-6025A4826C55}"/>
    <cellStyle name="Comma 3 3 2 5 9" xfId="52981" xr:uid="{9E628EF7-1647-41F2-ACEB-436351AAFBDA}"/>
    <cellStyle name="Comma 3 3 2 6" xfId="10249" xr:uid="{748AA784-FDE6-40E5-8318-816F2BF7DFE6}"/>
    <cellStyle name="Comma 3 3 2 6 2" xfId="14716" xr:uid="{3FE92B42-A6CB-4520-9503-F37142F8C83B}"/>
    <cellStyle name="Comma 3 3 2 6 2 2" xfId="22263" xr:uid="{11E205E2-129A-43C5-9298-6D7435992B8D}"/>
    <cellStyle name="Comma 3 3 2 6 2 3" xfId="24962" xr:uid="{EE86B2FC-12C6-4771-A40B-67EDC4B7855F}"/>
    <cellStyle name="Comma 3 3 2 6 2 4" xfId="51601" xr:uid="{519B322F-698E-40C7-8F32-96626AFDD5B9}"/>
    <cellStyle name="Comma 3 3 2 6 2 5" xfId="54617" xr:uid="{74C68AC5-77FB-46AB-9ECF-7ECA2A0EA050}"/>
    <cellStyle name="Comma 3 3 2 6 2 6" xfId="19102" xr:uid="{312F1BAD-F782-4E65-B4F1-D9082E074BC5}"/>
    <cellStyle name="Comma 3 3 2 6 3" xfId="15201" xr:uid="{DA76362B-1667-41B6-B49D-CD429CF38B80}"/>
    <cellStyle name="Comma 3 3 2 6 3 2" xfId="22740" xr:uid="{5FBDDAD4-3E9C-44B8-8EFB-E8DEE81B8F5B}"/>
    <cellStyle name="Comma 3 3 2 6 3 3" xfId="46495" xr:uid="{C5EF95FE-D965-49A2-A10A-A1568BA3A4AF}"/>
    <cellStyle name="Comma 3 3 2 6 3 4" xfId="52078" xr:uid="{687D4703-D10F-4382-A9D8-1889164A3200}"/>
    <cellStyle name="Comma 3 3 2 6 3 5" xfId="55094" xr:uid="{8117EEEB-AABF-451A-98C5-43204327F37B}"/>
    <cellStyle name="Comma 3 3 2 6 3 6" xfId="19245" xr:uid="{12BFF9D5-1EA9-42C1-BAA8-0092F280BE43}"/>
    <cellStyle name="Comma 3 3 2 6 4" xfId="15688" xr:uid="{799C2FE5-C5DD-4076-A397-8A9DC5594EA5}"/>
    <cellStyle name="Comma 3 3 2 6 4 2" xfId="23217" xr:uid="{157C2DBC-C9CB-467F-897A-96E71B86D86C}"/>
    <cellStyle name="Comma 3 3 2 6 4 3" xfId="48025" xr:uid="{6CF3B88B-1F60-4244-8FD2-F87C257A8FDC}"/>
    <cellStyle name="Comma 3 3 2 6 4 4" xfId="52555" xr:uid="{AB1CB882-576F-45AC-944F-7F1E2172D59A}"/>
    <cellStyle name="Comma 3 3 2 6 4 5" xfId="55571" xr:uid="{19290A79-A0FA-4281-B5E0-6DFEAF170A84}"/>
    <cellStyle name="Comma 3 3 2 6 4 6" xfId="19390" xr:uid="{70F4AD32-C361-416C-8A5D-AF6F55EFD826}"/>
    <cellStyle name="Comma 3 3 2 6 5" xfId="12702" xr:uid="{7AC468C7-B7EA-4A6D-AD57-EB6FD2848E80}"/>
    <cellStyle name="Comma 3 3 2 6 5 2" xfId="32536" xr:uid="{19F114C5-A7FE-4CED-9C8F-FB21E03CD87D}"/>
    <cellStyle name="Comma 3 3 2 6 5 3" xfId="51124" xr:uid="{6ACDDC83-EA13-48FC-8AB2-659DEC25E6F9}"/>
    <cellStyle name="Comma 3 3 2 6 5 4" xfId="54140" xr:uid="{511468AC-29FE-4318-85AC-9C6EC3FAEDA9}"/>
    <cellStyle name="Comma 3 3 2 6 5 5" xfId="21960" xr:uid="{288BF5BD-E684-48ED-8558-C17998DF5E23}"/>
    <cellStyle name="Comma 3 3 2 6 6" xfId="47508" xr:uid="{5EBC3DD8-B8FB-45B8-9C7A-68C0C3E3CBE9}"/>
    <cellStyle name="Comma 3 3 2 6 7" xfId="50018" xr:uid="{2A9005A2-68E6-4E06-A791-9A37B8C98D80}"/>
    <cellStyle name="Comma 3 3 2 6 8" xfId="53034" xr:uid="{DD3E8BAA-F741-41FE-9AF9-70616F09177A}"/>
    <cellStyle name="Comma 3 3 2 6 9" xfId="18859" xr:uid="{D35C90F7-DECE-44B8-83DE-5F26A444D314}"/>
    <cellStyle name="Comma 3 3 2 7" xfId="10563" xr:uid="{18942CE9-6714-494E-B2BB-7D9F92778E13}"/>
    <cellStyle name="Comma 3 3 2 7 2" xfId="14928" xr:uid="{9D2C4C55-7EE6-40B5-B18F-B8DA7D1D843E}"/>
    <cellStyle name="Comma 3 3 2 7 2 2" xfId="22475" xr:uid="{765901C5-298F-47B0-9C7F-18FFBA5A08D2}"/>
    <cellStyle name="Comma 3 3 2 7 2 3" xfId="24932" xr:uid="{E88B3BCD-4DFE-486C-B793-5D0E1DA4C552}"/>
    <cellStyle name="Comma 3 3 2 7 2 4" xfId="51813" xr:uid="{025162AC-0695-4E8B-A11E-E11CED431F73}"/>
    <cellStyle name="Comma 3 3 2 7 2 5" xfId="54829" xr:uid="{00D0610D-26F5-4719-9C0B-17DF62C8CF95}"/>
    <cellStyle name="Comma 3 3 2 7 2 6" xfId="19162" xr:uid="{8EC72687-63A0-4CE2-9E62-C407F57FF058}"/>
    <cellStyle name="Comma 3 3 2 7 3" xfId="15413" xr:uid="{FDAC9BEA-F453-451B-AE2D-AE3A85C3F006}"/>
    <cellStyle name="Comma 3 3 2 7 3 2" xfId="22952" xr:uid="{31C67B67-7844-4C5D-945A-0BB78EEA4922}"/>
    <cellStyle name="Comma 3 3 2 7 3 3" xfId="46531" xr:uid="{480FF38B-443E-41EA-A8A6-5A4E311CE28B}"/>
    <cellStyle name="Comma 3 3 2 7 3 4" xfId="52290" xr:uid="{2A5093D7-5065-47C6-803F-E9EC96278636}"/>
    <cellStyle name="Comma 3 3 2 7 3 5" xfId="55306" xr:uid="{C1EE5C66-7FA9-42F3-957A-BCE52E1B4BE8}"/>
    <cellStyle name="Comma 3 3 2 7 3 6" xfId="19305" xr:uid="{9BF3E6EF-3DA3-44C9-8641-E7F0F1AAF943}"/>
    <cellStyle name="Comma 3 3 2 7 4" xfId="15901" xr:uid="{7146AD1F-81AB-43D0-89CF-2F804761BC76}"/>
    <cellStyle name="Comma 3 3 2 7 4 2" xfId="23429" xr:uid="{D7AF459E-A3FE-4C63-9732-361416E74A08}"/>
    <cellStyle name="Comma 3 3 2 7 4 3" xfId="47796" xr:uid="{9E2A0E93-0545-430B-853E-69FF35C39FB4}"/>
    <cellStyle name="Comma 3 3 2 7 4 4" xfId="52767" xr:uid="{72DD35F8-43F1-4C8A-9B67-F166A123C098}"/>
    <cellStyle name="Comma 3 3 2 7 4 5" xfId="55783" xr:uid="{520F1ECE-7551-400A-9FF3-BBABF40BEC6E}"/>
    <cellStyle name="Comma 3 3 2 7 4 6" xfId="19451" xr:uid="{5D298437-FE44-44BE-B596-621C50C476B4}"/>
    <cellStyle name="Comma 3 3 2 7 5" xfId="13016" xr:uid="{1FBD7097-21EC-4B0F-8BEF-AAFB0B9F9350}"/>
    <cellStyle name="Comma 3 3 2 7 5 2" xfId="48382" xr:uid="{A8F52109-7DB7-4753-A82E-6CEEBFD97CFE}"/>
    <cellStyle name="Comma 3 3 2 7 5 3" xfId="51336" xr:uid="{FAF15B05-20B7-4ADA-8E29-8902AB39822D}"/>
    <cellStyle name="Comma 3 3 2 7 5 4" xfId="54352" xr:uid="{A3F8B6D4-17B9-4B9F-8E03-858B5D874C7C}"/>
    <cellStyle name="Comma 3 3 2 7 5 5" xfId="22020" xr:uid="{2E6770FD-992C-487B-9E53-1B9ABDDE41A8}"/>
    <cellStyle name="Comma 3 3 2 7 6" xfId="36079" xr:uid="{CDCCC0B1-E8B8-44A3-94AD-5C5F4B303F97}"/>
    <cellStyle name="Comma 3 3 2 7 7" xfId="50230" xr:uid="{2B99BCEA-FB3D-4462-8D53-6E04AE350CD9}"/>
    <cellStyle name="Comma 3 3 2 7 8" xfId="53246" xr:uid="{32D5F674-4DBB-47CD-9604-07F18E251264}"/>
    <cellStyle name="Comma 3 3 2 7 9" xfId="19021" xr:uid="{5A4FB60E-E3FE-45E6-B47D-E0E08526BB0A}"/>
    <cellStyle name="Comma 3 3 2 8" xfId="14180" xr:uid="{94D95277-C2C8-442E-B952-0A1FC1FEA88C}"/>
    <cellStyle name="Comma 3 3 2 9" xfId="14504" xr:uid="{D608074D-2265-416E-AADE-B3D10F36CE66}"/>
    <cellStyle name="Comma 3 3 2 9 2" xfId="22051" xr:uid="{453665CF-2AAE-4934-BF87-D519F2A64743}"/>
    <cellStyle name="Comma 3 3 2 9 3" xfId="48383" xr:uid="{7AC1DD1F-AFEE-4C65-BF8A-C19AFE1B5FB3}"/>
    <cellStyle name="Comma 3 3 2 9 4" xfId="51389" xr:uid="{8DB68434-E2E7-4606-894E-13C367C5FDA2}"/>
    <cellStyle name="Comma 3 3 2 9 5" xfId="54405" xr:uid="{576EEFC5-E284-4C97-B2BE-E87681C09027}"/>
    <cellStyle name="Comma 3 3 2 9 6" xfId="19042" xr:uid="{C35DAC05-5EC3-4BBF-98B2-6A9CEB89C029}"/>
    <cellStyle name="Comma 3 3 3" xfId="5822" xr:uid="{6ED8C6AF-174F-4D72-BCD3-30B1FC434DFE}"/>
    <cellStyle name="Comma 3 3 3 10" xfId="12197" xr:uid="{1D210365-AC07-43AE-ADF1-FCA721D9D599}"/>
    <cellStyle name="Comma 3 3 3 10 2" xfId="47265" xr:uid="{0662A8DF-F493-4A68-8771-69EF7EB9ACDA}"/>
    <cellStyle name="Comma 3 3 3 10 3" xfId="50942" xr:uid="{8240EDA0-88AD-4FB0-BF2B-43C1913146C3}"/>
    <cellStyle name="Comma 3 3 3 10 4" xfId="53958" xr:uid="{44720AF1-C26A-435D-B0C7-60EF7F0F6AE7}"/>
    <cellStyle name="Comma 3 3 3 10 5" xfId="21907" xr:uid="{1CBAA469-3C72-4FFF-96F7-4FAF3F3D727E}"/>
    <cellStyle name="Comma 3 3 3 11" xfId="23746" xr:uid="{79F5242B-512D-4800-A887-82FE3A2838EB}"/>
    <cellStyle name="Comma 3 3 3 12" xfId="48428" xr:uid="{BBDDED57-65EB-416B-BB53-0963B4C689A3}"/>
    <cellStyle name="Comma 3 3 3 13" xfId="48629" xr:uid="{9BDFFBFD-651C-40A2-B923-54A0B4CCB332}"/>
    <cellStyle name="Comma 3 3 3 14" xfId="49537" xr:uid="{A9B47305-7C39-4EBD-B08A-517847E8094E}"/>
    <cellStyle name="Comma 3 3 3 15" xfId="49808" xr:uid="{9BBCF7C4-D1DC-4DB3-8E71-6F5E2036B4C8}"/>
    <cellStyle name="Comma 3 3 3 16" xfId="52823" xr:uid="{369D2EC5-D962-485F-AE31-BB909F3054B7}"/>
    <cellStyle name="Comma 3 3 3 17" xfId="18571" xr:uid="{31066460-E7D0-492C-AEE9-93BA9DB252B8}"/>
    <cellStyle name="Comma 3 3 3 18" xfId="8931" xr:uid="{D1496341-0F91-4993-B31E-E864C3D07C62}"/>
    <cellStyle name="Comma 3 3 3 2" xfId="10018" xr:uid="{1C4EA1FC-806F-4AC6-AA5F-E07CC28FC79C}"/>
    <cellStyle name="Comma 3 3 3 2 10" xfId="18749" xr:uid="{627929DF-8B3B-44BB-8A17-799CD36F374D}"/>
    <cellStyle name="Comma 3 3 3 2 2" xfId="10326" xr:uid="{9ACF86A5-0FBE-4B2D-AF03-649E0E5D9AED}"/>
    <cellStyle name="Comma 3 3 3 2 2 2" xfId="14771" xr:uid="{874BD130-684D-4F59-A421-D65863393FD9}"/>
    <cellStyle name="Comma 3 3 3 2 2 2 2" xfId="22318" xr:uid="{FFA9554A-84FB-476C-90C4-30BDB8FEEA9A}"/>
    <cellStyle name="Comma 3 3 3 2 2 2 3" xfId="46432" xr:uid="{A618765A-1777-4305-8005-4843E40C2D13}"/>
    <cellStyle name="Comma 3 3 3 2 2 2 4" xfId="51656" xr:uid="{5EE53903-964F-4914-B938-2F5BBC10D3E8}"/>
    <cellStyle name="Comma 3 3 3 2 2 2 5" xfId="54672" xr:uid="{D3B6B0E9-F8FD-4C0B-B3AF-6BA984AC62E1}"/>
    <cellStyle name="Comma 3 3 3 2 2 2 6" xfId="19119" xr:uid="{8E64020C-7E00-401E-AA1F-AAD1E8128238}"/>
    <cellStyle name="Comma 3 3 3 2 2 3" xfId="15256" xr:uid="{F079CBBA-7B2F-435B-81FF-3AF78E38D324}"/>
    <cellStyle name="Comma 3 3 3 2 2 3 2" xfId="22795" xr:uid="{F243E7B0-9767-45BC-A991-776F50F59183}"/>
    <cellStyle name="Comma 3 3 3 2 2 3 3" xfId="47342" xr:uid="{587B2206-C249-4E47-B66F-705BA4C989AD}"/>
    <cellStyle name="Comma 3 3 3 2 2 3 4" xfId="52133" xr:uid="{A61F112F-53A4-453A-96DD-B0C5A5FA2786}"/>
    <cellStyle name="Comma 3 3 3 2 2 3 5" xfId="55149" xr:uid="{F3C19701-643A-4A4D-96F3-3B24F50A3C21}"/>
    <cellStyle name="Comma 3 3 3 2 2 3 6" xfId="19262" xr:uid="{36DA31C5-0909-4EC8-B175-AD6AE6369181}"/>
    <cellStyle name="Comma 3 3 3 2 2 4" xfId="15743" xr:uid="{5D6CE50B-1695-4478-80CD-062DCD0D1DCA}"/>
    <cellStyle name="Comma 3 3 3 2 2 4 2" xfId="23272" xr:uid="{3E4BB629-2CFB-4314-A4A9-F6D9B78CA34C}"/>
    <cellStyle name="Comma 3 3 3 2 2 4 3" xfId="25279" xr:uid="{9262FCE3-3C7E-40A5-A8CF-1968941182C2}"/>
    <cellStyle name="Comma 3 3 3 2 2 4 4" xfId="52610" xr:uid="{5BE4A86B-4B20-4153-B4A6-40957B28B318}"/>
    <cellStyle name="Comma 3 3 3 2 2 4 5" xfId="55626" xr:uid="{E27738CF-5525-46FB-9A0B-A31F1CF3D5B6}"/>
    <cellStyle name="Comma 3 3 3 2 2 4 6" xfId="19407" xr:uid="{A9B7DAAC-0BB0-4FB9-9924-7E00022BDD5F}"/>
    <cellStyle name="Comma 3 3 3 2 2 5" xfId="12779" xr:uid="{8CBEAB8C-F255-4997-A614-66747E57FF66}"/>
    <cellStyle name="Comma 3 3 3 2 2 5 2" xfId="47097" xr:uid="{D08163D6-4794-4742-A5EE-6E7EFC58E5E2}"/>
    <cellStyle name="Comma 3 3 3 2 2 5 3" xfId="51179" xr:uid="{AD9254DD-ED03-4A09-B779-1B485A57BF37}"/>
    <cellStyle name="Comma 3 3 3 2 2 5 4" xfId="54195" xr:uid="{FB3B4804-6BB1-4DFB-BCA3-52FFE7218799}"/>
    <cellStyle name="Comma 3 3 3 2 2 5 5" xfId="21977" xr:uid="{A2692491-6EAC-41BD-A698-A01444E915AE}"/>
    <cellStyle name="Comma 3 3 3 2 2 6" xfId="47141" xr:uid="{EEA04D7B-5F51-4529-83DB-8AB049948A9A}"/>
    <cellStyle name="Comma 3 3 3 2 2 7" xfId="50073" xr:uid="{1B88515B-C783-46CF-B2B4-F98DB1544BB1}"/>
    <cellStyle name="Comma 3 3 3 2 2 8" xfId="53089" xr:uid="{769770C7-57B9-4A12-98A8-E4F2AEDA3B38}"/>
    <cellStyle name="Comma 3 3 3 2 2 9" xfId="18898" xr:uid="{C5088E96-D7CA-4574-8265-19474B597F20}"/>
    <cellStyle name="Comma 3 3 3 2 3" xfId="14559" xr:uid="{D44AE0FA-AEB1-47C1-8AFD-D1503339D004}"/>
    <cellStyle name="Comma 3 3 3 2 3 2" xfId="22106" xr:uid="{D2CB31B0-1820-435D-8A40-AA4A9C96795E}"/>
    <cellStyle name="Comma 3 3 3 2 3 3" xfId="37012" xr:uid="{00859175-244D-4C0E-BDEC-47739944F9B4}"/>
    <cellStyle name="Comma 3 3 3 2 3 4" xfId="51444" xr:uid="{9F256CE0-23EF-4E22-8CCA-ED5DFB8C9EA0}"/>
    <cellStyle name="Comma 3 3 3 2 3 5" xfId="54460" xr:uid="{F60A9FAA-2D89-452D-93C8-35F9BEE35844}"/>
    <cellStyle name="Comma 3 3 3 2 3 6" xfId="19059" xr:uid="{B84C2761-3948-41D6-8735-EEEA87516557}"/>
    <cellStyle name="Comma 3 3 3 2 4" xfId="15043" xr:uid="{E7F2C40E-95D9-40A5-B906-3BD7036415C8}"/>
    <cellStyle name="Comma 3 3 3 2 4 2" xfId="22583" xr:uid="{5E2CB88D-F9F0-4E86-972A-2F6B02D62A08}"/>
    <cellStyle name="Comma 3 3 3 2 4 3" xfId="48144" xr:uid="{FA186A72-97CB-4CE4-9901-C26C2133C29F}"/>
    <cellStyle name="Comma 3 3 3 2 4 4" xfId="51921" xr:uid="{F51A61D8-D957-47DD-B814-5889E0C491B3}"/>
    <cellStyle name="Comma 3 3 3 2 4 5" xfId="54937" xr:uid="{48177970-F442-44CE-8EA1-7756C812E240}"/>
    <cellStyle name="Comma 3 3 3 2 4 6" xfId="19201" xr:uid="{101A2C6C-30AF-460F-825F-6F7A4B323CD2}"/>
    <cellStyle name="Comma 3 3 3 2 5" xfId="15530" xr:uid="{EC5A4667-8239-41C8-A9D1-6E37BCCEDA52}"/>
    <cellStyle name="Comma 3 3 3 2 5 2" xfId="23060" xr:uid="{F10BB151-7BAC-4EC5-A4FE-BFD240DFF626}"/>
    <cellStyle name="Comma 3 3 3 2 5 3" xfId="24168" xr:uid="{63067E03-2433-4ECE-BB7E-D8540B750D07}"/>
    <cellStyle name="Comma 3 3 3 2 5 4" xfId="52398" xr:uid="{F88A41D1-D1F0-4325-8873-27417CDB9ABA}"/>
    <cellStyle name="Comma 3 3 3 2 5 5" xfId="55414" xr:uid="{4FD90824-0892-418C-9FE0-37C8966338DC}"/>
    <cellStyle name="Comma 3 3 3 2 5 6" xfId="19346" xr:uid="{ED90C72D-F331-4D7F-B7FC-DA50AF8134FE}"/>
    <cellStyle name="Comma 3 3 3 2 6" xfId="12478" xr:uid="{2CC2D54D-F9C1-4209-8BE9-92D1415C9BE2}"/>
    <cellStyle name="Comma 3 3 3 2 6 2" xfId="24698" xr:uid="{69DA670A-F772-4D77-970D-CF0D677CE6D6}"/>
    <cellStyle name="Comma 3 3 3 2 6 3" xfId="50967" xr:uid="{6B84FF08-C17E-4A4E-9C8C-04898F59B5D3}"/>
    <cellStyle name="Comma 3 3 3 2 6 4" xfId="53983" xr:uid="{7445F37F-EBC0-4212-83AC-3AD7B4C00A7A}"/>
    <cellStyle name="Comma 3 3 3 2 6 5" xfId="21916" xr:uid="{EBBA7EA7-72CA-4642-8EB5-7B34A9CB5C8C}"/>
    <cellStyle name="Comma 3 3 3 2 7" xfId="47572" xr:uid="{8D8D45E3-74D8-463C-B453-DFD92128EABE}"/>
    <cellStyle name="Comma 3 3 3 2 8" xfId="49861" xr:uid="{EF899CB5-C12A-4E6D-919C-9487D88D2274}"/>
    <cellStyle name="Comma 3 3 3 2 9" xfId="52877" xr:uid="{624B3F56-26C6-4FB7-90AE-DFADE06AF18C}"/>
    <cellStyle name="Comma 3 3 3 3" xfId="10092" xr:uid="{FFF99439-F0E6-4AB6-8C09-E2CA7D69C6A3}"/>
    <cellStyle name="Comma 3 3 3 3 10" xfId="18782" xr:uid="{3C2A15D2-3628-46A6-A24F-E04C45FC4277}"/>
    <cellStyle name="Comma 3 3 3 3 2" xfId="10405" xr:uid="{72CE2735-E9F0-4C47-8BE9-B59779E9CCE0}"/>
    <cellStyle name="Comma 3 3 3 3 2 2" xfId="14824" xr:uid="{30E3762E-8369-4D84-BA6B-D23C586AB6C4}"/>
    <cellStyle name="Comma 3 3 3 3 2 2 2" xfId="22371" xr:uid="{69738F43-403C-487B-BB1B-F820A398B4E8}"/>
    <cellStyle name="Comma 3 3 3 3 2 2 3" xfId="36584" xr:uid="{E6A12E35-2FA5-4852-B372-64743C76250B}"/>
    <cellStyle name="Comma 3 3 3 3 2 2 4" xfId="51709" xr:uid="{9E06C3F3-F5F7-4C45-87EB-FAA19C30B453}"/>
    <cellStyle name="Comma 3 3 3 3 2 2 5" xfId="54725" xr:uid="{B94FD960-7FBF-4A44-B98F-A518F70A5A91}"/>
    <cellStyle name="Comma 3 3 3 3 2 2 6" xfId="19134" xr:uid="{8FDF6F1A-DB48-478A-8FD5-A60CF8E10F4F}"/>
    <cellStyle name="Comma 3 3 3 3 2 3" xfId="15309" xr:uid="{42EC01F4-B045-4492-9125-D0A2785CDDB4}"/>
    <cellStyle name="Comma 3 3 3 3 2 3 2" xfId="22848" xr:uid="{A2FA202B-A001-4A26-9FFD-FC334F9381B6}"/>
    <cellStyle name="Comma 3 3 3 3 2 3 3" xfId="47249" xr:uid="{E78C546F-A137-46D2-B28B-413EF7383D6B}"/>
    <cellStyle name="Comma 3 3 3 3 2 3 4" xfId="52186" xr:uid="{14086F11-1B5F-4965-8DF8-6D91D1DBD06E}"/>
    <cellStyle name="Comma 3 3 3 3 2 3 5" xfId="55202" xr:uid="{960E86BF-E855-4DAE-9FE8-D96C9CDE62E1}"/>
    <cellStyle name="Comma 3 3 3 3 2 3 6" xfId="19277" xr:uid="{2B550DDA-CB50-43AE-9021-6A4598DDEB67}"/>
    <cellStyle name="Comma 3 3 3 3 2 4" xfId="15796" xr:uid="{A750C18B-4F50-488D-9373-13ECD448A3D7}"/>
    <cellStyle name="Comma 3 3 3 3 2 4 2" xfId="23325" xr:uid="{F8E13142-CB4B-4B51-B2F9-DFAFE55E0F8B}"/>
    <cellStyle name="Comma 3 3 3 3 2 4 3" xfId="46966" xr:uid="{59A3184F-23A3-4E14-B9C7-1543A203FD92}"/>
    <cellStyle name="Comma 3 3 3 3 2 4 4" xfId="52663" xr:uid="{645B6346-5769-4581-9732-2BFDA91F190A}"/>
    <cellStyle name="Comma 3 3 3 3 2 4 5" xfId="55679" xr:uid="{B9FE8C69-8691-475B-97BF-9CFC29EA4FEC}"/>
    <cellStyle name="Comma 3 3 3 3 2 4 6" xfId="19422" xr:uid="{583A66BB-C0CB-4068-9B97-E8208AA55C1C}"/>
    <cellStyle name="Comma 3 3 3 3 2 5" xfId="12858" xr:uid="{A8299F17-17AE-4FC3-A583-99196AA6239B}"/>
    <cellStyle name="Comma 3 3 3 3 2 5 2" xfId="24212" xr:uid="{67DD6A6C-D749-4821-83D1-40EEBD83686D}"/>
    <cellStyle name="Comma 3 3 3 3 2 5 3" xfId="51232" xr:uid="{EBC04B23-1C08-4D5C-A982-6C92120C7B4B}"/>
    <cellStyle name="Comma 3 3 3 3 2 5 4" xfId="54248" xr:uid="{B71F6735-A465-48CD-BE51-9C660DF7EC89}"/>
    <cellStyle name="Comma 3 3 3 3 2 5 5" xfId="21992" xr:uid="{8C86BE34-06E3-4F4B-9BB3-DD92C78111AF}"/>
    <cellStyle name="Comma 3 3 3 3 2 6" xfId="35993" xr:uid="{2DAEFCF8-CA26-47E1-9935-B8318BD2B6BD}"/>
    <cellStyle name="Comma 3 3 3 3 2 7" xfId="50126" xr:uid="{64E10F44-50A5-42B5-81CD-8B0AA241D6A9}"/>
    <cellStyle name="Comma 3 3 3 3 2 8" xfId="53142" xr:uid="{12604BC9-C118-4729-A539-6B9344A5A2D1}"/>
    <cellStyle name="Comma 3 3 3 3 2 9" xfId="18939" xr:uid="{3315AC0B-0BE3-453B-A51A-CD3E569EEB07}"/>
    <cellStyle name="Comma 3 3 3 3 3" xfId="14612" xr:uid="{51F33D36-D97F-406C-9725-7AE3546306FD}"/>
    <cellStyle name="Comma 3 3 3 3 3 2" xfId="22159" xr:uid="{F3C9389C-2CEC-43BB-9DE8-C83DCA8A8CE8}"/>
    <cellStyle name="Comma 3 3 3 3 3 3" xfId="46841" xr:uid="{F8C8AB42-6C00-44B0-BFC5-94DD9481B7DD}"/>
    <cellStyle name="Comma 3 3 3 3 3 4" xfId="51497" xr:uid="{7D3359AA-B21E-44DC-8BDB-1420FE8FE1CF}"/>
    <cellStyle name="Comma 3 3 3 3 3 5" xfId="54513" xr:uid="{4C2763E4-0E9D-41E7-A6E0-F11B543ACA4D}"/>
    <cellStyle name="Comma 3 3 3 3 3 6" xfId="19074" xr:uid="{EC4E5827-D403-4E53-B2F7-5DF472859E20}"/>
    <cellStyle name="Comma 3 3 3 3 4" xfId="15097" xr:uid="{A45D62F2-9BD8-4C5E-8C8B-4F70305FB63A}"/>
    <cellStyle name="Comma 3 3 3 3 4 2" xfId="22636" xr:uid="{E7C3D5D5-4B54-4868-B7ED-C8725DD6C064}"/>
    <cellStyle name="Comma 3 3 3 3 4 3" xfId="32505" xr:uid="{F19394C2-77D1-4B1B-A4E6-DCC5CFF03E0B}"/>
    <cellStyle name="Comma 3 3 3 3 4 4" xfId="51974" xr:uid="{02389A8C-33E0-4E19-B322-3F4FF7CFAAB4}"/>
    <cellStyle name="Comma 3 3 3 3 4 5" xfId="54990" xr:uid="{8196F5CD-8E35-42D2-9B3E-35C38E61F986}"/>
    <cellStyle name="Comma 3 3 3 3 4 6" xfId="19217" xr:uid="{33475515-7360-433E-AA94-025D7A59F085}"/>
    <cellStyle name="Comma 3 3 3 3 5" xfId="15584" xr:uid="{4FF74D37-3E9A-44C8-9A05-CE8F8BBFBCFD}"/>
    <cellStyle name="Comma 3 3 3 3 5 2" xfId="23113" xr:uid="{70554AFE-BB0C-43F0-BDB4-B9489AD4507C}"/>
    <cellStyle name="Comma 3 3 3 3 5 3" xfId="46939" xr:uid="{86892071-C417-4143-966B-78F092B24000}"/>
    <cellStyle name="Comma 3 3 3 3 5 4" xfId="52451" xr:uid="{FFDEAE7C-16FD-4025-AEF6-6A713BEE15AA}"/>
    <cellStyle name="Comma 3 3 3 3 5 5" xfId="55467" xr:uid="{9A52C6B8-E627-4F85-9829-8C513238610A}"/>
    <cellStyle name="Comma 3 3 3 3 5 6" xfId="19362" xr:uid="{5B59EE30-DC70-4DBB-B0D4-F1E68A835ED1}"/>
    <cellStyle name="Comma 3 3 3 3 6" xfId="12549" xr:uid="{F5EE87EB-5867-467A-9BD7-A797C9D3B4CA}"/>
    <cellStyle name="Comma 3 3 3 3 6 2" xfId="46324" xr:uid="{ED8B38D1-DEB4-4F5F-A7CD-F59EF08258E6}"/>
    <cellStyle name="Comma 3 3 3 3 6 3" xfId="51020" xr:uid="{077D34FE-2161-4E1F-99B6-84290F3A80B1}"/>
    <cellStyle name="Comma 3 3 3 3 6 4" xfId="54036" xr:uid="{EA837008-9DBE-4DCA-8A9F-E1798A20F0F2}"/>
    <cellStyle name="Comma 3 3 3 3 6 5" xfId="21932" xr:uid="{DB11A8D2-441E-463A-ABE4-9319F49E72C9}"/>
    <cellStyle name="Comma 3 3 3 3 7" xfId="47869" xr:uid="{2935F4B1-278D-41FC-9CFC-A32CF40BE2D6}"/>
    <cellStyle name="Comma 3 3 3 3 8" xfId="49914" xr:uid="{00E46405-E484-4750-8DB8-27E8A8522930}"/>
    <cellStyle name="Comma 3 3 3 3 9" xfId="52930" xr:uid="{55543812-C580-4471-AF9A-C7BF6349F2C5}"/>
    <cellStyle name="Comma 3 3 3 4" xfId="10171" xr:uid="{519D1D0A-D20B-4284-82B4-36A8A471F165}"/>
    <cellStyle name="Comma 3 3 3 4 10" xfId="18820" xr:uid="{1D29D07C-299F-4757-9B2B-02672D53A734}"/>
    <cellStyle name="Comma 3 3 3 4 2" xfId="10485" xr:uid="{0A1FE9C9-8FA3-47A9-B3F6-3C4E05987FEA}"/>
    <cellStyle name="Comma 3 3 3 4 2 2" xfId="14877" xr:uid="{63E49543-96F0-4A01-9554-E94032E58C3A}"/>
    <cellStyle name="Comma 3 3 3 4 2 2 2" xfId="22424" xr:uid="{4B5CB1C1-5AB4-4A2D-9AEC-E06FD9AE6EBA}"/>
    <cellStyle name="Comma 3 3 3 4 2 2 3" xfId="46449" xr:uid="{EEFD709A-1D59-4FF0-9D49-663F4B8C9EA9}"/>
    <cellStyle name="Comma 3 3 3 4 2 2 4" xfId="51762" xr:uid="{6DD991BD-7EE6-4215-945F-D166E4A44684}"/>
    <cellStyle name="Comma 3 3 3 4 2 2 5" xfId="54778" xr:uid="{D6D83353-D2E9-4E68-913D-A9EB61637AFE}"/>
    <cellStyle name="Comma 3 3 3 4 2 2 6" xfId="19149" xr:uid="{9154A210-9A62-47E8-AC76-8CBF90363380}"/>
    <cellStyle name="Comma 3 3 3 4 2 3" xfId="15362" xr:uid="{3E944BFD-A191-417E-92D2-E5EAFEA23CF5}"/>
    <cellStyle name="Comma 3 3 3 4 2 3 2" xfId="22901" xr:uid="{C475425F-D1F8-4969-8461-DBD4C7B9B60D}"/>
    <cellStyle name="Comma 3 3 3 4 2 3 3" xfId="46520" xr:uid="{E95D0537-4EFF-46E6-8272-583884D35008}"/>
    <cellStyle name="Comma 3 3 3 4 2 3 4" xfId="52239" xr:uid="{E44BC77C-C6BE-4DDC-B4CD-2F3426499483}"/>
    <cellStyle name="Comma 3 3 3 4 2 3 5" xfId="55255" xr:uid="{0A7E138C-EBE5-43A9-BD34-EB3EF6E1FCF7}"/>
    <cellStyle name="Comma 3 3 3 4 2 3 6" xfId="19292" xr:uid="{7F8E20DC-85CB-48D4-B86B-AC83D92189C8}"/>
    <cellStyle name="Comma 3 3 3 4 2 4" xfId="15849" xr:uid="{3A484F2F-2C0D-46EA-82B6-BC5043C90E5F}"/>
    <cellStyle name="Comma 3 3 3 4 2 4 2" xfId="23378" xr:uid="{9F59C3B7-4032-4BE8-9DED-988654B7F85F}"/>
    <cellStyle name="Comma 3 3 3 4 2 4 3" xfId="46597" xr:uid="{E6961D91-516A-4CAB-8D51-6DB5F98905B1}"/>
    <cellStyle name="Comma 3 3 3 4 2 4 4" xfId="52716" xr:uid="{B36C8F5A-1418-418B-A7D2-E6DBF48D36F5}"/>
    <cellStyle name="Comma 3 3 3 4 2 4 5" xfId="55732" xr:uid="{1651F4B6-2B1E-442E-B951-B5704B9D40CD}"/>
    <cellStyle name="Comma 3 3 3 4 2 4 6" xfId="19437" xr:uid="{5A770981-536F-449F-93D7-50574D119794}"/>
    <cellStyle name="Comma 3 3 3 4 2 5" xfId="12938" xr:uid="{6134380C-9894-403D-A558-517F98DDD4AD}"/>
    <cellStyle name="Comma 3 3 3 4 2 5 2" xfId="46814" xr:uid="{0D3D9E62-99D5-40E0-B768-06FE7E0ECA04}"/>
    <cellStyle name="Comma 3 3 3 4 2 5 3" xfId="51285" xr:uid="{EB6905AB-7755-4A6D-A292-12C1DC4A371D}"/>
    <cellStyle name="Comma 3 3 3 4 2 5 4" xfId="54301" xr:uid="{F20BEB53-039F-4199-A48F-1E5343DA0374}"/>
    <cellStyle name="Comma 3 3 3 4 2 5 5" xfId="22007" xr:uid="{32488AD2-6B2F-47D4-8C81-FAFFF7D4DE1F}"/>
    <cellStyle name="Comma 3 3 3 4 2 6" xfId="47291" xr:uid="{56928CAA-DD9B-44A7-9B83-AF26A7E964F4}"/>
    <cellStyle name="Comma 3 3 3 4 2 7" xfId="50179" xr:uid="{410A016E-AAED-4581-A144-656D9DD3ED31}"/>
    <cellStyle name="Comma 3 3 3 4 2 8" xfId="53195" xr:uid="{FFF60DB4-26D5-44A6-859B-90E2558BCFC3}"/>
    <cellStyle name="Comma 3 3 3 4 2 9" xfId="18981" xr:uid="{D00307AA-3CDB-44AA-A89D-122CAB91D733}"/>
    <cellStyle name="Comma 3 3 3 4 3" xfId="14665" xr:uid="{23E7388B-EF1E-4C49-A2BF-DC1161B4E76E}"/>
    <cellStyle name="Comma 3 3 3 4 3 2" xfId="22212" xr:uid="{8BD478B4-94F7-4E7B-A18E-B745C5E79EBB}"/>
    <cellStyle name="Comma 3 3 3 4 3 3" xfId="32276" xr:uid="{628C8F75-57CF-4B54-8435-579AC5A5B4B4}"/>
    <cellStyle name="Comma 3 3 3 4 3 4" xfId="51550" xr:uid="{3A56EB70-862D-4C2F-9C13-57C1ED03C02B}"/>
    <cellStyle name="Comma 3 3 3 4 3 5" xfId="54566" xr:uid="{2C92B94A-DFDB-4B0E-B313-711B30E462D4}"/>
    <cellStyle name="Comma 3 3 3 4 3 6" xfId="19089" xr:uid="{C13315B3-FDCC-40BB-9949-C45F3D1A6621}"/>
    <cellStyle name="Comma 3 3 3 4 4" xfId="15150" xr:uid="{4C97DD00-FFB1-4F0D-BC0B-8DA2846A4A31}"/>
    <cellStyle name="Comma 3 3 3 4 4 2" xfId="22689" xr:uid="{97D024E0-B4A2-4508-BDF6-D4326F0E9FCE}"/>
    <cellStyle name="Comma 3 3 3 4 4 3" xfId="47372" xr:uid="{9947F672-5502-4869-87BD-759AB096BBFF}"/>
    <cellStyle name="Comma 3 3 3 4 4 4" xfId="52027" xr:uid="{93C166A9-52F4-4335-A8BA-A19D7E527DDE}"/>
    <cellStyle name="Comma 3 3 3 4 4 5" xfId="55043" xr:uid="{6F50F758-1E80-48CB-98F0-CB532F4854E1}"/>
    <cellStyle name="Comma 3 3 3 4 4 6" xfId="19232" xr:uid="{BF0D5BA6-4C92-48E2-879C-CDD5DC25D2AC}"/>
    <cellStyle name="Comma 3 3 3 4 5" xfId="15637" xr:uid="{80EB10B0-07F4-4341-B610-967C5F98B4B9}"/>
    <cellStyle name="Comma 3 3 3 4 5 2" xfId="23166" xr:uid="{EB377420-965A-4596-A2B1-537EBFCC141F}"/>
    <cellStyle name="Comma 3 3 3 4 5 3" xfId="32396" xr:uid="{79C3C115-408D-4D45-94FB-E3263D11AB26}"/>
    <cellStyle name="Comma 3 3 3 4 5 4" xfId="52504" xr:uid="{7FB91A3D-5013-439E-A2DC-4114468E7752}"/>
    <cellStyle name="Comma 3 3 3 4 5 5" xfId="55520" xr:uid="{2C69F65C-40AE-4D87-AD4E-AF62CF9AC2A3}"/>
    <cellStyle name="Comma 3 3 3 4 5 6" xfId="19377" xr:uid="{AFC5B608-15C6-4D0F-B7BD-2DCE409DF865}"/>
    <cellStyle name="Comma 3 3 3 4 6" xfId="12625" xr:uid="{E475214C-57CF-4A2A-B7DD-2BF2D0AD2F79}"/>
    <cellStyle name="Comma 3 3 3 4 6 2" xfId="46776" xr:uid="{F2B2179F-71C4-4EC0-AF04-FC2F0F209E34}"/>
    <cellStyle name="Comma 3 3 3 4 6 3" xfId="51073" xr:uid="{A1FD9FCE-9880-49C9-B552-EFF250AA1666}"/>
    <cellStyle name="Comma 3 3 3 4 6 4" xfId="54089" xr:uid="{D324F563-D866-48CD-BAC8-BF9D47B7301F}"/>
    <cellStyle name="Comma 3 3 3 4 6 5" xfId="21947" xr:uid="{8AC27C98-F874-4723-B8BC-614C2EAC8EAF}"/>
    <cellStyle name="Comma 3 3 3 4 7" xfId="25379" xr:uid="{34911D76-26B9-47B1-921E-FDA30C90840D}"/>
    <cellStyle name="Comma 3 3 3 4 8" xfId="49967" xr:uid="{140DC617-DBD5-4194-8644-189B3B27CDF9}"/>
    <cellStyle name="Comma 3 3 3 4 9" xfId="52983" xr:uid="{5B85B110-4FC5-4A52-9ADE-E7312683A232}"/>
    <cellStyle name="Comma 3 3 3 5" xfId="10251" xr:uid="{D5442291-C2A5-44A4-BAD8-3813CE42C83B}"/>
    <cellStyle name="Comma 3 3 3 5 2" xfId="14718" xr:uid="{A387DF98-A6ED-4B65-B8C2-219FBAED5492}"/>
    <cellStyle name="Comma 3 3 3 5 2 2" xfId="22265" xr:uid="{35DBB265-B37D-4760-8F4D-BC0C56933AC6}"/>
    <cellStyle name="Comma 3 3 3 5 2 3" xfId="46853" xr:uid="{D2DEE166-CB0E-4665-81D4-DE59FA714A87}"/>
    <cellStyle name="Comma 3 3 3 5 2 4" xfId="51603" xr:uid="{B14A0F9C-455B-47FC-B5DF-6F6839721A6A}"/>
    <cellStyle name="Comma 3 3 3 5 2 5" xfId="54619" xr:uid="{A0CBDC9C-589C-4F39-8BB8-60442D28AD86}"/>
    <cellStyle name="Comma 3 3 3 5 2 6" xfId="19104" xr:uid="{9CA57AB6-1414-4A78-A807-DEC0DBA684BB}"/>
    <cellStyle name="Comma 3 3 3 5 3" xfId="15203" xr:uid="{C4290716-90AC-4DA6-AE7F-9E29B08E17BF}"/>
    <cellStyle name="Comma 3 3 3 5 3 2" xfId="22742" xr:uid="{80AA4D86-C076-4862-92E2-7E83804F8721}"/>
    <cellStyle name="Comma 3 3 3 5 3 3" xfId="47544" xr:uid="{0E99D3B7-0DD6-4BE0-AFFA-AE8AE9157310}"/>
    <cellStyle name="Comma 3 3 3 5 3 4" xfId="52080" xr:uid="{50938C50-F9A5-44FC-BC1F-0FAAB1C34213}"/>
    <cellStyle name="Comma 3 3 3 5 3 5" xfId="55096" xr:uid="{56D540AD-FB23-4176-B1FD-6EFB84E1315F}"/>
    <cellStyle name="Comma 3 3 3 5 3 6" xfId="19247" xr:uid="{89DB8ACD-AA9B-4EA2-B4FD-43EA2F16B751}"/>
    <cellStyle name="Comma 3 3 3 5 4" xfId="15690" xr:uid="{433D1893-9676-4ED0-AA9D-3FF2FA3A471B}"/>
    <cellStyle name="Comma 3 3 3 5 4 2" xfId="23219" xr:uid="{9230A7EB-7A6A-4019-9754-0AE4B9A0783E}"/>
    <cellStyle name="Comma 3 3 3 5 4 3" xfId="46954" xr:uid="{E8D3422B-EBA6-418E-8889-9E4639E2CA00}"/>
    <cellStyle name="Comma 3 3 3 5 4 4" xfId="52557" xr:uid="{0A31EC00-E719-4F00-9182-0F4F07195F15}"/>
    <cellStyle name="Comma 3 3 3 5 4 5" xfId="55573" xr:uid="{91C3F377-E8B3-4699-A91E-7E84AA94093D}"/>
    <cellStyle name="Comma 3 3 3 5 4 6" xfId="19392" xr:uid="{C6587A60-C0EB-4208-8FB7-14EED4EE3A0B}"/>
    <cellStyle name="Comma 3 3 3 5 5" xfId="12704" xr:uid="{0E54D281-7AE3-47CF-9F2F-4B2A1228D0C7}"/>
    <cellStyle name="Comma 3 3 3 5 5 2" xfId="47617" xr:uid="{8FB9884F-BBC8-4868-8CC1-1C08ECC03C8C}"/>
    <cellStyle name="Comma 3 3 3 5 5 3" xfId="51126" xr:uid="{AC72FB1C-9D6F-4568-AA16-A26A9196CE1F}"/>
    <cellStyle name="Comma 3 3 3 5 5 4" xfId="54142" xr:uid="{152AB72E-DD0B-4D3A-BB7E-4AD492FDAF59}"/>
    <cellStyle name="Comma 3 3 3 5 5 5" xfId="21962" xr:uid="{FA0CA9B3-769F-460C-AAD8-EDD60DE13F3D}"/>
    <cellStyle name="Comma 3 3 3 5 6" xfId="47733" xr:uid="{D09EFA21-387E-4799-91EA-9705BE6020EC}"/>
    <cellStyle name="Comma 3 3 3 5 7" xfId="50020" xr:uid="{273E0CF8-43A9-4609-A144-3C137FA872AA}"/>
    <cellStyle name="Comma 3 3 3 5 8" xfId="53036" xr:uid="{222A0293-2E87-45EE-8118-C32DFA2C9D61}"/>
    <cellStyle name="Comma 3 3 3 5 9" xfId="18861" xr:uid="{D59A4335-AD78-4F97-A683-E75D93ADBDE6}"/>
    <cellStyle name="Comma 3 3 3 6" xfId="10565" xr:uid="{6485B72D-226C-4E85-95A9-574B4AF8D7E6}"/>
    <cellStyle name="Comma 3 3 3 6 2" xfId="14930" xr:uid="{FC93FEFF-8C62-4DD6-B03E-3149BDF3BC4D}"/>
    <cellStyle name="Comma 3 3 3 6 2 2" xfId="22477" xr:uid="{8B8D1E7C-D447-4860-91A5-F8ABFDC06FE1}"/>
    <cellStyle name="Comma 3 3 3 6 2 3" xfId="32521" xr:uid="{C0368285-EA30-4882-84ED-5E67BA9374F3}"/>
    <cellStyle name="Comma 3 3 3 6 2 4" xfId="51815" xr:uid="{2BCF4515-0846-4490-9B73-DCEA7CC08A52}"/>
    <cellStyle name="Comma 3 3 3 6 2 5" xfId="54831" xr:uid="{33FF3AE4-B238-4F90-BBC5-6508D21AFDB9}"/>
    <cellStyle name="Comma 3 3 3 6 2 6" xfId="19164" xr:uid="{2B3E4240-2BF1-4D84-828E-81414443D398}"/>
    <cellStyle name="Comma 3 3 3 6 3" xfId="15415" xr:uid="{37BAC104-EF3C-48AD-9940-6C5CA8E2BCF8}"/>
    <cellStyle name="Comma 3 3 3 6 3 2" xfId="22954" xr:uid="{F375C57F-D8D2-4623-B85C-3BDA3F77934E}"/>
    <cellStyle name="Comma 3 3 3 6 3 3" xfId="47994" xr:uid="{FC5390B0-3DF9-43E6-8CC6-3925BEE8975E}"/>
    <cellStyle name="Comma 3 3 3 6 3 4" xfId="52292" xr:uid="{F55F2048-C12F-46CA-A679-350360BE84CA}"/>
    <cellStyle name="Comma 3 3 3 6 3 5" xfId="55308" xr:uid="{EF6FAEC1-87E7-4426-B55B-4B734C13F3A6}"/>
    <cellStyle name="Comma 3 3 3 6 3 6" xfId="19307" xr:uid="{2CF74936-E77F-473C-8A38-695F11A06BE2}"/>
    <cellStyle name="Comma 3 3 3 6 4" xfId="15903" xr:uid="{27B211FF-78B5-41A3-8E28-67C154A0329A}"/>
    <cellStyle name="Comma 3 3 3 6 4 2" xfId="23431" xr:uid="{34059942-2EA1-46BA-A174-798C7980C347}"/>
    <cellStyle name="Comma 3 3 3 6 4 3" xfId="46603" xr:uid="{D555B147-DF03-47D8-8CDA-7BFD029AD103}"/>
    <cellStyle name="Comma 3 3 3 6 4 4" xfId="52769" xr:uid="{385ECD1C-DE04-4431-B73A-14853E7435CB}"/>
    <cellStyle name="Comma 3 3 3 6 4 5" xfId="55785" xr:uid="{BB9AE658-C3F3-4891-B50E-D3B536A9BE52}"/>
    <cellStyle name="Comma 3 3 3 6 4 6" xfId="19453" xr:uid="{47ECC57C-7F94-44E3-ABD4-832EE8C9D3A9}"/>
    <cellStyle name="Comma 3 3 3 6 5" xfId="13018" xr:uid="{CBED4B7B-3B0B-43E3-AEA9-E572888DB735}"/>
    <cellStyle name="Comma 3 3 3 6 5 2" xfId="47149" xr:uid="{5D596B3F-01FE-4D63-BA32-6B2A73749E28}"/>
    <cellStyle name="Comma 3 3 3 6 5 3" xfId="51338" xr:uid="{64A1478C-4CCA-4E49-9B6F-A902FA536E25}"/>
    <cellStyle name="Comma 3 3 3 6 5 4" xfId="54354" xr:uid="{D7480236-6649-4E24-956F-915884E70180}"/>
    <cellStyle name="Comma 3 3 3 6 5 5" xfId="22022" xr:uid="{06622FFD-7B6D-4EF9-9EDD-A52E4FFAD44C}"/>
    <cellStyle name="Comma 3 3 3 6 6" xfId="46150" xr:uid="{8C1B44F3-2C26-4611-9D3B-4FE2D67D9900}"/>
    <cellStyle name="Comma 3 3 3 6 7" xfId="50232" xr:uid="{EC5FBAB5-22BC-4ED9-B80E-689DCD72AE63}"/>
    <cellStyle name="Comma 3 3 3 6 8" xfId="53248" xr:uid="{B6B1074C-1522-47B4-829C-8FA6099D2025}"/>
    <cellStyle name="Comma 3 3 3 6 9" xfId="19023" xr:uid="{D28070CD-0479-4B10-9E60-C889DCC1FB64}"/>
    <cellStyle name="Comma 3 3 3 7" xfId="14506" xr:uid="{7405EDE2-7371-4DB5-BE2F-3DB023596673}"/>
    <cellStyle name="Comma 3 3 3 7 2" xfId="22053" xr:uid="{300549FE-E8C2-4387-A9D1-A298CB517107}"/>
    <cellStyle name="Comma 3 3 3 7 3" xfId="24750" xr:uid="{17FA16E2-6322-49BD-897B-C00FA2E1684B}"/>
    <cellStyle name="Comma 3 3 3 7 4" xfId="51391" xr:uid="{99455F11-896B-423A-919A-681D27C4C54A}"/>
    <cellStyle name="Comma 3 3 3 7 5" xfId="54407" xr:uid="{2F0B5A14-5567-40D3-AAC1-14AA91D76AA3}"/>
    <cellStyle name="Comma 3 3 3 7 6" xfId="19044" xr:uid="{D7A1B955-A73D-4B86-B532-0325CD189E90}"/>
    <cellStyle name="Comma 3 3 3 8" xfId="14990" xr:uid="{41225DB7-ABFF-4DEE-A45A-7FF91F140B2B}"/>
    <cellStyle name="Comma 3 3 3 8 2" xfId="22530" xr:uid="{D9568C7E-F684-4256-9EED-431E99A95EC9}"/>
    <cellStyle name="Comma 3 3 3 8 3" xfId="36969" xr:uid="{FC1EAB32-4043-4F3A-8769-1862AE470B3C}"/>
    <cellStyle name="Comma 3 3 3 8 4" xfId="51868" xr:uid="{793B9113-83D9-4682-8140-BAD935B0BFE0}"/>
    <cellStyle name="Comma 3 3 3 8 5" xfId="54884" xr:uid="{5EEBC82E-8D69-4E71-86B4-521A54DEF979}"/>
    <cellStyle name="Comma 3 3 3 8 6" xfId="19186" xr:uid="{8EA46138-49A8-40E7-B6E3-DC4B612850D7}"/>
    <cellStyle name="Comma 3 3 3 9" xfId="15477" xr:uid="{66E9418F-F785-4A45-A73D-33E518FCBD22}"/>
    <cellStyle name="Comma 3 3 3 9 2" xfId="23007" xr:uid="{D75E41EC-19FC-45AF-949D-B86CC4B431F4}"/>
    <cellStyle name="Comma 3 3 3 9 3" xfId="47405" xr:uid="{E3FD8366-ECEC-4120-9CEC-B23342D54BB0}"/>
    <cellStyle name="Comma 3 3 3 9 4" xfId="52345" xr:uid="{D8BE0392-760C-44B0-B915-DDE5BC3E05D8}"/>
    <cellStyle name="Comma 3 3 3 9 5" xfId="55361" xr:uid="{9C5266A7-563D-4629-997C-19260FA42D5E}"/>
    <cellStyle name="Comma 3 3 3 9 6" xfId="19331" xr:uid="{A698ED39-8208-4416-AFDB-7D28E581CEEA}"/>
    <cellStyle name="Comma 3 3 4" xfId="11112" xr:uid="{DFCD2D05-3DAC-432E-9152-9D8BA570DB5B}"/>
    <cellStyle name="Comma 3 3 4 2" xfId="23747" xr:uid="{6E611245-FBFD-4D91-981F-ED6B08059DDC}"/>
    <cellStyle name="Comma 3 3 4 3" xfId="48630" xr:uid="{2A0961AF-738E-4687-98BF-97EDBF150428}"/>
    <cellStyle name="Comma 3 3 4 4" xfId="49538" xr:uid="{BCDE7195-5CBD-42C1-923A-598089813C56}"/>
    <cellStyle name="Comma 3 3 5" xfId="11192" xr:uid="{256FC43C-32AD-42FA-99A7-C192B2270913}"/>
    <cellStyle name="Comma 3 3 5 2" xfId="21688" xr:uid="{4C6436F3-F4FA-422B-B084-77D1012DF2B6}"/>
    <cellStyle name="Comma 3 3 5 2 2" xfId="32694" xr:uid="{46333BDC-03D0-4871-9F21-4CFA692EF596}"/>
    <cellStyle name="Comma 3 3 5 3" xfId="23748" xr:uid="{36842305-2662-49BF-AC6D-A65284A22E41}"/>
    <cellStyle name="Comma 3 3 5 4" xfId="48261" xr:uid="{6893E750-3913-40D0-A442-FBEA1395EA7C}"/>
    <cellStyle name="Comma 3 3 5 5" xfId="48631" xr:uid="{7A293959-53A6-4882-92BC-104425526E3A}"/>
    <cellStyle name="Comma 3 3 5 6" xfId="49539" xr:uid="{B57615E7-8677-4BE8-986C-C79AA8D0D793}"/>
    <cellStyle name="Comma 3 3 5 7" xfId="50705" xr:uid="{C39EE896-E6AF-4F62-AC9D-B596BA9ECA41}"/>
    <cellStyle name="Comma 3 3 5 8" xfId="53721" xr:uid="{BB9611B1-A5B8-4641-A0B9-C1DDF65A6933}"/>
    <cellStyle name="Comma 3 3 5 9" xfId="18052" xr:uid="{0C935752-2376-4595-BA82-3A89F8780843}"/>
    <cellStyle name="Comma 3 3 6" xfId="19485" xr:uid="{20A56775-E6ED-4ED0-A51A-E6CA5AC7DE70}"/>
    <cellStyle name="Comma 3 3 7" xfId="23743" xr:uid="{46D3B892-8321-4AD1-BCF3-258CDA314819}"/>
    <cellStyle name="Comma 3 3 8" xfId="48626" xr:uid="{55A48823-B91D-43EA-A12F-7252F8E004B6}"/>
    <cellStyle name="Comma 3 3 9" xfId="49534" xr:uid="{7C8BFF26-FFD5-44B0-881E-01F228DC722E}"/>
    <cellStyle name="Comma 3 4" xfId="4539" xr:uid="{71A932D2-D02C-488C-BB3C-BCD87EF333E9}"/>
    <cellStyle name="Comma 3 4 10" xfId="14991" xr:uid="{ED2A4FBC-9561-452F-A573-5D1D6EB0D787}"/>
    <cellStyle name="Comma 3 4 10 2" xfId="22531" xr:uid="{E1737E73-179B-4AC2-97F5-C487036F9C01}"/>
    <cellStyle name="Comma 3 4 10 3" xfId="47245" xr:uid="{F5CBF516-FAF7-420A-8E76-B4D6E396F04B}"/>
    <cellStyle name="Comma 3 4 10 4" xfId="51869" xr:uid="{40B9539C-161C-436A-92B1-EC8120AAA55C}"/>
    <cellStyle name="Comma 3 4 10 5" xfId="54885" xr:uid="{C458F09E-CF4B-4A5A-9953-B03C7120DC28}"/>
    <cellStyle name="Comma 3 4 11" xfId="15478" xr:uid="{9C3B7B86-88CC-4442-8A22-2C0FABE52A41}"/>
    <cellStyle name="Comma 3 4 11 2" xfId="23008" xr:uid="{AEA62A68-97F5-4D53-92E9-5CC5A3A0B95F}"/>
    <cellStyle name="Comma 3 4 11 3" xfId="46925" xr:uid="{F2B9DC96-9904-4B12-984D-1A9BAC4808FF}"/>
    <cellStyle name="Comma 3 4 11 4" xfId="52346" xr:uid="{030F6FC9-5542-4A2F-BEF6-C56DD5F1F2AD}"/>
    <cellStyle name="Comma 3 4 11 5" xfId="55362" xr:uid="{7D00AA2C-D034-45A9-8B8C-FD5F4FC04AE5}"/>
    <cellStyle name="Comma 3 4 12" xfId="11583" xr:uid="{622F648B-AF3B-4146-9A29-70F6FA94756B}"/>
    <cellStyle name="Comma 3 4 12 2" xfId="21707" xr:uid="{EB87296F-A595-4FF4-8A63-03348BF0CC6A}"/>
    <cellStyle name="Comma 3 4 12 3" xfId="47460" xr:uid="{B01BC2D8-7C45-43F8-B273-7C66B3B8A593}"/>
    <cellStyle name="Comma 3 4 12 4" xfId="50730" xr:uid="{60BFEB3C-BC3D-4A99-9BA8-876D36C1D510}"/>
    <cellStyle name="Comma 3 4 12 5" xfId="53746" xr:uid="{FC8B1F32-DEC0-49E5-80A4-EBAD2BD064D5}"/>
    <cellStyle name="Comma 3 4 13" xfId="23749" xr:uid="{D3A9EAA0-99AD-4BAC-8040-95CFDE185E85}"/>
    <cellStyle name="Comma 3 4 14" xfId="48632" xr:uid="{FB648E90-5919-4003-B0A9-29D9570C3FAD}"/>
    <cellStyle name="Comma 3 4 15" xfId="49540" xr:uid="{0A9B0C9A-C632-49FF-BE0D-FA7A448E924A}"/>
    <cellStyle name="Comma 3 4 16" xfId="49809" xr:uid="{57127994-A601-4D83-A9A2-9A3E66323EEE}"/>
    <cellStyle name="Comma 3 4 17" xfId="52824" xr:uid="{F1FCE6CA-18CB-44B9-B617-9694D1C41B9A}"/>
    <cellStyle name="Comma 3 4 18" xfId="8932" xr:uid="{1FA12F2A-AC65-4DA7-8143-36D2E28ADE59}"/>
    <cellStyle name="Comma 3 4 2" xfId="8933" xr:uid="{763287C9-5089-44C3-97A8-317092DD2B7D}"/>
    <cellStyle name="Comma 3 4 2 10" xfId="12315" xr:uid="{ED489027-2A7E-4F81-B945-E49D4A0679EB}"/>
    <cellStyle name="Comma 3 4 2 10 2" xfId="48436" xr:uid="{21ACA085-A838-41AE-B7FF-9A4C2F1F5999}"/>
    <cellStyle name="Comma 3 4 2 10 3" xfId="50944" xr:uid="{CB4C31AE-2044-4BEC-8925-845C01DD1071}"/>
    <cellStyle name="Comma 3 4 2 10 4" xfId="53960" xr:uid="{223D77EC-8BCE-4CEE-BE7F-E4294A562449}"/>
    <cellStyle name="Comma 3 4 2 11" xfId="23750" xr:uid="{9DF17000-BC21-4F75-B0E4-84A13C44C4A9}"/>
    <cellStyle name="Comma 3 4 2 12" xfId="48633" xr:uid="{47F55BB3-5476-4A71-A535-AD631402A134}"/>
    <cellStyle name="Comma 3 4 2 13" xfId="49541" xr:uid="{D44C9EDA-6FBE-48E4-BB64-408E8B05968C}"/>
    <cellStyle name="Comma 3 4 2 14" xfId="49810" xr:uid="{57B2AA74-93B9-4761-BCC5-0D9CF74F596B}"/>
    <cellStyle name="Comma 3 4 2 15" xfId="52825" xr:uid="{088E5F18-4D56-4A6A-A769-C0982E6D24DA}"/>
    <cellStyle name="Comma 3 4 2 2" xfId="10020" xr:uid="{22C206C7-3E86-4218-AA9F-358F8B2A9D1D}"/>
    <cellStyle name="Comma 3 4 2 2 2" xfId="10328" xr:uid="{2BFA08FD-3C20-4F44-BA96-7C1EADA7E1B4}"/>
    <cellStyle name="Comma 3 4 2 2 2 2" xfId="14773" xr:uid="{77EAFF02-B3E5-42E7-BC87-711187C05A45}"/>
    <cellStyle name="Comma 3 4 2 2 2 2 2" xfId="22320" xr:uid="{B583A9FA-ED78-4945-9046-1F4455352D76}"/>
    <cellStyle name="Comma 3 4 2 2 2 2 3" xfId="48408" xr:uid="{CAD28C93-1020-4E15-A8A7-8F20C139EB76}"/>
    <cellStyle name="Comma 3 4 2 2 2 2 4" xfId="51658" xr:uid="{14DABCB8-33C9-4B87-ABCF-60BD2243F058}"/>
    <cellStyle name="Comma 3 4 2 2 2 2 5" xfId="54674" xr:uid="{0A3E34AB-5983-4C19-841C-C5320EA746F5}"/>
    <cellStyle name="Comma 3 4 2 2 2 3" xfId="15258" xr:uid="{1E7CA7EA-1ED3-4F0B-B5A3-8945B90DE5C1}"/>
    <cellStyle name="Comma 3 4 2 2 2 3 2" xfId="22797" xr:uid="{70F83976-AD8D-43AC-861F-41EEA0C7D1E2}"/>
    <cellStyle name="Comma 3 4 2 2 2 3 3" xfId="47435" xr:uid="{36693BDB-F706-4B60-89C1-14914BE94970}"/>
    <cellStyle name="Comma 3 4 2 2 2 3 4" xfId="52135" xr:uid="{AFCC18FC-60AD-4223-A8A6-A648EEF9ACD2}"/>
    <cellStyle name="Comma 3 4 2 2 2 3 5" xfId="55151" xr:uid="{000AA5B4-865F-4868-A089-1A22EED26944}"/>
    <cellStyle name="Comma 3 4 2 2 2 4" xfId="15745" xr:uid="{E89B912C-2584-4863-9F3A-A8F4132C4C34}"/>
    <cellStyle name="Comma 3 4 2 2 2 4 2" xfId="23274" xr:uid="{38899316-593A-413B-8E05-ED241485478E}"/>
    <cellStyle name="Comma 3 4 2 2 2 4 3" xfId="46701" xr:uid="{16A32DAD-F199-4C29-85D5-4BE9CDAE29C8}"/>
    <cellStyle name="Comma 3 4 2 2 2 4 4" xfId="52612" xr:uid="{542AD63B-9400-49BF-85DD-89F2DA2366C1}"/>
    <cellStyle name="Comma 3 4 2 2 2 4 5" xfId="55628" xr:uid="{0452861F-9C68-48B9-BD87-62AC7BD53C2C}"/>
    <cellStyle name="Comma 3 4 2 2 2 5" xfId="12781" xr:uid="{54A2CFBB-2205-4EE1-ADDE-D1AFB8E55A6E}"/>
    <cellStyle name="Comma 3 4 2 2 2 5 2" xfId="48397" xr:uid="{C54B33B3-F6D9-4644-80E9-211D52A95F89}"/>
    <cellStyle name="Comma 3 4 2 2 2 5 3" xfId="51181" xr:uid="{38DDCDA8-68C8-4209-AF23-0EE74E565F4E}"/>
    <cellStyle name="Comma 3 4 2 2 2 5 4" xfId="54197" xr:uid="{C7A34ADB-AE74-420F-A4A5-97F122D8A6F6}"/>
    <cellStyle name="Comma 3 4 2 2 2 6" xfId="47952" xr:uid="{00F7ED25-4A61-4D4A-B86D-3512D6CF3F80}"/>
    <cellStyle name="Comma 3 4 2 2 2 7" xfId="50075" xr:uid="{41B58AEC-B1F0-4125-8D39-09F27EA33863}"/>
    <cellStyle name="Comma 3 4 2 2 2 8" xfId="53091" xr:uid="{EF793822-58F6-4498-B359-9CFFC6B9AB1F}"/>
    <cellStyle name="Comma 3 4 2 2 3" xfId="14561" xr:uid="{8DFF658C-56B3-4944-9EAD-C5CB41EDD714}"/>
    <cellStyle name="Comma 3 4 2 2 3 2" xfId="22108" xr:uid="{022C4634-2258-4755-9ABA-150F792A7DAA}"/>
    <cellStyle name="Comma 3 4 2 2 3 3" xfId="46835" xr:uid="{15110B1E-5A51-4616-B6AB-D921C421BF2C}"/>
    <cellStyle name="Comma 3 4 2 2 3 4" xfId="51446" xr:uid="{AD08008D-9BFB-4058-94A1-ED6D9067D983}"/>
    <cellStyle name="Comma 3 4 2 2 3 5" xfId="54462" xr:uid="{A64FFAEC-3457-4FC2-8196-0FCBF88A6958}"/>
    <cellStyle name="Comma 3 4 2 2 4" xfId="15045" xr:uid="{7DAC3872-1050-44CC-B33A-E2843F475F6A}"/>
    <cellStyle name="Comma 3 4 2 2 4 2" xfId="22585" xr:uid="{3CBAE5A8-AE99-473F-9D89-9F6CCED6539C}"/>
    <cellStyle name="Comma 3 4 2 2 4 3" xfId="46471" xr:uid="{2B0D166D-401A-40CB-B06D-8C8A87A63800}"/>
    <cellStyle name="Comma 3 4 2 2 4 4" xfId="51923" xr:uid="{1BB49252-5F71-414C-9C55-3CC84E475508}"/>
    <cellStyle name="Comma 3 4 2 2 4 5" xfId="54939" xr:uid="{E1CAC50D-94E5-4437-9D7E-1E22208B385C}"/>
    <cellStyle name="Comma 3 4 2 2 5" xfId="15532" xr:uid="{092B7C0F-7EFD-49E8-8492-397D28025518}"/>
    <cellStyle name="Comma 3 4 2 2 5 2" xfId="23062" xr:uid="{A537EF94-B5A2-45B6-8690-4319C2488515}"/>
    <cellStyle name="Comma 3 4 2 2 5 3" xfId="47725" xr:uid="{56A69840-C500-4631-9583-BFFED830B74C}"/>
    <cellStyle name="Comma 3 4 2 2 5 4" xfId="52400" xr:uid="{8F65917C-F532-4942-AA57-FDFB9179FD92}"/>
    <cellStyle name="Comma 3 4 2 2 5 5" xfId="55416" xr:uid="{E26D1D1A-974A-497A-BA02-F59EE7A4BD55}"/>
    <cellStyle name="Comma 3 4 2 2 6" xfId="12480" xr:uid="{22100769-F68F-4534-8C9C-9F4674845A44}"/>
    <cellStyle name="Comma 3 4 2 2 6 2" xfId="46311" xr:uid="{04F5EEF7-EBD0-48A4-B71A-2A492E736DC4}"/>
    <cellStyle name="Comma 3 4 2 2 6 3" xfId="50969" xr:uid="{0E009CC3-DB98-42A9-A629-45DE10385FD3}"/>
    <cellStyle name="Comma 3 4 2 2 6 4" xfId="53985" xr:uid="{CE1B6A0F-2749-49DC-A9A5-A2C66643E94B}"/>
    <cellStyle name="Comma 3 4 2 2 7" xfId="48148" xr:uid="{8410D68E-D908-45E2-B2CC-FBFD3CF0D0FC}"/>
    <cellStyle name="Comma 3 4 2 2 8" xfId="49863" xr:uid="{3A6D7A21-87ED-492C-9082-1A5B3206F856}"/>
    <cellStyle name="Comma 3 4 2 2 9" xfId="52879" xr:uid="{9A9D9236-D8D6-4C15-A0F4-38D69C5B4212}"/>
    <cellStyle name="Comma 3 4 2 3" xfId="10094" xr:uid="{E3F43E40-7BE2-46B4-90C2-490E5692FE10}"/>
    <cellStyle name="Comma 3 4 2 3 2" xfId="10407" xr:uid="{00A1894E-BCF6-43F4-9632-36F69051AA9A}"/>
    <cellStyle name="Comma 3 4 2 3 2 2" xfId="14826" xr:uid="{D7FABABA-EF5F-41EE-9876-278F45B33253}"/>
    <cellStyle name="Comma 3 4 2 3 2 2 2" xfId="22373" xr:uid="{005A0D2D-679E-4504-B2AA-1A5B4B7853C1}"/>
    <cellStyle name="Comma 3 4 2 3 2 2 3" xfId="46440" xr:uid="{DE675E33-E446-4941-865E-FE2683B4E4E4}"/>
    <cellStyle name="Comma 3 4 2 3 2 2 4" xfId="51711" xr:uid="{1A42DA7A-9D15-4F8D-8857-584DB81DC6E8}"/>
    <cellStyle name="Comma 3 4 2 3 2 2 5" xfId="54727" xr:uid="{B6282C08-4387-4085-BAB2-08C89B7FB1AE}"/>
    <cellStyle name="Comma 3 4 2 3 2 3" xfId="15311" xr:uid="{FAAA0338-5E0D-4C90-A901-2A56D15FC102}"/>
    <cellStyle name="Comma 3 4 2 3 2 3 2" xfId="22850" xr:uid="{DBDB2B93-C9D3-441E-840A-2549AEFFB5E8}"/>
    <cellStyle name="Comma 3 4 2 3 2 3 3" xfId="48073" xr:uid="{FDC7FF67-8B07-45A5-921B-6CB12B7C74E4}"/>
    <cellStyle name="Comma 3 4 2 3 2 3 4" xfId="52188" xr:uid="{1066BBB8-343A-4E1A-86C7-8F2A806100AD}"/>
    <cellStyle name="Comma 3 4 2 3 2 3 5" xfId="55204" xr:uid="{F33103DF-462F-4813-8E91-467B162FC51F}"/>
    <cellStyle name="Comma 3 4 2 3 2 4" xfId="15798" xr:uid="{BB549376-ADD3-4AEC-969F-BEDCB1897F2E}"/>
    <cellStyle name="Comma 3 4 2 3 2 4 2" xfId="23327" xr:uid="{4AB43199-5B7C-45A5-9234-5074F1529E25}"/>
    <cellStyle name="Comma 3 4 2 3 2 4 3" xfId="48230" xr:uid="{64B1EEB2-2D02-4F4D-96CB-6FA9889F7EB2}"/>
    <cellStyle name="Comma 3 4 2 3 2 4 4" xfId="52665" xr:uid="{917119F2-AFAF-459F-AF0C-2A1C6BE8511A}"/>
    <cellStyle name="Comma 3 4 2 3 2 4 5" xfId="55681" xr:uid="{E9464B4B-F236-4261-B389-CFFE0F687684}"/>
    <cellStyle name="Comma 3 4 2 3 2 5" xfId="12860" xr:uid="{2F0C3088-39E9-4750-9FC6-07B3973E4955}"/>
    <cellStyle name="Comma 3 4 2 3 2 5 2" xfId="47511" xr:uid="{BB565BDD-1438-424A-BC4B-58BAAE663B34}"/>
    <cellStyle name="Comma 3 4 2 3 2 5 3" xfId="51234" xr:uid="{A616629A-AFD7-4AD4-9D7E-B8C6343DD9FB}"/>
    <cellStyle name="Comma 3 4 2 3 2 5 4" xfId="54250" xr:uid="{43E4964D-836B-4972-A418-4D09DC774E02}"/>
    <cellStyle name="Comma 3 4 2 3 2 6" xfId="47287" xr:uid="{43BC7F5A-EC16-4EB0-9418-CA3E47B4573B}"/>
    <cellStyle name="Comma 3 4 2 3 2 7" xfId="50128" xr:uid="{6A25B6A9-A5FF-40F2-957A-8D604D19A91D}"/>
    <cellStyle name="Comma 3 4 2 3 2 8" xfId="53144" xr:uid="{A93C4B74-1212-4E30-B732-37597EED8734}"/>
    <cellStyle name="Comma 3 4 2 3 3" xfId="14614" xr:uid="{E3EC9CF1-47AF-4062-8182-429E77B8FB29}"/>
    <cellStyle name="Comma 3 4 2 3 3 2" xfId="22161" xr:uid="{A781ABB8-A824-47F9-A924-CA0C3351A02D}"/>
    <cellStyle name="Comma 3 4 2 3 3 3" xfId="35909" xr:uid="{2F478657-22EF-4153-A6F9-6F60B2F47511}"/>
    <cellStyle name="Comma 3 4 2 3 3 4" xfId="51499" xr:uid="{D5BF9141-D9EE-42D6-A9CF-CDE8563DD769}"/>
    <cellStyle name="Comma 3 4 2 3 3 5" xfId="54515" xr:uid="{2DC4D28A-E4D8-416A-84B0-8198D66BD78D}"/>
    <cellStyle name="Comma 3 4 2 3 4" xfId="15099" xr:uid="{6CF69834-4755-4EA6-A4C7-6303742772B9}"/>
    <cellStyle name="Comma 3 4 2 3 4 2" xfId="22638" xr:uid="{2EDC0881-28CF-4551-B7B4-48F9D57B0B16}"/>
    <cellStyle name="Comma 3 4 2 3 4 3" xfId="48216" xr:uid="{74783FCF-98F8-404F-AB5C-DCEEBDD890E1}"/>
    <cellStyle name="Comma 3 4 2 3 4 4" xfId="51976" xr:uid="{2B2438DB-0910-49D3-B74F-EB6B1DC143A0}"/>
    <cellStyle name="Comma 3 4 2 3 4 5" xfId="54992" xr:uid="{BDF0D875-44CC-46D1-A77C-9DF848224421}"/>
    <cellStyle name="Comma 3 4 2 3 5" xfId="15586" xr:uid="{9422CEBA-AAB6-4895-BB0A-31A2214CD982}"/>
    <cellStyle name="Comma 3 4 2 3 5 2" xfId="23115" xr:uid="{8D7D5DA0-8EBB-4B20-927E-3FBEA4A069F0}"/>
    <cellStyle name="Comma 3 4 2 3 5 3" xfId="48518" xr:uid="{5F8A0403-4716-4457-AE58-86AB2399655C}"/>
    <cellStyle name="Comma 3 4 2 3 5 4" xfId="52453" xr:uid="{09E57278-93B5-4871-AEB4-AEA8C72928B2}"/>
    <cellStyle name="Comma 3 4 2 3 5 5" xfId="55469" xr:uid="{CC017268-4D31-42AA-AC7A-F38FFB4161AF}"/>
    <cellStyle name="Comma 3 4 2 3 6" xfId="12551" xr:uid="{12BE0BB4-E11D-4FB2-9FC2-033C3044AE75}"/>
    <cellStyle name="Comma 3 4 2 3 6 2" xfId="47987" xr:uid="{C350E50D-B24D-4427-8E1D-D8D58007C22D}"/>
    <cellStyle name="Comma 3 4 2 3 6 3" xfId="51022" xr:uid="{04082AD6-B32B-4A64-8B48-0A045BBED257}"/>
    <cellStyle name="Comma 3 4 2 3 6 4" xfId="54038" xr:uid="{40860471-8E5B-4052-A59F-3E0F20F89E3E}"/>
    <cellStyle name="Comma 3 4 2 3 7" xfId="48448" xr:uid="{2D8D9ABF-1644-4B3C-918D-B0D2DF464661}"/>
    <cellStyle name="Comma 3 4 2 3 8" xfId="49916" xr:uid="{F4F45E2C-C11C-4492-A082-63A24E3C65C9}"/>
    <cellStyle name="Comma 3 4 2 3 9" xfId="52932" xr:uid="{1D68E62C-2082-4792-AB7B-1FF93CE1B4BD}"/>
    <cellStyle name="Comma 3 4 2 4" xfId="10173" xr:uid="{B988B487-4C71-4B24-AE35-DB78DACC9F10}"/>
    <cellStyle name="Comma 3 4 2 4 2" xfId="10487" xr:uid="{1B853E01-E080-467C-88C0-A050949F5FDB}"/>
    <cellStyle name="Comma 3 4 2 4 2 2" xfId="14879" xr:uid="{F0B731D9-C96A-4E11-A131-0E2E372CC6D0}"/>
    <cellStyle name="Comma 3 4 2 4 2 2 2" xfId="22426" xr:uid="{FB2DEFE3-789E-447C-9C04-37B8AA804E24}"/>
    <cellStyle name="Comma 3 4 2 4 2 2 3" xfId="47685" xr:uid="{92B94288-C5BD-4924-85FA-F14A7C2F6EF8}"/>
    <cellStyle name="Comma 3 4 2 4 2 2 4" xfId="51764" xr:uid="{C52A2B03-29D9-424A-9464-406879B62D97}"/>
    <cellStyle name="Comma 3 4 2 4 2 2 5" xfId="54780" xr:uid="{B6134BD0-F4E4-4886-9318-31879E9E36F9}"/>
    <cellStyle name="Comma 3 4 2 4 2 3" xfId="15364" xr:uid="{1E6FD6D4-A70E-4E69-917E-D77413500FD2}"/>
    <cellStyle name="Comma 3 4 2 4 2 3 2" xfId="22903" xr:uid="{72C1DBD5-6214-4BC0-A5B8-8365AFDE1B03}"/>
    <cellStyle name="Comma 3 4 2 4 2 3 3" xfId="24442" xr:uid="{DC442453-F5B5-413E-9C43-4FE49F06601A}"/>
    <cellStyle name="Comma 3 4 2 4 2 3 4" xfId="52241" xr:uid="{43BF755D-FAE7-4688-8D3D-A09B7C75E8CF}"/>
    <cellStyle name="Comma 3 4 2 4 2 3 5" xfId="55257" xr:uid="{3BABC451-7370-4FD7-9486-8BD1C8230499}"/>
    <cellStyle name="Comma 3 4 2 4 2 4" xfId="15851" xr:uid="{F2107B36-FC40-4031-8E43-53F82F6C45C3}"/>
    <cellStyle name="Comma 3 4 2 4 2 4 2" xfId="23380" xr:uid="{B8316DA2-7162-4D35-9303-6F3DCE9A01C7}"/>
    <cellStyle name="Comma 3 4 2 4 2 4 3" xfId="48426" xr:uid="{C9DF58C5-FE4D-4A9E-8676-2F0F8B6C5252}"/>
    <cellStyle name="Comma 3 4 2 4 2 4 4" xfId="52718" xr:uid="{64913401-596B-45E5-B322-3643E41AF489}"/>
    <cellStyle name="Comma 3 4 2 4 2 4 5" xfId="55734" xr:uid="{B5B9F3DA-23CA-410E-A3E5-D961E8340373}"/>
    <cellStyle name="Comma 3 4 2 4 2 5" xfId="12940" xr:uid="{30BFD096-A5CD-442B-B5B5-5675B1C74D27}"/>
    <cellStyle name="Comma 3 4 2 4 2 5 2" xfId="47322" xr:uid="{E15DE384-35AD-4652-8418-D402DDCE12B3}"/>
    <cellStyle name="Comma 3 4 2 4 2 5 3" xfId="51287" xr:uid="{C0E0C46E-5959-4B5C-85CE-CD9D6BB85D9C}"/>
    <cellStyle name="Comma 3 4 2 4 2 5 4" xfId="54303" xr:uid="{D1642799-CE07-41EE-88E1-EEF0E735708D}"/>
    <cellStyle name="Comma 3 4 2 4 2 6" xfId="47884" xr:uid="{7088CB32-C4F7-4890-8608-1ADFA0E51B0E}"/>
    <cellStyle name="Comma 3 4 2 4 2 7" xfId="50181" xr:uid="{33E1B00B-06BA-4B85-BA02-B4257D823EE7}"/>
    <cellStyle name="Comma 3 4 2 4 2 8" xfId="53197" xr:uid="{DC9F8712-2D87-46A0-8E66-C77775557E17}"/>
    <cellStyle name="Comma 3 4 2 4 3" xfId="14667" xr:uid="{C8EC1A0F-9F20-47FF-B617-A3D662953C3C}"/>
    <cellStyle name="Comma 3 4 2 4 3 2" xfId="22214" xr:uid="{0DFFA565-A118-408B-8B00-B8A8DB6B7142}"/>
    <cellStyle name="Comma 3 4 2 4 3 3" xfId="24969" xr:uid="{50A8FE8A-661D-4FBD-913D-6410C8F4A4C4}"/>
    <cellStyle name="Comma 3 4 2 4 3 4" xfId="51552" xr:uid="{6131EF78-6754-4C59-9F8A-E7785FA7E3BF}"/>
    <cellStyle name="Comma 3 4 2 4 3 5" xfId="54568" xr:uid="{4FDDD19A-E374-4697-A196-BB99D0578C38}"/>
    <cellStyle name="Comma 3 4 2 4 4" xfId="15152" xr:uid="{395FF5B8-BB7F-4FA1-BFF9-3744E2A6A200}"/>
    <cellStyle name="Comma 3 4 2 4 4 2" xfId="22691" xr:uid="{A03AEB87-E0C8-4EB3-AE64-CC91A5C2BD0E}"/>
    <cellStyle name="Comma 3 4 2 4 4 3" xfId="47000" xr:uid="{0CB87BD3-3A7F-482F-9F66-0E35CB9080F5}"/>
    <cellStyle name="Comma 3 4 2 4 4 4" xfId="52029" xr:uid="{4BE751E7-7490-4224-87AC-D0CA28180CBE}"/>
    <cellStyle name="Comma 3 4 2 4 4 5" xfId="55045" xr:uid="{9484023F-C030-4B70-B097-718A396412D9}"/>
    <cellStyle name="Comma 3 4 2 4 5" xfId="15639" xr:uid="{9188268A-EDFD-43A7-A745-28DD7C9C5FD0}"/>
    <cellStyle name="Comma 3 4 2 4 5 2" xfId="23168" xr:uid="{B655AF50-BCE0-401B-B38B-7EB53B9C8D44}"/>
    <cellStyle name="Comma 3 4 2 4 5 3" xfId="46946" xr:uid="{574A5DAD-2122-43F4-966E-488C64B19A71}"/>
    <cellStyle name="Comma 3 4 2 4 5 4" xfId="52506" xr:uid="{07AAA794-6CDF-46C6-A542-92E27A41F97E}"/>
    <cellStyle name="Comma 3 4 2 4 5 5" xfId="55522" xr:uid="{EA1D5CB7-0383-4823-8994-D35DC7B6081D}"/>
    <cellStyle name="Comma 3 4 2 4 6" xfId="12627" xr:uid="{A075063C-2878-45FA-8FF7-FFE648053552}"/>
    <cellStyle name="Comma 3 4 2 4 6 2" xfId="24218" xr:uid="{EED03E5F-ADF9-4AD2-8205-4857364C5CC0}"/>
    <cellStyle name="Comma 3 4 2 4 6 3" xfId="51075" xr:uid="{D58EFAC4-9DBF-47B0-81AE-933FDC7BCE38}"/>
    <cellStyle name="Comma 3 4 2 4 6 4" xfId="54091" xr:uid="{3E20C538-F0AB-4A29-BFA5-97CDC5AF27E1}"/>
    <cellStyle name="Comma 3 4 2 4 7" xfId="46618" xr:uid="{CFF8252C-8688-4DAA-851A-325928E0A53F}"/>
    <cellStyle name="Comma 3 4 2 4 8" xfId="49969" xr:uid="{182050B6-47A8-4AAE-B062-DD4D6093BBA7}"/>
    <cellStyle name="Comma 3 4 2 4 9" xfId="52985" xr:uid="{C3EA2787-708D-4CA4-B2B1-A937FC29C4B0}"/>
    <cellStyle name="Comma 3 4 2 5" xfId="10253" xr:uid="{003E0F50-FBF6-4108-9608-03D8429D153D}"/>
    <cellStyle name="Comma 3 4 2 5 2" xfId="14720" xr:uid="{0C17E6A7-9F04-424B-BD53-2D605A16F193}"/>
    <cellStyle name="Comma 3 4 2 5 2 2" xfId="22267" xr:uid="{7F208E57-EEBF-4A96-98E8-84B9DFFC5667}"/>
    <cellStyle name="Comma 3 4 2 5 2 3" xfId="47928" xr:uid="{21BCE69C-D6F0-44E4-B24D-24EECC4F08E0}"/>
    <cellStyle name="Comma 3 4 2 5 2 4" xfId="51605" xr:uid="{B2E0AB0A-6E97-4F7D-976E-100064A4F01F}"/>
    <cellStyle name="Comma 3 4 2 5 2 5" xfId="54621" xr:uid="{054BD65A-8474-465A-8E2F-70D33E2D1781}"/>
    <cellStyle name="Comma 3 4 2 5 3" xfId="15205" xr:uid="{F2F22ABB-F7DD-4243-9964-0B7D75DE04D7}"/>
    <cellStyle name="Comma 3 4 2 5 3 2" xfId="22744" xr:uid="{36E635D3-3EEF-4358-8E09-0E319F5810CE}"/>
    <cellStyle name="Comma 3 4 2 5 3 3" xfId="47188" xr:uid="{0651E763-EB47-494C-B0C8-F66E8E8634BC}"/>
    <cellStyle name="Comma 3 4 2 5 3 4" xfId="52082" xr:uid="{67B79392-AE86-4192-8961-2318F99C0E9F}"/>
    <cellStyle name="Comma 3 4 2 5 3 5" xfId="55098" xr:uid="{246BC0A7-8031-46D6-9E4C-6011436F7689}"/>
    <cellStyle name="Comma 3 4 2 5 4" xfId="15692" xr:uid="{5E5106EA-7752-41A8-A411-29B59E83A506}"/>
    <cellStyle name="Comma 3 4 2 5 4 2" xfId="23221" xr:uid="{75D0DAFB-2626-4669-9E99-B4BBAADFB98A}"/>
    <cellStyle name="Comma 3 4 2 5 4 3" xfId="48228" xr:uid="{9A49520A-9D36-4BA5-BD9D-9FCE9F280A44}"/>
    <cellStyle name="Comma 3 4 2 5 4 4" xfId="52559" xr:uid="{78CA92C0-4FEF-43BD-9487-E2C41A87EAED}"/>
    <cellStyle name="Comma 3 4 2 5 4 5" xfId="55575" xr:uid="{5898402B-B8FD-46D7-8FF5-2E9E87928ADC}"/>
    <cellStyle name="Comma 3 4 2 5 5" xfId="12706" xr:uid="{45B44248-4623-4B2A-A99F-D32E13613F59}"/>
    <cellStyle name="Comma 3 4 2 5 5 2" xfId="37117" xr:uid="{3EB81B4E-8C97-4AA6-B916-E64BC85970EF}"/>
    <cellStyle name="Comma 3 4 2 5 5 3" xfId="51128" xr:uid="{C427FA1A-BFBE-4EE5-B735-9B3ED4428784}"/>
    <cellStyle name="Comma 3 4 2 5 5 4" xfId="54144" xr:uid="{66386A7E-50C0-40B7-81F1-4E1827DE7E47}"/>
    <cellStyle name="Comma 3 4 2 5 6" xfId="47652" xr:uid="{98C17139-D122-48FA-B306-A550E7502259}"/>
    <cellStyle name="Comma 3 4 2 5 7" xfId="50022" xr:uid="{2DE2183F-18A4-4D78-A36F-263525B80EE9}"/>
    <cellStyle name="Comma 3 4 2 5 8" xfId="53038" xr:uid="{983C5CD4-88B9-42C5-BA8B-AD6038ABBE64}"/>
    <cellStyle name="Comma 3 4 2 6" xfId="10567" xr:uid="{650074EA-C58E-47D2-9FED-4D7B2CB198C3}"/>
    <cellStyle name="Comma 3 4 2 6 2" xfId="14932" xr:uid="{E1406AE9-A11F-4BD5-A5E6-2DCB7C6CB4B5}"/>
    <cellStyle name="Comma 3 4 2 6 2 2" xfId="22479" xr:uid="{9D924A89-3A1F-4C70-87FA-BA20171E452A}"/>
    <cellStyle name="Comma 3 4 2 6 2 3" xfId="48214" xr:uid="{F70DE013-7B25-40CA-AA87-2A9012E50023}"/>
    <cellStyle name="Comma 3 4 2 6 2 4" xfId="51817" xr:uid="{0B0C35BC-71EE-4D03-941F-0884529411FC}"/>
    <cellStyle name="Comma 3 4 2 6 2 5" xfId="54833" xr:uid="{375BECD5-9710-4D35-B158-E0DA0247E2F4}"/>
    <cellStyle name="Comma 3 4 2 6 3" xfId="15417" xr:uid="{5D2BFD6E-B81E-46C2-82B9-31F468EB48EF}"/>
    <cellStyle name="Comma 3 4 2 6 3 2" xfId="22956" xr:uid="{16A47B9F-CA21-48CA-A621-B369427F5104}"/>
    <cellStyle name="Comma 3 4 2 6 3 3" xfId="24652" xr:uid="{880F425A-DF04-4C5D-AD35-04304CB8BFEB}"/>
    <cellStyle name="Comma 3 4 2 6 3 4" xfId="52294" xr:uid="{89D66B87-03E1-46D8-9401-76E96F3ED558}"/>
    <cellStyle name="Comma 3 4 2 6 3 5" xfId="55310" xr:uid="{02521796-F0F7-4439-BA12-BDF07D2FCE7D}"/>
    <cellStyle name="Comma 3 4 2 6 4" xfId="15905" xr:uid="{D80CFE34-8832-4883-B3D5-677065337DDB}"/>
    <cellStyle name="Comma 3 4 2 6 4 2" xfId="23433" xr:uid="{7E4D1C47-B1DE-4804-9521-B440E7A5A88B}"/>
    <cellStyle name="Comma 3 4 2 6 4 3" xfId="48427" xr:uid="{A30F224A-CAF5-4847-9125-D3525CA81F1B}"/>
    <cellStyle name="Comma 3 4 2 6 4 4" xfId="52771" xr:uid="{7CB83CA1-9AC1-4992-9A76-6AC32DB392C1}"/>
    <cellStyle name="Comma 3 4 2 6 4 5" xfId="55787" xr:uid="{8354946B-FF94-4FDF-9800-B2C5582D5E0B}"/>
    <cellStyle name="Comma 3 4 2 6 5" xfId="13020" xr:uid="{A39599A3-E16B-4E57-801B-80C970551F79}"/>
    <cellStyle name="Comma 3 4 2 6 5 2" xfId="47665" xr:uid="{C5DA2A40-E8C3-4694-8B12-4AED7A936394}"/>
    <cellStyle name="Comma 3 4 2 6 5 3" xfId="51340" xr:uid="{0A2E7A12-6931-4B2A-826F-1A0A163D3318}"/>
    <cellStyle name="Comma 3 4 2 6 5 4" xfId="54356" xr:uid="{1FADABBC-87DD-4F93-A9D5-AF39EFCA1C14}"/>
    <cellStyle name="Comma 3 4 2 6 6" xfId="25368" xr:uid="{9651B73A-D1EA-4F04-9F6D-12A3BBC48B1E}"/>
    <cellStyle name="Comma 3 4 2 6 7" xfId="50234" xr:uid="{9BC468ED-2D54-4CA7-A3A9-BD35F2400EAD}"/>
    <cellStyle name="Comma 3 4 2 6 8" xfId="53250" xr:uid="{33DDE9E1-541C-4538-B5D3-8D1263E536C7}"/>
    <cellStyle name="Comma 3 4 2 7" xfId="14508" xr:uid="{D63988EB-2A5B-4EE2-970D-A9EAAA95BF6B}"/>
    <cellStyle name="Comma 3 4 2 7 2" xfId="22055" xr:uid="{64B46941-54E6-470F-A117-5AA0BDF64AFF}"/>
    <cellStyle name="Comma 3 4 2 7 3" xfId="23977" xr:uid="{F748C02A-D00D-44FB-87D7-9C43804768E4}"/>
    <cellStyle name="Comma 3 4 2 7 4" xfId="51393" xr:uid="{797BB4BD-4A66-41C3-9FFD-E9B933FAC193}"/>
    <cellStyle name="Comma 3 4 2 7 5" xfId="54409" xr:uid="{09AABB1A-0110-488D-A7E1-6F1F172747C2}"/>
    <cellStyle name="Comma 3 4 2 8" xfId="14992" xr:uid="{11AE9B90-9D85-44A9-9D43-D96E253DCFFB}"/>
    <cellStyle name="Comma 3 4 2 8 2" xfId="22532" xr:uid="{10C4876E-C018-49A8-9920-759D66AD5AA0}"/>
    <cellStyle name="Comma 3 4 2 8 3" xfId="32512" xr:uid="{6B2961EC-44DD-438C-AD22-540CCA321A7C}"/>
    <cellStyle name="Comma 3 4 2 8 4" xfId="51870" xr:uid="{B0212375-C226-4CAC-B730-345D5AA1389B}"/>
    <cellStyle name="Comma 3 4 2 8 5" xfId="54886" xr:uid="{3CFD3184-FD6D-4874-81E9-2DFB980A0083}"/>
    <cellStyle name="Comma 3 4 2 9" xfId="15479" xr:uid="{7CF6A657-DB43-4C90-91DE-3499FD2A21D3}"/>
    <cellStyle name="Comma 3 4 2 9 2" xfId="23009" xr:uid="{EB3C9B89-7E65-49A6-90E1-A2B78DF5DB97}"/>
    <cellStyle name="Comma 3 4 2 9 3" xfId="32360" xr:uid="{FBEB1FF8-3DFB-4D99-8D59-B74DF2F176F7}"/>
    <cellStyle name="Comma 3 4 2 9 4" xfId="52347" xr:uid="{D2925376-6676-4C2B-9AFB-938562625A1A}"/>
    <cellStyle name="Comma 3 4 2 9 5" xfId="55363" xr:uid="{14D5754D-A5E3-437F-A59E-D26D108BF853}"/>
    <cellStyle name="Comma 3 4 3" xfId="10019" xr:uid="{40F33166-2725-4B77-9784-0BE8E48E9B9A}"/>
    <cellStyle name="Comma 3 4 3 2" xfId="10327" xr:uid="{8178249F-5511-4C31-BE2E-08AC7136EC19}"/>
    <cellStyle name="Comma 3 4 3 2 2" xfId="14772" xr:uid="{10C07447-2B96-4332-A74C-7FCEA1F7E75E}"/>
    <cellStyle name="Comma 3 4 3 2 2 2" xfId="22319" xr:uid="{BCAAE701-9EBC-4EF7-92D8-015450B65CCD}"/>
    <cellStyle name="Comma 3 4 3 2 2 3" xfId="24950" xr:uid="{A8D8E010-271F-42FC-9C30-1FE41EB77727}"/>
    <cellStyle name="Comma 3 4 3 2 2 4" xfId="51657" xr:uid="{DE64484E-8A94-4792-A439-13F7A62DDB31}"/>
    <cellStyle name="Comma 3 4 3 2 2 5" xfId="54673" xr:uid="{2F6CAEE0-1D7E-4A7A-BC32-1F308B4CBE71}"/>
    <cellStyle name="Comma 3 4 3 2 3" xfId="15257" xr:uid="{833DC5F6-F77D-4B1F-B88A-BEFBC018752A}"/>
    <cellStyle name="Comma 3 4 3 2 3 2" xfId="22796" xr:uid="{C43A9075-DF41-4050-AAFC-84479A3DFCE9}"/>
    <cellStyle name="Comma 3 4 3 2 3 3" xfId="46504" xr:uid="{E35AAE81-331B-49A3-9A27-9F5C15DA30B7}"/>
    <cellStyle name="Comma 3 4 3 2 3 4" xfId="52134" xr:uid="{A9A9F0D2-9438-4900-8709-23F9073116D5}"/>
    <cellStyle name="Comma 3 4 3 2 3 5" xfId="55150" xr:uid="{A98F4AA4-D412-40F2-925A-574523FB509F}"/>
    <cellStyle name="Comma 3 4 3 2 4" xfId="15744" xr:uid="{881FDB7D-E855-442C-AC7C-9DB3AD0A70B5}"/>
    <cellStyle name="Comma 3 4 3 2 4 2" xfId="23273" xr:uid="{FDA601EC-EBE3-4E46-AF45-7E490FC48CE9}"/>
    <cellStyle name="Comma 3 4 3 2 4 3" xfId="48555" xr:uid="{89CF6514-D9F6-4BBA-82F1-DF0B4A56FC57}"/>
    <cellStyle name="Comma 3 4 3 2 4 4" xfId="52611" xr:uid="{4CAB16E1-0AA4-42CF-A44C-0F53AD24CC32}"/>
    <cellStyle name="Comma 3 4 3 2 4 5" xfId="55627" xr:uid="{858D78CF-0958-4AC6-99A4-45406C6B92B0}"/>
    <cellStyle name="Comma 3 4 3 2 5" xfId="12780" xr:uid="{86B6E24A-4667-4B07-B54D-CD5221494F9E}"/>
    <cellStyle name="Comma 3 4 3 2 5 2" xfId="47020" xr:uid="{931D20B6-8BA6-4D85-ADF2-0E953C596E59}"/>
    <cellStyle name="Comma 3 4 3 2 5 3" xfId="51180" xr:uid="{4A24F3E2-C608-47B0-A53F-FFDD42ECFF08}"/>
    <cellStyle name="Comma 3 4 3 2 5 4" xfId="54196" xr:uid="{C535EBEF-998F-4EAE-B5EB-DF43C63C2C91}"/>
    <cellStyle name="Comma 3 4 3 2 6" xfId="47261" xr:uid="{C21346B4-9496-45B1-852D-4CF96C0D5D77}"/>
    <cellStyle name="Comma 3 4 3 2 7" xfId="50074" xr:uid="{1879CBAF-94A8-4D2F-BB07-F09D05F41BA4}"/>
    <cellStyle name="Comma 3 4 3 2 8" xfId="53090" xr:uid="{300A9D01-09F6-44E8-BA9D-5EEA5F8ED9BE}"/>
    <cellStyle name="Comma 3 4 3 3" xfId="14560" xr:uid="{FC94C98E-F3F2-4382-ACA1-E7B2A98E8EFC}"/>
    <cellStyle name="Comma 3 4 3 3 2" xfId="22107" xr:uid="{FD76690D-CB61-47D4-BE99-FF9E8289CB29}"/>
    <cellStyle name="Comma 3 4 3 3 3" xfId="48113" xr:uid="{4BF93D33-C9E5-40D3-9399-6E425A647ABA}"/>
    <cellStyle name="Comma 3 4 3 3 4" xfId="51445" xr:uid="{F1AA3A0B-7428-4FB1-BE12-8B729738F238}"/>
    <cellStyle name="Comma 3 4 3 3 5" xfId="54461" xr:uid="{B2273B46-B22E-4BAC-8529-29A27675F5BA}"/>
    <cellStyle name="Comma 3 4 3 4" xfId="15044" xr:uid="{CC9A5252-6107-44FB-A97A-AAC9B45F04DE}"/>
    <cellStyle name="Comma 3 4 3 4 2" xfId="22584" xr:uid="{2B580EAE-8978-423E-A054-1257AB6C6F12}"/>
    <cellStyle name="Comma 3 4 3 4 3" xfId="47668" xr:uid="{847502D5-DCA6-4E2F-97D8-8E385AEE0661}"/>
    <cellStyle name="Comma 3 4 3 4 4" xfId="51922" xr:uid="{9B778145-A9DE-4915-982B-82FFA9B10842}"/>
    <cellStyle name="Comma 3 4 3 4 5" xfId="54938" xr:uid="{6365DBFD-8E4A-4008-97E7-CB8BEA4F2509}"/>
    <cellStyle name="Comma 3 4 3 5" xfId="15531" xr:uid="{DA49F85A-332E-4615-AB46-2E3765CC9788}"/>
    <cellStyle name="Comma 3 4 3 5 2" xfId="23061" xr:uid="{2FE409F4-4B35-4601-B3F0-441DFA8F50EC}"/>
    <cellStyle name="Comma 3 4 3 5 3" xfId="46546" xr:uid="{637A1B0C-AEE3-4E30-A42C-A4C469A8C538}"/>
    <cellStyle name="Comma 3 4 3 5 4" xfId="52399" xr:uid="{C5140633-2D96-4ECC-9D74-2A3EC7CC68B7}"/>
    <cellStyle name="Comma 3 4 3 5 5" xfId="55415" xr:uid="{03953638-9837-406D-BAE6-7A0F198B68D4}"/>
    <cellStyle name="Comma 3 4 3 6" xfId="12479" xr:uid="{E91C110E-9F57-4D44-A062-AF9A935CD295}"/>
    <cellStyle name="Comma 3 4 3 6 2" xfId="48194" xr:uid="{3F2665A2-66D4-4C9C-A74D-62DA8219A6A4}"/>
    <cellStyle name="Comma 3 4 3 6 3" xfId="50968" xr:uid="{93964051-7681-4792-8680-5A932FC627AD}"/>
    <cellStyle name="Comma 3 4 3 6 4" xfId="53984" xr:uid="{EA753F26-695C-4508-B3C2-3B14B76E3FBD}"/>
    <cellStyle name="Comma 3 4 3 7" xfId="46025" xr:uid="{E2A419AC-F26C-432B-BE49-13FB6513FB79}"/>
    <cellStyle name="Comma 3 4 3 8" xfId="49862" xr:uid="{06B038AF-754B-4DEC-80BB-B6C9C1B1F8E0}"/>
    <cellStyle name="Comma 3 4 3 9" xfId="52878" xr:uid="{D863717D-47AA-464D-9962-65C8D600CFE7}"/>
    <cellStyle name="Comma 3 4 4" xfId="10093" xr:uid="{DDBAABA2-D921-461E-A5D8-884BAE968452}"/>
    <cellStyle name="Comma 3 4 4 2" xfId="10406" xr:uid="{EE2B9EAF-B23D-4F13-A666-F7F892C041FC}"/>
    <cellStyle name="Comma 3 4 4 2 2" xfId="14825" xr:uid="{3C5E81AB-FF2B-414F-95C0-D96A40BCE879}"/>
    <cellStyle name="Comma 3 4 4 2 2 2" xfId="22372" xr:uid="{AAC7A977-879C-4542-B124-5CAC34FBA820}"/>
    <cellStyle name="Comma 3 4 4 2 2 3" xfId="47630" xr:uid="{300DC469-B0FD-4C6D-811D-2C780F53FF73}"/>
    <cellStyle name="Comma 3 4 4 2 2 4" xfId="51710" xr:uid="{6F6FCBA5-68ED-4474-BCD6-555C4D37476B}"/>
    <cellStyle name="Comma 3 4 4 2 2 5" xfId="54726" xr:uid="{41DB8A51-9C9F-4882-96CF-38B1D44C539E}"/>
    <cellStyle name="Comma 3 4 4 2 3" xfId="15310" xr:uid="{C082ABE6-389F-43A2-B055-5A447CDD80BD}"/>
    <cellStyle name="Comma 3 4 4 2 3 2" xfId="22849" xr:uid="{7E3BF5CD-D2B4-415D-9BED-7659A77B1086}"/>
    <cellStyle name="Comma 3 4 4 2 3 3" xfId="46906" xr:uid="{FD90B646-DEDB-4D8B-8114-5A9AA7369899}"/>
    <cellStyle name="Comma 3 4 4 2 3 4" xfId="52187" xr:uid="{980C9FAE-7814-4712-AE08-343B610DB155}"/>
    <cellStyle name="Comma 3 4 4 2 3 5" xfId="55203" xr:uid="{49696943-CA76-4155-953F-7DDA11B03BD9}"/>
    <cellStyle name="Comma 3 4 4 2 4" xfId="15797" xr:uid="{EC60D4BE-BE8C-41F3-A814-35310E0A58DD}"/>
    <cellStyle name="Comma 3 4 4 2 4 2" xfId="23326" xr:uid="{4A53BD3F-A986-4681-A64B-8B3D39F4BC01}"/>
    <cellStyle name="Comma 3 4 4 2 4 3" xfId="32358" xr:uid="{1152FD04-6860-4176-A330-D19B7F992D80}"/>
    <cellStyle name="Comma 3 4 4 2 4 4" xfId="52664" xr:uid="{6A23CA87-2E7F-45C0-A387-D0DBF2B0D6C7}"/>
    <cellStyle name="Comma 3 4 4 2 4 5" xfId="55680" xr:uid="{1CA31F34-7717-4B17-8458-6319BC0DC5EA}"/>
    <cellStyle name="Comma 3 4 4 2 5" xfId="12859" xr:uid="{679C3CDA-C57B-4C50-B9F4-334F5CFC1A53}"/>
    <cellStyle name="Comma 3 4 4 2 5 2" xfId="46996" xr:uid="{3160FF7F-03F7-4DC0-83C9-46C22C36F166}"/>
    <cellStyle name="Comma 3 4 4 2 5 3" xfId="51233" xr:uid="{71CC360B-39DC-4F94-90CD-A0CC1B361F73}"/>
    <cellStyle name="Comma 3 4 4 2 5 4" xfId="54249" xr:uid="{16EECDCC-2F4D-4732-A081-045CDE8E037F}"/>
    <cellStyle name="Comma 3 4 4 2 6" xfId="46111" xr:uid="{80B46524-F193-4A13-AD70-7455021F5EAD}"/>
    <cellStyle name="Comma 3 4 4 2 7" xfId="50127" xr:uid="{D690FECC-03D8-4D21-8649-035AB6DAEF77}"/>
    <cellStyle name="Comma 3 4 4 2 8" xfId="53143" xr:uid="{88EA8A3A-4FF3-4A6F-9B13-0098A871163E}"/>
    <cellStyle name="Comma 3 4 4 3" xfId="14613" xr:uid="{2369CFA5-1830-40F6-8127-3220796E6A0E}"/>
    <cellStyle name="Comma 3 4 4 3 2" xfId="22160" xr:uid="{F4AA83A7-BB41-44B0-9FA4-4012D991CC81}"/>
    <cellStyle name="Comma 3 4 4 3 3" xfId="47177" xr:uid="{C73464C8-1891-4849-98FE-36623B6E357C}"/>
    <cellStyle name="Comma 3 4 4 3 4" xfId="51498" xr:uid="{E45C4434-7A32-465C-953A-39A40358823D}"/>
    <cellStyle name="Comma 3 4 4 3 5" xfId="54514" xr:uid="{A614D597-50D4-4207-B522-52B4ED741FA1}"/>
    <cellStyle name="Comma 3 4 4 4" xfId="15098" xr:uid="{867E9E00-F682-46FA-881A-630C0E938423}"/>
    <cellStyle name="Comma 3 4 4 4 2" xfId="22637" xr:uid="{3EE1FCE5-2045-4C73-8157-0B94F6512144}"/>
    <cellStyle name="Comma 3 4 4 4 3" xfId="48262" xr:uid="{1B3719B4-0331-4175-8CF9-BE35FE72C3D8}"/>
    <cellStyle name="Comma 3 4 4 4 4" xfId="51975" xr:uid="{D3A2A2E1-1ED8-4BED-9848-E6B578AF7905}"/>
    <cellStyle name="Comma 3 4 4 4 5" xfId="54991" xr:uid="{A43DC3DD-5E7C-4110-95FC-32CC54ACCFE9}"/>
    <cellStyle name="Comma 3 4 4 5" xfId="15585" xr:uid="{504AE22C-D267-474F-81C7-AF2738365850}"/>
    <cellStyle name="Comma 3 4 4 5 2" xfId="23114" xr:uid="{6DF4A82B-744D-46E4-B8A4-E35FF24A5EF0}"/>
    <cellStyle name="Comma 3 4 4 5 3" xfId="47498" xr:uid="{2D67084B-2552-4157-AE93-C018CF12F747}"/>
    <cellStyle name="Comma 3 4 4 5 4" xfId="52452" xr:uid="{1E28409F-ADFA-4053-B4F7-FD1C727CFD77}"/>
    <cellStyle name="Comma 3 4 4 5 5" xfId="55468" xr:uid="{186A1546-5CEE-4978-9CD9-6D1A2F7BF8FB}"/>
    <cellStyle name="Comma 3 4 4 6" xfId="12550" xr:uid="{B05F39BC-D108-417F-AD30-2DAE8E9DA3D8}"/>
    <cellStyle name="Comma 3 4 4 6 2" xfId="25080" xr:uid="{60D18A11-A25B-4DB5-9A9B-0524022C0E36}"/>
    <cellStyle name="Comma 3 4 4 6 3" xfId="51021" xr:uid="{54BE8F69-4C2F-4211-9733-4E7F2E0C70D4}"/>
    <cellStyle name="Comma 3 4 4 6 4" xfId="54037" xr:uid="{D6B99BCC-6BA0-462A-8280-D381C1B99741}"/>
    <cellStyle name="Comma 3 4 4 7" xfId="46042" xr:uid="{644AF3C4-EA87-4CE3-A2B3-2F163EDB266F}"/>
    <cellStyle name="Comma 3 4 4 8" xfId="49915" xr:uid="{338B784D-87C7-4148-9256-964D92933607}"/>
    <cellStyle name="Comma 3 4 4 9" xfId="52931" xr:uid="{C6C8E4FF-5AEF-42EB-9694-E0AC864DC95B}"/>
    <cellStyle name="Comma 3 4 5" xfId="10172" xr:uid="{E0C8E572-78DF-4BC0-B93C-9640B9640E9A}"/>
    <cellStyle name="Comma 3 4 5 2" xfId="10486" xr:uid="{C85A060F-697D-458B-A470-6B39D9446BBF}"/>
    <cellStyle name="Comma 3 4 5 2 2" xfId="14878" xr:uid="{9DB66DFE-DB21-4D0E-A138-74B6C89686AB}"/>
    <cellStyle name="Comma 3 4 5 2 2 2" xfId="22425" xr:uid="{A2FA21AD-A094-428C-9ECA-6425AD3CF72A}"/>
    <cellStyle name="Comma 3 4 5 2 2 3" xfId="46999" xr:uid="{1B714C83-A7BC-4424-81D7-8EE5CA73693F}"/>
    <cellStyle name="Comma 3 4 5 2 2 4" xfId="51763" xr:uid="{FEA40FD1-FAC0-48D7-9931-2F223A22DFDB}"/>
    <cellStyle name="Comma 3 4 5 2 2 5" xfId="54779" xr:uid="{BEA9EDC4-1E67-4C76-AC2C-CF9E2C50059A}"/>
    <cellStyle name="Comma 3 4 5 2 3" xfId="15363" xr:uid="{7F543CF1-92BB-4942-8647-51899B33692E}"/>
    <cellStyle name="Comma 3 4 5 2 3 2" xfId="22902" xr:uid="{0F14E56F-EE12-4B7A-91CD-5B5484968E12}"/>
    <cellStyle name="Comma 3 4 5 2 3 3" xfId="24902" xr:uid="{D24ECC76-5B19-49A1-841D-9299C75D2446}"/>
    <cellStyle name="Comma 3 4 5 2 3 4" xfId="52240" xr:uid="{18593D62-7B2C-49E6-B710-CD2F2816CC91}"/>
    <cellStyle name="Comma 3 4 5 2 3 5" xfId="55256" xr:uid="{AB112437-DB95-4B47-A3D4-142C32301938}"/>
    <cellStyle name="Comma 3 4 5 2 4" xfId="15850" xr:uid="{A82F2540-65F3-4460-B575-21D030C6852E}"/>
    <cellStyle name="Comma 3 4 5 2 4 2" xfId="23379" xr:uid="{6442E9E6-4406-47A1-8E23-E86E0CC1C2DD}"/>
    <cellStyle name="Comma 3 4 5 2 4 3" xfId="47139" xr:uid="{0A3AD9E7-297E-4726-A8FC-8BF2D5A7084C}"/>
    <cellStyle name="Comma 3 4 5 2 4 4" xfId="52717" xr:uid="{1A7E5ED2-A84B-4972-9B89-49AC55518A4E}"/>
    <cellStyle name="Comma 3 4 5 2 4 5" xfId="55733" xr:uid="{65170946-A79E-422C-8988-8418C05C4A68}"/>
    <cellStyle name="Comma 3 4 5 2 5" xfId="12939" xr:uid="{38377238-CF20-41DF-92A7-B502275727EA}"/>
    <cellStyle name="Comma 3 4 5 2 5 2" xfId="47174" xr:uid="{323E7FB9-3969-4816-B3D6-2F9F3C201DF5}"/>
    <cellStyle name="Comma 3 4 5 2 5 3" xfId="51286" xr:uid="{F8336177-A46C-4FE0-B53B-81171D4F2CE8}"/>
    <cellStyle name="Comma 3 4 5 2 5 4" xfId="54302" xr:uid="{DFDAD541-DA6D-4124-B0E7-826EA5A37C6E}"/>
    <cellStyle name="Comma 3 4 5 2 6" xfId="46131" xr:uid="{3E883E95-66D4-4719-A296-8402A4BE9C15}"/>
    <cellStyle name="Comma 3 4 5 2 7" xfId="50180" xr:uid="{38A7D7F5-CBF9-4721-ADA9-D0B59E147407}"/>
    <cellStyle name="Comma 3 4 5 2 8" xfId="53196" xr:uid="{1FE3842F-1454-443D-9C4B-A687E2385C81}"/>
    <cellStyle name="Comma 3 4 5 3" xfId="14666" xr:uid="{5C38BE85-0699-4435-9DF9-94A6E185946F}"/>
    <cellStyle name="Comma 3 4 5 3 2" xfId="22213" xr:uid="{84C30086-FC89-4075-8215-0CC352387538}"/>
    <cellStyle name="Comma 3 4 5 3 3" xfId="46414" xr:uid="{11461E09-1641-4986-A653-FBC11A34B738}"/>
    <cellStyle name="Comma 3 4 5 3 4" xfId="51551" xr:uid="{D59AC8F6-F11A-46F5-AAB2-C4DA1AA6B9DA}"/>
    <cellStyle name="Comma 3 4 5 3 5" xfId="54567" xr:uid="{04F620A6-43EF-4551-97B0-78CAE61354FA}"/>
    <cellStyle name="Comma 3 4 5 4" xfId="15151" xr:uid="{68090511-61D5-4707-8C16-4259DFFA9853}"/>
    <cellStyle name="Comma 3 4 5 4 2" xfId="22690" xr:uid="{AFFE96E7-78DF-443E-AC5F-DD5966966996}"/>
    <cellStyle name="Comma 3 4 5 4 3" xfId="46489" xr:uid="{57B214F1-7554-4822-BDB9-6763E46E3A9E}"/>
    <cellStyle name="Comma 3 4 5 4 4" xfId="52028" xr:uid="{3067B262-DBA2-49A0-AB08-31022DD22350}"/>
    <cellStyle name="Comma 3 4 5 4 5" xfId="55044" xr:uid="{D45F391A-077F-4C9F-9554-D599D8ADF72C}"/>
    <cellStyle name="Comma 3 4 5 5" xfId="15638" xr:uid="{FFC96304-A873-4676-B6A5-19747FC21584}"/>
    <cellStyle name="Comma 3 4 5 5 2" xfId="23167" xr:uid="{EA759152-5465-4B38-9B90-B6BE74CEA70C}"/>
    <cellStyle name="Comma 3 4 5 5 3" xfId="47254" xr:uid="{96593EE5-3E8E-4DF7-B975-642BCE17160D}"/>
    <cellStyle name="Comma 3 4 5 5 4" xfId="52505" xr:uid="{583F9580-B3AC-4002-9515-9F83A37595D2}"/>
    <cellStyle name="Comma 3 4 5 5 5" xfId="55521" xr:uid="{2E5540B9-B4D6-4E8B-9D4A-CF5C112D1EA2}"/>
    <cellStyle name="Comma 3 4 5 6" xfId="12626" xr:uid="{210EBFD5-E69A-46C2-B3B2-85DA7D188241}"/>
    <cellStyle name="Comma 3 4 5 6 2" xfId="47166" xr:uid="{32C488FC-7FD0-44AA-A6D9-A875AF52FA24}"/>
    <cellStyle name="Comma 3 4 5 6 3" xfId="51074" xr:uid="{5640A20F-1A0C-4874-BC9F-4582264E58B1}"/>
    <cellStyle name="Comma 3 4 5 6 4" xfId="54090" xr:uid="{47E0422A-8933-4D2C-8C9C-55A21E2D0256}"/>
    <cellStyle name="Comma 3 4 5 7" xfId="24543" xr:uid="{587D8717-72FB-4B8C-A06F-19289E8C308D}"/>
    <cellStyle name="Comma 3 4 5 8" xfId="49968" xr:uid="{B168C31C-0A19-4F81-B61C-F58325A27F90}"/>
    <cellStyle name="Comma 3 4 5 9" xfId="52984" xr:uid="{4C28A8E5-F773-4F64-B58B-F93B389DD26C}"/>
    <cellStyle name="Comma 3 4 6" xfId="10252" xr:uid="{C21FA648-67B7-4116-BD23-ECD391810503}"/>
    <cellStyle name="Comma 3 4 6 2" xfId="14719" xr:uid="{A3D621E9-5A79-48C5-B7B0-FEAE0570761A}"/>
    <cellStyle name="Comma 3 4 6 2 2" xfId="22266" xr:uid="{68B8F708-7F9A-46F4-8A31-146ECFF564C6}"/>
    <cellStyle name="Comma 3 4 6 2 3" xfId="48350" xr:uid="{92E736D1-DA45-4800-949A-1455CAEF8BD3}"/>
    <cellStyle name="Comma 3 4 6 2 4" xfId="51604" xr:uid="{511774D0-4371-4B58-8D2D-A9BFB77B232E}"/>
    <cellStyle name="Comma 3 4 6 2 5" xfId="54620" xr:uid="{26643803-08D0-44EC-8D72-B59756BC7D4D}"/>
    <cellStyle name="Comma 3 4 6 3" xfId="15204" xr:uid="{E08A6764-E892-4446-82D1-BBC55D2D27B8}"/>
    <cellStyle name="Comma 3 4 6 3 2" xfId="22743" xr:uid="{48606050-A9A1-4BB4-90F4-446E1DAD2280}"/>
    <cellStyle name="Comma 3 4 6 3 3" xfId="46892" xr:uid="{5EEB3372-B63C-4404-B702-B64CC78CB3E4}"/>
    <cellStyle name="Comma 3 4 6 3 4" xfId="52081" xr:uid="{572BC5ED-6158-43CD-AB0F-D7C0E6F1010C}"/>
    <cellStyle name="Comma 3 4 6 3 5" xfId="55097" xr:uid="{A6EC8CF7-141A-4759-A587-0CC21CCE380D}"/>
    <cellStyle name="Comma 3 4 6 4" xfId="15691" xr:uid="{9B8886B7-0BC2-4E99-812E-FF53E83CB6BF}"/>
    <cellStyle name="Comma 3 4 6 4 2" xfId="23220" xr:uid="{5AC5D802-1337-477B-8231-222DCD398AB8}"/>
    <cellStyle name="Comma 3 4 6 4 3" xfId="24647" xr:uid="{D4F162DC-364E-4DE5-8EAD-208AF72B7FCF}"/>
    <cellStyle name="Comma 3 4 6 4 4" xfId="52558" xr:uid="{9485919C-E74F-4AFA-8887-CA9CA3FADB4A}"/>
    <cellStyle name="Comma 3 4 6 4 5" xfId="55574" xr:uid="{4B8116ED-CA92-465D-A026-472C275B0AA8}"/>
    <cellStyle name="Comma 3 4 6 5" xfId="12705" xr:uid="{3DF6B8F1-6B42-4789-A0BF-9DACAAB3CFFA}"/>
    <cellStyle name="Comma 3 4 6 5 2" xfId="47095" xr:uid="{60EF9270-1842-4355-BF6E-DFA711B87BEF}"/>
    <cellStyle name="Comma 3 4 6 5 3" xfId="51127" xr:uid="{57E1D6A8-AB20-4223-BB2E-4323D861EB36}"/>
    <cellStyle name="Comma 3 4 6 5 4" xfId="54143" xr:uid="{FB0B18B0-3B17-453B-86EF-4FEA5F56AE86}"/>
    <cellStyle name="Comma 3 4 6 6" xfId="47853" xr:uid="{6E9F4687-C8BB-4642-969D-8AD5EA065636}"/>
    <cellStyle name="Comma 3 4 6 7" xfId="50021" xr:uid="{31C3C501-4EB8-4AEC-A9BC-5CC953CA1AD3}"/>
    <cellStyle name="Comma 3 4 6 8" xfId="53037" xr:uid="{B1881EF6-22DC-49E3-BF1C-4EE8A8070CC4}"/>
    <cellStyle name="Comma 3 4 7" xfId="10566" xr:uid="{5C3D138D-80C6-4DF5-97DE-E96D3E502251}"/>
    <cellStyle name="Comma 3 4 7 2" xfId="14931" xr:uid="{0BA3322B-66BA-4D52-A527-E41EF67B6B6B}"/>
    <cellStyle name="Comma 3 4 7 2 2" xfId="22478" xr:uid="{C8389658-1C37-4094-8F94-433B66520F87}"/>
    <cellStyle name="Comma 3 4 7 2 3" xfId="24662" xr:uid="{BD75C5EC-AB7D-4276-BC16-643328A82D52}"/>
    <cellStyle name="Comma 3 4 7 2 4" xfId="51816" xr:uid="{0BA217CC-EC7D-48EB-BB7E-D8D4CC6912B9}"/>
    <cellStyle name="Comma 3 4 7 2 5" xfId="54832" xr:uid="{D1F15969-400A-4D37-9FB0-D7BBD78F8234}"/>
    <cellStyle name="Comma 3 4 7 3" xfId="15416" xr:uid="{786C329E-A623-408B-8370-1A20BC1B1B0E}"/>
    <cellStyle name="Comma 3 4 7 3 2" xfId="22955" xr:uid="{D2C1D9BE-4019-4BDF-A272-F608B6174864}"/>
    <cellStyle name="Comma 3 4 7 3 3" xfId="46920" xr:uid="{6AA6B9B3-351B-48A1-9C0D-B1BB9C45837A}"/>
    <cellStyle name="Comma 3 4 7 3 4" xfId="52293" xr:uid="{0C793749-83B0-481C-AE23-98F8CD041DED}"/>
    <cellStyle name="Comma 3 4 7 3 5" xfId="55309" xr:uid="{D49CC1C6-D2CA-4506-B12D-F4A7DB38E4A1}"/>
    <cellStyle name="Comma 3 4 7 4" xfId="15904" xr:uid="{52AF5DEC-5D15-4897-A948-940ADD3C27F8}"/>
    <cellStyle name="Comma 3 4 7 4 2" xfId="23432" xr:uid="{470E9DED-DD63-405A-AF4E-67F326BC00FE}"/>
    <cellStyle name="Comma 3 4 7 4 3" xfId="47727" xr:uid="{175B66DF-EE7D-4591-98C4-748CB561EA6A}"/>
    <cellStyle name="Comma 3 4 7 4 4" xfId="52770" xr:uid="{3C259763-DF44-4A8D-B693-36A1CF6E9E33}"/>
    <cellStyle name="Comma 3 4 7 4 5" xfId="55786" xr:uid="{4AF37FC8-F5DD-4F4A-9C14-D6CB62D4C1D5}"/>
    <cellStyle name="Comma 3 4 7 5" xfId="13019" xr:uid="{DAB7B2EE-D673-4953-9B7F-30A559C78D2C}"/>
    <cellStyle name="Comma 3 4 7 5 2" xfId="48439" xr:uid="{F05455FC-0C2C-49AD-B06E-D420E63BAC24}"/>
    <cellStyle name="Comma 3 4 7 5 3" xfId="51339" xr:uid="{A3B462BA-73F1-4425-9E0D-D5A2316CDCB3}"/>
    <cellStyle name="Comma 3 4 7 5 4" xfId="54355" xr:uid="{9792B2EA-3104-4F88-B9BE-E1F7E7E09E2E}"/>
    <cellStyle name="Comma 3 4 7 6" xfId="47888" xr:uid="{14196412-AC28-4C2D-9653-311B6495CE32}"/>
    <cellStyle name="Comma 3 4 7 7" xfId="50233" xr:uid="{8AB8F84E-73A6-4492-B7E2-C728C9C6681A}"/>
    <cellStyle name="Comma 3 4 7 8" xfId="53249" xr:uid="{6F38A14F-AC55-48D9-BC6E-80D16A8BA298}"/>
    <cellStyle name="Comma 3 4 8" xfId="12312" xr:uid="{61E493CA-DC3F-47EC-A88B-44CAF12C1A9D}"/>
    <cellStyle name="Comma 3 4 9" xfId="14507" xr:uid="{37E13803-3DE7-48B1-A4C6-AA5B4545A40B}"/>
    <cellStyle name="Comma 3 4 9 2" xfId="22054" xr:uid="{808FC117-D32B-427D-8EC7-D7C104D6BB4B}"/>
    <cellStyle name="Comma 3 4 9 3" xfId="47566" xr:uid="{0CBAB543-D2A6-478F-8BA4-FA23B4A6506C}"/>
    <cellStyle name="Comma 3 4 9 4" xfId="51392" xr:uid="{3822D0CB-AC27-48E0-A63E-8026BF63727C}"/>
    <cellStyle name="Comma 3 4 9 5" xfId="54408" xr:uid="{A030DE62-C166-4FF6-B860-197773AA18ED}"/>
    <cellStyle name="Comma 3 5" xfId="5820" xr:uid="{E2E39F79-8306-4F43-9740-CA87C94F9859}"/>
    <cellStyle name="Comma 3 5 10" xfId="15480" xr:uid="{384EB734-D4DE-4CF0-8A70-04C4B6F862EC}"/>
    <cellStyle name="Comma 3 5 10 2" xfId="23010" xr:uid="{81C252B9-E201-4ACA-9EBB-F87C7D2DE377}"/>
    <cellStyle name="Comma 3 5 10 3" xfId="48223" xr:uid="{CBA55AA5-16F2-4B0E-80EB-C029CCC972A8}"/>
    <cellStyle name="Comma 3 5 10 4" xfId="52348" xr:uid="{E2AA9B68-5013-447A-82FF-53FB12FF6CAA}"/>
    <cellStyle name="Comma 3 5 10 5" xfId="55364" xr:uid="{3A414D5A-C17E-4AF1-8D89-60E097BA19B7}"/>
    <cellStyle name="Comma 3 5 11" xfId="11189" xr:uid="{5AE44BA8-6AD9-4027-8DB2-9A75A9D77861}"/>
    <cellStyle name="Comma 3 5 11 2" xfId="25159" xr:uid="{39F8115C-93E6-40B0-BA18-AAA179B6A922}"/>
    <cellStyle name="Comma 3 5 11 3" xfId="50702" xr:uid="{EACB858E-C07E-4478-9E8B-B6EE378AC7B5}"/>
    <cellStyle name="Comma 3 5 11 4" xfId="53718" xr:uid="{FAFB3FFF-BA02-4943-9CAB-9DE2343256E0}"/>
    <cellStyle name="Comma 3 5 12" xfId="23751" xr:uid="{3A0F3DF4-C7F3-4879-821C-5F7AC81DA535}"/>
    <cellStyle name="Comma 3 5 13" xfId="47557" xr:uid="{723103B6-04F2-4F9B-B3A0-F826A4FAA14F}"/>
    <cellStyle name="Comma 3 5 14" xfId="48634" xr:uid="{38C270B0-49FA-45E8-A3C4-E8B4A96EAAF4}"/>
    <cellStyle name="Comma 3 5 15" xfId="49542" xr:uid="{45475B4B-7B30-4D02-9C56-19375100A7F1}"/>
    <cellStyle name="Comma 3 5 16" xfId="49811" xr:uid="{149FAEDE-2D8C-4EF0-84A9-C6FBE473B245}"/>
    <cellStyle name="Comma 3 5 17" xfId="52826" xr:uid="{EE21F7F0-CC93-4D9D-936F-3F7A7C4C6D6D}"/>
    <cellStyle name="Comma 3 5 18" xfId="8934" xr:uid="{8F91BC6F-E292-4D03-B5E6-C6D7CEEA1B31}"/>
    <cellStyle name="Comma 3 5 2" xfId="10021" xr:uid="{63AB16F0-F339-49E1-960B-B18856DD1C88}"/>
    <cellStyle name="Comma 3 5 2 2" xfId="10329" xr:uid="{179E5D46-BE87-49A5-9E6C-7F6B5F813DDD}"/>
    <cellStyle name="Comma 3 5 2 2 2" xfId="14774" xr:uid="{9F49AF8A-56C8-4F41-94E8-7AFC30D37BDE}"/>
    <cellStyle name="Comma 3 5 2 2 2 2" xfId="22321" xr:uid="{0E519149-A88C-468E-9BA8-DC8F6C5CA3C3}"/>
    <cellStyle name="Comma 3 5 2 2 2 3" xfId="46861" xr:uid="{D7E8FF06-2B68-4356-8E0F-4C24007B947A}"/>
    <cellStyle name="Comma 3 5 2 2 2 4" xfId="51659" xr:uid="{B6EA4303-AE5E-4658-8495-453E1082C52C}"/>
    <cellStyle name="Comma 3 5 2 2 2 5" xfId="54675" xr:uid="{1D2DDA28-B0B6-4253-BEA1-B4C114B988B1}"/>
    <cellStyle name="Comma 3 5 2 2 3" xfId="15259" xr:uid="{E62F5AFD-3084-4CB4-84A6-F10F4A5C0E43}"/>
    <cellStyle name="Comma 3 5 2 2 3 2" xfId="22798" xr:uid="{138B6F07-DB0C-4E48-8259-9C37C9FD7AB2}"/>
    <cellStyle name="Comma 3 5 2 2 3 3" xfId="48277" xr:uid="{21027E91-5FF7-4D47-9635-1DBCDD8F0741}"/>
    <cellStyle name="Comma 3 5 2 2 3 4" xfId="52136" xr:uid="{B806664D-D134-49A4-8E20-CB1C647FF5CE}"/>
    <cellStyle name="Comma 3 5 2 2 3 5" xfId="55152" xr:uid="{3E498AE7-8399-43DD-B614-487B6B22DF49}"/>
    <cellStyle name="Comma 3 5 2 2 4" xfId="15746" xr:uid="{CDCDABF3-D0A7-457B-81A0-6047E54C0E61}"/>
    <cellStyle name="Comma 3 5 2 2 4 2" xfId="23275" xr:uid="{4CD54F01-05C9-47D7-9D73-81F58CE71064}"/>
    <cellStyle name="Comma 3 5 2 2 4 3" xfId="47150" xr:uid="{A42C1E84-8DF3-4E21-A59C-686E096EC406}"/>
    <cellStyle name="Comma 3 5 2 2 4 4" xfId="52613" xr:uid="{837C4FE0-6EBA-425B-AA66-1B687F8B02A5}"/>
    <cellStyle name="Comma 3 5 2 2 4 5" xfId="55629" xr:uid="{094C059B-F978-4867-A0CE-103BC9A3A64E}"/>
    <cellStyle name="Comma 3 5 2 2 5" xfId="12782" xr:uid="{8DBB2EE8-A4CA-483D-881B-B188E6E9EDC5}"/>
    <cellStyle name="Comma 3 5 2 2 5 2" xfId="46793" xr:uid="{A1580903-7D5B-411F-9AF5-C4CDBD4EF74D}"/>
    <cellStyle name="Comma 3 5 2 2 5 3" xfId="51182" xr:uid="{45CEA1DE-5544-4220-B89F-CD34ED74F344}"/>
    <cellStyle name="Comma 3 5 2 2 5 4" xfId="54198" xr:uid="{3B8F63F8-57FC-4254-B3A8-B57C81A676B8}"/>
    <cellStyle name="Comma 3 5 2 2 6" xfId="46089" xr:uid="{AEB517FE-72F7-4AFE-B5FE-D431BA50394C}"/>
    <cellStyle name="Comma 3 5 2 2 7" xfId="50076" xr:uid="{7785D545-9887-4C74-A782-CAA72986169C}"/>
    <cellStyle name="Comma 3 5 2 2 8" xfId="53092" xr:uid="{E88AE765-ED90-4D20-84A7-73CC9DC5E658}"/>
    <cellStyle name="Comma 3 5 2 3" xfId="14562" xr:uid="{E57D84C1-E632-47D1-91D1-A847943A9856}"/>
    <cellStyle name="Comma 3 5 2 3 2" xfId="22109" xr:uid="{7E97A453-E878-4BD8-AB87-AE81228165E5}"/>
    <cellStyle name="Comma 3 5 2 3 3" xfId="47478" xr:uid="{E8C861A2-DDC7-4368-A439-63491E397AF0}"/>
    <cellStyle name="Comma 3 5 2 3 4" xfId="51447" xr:uid="{1DDC8422-E241-49D6-9ADD-A35427DFFD91}"/>
    <cellStyle name="Comma 3 5 2 3 5" xfId="54463" xr:uid="{BD36A29C-13CA-4789-8F35-FAB17ADDFB8C}"/>
    <cellStyle name="Comma 3 5 2 4" xfId="15046" xr:uid="{C2DFA87A-FBB6-447C-A523-DC233DA1525D}"/>
    <cellStyle name="Comma 3 5 2 4 2" xfId="22586" xr:uid="{01121138-D7C3-4F51-871E-FAB3A02D27B3}"/>
    <cellStyle name="Comma 3 5 2 4 3" xfId="24919" xr:uid="{F35B0F82-4256-4AEF-9897-511F57B4B638}"/>
    <cellStyle name="Comma 3 5 2 4 4" xfId="51924" xr:uid="{5BD4820B-A147-405F-B81F-C67F82273055}"/>
    <cellStyle name="Comma 3 5 2 4 5" xfId="54940" xr:uid="{DA0C873F-0107-41C5-9CD0-DA906F8AFF26}"/>
    <cellStyle name="Comma 3 5 2 5" xfId="15533" xr:uid="{34C8146A-D3C5-4CD2-9BCC-262C860716B6}"/>
    <cellStyle name="Comma 3 5 2 5 2" xfId="23063" xr:uid="{32CD9851-8951-43A3-85D7-CB5E99DCCE32}"/>
    <cellStyle name="Comma 3 5 2 5 3" xfId="47548" xr:uid="{D12E4690-4419-4163-B752-E4B7103C1E6E}"/>
    <cellStyle name="Comma 3 5 2 5 4" xfId="52401" xr:uid="{ADF3A67D-BF3E-404C-8D27-6422F40D2ADB}"/>
    <cellStyle name="Comma 3 5 2 5 5" xfId="55417" xr:uid="{7C3B7913-5B14-4D7C-BB42-731DE20E3A69}"/>
    <cellStyle name="Comma 3 5 2 6" xfId="12481" xr:uid="{3EE582AA-8D00-486E-A817-AE3E945F8A62}"/>
    <cellStyle name="Comma 3 5 2 6 2" xfId="34189" xr:uid="{6F14706E-68F2-4B3D-972F-F7B0EEE53B06}"/>
    <cellStyle name="Comma 3 5 2 6 3" xfId="50970" xr:uid="{166DA854-C889-4A54-A43F-5F85011629B9}"/>
    <cellStyle name="Comma 3 5 2 6 4" xfId="53986" xr:uid="{8538C386-9399-41FA-A298-ABDAE85F571E}"/>
    <cellStyle name="Comma 3 5 2 7" xfId="46026" xr:uid="{7726035A-6CBE-4BD5-99E0-2B7AB4F87742}"/>
    <cellStyle name="Comma 3 5 2 8" xfId="49864" xr:uid="{F51C19DD-3A6B-4055-8425-462113221325}"/>
    <cellStyle name="Comma 3 5 2 9" xfId="52880" xr:uid="{F7291614-4ADE-435F-A6B3-E27F3FC1696E}"/>
    <cellStyle name="Comma 3 5 3" xfId="10095" xr:uid="{53C2B361-4DFA-4DFD-8A9D-24759323F02B}"/>
    <cellStyle name="Comma 3 5 3 2" xfId="10408" xr:uid="{43579D34-9FC2-40B0-A207-713ED2662E18}"/>
    <cellStyle name="Comma 3 5 3 2 2" xfId="14827" xr:uid="{E0DEF1A6-F0DC-4E92-B60A-B9C94D89CE7D}"/>
    <cellStyle name="Comma 3 5 3 2 2 2" xfId="22374" xr:uid="{EB86F7BE-E68F-42EF-A64F-257006FE1136}"/>
    <cellStyle name="Comma 3 5 3 2 2 3" xfId="32405" xr:uid="{557C98DF-53C8-40CA-BB0C-0EAA92E1E935}"/>
    <cellStyle name="Comma 3 5 3 2 2 4" xfId="51712" xr:uid="{B063473B-AD93-4882-84BF-D8276B8A03E8}"/>
    <cellStyle name="Comma 3 5 3 2 2 5" xfId="54728" xr:uid="{D7ED7F84-EBFE-4FC7-BD79-A07F43F55CED}"/>
    <cellStyle name="Comma 3 5 3 2 3" xfId="15312" xr:uid="{8F894543-1FB8-4742-B1C4-A51528C07DDD}"/>
    <cellStyle name="Comma 3 5 3 2 3 2" xfId="22851" xr:uid="{5AC92AB4-5ED9-4FEB-A78E-31910B51FD9D}"/>
    <cellStyle name="Comma 3 5 3 2 3 3" xfId="47638" xr:uid="{072559AB-E6AD-4B76-960D-0F689811F762}"/>
    <cellStyle name="Comma 3 5 3 2 3 4" xfId="52189" xr:uid="{612325C0-4E66-4009-B180-A0AAC3AEAA31}"/>
    <cellStyle name="Comma 3 5 3 2 3 5" xfId="55205" xr:uid="{053CEED3-18D5-451B-96E8-EDB1C756A73D}"/>
    <cellStyle name="Comma 3 5 3 2 4" xfId="15799" xr:uid="{2C95F1B8-B0F1-4E6B-9A38-0345EEEE30DA}"/>
    <cellStyle name="Comma 3 5 3 2 4 2" xfId="23328" xr:uid="{E091FBC0-FF45-4B47-B386-64C46770FC74}"/>
    <cellStyle name="Comma 3 5 3 2 4 3" xfId="46588" xr:uid="{25FE947A-DC4F-4285-9C54-9035ABD3D79A}"/>
    <cellStyle name="Comma 3 5 3 2 4 4" xfId="52666" xr:uid="{08E697A0-0D4D-49A9-93BD-662A9E3D77EB}"/>
    <cellStyle name="Comma 3 5 3 2 4 5" xfId="55682" xr:uid="{83109A30-1EA7-4D0C-95AD-B299D664D5F8}"/>
    <cellStyle name="Comma 3 5 3 2 5" xfId="12861" xr:uid="{15DAE56E-3614-496A-B40A-71F19039CA10}"/>
    <cellStyle name="Comma 3 5 3 2 5 2" xfId="46671" xr:uid="{D27321B4-A3A6-4322-9764-AB1E0B031E10}"/>
    <cellStyle name="Comma 3 5 3 2 5 3" xfId="51235" xr:uid="{D9D07385-13A8-4903-923B-201B5A948116}"/>
    <cellStyle name="Comma 3 5 3 2 5 4" xfId="54251" xr:uid="{2DA0EFBB-3D8B-4A62-AFF7-0B246564F5F8}"/>
    <cellStyle name="Comma 3 5 3 2 6" xfId="46112" xr:uid="{A65B0084-6C98-462B-BDEE-9D6D7C85B681}"/>
    <cellStyle name="Comma 3 5 3 2 7" xfId="50129" xr:uid="{45669F24-13E4-4252-A527-9E8F4F0C4E62}"/>
    <cellStyle name="Comma 3 5 3 2 8" xfId="53145" xr:uid="{83B4AFD1-E37F-42D3-BE00-16FBEE9DC644}"/>
    <cellStyle name="Comma 3 5 3 3" xfId="14615" xr:uid="{C4E32260-5FE8-4187-AC41-9ECB2D7A9DCF}"/>
    <cellStyle name="Comma 3 5 3 3 2" xfId="22162" xr:uid="{F32B0EAD-E0A1-4159-B8CC-AC009B3C0732}"/>
    <cellStyle name="Comma 3 5 3 3 3" xfId="46407" xr:uid="{5B2C2001-85D3-42E0-8E93-D82E0FAD241E}"/>
    <cellStyle name="Comma 3 5 3 3 4" xfId="51500" xr:uid="{B60E1D68-3AEE-49AA-A88D-90D1F4ED63F4}"/>
    <cellStyle name="Comma 3 5 3 3 5" xfId="54516" xr:uid="{5E0C4085-0DF5-4E42-963B-799905572FD5}"/>
    <cellStyle name="Comma 3 5 3 4" xfId="15100" xr:uid="{54AA5CB9-1015-48F9-A702-99FD8D5BC522}"/>
    <cellStyle name="Comma 3 5 3 4 2" xfId="22639" xr:uid="{87DD1350-14CC-448D-A1EF-67A0E7D2B04D}"/>
    <cellStyle name="Comma 3 5 3 4 3" xfId="46479" xr:uid="{6AB76AE2-55FE-4736-8559-068665FF7923}"/>
    <cellStyle name="Comma 3 5 3 4 4" xfId="51977" xr:uid="{F51394EA-CD1E-4F0E-8900-57EFF5F29154}"/>
    <cellStyle name="Comma 3 5 3 4 5" xfId="54993" xr:uid="{60A312BF-9ADC-4205-8B37-C32DD43F1D80}"/>
    <cellStyle name="Comma 3 5 3 5" xfId="15587" xr:uid="{69EB88A0-F547-4C93-BF89-80881865AE16}"/>
    <cellStyle name="Comma 3 5 3 5 2" xfId="23116" xr:uid="{C810D9FF-1E8C-4BB3-95BF-3873314F0202}"/>
    <cellStyle name="Comma 3 5 3 5 3" xfId="34471" xr:uid="{64D69966-D12B-42C4-A12B-50AF5DF410E9}"/>
    <cellStyle name="Comma 3 5 3 5 4" xfId="52454" xr:uid="{89C8750C-2B7E-4F18-A809-A9A46695B01D}"/>
    <cellStyle name="Comma 3 5 3 5 5" xfId="55470" xr:uid="{1EA388DE-65A3-432C-A33A-E8F62F59DF0A}"/>
    <cellStyle name="Comma 3 5 3 6" xfId="12552" xr:uid="{37AD2D44-CF37-463D-A40B-4734CB7857FB}"/>
    <cellStyle name="Comma 3 5 3 6 2" xfId="46768" xr:uid="{DD320B06-1E91-42CD-8C9A-0DB0E2DE0AEE}"/>
    <cellStyle name="Comma 3 5 3 6 3" xfId="51023" xr:uid="{C6EE8BAC-1081-4001-87E9-A229BC913121}"/>
    <cellStyle name="Comma 3 5 3 6 4" xfId="54039" xr:uid="{1AC0C79E-C789-4CC8-9CFD-7C083B51B794}"/>
    <cellStyle name="Comma 3 5 3 7" xfId="46043" xr:uid="{EF6AE7AB-FA2D-4BCB-8E65-D0477272B764}"/>
    <cellStyle name="Comma 3 5 3 8" xfId="49917" xr:uid="{A82B02F6-8FB5-46FB-83DF-CF25F19767C0}"/>
    <cellStyle name="Comma 3 5 3 9" xfId="52933" xr:uid="{7D15AA20-342A-4658-9D70-62855468FE49}"/>
    <cellStyle name="Comma 3 5 4" xfId="10174" xr:uid="{0565F344-C35A-4D08-BB20-60D05276CFCA}"/>
    <cellStyle name="Comma 3 5 4 2" xfId="10488" xr:uid="{5A09005C-03A3-4A3F-98EC-2E615755C3CC}"/>
    <cellStyle name="Comma 3 5 4 2 2" xfId="14880" xr:uid="{1F1D3DBA-B272-4474-A79D-707DEA979B5B}"/>
    <cellStyle name="Comma 3 5 4 2 2 2" xfId="22427" xr:uid="{04588450-26E4-434D-8697-35A25D2E39D7}"/>
    <cellStyle name="Comma 3 5 4 2 2 3" xfId="46682" xr:uid="{50E75BC4-03B0-41E4-A0CB-52CD273E828A}"/>
    <cellStyle name="Comma 3 5 4 2 2 4" xfId="51765" xr:uid="{A3CB9661-4F92-4472-AF6B-2F9702A6ACDD}"/>
    <cellStyle name="Comma 3 5 4 2 2 5" xfId="54781" xr:uid="{4378991D-2CA8-48A9-A32C-78F5818623D9}"/>
    <cellStyle name="Comma 3 5 4 2 3" xfId="15365" xr:uid="{E124B64F-354B-4A1D-8D1D-61465EDBD9A1}"/>
    <cellStyle name="Comma 3 5 4 2 3 2" xfId="22904" xr:uid="{595E6E7A-1CA8-445D-9381-B0D262391E5D}"/>
    <cellStyle name="Comma 3 5 4 2 3 3" xfId="46913" xr:uid="{15A069B8-9691-4366-A68C-0D0E71C26ACC}"/>
    <cellStyle name="Comma 3 5 4 2 3 4" xfId="52242" xr:uid="{84D99B19-11DF-4927-A5BA-F1D9FE08AA13}"/>
    <cellStyle name="Comma 3 5 4 2 3 5" xfId="55258" xr:uid="{C35DC0CE-0574-441E-97D6-BF66DCCA8691}"/>
    <cellStyle name="Comma 3 5 4 2 4" xfId="15852" xr:uid="{970A60B3-81F5-407C-8AD5-43E92497CD12}"/>
    <cellStyle name="Comma 3 5 4 2 4 2" xfId="23381" xr:uid="{3576EABD-F4A6-4B68-BFE4-712EA8656F2D}"/>
    <cellStyle name="Comma 3 5 4 2 4 3" xfId="46975" xr:uid="{FD86955F-D9C0-422E-A578-AD75A5996B9A}"/>
    <cellStyle name="Comma 3 5 4 2 4 4" xfId="52719" xr:uid="{7AE0DA2D-8F03-4D0D-AB00-6ACBE61517B4}"/>
    <cellStyle name="Comma 3 5 4 2 4 5" xfId="55735" xr:uid="{5503BCF3-55C0-4B1B-B1B8-66945564129B}"/>
    <cellStyle name="Comma 3 5 4 2 5" xfId="12941" xr:uid="{718C6B1E-05FE-4152-B2B2-DC2EF71A8CB9}"/>
    <cellStyle name="Comma 3 5 4 2 5 2" xfId="46375" xr:uid="{17F2E8C5-4F02-47C9-B93E-50E2767186CD}"/>
    <cellStyle name="Comma 3 5 4 2 5 3" xfId="51288" xr:uid="{B81BF6D3-1F5F-4F8F-A429-D1F627F7F869}"/>
    <cellStyle name="Comma 3 5 4 2 5 4" xfId="54304" xr:uid="{35F0068C-7426-4533-90DF-94E326B4792C}"/>
    <cellStyle name="Comma 3 5 4 2 6" xfId="46132" xr:uid="{1F448BDF-7F7C-4C5A-81BA-B3C0C9261B90}"/>
    <cellStyle name="Comma 3 5 4 2 7" xfId="50182" xr:uid="{ABD6BF86-E59B-46B4-8040-4DA17772A995}"/>
    <cellStyle name="Comma 3 5 4 2 8" xfId="53198" xr:uid="{7FA1C536-3EBE-48B1-83DF-4BBEF39801E7}"/>
    <cellStyle name="Comma 3 5 4 3" xfId="14668" xr:uid="{A609D752-1CA5-4DE1-AC35-D348D8B0A965}"/>
    <cellStyle name="Comma 3 5 4 3 2" xfId="22215" xr:uid="{7C76903A-DF01-4845-846A-1B8822C753FE}"/>
    <cellStyle name="Comma 3 5 4 3 3" xfId="48115" xr:uid="{4B162194-0845-4536-A155-C0A7AE03C9CD}"/>
    <cellStyle name="Comma 3 5 4 3 4" xfId="51553" xr:uid="{C645E0C0-E41E-4289-ACEF-2735E7926293}"/>
    <cellStyle name="Comma 3 5 4 3 5" xfId="54569" xr:uid="{D6A004F6-01B7-470D-A90E-1D20AD65C4B8}"/>
    <cellStyle name="Comma 3 5 4 4" xfId="15153" xr:uid="{7305F3B4-4990-4271-A54C-43009411B556}"/>
    <cellStyle name="Comma 3 5 4 4 2" xfId="22692" xr:uid="{F713F183-34F6-4919-9269-DE318CB282DC}"/>
    <cellStyle name="Comma 3 5 4 4 3" xfId="24528" xr:uid="{363AA313-5EEB-45C3-8683-0B4EB03AEAE3}"/>
    <cellStyle name="Comma 3 5 4 4 4" xfId="52030" xr:uid="{589F3DFD-6FAE-4EE0-B6F7-9D3E5A293E60}"/>
    <cellStyle name="Comma 3 5 4 4 5" xfId="55046" xr:uid="{20302563-0146-4F53-A896-77AB4E7BE448}"/>
    <cellStyle name="Comma 3 5 4 5" xfId="15640" xr:uid="{749C1592-E571-4E11-B57D-E75C90909C91}"/>
    <cellStyle name="Comma 3 5 4 5 2" xfId="23169" xr:uid="{B51B4624-F48A-4EDD-86AE-8203855D0A82}"/>
    <cellStyle name="Comma 3 5 4 5 3" xfId="48080" xr:uid="{3BBE2236-E5B6-4731-AE9B-9C4AD4150514}"/>
    <cellStyle name="Comma 3 5 4 5 4" xfId="52507" xr:uid="{5D6DDEE8-FE20-46C7-A789-209718AEA5EA}"/>
    <cellStyle name="Comma 3 5 4 5 5" xfId="55523" xr:uid="{40ECB727-85D3-434D-BC99-381156F1BF77}"/>
    <cellStyle name="Comma 3 5 4 6" xfId="12628" xr:uid="{C5F55502-57C0-4344-8984-DD222882EEDB}"/>
    <cellStyle name="Comma 3 5 4 6 2" xfId="46332" xr:uid="{6D279629-B5EB-4DF0-88D8-1869FD7BAD80}"/>
    <cellStyle name="Comma 3 5 4 6 3" xfId="51076" xr:uid="{90086704-7A6D-45B3-8DDD-BB45B51B8D0C}"/>
    <cellStyle name="Comma 3 5 4 6 4" xfId="54092" xr:uid="{6DBEE36A-03FB-467B-A641-17F4E0424ABC}"/>
    <cellStyle name="Comma 3 5 4 7" xfId="48545" xr:uid="{ACEE94E5-7667-4F32-829C-0EEEAFDD702D}"/>
    <cellStyle name="Comma 3 5 4 8" xfId="49970" xr:uid="{384090E7-AC9D-4373-B66A-3C69B959FBA2}"/>
    <cellStyle name="Comma 3 5 4 9" xfId="52986" xr:uid="{538A6A7D-2C7E-4281-97CC-C51532AE7AB9}"/>
    <cellStyle name="Comma 3 5 5" xfId="10254" xr:uid="{C404F435-4E61-4BAF-BCC9-9A25D7722ED6}"/>
    <cellStyle name="Comma 3 5 5 2" xfId="14721" xr:uid="{C5C99448-9A8E-46B0-B659-60D7DD570732}"/>
    <cellStyle name="Comma 3 5 5 2 2" xfId="22268" xr:uid="{1B18C5E2-F0D4-403F-9042-83D136EC502D}"/>
    <cellStyle name="Comma 3 5 5 2 3" xfId="46423" xr:uid="{D35D19ED-318F-49DC-9FC0-DD96427FC451}"/>
    <cellStyle name="Comma 3 5 5 2 4" xfId="51606" xr:uid="{26A115D1-C29E-4B30-B6C0-C26FBB98175F}"/>
    <cellStyle name="Comma 3 5 5 2 5" xfId="54622" xr:uid="{799961CE-A02E-44AD-B157-3FFF0DCF8773}"/>
    <cellStyle name="Comma 3 5 5 3" xfId="15206" xr:uid="{469089D4-DA9B-4D4B-86D9-F0745C1ABDE2}"/>
    <cellStyle name="Comma 3 5 5 3 2" xfId="22745" xr:uid="{0A1D59CD-C081-42D9-A250-D7B64AFC530B}"/>
    <cellStyle name="Comma 3 5 5 3 3" xfId="32283" xr:uid="{5358B8A8-1D73-4C69-8026-7F9D43153CD2}"/>
    <cellStyle name="Comma 3 5 5 3 4" xfId="52083" xr:uid="{15679631-4B39-4A3F-B45C-366B844F2ADA}"/>
    <cellStyle name="Comma 3 5 5 3 5" xfId="55099" xr:uid="{3660422C-E865-4935-8CBF-74ECD64F5701}"/>
    <cellStyle name="Comma 3 5 5 4" xfId="15693" xr:uid="{5DD9A7A3-5CB6-4F6E-A3D4-AA77CBF4E152}"/>
    <cellStyle name="Comma 3 5 5 4 2" xfId="23222" xr:uid="{EB1D8800-047F-4B7C-B8BC-41870C50F72D}"/>
    <cellStyle name="Comma 3 5 5 4 3" xfId="37445" xr:uid="{D1F1AA06-D58C-4513-8095-C43543AFCF58}"/>
    <cellStyle name="Comma 3 5 5 4 4" xfId="52560" xr:uid="{A06AFCD3-960C-4746-BA41-DC6EE7120B87}"/>
    <cellStyle name="Comma 3 5 5 4 5" xfId="55576" xr:uid="{37B04AB1-E0F4-465B-A707-133C39EBCAED}"/>
    <cellStyle name="Comma 3 5 5 5" xfId="12707" xr:uid="{2F6EF749-D247-4D83-9F62-E86746CB8700}"/>
    <cellStyle name="Comma 3 5 5 5 2" xfId="24483" xr:uid="{FEA138D2-F918-407C-9DB1-CAD36D900C38}"/>
    <cellStyle name="Comma 3 5 5 5 3" xfId="51129" xr:uid="{275DABED-12D6-4897-B54D-7DE9477D6983}"/>
    <cellStyle name="Comma 3 5 5 5 4" xfId="54145" xr:uid="{107CFF99-50F1-4CEC-AA05-B5EB2B47629B}"/>
    <cellStyle name="Comma 3 5 5 6" xfId="46074" xr:uid="{F782409D-C0DD-41D5-B78C-259E5C731ADF}"/>
    <cellStyle name="Comma 3 5 5 7" xfId="50023" xr:uid="{39868D89-D010-4DAF-ADD4-FC26BC720D09}"/>
    <cellStyle name="Comma 3 5 5 8" xfId="53039" xr:uid="{9181E09E-4967-4506-9FC1-FA609E528953}"/>
    <cellStyle name="Comma 3 5 6" xfId="10568" xr:uid="{FB3FD1FA-D1A7-42AC-B112-9214944ED9FC}"/>
    <cellStyle name="Comma 3 5 6 2" xfId="14933" xr:uid="{83E4A53D-28DB-43E2-8407-13B7384223CF}"/>
    <cellStyle name="Comma 3 5 6 2 2" xfId="22480" xr:uid="{98602EB2-797A-4AE0-B46B-F605F3DE43A4}"/>
    <cellStyle name="Comma 3 5 6 2 3" xfId="34481" xr:uid="{2A3F90A4-64E0-4129-8382-E3608F5BAFFA}"/>
    <cellStyle name="Comma 3 5 6 2 4" xfId="51818" xr:uid="{789C0479-01F0-4EFA-9793-19CC9365A4C7}"/>
    <cellStyle name="Comma 3 5 6 2 5" xfId="54834" xr:uid="{FBEE6628-D72E-4058-B974-521736E7D612}"/>
    <cellStyle name="Comma 3 5 6 3" xfId="15418" xr:uid="{54523CCC-8022-4B10-89D4-E2C58409112F}"/>
    <cellStyle name="Comma 3 5 6 3 2" xfId="22957" xr:uid="{C9A58A7D-35B3-4642-9DD1-6AEBE9B30DAD}"/>
    <cellStyle name="Comma 3 5 6 3 3" xfId="48222" xr:uid="{43C9DFAA-A81A-4C28-ADFE-8CFD5AFA1158}"/>
    <cellStyle name="Comma 3 5 6 3 4" xfId="52295" xr:uid="{5EA0630E-6550-4687-AFE1-EAA3A2BFEDC3}"/>
    <cellStyle name="Comma 3 5 6 3 5" xfId="55311" xr:uid="{8CA18D0B-28F4-4A79-B7FF-504E0C49360F}"/>
    <cellStyle name="Comma 3 5 6 4" xfId="15906" xr:uid="{24512794-803C-4453-A369-E7EDF357953A}"/>
    <cellStyle name="Comma 3 5 6 4 2" xfId="23434" xr:uid="{2B7AE044-1198-4662-87A7-FF75B074EBCE}"/>
    <cellStyle name="Comma 3 5 6 4 3" xfId="46981" xr:uid="{CCD90820-4B65-4899-9731-DFE900184108}"/>
    <cellStyle name="Comma 3 5 6 4 4" xfId="52772" xr:uid="{3BCB02AC-F4A2-4034-8768-9BA302734E8B}"/>
    <cellStyle name="Comma 3 5 6 4 5" xfId="55788" xr:uid="{5E24D6E2-6603-4629-9B90-757165399D4C}"/>
    <cellStyle name="Comma 3 5 6 5" xfId="13021" xr:uid="{A7713C00-4BF5-4FCF-8DFF-27B711282676}"/>
    <cellStyle name="Comma 3 5 6 5 2" xfId="48242" xr:uid="{73BA84EF-A7CC-4683-B045-D1C9F52E86B6}"/>
    <cellStyle name="Comma 3 5 6 5 3" xfId="51341" xr:uid="{04949415-1F4E-46A6-BA5E-41EFC03FC16A}"/>
    <cellStyle name="Comma 3 5 6 5 4" xfId="54357" xr:uid="{11CC6087-465B-4EEE-8CBC-0BD719C89781}"/>
    <cellStyle name="Comma 3 5 6 6" xfId="47506" xr:uid="{6FD21EFD-CC19-4261-ACFA-2522D046F9A2}"/>
    <cellStyle name="Comma 3 5 6 7" xfId="50235" xr:uid="{71C9271E-6D81-43A0-92D2-F84187E2FBF8}"/>
    <cellStyle name="Comma 3 5 6 8" xfId="53251" xr:uid="{CC50262E-F3AF-4271-816F-C04AA3492B94}"/>
    <cellStyle name="Comma 3 5 7" xfId="13057" xr:uid="{82D1E5CD-BEFB-4454-9EA0-500A1BB2506F}"/>
    <cellStyle name="Comma 3 5 8" xfId="14509" xr:uid="{2DB08D61-6F67-4049-B7AC-929AD3567476}"/>
    <cellStyle name="Comma 3 5 8 2" xfId="22056" xr:uid="{04B34C96-9577-46C9-BCB8-595F59D535F1}"/>
    <cellStyle name="Comma 3 5 8 3" xfId="23972" xr:uid="{BEA3CB0A-E051-4DB0-8A67-F2C3AEC5E228}"/>
    <cellStyle name="Comma 3 5 8 4" xfId="51394" xr:uid="{B9A9369C-4597-4934-9F29-685E51AE3587}"/>
    <cellStyle name="Comma 3 5 8 5" xfId="54410" xr:uid="{FBA50A02-CBAA-4B33-8876-0487E2843B3E}"/>
    <cellStyle name="Comma 3 5 9" xfId="14993" xr:uid="{DDEE88D2-E56D-4D30-B1CD-6A34D32FED13}"/>
    <cellStyle name="Comma 3 5 9 2" xfId="22533" xr:uid="{74C76FEE-03AF-4F0B-B5C5-1E2A70AFC534}"/>
    <cellStyle name="Comma 3 5 9 3" xfId="48357" xr:uid="{68A34AFE-CFA8-4D5F-B0D3-F6D43F1D0EA0}"/>
    <cellStyle name="Comma 3 5 9 4" xfId="51871" xr:uid="{B3590B47-66BC-4C74-83D6-736E6A2844EE}"/>
    <cellStyle name="Comma 3 5 9 5" xfId="54887" xr:uid="{8EDBB010-99BB-4774-94B0-5536EFB341E8}"/>
    <cellStyle name="Comma 3 6" xfId="2620" xr:uid="{BC5D62CA-284C-4700-9CEF-B54EA5668EDA}"/>
    <cellStyle name="Comma 3 6 10" xfId="11698" xr:uid="{704AC47E-8F28-4539-8F92-85BCA64CAC14}"/>
    <cellStyle name="Comma 3 6 2" xfId="21719" xr:uid="{5C7F3F8C-5C1C-4888-A39C-1DDB3EA2F120}"/>
    <cellStyle name="Comma 3 6 3" xfId="23752" xr:uid="{001EA479-F706-4717-A0A0-2265298FEE27}"/>
    <cellStyle name="Comma 3 6 4" xfId="47690" xr:uid="{2D52126E-2882-4F82-A67B-EAD8461FED19}"/>
    <cellStyle name="Comma 3 6 5" xfId="48635" xr:uid="{B3559B9A-A146-4D5E-AC3A-FD898BF28269}"/>
    <cellStyle name="Comma 3 6 6" xfId="49543" xr:uid="{937ABE65-74BC-43C0-AE2C-22DB362AABD8}"/>
    <cellStyle name="Comma 3 6 7" xfId="50745" xr:uid="{E78F47AE-CF00-4AC3-B716-6BDC56A6BF0F}"/>
    <cellStyle name="Comma 3 6 8" xfId="53761" xr:uid="{2B616AA9-729F-4695-80C9-C07A5ECE25C3}"/>
    <cellStyle name="Comma 3 6 9" xfId="18300" xr:uid="{0325DFD7-F4C8-4198-AFD2-937475F402AE}"/>
    <cellStyle name="Comma 3 7" xfId="11143" xr:uid="{E9986791-D064-4907-B109-592C5B0A0F12}"/>
    <cellStyle name="Comma 3 7 2" xfId="21675" xr:uid="{EEC8E58C-D24B-451F-940B-133C11E48AD0}"/>
    <cellStyle name="Comma 3 7 3" xfId="23753" xr:uid="{ADB26CBE-3308-4AC9-85A4-112A8DF5D69A}"/>
    <cellStyle name="Comma 3 7 4" xfId="48184" xr:uid="{C02CB15E-2859-4EED-8F27-ABC491FB2A0E}"/>
    <cellStyle name="Comma 3 7 5" xfId="48636" xr:uid="{13D54808-4829-467D-8711-BCB0C7F846A3}"/>
    <cellStyle name="Comma 3 7 6" xfId="49544" xr:uid="{E0152E26-68EA-44A7-B0FE-57F0726A7846}"/>
    <cellStyle name="Comma 3 7 7" xfId="50691" xr:uid="{7F3DAACD-3DFB-437A-89F3-99F6DDD05568}"/>
    <cellStyle name="Comma 3 7 8" xfId="53707" xr:uid="{FFD321BC-288E-466B-BDB0-08C42FA0978D}"/>
    <cellStyle name="Comma 3 7 9" xfId="18042" xr:uid="{3504DA0D-CE71-4131-9538-8A53FE763A05}"/>
    <cellStyle name="Comma 3 8" xfId="19482" xr:uid="{ED568B13-7262-4C21-869C-6EB8C4285925}"/>
    <cellStyle name="Comma 3 8 2" xfId="23754" xr:uid="{38C4B00F-C241-495C-BE52-D8B8CB49C438}"/>
    <cellStyle name="Comma 3 8 3" xfId="48637" xr:uid="{DB6D3B11-DA77-4AEB-8A3B-B6A17C282D0D}"/>
    <cellStyle name="Comma 3 8 4" xfId="49545" xr:uid="{9977340F-9BDB-49D0-9866-77A24E47DCE9}"/>
    <cellStyle name="Comma 3 9" xfId="23755" xr:uid="{C0340107-E71C-4520-B80E-8AFDE908090A}"/>
    <cellStyle name="Comma 4" xfId="52" xr:uid="{00000000-0005-0000-0000-000057000000}"/>
    <cellStyle name="Comma 4 10" xfId="23756" xr:uid="{A0FF8F0D-6D56-4DF7-8F1E-5B1170B0899E}"/>
    <cellStyle name="Comma 4 11" xfId="48638" xr:uid="{3909D852-3258-41F8-A1D6-8E23EAEF5881}"/>
    <cellStyle name="Comma 4 12" xfId="49546" xr:uid="{4113EF31-5E15-4F02-913D-E5874C6E5A97}"/>
    <cellStyle name="Comma 4 13" xfId="7235" xr:uid="{17054520-F74E-4576-9557-182960003C86}"/>
    <cellStyle name="Comma 4 2" xfId="53" xr:uid="{00000000-0005-0000-0000-000058000000}"/>
    <cellStyle name="Comma 4 2 10" xfId="14967" xr:uid="{FE0568D5-A9D5-4F6B-8E17-9505112F55F4}"/>
    <cellStyle name="Comma 4 2 10 2" xfId="22511" xr:uid="{7B76FC37-D751-4CF9-9931-B8C7B5F25391}"/>
    <cellStyle name="Comma 4 2 10 3" xfId="32516" xr:uid="{A28444EA-A780-4153-A9F2-D0E3C5A75DC0}"/>
    <cellStyle name="Comma 4 2 10 4" xfId="51849" xr:uid="{A091004E-CD26-4A49-A1DD-811E1CD7F9DD}"/>
    <cellStyle name="Comma 4 2 10 5" xfId="54865" xr:uid="{3369E10A-AA0B-42B0-B827-58BBC163471C}"/>
    <cellStyle name="Comma 4 2 11" xfId="15453" xr:uid="{2FB5551B-4AC8-4403-B114-A6310E062EA0}"/>
    <cellStyle name="Comma 4 2 11 2" xfId="22988" xr:uid="{75B8ECA9-441A-437D-B490-51E00EC9D9A6}"/>
    <cellStyle name="Comma 4 2 11 3" xfId="24441" xr:uid="{8C49ADF0-D0AD-4A19-8B04-71869C65A774}"/>
    <cellStyle name="Comma 4 2 11 4" xfId="52326" xr:uid="{8028F5A6-C292-42EC-B713-0204703DBCA3}"/>
    <cellStyle name="Comma 4 2 11 5" xfId="55342" xr:uid="{01B12497-911B-4919-BE75-5100A6412600}"/>
    <cellStyle name="Comma 4 2 12" xfId="19487" xr:uid="{F2DF3937-ECB8-4515-8F91-1C6B8D3042D6}"/>
    <cellStyle name="Comma 4 2 13" xfId="23757" xr:uid="{118E7343-4D2C-4ACE-AF38-3018E8D950AE}"/>
    <cellStyle name="Comma 4 2 14" xfId="48639" xr:uid="{75A2017B-10C5-4664-88C9-9F510871A374}"/>
    <cellStyle name="Comma 4 2 15" xfId="49547" xr:uid="{D830AF1B-0731-461A-8F9B-FDEE535432F3}"/>
    <cellStyle name="Comma 4 2 16" xfId="49789" xr:uid="{74F2F79A-929F-46D3-957D-866C2C1E05B7}"/>
    <cellStyle name="Comma 4 2 17" xfId="52804" xr:uid="{9EA5BD4F-535A-48E5-9F82-9A1E55FB2B68}"/>
    <cellStyle name="Comma 4 2 2" xfId="2626" xr:uid="{4E33E8F0-E4ED-4400-89CC-A7E578BA790C}"/>
    <cellStyle name="Comma 4 2 2 10" xfId="15463" xr:uid="{3F9B12CB-9657-436B-ABE3-F78A1525FF84}"/>
    <cellStyle name="Comma 4 2 2 10 2" xfId="22994" xr:uid="{B0284BE2-7EA2-4278-A8D0-639CD5944194}"/>
    <cellStyle name="Comma 4 2 2 10 3" xfId="46537" xr:uid="{C465FF42-F352-45CB-A7CE-B39BF0A8B1AC}"/>
    <cellStyle name="Comma 4 2 2 10 4" xfId="52332" xr:uid="{8FBA93D8-D350-4C20-A03A-459B1A527A9A}"/>
    <cellStyle name="Comma 4 2 2 10 5" xfId="55348" xr:uid="{D6826BB3-7A13-4397-9C01-9DFE14EBB202}"/>
    <cellStyle name="Comma 4 2 2 11" xfId="11195" xr:uid="{2E063EFC-EF9F-4B71-A702-6819EDDD0B49}"/>
    <cellStyle name="Comma 4 2 2 11 2" xfId="21691" xr:uid="{DC88CC13-6A1F-4E66-85EA-90E9E9CCCD83}"/>
    <cellStyle name="Comma 4 2 2 11 3" xfId="32442" xr:uid="{3250589C-BCE5-48FC-BFD7-0FAEA41D7372}"/>
    <cellStyle name="Comma 4 2 2 11 4" xfId="50708" xr:uid="{78BEBFAB-E490-4BBC-927F-7893DE4EE180}"/>
    <cellStyle name="Comma 4 2 2 11 5" xfId="53724" xr:uid="{26495475-9CDE-48BB-B69B-5E0F75682A97}"/>
    <cellStyle name="Comma 4 2 2 12" xfId="19488" xr:uid="{77139A38-BCB9-442B-8047-46040F23191C}"/>
    <cellStyle name="Comma 4 2 2 13" xfId="23758" xr:uid="{D0FC65DC-205E-4146-A23A-999DA148777D}"/>
    <cellStyle name="Comma 4 2 2 14" xfId="48640" xr:uid="{E36E3872-677E-4208-AC15-17026DC7EDA9}"/>
    <cellStyle name="Comma 4 2 2 15" xfId="49548" xr:uid="{AE7B0E44-DDC6-4EB2-ADAC-1101B807B9FB}"/>
    <cellStyle name="Comma 4 2 2 16" xfId="49795" xr:uid="{E2F46900-1297-4835-B0F4-E69C34C62193}"/>
    <cellStyle name="Comma 4 2 2 17" xfId="52810" xr:uid="{F6733F57-C024-4B48-8BF2-A0E18D6BEB7A}"/>
    <cellStyle name="Comma 4 2 2 2" xfId="8935" xr:uid="{2CD568C4-117A-41C6-BE9D-C02F3F057E22}"/>
    <cellStyle name="Comma 4 2 2 2 10" xfId="11496" xr:uid="{A72208B0-C885-43ED-BE67-3847478FD7AD}"/>
    <cellStyle name="Comma 4 2 2 2 10 2" xfId="48434" xr:uid="{D5FC4AED-F186-4E78-AF06-FD6506435424}"/>
    <cellStyle name="Comma 4 2 2 2 10 3" xfId="50720" xr:uid="{56FE3937-CDE7-4E19-83C9-DBE949F4E02D}"/>
    <cellStyle name="Comma 4 2 2 2 10 4" xfId="53736" xr:uid="{852B4754-5D23-43DA-B317-5A36942F2232}"/>
    <cellStyle name="Comma 4 2 2 2 11" xfId="23759" xr:uid="{E391D560-3C22-44F6-BB28-769296FAAA8A}"/>
    <cellStyle name="Comma 4 2 2 2 12" xfId="48641" xr:uid="{7E4D6C23-F852-415C-9CFA-4C2C135560A7}"/>
    <cellStyle name="Comma 4 2 2 2 13" xfId="49549" xr:uid="{D0635CBE-5CD7-44DC-B6BF-E388D7B1B09F}"/>
    <cellStyle name="Comma 4 2 2 2 14" xfId="49812" xr:uid="{8645314B-5CE6-410D-AB42-91B290819CE8}"/>
    <cellStyle name="Comma 4 2 2 2 15" xfId="52827" xr:uid="{F8535001-2C70-4190-A1DC-95AEA1CBA421}"/>
    <cellStyle name="Comma 4 2 2 2 2" xfId="10022" xr:uid="{50999523-92B5-4470-B6F4-51DD79D1E88E}"/>
    <cellStyle name="Comma 4 2 2 2 2 2" xfId="10330" xr:uid="{2CAB4E6E-6261-4B9A-A763-8FD3A6A85998}"/>
    <cellStyle name="Comma 4 2 2 2 2 2 2" xfId="14775" xr:uid="{EA1B98EB-803D-40B1-BFEB-EA0867E36864}"/>
    <cellStyle name="Comma 4 2 2 2 2 2 2 2" xfId="22322" xr:uid="{5A2BF512-598A-42B3-8DB6-20375D091556}"/>
    <cellStyle name="Comma 4 2 2 2 2 2 2 3" xfId="48063" xr:uid="{0B0DD3C6-29F6-4F4D-9DAC-3AD18EFAF114}"/>
    <cellStyle name="Comma 4 2 2 2 2 2 2 4" xfId="51660" xr:uid="{D83F529D-38F2-4502-9D6C-1FCB45B8AA0E}"/>
    <cellStyle name="Comma 4 2 2 2 2 2 2 5" xfId="54676" xr:uid="{1127FCC6-DF59-49BB-A78F-57894F60DE90}"/>
    <cellStyle name="Comma 4 2 2 2 2 2 3" xfId="15260" xr:uid="{B391A9B3-2B26-4124-ACAA-3E480B1C381C}"/>
    <cellStyle name="Comma 4 2 2 2 2 2 3 2" xfId="22799" xr:uid="{3D0F5E62-002A-476B-9F50-BF49DF9943EF}"/>
    <cellStyle name="Comma 4 2 2 2 2 2 3 3" xfId="46898" xr:uid="{453354AB-A39E-4AE9-910C-81720E3238E2}"/>
    <cellStyle name="Comma 4 2 2 2 2 2 3 4" xfId="52137" xr:uid="{FA995DC9-BAB9-4ADF-B59B-72B8D119CF63}"/>
    <cellStyle name="Comma 4 2 2 2 2 2 3 5" xfId="55153" xr:uid="{AF8177AE-503E-4394-9850-4489A6876241}"/>
    <cellStyle name="Comma 4 2 2 2 2 2 4" xfId="15747" xr:uid="{D36D1BD2-734E-45F1-8864-42AF03B274A8}"/>
    <cellStyle name="Comma 4 2 2 2 2 2 4 2" xfId="23276" xr:uid="{46B91EDB-1580-4029-A315-468F7369010D}"/>
    <cellStyle name="Comma 4 2 2 2 2 2 4 3" xfId="24313" xr:uid="{FEF94231-C6B6-4DB8-82E3-FB110964DE10}"/>
    <cellStyle name="Comma 4 2 2 2 2 2 4 4" xfId="52614" xr:uid="{C7586628-62F8-4C49-84E7-7228AFAFB850}"/>
    <cellStyle name="Comma 4 2 2 2 2 2 4 5" xfId="55630" xr:uid="{4049A647-6E5A-46F9-9010-E17E3F83BF23}"/>
    <cellStyle name="Comma 4 2 2 2 2 2 5" xfId="12783" xr:uid="{706B9783-210C-41EF-B2BE-5C253DA389A6}"/>
    <cellStyle name="Comma 4 2 2 2 2 2 5 2" xfId="48340" xr:uid="{DF8FF4FF-4378-4F82-8E9E-E7AB8161FCC2}"/>
    <cellStyle name="Comma 4 2 2 2 2 2 5 3" xfId="51183" xr:uid="{12A435A3-077E-46F8-BC9B-04FEE63EE9F8}"/>
    <cellStyle name="Comma 4 2 2 2 2 2 5 4" xfId="54199" xr:uid="{73C94A4F-B805-417E-884E-F5A3E589A673}"/>
    <cellStyle name="Comma 4 2 2 2 2 2 6" xfId="48156" xr:uid="{76C37BA5-1C4C-4C0D-8096-045E1FBA49FD}"/>
    <cellStyle name="Comma 4 2 2 2 2 2 7" xfId="50077" xr:uid="{6AB06342-8CD4-465C-AA00-ECBED47D9C32}"/>
    <cellStyle name="Comma 4 2 2 2 2 2 8" xfId="53093" xr:uid="{94A2438D-D4BE-421B-9174-A3C5498BB0D3}"/>
    <cellStyle name="Comma 4 2 2 2 2 3" xfId="14563" xr:uid="{51DF93D9-EECA-4E3D-B1D0-5D1DE1064208}"/>
    <cellStyle name="Comma 4 2 2 2 2 3 2" xfId="22110" xr:uid="{2259559B-0F63-4BE6-8FDB-A8F09CD5DD91}"/>
    <cellStyle name="Comma 4 2 2 2 2 3 3" xfId="32285" xr:uid="{9509ABF8-F925-4CB4-8C4A-E01A127921B3}"/>
    <cellStyle name="Comma 4 2 2 2 2 3 4" xfId="51448" xr:uid="{13577C1F-B59A-4484-AEA0-733F2003851A}"/>
    <cellStyle name="Comma 4 2 2 2 2 3 5" xfId="54464" xr:uid="{F6BF4BAA-42E0-4A90-AF6D-6F37F5D74F52}"/>
    <cellStyle name="Comma 4 2 2 2 2 4" xfId="15047" xr:uid="{C2D51C2C-850F-4341-994A-026B39800E46}"/>
    <cellStyle name="Comma 4 2 2 2 2 4 2" xfId="22587" xr:uid="{53F2BC39-146B-406A-8042-4451866765FC}"/>
    <cellStyle name="Comma 4 2 2 2 2 4 3" xfId="47401" xr:uid="{37F9D228-426C-4CEC-937F-2DEC4D7DB4CA}"/>
    <cellStyle name="Comma 4 2 2 2 2 4 4" xfId="51925" xr:uid="{2C408AB6-135A-4D20-95C1-FFC733754209}"/>
    <cellStyle name="Comma 4 2 2 2 2 4 5" xfId="54941" xr:uid="{09AEDBC5-A61F-48D0-BCED-C2D9BAB1F3D2}"/>
    <cellStyle name="Comma 4 2 2 2 2 5" xfId="15534" xr:uid="{0A838AA2-B9AD-4DFE-A25C-69A29B4CB85D}"/>
    <cellStyle name="Comma 4 2 2 2 2 5 2" xfId="23064" xr:uid="{90057737-DD68-4921-8D1E-223B5CAC2CD2}"/>
    <cellStyle name="Comma 4 2 2 2 2 5 3" xfId="46931" xr:uid="{6B0AB393-D411-4F9E-B5F9-4D6896FED87D}"/>
    <cellStyle name="Comma 4 2 2 2 2 5 4" xfId="52402" xr:uid="{1B263F25-FC81-4BA5-B2E5-7F7A43088668}"/>
    <cellStyle name="Comma 4 2 2 2 2 5 5" xfId="55418" xr:uid="{371F4EE9-499E-4C38-9598-58FE5750D66A}"/>
    <cellStyle name="Comma 4 2 2 2 2 6" xfId="12482" xr:uid="{79EFA828-3B9C-4955-8FA3-7827CF0D49F7}"/>
    <cellStyle name="Comma 4 2 2 2 2 6 2" xfId="48103" xr:uid="{D188DEC4-19B5-414E-9D23-1499DAB45CEF}"/>
    <cellStyle name="Comma 4 2 2 2 2 6 3" xfId="50971" xr:uid="{A5047B6B-5175-4428-B49F-C7607C7A7E3D}"/>
    <cellStyle name="Comma 4 2 2 2 2 6 4" xfId="53987" xr:uid="{422D7360-0287-4F96-805B-ABFA8F100EDF}"/>
    <cellStyle name="Comma 4 2 2 2 2 7" xfId="47273" xr:uid="{81293BB7-5F73-4FBA-8156-C0D50E93E3A4}"/>
    <cellStyle name="Comma 4 2 2 2 2 8" xfId="49865" xr:uid="{0AAAB8F3-8F08-4CEE-911A-1D00431C703F}"/>
    <cellStyle name="Comma 4 2 2 2 2 9" xfId="52881" xr:uid="{3CE76BEF-6ACE-4323-A868-576131670820}"/>
    <cellStyle name="Comma 4 2 2 2 3" xfId="10096" xr:uid="{9588EF84-79F6-45A0-BF7E-F9D1DD68CB2B}"/>
    <cellStyle name="Comma 4 2 2 2 3 2" xfId="10409" xr:uid="{523EB08C-133D-4DE8-961E-342B385F483D}"/>
    <cellStyle name="Comma 4 2 2 2 3 2 2" xfId="14828" xr:uid="{5162C214-1816-4161-B31A-F0E22E1AC71E}"/>
    <cellStyle name="Comma 4 2 2 2 3 2 2 2" xfId="22375" xr:uid="{0D87ACD5-C0F3-4DDA-ADF5-B38B53B31CCA}"/>
    <cellStyle name="Comma 4 2 2 2 3 2 2 3" xfId="47538" xr:uid="{8CC7ABF4-39CC-41EF-9927-300BC5C8F9D4}"/>
    <cellStyle name="Comma 4 2 2 2 3 2 2 4" xfId="51713" xr:uid="{4E393B9F-F6C5-4B47-83B1-B1D4F48176E3}"/>
    <cellStyle name="Comma 4 2 2 2 3 2 2 5" xfId="54729" xr:uid="{DE1C9277-11E9-4961-8FD3-E0B86D84348B}"/>
    <cellStyle name="Comma 4 2 2 2 3 2 3" xfId="15313" xr:uid="{B997A293-676B-4C71-AB39-1EFBBEF2DA40}"/>
    <cellStyle name="Comma 4 2 2 2 3 2 3 2" xfId="22852" xr:uid="{CEB81563-16BC-415E-A41C-D16A2E5BB283}"/>
    <cellStyle name="Comma 4 2 2 2 3 2 3 3" xfId="37450" xr:uid="{054EF586-AC9F-407A-82FC-434856723F42}"/>
    <cellStyle name="Comma 4 2 2 2 3 2 3 4" xfId="52190" xr:uid="{72606EF9-C5C5-4FF6-93C0-3F6521684E6B}"/>
    <cellStyle name="Comma 4 2 2 2 3 2 3 5" xfId="55206" xr:uid="{3431C7E3-78DE-4793-83BE-07FFE8FB19BF}"/>
    <cellStyle name="Comma 4 2 2 2 3 2 4" xfId="15800" xr:uid="{E0527B7C-7BA6-4253-89E7-4F351E68080D}"/>
    <cellStyle name="Comma 4 2 2 2 3 2 4 2" xfId="23329" xr:uid="{2EE68582-EB40-4B4F-84E1-235823FEE5F6}"/>
    <cellStyle name="Comma 4 2 2 2 3 2 4 3" xfId="47675" xr:uid="{6C926606-88BB-4E85-8E73-9CBB09457BA6}"/>
    <cellStyle name="Comma 4 2 2 2 3 2 4 4" xfId="52667" xr:uid="{0F9779E1-831B-4E8A-9831-8ACE288CF4E3}"/>
    <cellStyle name="Comma 4 2 2 2 3 2 4 5" xfId="55683" xr:uid="{CDFDD415-8D39-45A0-8E14-E78E987AB8DE}"/>
    <cellStyle name="Comma 4 2 2 2 3 2 5" xfId="12862" xr:uid="{BC6B0FFB-A4D6-43A7-B5D2-44F45EE9B886}"/>
    <cellStyle name="Comma 4 2 2 2 3 2 5 2" xfId="48033" xr:uid="{2E823FBE-3016-4FF5-AB6D-5E5D865FBB15}"/>
    <cellStyle name="Comma 4 2 2 2 3 2 5 3" xfId="51236" xr:uid="{82D27989-A8B2-4FDD-9194-C4842C2811BC}"/>
    <cellStyle name="Comma 4 2 2 2 3 2 5 4" xfId="54252" xr:uid="{F09BE016-3B2C-4958-A64F-F88DDD449AF4}"/>
    <cellStyle name="Comma 4 2 2 2 3 2 6" xfId="47881" xr:uid="{04BA8EB2-810B-4602-A3EF-396B5FBCC211}"/>
    <cellStyle name="Comma 4 2 2 2 3 2 7" xfId="50130" xr:uid="{FF18A10F-8FDA-4E79-82B1-CB88AF92C7CF}"/>
    <cellStyle name="Comma 4 2 2 2 3 2 8" xfId="53146" xr:uid="{2E1C2C7E-1637-4295-9062-10FC0C5F2A75}"/>
    <cellStyle name="Comma 4 2 2 2 3 3" xfId="14616" xr:uid="{475E0735-5909-46EF-9E1C-EF635871D100}"/>
    <cellStyle name="Comma 4 2 2 2 3 3 2" xfId="22163" xr:uid="{6A48A2EF-3ADE-40BE-A483-E3D34677E670}"/>
    <cellStyle name="Comma 4 2 2 2 3 3 3" xfId="46408" xr:uid="{06587E28-A060-43C1-975B-343EE1A404FD}"/>
    <cellStyle name="Comma 4 2 2 2 3 3 4" xfId="51501" xr:uid="{C038BF19-41C4-4C48-A8A3-885F686E469F}"/>
    <cellStyle name="Comma 4 2 2 2 3 3 5" xfId="54517" xr:uid="{A80C7558-7B9B-42DE-BEAD-CBE4A79FE942}"/>
    <cellStyle name="Comma 4 2 2 2 3 4" xfId="15101" xr:uid="{61026538-ABA7-41A8-B6D2-A479B02379FF}"/>
    <cellStyle name="Comma 4 2 2 2 3 4 2" xfId="22640" xr:uid="{26ECE728-D2BE-43A6-A0E5-FFF6E7BD50FA}"/>
    <cellStyle name="Comma 4 2 2 2 3 4 3" xfId="48299" xr:uid="{0A2A1CC4-2F29-46E4-948F-D17E2D7A0E1C}"/>
    <cellStyle name="Comma 4 2 2 2 3 4 4" xfId="51978" xr:uid="{0CFE6C4C-33AC-49A0-8B40-B76C695A76F7}"/>
    <cellStyle name="Comma 4 2 2 2 3 4 5" xfId="54994" xr:uid="{C9C5F22E-6634-4C51-A334-31284BDF8CD6}"/>
    <cellStyle name="Comma 4 2 2 2 3 5" xfId="15588" xr:uid="{4EC4614B-0670-47D4-89EA-49B479BE6F1A}"/>
    <cellStyle name="Comma 4 2 2 2 3 5 2" xfId="23117" xr:uid="{9909A567-9932-49E0-AC53-0B5F5E682793}"/>
    <cellStyle name="Comma 4 2 2 2 3 5 3" xfId="48097" xr:uid="{1C9B1276-A3F0-4EA0-A908-239E95BF3E3B}"/>
    <cellStyle name="Comma 4 2 2 2 3 5 4" xfId="52455" xr:uid="{92BF4ABD-4C8E-4F44-827D-11636C3188A5}"/>
    <cellStyle name="Comma 4 2 2 2 3 5 5" xfId="55471" xr:uid="{9E5DE173-C5E8-4813-8FD4-E93BADD4593D}"/>
    <cellStyle name="Comma 4 2 2 2 3 6" xfId="12553" xr:uid="{1A266978-A0F9-4889-8479-A67C93B49DA1}"/>
    <cellStyle name="Comma 4 2 2 2 3 6 2" xfId="33694" xr:uid="{A1820E59-946D-4B0E-A219-DE881AB615AA}"/>
    <cellStyle name="Comma 4 2 2 2 3 6 3" xfId="51024" xr:uid="{E924EEA0-8340-4420-94FF-EE6DA3379145}"/>
    <cellStyle name="Comma 4 2 2 2 3 6 4" xfId="54040" xr:uid="{DD78D59A-A766-479D-824E-1AD7ED65C242}"/>
    <cellStyle name="Comma 4 2 2 2 3 7" xfId="47576" xr:uid="{BC4A610C-136C-44B7-AB81-C020D4C0C0E9}"/>
    <cellStyle name="Comma 4 2 2 2 3 8" xfId="49918" xr:uid="{5E865982-A89D-49BC-9E26-F8F34495C5CF}"/>
    <cellStyle name="Comma 4 2 2 2 3 9" xfId="52934" xr:uid="{2ABFCE2A-C570-4562-BB00-D177B3D508B0}"/>
    <cellStyle name="Comma 4 2 2 2 4" xfId="10175" xr:uid="{2A953DD4-47A7-4B58-940D-DCDE702650E9}"/>
    <cellStyle name="Comma 4 2 2 2 4 2" xfId="10489" xr:uid="{C8919942-095D-455C-B27A-CA0F505A4CFA}"/>
    <cellStyle name="Comma 4 2 2 2 4 2 2" xfId="14881" xr:uid="{0647C2E8-BEFB-4586-B33D-E57FBCB757FA}"/>
    <cellStyle name="Comma 4 2 2 2 4 2 2 2" xfId="22428" xr:uid="{89922D48-666D-4DC3-AE95-903289B67BC5}"/>
    <cellStyle name="Comma 4 2 2 2 4 2 2 3" xfId="47152" xr:uid="{8814370B-8596-45B2-BB69-EA68A4C49BBC}"/>
    <cellStyle name="Comma 4 2 2 2 4 2 2 4" xfId="51766" xr:uid="{CBA25C7E-9D76-4E0F-A86E-B223A6042BC0}"/>
    <cellStyle name="Comma 4 2 2 2 4 2 2 5" xfId="54782" xr:uid="{BFFE8456-B7A3-4FEE-A047-31F0EA1F7EF1}"/>
    <cellStyle name="Comma 4 2 2 2 4 2 3" xfId="15366" xr:uid="{6A60E5D0-9696-485E-A798-1DC4DC436FB1}"/>
    <cellStyle name="Comma 4 2 2 2 4 2 3 2" xfId="22905" xr:uid="{5FA8411C-0962-43D3-9893-C6D217F7F552}"/>
    <cellStyle name="Comma 4 2 2 2 4 2 3 3" xfId="24653" xr:uid="{52A07B42-FAE0-4CEA-91D4-F7AE6C6FC1BA}"/>
    <cellStyle name="Comma 4 2 2 2 4 2 3 4" xfId="52243" xr:uid="{E80C314F-24B2-460B-8DE3-DCFC9429272E}"/>
    <cellStyle name="Comma 4 2 2 2 4 2 3 5" xfId="55259" xr:uid="{7FD79832-DE03-4531-849A-3A7FBE4FAB49}"/>
    <cellStyle name="Comma 4 2 2 2 4 2 4" xfId="15853" xr:uid="{7EF65420-1F05-4029-A6A8-D633D021EEBB}"/>
    <cellStyle name="Comma 4 2 2 2 4 2 4 2" xfId="23382" xr:uid="{3E476B1F-C650-41DE-877D-20752EBC6FD0}"/>
    <cellStyle name="Comma 4 2 2 2 4 2 4 3" xfId="48372" xr:uid="{0BFE78E7-13EC-41FC-ABEF-BF624BDE6071}"/>
    <cellStyle name="Comma 4 2 2 2 4 2 4 4" xfId="52720" xr:uid="{A0BB74B5-5EC0-4819-AB92-8C3E0410284A}"/>
    <cellStyle name="Comma 4 2 2 2 4 2 4 5" xfId="55736" xr:uid="{307F5829-F990-4101-97FD-582AC97BC300}"/>
    <cellStyle name="Comma 4 2 2 2 4 2 5" xfId="12942" xr:uid="{0FE74331-6080-4B80-B870-E5A6A07DF5A0}"/>
    <cellStyle name="Comma 4 2 2 2 4 2 5 2" xfId="25039" xr:uid="{1457B4E1-548C-49C9-801F-1172D8841622}"/>
    <cellStyle name="Comma 4 2 2 2 4 2 5 3" xfId="51289" xr:uid="{BF632A13-F6B6-4EA8-B7D1-C71598B201FF}"/>
    <cellStyle name="Comma 4 2 2 2 4 2 5 4" xfId="54305" xr:uid="{79B28F69-E645-44EC-B9CE-2A3E065B6B22}"/>
    <cellStyle name="Comma 4 2 2 2 4 2 6" xfId="48461" xr:uid="{F29C05E8-0E02-4821-9E94-523A448DBEF8}"/>
    <cellStyle name="Comma 4 2 2 2 4 2 7" xfId="50183" xr:uid="{1E510569-1454-4347-BCA5-26B6401BBC00}"/>
    <cellStyle name="Comma 4 2 2 2 4 2 8" xfId="53199" xr:uid="{A95FD999-A9A5-4E8A-850C-139C1E53D215}"/>
    <cellStyle name="Comma 4 2 2 2 4 3" xfId="14669" xr:uid="{8649FF89-167A-4CCF-8D7E-96A05F0C8326}"/>
    <cellStyle name="Comma 4 2 2 2 4 3 2" xfId="22216" xr:uid="{7743DB67-08BA-48CF-AF08-3DFFD8684119}"/>
    <cellStyle name="Comma 4 2 2 2 4 3 3" xfId="32531" xr:uid="{6505468A-0C6B-435D-B537-40A4C420EA75}"/>
    <cellStyle name="Comma 4 2 2 2 4 3 4" xfId="51554" xr:uid="{DB1CA5D2-C187-4D9B-857E-2DA6768AE18F}"/>
    <cellStyle name="Comma 4 2 2 2 4 3 5" xfId="54570" xr:uid="{F54141A5-DE7A-4147-BDCA-D5C8B339CE3A}"/>
    <cellStyle name="Comma 4 2 2 2 4 4" xfId="15154" xr:uid="{193D9A93-16EF-484B-A1CC-227B97B879ED}"/>
    <cellStyle name="Comma 4 2 2 2 4 4 2" xfId="22693" xr:uid="{9FA73BF9-D74D-4A75-813A-37C2FA9B040D}"/>
    <cellStyle name="Comma 4 2 2 2 4 4 3" xfId="46688" xr:uid="{54C34351-BD5D-4F43-935D-17491BC629AE}"/>
    <cellStyle name="Comma 4 2 2 2 4 4 4" xfId="52031" xr:uid="{9E398518-7A7C-401E-8065-6793580C0741}"/>
    <cellStyle name="Comma 4 2 2 2 4 4 5" xfId="55047" xr:uid="{72C2728B-C971-44E2-A52B-3713002AA00A}"/>
    <cellStyle name="Comma 4 2 2 2 4 5" xfId="15641" xr:uid="{19E78A9A-6CFE-4626-9653-3643483E172F}"/>
    <cellStyle name="Comma 4 2 2 2 4 5 2" xfId="23170" xr:uid="{BFEB5972-ECAF-4E1A-9600-63E43B1C9837}"/>
    <cellStyle name="Comma 4 2 2 2 4 5 3" xfId="47645" xr:uid="{99E5B4EB-F60C-47C2-B19D-6B2FA40BA7CC}"/>
    <cellStyle name="Comma 4 2 2 2 4 5 4" xfId="52508" xr:uid="{8DEA956D-ED1E-4660-901D-DE7732B58BB0}"/>
    <cellStyle name="Comma 4 2 2 2 4 5 5" xfId="55524" xr:uid="{43D64282-F851-4256-8003-132A8CA97D20}"/>
    <cellStyle name="Comma 4 2 2 2 4 6" xfId="12629" xr:uid="{7E669B50-FD66-47B8-9473-1DE2331FCF13}"/>
    <cellStyle name="Comma 4 2 2 2 4 6 2" xfId="25067" xr:uid="{557F86B9-9CD6-4809-BE96-68AF82A2248D}"/>
    <cellStyle name="Comma 4 2 2 2 4 6 3" xfId="51077" xr:uid="{210D2564-958C-4D69-ADA9-CBD4F8863536}"/>
    <cellStyle name="Comma 4 2 2 2 4 6 4" xfId="54093" xr:uid="{B3D9D95D-D650-4811-AF04-EBCE7308EA6A}"/>
    <cellStyle name="Comma 4 2 2 2 4 7" xfId="48567" xr:uid="{81AA3731-3758-44FE-BA09-26D5C2130CDD}"/>
    <cellStyle name="Comma 4 2 2 2 4 8" xfId="49971" xr:uid="{5A0098C4-BEF2-4903-9A8D-1F0F58320F2E}"/>
    <cellStyle name="Comma 4 2 2 2 4 9" xfId="52987" xr:uid="{443FC37C-B98A-40BC-B57C-B5128A6625C0}"/>
    <cellStyle name="Comma 4 2 2 2 5" xfId="10255" xr:uid="{A3D9511C-E17C-4993-97C0-B90C1CD436C9}"/>
    <cellStyle name="Comma 4 2 2 2 5 2" xfId="14722" xr:uid="{00C254AB-333A-44BF-819D-DB32F7A6B6EA}"/>
    <cellStyle name="Comma 4 2 2 2 5 2 2" xfId="22269" xr:uid="{BA7E8DC4-4B53-4579-B50E-53EB5294AA01}"/>
    <cellStyle name="Comma 4 2 2 2 5 2 3" xfId="24958" xr:uid="{3EC2BA95-E3B7-4281-AD93-C72622488B81}"/>
    <cellStyle name="Comma 4 2 2 2 5 2 4" xfId="51607" xr:uid="{9BF761E4-BFED-4735-AE12-697807714152}"/>
    <cellStyle name="Comma 4 2 2 2 5 2 5" xfId="54623" xr:uid="{496484F1-FDD0-475C-AD1E-0C26B3C67469}"/>
    <cellStyle name="Comma 4 2 2 2 5 3" xfId="15207" xr:uid="{A4282865-F7F3-460E-BFF5-BBC837D8D652}"/>
    <cellStyle name="Comma 4 2 2 2 5 3 2" xfId="22746" xr:uid="{FA626783-CBF8-4DA5-8080-17424E1AC0CD}"/>
    <cellStyle name="Comma 4 2 2 2 5 3 3" xfId="25290" xr:uid="{3BF8CD1F-107D-48FC-9091-A8D636168817}"/>
    <cellStyle name="Comma 4 2 2 2 5 3 4" xfId="52084" xr:uid="{35544964-5359-4984-A745-F01DD129D8C3}"/>
    <cellStyle name="Comma 4 2 2 2 5 3 5" xfId="55100" xr:uid="{08A4870F-0E6E-4944-B47C-12999A6B4006}"/>
    <cellStyle name="Comma 4 2 2 2 5 4" xfId="15694" xr:uid="{BB06D06A-60E5-4641-A39F-52D8A3F30003}"/>
    <cellStyle name="Comma 4 2 2 2 5 4 2" xfId="23223" xr:uid="{C0245534-87AF-45C9-B598-78A4AF625583}"/>
    <cellStyle name="Comma 4 2 2 2 5 4 3" xfId="47046" xr:uid="{45AA604D-7232-4D5D-9BEF-471BFA33BD9B}"/>
    <cellStyle name="Comma 4 2 2 2 5 4 4" xfId="52561" xr:uid="{B37FE9B3-DCEB-4497-BCCC-6B75B8FF9418}"/>
    <cellStyle name="Comma 4 2 2 2 5 4 5" xfId="55577" xr:uid="{60508820-CF01-4BA1-8168-0EF7C0A0E2C2}"/>
    <cellStyle name="Comma 4 2 2 2 5 5" xfId="12708" xr:uid="{F5DFF033-1404-40A9-8468-CC1DED0F6438}"/>
    <cellStyle name="Comma 4 2 2 2 5 5 2" xfId="46784" xr:uid="{12BC527E-F2FB-4055-BCC6-8893D751542A}"/>
    <cellStyle name="Comma 4 2 2 2 5 5 3" xfId="51130" xr:uid="{24FD95A0-D4D7-410E-B3D7-A5DFDF17F973}"/>
    <cellStyle name="Comma 4 2 2 2 5 5 4" xfId="54146" xr:uid="{C0038CED-AA11-41B8-8DE0-B02F2D6FF59C}"/>
    <cellStyle name="Comma 4 2 2 2 5 6" xfId="48571" xr:uid="{4DE57BA0-F87B-4807-B96E-C46A8397628F}"/>
    <cellStyle name="Comma 4 2 2 2 5 7" xfId="50024" xr:uid="{05E717FB-461D-48A2-B0CA-9F99F39B0929}"/>
    <cellStyle name="Comma 4 2 2 2 5 8" xfId="53040" xr:uid="{5A26B573-7B10-421B-85C3-8355F49A56A8}"/>
    <cellStyle name="Comma 4 2 2 2 6" xfId="10569" xr:uid="{C610AC1C-285B-4EA2-8008-EE7176DF5382}"/>
    <cellStyle name="Comma 4 2 2 2 6 2" xfId="14934" xr:uid="{DB8B258E-FB00-423E-97B7-CBEC8042651A}"/>
    <cellStyle name="Comma 4 2 2 2 6 2 2" xfId="22481" xr:uid="{3A4EAA77-3AAC-491B-B5C0-48B6566E1AA5}"/>
    <cellStyle name="Comma 4 2 2 2 6 2 3" xfId="47808" xr:uid="{17540EAB-1DF4-48B6-97DC-88F305D6BB43}"/>
    <cellStyle name="Comma 4 2 2 2 6 2 4" xfId="51819" xr:uid="{7B088D38-44E8-4C8F-8C95-B7A4E90AC518}"/>
    <cellStyle name="Comma 4 2 2 2 6 2 5" xfId="54835" xr:uid="{32771F30-D65B-4A97-90C1-370577254C23}"/>
    <cellStyle name="Comma 4 2 2 2 6 3" xfId="15419" xr:uid="{909C810D-EAFC-4AA9-B7D0-B8B940A56E11}"/>
    <cellStyle name="Comma 4 2 2 2 6 3 2" xfId="22958" xr:uid="{7CD68EE6-70E6-4193-A7A8-F4DEFBEFFE2B}"/>
    <cellStyle name="Comma 4 2 2 2 6 3 3" xfId="25289" xr:uid="{E6C363F4-9EA3-4D70-AA77-EFAB061945EC}"/>
    <cellStyle name="Comma 4 2 2 2 6 3 4" xfId="52296" xr:uid="{7F6766F9-938E-4485-BA49-71565AB5ABF0}"/>
    <cellStyle name="Comma 4 2 2 2 6 3 5" xfId="55312" xr:uid="{E8168C2F-A386-4EA4-B80A-BF818F2CD3D0}"/>
    <cellStyle name="Comma 4 2 2 2 6 4" xfId="15907" xr:uid="{24A11498-7F5F-4450-A1BA-3437EB1E03FE}"/>
    <cellStyle name="Comma 4 2 2 2 6 4 2" xfId="23435" xr:uid="{59763D23-F6C4-433A-83E6-EDDE7E57EA09}"/>
    <cellStyle name="Comma 4 2 2 2 6 4 3" xfId="48373" xr:uid="{65F54DFA-BE74-4F55-95BE-E9978E8AAA7F}"/>
    <cellStyle name="Comma 4 2 2 2 6 4 4" xfId="52773" xr:uid="{71C636FA-1ABB-4267-BF93-37E55286F2F3}"/>
    <cellStyle name="Comma 4 2 2 2 6 4 5" xfId="55789" xr:uid="{6A42DA53-0A0C-4D1C-8F63-5ED670EEEE3F}"/>
    <cellStyle name="Comma 4 2 2 2 6 5" xfId="13022" xr:uid="{4685F4F1-B851-420F-878E-AA83E9B15EE1}"/>
    <cellStyle name="Comma 4 2 2 2 6 5 2" xfId="46383" xr:uid="{B401D835-1D0B-4419-8B8A-4C2E5DFDE79C}"/>
    <cellStyle name="Comma 4 2 2 2 6 5 3" xfId="51342" xr:uid="{B3CE7835-B6C6-4F84-BD8D-A1D55D4DB980}"/>
    <cellStyle name="Comma 4 2 2 2 6 5 4" xfId="54358" xr:uid="{FBC49978-C680-4F97-B546-61F612D95613}"/>
    <cellStyle name="Comma 4 2 2 2 6 6" xfId="46631" xr:uid="{8C797DBF-6CF9-421C-8A02-74604FCB4542}"/>
    <cellStyle name="Comma 4 2 2 2 6 7" xfId="50236" xr:uid="{26E88B0A-5DFD-4556-8147-A0DF756B7C95}"/>
    <cellStyle name="Comma 4 2 2 2 6 8" xfId="53252" xr:uid="{3AF590EE-5EFD-4F73-BD13-EA46E094F220}"/>
    <cellStyle name="Comma 4 2 2 2 7" xfId="14510" xr:uid="{1169AD73-A99C-4211-89C3-12897CCFD73B}"/>
    <cellStyle name="Comma 4 2 2 2 7 2" xfId="22057" xr:uid="{657502F4-2B3B-4831-8036-B0F5FD8E2CD2}"/>
    <cellStyle name="Comma 4 2 2 2 7 3" xfId="46390" xr:uid="{25F60FA5-7521-4264-9E9F-5A9F0E236BFA}"/>
    <cellStyle name="Comma 4 2 2 2 7 4" xfId="51395" xr:uid="{5CE579B9-4645-4F80-9776-2439D20433C5}"/>
    <cellStyle name="Comma 4 2 2 2 7 5" xfId="54411" xr:uid="{42C89B99-F346-49B0-985B-A518153529C8}"/>
    <cellStyle name="Comma 4 2 2 2 8" xfId="14994" xr:uid="{E111C3BA-098C-4AD7-BAE7-9F21AB8A288F}"/>
    <cellStyle name="Comma 4 2 2 2 8 2" xfId="22534" xr:uid="{8DDFFEDA-BB43-4286-8816-72E0C1279A58}"/>
    <cellStyle name="Comma 4 2 2 2 8 3" xfId="48505" xr:uid="{D8F1D0C0-5886-458D-A60A-48111807BE5E}"/>
    <cellStyle name="Comma 4 2 2 2 8 4" xfId="51872" xr:uid="{809E9101-AF54-46E5-AC7E-FD4D68FF248E}"/>
    <cellStyle name="Comma 4 2 2 2 8 5" xfId="54888" xr:uid="{1FA63331-6D8B-470F-A241-397E1F1FC0D0}"/>
    <cellStyle name="Comma 4 2 2 2 9" xfId="15481" xr:uid="{536422BC-C581-4D24-979D-7CF80518783D}"/>
    <cellStyle name="Comma 4 2 2 2 9 2" xfId="23011" xr:uid="{05BEC4F4-DE02-4D7C-A309-DFE9BA9DAC18}"/>
    <cellStyle name="Comma 4 2 2 2 9 3" xfId="47002" xr:uid="{6D66FD8D-42EE-4D84-B3CB-5FD2E5F642CE}"/>
    <cellStyle name="Comma 4 2 2 2 9 4" xfId="52349" xr:uid="{7903B9F6-B5D5-4766-8C1B-05234CEABBDC}"/>
    <cellStyle name="Comma 4 2 2 2 9 5" xfId="55365" xr:uid="{FBCBF40B-C9E4-4849-9164-241C95DDB4FD}"/>
    <cellStyle name="Comma 4 2 2 3" xfId="9881" xr:uid="{776888D6-A15E-47B6-BBEF-57260F59E5DD}"/>
    <cellStyle name="Comma 4 2 2 3 2" xfId="10307" xr:uid="{52D99890-3B7D-4F2D-A58B-31B56A4E266F}"/>
    <cellStyle name="Comma 4 2 2 3 2 2" xfId="14758" xr:uid="{9AA7BAE4-5613-4F73-AA09-47097F3BA74A}"/>
    <cellStyle name="Comma 4 2 2 3 2 2 2" xfId="22305" xr:uid="{22CE889F-72FC-4A17-9A0E-B2F897A3CD49}"/>
    <cellStyle name="Comma 4 2 2 3 2 2 3" xfId="47929" xr:uid="{CDB73852-C6E6-465E-A974-FF1C6DD05009}"/>
    <cellStyle name="Comma 4 2 2 3 2 2 4" xfId="51643" xr:uid="{DFFA4A1B-D989-417C-8ABA-48C38B72CC41}"/>
    <cellStyle name="Comma 4 2 2 3 2 2 5" xfId="54659" xr:uid="{FB08C81A-4D75-4C68-96E1-9B688429AAC8}"/>
    <cellStyle name="Comma 4 2 2 3 2 3" xfId="15243" xr:uid="{04FC28B3-4873-435E-BCEB-16EC9D0D1AA9}"/>
    <cellStyle name="Comma 4 2 2 3 2 3 2" xfId="22782" xr:uid="{E003D8F9-6B8A-4479-B212-8BA54A0D8B54}"/>
    <cellStyle name="Comma 4 2 2 3 2 3 3" xfId="48218" xr:uid="{AAB372B7-823A-437C-BDC2-91E37261D950}"/>
    <cellStyle name="Comma 4 2 2 3 2 3 4" xfId="52120" xr:uid="{5C8B295A-41F9-4D5B-99CB-14D9528371E5}"/>
    <cellStyle name="Comma 4 2 2 3 2 3 5" xfId="55136" xr:uid="{4B99DD05-D6CB-4049-836D-B1D37EF026C0}"/>
    <cellStyle name="Comma 4 2 2 3 2 4" xfId="15730" xr:uid="{36E5CC05-3C1B-48AC-80B9-0B37379B7B38}"/>
    <cellStyle name="Comma 4 2 2 3 2 4 2" xfId="23259" xr:uid="{9898C1F6-1D4A-447C-B2FA-54075ADC5190}"/>
    <cellStyle name="Comma 4 2 2 3 2 4 3" xfId="48521" xr:uid="{76B1EEC7-D787-48C9-8641-39416A37A11D}"/>
    <cellStyle name="Comma 4 2 2 3 2 4 4" xfId="52597" xr:uid="{92A3CB1F-E990-4484-85EA-D2A933D1883C}"/>
    <cellStyle name="Comma 4 2 2 3 2 4 5" xfId="55613" xr:uid="{2758842D-A75B-4F38-814C-5D834AC49AFA}"/>
    <cellStyle name="Comma 4 2 2 3 2 5" xfId="12760" xr:uid="{4EF479D2-1421-4B0A-B7C0-ACC71D291288}"/>
    <cellStyle name="Comma 4 2 2 3 2 5 2" xfId="46349" xr:uid="{1B9C3C82-1EF5-4779-86AE-7A58FB790F68}"/>
    <cellStyle name="Comma 4 2 2 3 2 5 3" xfId="51166" xr:uid="{D0A1D49A-7C2A-4CB4-B932-D6EB01A30C62}"/>
    <cellStyle name="Comma 4 2 2 3 2 5 4" xfId="54182" xr:uid="{6CD5A4C5-6F0C-455D-8E47-FD75B15D9753}"/>
    <cellStyle name="Comma 4 2 2 3 2 6" xfId="46087" xr:uid="{351E9561-4DF5-4FE8-B8CB-ABA23063984E}"/>
    <cellStyle name="Comma 4 2 2 3 2 7" xfId="50060" xr:uid="{2C0F9231-5F95-4687-B187-2477AF5D22F2}"/>
    <cellStyle name="Comma 4 2 2 3 2 8" xfId="53076" xr:uid="{B8B31684-723C-4BC0-9D6B-6914F3094C48}"/>
    <cellStyle name="Comma 4 2 2 3 3" xfId="14546" xr:uid="{E6D6F166-FBF6-4777-8FCB-B1DE9C9DEDC5}"/>
    <cellStyle name="Comma 4 2 2 3 3 2" xfId="22093" xr:uid="{C37C8A91-6A84-4811-AC0C-485A2F4B89C8}"/>
    <cellStyle name="Comma 4 2 2 3 3 3" xfId="46395" xr:uid="{CE3F6536-0B5A-40B1-8F9B-889CD154C52A}"/>
    <cellStyle name="Comma 4 2 2 3 3 4" xfId="51431" xr:uid="{D10F2AE3-31FD-40B6-8FCA-5A3294FCA532}"/>
    <cellStyle name="Comma 4 2 2 3 3 5" xfId="54447" xr:uid="{71F2028F-BD56-46BD-AD5B-7FB788CFA818}"/>
    <cellStyle name="Comma 4 2 2 3 4" xfId="15030" xr:uid="{9347DA35-23B1-4CD4-87C1-5CC3F794800F}"/>
    <cellStyle name="Comma 4 2 2 3 4 2" xfId="22570" xr:uid="{AD528072-D567-43D5-B8A2-894BA6B9C56C}"/>
    <cellStyle name="Comma 4 2 2 3 4 3" xfId="46873" xr:uid="{9A479039-719E-4F64-9C97-6BDE1055EBBF}"/>
    <cellStyle name="Comma 4 2 2 3 4 4" xfId="51908" xr:uid="{C9FA320E-977A-4DEC-9D2D-397788286586}"/>
    <cellStyle name="Comma 4 2 2 3 4 5" xfId="54924" xr:uid="{4D63986D-B43D-43C4-A294-2E566C73D770}"/>
    <cellStyle name="Comma 4 2 2 3 5" xfId="15517" xr:uid="{7506F375-82AD-4CD0-B93A-8B9565369910}"/>
    <cellStyle name="Comma 4 2 2 3 5 2" xfId="23047" xr:uid="{623948F7-142C-4611-977F-05679270A853}"/>
    <cellStyle name="Comma 4 2 2 3 5 3" xfId="47642" xr:uid="{46CC2EDE-27F0-4CBF-B83C-1DFA32D769C6}"/>
    <cellStyle name="Comma 4 2 2 3 5 4" xfId="52385" xr:uid="{FF5EE1FB-5190-426E-88C5-7D8F8ADA0738}"/>
    <cellStyle name="Comma 4 2 2 3 5 5" xfId="55401" xr:uid="{5D602908-8CFA-4EDC-97E1-5DDC011592AE}"/>
    <cellStyle name="Comma 4 2 2 3 6" xfId="12459" xr:uid="{AEEE59D1-8E9B-491B-91DF-EE04AEDBAB8D}"/>
    <cellStyle name="Comma 4 2 2 3 6 2" xfId="47266" xr:uid="{F854AC64-DF24-4DD6-AFB9-28C5264DF5ED}"/>
    <cellStyle name="Comma 4 2 2 3 6 3" xfId="50954" xr:uid="{015D238A-1E7A-4F93-A856-910617578D6D}"/>
    <cellStyle name="Comma 4 2 2 3 6 4" xfId="53970" xr:uid="{DC0FFB87-807D-46E0-87FF-C9A1B1056E0D}"/>
    <cellStyle name="Comma 4 2 2 3 7" xfId="46018" xr:uid="{DC0FE377-0F53-42F7-90CD-CCDBDECF4C00}"/>
    <cellStyle name="Comma 4 2 2 3 8" xfId="49848" xr:uid="{3A26AF69-7C27-4F43-AC84-6F9E3817EDC6}"/>
    <cellStyle name="Comma 4 2 2 3 9" xfId="52864" xr:uid="{DAE30816-6CD6-4207-91F1-D1DEC52A2A81}"/>
    <cellStyle name="Comma 4 2 2 4" xfId="10074" xr:uid="{922C55AB-F850-402D-8822-61CB44E21F2F}"/>
    <cellStyle name="Comma 4 2 2 4 2" xfId="10386" xr:uid="{F41BDCDC-CB0E-4DCC-9B32-2155728E58CD}"/>
    <cellStyle name="Comma 4 2 2 4 2 2" xfId="14811" xr:uid="{C722941B-B6D5-400F-9979-F43DDD7C30A6}"/>
    <cellStyle name="Comma 4 2 2 4 2 2 2" xfId="22358" xr:uid="{957D489F-14CF-4D44-9BCC-85F49534A3E7}"/>
    <cellStyle name="Comma 4 2 2 4 2 2 3" xfId="48352" xr:uid="{03FC2483-248B-4AE0-AF3B-5D458E204976}"/>
    <cellStyle name="Comma 4 2 2 4 2 2 4" xfId="51696" xr:uid="{F98C0D57-65C1-4605-8842-BA4EDE7C016F}"/>
    <cellStyle name="Comma 4 2 2 4 2 2 5" xfId="54712" xr:uid="{AEC59E1A-E1D8-4138-9E7A-56ED521F1DE0}"/>
    <cellStyle name="Comma 4 2 2 4 2 3" xfId="15296" xr:uid="{B2E63FAE-92F9-4DB8-8B46-AB94E54B01EC}"/>
    <cellStyle name="Comma 4 2 2 4 2 3 2" xfId="22835" xr:uid="{40C650DE-450A-4F46-8035-E5F7CEF2E00F}"/>
    <cellStyle name="Comma 4 2 2 4 2 3 3" xfId="47436" xr:uid="{5BE4486E-9945-4C2C-ABB0-12915A175380}"/>
    <cellStyle name="Comma 4 2 2 4 2 3 4" xfId="52173" xr:uid="{CB48C37A-2BFC-4134-9F82-2D51B7F28E57}"/>
    <cellStyle name="Comma 4 2 2 4 2 3 5" xfId="55189" xr:uid="{B9DD6443-71AB-4A39-8AD2-F1DEDEEF8BD2}"/>
    <cellStyle name="Comma 4 2 2 4 2 4" xfId="15783" xr:uid="{D9091783-6120-47E7-921E-F71B60714175}"/>
    <cellStyle name="Comma 4 2 2 4 2 4 2" xfId="23312" xr:uid="{FE68BD4E-D8B6-4744-BB05-B4A909611220}"/>
    <cellStyle name="Comma 4 2 2 4 2 4 3" xfId="46964" xr:uid="{8BDF228F-9D90-4051-988E-7D40F719DFFF}"/>
    <cellStyle name="Comma 4 2 2 4 2 4 4" xfId="52650" xr:uid="{44B93255-D8F3-4F65-9DE6-61015FB3F0CA}"/>
    <cellStyle name="Comma 4 2 2 4 2 4 5" xfId="55666" xr:uid="{F7124A73-5ACB-4282-8FA9-DE6774A0251D}"/>
    <cellStyle name="Comma 4 2 2 4 2 5" xfId="12839" xr:uid="{319615BF-60DB-4558-A192-E33114EEE3FD}"/>
    <cellStyle name="Comma 4 2 2 4 2 5 2" xfId="48054" xr:uid="{B3CD8747-CBEC-4277-A408-F84B2BA7D2A8}"/>
    <cellStyle name="Comma 4 2 2 4 2 5 3" xfId="51219" xr:uid="{42EEB986-8416-474F-97E0-D04A94F7F354}"/>
    <cellStyle name="Comma 4 2 2 4 2 5 4" xfId="54235" xr:uid="{E0818217-AFDD-42E7-B299-33E86BC6C145}"/>
    <cellStyle name="Comma 4 2 2 4 2 6" xfId="46625" xr:uid="{4F8BBA10-3391-4AF2-80FC-6889AB5D7583}"/>
    <cellStyle name="Comma 4 2 2 4 2 7" xfId="50113" xr:uid="{4EBAE781-1C9C-4A53-ACD2-A06556874455}"/>
    <cellStyle name="Comma 4 2 2 4 2 8" xfId="53129" xr:uid="{49AA4C74-506F-4BB7-87C2-BC40771000D3}"/>
    <cellStyle name="Comma 4 2 2 4 3" xfId="14599" xr:uid="{7B41A150-93C2-4E87-8225-575D99228FCA}"/>
    <cellStyle name="Comma 4 2 2 4 3 2" xfId="22146" xr:uid="{5F89263B-34A9-4C1E-B5CB-0C9FDD12EA2C}"/>
    <cellStyle name="Comma 4 2 2 4 3 3" xfId="32548" xr:uid="{57F8AAE6-58BA-4633-B5AC-4311957B182C}"/>
    <cellStyle name="Comma 4 2 2 4 3 4" xfId="51484" xr:uid="{3F14BC6F-9B65-4D43-A501-6258CC277836}"/>
    <cellStyle name="Comma 4 2 2 4 3 5" xfId="54500" xr:uid="{174C66B7-BE10-4D82-9A29-D495F6BB2E3C}"/>
    <cellStyle name="Comma 4 2 2 4 4" xfId="15084" xr:uid="{371C8518-1B25-4B61-949D-A620F2D505FB}"/>
    <cellStyle name="Comma 4 2 2 4 4 2" xfId="22623" xr:uid="{444B2754-D541-40FB-84C0-6C7CD55AD7D7}"/>
    <cellStyle name="Comma 4 2 2 4 4 3" xfId="32507" xr:uid="{10C29628-E5D2-4362-B51B-981859488C0A}"/>
    <cellStyle name="Comma 4 2 2 4 4 4" xfId="51961" xr:uid="{F3634094-8A0B-450F-898D-EDCB43681985}"/>
    <cellStyle name="Comma 4 2 2 4 4 5" xfId="54977" xr:uid="{07FEDEE3-26C5-41FD-86FB-452A5F542B7A}"/>
    <cellStyle name="Comma 4 2 2 4 5" xfId="15571" xr:uid="{94F03EC8-1BB8-46AA-955B-2FD17F3F3FD8}"/>
    <cellStyle name="Comma 4 2 2 4 5 2" xfId="23100" xr:uid="{92BD4F51-B2F8-4C0A-BB36-E6F71809A20B}"/>
    <cellStyle name="Comma 4 2 2 4 5 3" xfId="47549" xr:uid="{6B7F8D39-CF2C-4E6C-9ABA-8B95761A4832}"/>
    <cellStyle name="Comma 4 2 2 4 5 4" xfId="52438" xr:uid="{0ADC6444-2B04-4402-94A2-928365D21D17}"/>
    <cellStyle name="Comma 4 2 2 4 5 5" xfId="55454" xr:uid="{8C35F0DA-4972-44B7-B426-90EB1C5B9F16}"/>
    <cellStyle name="Comma 4 2 2 4 6" xfId="12531" xr:uid="{78187511-8FA5-4AB0-B55B-FC4237613606}"/>
    <cellStyle name="Comma 4 2 2 4 6 2" xfId="47048" xr:uid="{6A28FE16-D5DD-46E1-9F29-E53F6166E249}"/>
    <cellStyle name="Comma 4 2 2 4 6 3" xfId="51007" xr:uid="{9A768A7D-9BDD-455A-AB8B-DA7942BA2E12}"/>
    <cellStyle name="Comma 4 2 2 4 6 4" xfId="54023" xr:uid="{5889DB2E-5A74-43C8-A7BF-593FF814677C}"/>
    <cellStyle name="Comma 4 2 2 4 7" xfId="24334" xr:uid="{5339A963-EDE7-47CD-AA39-75BFB9D23F2D}"/>
    <cellStyle name="Comma 4 2 2 4 8" xfId="49901" xr:uid="{6A3A7345-6D0A-4F9F-9290-0A066A4E7E36}"/>
    <cellStyle name="Comma 4 2 2 4 9" xfId="52917" xr:uid="{C9F0B022-46CE-4688-9258-5FAB75DAA94F}"/>
    <cellStyle name="Comma 4 2 2 5" xfId="10152" xr:uid="{59A98D67-F598-45D1-B6EE-28CB7C6FF8B7}"/>
    <cellStyle name="Comma 4 2 2 5 2" xfId="10466" xr:uid="{2BACD893-42DD-49A3-A422-DEA286DDAE23}"/>
    <cellStyle name="Comma 4 2 2 5 2 2" xfId="14864" xr:uid="{E67C85F0-213A-46C5-B54C-138E817827E2}"/>
    <cellStyle name="Comma 4 2 2 5 2 2 2" xfId="22411" xr:uid="{EAF8CFC9-9D26-47CE-BC66-B1B403B5A34E}"/>
    <cellStyle name="Comma 4 2 2 5 2 2 3" xfId="47631" xr:uid="{7294D90F-871E-4323-A6A5-8CEC9AB7400C}"/>
    <cellStyle name="Comma 4 2 2 5 2 2 4" xfId="51749" xr:uid="{CAC325F8-1C28-449A-AE31-AF399E09BEDB}"/>
    <cellStyle name="Comma 4 2 2 5 2 2 5" xfId="54765" xr:uid="{777D4974-C0E8-4FF9-9AD2-5DEF3E6BEDC1}"/>
    <cellStyle name="Comma 4 2 2 5 2 3" xfId="15349" xr:uid="{CAB293D8-BA9D-4684-B49C-65CC07BD8AD2}"/>
    <cellStyle name="Comma 4 2 2 5 2 3 2" xfId="22888" xr:uid="{E474D5EB-E32F-43EF-9FF1-652B3EFF3E8F}"/>
    <cellStyle name="Comma 4 2 2 5 2 3 3" xfId="46518" xr:uid="{5E6A7DE5-5D44-45EE-9F39-1F160442C270}"/>
    <cellStyle name="Comma 4 2 2 5 2 3 4" xfId="52226" xr:uid="{D1841252-82BE-4F33-864C-BABF0F7B0CB2}"/>
    <cellStyle name="Comma 4 2 2 5 2 3 5" xfId="55242" xr:uid="{65543951-F242-4E9E-8AD4-EBAE4B1BFBBD}"/>
    <cellStyle name="Comma 4 2 2 5 2 4" xfId="15836" xr:uid="{8280341F-64C5-495F-A9B4-81150B3845AF}"/>
    <cellStyle name="Comma 4 2 2 5 2 4 2" xfId="23365" xr:uid="{A289CF77-71CE-4C0E-8CED-1EF4D170C431}"/>
    <cellStyle name="Comma 4 2 2 5 2 4 3" xfId="46595" xr:uid="{7D96342E-7E31-4A1C-852E-D64486F37B5C}"/>
    <cellStyle name="Comma 4 2 2 5 2 4 4" xfId="52703" xr:uid="{925BCB74-215A-4D53-BA7F-F07B1894C38F}"/>
    <cellStyle name="Comma 4 2 2 5 2 4 5" xfId="55719" xr:uid="{8DB50FDA-7CF8-43FB-B789-B9C7A2BA3496}"/>
    <cellStyle name="Comma 4 2 2 5 2 5" xfId="12919" xr:uid="{63072B40-0322-461A-93EA-FC557B556C75}"/>
    <cellStyle name="Comma 4 2 2 5 2 5 2" xfId="48498" xr:uid="{D94690B4-E921-4140-A55A-F9626F8D2521}"/>
    <cellStyle name="Comma 4 2 2 5 2 5 3" xfId="51272" xr:uid="{462C4DB6-2CDD-4596-AEFD-C202B993D7A7}"/>
    <cellStyle name="Comma 4 2 2 5 2 5 4" xfId="54288" xr:uid="{A1007B9F-A82B-47AA-9F18-D26DFBD9CE3A}"/>
    <cellStyle name="Comma 4 2 2 5 2 6" xfId="46628" xr:uid="{D76B22DF-8CB9-400C-BE7E-CF2AF52BBDE4}"/>
    <cellStyle name="Comma 4 2 2 5 2 7" xfId="50166" xr:uid="{58EA247B-BEF0-46E9-A366-7DD589D45193}"/>
    <cellStyle name="Comma 4 2 2 5 2 8" xfId="53182" xr:uid="{08936D6D-CA00-4137-9324-96BACD79758A}"/>
    <cellStyle name="Comma 4 2 2 5 3" xfId="14652" xr:uid="{4F2C7429-8287-40BE-B050-88B5ED9CCF40}"/>
    <cellStyle name="Comma 4 2 2 5 3 2" xfId="22199" xr:uid="{FF04BF71-7DE1-4856-860F-384F2782AC64}"/>
    <cellStyle name="Comma 4 2 2 5 3 3" xfId="47666" xr:uid="{E34D2E5F-AB30-4016-AE79-7796BF714EB9}"/>
    <cellStyle name="Comma 4 2 2 5 3 4" xfId="51537" xr:uid="{39DD471E-BEF0-427E-ABE0-D692766A9318}"/>
    <cellStyle name="Comma 4 2 2 5 3 5" xfId="54553" xr:uid="{C9771C2F-880A-48DA-9664-A26B27F203EB}"/>
    <cellStyle name="Comma 4 2 2 5 4" xfId="15137" xr:uid="{D5D498C7-4E75-4EA5-A35C-A96C1494AC38}"/>
    <cellStyle name="Comma 4 2 2 5 4 2" xfId="22676" xr:uid="{C070348C-F3E7-4C13-888D-14C9FAB1C67B}"/>
    <cellStyle name="Comma 4 2 2 5 4 3" xfId="24660" xr:uid="{BB7C5B0E-3242-4FD9-88A9-2CC8D1159A5C}"/>
    <cellStyle name="Comma 4 2 2 5 4 4" xfId="52014" xr:uid="{E8259E8A-F6D1-4D44-96C6-BD5A6651D006}"/>
    <cellStyle name="Comma 4 2 2 5 4 5" xfId="55030" xr:uid="{80C078B3-3F59-4FA4-A44F-8198738A8506}"/>
    <cellStyle name="Comma 4 2 2 5 5" xfId="15624" xr:uid="{DB2E0659-EB21-4DEC-A611-E3B5BDBD70BB}"/>
    <cellStyle name="Comma 4 2 2 5 5 2" xfId="23153" xr:uid="{0120B655-D609-4590-BC13-00745CA802C3}"/>
    <cellStyle name="Comma 4 2 2 5 5 3" xfId="48303" xr:uid="{5750EA41-0EB8-4A46-A00F-5E4819A07E9D}"/>
    <cellStyle name="Comma 4 2 2 5 5 4" xfId="52491" xr:uid="{DC8674B9-5DFE-431C-8063-5D64DB3B7350}"/>
    <cellStyle name="Comma 4 2 2 5 5 5" xfId="55507" xr:uid="{4EA84522-AEF3-4A5E-86ED-DEBB8AB8FEE7}"/>
    <cellStyle name="Comma 4 2 2 5 6" xfId="12606" xr:uid="{3A0D5D00-D948-44CF-B6F1-7F667EEB3C8E}"/>
    <cellStyle name="Comma 4 2 2 5 6 2" xfId="46772" xr:uid="{8D669CDB-6382-46E4-950F-B41F1A4E9349}"/>
    <cellStyle name="Comma 4 2 2 5 6 3" xfId="51060" xr:uid="{9DF8DBCA-BCB6-425E-B0FF-DEA5607FCD66}"/>
    <cellStyle name="Comma 4 2 2 5 6 4" xfId="54076" xr:uid="{7093F8D3-8ED5-49FA-9298-D78874707FCF}"/>
    <cellStyle name="Comma 4 2 2 5 7" xfId="46055" xr:uid="{F0C7C83D-09E2-481B-8D62-B126E908C45D}"/>
    <cellStyle name="Comma 4 2 2 5 8" xfId="49954" xr:uid="{9B70F32D-0FD7-4C48-A1AF-1F1B8339DEB6}"/>
    <cellStyle name="Comma 4 2 2 5 9" xfId="52970" xr:uid="{3F86544F-DD8D-4FF4-BB29-7C4C46E20289}"/>
    <cellStyle name="Comma 4 2 2 6" xfId="10232" xr:uid="{3DF8D0C7-94EC-42BE-998D-C3632DFB4491}"/>
    <cellStyle name="Comma 4 2 2 6 2" xfId="14705" xr:uid="{4919CCC3-6431-484E-B332-10D8719FE63C}"/>
    <cellStyle name="Comma 4 2 2 6 2 2" xfId="22252" xr:uid="{35103446-5317-45DD-BEAA-881E2B911642}"/>
    <cellStyle name="Comma 4 2 2 6 2 3" xfId="48116" xr:uid="{9D1AC880-85E3-42A4-8DAA-D422B83ECB5B}"/>
    <cellStyle name="Comma 4 2 2 6 2 4" xfId="51590" xr:uid="{93AEBC25-B8FE-495E-92E8-DEC3F7F26547}"/>
    <cellStyle name="Comma 4 2 2 6 2 5" xfId="54606" xr:uid="{E6665E18-77AD-48D9-80A0-367270F9AFCA}"/>
    <cellStyle name="Comma 4 2 2 6 3" xfId="15190" xr:uid="{98D01B2E-3825-4E4E-9880-0D974F9C6E9D}"/>
    <cellStyle name="Comma 4 2 2 6 3 2" xfId="22729" xr:uid="{7D0608C6-FBF9-4CF7-9EC2-7A1D1ACF8369}"/>
    <cellStyle name="Comma 4 2 2 6 3 3" xfId="47028" xr:uid="{C3DB01D0-959C-4942-AC5A-CA1AAE3302B5}"/>
    <cellStyle name="Comma 4 2 2 6 3 4" xfId="52067" xr:uid="{5DF4C07C-5AB7-49A4-A959-E699FA986B54}"/>
    <cellStyle name="Comma 4 2 2 6 3 5" xfId="55083" xr:uid="{77598DBF-C31A-40C7-A834-9F60BA72E26A}"/>
    <cellStyle name="Comma 4 2 2 6 4" xfId="15677" xr:uid="{4B8F86BE-E914-4BB6-8B12-51A4B55BC942}"/>
    <cellStyle name="Comma 4 2 2 6 4 2" xfId="23206" xr:uid="{34966013-91D1-4EF1-A759-5D4697DFFFC0}"/>
    <cellStyle name="Comma 4 2 2 6 4 3" xfId="24435" xr:uid="{1B274339-8667-49DD-BF86-2EC492EB828B}"/>
    <cellStyle name="Comma 4 2 2 6 4 4" xfId="52544" xr:uid="{21D7F608-5675-4A59-8BC2-17ECAD7181E4}"/>
    <cellStyle name="Comma 4 2 2 6 4 5" xfId="55560" xr:uid="{1C11B435-C2C6-4DAE-84AF-717F9C0EF122}"/>
    <cellStyle name="Comma 4 2 2 6 5" xfId="12685" xr:uid="{2898BB5B-D982-4A7E-84D1-65539E9A623C}"/>
    <cellStyle name="Comma 4 2 2 6 5 2" xfId="46341" xr:uid="{1145B9E8-5E7C-4390-89B9-551ECC2F1E13}"/>
    <cellStyle name="Comma 4 2 2 6 5 3" xfId="51113" xr:uid="{127C31A3-205E-4932-8E5A-73CFA104C1B8}"/>
    <cellStyle name="Comma 4 2 2 6 5 4" xfId="54129" xr:uid="{43895B30-3205-4113-8954-438CA3E9FB3B}"/>
    <cellStyle name="Comma 4 2 2 6 6" xfId="46069" xr:uid="{B6DB8D2B-7D66-4FFB-A41F-2C9E553D3411}"/>
    <cellStyle name="Comma 4 2 2 6 7" xfId="50007" xr:uid="{9D5DE319-5DDB-4BBC-86D9-28D087618467}"/>
    <cellStyle name="Comma 4 2 2 6 8" xfId="53023" xr:uid="{4A800C79-F201-4FDB-B22B-3B1D5ACAEB8A}"/>
    <cellStyle name="Comma 4 2 2 7" xfId="10546" xr:uid="{4FC9B64F-B37C-4CEC-8F50-D57280BF0CA5}"/>
    <cellStyle name="Comma 4 2 2 7 2" xfId="14917" xr:uid="{E77D1869-55BE-4EDF-84F6-E7C4049F7912}"/>
    <cellStyle name="Comma 4 2 2 7 2 2" xfId="22464" xr:uid="{26B55723-FF2A-4113-A624-D2A80E6EB6D6}"/>
    <cellStyle name="Comma 4 2 2 7 2 3" xfId="48411" xr:uid="{BDBA62DC-C5ED-4055-85AD-1042D8E40618}"/>
    <cellStyle name="Comma 4 2 2 7 2 4" xfId="51802" xr:uid="{405DCD2C-504A-40D1-8192-44DD7E20D1AB}"/>
    <cellStyle name="Comma 4 2 2 7 2 5" xfId="54818" xr:uid="{FAB93402-41B6-4434-A5AC-9613A6CA6A1A}"/>
    <cellStyle name="Comma 4 2 2 7 3" xfId="15402" xr:uid="{AEE8053D-1B77-4687-B86D-F764A881D5D8}"/>
    <cellStyle name="Comma 4 2 2 7 3 2" xfId="22941" xr:uid="{3D054CFA-EF1A-4FAC-BF47-0D31459A6BC8}"/>
    <cellStyle name="Comma 4 2 2 7 3 3" xfId="48021" xr:uid="{817DEC6A-1471-4F24-8600-4F85DFC321F4}"/>
    <cellStyle name="Comma 4 2 2 7 3 4" xfId="52279" xr:uid="{C1AB2795-596F-494A-BC81-7A570C70ED87}"/>
    <cellStyle name="Comma 4 2 2 7 3 5" xfId="55295" xr:uid="{662A0DB2-A763-42CA-8BD6-D171FDB757A9}"/>
    <cellStyle name="Comma 4 2 2 7 4" xfId="15890" xr:uid="{404E2208-6CC3-4D63-86DF-37A8827DE873}"/>
    <cellStyle name="Comma 4 2 2 7 4 2" xfId="23418" xr:uid="{08EE1F6B-8540-4EBF-A028-11459E1C37A6}"/>
    <cellStyle name="Comma 4 2 2 7 4 3" xfId="48232" xr:uid="{51FC9BCB-86E0-4985-A998-6FDF5F9ED983}"/>
    <cellStyle name="Comma 4 2 2 7 4 4" xfId="52756" xr:uid="{9E35AD6E-1A2C-4877-B74E-01FFA14F53BB}"/>
    <cellStyle name="Comma 4 2 2 7 4 5" xfId="55772" xr:uid="{95D91002-D336-4396-9A73-5B25A04DC7DF}"/>
    <cellStyle name="Comma 4 2 2 7 5" xfId="12999" xr:uid="{75D2705C-D095-4AF4-9F0E-BD5A9CC7E014}"/>
    <cellStyle name="Comma 4 2 2 7 5 2" xfId="32333" xr:uid="{92BC2A47-4D9A-46E0-A456-29757FA94775}"/>
    <cellStyle name="Comma 4 2 2 7 5 3" xfId="51325" xr:uid="{77CF89E9-B728-4748-B9D5-0E0D2537B38A}"/>
    <cellStyle name="Comma 4 2 2 7 5 4" xfId="54341" xr:uid="{C9048CCA-FAF2-4720-9FF5-D9F10394D790}"/>
    <cellStyle name="Comma 4 2 2 7 6" xfId="48164" xr:uid="{9F41B963-6AE2-4F4E-B7EF-EA8232065158}"/>
    <cellStyle name="Comma 4 2 2 7 7" xfId="50219" xr:uid="{409D12BC-4B39-4D6A-9F72-BE5DF8ADED68}"/>
    <cellStyle name="Comma 4 2 2 7 8" xfId="53235" xr:uid="{74C8F35E-FCD8-4E9A-A915-F3FCDE91CE0A}"/>
    <cellStyle name="Comma 4 2 2 8" xfId="14493" xr:uid="{E11756AC-84C1-46C0-B066-2C978DE43726}"/>
    <cellStyle name="Comma 4 2 2 8 2" xfId="22040" xr:uid="{6BFC5E49-5E86-489D-9502-685A24EF9414}"/>
    <cellStyle name="Comma 4 2 2 8 3" xfId="46675" xr:uid="{2C664ADE-EDA8-4976-B822-F8692656E706}"/>
    <cellStyle name="Comma 4 2 2 8 4" xfId="51378" xr:uid="{750209FB-0BAF-40CD-9DAE-36C69347504F}"/>
    <cellStyle name="Comma 4 2 2 8 5" xfId="54394" xr:uid="{C8568C61-4406-495E-BC16-BC5BFAA160CF}"/>
    <cellStyle name="Comma 4 2 2 9" xfId="14976" xr:uid="{6E438A5B-6597-4C2B-B770-BFDE3AC61692}"/>
    <cellStyle name="Comma 4 2 2 9 2" xfId="22517" xr:uid="{BA20D014-681B-4309-A4C5-EE6621958146}"/>
    <cellStyle name="Comma 4 2 2 9 3" xfId="48215" xr:uid="{8F343102-1961-4306-B302-083C641965B8}"/>
    <cellStyle name="Comma 4 2 2 9 4" xfId="51855" xr:uid="{8D2FB434-FA05-41DA-AA1A-D8123F1A5653}"/>
    <cellStyle name="Comma 4 2 2 9 5" xfId="54871" xr:uid="{B0EC2389-F91C-4F03-8F42-296B94CEA1E4}"/>
    <cellStyle name="Comma 4 2 3" xfId="4543" xr:uid="{66EC1B8C-4ECE-4DDB-93BD-E6B2C77065F0}"/>
    <cellStyle name="Comma 4 2 3 2" xfId="11653" xr:uid="{8048BF50-B958-4028-9613-1CC83F95736B}"/>
    <cellStyle name="Comma 4 2 3 3" xfId="11699" xr:uid="{24CF73F8-EBA3-4752-B846-66DA3134DB72}"/>
    <cellStyle name="Comma 4 2 3 3 2" xfId="21720" xr:uid="{9326983C-AB40-4407-A62C-00E768A9B2C8}"/>
    <cellStyle name="Comma 4 2 3 3 3" xfId="46733" xr:uid="{F246A94C-25D5-4DC6-A6E8-96377852493C}"/>
    <cellStyle name="Comma 4 2 3 3 4" xfId="50746" xr:uid="{76CFEDD7-955E-400C-910E-F0D6E65E5B42}"/>
    <cellStyle name="Comma 4 2 3 3 5" xfId="53762" xr:uid="{6929B113-DA3D-4A1A-948D-C35C765D6DF8}"/>
    <cellStyle name="Comma 4 2 3 4" xfId="19489" xr:uid="{A434E83E-3877-4A8A-A66C-16D32E3CAABF}"/>
    <cellStyle name="Comma 4 2 3 5" xfId="23760" xr:uid="{5A9561CF-EEC6-4591-B02F-750C72F9E7A5}"/>
    <cellStyle name="Comma 4 2 3 6" xfId="48642" xr:uid="{D444B259-08BC-4376-9EC1-51D38064438B}"/>
    <cellStyle name="Comma 4 2 3 7" xfId="49550" xr:uid="{7579312D-60DE-43E8-A81F-AB34F978DC33}"/>
    <cellStyle name="Comma 4 2 3 8" xfId="15944" xr:uid="{571D7462-47DF-46E1-AEB7-94FF6F69041B}"/>
    <cellStyle name="Comma 4 2 3 9" xfId="7718" xr:uid="{35F6D429-B54C-4E4C-9CB0-7E94131BE86C}"/>
    <cellStyle name="Comma 4 2 4" xfId="5824" xr:uid="{DB7FDAC5-F994-4AC8-AF91-425B7FBDC5E7}"/>
    <cellStyle name="Comma 4 2 4 10" xfId="49551" xr:uid="{8AE24AF6-54D6-4858-B662-7AF45A18D360}"/>
    <cellStyle name="Comma 4 2 4 11" xfId="49842" xr:uid="{7895DC9C-ADBF-4560-9614-3101583F2107}"/>
    <cellStyle name="Comma 4 2 4 12" xfId="52858" xr:uid="{F798D1A8-39FA-4AFC-8D88-10921E59F734}"/>
    <cellStyle name="Comma 4 2 4 13" xfId="17002" xr:uid="{B922EFDD-79B5-4646-BCD4-90FCC7C641EE}"/>
    <cellStyle name="Comma 4 2 4 14" xfId="9597" xr:uid="{A0CB8F87-D319-4DA5-8113-FEF47F214A2F}"/>
    <cellStyle name="Comma 4 2 4 2" xfId="10291" xr:uid="{CB1DDEA0-7CA9-41FA-AC49-23266CF4A684}"/>
    <cellStyle name="Comma 4 2 4 2 2" xfId="14752" xr:uid="{41ED6AF9-8A70-46D3-9705-F7E1BC69C0D6}"/>
    <cellStyle name="Comma 4 2 4 2 2 2" xfId="22299" xr:uid="{26409402-4AD8-4607-8CE7-3C7192EC8D33}"/>
    <cellStyle name="Comma 4 2 4 2 2 3" xfId="47333" xr:uid="{09F5C7F6-BD82-4805-A8B7-4AA25D5709CA}"/>
    <cellStyle name="Comma 4 2 4 2 2 4" xfId="51637" xr:uid="{AD1F9AA2-C830-44C4-90B0-413E06E58539}"/>
    <cellStyle name="Comma 4 2 4 2 2 5" xfId="54653" xr:uid="{20224F56-6A2F-43AF-90FA-E785392DA26B}"/>
    <cellStyle name="Comma 4 2 4 2 3" xfId="15237" xr:uid="{BDDD1DA6-EBB5-4D69-8143-9B33375A97F0}"/>
    <cellStyle name="Comma 4 2 4 2 3 2" xfId="22776" xr:uid="{F36AB80E-30AD-4688-97C9-68ACCF137C15}"/>
    <cellStyle name="Comma 4 2 4 2 3 3" xfId="47636" xr:uid="{AFC64032-F62F-4CBC-AF7B-B964281CDCED}"/>
    <cellStyle name="Comma 4 2 4 2 3 4" xfId="52114" xr:uid="{769187B1-7B3B-4083-8BF4-C891E2818DF1}"/>
    <cellStyle name="Comma 4 2 4 2 3 5" xfId="55130" xr:uid="{4A46498F-6A59-4961-A350-0A8DE2756BC2}"/>
    <cellStyle name="Comma 4 2 4 2 4" xfId="15724" xr:uid="{E45A5BC8-F9B5-4EDF-A61E-903ED9E3EB6B}"/>
    <cellStyle name="Comma 4 2 4 2 4 2" xfId="23253" xr:uid="{946F0FE2-894E-4223-B4DB-FAFBC32E9CCA}"/>
    <cellStyle name="Comma 4 2 4 2 4 3" xfId="47947" xr:uid="{187E9C81-436E-494E-9591-A55DBFC6E522}"/>
    <cellStyle name="Comma 4 2 4 2 4 4" xfId="52591" xr:uid="{86DB5E4C-6F70-4672-B097-6248EE8DD7B2}"/>
    <cellStyle name="Comma 4 2 4 2 4 5" xfId="55607" xr:uid="{BDB497FE-20D2-48B2-BE34-D3CF7118FE38}"/>
    <cellStyle name="Comma 4 2 4 2 5" xfId="12744" xr:uid="{671EAE8E-CDA2-40DD-8ECF-0C7BB8A10FB3}"/>
    <cellStyle name="Comma 4 2 4 2 5 2" xfId="48318" xr:uid="{D946B3F6-C9CA-4062-B84C-6AAE49A11296}"/>
    <cellStyle name="Comma 4 2 4 2 5 3" xfId="51160" xr:uid="{7AC7B4F4-5A4B-4725-B6B4-A40295C5B697}"/>
    <cellStyle name="Comma 4 2 4 2 5 4" xfId="54176" xr:uid="{0DCD7589-6204-487A-9572-DBE3CA3A1474}"/>
    <cellStyle name="Comma 4 2 4 2 6" xfId="46085" xr:uid="{79B9430B-E0EC-4E50-A210-D12DAC845A2E}"/>
    <cellStyle name="Comma 4 2 4 2 7" xfId="50054" xr:uid="{3166C465-7C10-49C1-AB6B-C9F958FF436E}"/>
    <cellStyle name="Comma 4 2 4 2 8" xfId="53070" xr:uid="{DAA9B876-1239-451C-9915-4AE9E9ED4F58}"/>
    <cellStyle name="Comma 4 2 4 3" xfId="14540" xr:uid="{A2DCDA0F-C955-4128-821B-A1D002D4A505}"/>
    <cellStyle name="Comma 4 2 4 3 2" xfId="22087" xr:uid="{95D38271-4790-45C7-9FB8-F96A320F651D}"/>
    <cellStyle name="Comma 4 2 4 3 3" xfId="46394" xr:uid="{C6263E96-C3A0-4E42-8D4A-8857D6B5D839}"/>
    <cellStyle name="Comma 4 2 4 3 4" xfId="51425" xr:uid="{CD67E22C-83BA-453E-BB10-066CF033D38C}"/>
    <cellStyle name="Comma 4 2 4 3 5" xfId="54441" xr:uid="{B365389D-1B03-42A8-AA04-15E8CAE95BBC}"/>
    <cellStyle name="Comma 4 2 4 4" xfId="15024" xr:uid="{38FCCA86-3AF4-42EC-9117-48E63D96B8E7}"/>
    <cellStyle name="Comma 4 2 4 4 2" xfId="22564" xr:uid="{C41EDD24-7969-4439-A0DA-76D67BE71328}"/>
    <cellStyle name="Comma 4 2 4 4 3" xfId="32508" xr:uid="{DD274069-B2B6-480F-A292-DBACA855FCB6}"/>
    <cellStyle name="Comma 4 2 4 4 4" xfId="51902" xr:uid="{9C76C6F4-E4FB-41BE-94B0-B49E6667B2F6}"/>
    <cellStyle name="Comma 4 2 4 4 5" xfId="54918" xr:uid="{C3AA15C9-B857-4313-9AF4-3AC3705F18B6}"/>
    <cellStyle name="Comma 4 2 4 5" xfId="15511" xr:uid="{1742A520-BCC0-4876-AEF6-F32200698019}"/>
    <cellStyle name="Comma 4 2 4 5 2" xfId="23041" xr:uid="{1AE72778-598C-41E3-8510-4635F659FB30}"/>
    <cellStyle name="Comma 4 2 4 5 3" xfId="48516" xr:uid="{4A1ED392-E33D-4EA4-9860-776EB5391C30}"/>
    <cellStyle name="Comma 4 2 4 5 4" xfId="52379" xr:uid="{6EFE5E48-8978-49B9-9F5B-0BF49D4A9F44}"/>
    <cellStyle name="Comma 4 2 4 5 5" xfId="55395" xr:uid="{34C29895-FD2D-4715-A824-7E37B9BFFEB9}"/>
    <cellStyle name="Comma 4 2 4 6" xfId="11194" xr:uid="{D29060A9-07D9-4D58-9E07-308FB6F02C6B}"/>
    <cellStyle name="Comma 4 2 4 6 2" xfId="21690" xr:uid="{C00D45DA-308E-4CAA-AD0D-3B846E7FBE8A}"/>
    <cellStyle name="Comma 4 2 4 6 3" xfId="46278" xr:uid="{EFD76ED2-EB79-4D66-9220-39C6FF672E82}"/>
    <cellStyle name="Comma 4 2 4 6 4" xfId="50707" xr:uid="{5CABD87C-D8BB-4F16-B41E-0AE609A22397}"/>
    <cellStyle name="Comma 4 2 4 6 5" xfId="53723" xr:uid="{7648B5BC-7829-44E3-BFD7-6EA970BEC7D7}"/>
    <cellStyle name="Comma 4 2 4 7" xfId="23761" xr:uid="{1B59A968-4F2A-4514-B194-0DEDF3A64AC9}"/>
    <cellStyle name="Comma 4 2 4 8" xfId="46016" xr:uid="{22AE8AA8-62C5-432B-926D-38CF33EE28F4}"/>
    <cellStyle name="Comma 4 2 4 9" xfId="48643" xr:uid="{6E7BFAA3-A96C-4E90-9C36-1DAB709E0E27}"/>
    <cellStyle name="Comma 4 2 5" xfId="2625" xr:uid="{D11EF1B6-E3B4-4F75-B7EB-CACBFEC5BCAC}"/>
    <cellStyle name="Comma 4 2 5 10" xfId="49895" xr:uid="{77EC478D-B431-49EF-9B52-E9D21BCE9A8B}"/>
    <cellStyle name="Comma 4 2 5 11" xfId="52911" xr:uid="{92850EFC-203D-49E6-9D71-11221CFCA44F}"/>
    <cellStyle name="Comma 4 2 5 12" xfId="10057" xr:uid="{E723124A-7004-4266-8482-99F47D89FDFB}"/>
    <cellStyle name="Comma 4 2 5 2" xfId="10365" xr:uid="{98D0A3F8-C039-4663-A518-E0779CA86EA5}"/>
    <cellStyle name="Comma 4 2 5 2 2" xfId="14805" xr:uid="{CC234735-EB3D-4978-8257-602360B6E60C}"/>
    <cellStyle name="Comma 4 2 5 2 2 2" xfId="22352" xr:uid="{7936CE91-8DB4-47E5-AC2F-F7539590FA8D}"/>
    <cellStyle name="Comma 4 2 5 2 2 3" xfId="47774" xr:uid="{0B7B64CF-2BD4-44CB-9F5C-2431AA1EF9FB}"/>
    <cellStyle name="Comma 4 2 5 2 2 4" xfId="51690" xr:uid="{2917A878-523F-490E-860D-19308A936242}"/>
    <cellStyle name="Comma 4 2 5 2 2 5" xfId="54706" xr:uid="{98809E6A-BB72-44B2-B50E-0F6D1D670099}"/>
    <cellStyle name="Comma 4 2 5 2 3" xfId="15290" xr:uid="{45707318-EDAD-4F6D-9B27-19579DACACD5}"/>
    <cellStyle name="Comma 4 2 5 2 3 2" xfId="22829" xr:uid="{21841E82-43EB-4075-8B61-4F2D36A8D00A}"/>
    <cellStyle name="Comma 4 2 5 2 3 3" xfId="48302" xr:uid="{D498E376-B0D4-4C9F-BCAC-ABDA96F14FAB}"/>
    <cellStyle name="Comma 4 2 5 2 3 4" xfId="52167" xr:uid="{ACE118C7-51BF-4A5B-B6EB-3B52BECCE269}"/>
    <cellStyle name="Comma 4 2 5 2 3 5" xfId="55183" xr:uid="{532AF844-3CE7-4FFC-B974-5A7D6F661544}"/>
    <cellStyle name="Comma 4 2 5 2 4" xfId="15777" xr:uid="{E03531EF-4DBA-42A3-8143-D3548097B5CF}"/>
    <cellStyle name="Comma 4 2 5 2 4 2" xfId="23306" xr:uid="{EA8604BB-1B25-4E87-8808-8886D5A0E609}"/>
    <cellStyle name="Comma 4 2 5 2 4 3" xfId="46963" xr:uid="{73DD9C51-C699-4AE0-B5D6-5A08FDEB3BC9}"/>
    <cellStyle name="Comma 4 2 5 2 4 4" xfId="52644" xr:uid="{B286C88C-16A4-41EA-B01C-34B3A76E3D54}"/>
    <cellStyle name="Comma 4 2 5 2 4 5" xfId="55660" xr:uid="{1CF4539E-91D7-4090-A1F6-6260A1E75732}"/>
    <cellStyle name="Comma 4 2 5 2 5" xfId="12818" xr:uid="{51414851-894C-4692-A891-48492740E979}"/>
    <cellStyle name="Comma 4 2 5 2 5 2" xfId="46799" xr:uid="{4F60350D-3640-4B9E-90BC-2F75AD29C9F8}"/>
    <cellStyle name="Comma 4 2 5 2 5 3" xfId="51213" xr:uid="{6B4FBB9B-9D11-4CBC-8F5D-5DD4FEA8D3B4}"/>
    <cellStyle name="Comma 4 2 5 2 5 4" xfId="54229" xr:uid="{E4BEA675-3C3F-4416-9B37-43F75D40711F}"/>
    <cellStyle name="Comma 4 2 5 2 6" xfId="46100" xr:uid="{AB7845A7-F775-4FB3-A741-D5876380BD1C}"/>
    <cellStyle name="Comma 4 2 5 2 7" xfId="50107" xr:uid="{0CDBFEE8-8FE9-4B03-BD3D-C468D72D04BF}"/>
    <cellStyle name="Comma 4 2 5 2 8" xfId="53123" xr:uid="{CEAEB8F0-FF70-4C1E-B3DB-6BFCFFC57E87}"/>
    <cellStyle name="Comma 4 2 5 3" xfId="14593" xr:uid="{885C7440-FE83-48B2-9B85-14D89EB8994A}"/>
    <cellStyle name="Comma 4 2 5 3 2" xfId="22140" xr:uid="{7FD18BA8-06BF-4B3E-8B09-009D8DA2AFF0}"/>
    <cellStyle name="Comma 4 2 5 3 3" xfId="47533" xr:uid="{610093EA-F752-4569-A2D7-6E01F5FC77CE}"/>
    <cellStyle name="Comma 4 2 5 3 4" xfId="51478" xr:uid="{AB0CE928-E95E-4481-B737-4B3C22A01AF3}"/>
    <cellStyle name="Comma 4 2 5 3 5" xfId="54494" xr:uid="{881133B4-1661-48DE-8891-845D6F72EF0A}"/>
    <cellStyle name="Comma 4 2 5 4" xfId="15078" xr:uid="{7B6C5647-E610-49EE-9C42-54A447896D85}"/>
    <cellStyle name="Comma 4 2 5 4 2" xfId="22617" xr:uid="{BF9A62C2-899A-41D7-B90E-61B87DA17414}"/>
    <cellStyle name="Comma 4 2 5 4 3" xfId="46878" xr:uid="{B99F11B4-EFF4-4EFB-860A-17A7BAAF6603}"/>
    <cellStyle name="Comma 4 2 5 4 4" xfId="51955" xr:uid="{FA14D708-7956-40CE-923E-1AB1BC25CE2D}"/>
    <cellStyle name="Comma 4 2 5 4 5" xfId="54971" xr:uid="{66B21303-2EBB-43F4-AFEC-AC59A6FE0662}"/>
    <cellStyle name="Comma 4 2 5 5" xfId="15565" xr:uid="{704414F1-936E-4348-A211-13E05A811A56}"/>
    <cellStyle name="Comma 4 2 5 5 2" xfId="23094" xr:uid="{75EC63D4-9568-4C08-B3C8-D3A57279112C}"/>
    <cellStyle name="Comma 4 2 5 5 3" xfId="48420" xr:uid="{24575761-165A-405C-B2E5-23BD9D857FD6}"/>
    <cellStyle name="Comma 4 2 5 5 4" xfId="52432" xr:uid="{CB6EF3DE-3DB8-44F7-82C1-E78620DA738E}"/>
    <cellStyle name="Comma 4 2 5 5 5" xfId="55448" xr:uid="{A45D0746-F290-420C-A33E-E81F3623C786}"/>
    <cellStyle name="Comma 4 2 5 6" xfId="12516" xr:uid="{8D54E31A-60EF-4D8C-AEE5-4BF7C059F945}"/>
    <cellStyle name="Comma 4 2 5 6 2" xfId="48195" xr:uid="{2F429F1F-C2EF-4918-B701-37D3AAC328CD}"/>
    <cellStyle name="Comma 4 2 5 6 3" xfId="51001" xr:uid="{294A8A93-8923-42D5-A247-EA9330720079}"/>
    <cellStyle name="Comma 4 2 5 6 4" xfId="54017" xr:uid="{C4723913-F15F-4CF4-AE84-F5CB9DCE1AA3}"/>
    <cellStyle name="Comma 4 2 5 7" xfId="23762" xr:uid="{2CF555DC-F591-441E-93B4-3F49AA4D23B1}"/>
    <cellStyle name="Comma 4 2 5 8" xfId="48644" xr:uid="{32B8E2A7-0D17-4A1C-8E47-3EC294DB1033}"/>
    <cellStyle name="Comma 4 2 5 9" xfId="49552" xr:uid="{AE3A7372-D628-43D4-BF8E-BC2A5F086815}"/>
    <cellStyle name="Comma 4 2 6" xfId="10131" xr:uid="{05253BF7-B032-4C6A-9B94-AC51536BCD10}"/>
    <cellStyle name="Comma 4 2 6 10" xfId="52964" xr:uid="{480D07B9-6B22-48B8-839B-B4010BE40B31}"/>
    <cellStyle name="Comma 4 2 6 2" xfId="10445" xr:uid="{F457E600-7DA0-41D7-987B-4DAAAA74B812}"/>
    <cellStyle name="Comma 4 2 6 2 2" xfId="14858" xr:uid="{091E70A7-2592-48B0-94F1-FE38DC6BE1C1}"/>
    <cellStyle name="Comma 4 2 6 2 2 2" xfId="22405" xr:uid="{EBC6B9D8-3AF5-4CDE-BD3C-84FAB477C73F}"/>
    <cellStyle name="Comma 4 2 6 2 2 3" xfId="48507" xr:uid="{7BA7A750-F131-476D-896D-4325DDFCB662}"/>
    <cellStyle name="Comma 4 2 6 2 2 4" xfId="51743" xr:uid="{AE0601F5-E2A6-456F-AA3B-6010C228C495}"/>
    <cellStyle name="Comma 4 2 6 2 2 5" xfId="54759" xr:uid="{4D8BF9FD-538B-4B5D-BD40-63BC5B0A3F3F}"/>
    <cellStyle name="Comma 4 2 6 2 3" xfId="15343" xr:uid="{BE380F3C-BA67-472B-B808-CED4952C848F}"/>
    <cellStyle name="Comma 4 2 6 2 3 2" xfId="22882" xr:uid="{A91D6951-48FE-45C0-BE20-1B696C97CEE6}"/>
    <cellStyle name="Comma 4 2 6 2 3 3" xfId="46517" xr:uid="{D9FB22CF-1336-4DE7-9FD9-389131AF4FCB}"/>
    <cellStyle name="Comma 4 2 6 2 3 4" xfId="52220" xr:uid="{F02AC406-4AB4-4645-9106-5B2A74F7F3B0}"/>
    <cellStyle name="Comma 4 2 6 2 3 5" xfId="55236" xr:uid="{7C46660E-06A9-4762-A283-A5C8160E6B0A}"/>
    <cellStyle name="Comma 4 2 6 2 4" xfId="15830" xr:uid="{B2A1CCEB-4CAC-4800-B0F5-F3AC2A0AF9F4}"/>
    <cellStyle name="Comma 4 2 6 2 4 2" xfId="23359" xr:uid="{BAEDD323-21F1-4EC1-9D3A-F0B7AFA122A4}"/>
    <cellStyle name="Comma 4 2 6 2 4 3" xfId="47445" xr:uid="{1711DAB3-7D6C-47CC-B258-AD23199A031E}"/>
    <cellStyle name="Comma 4 2 6 2 4 4" xfId="52697" xr:uid="{5A3BC324-D258-423E-ACA2-BD5AD4217290}"/>
    <cellStyle name="Comma 4 2 6 2 4 5" xfId="55713" xr:uid="{E5A9179E-64CA-47BA-B222-951060500645}"/>
    <cellStyle name="Comma 4 2 6 2 5" xfId="12898" xr:uid="{7C136951-E484-4FA5-AF5E-F6EDB74327C0}"/>
    <cellStyle name="Comma 4 2 6 2 5 2" xfId="47823" xr:uid="{CDA0F8C9-E7FA-48DC-A9B0-AFBEA2CD5195}"/>
    <cellStyle name="Comma 4 2 6 2 5 3" xfId="51266" xr:uid="{A6DC448D-AC57-4701-A9C4-2E439092DF92}"/>
    <cellStyle name="Comma 4 2 6 2 5 4" xfId="54282" xr:uid="{3B754D9C-34E1-4F20-8505-AFD7F5AD9E49}"/>
    <cellStyle name="Comma 4 2 6 2 6" xfId="48459" xr:uid="{C2853FD8-9C75-4FDF-A820-7C3E3828F481}"/>
    <cellStyle name="Comma 4 2 6 2 7" xfId="50160" xr:uid="{888AD07B-B087-4B19-8620-C5C34A2BDBF2}"/>
    <cellStyle name="Comma 4 2 6 2 8" xfId="53176" xr:uid="{233FA00C-E846-450A-B420-E1FFA1604F00}"/>
    <cellStyle name="Comma 4 2 6 3" xfId="14646" xr:uid="{9AA89697-533C-4B13-9594-BBAEA11D4FA8}"/>
    <cellStyle name="Comma 4 2 6 3 2" xfId="22193" xr:uid="{9ADEF9AB-9864-4EF7-AF9E-7BECCDDBAFC2}"/>
    <cellStyle name="Comma 4 2 6 3 3" xfId="47625" xr:uid="{B6FC6552-F22F-44C6-B96C-7F60BAB45C8D}"/>
    <cellStyle name="Comma 4 2 6 3 4" xfId="51531" xr:uid="{AF0E0067-9780-4D79-8C08-DF9F865921AB}"/>
    <cellStyle name="Comma 4 2 6 3 5" xfId="54547" xr:uid="{1FB14E2A-26B1-4A51-82B7-EB7B705A6512}"/>
    <cellStyle name="Comma 4 2 6 4" xfId="15131" xr:uid="{A0086F86-D7BF-45A2-9557-AAAACC14E8E5}"/>
    <cellStyle name="Comma 4 2 6 4 2" xfId="22670" xr:uid="{6207F07D-0656-47FD-BD4E-B6E1D942E605}"/>
    <cellStyle name="Comma 4 2 6 4 3" xfId="48070" xr:uid="{25C748B9-F6D8-41FC-9A06-36372888C852}"/>
    <cellStyle name="Comma 4 2 6 4 4" xfId="52008" xr:uid="{5F921B62-7530-4E9E-96F1-CE0D90721BF7}"/>
    <cellStyle name="Comma 4 2 6 4 5" xfId="55024" xr:uid="{65504CC1-9C11-47C9-82C7-C0CB4677F845}"/>
    <cellStyle name="Comma 4 2 6 5" xfId="15618" xr:uid="{3FBD99B6-AE6B-4D78-8581-B4AF7CE64B44}"/>
    <cellStyle name="Comma 4 2 6 5 2" xfId="23147" xr:uid="{42B1353D-6CDC-4F72-829A-EB61CE63292C}"/>
    <cellStyle name="Comma 4 2 6 5 3" xfId="47722" xr:uid="{7968D110-B4AD-4B02-A621-65DF95B30BEB}"/>
    <cellStyle name="Comma 4 2 6 5 4" xfId="52485" xr:uid="{218B4C69-5958-4D1F-9C7F-C86793D427BE}"/>
    <cellStyle name="Comma 4 2 6 5 5" xfId="55501" xr:uid="{398573A1-929C-40FC-A206-427E4D7A160E}"/>
    <cellStyle name="Comma 4 2 6 6" xfId="12588" xr:uid="{5BA88549-FECD-43DE-9D01-CD211E20C1C9}"/>
    <cellStyle name="Comma 4 2 6 6 2" xfId="48320" xr:uid="{1A1E45AC-DBF3-44D2-AEE4-A725EBAACB35}"/>
    <cellStyle name="Comma 4 2 6 6 3" xfId="51054" xr:uid="{EA593C51-75BB-41DC-80C4-EBBDDDDA8064}"/>
    <cellStyle name="Comma 4 2 6 6 4" xfId="54070" xr:uid="{B9415A2E-6DEF-4C5F-8391-91D8A0F0F46A}"/>
    <cellStyle name="Comma 4 2 6 7" xfId="23763" xr:uid="{C1DFBDBE-64D4-4D9B-A8BE-A6135C94B40F}"/>
    <cellStyle name="Comma 4 2 6 8" xfId="48450" xr:uid="{1C83C4E6-4991-46F9-A740-632284894693}"/>
    <cellStyle name="Comma 4 2 6 9" xfId="49948" xr:uid="{CF87D87F-21CE-4511-9BAA-E86E8DF2E342}"/>
    <cellStyle name="Comma 4 2 7" xfId="10211" xr:uid="{6FEE7F81-A49D-49C6-9C93-A73F2D0DEF3C}"/>
    <cellStyle name="Comma 4 2 7 2" xfId="14699" xr:uid="{4533AF81-6C23-46F2-AA47-70C4A8F4B61C}"/>
    <cellStyle name="Comma 4 2 7 2 2" xfId="22246" xr:uid="{ACCCAAC9-0E94-458D-9C82-7B5241B72298}"/>
    <cellStyle name="Comma 4 2 7 2 3" xfId="47535" xr:uid="{D4FAE1AC-81DB-41A6-AED6-FEB5EBB6059B}"/>
    <cellStyle name="Comma 4 2 7 2 4" xfId="51584" xr:uid="{51AC84D2-9EA4-46C9-B7A7-8D88CFA9CAF3}"/>
    <cellStyle name="Comma 4 2 7 2 5" xfId="54600" xr:uid="{6100D65E-41BA-4B0F-AF7B-4CC085A387AD}"/>
    <cellStyle name="Comma 4 2 7 3" xfId="15184" xr:uid="{34183A10-7E9F-4774-94F2-1E371C670BBD}"/>
    <cellStyle name="Comma 4 2 7 3 2" xfId="22723" xr:uid="{024C74F6-F8B1-4C8D-A33C-15DD4CBB942D}"/>
    <cellStyle name="Comma 4 2 7 3 3" xfId="47045" xr:uid="{48D53E4C-5102-4967-AF05-DF1CEDDB1A2C}"/>
    <cellStyle name="Comma 4 2 7 3 4" xfId="52061" xr:uid="{E6F8B157-4B3F-4685-BE3F-7307EB911017}"/>
    <cellStyle name="Comma 4 2 7 3 5" xfId="55077" xr:uid="{17A31996-8C13-40B5-870D-AC805C82D4CC}"/>
    <cellStyle name="Comma 4 2 7 4" xfId="15671" xr:uid="{37C2C7BF-F72F-4A68-8D41-E98A22CEC083}"/>
    <cellStyle name="Comma 4 2 7 4 2" xfId="23200" xr:uid="{2436A133-6DE4-4D7B-B644-3DD4DCFDC411}"/>
    <cellStyle name="Comma 4 2 7 4 3" xfId="33351" xr:uid="{6EFE584A-6B3D-45CE-8A57-4347C26AEC41}"/>
    <cellStyle name="Comma 4 2 7 4 4" xfId="52538" xr:uid="{E00B6038-0F01-4088-8E1E-141D52C72B18}"/>
    <cellStyle name="Comma 4 2 7 4 5" xfId="55554" xr:uid="{4F36636F-3A05-46CB-BA77-A096F65C96F2}"/>
    <cellStyle name="Comma 4 2 7 5" xfId="12664" xr:uid="{EE00686B-5AA4-4839-B734-FCB14F8C589B}"/>
    <cellStyle name="Comma 4 2 7 5 2" xfId="46782" xr:uid="{9582DA65-A3C5-448E-BE43-3555CCBA8F60}"/>
    <cellStyle name="Comma 4 2 7 5 3" xfId="51107" xr:uid="{194B4C0C-9B2F-4C76-9C8B-13A08992BF98}"/>
    <cellStyle name="Comma 4 2 7 5 4" xfId="54123" xr:uid="{A4C0667F-1FC1-489D-B800-063BBDF4C8D1}"/>
    <cellStyle name="Comma 4 2 7 6" xfId="48451" xr:uid="{778DB4DE-4428-4BE7-9FA8-1BF8B239BDBC}"/>
    <cellStyle name="Comma 4 2 7 7" xfId="50001" xr:uid="{FD8A64AF-0234-44C9-86B5-7D4A8D0D8F77}"/>
    <cellStyle name="Comma 4 2 7 8" xfId="53017" xr:uid="{5F067F98-DE3B-4286-BADA-5A284D49FDD7}"/>
    <cellStyle name="Comma 4 2 8" xfId="10525" xr:uid="{B8D75ACE-74DB-45A3-A733-949F9E368390}"/>
    <cellStyle name="Comma 4 2 8 2" xfId="14911" xr:uid="{AC3FDFE0-8433-4DB1-95DD-5A51D9CDF15E}"/>
    <cellStyle name="Comma 4 2 8 2 2" xfId="22458" xr:uid="{94560D60-C266-4F96-AE19-AFA2FF4AAB23}"/>
    <cellStyle name="Comma 4 2 8 2 3" xfId="46683" xr:uid="{48E1AB5E-F17C-49F9-B3BA-DFCF37D1FA12}"/>
    <cellStyle name="Comma 4 2 8 2 4" xfId="51796" xr:uid="{A9A49FB2-4182-4B14-926B-D0A8DA940FE1}"/>
    <cellStyle name="Comma 4 2 8 2 5" xfId="54812" xr:uid="{13D419BE-F423-44A7-B55F-2D4927904783}"/>
    <cellStyle name="Comma 4 2 8 3" xfId="15396" xr:uid="{6EDCF36D-4911-443A-A663-31944190C44F}"/>
    <cellStyle name="Comma 4 2 8 3 2" xfId="22935" xr:uid="{07077310-32DA-4A4C-AE50-4170B9EC16D7}"/>
    <cellStyle name="Comma 4 2 8 3 3" xfId="47438" xr:uid="{FD7E08CD-EDBF-4B51-A444-8AF0DFDEF06D}"/>
    <cellStyle name="Comma 4 2 8 3 4" xfId="52273" xr:uid="{54F3CD16-72B0-4415-B57F-21B876FFDA98}"/>
    <cellStyle name="Comma 4 2 8 3 5" xfId="55289" xr:uid="{A2D279BA-54AB-4CE8-946B-06633F4332EE}"/>
    <cellStyle name="Comma 4 2 8 4" xfId="15883" xr:uid="{E9910856-B02A-4355-BE62-C53C1B5037BC}"/>
    <cellStyle name="Comma 4 2 8 4 2" xfId="23412" xr:uid="{A82A02DE-C627-432A-B9B2-590638B26707}"/>
    <cellStyle name="Comma 4 2 8 4 3" xfId="46982" xr:uid="{2212D0EC-2F1C-4655-BB46-279B243ADFD4}"/>
    <cellStyle name="Comma 4 2 8 4 4" xfId="52750" xr:uid="{BDC586D7-55DB-4C95-98E5-C3A4259C5E4B}"/>
    <cellStyle name="Comma 4 2 8 4 5" xfId="55766" xr:uid="{0697CCDC-1ED3-42EC-A3F2-6AB762D8ACF2}"/>
    <cellStyle name="Comma 4 2 8 5" xfId="12978" xr:uid="{8394FA50-1CF6-4C4F-B9BE-259171D82719}"/>
    <cellStyle name="Comma 4 2 8 5 2" xfId="48200" xr:uid="{477203A1-009E-4A3F-9287-7826A3311A21}"/>
    <cellStyle name="Comma 4 2 8 5 3" xfId="51319" xr:uid="{A9A5B306-CAD1-4E08-8664-28249AE9B989}"/>
    <cellStyle name="Comma 4 2 8 5 4" xfId="54335" xr:uid="{852F321A-9DE4-43BB-84A7-FA29FCCA2C2A}"/>
    <cellStyle name="Comma 4 2 8 6" xfId="46144" xr:uid="{2E4F20DF-E2F4-4FA1-8E65-287186E5134E}"/>
    <cellStyle name="Comma 4 2 8 7" xfId="50213" xr:uid="{9DC2DFD3-CC02-4650-A5C8-E7E4970C4CF8}"/>
    <cellStyle name="Comma 4 2 8 8" xfId="53229" xr:uid="{0FDE3D2D-7C67-427E-9DDE-B4E208C1ACBE}"/>
    <cellStyle name="Comma 4 2 9" xfId="14487" xr:uid="{1255646F-146A-436B-9D74-02435F3CDA77}"/>
    <cellStyle name="Comma 4 2 9 2" xfId="22034" xr:uid="{ACD55665-43AE-4249-8FFA-7B38102A0507}"/>
    <cellStyle name="Comma 4 2 9 3" xfId="47234" xr:uid="{EB4298A7-81E4-4CF8-9FF9-F4511251D2EF}"/>
    <cellStyle name="Comma 4 2 9 4" xfId="51372" xr:uid="{411E5529-DEB8-4896-821C-11513E3BB25B}"/>
    <cellStyle name="Comma 4 2 9 5" xfId="54388" xr:uid="{E380E380-8322-496B-8862-8259C30B07C9}"/>
    <cellStyle name="Comma 4 3" xfId="2627" xr:uid="{A4A07A48-1355-4B9B-B954-D1F94C9D8007}"/>
    <cellStyle name="Comma 4 3 10" xfId="15945" xr:uid="{EFA0AB3B-9971-42F5-B3C9-B88971B1812D}"/>
    <cellStyle name="Comma 4 3 11" xfId="8426" xr:uid="{467F8B55-300C-4CFD-A30A-9E1341CA2D4A}"/>
    <cellStyle name="Comma 4 3 2" xfId="4544" xr:uid="{71FA2AD0-CF4E-4AA4-81F8-B766697CAF59}"/>
    <cellStyle name="Comma 4 3 2 10" xfId="14995" xr:uid="{76B57A83-8FAC-46F5-9A37-99C26B0A5785}"/>
    <cellStyle name="Comma 4 3 2 10 2" xfId="22535" xr:uid="{85C97FAB-A68F-49A4-BA68-6AAAA8C8F3C2}"/>
    <cellStyle name="Comma 4 3 2 10 3" xfId="46463" xr:uid="{BD631D9C-6B1B-4505-BEC6-2EC652678C45}"/>
    <cellStyle name="Comma 4 3 2 10 4" xfId="51873" xr:uid="{326F1ADB-3370-4FED-AD86-167DDF99F9D7}"/>
    <cellStyle name="Comma 4 3 2 10 5" xfId="54889" xr:uid="{E530F812-D536-4067-8B35-BF105EE90E8B}"/>
    <cellStyle name="Comma 4 3 2 10 6" xfId="19187" xr:uid="{A394DF2F-D798-4E55-8C9C-4DA206CD3871}"/>
    <cellStyle name="Comma 4 3 2 11" xfId="15482" xr:uid="{687FA590-3C4B-4493-926D-B9F541EECE60}"/>
    <cellStyle name="Comma 4 3 2 11 2" xfId="23012" xr:uid="{26F5BF03-3795-44BC-A419-3E1231EDDA42}"/>
    <cellStyle name="Comma 4 3 2 11 3" xfId="47514" xr:uid="{72F137E2-46D0-483F-ACB8-12C96C2AD025}"/>
    <cellStyle name="Comma 4 3 2 11 4" xfId="52350" xr:uid="{B3828DBD-975E-4188-99D6-57F5110F03CB}"/>
    <cellStyle name="Comma 4 3 2 11 5" xfId="55366" xr:uid="{FA4DBDA6-49DA-4A93-9420-202ED42D52F7}"/>
    <cellStyle name="Comma 4 3 2 11 6" xfId="19332" xr:uid="{99396C1A-70B6-4BA7-853C-74AF5CF78BBA}"/>
    <cellStyle name="Comma 4 3 2 12" xfId="11586" xr:uid="{3DCA4E3C-EAD0-4854-A6D0-37A6191CFF0D}"/>
    <cellStyle name="Comma 4 3 2 12 2" xfId="21710" xr:uid="{61000D1D-568E-4A13-A918-530BD2BCD00E}"/>
    <cellStyle name="Comma 4 3 2 12 3" xfId="47803" xr:uid="{ED565C73-99BC-4C3B-83EA-7757897C8C14}"/>
    <cellStyle name="Comma 4 3 2 12 4" xfId="50733" xr:uid="{776C22B3-2781-40CD-BCBC-58F72C78F858}"/>
    <cellStyle name="Comma 4 3 2 12 5" xfId="53749" xr:uid="{50C845B3-3A26-4A42-8B8B-0BC8E2B15A09}"/>
    <cellStyle name="Comma 4 3 2 12 6" xfId="18161" xr:uid="{0C2604C6-2ADF-4D5D-9B8B-D9D15703C918}"/>
    <cellStyle name="Comma 4 3 2 13" xfId="23765" xr:uid="{566732E1-3D5D-4555-933A-331C81163B41}"/>
    <cellStyle name="Comma 4 3 2 14" xfId="46012" xr:uid="{902D6823-C05E-439A-8D93-81CE63C7D131}"/>
    <cellStyle name="Comma 4 3 2 15" xfId="48646" xr:uid="{44A5B0EB-0B07-4F0C-BFB1-051A5F436459}"/>
    <cellStyle name="Comma 4 3 2 16" xfId="49554" xr:uid="{3E65B514-6221-4854-A1EB-0620E801F172}"/>
    <cellStyle name="Comma 4 3 2 17" xfId="49813" xr:uid="{A0A19047-79F5-44EF-B181-03360B4AD43B}"/>
    <cellStyle name="Comma 4 3 2 18" xfId="52828" xr:uid="{83314CF0-9D96-4863-AFB2-B548A4E8E889}"/>
    <cellStyle name="Comma 4 3 2 19" xfId="8936" xr:uid="{CC4A186F-32BC-4CBB-B129-3EC1B1686F13}"/>
    <cellStyle name="Comma 4 3 2 2" xfId="8937" xr:uid="{E9B98368-9AC8-484E-823F-365784DD0A1D}"/>
    <cellStyle name="Comma 4 3 2 2 10" xfId="11514" xr:uid="{637EAA8B-0139-49FF-B4FE-7C3F101EF301}"/>
    <cellStyle name="Comma 4 3 2 2 10 2" xfId="48330" xr:uid="{90969603-85B2-4572-97DE-765B94CA65D2}"/>
    <cellStyle name="Comma 4 3 2 2 10 3" xfId="50724" xr:uid="{8CB3D945-BE91-4902-B5FB-45A8ED194D86}"/>
    <cellStyle name="Comma 4 3 2 2 10 4" xfId="53740" xr:uid="{51F6C158-4A12-4F69-BFD9-8B8F1E387ADF}"/>
    <cellStyle name="Comma 4 3 2 2 10 5" xfId="21701" xr:uid="{611020BA-2B28-40A2-9A59-1DB932EE2FC3}"/>
    <cellStyle name="Comma 4 3 2 2 11" xfId="23766" xr:uid="{9146F0DA-C951-4674-AD96-5EB57015DC56}"/>
    <cellStyle name="Comma 4 3 2 2 12" xfId="47060" xr:uid="{7D71C805-9D47-43B3-A475-CAEF16D8C243}"/>
    <cellStyle name="Comma 4 3 2 2 13" xfId="48647" xr:uid="{C617B631-D236-4B5E-A8D0-4DAFF08AAC6E}"/>
    <cellStyle name="Comma 4 3 2 2 14" xfId="49555" xr:uid="{ACB51944-6860-4329-8AA3-F0D811216C13}"/>
    <cellStyle name="Comma 4 3 2 2 15" xfId="49814" xr:uid="{F9681ACD-42F9-4184-85A6-73579AB9B839}"/>
    <cellStyle name="Comma 4 3 2 2 16" xfId="52829" xr:uid="{B3407916-6C1C-4DA8-96A2-B4824628E434}"/>
    <cellStyle name="Comma 4 3 2 2 17" xfId="18147" xr:uid="{82AB5FCB-D0FE-4973-8EF9-465EC1FA93B5}"/>
    <cellStyle name="Comma 4 3 2 2 2" xfId="10024" xr:uid="{885FF5C4-B5BC-4CAA-A6CA-F08F96899795}"/>
    <cellStyle name="Comma 4 3 2 2 2 10" xfId="18751" xr:uid="{5F111756-17A0-4543-A4B8-409F2FF5C266}"/>
    <cellStyle name="Comma 4 3 2 2 2 2" xfId="10332" xr:uid="{D22619E9-6298-4519-9CD2-D4545E94E200}"/>
    <cellStyle name="Comma 4 3 2 2 2 2 2" xfId="14777" xr:uid="{AC53E4CF-4CFB-4FB9-8F9E-2C080A35961B}"/>
    <cellStyle name="Comma 4 3 2 2 2 2 2 2" xfId="22324" xr:uid="{A01066EF-F4F0-4039-99C4-9EF6BC44127D}"/>
    <cellStyle name="Comma 4 3 2 2 2 2 2 3" xfId="25300" xr:uid="{C13D31A5-2850-4695-B56F-1069715D6747}"/>
    <cellStyle name="Comma 4 3 2 2 2 2 2 4" xfId="51662" xr:uid="{CA6B18B9-7F30-4ABF-8ABF-F9350410F914}"/>
    <cellStyle name="Comma 4 3 2 2 2 2 2 5" xfId="54678" xr:uid="{78C07F77-6A96-4564-BC67-0EABB43A7454}"/>
    <cellStyle name="Comma 4 3 2 2 2 2 2 6" xfId="19121" xr:uid="{B5EFD4D8-8C45-4A82-9A22-DFFD2EAF8E75}"/>
    <cellStyle name="Comma 4 3 2 2 2 2 3" xfId="15262" xr:uid="{1D3A1D7F-4F62-443B-B049-5C34C651B064}"/>
    <cellStyle name="Comma 4 3 2 2 2 2 3 2" xfId="22801" xr:uid="{8D1BBEF2-B507-49E1-A3AE-C9774EE54DA8}"/>
    <cellStyle name="Comma 4 3 2 2 2 2 3 3" xfId="47938" xr:uid="{3B09300B-DFFC-4993-A5C1-031E98C09154}"/>
    <cellStyle name="Comma 4 3 2 2 2 2 3 4" xfId="52139" xr:uid="{5D22C636-0C7A-4724-9D21-2FF9CBD0F572}"/>
    <cellStyle name="Comma 4 3 2 2 2 2 3 5" xfId="55155" xr:uid="{020743F3-09DE-4DD8-9C57-C7E841D94C6E}"/>
    <cellStyle name="Comma 4 3 2 2 2 2 3 6" xfId="19264" xr:uid="{55756B1C-AC19-4FFE-954B-297381BD1A7A}"/>
    <cellStyle name="Comma 4 3 2 2 2 2 4" xfId="15749" xr:uid="{81FB5FCE-6B41-403C-A96F-112A3DB4CB47}"/>
    <cellStyle name="Comma 4 3 2 2 2 2 4 2" xfId="23278" xr:uid="{5DDD59E1-2866-4D39-ADED-54AA6CAA8E12}"/>
    <cellStyle name="Comma 4 3 2 2 2 2 4 3" xfId="46580" xr:uid="{24ADF181-70EA-48AF-BE74-0A8AA8A92AB6}"/>
    <cellStyle name="Comma 4 3 2 2 2 2 4 4" xfId="52616" xr:uid="{F0637ABD-906B-4AB7-A331-14D85862F9D9}"/>
    <cellStyle name="Comma 4 3 2 2 2 2 4 5" xfId="55632" xr:uid="{525DE5E3-55EB-4682-A4D1-8264B74366C0}"/>
    <cellStyle name="Comma 4 3 2 2 2 2 4 6" xfId="19409" xr:uid="{0BD64964-0BF6-445E-B95E-1EF7C0663B1D}"/>
    <cellStyle name="Comma 4 3 2 2 2 2 5" xfId="12785" xr:uid="{6DF08EF8-D47E-401A-8980-5227C589A6C1}"/>
    <cellStyle name="Comma 4 3 2 2 2 2 5 2" xfId="46352" xr:uid="{992571A3-307A-4372-A214-52C0FA6F67FA}"/>
    <cellStyle name="Comma 4 3 2 2 2 2 5 3" xfId="51185" xr:uid="{1CD792A7-B434-46A2-A7CF-4552A69FBFA5}"/>
    <cellStyle name="Comma 4 3 2 2 2 2 5 4" xfId="54201" xr:uid="{42882535-ADE6-438D-8A7F-131315E9E8B3}"/>
    <cellStyle name="Comma 4 3 2 2 2 2 5 5" xfId="21979" xr:uid="{A5E2AD9C-656F-4E39-BAE9-17A21C571AF9}"/>
    <cellStyle name="Comma 4 3 2 2 2 2 6" xfId="47509" xr:uid="{CDEDFC42-A79F-47B6-B9E5-373D85B0B2A2}"/>
    <cellStyle name="Comma 4 3 2 2 2 2 7" xfId="50079" xr:uid="{F5762ADF-5AAF-49D6-9F4F-EAC37A789638}"/>
    <cellStyle name="Comma 4 3 2 2 2 2 8" xfId="53095" xr:uid="{5EF10E93-99F2-43A0-B343-179AEBBBF03E}"/>
    <cellStyle name="Comma 4 3 2 2 2 2 9" xfId="18900" xr:uid="{066141C6-158F-4956-A51A-C028773D0A4B}"/>
    <cellStyle name="Comma 4 3 2 2 2 3" xfId="14565" xr:uid="{340F07DD-AD01-4209-99A9-37EA638041ED}"/>
    <cellStyle name="Comma 4 3 2 2 2 3 2" xfId="22112" xr:uid="{4552CA8F-DA6C-4952-ADA4-8089DEE72B80}"/>
    <cellStyle name="Comma 4 3 2 2 2 3 3" xfId="24978" xr:uid="{FAFC41F8-1C73-46A3-A2DE-104695650E38}"/>
    <cellStyle name="Comma 4 3 2 2 2 3 4" xfId="51450" xr:uid="{99BF1622-576A-4FDD-8AF6-41D17448DDF3}"/>
    <cellStyle name="Comma 4 3 2 2 2 3 5" xfId="54466" xr:uid="{4F83BD80-89B3-4E68-81CF-0966407FB132}"/>
    <cellStyle name="Comma 4 3 2 2 2 3 6" xfId="19061" xr:uid="{14CB050E-38CC-4551-95B4-EEFEE8766421}"/>
    <cellStyle name="Comma 4 3 2 2 2 4" xfId="15049" xr:uid="{C1DDB320-6535-4283-847C-8FF16197EA90}"/>
    <cellStyle name="Comma 4 3 2 2 2 4 2" xfId="22589" xr:uid="{F1846ED4-53FF-47CA-AF50-4520A960851C}"/>
    <cellStyle name="Comma 4 3 2 2 2 4 3" xfId="33651" xr:uid="{7BCD93D3-DFEC-46E5-80FA-339B90636879}"/>
    <cellStyle name="Comma 4 3 2 2 2 4 4" xfId="51927" xr:uid="{F95C8ED1-6CCB-4C07-B835-D1B0194B6CC3}"/>
    <cellStyle name="Comma 4 3 2 2 2 4 5" xfId="54943" xr:uid="{8BA6A2BC-4026-41CA-AB3C-90F032E0AEC8}"/>
    <cellStyle name="Comma 4 3 2 2 2 4 6" xfId="19203" xr:uid="{F6CBE129-833F-402A-B0E3-F48A95D66387}"/>
    <cellStyle name="Comma 4 3 2 2 2 5" xfId="15536" xr:uid="{64A3C6E8-ADAA-4CF0-A8E9-74BCC7E8AF77}"/>
    <cellStyle name="Comma 4 3 2 2 2 5 2" xfId="23066" xr:uid="{5850A964-6358-4A54-B661-05DBF0D608A1}"/>
    <cellStyle name="Comma 4 3 2 2 2 5 3" xfId="47348" xr:uid="{3C0E3DFA-9D15-4129-8071-A892EBE7A0FF}"/>
    <cellStyle name="Comma 4 3 2 2 2 5 4" xfId="52404" xr:uid="{4B514EB5-08E3-416C-A6DC-5759696E8738}"/>
    <cellStyle name="Comma 4 3 2 2 2 5 5" xfId="55420" xr:uid="{682952B2-3C66-4A1C-817E-CFF497AF8B89}"/>
    <cellStyle name="Comma 4 3 2 2 2 5 6" xfId="19348" xr:uid="{48146377-72DF-4376-97A5-ED82452F7122}"/>
    <cellStyle name="Comma 4 3 2 2 2 6" xfId="12484" xr:uid="{5E8AC7A5-C0F0-43B4-BC3F-9D3D4CB74FF4}"/>
    <cellStyle name="Comma 4 3 2 2 2 6 2" xfId="47163" xr:uid="{ECDB7DA5-793C-4FF3-8807-2525F7132067}"/>
    <cellStyle name="Comma 4 3 2 2 2 6 3" xfId="50973" xr:uid="{B9DDCF22-4720-4859-A74B-7EEC0F625636}"/>
    <cellStyle name="Comma 4 3 2 2 2 6 4" xfId="53989" xr:uid="{7A78D91B-72EE-4FB9-B37A-E87CB38B6FF5}"/>
    <cellStyle name="Comma 4 3 2 2 2 6 5" xfId="21918" xr:uid="{BC7BB02E-38F6-4409-83E7-4F8957E3AE2C}"/>
    <cellStyle name="Comma 4 3 2 2 2 7" xfId="46027" xr:uid="{072C7362-E0D2-44A5-8E3F-F78D557C9947}"/>
    <cellStyle name="Comma 4 3 2 2 2 8" xfId="49867" xr:uid="{6DB3BFE2-0C83-4F21-A69B-3F2238B7DD07}"/>
    <cellStyle name="Comma 4 3 2 2 2 9" xfId="52883" xr:uid="{35ED37D3-7634-4336-8995-CC7C8A7A4BC9}"/>
    <cellStyle name="Comma 4 3 2 2 3" xfId="10098" xr:uid="{BFA4E8CB-7A8F-4B0D-A275-DAB133293018}"/>
    <cellStyle name="Comma 4 3 2 2 3 10" xfId="18784" xr:uid="{748E908F-D481-4DA7-9DE4-C4BC4FFA7BEB}"/>
    <cellStyle name="Comma 4 3 2 2 3 2" xfId="10411" xr:uid="{77F55A90-8F19-4ED6-AF27-808FD5D0981B}"/>
    <cellStyle name="Comma 4 3 2 2 3 2 2" xfId="14830" xr:uid="{E64F83CA-279F-4386-8B77-BC087946CA63}"/>
    <cellStyle name="Comma 4 3 2 2 3 2 2 2" xfId="22377" xr:uid="{9B10062F-522A-4C3A-8AE5-2063D6CC630D}"/>
    <cellStyle name="Comma 4 3 2 2 3 2 2 3" xfId="33655" xr:uid="{DF040551-BB62-404D-AFF1-F5108F6913F8}"/>
    <cellStyle name="Comma 4 3 2 2 3 2 2 4" xfId="51715" xr:uid="{E9BA7427-8DDA-4532-AFD0-DFD08DF8BFF6}"/>
    <cellStyle name="Comma 4 3 2 2 3 2 2 5" xfId="54731" xr:uid="{6D5395BA-84C8-4793-8185-ECD562EF9221}"/>
    <cellStyle name="Comma 4 3 2 2 3 2 2 6" xfId="19136" xr:uid="{A9F11B7C-6A0F-4C8B-AB19-5D6752428E4D}"/>
    <cellStyle name="Comma 4 3 2 2 3 2 3" xfId="15315" xr:uid="{17CDA836-9C57-4F8E-82A1-8C61DDD468FC}"/>
    <cellStyle name="Comma 4 3 2 2 3 2 3 2" xfId="22854" xr:uid="{1A909658-1204-4C7C-BD77-50AE065EE16C}"/>
    <cellStyle name="Comma 4 3 2 2 3 2 3 3" xfId="46691" xr:uid="{A5F49F0C-869A-4643-A222-F10191500FCA}"/>
    <cellStyle name="Comma 4 3 2 2 3 2 3 4" xfId="52192" xr:uid="{2053613D-9D9E-4258-824A-9FA02B6E7C5E}"/>
    <cellStyle name="Comma 4 3 2 2 3 2 3 5" xfId="55208" xr:uid="{8E4C0B28-9A97-4B73-BC91-A4363AA4209B}"/>
    <cellStyle name="Comma 4 3 2 2 3 2 3 6" xfId="19279" xr:uid="{5DC755EC-5A6D-4AC4-BBFC-E1F14C4E7162}"/>
    <cellStyle name="Comma 4 3 2 2 3 2 4" xfId="15802" xr:uid="{1F9D1504-2953-4E88-8830-82457BD231EA}"/>
    <cellStyle name="Comma 4 3 2 2 3 2 4 2" xfId="23331" xr:uid="{B793838C-9180-4BA9-B514-4A4482FFD53F}"/>
    <cellStyle name="Comma 4 3 2 2 3 2 4 3" xfId="46967" xr:uid="{40EFAE31-9AB0-414A-B69D-61E33987E9EA}"/>
    <cellStyle name="Comma 4 3 2 2 3 2 4 4" xfId="52669" xr:uid="{759DC047-A4EA-4161-A2CB-C521D506C013}"/>
    <cellStyle name="Comma 4 3 2 2 3 2 4 5" xfId="55685" xr:uid="{4DE1DC6E-C1FD-49C9-BC8E-84AF13C7AED5}"/>
    <cellStyle name="Comma 4 3 2 2 3 2 4 6" xfId="19424" xr:uid="{92EF0A7F-E9C0-44D9-93A3-AF335A6B5905}"/>
    <cellStyle name="Comma 4 3 2 2 3 2 5" xfId="12864" xr:uid="{F0FF4473-3A88-4393-B56B-FC79F8F04AA1}"/>
    <cellStyle name="Comma 4 3 2 2 3 2 5 2" xfId="47664" xr:uid="{7B296A36-4AAD-4F81-99B3-DF43784F2719}"/>
    <cellStyle name="Comma 4 3 2 2 3 2 5 3" xfId="51238" xr:uid="{A2482F26-DEE2-4103-8790-712F5B519112}"/>
    <cellStyle name="Comma 4 3 2 2 3 2 5 4" xfId="54254" xr:uid="{E95FF8E6-465F-48A3-A8C1-1D2E61AB9877}"/>
    <cellStyle name="Comma 4 3 2 2 3 2 5 5" xfId="21994" xr:uid="{677C1EE6-3470-4BD8-8486-F3E53C9F72AF}"/>
    <cellStyle name="Comma 4 3 2 2 3 2 6" xfId="47584" xr:uid="{7EC4F173-1212-4626-8CAF-4FD331F02218}"/>
    <cellStyle name="Comma 4 3 2 2 3 2 7" xfId="50132" xr:uid="{3DD7A596-30BE-41C9-AD34-80E19C74CB07}"/>
    <cellStyle name="Comma 4 3 2 2 3 2 8" xfId="53148" xr:uid="{BD6B4BF0-3AC9-4515-BD4E-12DDCACB749A}"/>
    <cellStyle name="Comma 4 3 2 2 3 2 9" xfId="18941" xr:uid="{C1BED072-967C-44BD-A037-F698A5476197}"/>
    <cellStyle name="Comma 4 3 2 2 3 3" xfId="14618" xr:uid="{C21FCC84-D4FA-4943-A5AE-BA6E81BA6B7A}"/>
    <cellStyle name="Comma 4 3 2 2 3 3 2" xfId="22165" xr:uid="{B2EADA70-E2B9-48F5-9551-5A03EBDC5E3E}"/>
    <cellStyle name="Comma 4 3 2 2 3 3 3" xfId="32412" xr:uid="{251FBBC7-31EC-4589-88B8-63B8F9FA6F2D}"/>
    <cellStyle name="Comma 4 3 2 2 3 3 4" xfId="51503" xr:uid="{D8DB42F4-40D3-4750-8E84-EA2FA57F74EF}"/>
    <cellStyle name="Comma 4 3 2 2 3 3 5" xfId="54519" xr:uid="{B1805C8D-F1E6-4FFF-AB58-4F44DADB8B2E}"/>
    <cellStyle name="Comma 4 3 2 2 3 3 6" xfId="19076" xr:uid="{EFF7CAB1-8B81-454C-BD94-125638408C63}"/>
    <cellStyle name="Comma 4 3 2 2 3 4" xfId="15103" xr:uid="{69924AF0-5A63-4375-938D-62CB833F7F05}"/>
    <cellStyle name="Comma 4 3 2 2 3 4 2" xfId="22642" xr:uid="{57E129E7-F4F3-436C-B80E-6C26619FE5EA}"/>
    <cellStyle name="Comma 4 3 2 2 3 4 3" xfId="46880" xr:uid="{C96A54DA-8B19-4691-BCD0-594709A70002}"/>
    <cellStyle name="Comma 4 3 2 2 3 4 4" xfId="51980" xr:uid="{578B92A9-C444-4A6D-9D12-E824CDC266E1}"/>
    <cellStyle name="Comma 4 3 2 2 3 4 5" xfId="54996" xr:uid="{79D2164B-B8BC-46A6-89AD-B8B80C975DE1}"/>
    <cellStyle name="Comma 4 3 2 2 3 4 6" xfId="19219" xr:uid="{4B77C906-08FB-49A2-96A9-9584F2DBB771}"/>
    <cellStyle name="Comma 4 3 2 2 3 5" xfId="15590" xr:uid="{D506C5E4-ACDD-461F-B120-93D81095AB84}"/>
    <cellStyle name="Comma 4 3 2 2 3 5 2" xfId="23119" xr:uid="{D172085B-61D0-40A0-B3DF-47253FA742DE}"/>
    <cellStyle name="Comma 4 3 2 2 3 5 3" xfId="47154" xr:uid="{B64251D1-0480-4186-BD45-3569D6E70F9B}"/>
    <cellStyle name="Comma 4 3 2 2 3 5 4" xfId="52457" xr:uid="{F4A45B49-3643-4526-875E-F541522749B9}"/>
    <cellStyle name="Comma 4 3 2 2 3 5 5" xfId="55473" xr:uid="{E45B5FCB-264D-4534-8B48-ACFEFE61EB44}"/>
    <cellStyle name="Comma 4 3 2 2 3 5 6" xfId="19364" xr:uid="{9B297162-6202-4F70-B3C2-0CA6F26B7DD7}"/>
    <cellStyle name="Comma 4 3 2 2 3 6" xfId="12555" xr:uid="{D4154C0D-2AB7-4377-AAE5-85E8AA550EF5}"/>
    <cellStyle name="Comma 4 3 2 2 3 6 2" xfId="47090" xr:uid="{15BEB855-455E-403A-A5D6-63FF02CA0B6D}"/>
    <cellStyle name="Comma 4 3 2 2 3 6 3" xfId="51026" xr:uid="{7A720C36-1F49-4175-A6DA-A66BEA212E6E}"/>
    <cellStyle name="Comma 4 3 2 2 3 6 4" xfId="54042" xr:uid="{0A1BF684-896D-4DD2-A5F1-EFDB65A498CC}"/>
    <cellStyle name="Comma 4 3 2 2 3 6 5" xfId="21934" xr:uid="{A59B4FDB-8839-4A49-A17D-E469CC089576}"/>
    <cellStyle name="Comma 4 3 2 2 3 7" xfId="48151" xr:uid="{EA7A3285-DA21-4BD6-AC00-64BABD87F35B}"/>
    <cellStyle name="Comma 4 3 2 2 3 8" xfId="49920" xr:uid="{C8C3EFC0-9FCE-45CB-97C5-01CC67C59F7C}"/>
    <cellStyle name="Comma 4 3 2 2 3 9" xfId="52936" xr:uid="{A33827E1-393C-4A70-B5CA-2598B7430C38}"/>
    <cellStyle name="Comma 4 3 2 2 4" xfId="10177" xr:uid="{DB547C1F-6594-4CAF-AFBA-C4BCB461024F}"/>
    <cellStyle name="Comma 4 3 2 2 4 10" xfId="18822" xr:uid="{DC5D483F-F7CD-40A5-A71C-B27EBFB3A372}"/>
    <cellStyle name="Comma 4 3 2 2 4 2" xfId="10491" xr:uid="{5E0BC2A3-4162-41DB-9FD6-6DFC89120FBF}"/>
    <cellStyle name="Comma 4 3 2 2 4 2 2" xfId="14883" xr:uid="{D0B54C7B-1500-40C4-8D15-2AAC37E318D7}"/>
    <cellStyle name="Comma 4 3 2 2 4 2 2 2" xfId="22430" xr:uid="{4C8BEE23-B2EE-47BF-9DAF-F59184261398}"/>
    <cellStyle name="Comma 4 3 2 2 4 2 2 3" xfId="48244" xr:uid="{98C6C667-4D95-4160-91CC-1CC6EDBA2A63}"/>
    <cellStyle name="Comma 4 3 2 2 4 2 2 4" xfId="51768" xr:uid="{DE9FE2B2-B612-469F-A4AC-B6999BB30522}"/>
    <cellStyle name="Comma 4 3 2 2 4 2 2 5" xfId="54784" xr:uid="{A212D468-99A2-451E-9664-DDE8DA669A8F}"/>
    <cellStyle name="Comma 4 3 2 2 4 2 2 6" xfId="19151" xr:uid="{FFC2918C-E9A8-4779-9C75-AA5BC1E94EA7}"/>
    <cellStyle name="Comma 4 3 2 2 4 2 3" xfId="15368" xr:uid="{7A08C2A7-5C36-443E-8873-BBE948641339}"/>
    <cellStyle name="Comma 4 3 2 2 4 2 3 2" xfId="22907" xr:uid="{39F2DF8B-A6C2-42E2-9BBF-E9FD0F9B35C1}"/>
    <cellStyle name="Comma 4 3 2 2 4 2 3 3" xfId="46521" xr:uid="{3A2BB5CF-02BD-4DEC-97C1-2A7BA88B7B2C}"/>
    <cellStyle name="Comma 4 3 2 2 4 2 3 4" xfId="52245" xr:uid="{2D9882E5-D854-45DD-9E2F-A2FDC56054A2}"/>
    <cellStyle name="Comma 4 3 2 2 4 2 3 5" xfId="55261" xr:uid="{D2D94DB1-D4DA-45F4-902F-1A790D2C66CD}"/>
    <cellStyle name="Comma 4 3 2 2 4 2 3 6" xfId="19294" xr:uid="{6616CF04-B1AF-4CC7-BCB6-5BC6931DEBA7}"/>
    <cellStyle name="Comma 4 3 2 2 4 2 4" xfId="15855" xr:uid="{28D996F9-B7CE-4A2E-9F50-C42A26D61CB4}"/>
    <cellStyle name="Comma 4 3 2 2 4 2 4 2" xfId="23384" xr:uid="{0FEA7BDD-673F-4D5D-8583-2CDA2913DFF0}"/>
    <cellStyle name="Comma 4 3 2 2 4 2 4 3" xfId="46598" xr:uid="{1F961E16-333F-4F60-8549-6A2DBDF93251}"/>
    <cellStyle name="Comma 4 3 2 2 4 2 4 4" xfId="52722" xr:uid="{7A51720B-0F6E-430C-99CA-493BD8959B51}"/>
    <cellStyle name="Comma 4 3 2 2 4 2 4 5" xfId="55738" xr:uid="{839804E4-F47F-4BE8-A7BE-791684025639}"/>
    <cellStyle name="Comma 4 3 2 2 4 2 4 6" xfId="19439" xr:uid="{AC2CAFD8-0356-4133-9B15-F2A00A024D4B}"/>
    <cellStyle name="Comma 4 3 2 2 4 2 5" xfId="12944" xr:uid="{8C33DF91-94C3-4EEF-B492-06F2B00FF174}"/>
    <cellStyle name="Comma 4 3 2 2 4 2 5 2" xfId="46815" xr:uid="{38EEF577-0F24-427F-8C21-09D80355AD21}"/>
    <cellStyle name="Comma 4 3 2 2 4 2 5 3" xfId="51291" xr:uid="{E41811CF-9EC7-48AD-A592-C98055AB4CE9}"/>
    <cellStyle name="Comma 4 3 2 2 4 2 5 4" xfId="54307" xr:uid="{F757FC02-F7F0-42A2-8055-FE65FC90B283}"/>
    <cellStyle name="Comma 4 3 2 2 4 2 5 5" xfId="22009" xr:uid="{596DA9C7-7A48-48F6-A28A-9ECA793A99F8}"/>
    <cellStyle name="Comma 4 3 2 2 4 2 6" xfId="47588" xr:uid="{111F401F-747A-4F70-AFD9-19FC9A49DB70}"/>
    <cellStyle name="Comma 4 3 2 2 4 2 7" xfId="50185" xr:uid="{1AEA35AB-167C-4E13-AEFC-304C46FFE0EA}"/>
    <cellStyle name="Comma 4 3 2 2 4 2 8" xfId="53201" xr:uid="{055A13B3-3968-4BB7-BF6B-361F6378F86A}"/>
    <cellStyle name="Comma 4 3 2 2 4 2 9" xfId="18983" xr:uid="{683196CA-7B30-49A0-8DB6-E655A1C76A9F}"/>
    <cellStyle name="Comma 4 3 2 2 4 3" xfId="14671" xr:uid="{F1EA42A5-0AA0-49D4-ACB8-26CAE2EE502D}"/>
    <cellStyle name="Comma 4 3 2 2 4 3 2" xfId="22218" xr:uid="{3E4A17B8-9EFE-4F96-AD2D-1778E64CA51B}"/>
    <cellStyle name="Comma 4 3 2 2 4 3 3" xfId="33023" xr:uid="{DC9E070A-185E-4577-BCC6-C8CB96963411}"/>
    <cellStyle name="Comma 4 3 2 2 4 3 4" xfId="51556" xr:uid="{9581297E-52DA-48C3-AED2-D15CEB428235}"/>
    <cellStyle name="Comma 4 3 2 2 4 3 5" xfId="54572" xr:uid="{CB660FE7-4179-40A2-8997-65EBAB3C99B2}"/>
    <cellStyle name="Comma 4 3 2 2 4 3 6" xfId="19091" xr:uid="{209F8B97-9A8C-4C12-973F-40E49906EE58}"/>
    <cellStyle name="Comma 4 3 2 2 4 4" xfId="15156" xr:uid="{42C9FB71-B66F-4F3D-8BFC-FB03A994D988}"/>
    <cellStyle name="Comma 4 3 2 2 4 4 2" xfId="22695" xr:uid="{E6A71A41-F468-472A-B236-F2145DA89DB3}"/>
    <cellStyle name="Comma 4 3 2 2 4 4 3" xfId="47862" xr:uid="{9A86CEE4-5407-4E92-AD68-FB75E8859C73}"/>
    <cellStyle name="Comma 4 3 2 2 4 4 4" xfId="52033" xr:uid="{D8F36316-A1AA-4A56-B678-457B5DDFF409}"/>
    <cellStyle name="Comma 4 3 2 2 4 4 5" xfId="55049" xr:uid="{BB0A7C90-3BE2-4F7A-B174-AA5F83E37572}"/>
    <cellStyle name="Comma 4 3 2 2 4 4 6" xfId="19234" xr:uid="{C769F813-9B77-4CD4-AE87-2D7549439AAE}"/>
    <cellStyle name="Comma 4 3 2 2 4 5" xfId="15643" xr:uid="{07B398E4-FC09-4AD4-9A3E-4D20B292F383}"/>
    <cellStyle name="Comma 4 3 2 2 4 5 2" xfId="23172" xr:uid="{3F843C6A-8C78-4D44-A05A-5612BA5956DB}"/>
    <cellStyle name="Comma 4 3 2 2 4 5 3" xfId="24899" xr:uid="{308D2895-7906-4E04-9E5F-9135D1A03C28}"/>
    <cellStyle name="Comma 4 3 2 2 4 5 4" xfId="52510" xr:uid="{BAF73E8C-A106-47FE-BB18-1B05ED95027A}"/>
    <cellStyle name="Comma 4 3 2 2 4 5 5" xfId="55526" xr:uid="{FFEC1918-E714-4222-8A6C-F8305B44ADD8}"/>
    <cellStyle name="Comma 4 3 2 2 4 5 6" xfId="19379" xr:uid="{968A85F9-CBE1-4A74-9570-D3BB98350B1A}"/>
    <cellStyle name="Comma 4 3 2 2 4 6" xfId="12631" xr:uid="{EA798609-7B1C-4A99-A28F-932413955062}"/>
    <cellStyle name="Comma 4 3 2 2 4 6 2" xfId="46777" xr:uid="{9226D44F-7B50-44CA-A284-DA750FAD0722}"/>
    <cellStyle name="Comma 4 3 2 2 4 6 3" xfId="51079" xr:uid="{D1E76EB2-5AEE-45C0-800D-0B993884F9F5}"/>
    <cellStyle name="Comma 4 3 2 2 4 6 4" xfId="54095" xr:uid="{D38C8D49-FF65-4B78-BEC9-D39B40C41569}"/>
    <cellStyle name="Comma 4 3 2 2 4 6 5" xfId="21949" xr:uid="{2C3446A0-3ED8-4550-954E-B33F63FE9374}"/>
    <cellStyle name="Comma 4 3 2 2 4 7" xfId="47280" xr:uid="{3DE8E870-F068-4FB8-8879-2F9B01146354}"/>
    <cellStyle name="Comma 4 3 2 2 4 8" xfId="49973" xr:uid="{37FB7104-6EBC-44E8-B2D1-CCC8EBDF5997}"/>
    <cellStyle name="Comma 4 3 2 2 4 9" xfId="52989" xr:uid="{D4430F6F-6BE0-4031-A960-2776D7EA7500}"/>
    <cellStyle name="Comma 4 3 2 2 5" xfId="10257" xr:uid="{B03471CA-16A6-4958-8782-AFC483AC112B}"/>
    <cellStyle name="Comma 4 3 2 2 5 2" xfId="14724" xr:uid="{2BA78B4D-1327-48DB-A940-9EBB6FB4C51C}"/>
    <cellStyle name="Comma 4 3 2 2 5 2 2" xfId="22271" xr:uid="{98D4679C-4F37-49A1-9721-CE8DDBD5A362}"/>
    <cellStyle name="Comma 4 3 2 2 5 2 3" xfId="46854" xr:uid="{1F46F15A-C1E4-4ED5-A3E8-614ADC057473}"/>
    <cellStyle name="Comma 4 3 2 2 5 2 4" xfId="51609" xr:uid="{410E3248-305B-470D-8CF2-3E443F865FD6}"/>
    <cellStyle name="Comma 4 3 2 2 5 2 5" xfId="54625" xr:uid="{F92B535E-B745-49C0-8043-7A561C6D9225}"/>
    <cellStyle name="Comma 4 3 2 2 5 2 6" xfId="19106" xr:uid="{1E0BEE40-00DF-4BD9-8220-B8052DD80FEC}"/>
    <cellStyle name="Comma 4 3 2 2 5 3" xfId="15209" xr:uid="{6DEFCEE3-F0EC-4A05-A80A-D0633C4D90BC}"/>
    <cellStyle name="Comma 4 3 2 2 5 3 2" xfId="22748" xr:uid="{378B1390-7B1C-4943-9A0E-A271F48B41F1}"/>
    <cellStyle name="Comma 4 3 2 2 5 3 3" xfId="32545" xr:uid="{7CCAEF29-9E9F-49B6-963A-5451BB77397B}"/>
    <cellStyle name="Comma 4 3 2 2 5 3 4" xfId="52086" xr:uid="{6CEC63A6-AA7E-4E97-BB3A-A29065553D09}"/>
    <cellStyle name="Comma 4 3 2 2 5 3 5" xfId="55102" xr:uid="{D00D13D1-F5D2-43DE-927B-83046DEA41FB}"/>
    <cellStyle name="Comma 4 3 2 2 5 3 6" xfId="19249" xr:uid="{510BA469-2FB8-4790-B23F-975F6EBD0424}"/>
    <cellStyle name="Comma 4 3 2 2 5 4" xfId="15696" xr:uid="{B5F5516E-71A0-4713-BCAF-17047E34CB85}"/>
    <cellStyle name="Comma 4 3 2 2 5 4 2" xfId="23225" xr:uid="{6C124B20-DCED-44AC-B06F-3FB9B06F1785}"/>
    <cellStyle name="Comma 4 3 2 2 5 4 3" xfId="48325" xr:uid="{F0CC3894-90B0-430A-AFD3-91E37ABC209B}"/>
    <cellStyle name="Comma 4 3 2 2 5 4 4" xfId="52563" xr:uid="{5C61EC2F-8F3F-4EC0-B6F1-8059477C1801}"/>
    <cellStyle name="Comma 4 3 2 2 5 4 5" xfId="55579" xr:uid="{F8754D95-A971-4EF4-94F0-0C91189B7551}"/>
    <cellStyle name="Comma 4 3 2 2 5 4 6" xfId="19394" xr:uid="{46F5BE88-0231-4640-A86D-B719FF36A991}"/>
    <cellStyle name="Comma 4 3 2 2 5 5" xfId="12710" xr:uid="{0579E9BB-183C-4D72-91EE-EC7D43F6DBC9}"/>
    <cellStyle name="Comma 4 3 2 2 5 5 2" xfId="48198" xr:uid="{0A6008C6-2A48-459A-AF08-482018C87E86}"/>
    <cellStyle name="Comma 4 3 2 2 5 5 3" xfId="51132" xr:uid="{2EEF9ADA-0B9D-4FB5-A987-1F8E1F538548}"/>
    <cellStyle name="Comma 4 3 2 2 5 5 4" xfId="54148" xr:uid="{15CB14EC-AA86-4935-8BE3-D4981318B407}"/>
    <cellStyle name="Comma 4 3 2 2 5 5 5" xfId="21964" xr:uid="{BEDA1F5B-A096-46C9-AE41-9CACE97D8F20}"/>
    <cellStyle name="Comma 4 3 2 2 5 6" xfId="48090" xr:uid="{AE807A1B-8C72-4426-BE5D-B6A77B6E3132}"/>
    <cellStyle name="Comma 4 3 2 2 5 7" xfId="50026" xr:uid="{CC94E42C-FD6C-40C9-9B0D-F410DA22A873}"/>
    <cellStyle name="Comma 4 3 2 2 5 8" xfId="53042" xr:uid="{6C24A3BD-90A3-485E-BD46-0D65CE7514A6}"/>
    <cellStyle name="Comma 4 3 2 2 5 9" xfId="18863" xr:uid="{0809007A-8AB8-498B-8015-AED612651379}"/>
    <cellStyle name="Comma 4 3 2 2 6" xfId="10571" xr:uid="{7273569A-CC5E-4012-996F-88B1B0403895}"/>
    <cellStyle name="Comma 4 3 2 2 6 2" xfId="14936" xr:uid="{E798D4F1-5341-4A2F-A67B-F96BDB2F10FF}"/>
    <cellStyle name="Comma 4 3 2 2 6 2 2" xfId="22483" xr:uid="{62F5723E-4872-4453-B03D-1AD24F767A7A}"/>
    <cellStyle name="Comma 4 3 2 2 6 2 3" xfId="47454" xr:uid="{C1AF5875-4383-4B13-B4CC-A1DF7BCD8730}"/>
    <cellStyle name="Comma 4 3 2 2 6 2 4" xfId="51821" xr:uid="{DE7C993A-D0FE-4DD3-882C-81121C2905B1}"/>
    <cellStyle name="Comma 4 3 2 2 6 2 5" xfId="54837" xr:uid="{ABCD1ACD-FC55-4EE6-8D0E-FE226135DA9D}"/>
    <cellStyle name="Comma 4 3 2 2 6 2 6" xfId="19166" xr:uid="{B8C9ACF6-8CF8-44C1-AC83-9F7E15419C32}"/>
    <cellStyle name="Comma 4 3 2 2 6 3" xfId="15421" xr:uid="{BF8E8712-8D09-442B-82FA-C7DCAB534F3F}"/>
    <cellStyle name="Comma 4 3 2 2 6 3 2" xfId="22960" xr:uid="{84E8A9FD-CC52-4637-9529-653BC7F55C1B}"/>
    <cellStyle name="Comma 4 3 2 2 6 3 3" xfId="32543" xr:uid="{B07F6669-BE13-4D05-A4E6-5DB44AC94D18}"/>
    <cellStyle name="Comma 4 3 2 2 6 3 4" xfId="52298" xr:uid="{884AA4DA-A7C4-4175-AE4D-B26BD04EADD3}"/>
    <cellStyle name="Comma 4 3 2 2 6 3 5" xfId="55314" xr:uid="{D72A6F21-2905-4B68-BCBB-2FE319F0351D}"/>
    <cellStyle name="Comma 4 3 2 2 6 3 6" xfId="19309" xr:uid="{6CFB9CCC-9547-4DBC-9CB5-BBC8D4105FED}"/>
    <cellStyle name="Comma 4 3 2 2 6 4" xfId="15909" xr:uid="{6DE86A20-A3B2-4766-8C37-B6B99D07CF47}"/>
    <cellStyle name="Comma 4 3 2 2 6 4 2" xfId="23437" xr:uid="{25B9757F-5988-4EE3-849D-CB93BFED2C60}"/>
    <cellStyle name="Comma 4 3 2 2 6 4 3" xfId="46604" xr:uid="{DA5549C0-6431-4BD3-9953-E4134098B481}"/>
    <cellStyle name="Comma 4 3 2 2 6 4 4" xfId="52775" xr:uid="{6C81D899-6CD3-4AB2-90BE-89695E9009E8}"/>
    <cellStyle name="Comma 4 3 2 2 6 4 5" xfId="55791" xr:uid="{E6AAAFBE-2AC7-49B0-B690-7ADDB08CB317}"/>
    <cellStyle name="Comma 4 3 2 2 6 4 6" xfId="19455" xr:uid="{1774E98C-C0B5-4764-8410-6B34ADF7D98D}"/>
    <cellStyle name="Comma 4 3 2 2 6 5" xfId="13024" xr:uid="{99147DD6-B131-4AAA-B4E0-17C2AF56C53E}"/>
    <cellStyle name="Comma 4 3 2 2 6 5 2" xfId="47825" xr:uid="{BAB0022D-74E1-4025-B531-7999CE41DFBF}"/>
    <cellStyle name="Comma 4 3 2 2 6 5 3" xfId="51344" xr:uid="{0285EE25-3027-4486-9E51-040395A115BD}"/>
    <cellStyle name="Comma 4 3 2 2 6 5 4" xfId="54360" xr:uid="{EBEFB0BA-C83E-4632-AB5D-9B9EFEDB0564}"/>
    <cellStyle name="Comma 4 3 2 2 6 5 5" xfId="22024" xr:uid="{0CFF3796-8E09-4BC7-BBB3-EDD1D41C0AAF}"/>
    <cellStyle name="Comma 4 3 2 2 6 6" xfId="33183" xr:uid="{49B2F5B2-6894-4119-B327-08BC1DDC8148}"/>
    <cellStyle name="Comma 4 3 2 2 6 7" xfId="50238" xr:uid="{15D5D3D3-9269-4BE6-BAEE-6135B3A639C3}"/>
    <cellStyle name="Comma 4 3 2 2 6 8" xfId="53254" xr:uid="{7DB3EB1B-E1FE-4985-94B9-E9B0AB892237}"/>
    <cellStyle name="Comma 4 3 2 2 6 9" xfId="19025" xr:uid="{D2CD08A6-6671-4CBC-A4C3-64B7B67DE76F}"/>
    <cellStyle name="Comma 4 3 2 2 7" xfId="14512" xr:uid="{E088D9A7-9DBB-408D-8648-957A2D9F4B86}"/>
    <cellStyle name="Comma 4 3 2 2 7 2" xfId="22059" xr:uid="{1CDD473D-7058-4391-A6D6-47E3131DCFA1}"/>
    <cellStyle name="Comma 4 3 2 2 7 3" xfId="47235" xr:uid="{8389CC6A-B1E3-4B6E-837B-E1841728C598}"/>
    <cellStyle name="Comma 4 3 2 2 7 4" xfId="51397" xr:uid="{518CABC0-AA34-410A-9707-60A20A68248E}"/>
    <cellStyle name="Comma 4 3 2 2 7 5" xfId="54413" xr:uid="{E9E70FDA-826C-430C-AFE6-023647753BF8}"/>
    <cellStyle name="Comma 4 3 2 2 7 6" xfId="19046" xr:uid="{35DA42F0-DAB8-406D-B079-9E93B37A7B69}"/>
    <cellStyle name="Comma 4 3 2 2 8" xfId="14996" xr:uid="{82C02D60-E4DF-4A7C-BA29-275840B19C12}"/>
    <cellStyle name="Comma 4 3 2 2 8 2" xfId="22536" xr:uid="{9121F473-30A6-4EBD-9433-0BEED5C1DD5D}"/>
    <cellStyle name="Comma 4 3 2 2 8 3" xfId="34020" xr:uid="{BB97EB22-C70A-4120-920F-CA1980A79115}"/>
    <cellStyle name="Comma 4 3 2 2 8 4" xfId="51874" xr:uid="{C1DDA922-62A6-4D54-9F06-96E54FC52863}"/>
    <cellStyle name="Comma 4 3 2 2 8 5" xfId="54890" xr:uid="{9D50E836-E182-4B76-BDB6-2A96817EA3F2}"/>
    <cellStyle name="Comma 4 3 2 2 8 6" xfId="19188" xr:uid="{1C31CDAD-FD27-44C8-B9A3-966399C67F7B}"/>
    <cellStyle name="Comma 4 3 2 2 9" xfId="15483" xr:uid="{BB482687-5970-4CEF-8E48-C2679F511301}"/>
    <cellStyle name="Comma 4 3 2 2 9 2" xfId="23013" xr:uid="{794D0028-2786-478D-B5D9-DED89EFA4E1D}"/>
    <cellStyle name="Comma 4 3 2 2 9 3" xfId="46695" xr:uid="{D9E7C4F5-E519-41C1-B445-C1F8B5E2D5BD}"/>
    <cellStyle name="Comma 4 3 2 2 9 4" xfId="52351" xr:uid="{8CB6B48A-C93E-4420-A27D-18C5D95098C0}"/>
    <cellStyle name="Comma 4 3 2 2 9 5" xfId="55367" xr:uid="{9E145608-331C-4814-8231-439F4876F997}"/>
    <cellStyle name="Comma 4 3 2 2 9 6" xfId="19333" xr:uid="{EB6D486B-85FE-445B-AD2F-684DD64864D4}"/>
    <cellStyle name="Comma 4 3 2 3" xfId="10023" xr:uid="{14CEF182-D2F3-4885-B54C-07ECDF296154}"/>
    <cellStyle name="Comma 4 3 2 3 10" xfId="18750" xr:uid="{96ACC0DC-D39A-4883-BA59-03B26B11C676}"/>
    <cellStyle name="Comma 4 3 2 3 2" xfId="10331" xr:uid="{539CCFB4-73E8-4C80-A02F-C3C597FEA250}"/>
    <cellStyle name="Comma 4 3 2 3 2 2" xfId="14776" xr:uid="{43ECB922-3320-4032-AC0B-06500950BED5}"/>
    <cellStyle name="Comma 4 3 2 3 2 2 2" xfId="22323" xr:uid="{F7C33D95-07E4-44C9-8473-37DBF90C2AB1}"/>
    <cellStyle name="Comma 4 3 2 3 2 2 3" xfId="47628" xr:uid="{E1571EB9-761B-4678-A23C-2CF8845E2C8C}"/>
    <cellStyle name="Comma 4 3 2 3 2 2 4" xfId="51661" xr:uid="{5F1A2D87-A119-4B35-A182-DE4EB7EED261}"/>
    <cellStyle name="Comma 4 3 2 3 2 2 5" xfId="54677" xr:uid="{78B94543-B896-4BCC-B9D6-CF2FC3C5FC07}"/>
    <cellStyle name="Comma 4 3 2 3 2 2 6" xfId="19120" xr:uid="{525B0F3B-DC51-42FC-A81F-59D23E668AE7}"/>
    <cellStyle name="Comma 4 3 2 3 2 3" xfId="15261" xr:uid="{B6219140-2954-4DC1-915E-154A7B636218}"/>
    <cellStyle name="Comma 4 3 2 3 2 3 2" xfId="22800" xr:uid="{EE4ED4D9-B34F-4B5C-A050-185D50278517}"/>
    <cellStyle name="Comma 4 3 2 3 2 3 3" xfId="48360" xr:uid="{2C8F1C8F-940C-4F9D-A6C1-2FD80328E432}"/>
    <cellStyle name="Comma 4 3 2 3 2 3 4" xfId="52138" xr:uid="{3EEF6CEA-725B-4DF5-A0C8-E4AEBE75658B}"/>
    <cellStyle name="Comma 4 3 2 3 2 3 5" xfId="55154" xr:uid="{30964FE2-5338-4947-A9DD-AE415A1E9418}"/>
    <cellStyle name="Comma 4 3 2 3 2 3 6" xfId="19263" xr:uid="{80AAB4CA-A63B-4084-8CB4-E6C9157DB5C9}"/>
    <cellStyle name="Comma 4 3 2 3 2 4" xfId="15748" xr:uid="{63F0C5E0-1959-4F93-AB5B-6536C042A1DC}"/>
    <cellStyle name="Comma 4 3 2 3 2 4 2" xfId="23277" xr:uid="{06153933-38C4-4E6D-B699-D7EA0FD7D580}"/>
    <cellStyle name="Comma 4 3 2 3 2 4 3" xfId="48541" xr:uid="{0841C078-CAFB-40E6-B1B1-F91F44E577D4}"/>
    <cellStyle name="Comma 4 3 2 3 2 4 4" xfId="52615" xr:uid="{EB07FE4C-BD71-41A7-886F-0AA9FD9DBF93}"/>
    <cellStyle name="Comma 4 3 2 3 2 4 5" xfId="55631" xr:uid="{716D2D96-E127-4148-AD5F-42D813EEAE2C}"/>
    <cellStyle name="Comma 4 3 2 3 2 4 6" xfId="19408" xr:uid="{19ABE45B-8178-4484-8BC3-EAFA7F006DE7}"/>
    <cellStyle name="Comma 4 3 2 3 2 5" xfId="12784" xr:uid="{537CE599-C9B3-49BF-B1DD-C544C841DC58}"/>
    <cellStyle name="Comma 4 3 2 3 2 5 2" xfId="47323" xr:uid="{D116F6C2-2251-4E0F-8CA3-93E09877845D}"/>
    <cellStyle name="Comma 4 3 2 3 2 5 3" xfId="51184" xr:uid="{708E09D9-D57F-46C7-8433-47BADAB26989}"/>
    <cellStyle name="Comma 4 3 2 3 2 5 4" xfId="54200" xr:uid="{CAA766EA-03A1-4E0B-9174-DBC5EAD43915}"/>
    <cellStyle name="Comma 4 3 2 3 2 5 5" xfId="21978" xr:uid="{8038469B-7419-4B46-B21A-9F252DD87419}"/>
    <cellStyle name="Comma 4 3 2 3 2 6" xfId="46986" xr:uid="{E7523D2D-85C8-461C-BD43-CDFBD9825F4F}"/>
    <cellStyle name="Comma 4 3 2 3 2 7" xfId="50078" xr:uid="{BDCD5B4D-999C-4E1A-B2FF-F8681A4A7BDD}"/>
    <cellStyle name="Comma 4 3 2 3 2 8" xfId="53094" xr:uid="{2E61F2DD-6DB0-4B27-90A0-0206D5309127}"/>
    <cellStyle name="Comma 4 3 2 3 2 9" xfId="18899" xr:uid="{E281ABBE-67E6-4280-B98E-0D528A3621DC}"/>
    <cellStyle name="Comma 4 3 2 3 3" xfId="14564" xr:uid="{52B9F2F1-5C41-4B68-A96D-3CCB64704EB8}"/>
    <cellStyle name="Comma 4 3 2 3 3 2" xfId="22111" xr:uid="{8C808E6E-4BAC-4C61-85D0-D2958A043299}"/>
    <cellStyle name="Comma 4 3 2 3 3 3" xfId="46398" xr:uid="{4F501408-5CA3-49B3-93ED-D8465050A758}"/>
    <cellStyle name="Comma 4 3 2 3 3 4" xfId="51449" xr:uid="{2289DD71-AC9F-4C88-8260-7B99ACA838AD}"/>
    <cellStyle name="Comma 4 3 2 3 3 5" xfId="54465" xr:uid="{39F37398-E306-4DDF-995E-B5A51EF5E9EA}"/>
    <cellStyle name="Comma 4 3 2 3 3 6" xfId="19060" xr:uid="{CA633690-8879-4448-A5A7-B77BC002EB2A}"/>
    <cellStyle name="Comma 4 3 2 3 4" xfId="15048" xr:uid="{8D6D78B9-2E8A-454D-B9D2-BBC8BD3D3ACF}"/>
    <cellStyle name="Comma 4 3 2 3 4 2" xfId="22588" xr:uid="{0E72B123-5C25-4487-9885-F6147FCB3967}"/>
    <cellStyle name="Comma 4 3 2 3 4 3" xfId="46875" xr:uid="{6AEEB412-2DF9-4B5B-8601-6D79F34A79EC}"/>
    <cellStyle name="Comma 4 3 2 3 4 4" xfId="51926" xr:uid="{88DB1564-A573-4C3C-AF6A-DB5C930D7F0D}"/>
    <cellStyle name="Comma 4 3 2 3 4 5" xfId="54942" xr:uid="{77B0265F-ABCF-4A45-AF9B-9C47B3FC390A}"/>
    <cellStyle name="Comma 4 3 2 3 4 6" xfId="19202" xr:uid="{0F199403-48B8-47D9-A310-D8E4A601EF47}"/>
    <cellStyle name="Comma 4 3 2 3 5" xfId="15535" xr:uid="{B7716B77-5509-49FA-BB93-EB05AA96DD2E}"/>
    <cellStyle name="Comma 4 3 2 3 5 2" xfId="23065" xr:uid="{F0DA2BE7-0F1F-4BBA-BEBB-21DBD312EC20}"/>
    <cellStyle name="Comma 4 3 2 3 5 3" xfId="47788" xr:uid="{D05659F3-39DD-47AF-A2FA-39F22ED27B26}"/>
    <cellStyle name="Comma 4 3 2 3 5 4" xfId="52403" xr:uid="{1C8F25D2-6F74-4B8C-A194-A2E0D282AF1D}"/>
    <cellStyle name="Comma 4 3 2 3 5 5" xfId="55419" xr:uid="{9641DC73-EC7C-4AB6-9601-F3428B52214E}"/>
    <cellStyle name="Comma 4 3 2 3 5 6" xfId="19347" xr:uid="{2C93DCDB-CAC8-48BB-9817-99CCC2477330}"/>
    <cellStyle name="Comma 4 3 2 3 6" xfId="12483" xr:uid="{F091AF7D-594A-414C-B609-3C6BA77748CC}"/>
    <cellStyle name="Comma 4 3 2 3 6 2" xfId="46758" xr:uid="{9ECAD6BF-9E8C-4A46-B340-F3898EED7EDF}"/>
    <cellStyle name="Comma 4 3 2 3 6 3" xfId="50972" xr:uid="{0C39AE62-6E8F-46B2-BFC2-24BC38F4D6AC}"/>
    <cellStyle name="Comma 4 3 2 3 6 4" xfId="53988" xr:uid="{259A69A9-6675-4677-B854-891565AE43D4}"/>
    <cellStyle name="Comma 4 3 2 3 6 5" xfId="21917" xr:uid="{B77B9532-F3D8-4A24-A15A-5D1443120B1A}"/>
    <cellStyle name="Comma 4 3 2 3 7" xfId="32305" xr:uid="{3412C76D-FF24-47A1-B064-18B2E4442012}"/>
    <cellStyle name="Comma 4 3 2 3 8" xfId="49866" xr:uid="{763D3028-7C66-4556-81F4-033A997499B7}"/>
    <cellStyle name="Comma 4 3 2 3 9" xfId="52882" xr:uid="{03AAB184-67A7-4F32-BD81-7FAE3D453EEC}"/>
    <cellStyle name="Comma 4 3 2 4" xfId="10097" xr:uid="{EDA4E2F0-6194-4983-8BD7-655C6D07A3F1}"/>
    <cellStyle name="Comma 4 3 2 4 10" xfId="18783" xr:uid="{448BECD9-75FE-493D-87B8-082A13D4E47B}"/>
    <cellStyle name="Comma 4 3 2 4 2" xfId="10410" xr:uid="{7C849462-5580-4381-A752-5354548F2CCD}"/>
    <cellStyle name="Comma 4 3 2 4 2 2" xfId="14829" xr:uid="{B0104600-7069-413C-B12B-1690480B24A4}"/>
    <cellStyle name="Comma 4 3 2 4 2 2 2" xfId="22376" xr:uid="{7571C2AE-1673-43F4-891E-F540FB8B5E34}"/>
    <cellStyle name="Comma 4 3 2 4 2 2 3" xfId="46866" xr:uid="{681F1138-F8D9-4BB7-9377-EE9920300CC1}"/>
    <cellStyle name="Comma 4 3 2 4 2 2 4" xfId="51714" xr:uid="{5B0641D8-F146-447C-9EB8-182533BFFF09}"/>
    <cellStyle name="Comma 4 3 2 4 2 2 5" xfId="54730" xr:uid="{8039C748-7F36-4E14-A04C-B6E0DE80BD70}"/>
    <cellStyle name="Comma 4 3 2 4 2 2 6" xfId="19135" xr:uid="{8E92BC52-4076-4299-A9DA-DA7DAF38F74C}"/>
    <cellStyle name="Comma 4 3 2 4 2 3" xfId="15314" xr:uid="{2DB74977-1072-42A0-8E80-7A88B83C5CDB}"/>
    <cellStyle name="Comma 4 3 2 4 2 3 2" xfId="22853" xr:uid="{04F9DD49-DED7-46BD-91A3-6757D19DA2E7}"/>
    <cellStyle name="Comma 4 3 2 4 2 3 3" xfId="48554" xr:uid="{8CFE9926-05C2-4378-9CFA-D40C4C06BF49}"/>
    <cellStyle name="Comma 4 3 2 4 2 3 4" xfId="52191" xr:uid="{AFCA13F2-5451-4F70-BE89-DC97FB11098D}"/>
    <cellStyle name="Comma 4 3 2 4 2 3 5" xfId="55207" xr:uid="{E0DA817C-5A5A-4FC4-8BEF-2AA54A66113E}"/>
    <cellStyle name="Comma 4 3 2 4 2 3 6" xfId="19278" xr:uid="{C65AED5B-7AEA-49E3-AB13-163A433C88BF}"/>
    <cellStyle name="Comma 4 3 2 4 2 4" xfId="15801" xr:uid="{C2AE0339-2D3A-40A8-883F-085EBACE4E40}"/>
    <cellStyle name="Comma 4 3 2 4 2 4 2" xfId="23330" xr:uid="{5A71A0B5-E65D-436B-A367-77BA6D049067}"/>
    <cellStyle name="Comma 4 3 2 4 2 4 3" xfId="47257" xr:uid="{623AB560-5BFD-41BD-A6B9-80E67D7E050D}"/>
    <cellStyle name="Comma 4 3 2 4 2 4 4" xfId="52668" xr:uid="{72043A9E-FF69-4270-A99E-05634C287145}"/>
    <cellStyle name="Comma 4 3 2 4 2 4 5" xfId="55684" xr:uid="{D31B31E8-60DC-442A-B02C-E9E5BE29C462}"/>
    <cellStyle name="Comma 4 3 2 4 2 4 6" xfId="19423" xr:uid="{C40E6B5B-3671-4D3E-90F5-30194715F73B}"/>
    <cellStyle name="Comma 4 3 2 4 2 5" xfId="12863" xr:uid="{9AD40D98-FD4A-4444-AD83-E1C46B0F9813}"/>
    <cellStyle name="Comma 4 3 2 4 2 5 2" xfId="48142" xr:uid="{88F2C081-E151-4055-8941-CA986A8D7B22}"/>
    <cellStyle name="Comma 4 3 2 4 2 5 3" xfId="51237" xr:uid="{F0D20FE9-8AC6-4EF6-B360-77E9405C5BB3}"/>
    <cellStyle name="Comma 4 3 2 4 2 5 4" xfId="54253" xr:uid="{E346B2F7-4E34-44CA-8574-6985116AE9ED}"/>
    <cellStyle name="Comma 4 3 2 4 2 5 5" xfId="21993" xr:uid="{6D8F3ACD-3561-44AB-9D10-D859593D0AC3}"/>
    <cellStyle name="Comma 4 3 2 4 2 6" xfId="46113" xr:uid="{26783784-9D17-4360-882F-54338F377BF8}"/>
    <cellStyle name="Comma 4 3 2 4 2 7" xfId="50131" xr:uid="{06A0FD1B-3ACB-432C-B262-D4C4FD442049}"/>
    <cellStyle name="Comma 4 3 2 4 2 8" xfId="53147" xr:uid="{628F0AFA-7E77-472A-A3E4-E55D3D06119F}"/>
    <cellStyle name="Comma 4 3 2 4 2 9" xfId="18940" xr:uid="{427A3DCD-D965-45EA-995B-34CFB1D59EAD}"/>
    <cellStyle name="Comma 4 3 2 4 3" xfId="14617" xr:uid="{B35ED04B-B754-4FC5-AD9F-5B06F2454365}"/>
    <cellStyle name="Comma 4 3 2 4 3 2" xfId="22164" xr:uid="{D31E6E84-5BFE-456C-A2AE-43B8FDB83B8E}"/>
    <cellStyle name="Comma 4 3 2 4 3 3" xfId="46409" xr:uid="{0892A9B7-0217-471F-A88D-B924AD514973}"/>
    <cellStyle name="Comma 4 3 2 4 3 4" xfId="51502" xr:uid="{56C98AC3-C64C-4349-AC0C-6FF685BF14E3}"/>
    <cellStyle name="Comma 4 3 2 4 3 5" xfId="54518" xr:uid="{2B039AFE-9A5F-4176-B942-8A59AF9C4518}"/>
    <cellStyle name="Comma 4 3 2 4 3 6" xfId="19075" xr:uid="{B6A82651-FD30-434C-AA51-B226F6F87625}"/>
    <cellStyle name="Comma 4 3 2 4 4" xfId="15102" xr:uid="{5EAD7F44-D0DC-416A-8807-B7E55ADF8365}"/>
    <cellStyle name="Comma 4 3 2 4 4 2" xfId="22641" xr:uid="{055C905B-8A10-401A-8C64-39605CBE4F8C}"/>
    <cellStyle name="Comma 4 3 2 4 4 3" xfId="47543" xr:uid="{85809CFB-DFBC-4805-B36B-8775012E9123}"/>
    <cellStyle name="Comma 4 3 2 4 4 4" xfId="51979" xr:uid="{C3250168-5A02-46DF-9258-A2DCFBAD7054}"/>
    <cellStyle name="Comma 4 3 2 4 4 5" xfId="54995" xr:uid="{2ABA27B2-13E6-4E76-9BA2-DC4A5B36543F}"/>
    <cellStyle name="Comma 4 3 2 4 4 6" xfId="19218" xr:uid="{69101717-2FDC-48E6-8095-736249438B01}"/>
    <cellStyle name="Comma 4 3 2 4 5" xfId="15589" xr:uid="{D768D121-4496-423C-9591-225D85C2C084}"/>
    <cellStyle name="Comma 4 3 2 4 5 2" xfId="23118" xr:uid="{F5A3C499-604D-43B9-98A8-6A00CE1157B4}"/>
    <cellStyle name="Comma 4 3 2 4 5 3" xfId="46696" xr:uid="{80BA26C8-CD2E-4216-9A60-FC5C23F4775A}"/>
    <cellStyle name="Comma 4 3 2 4 5 4" xfId="52456" xr:uid="{1F68793F-5A87-4B9F-8C89-E843A9BADB82}"/>
    <cellStyle name="Comma 4 3 2 4 5 5" xfId="55472" xr:uid="{8126719C-6223-48AF-8800-2FF10CA53DCB}"/>
    <cellStyle name="Comma 4 3 2 4 5 6" xfId="19363" xr:uid="{13C3F130-6DA4-4A84-989F-7892A93DE681}"/>
    <cellStyle name="Comma 4 3 2 4 6" xfId="12554" xr:uid="{19616FA7-3D06-4566-8B31-56572068A7B1}"/>
    <cellStyle name="Comma 4 3 2 4 6 2" xfId="47915" xr:uid="{66103C8A-1985-4F61-A09C-95F64CDD4FBA}"/>
    <cellStyle name="Comma 4 3 2 4 6 3" xfId="51025" xr:uid="{51C2BC56-3CAB-441B-9F57-C355C3C8B39E}"/>
    <cellStyle name="Comma 4 3 2 4 6 4" xfId="54041" xr:uid="{05FFBF85-B98C-43F0-9A26-F24F9DC3F18A}"/>
    <cellStyle name="Comma 4 3 2 4 6 5" xfId="21933" xr:uid="{C36CC95C-624B-4ECE-A6F0-792BB65AF6C8}"/>
    <cellStyle name="Comma 4 3 2 4 7" xfId="46044" xr:uid="{B6772C1A-DB61-4D8E-9334-C191D5F1DEB4}"/>
    <cellStyle name="Comma 4 3 2 4 8" xfId="49919" xr:uid="{276F0CEC-0D01-4D1D-9A62-A2B75F0581D9}"/>
    <cellStyle name="Comma 4 3 2 4 9" xfId="52935" xr:uid="{81ACFDDD-E263-4347-9C57-2E55AFF63304}"/>
    <cellStyle name="Comma 4 3 2 5" xfId="10176" xr:uid="{79B87EF2-3B93-47E2-B967-EC8208A4E31C}"/>
    <cellStyle name="Comma 4 3 2 5 10" xfId="18821" xr:uid="{DE850140-BCD9-4FEA-895E-851A51D0D940}"/>
    <cellStyle name="Comma 4 3 2 5 2" xfId="10490" xr:uid="{287A6C8D-E93F-4170-8C29-A100216A4A83}"/>
    <cellStyle name="Comma 4 3 2 5 2 2" xfId="14882" xr:uid="{94F9E76F-E716-4DF7-A27E-3C0067F58F27}"/>
    <cellStyle name="Comma 4 3 2 5 2 2 2" xfId="22429" xr:uid="{0B34CB94-200D-4D05-A3E8-9DA14FE38B36}"/>
    <cellStyle name="Comma 4 3 2 5 2 2 3" xfId="47268" xr:uid="{C66F1D03-A3DC-47FF-88B1-7B0FFA603088}"/>
    <cellStyle name="Comma 4 3 2 5 2 2 4" xfId="51767" xr:uid="{B5BBEB95-A9D9-4730-A888-D4FC444B7CAB}"/>
    <cellStyle name="Comma 4 3 2 5 2 2 5" xfId="54783" xr:uid="{4DDC39E5-2139-4BB9-BA6F-2337EBD26E9D}"/>
    <cellStyle name="Comma 4 3 2 5 2 2 6" xfId="19150" xr:uid="{0D6D0E43-3B10-474F-A2BE-4D1BF3672BF3}"/>
    <cellStyle name="Comma 4 3 2 5 2 3" xfId="15367" xr:uid="{9F8B7D67-7419-4FF4-ABFF-113D4E5B828E}"/>
    <cellStyle name="Comma 4 3 2 5 2 3 2" xfId="22906" xr:uid="{28A83C0C-24A1-41FA-B33A-8DCB6BBFF424}"/>
    <cellStyle name="Comma 4 3 2 5 2 3 3" xfId="48514" xr:uid="{357B2941-6754-4CD4-A081-AEE93118AE56}"/>
    <cellStyle name="Comma 4 3 2 5 2 3 4" xfId="52244" xr:uid="{9556412E-7724-44E3-AB93-BF4B9DEC9771}"/>
    <cellStyle name="Comma 4 3 2 5 2 3 5" xfId="55260" xr:uid="{E3FE1952-0D96-4534-A633-0845233FFB09}"/>
    <cellStyle name="Comma 4 3 2 5 2 3 6" xfId="19293" xr:uid="{D618FE97-ABB7-47FE-A459-160157BB9649}"/>
    <cellStyle name="Comma 4 3 2 5 2 4" xfId="15854" xr:uid="{30A17212-7269-4A72-903C-C519AAB711DD}"/>
    <cellStyle name="Comma 4 3 2 5 2 4 2" xfId="23383" xr:uid="{8CCD038D-4B45-44EE-B66C-A0C2B19CD88C}"/>
    <cellStyle name="Comma 4 3 2 5 2 4 3" xfId="47950" xr:uid="{7A680DDD-7B96-424B-9A06-AFA0121E618A}"/>
    <cellStyle name="Comma 4 3 2 5 2 4 4" xfId="52721" xr:uid="{A71EB0AB-4AC7-4E2C-816B-96B9531F4989}"/>
    <cellStyle name="Comma 4 3 2 5 2 4 5" xfId="55737" xr:uid="{A13322DF-0A9F-4BC4-B4F5-A5AFF62F02ED}"/>
    <cellStyle name="Comma 4 3 2 5 2 4 6" xfId="19438" xr:uid="{3F4442A6-3539-43AE-8217-5DBE15A9BED4}"/>
    <cellStyle name="Comma 4 3 2 5 2 5" xfId="12943" xr:uid="{DB903E98-D1AC-4F1A-8ADC-38DFF23F94E6}"/>
    <cellStyle name="Comma 4 3 2 5 2 5 2" xfId="47052" xr:uid="{341A1544-54E1-4D9C-BF4C-A86C1A4C3EF9}"/>
    <cellStyle name="Comma 4 3 2 5 2 5 3" xfId="51290" xr:uid="{94A7A8E1-625B-42DC-A46D-B1C5412F73A7}"/>
    <cellStyle name="Comma 4 3 2 5 2 5 4" xfId="54306" xr:uid="{F3D38361-8B18-4C2F-B372-B1CAE3F61243}"/>
    <cellStyle name="Comma 4 3 2 5 2 5 5" xfId="22008" xr:uid="{1866DDE1-2A12-4E01-AB7F-29E577CE6651}"/>
    <cellStyle name="Comma 4 3 2 5 2 6" xfId="46133" xr:uid="{8341A6EC-C021-4408-B608-3FD1B1407C83}"/>
    <cellStyle name="Comma 4 3 2 5 2 7" xfId="50184" xr:uid="{742D8C1C-86D5-41DD-A6D3-B3A264F437FF}"/>
    <cellStyle name="Comma 4 3 2 5 2 8" xfId="53200" xr:uid="{E3D20998-08F4-4FA6-AB1C-6C674B5B5CE9}"/>
    <cellStyle name="Comma 4 3 2 5 2 9" xfId="18982" xr:uid="{CA33E2C4-C75D-42F0-945D-77DD3B0E7E75}"/>
    <cellStyle name="Comma 4 3 2 5 3" xfId="14670" xr:uid="{489ECFD5-3F90-4ADB-BCD8-BD9AB877FD48}"/>
    <cellStyle name="Comma 4 3 2 5 3 2" xfId="22217" xr:uid="{A7F56B01-3011-41DC-9FA3-BA4B33171221}"/>
    <cellStyle name="Comma 4 3 2 5 3 3" xfId="47178" xr:uid="{3CA047A0-992D-4686-BB49-0E1A38FBD8BB}"/>
    <cellStyle name="Comma 4 3 2 5 3 4" xfId="51555" xr:uid="{BD9175BD-8E96-4B53-A859-385BBAE07FFA}"/>
    <cellStyle name="Comma 4 3 2 5 3 5" xfId="54571" xr:uid="{64422B49-562E-4010-9953-DCE4D078ABD6}"/>
    <cellStyle name="Comma 4 3 2 5 3 6" xfId="19090" xr:uid="{45C6AEFE-4484-494B-A5D7-B13600EBB09D}"/>
    <cellStyle name="Comma 4 3 2 5 4" xfId="15155" xr:uid="{006CBAAF-442E-49A7-879D-60B5B467FEF8}"/>
    <cellStyle name="Comma 4 3 2 5 4 2" xfId="22694" xr:uid="{73F5B7D6-C109-430D-A9B7-AA29CCA1E6AD}"/>
    <cellStyle name="Comma 4 3 2 5 4 3" xfId="47387" xr:uid="{BCB557A0-8415-4927-ABE3-3275CBE4763B}"/>
    <cellStyle name="Comma 4 3 2 5 4 4" xfId="52032" xr:uid="{FC55F71C-5890-4F46-918E-9EA87D3AF6D6}"/>
    <cellStyle name="Comma 4 3 2 5 4 5" xfId="55048" xr:uid="{E0BDC0CE-8680-495C-8F5A-942FFCA531BE}"/>
    <cellStyle name="Comma 4 3 2 5 4 6" xfId="19233" xr:uid="{90B2F0E2-406A-4491-910C-246297C420C0}"/>
    <cellStyle name="Comma 4 3 2 5 5" xfId="15642" xr:uid="{00117C76-0B60-4C0B-BBEF-782B01D6D894}"/>
    <cellStyle name="Comma 4 3 2 5 5 2" xfId="23171" xr:uid="{C3BC20D6-B57E-4A2A-BDF6-EF7C536E6252}"/>
    <cellStyle name="Comma 4 3 2 5 5 3" xfId="46563" xr:uid="{12BB0F57-02FA-47D6-BDDD-3FDD87C7132D}"/>
    <cellStyle name="Comma 4 3 2 5 5 4" xfId="52509" xr:uid="{A2E43D14-E4E5-4FDE-8595-6B7432F17EA1}"/>
    <cellStyle name="Comma 4 3 2 5 5 5" xfId="55525" xr:uid="{80246592-3CF5-426D-B786-609F2BBA1563}"/>
    <cellStyle name="Comma 4 3 2 5 5 6" xfId="19378" xr:uid="{37D043FB-BA68-4456-94CC-91601CFFD100}"/>
    <cellStyle name="Comma 4 3 2 5 6" xfId="12630" xr:uid="{2C12342B-5B17-4D23-9896-A4C8733205C1}"/>
    <cellStyle name="Comma 4 3 2 5 6 2" xfId="47398" xr:uid="{AE0CD992-262D-4A97-B202-B21E2CD79B02}"/>
    <cellStyle name="Comma 4 3 2 5 6 3" xfId="51078" xr:uid="{274494E4-E2E0-48CC-9BC6-57DCF6ACDF40}"/>
    <cellStyle name="Comma 4 3 2 5 6 4" xfId="54094" xr:uid="{6DB43078-5193-4F42-BB6A-204AC9518600}"/>
    <cellStyle name="Comma 4 3 2 5 6 5" xfId="21948" xr:uid="{015583E9-9997-4CD8-A225-BD7688D894CB}"/>
    <cellStyle name="Comma 4 3 2 5 7" xfId="48233" xr:uid="{BF9777A5-35A3-4735-8973-6964FEA9D4EE}"/>
    <cellStyle name="Comma 4 3 2 5 8" xfId="49972" xr:uid="{EDD8A712-E536-4DDC-B5DD-2D37EBFE417A}"/>
    <cellStyle name="Comma 4 3 2 5 9" xfId="52988" xr:uid="{24F2BB2C-61B1-46D6-85A8-8A26959644DD}"/>
    <cellStyle name="Comma 4 3 2 6" xfId="10256" xr:uid="{D3DF042C-815D-41EE-AAF7-B66FE7E22513}"/>
    <cellStyle name="Comma 4 3 2 6 2" xfId="14723" xr:uid="{2788F80C-EE08-4435-ACA2-B56654F50D8F}"/>
    <cellStyle name="Comma 4 3 2 6 2 2" xfId="22270" xr:uid="{CEF4584A-118B-4C1A-8BC0-BED28523D21D}"/>
    <cellStyle name="Comma 4 3 2 6 2 3" xfId="47831" xr:uid="{E4C246D4-AD61-49D0-9A70-0689437A2B14}"/>
    <cellStyle name="Comma 4 3 2 6 2 4" xfId="51608" xr:uid="{40B7F50B-4C40-4853-9187-63AB9EA10DA9}"/>
    <cellStyle name="Comma 4 3 2 6 2 5" xfId="54624" xr:uid="{2B401F1A-3D43-4D74-99EF-0503CCEBD98A}"/>
    <cellStyle name="Comma 4 3 2 6 2 6" xfId="19105" xr:uid="{FA77366E-5602-4C73-9F8D-68FC70AFEE7F}"/>
    <cellStyle name="Comma 4 3 2 6 3" xfId="15208" xr:uid="{FD75E04A-5438-4FCA-B402-2DF4025BDBD9}"/>
    <cellStyle name="Comma 4 3 2 6 3 2" xfId="22747" xr:uid="{5473F598-9145-4029-83BB-37C8F06B98DA}"/>
    <cellStyle name="Comma 4 3 2 6 3 3" xfId="47984" xr:uid="{5C298295-E525-40DA-B230-6E2A00B6987C}"/>
    <cellStyle name="Comma 4 3 2 6 3 4" xfId="52085" xr:uid="{04B1B760-BDEC-4848-BAA7-24DA76A8EFE8}"/>
    <cellStyle name="Comma 4 3 2 6 3 5" xfId="55101" xr:uid="{7B7D2FA5-2F50-412C-8577-0494C82F24D5}"/>
    <cellStyle name="Comma 4 3 2 6 3 6" xfId="19248" xr:uid="{3DDF3F13-8AC9-41F2-B791-9E678745DB0E}"/>
    <cellStyle name="Comma 4 3 2 6 4" xfId="15695" xr:uid="{C0D206E5-07A8-43BF-A6C1-1186A9EA51FC}"/>
    <cellStyle name="Comma 4 3 2 6 4 2" xfId="23224" xr:uid="{913A5979-46BA-4803-903F-B0589A5E8277}"/>
    <cellStyle name="Comma 4 3 2 6 4 3" xfId="46698" xr:uid="{7388D550-2AEA-422B-8158-783FC380A71C}"/>
    <cellStyle name="Comma 4 3 2 6 4 4" xfId="52562" xr:uid="{3CE18874-672E-4262-A57B-E6288C93FE86}"/>
    <cellStyle name="Comma 4 3 2 6 4 5" xfId="55578" xr:uid="{B77F5A85-7CDC-4278-AA4F-C3F25EC98AB9}"/>
    <cellStyle name="Comma 4 3 2 6 4 6" xfId="19393" xr:uid="{0F10FECC-9E5F-4DB0-83F5-15D4DA050133}"/>
    <cellStyle name="Comma 4 3 2 6 5" xfId="12709" xr:uid="{F87FAE4A-04B2-413D-BC9A-EDECEDE6DC96}"/>
    <cellStyle name="Comma 4 3 2 6 5 2" xfId="24692" xr:uid="{C245A16C-EAFB-4494-966F-A9137CB6457A}"/>
    <cellStyle name="Comma 4 3 2 6 5 3" xfId="51131" xr:uid="{7BFC8180-C30A-4C17-A9BF-4B3B3FFF192A}"/>
    <cellStyle name="Comma 4 3 2 6 5 4" xfId="54147" xr:uid="{C3355F88-4537-414D-B059-41499EBDE91C}"/>
    <cellStyle name="Comma 4 3 2 6 5 5" xfId="21963" xr:uid="{FF05E23E-CC60-4003-A859-CEB750A56655}"/>
    <cellStyle name="Comma 4 3 2 6 6" xfId="34569" xr:uid="{071AF9D6-374B-47DE-866F-1B0D6FFEA20C}"/>
    <cellStyle name="Comma 4 3 2 6 7" xfId="50025" xr:uid="{53D23AB9-C646-44CE-9909-92844DF630FD}"/>
    <cellStyle name="Comma 4 3 2 6 8" xfId="53041" xr:uid="{962E909A-04FE-4E22-8A48-FE5020DE78C3}"/>
    <cellStyle name="Comma 4 3 2 6 9" xfId="18862" xr:uid="{D4B4A801-269D-433C-B172-EA51B6A7DA2B}"/>
    <cellStyle name="Comma 4 3 2 7" xfId="10570" xr:uid="{8817C75D-FBBF-42C5-A035-1801676CF32D}"/>
    <cellStyle name="Comma 4 3 2 7 2" xfId="14935" xr:uid="{383D9273-732D-47CF-A41D-AA6523AFFAB3}"/>
    <cellStyle name="Comma 4 3 2 7 2 2" xfId="22482" xr:uid="{4880CE25-8AEB-468E-88BF-C92A28531237}"/>
    <cellStyle name="Comma 4 3 2 7 2 3" xfId="46685" xr:uid="{5BDCB59E-9ED1-4F96-9795-8F41C08FDCF1}"/>
    <cellStyle name="Comma 4 3 2 7 2 4" xfId="51820" xr:uid="{8AF9C19E-A957-4883-B088-1063760DE213}"/>
    <cellStyle name="Comma 4 3 2 7 2 5" xfId="54836" xr:uid="{64EFED59-6884-4387-BBC1-7D274990B723}"/>
    <cellStyle name="Comma 4 3 2 7 2 6" xfId="19165" xr:uid="{8DCB0EE6-5C55-41A0-B74C-6A62691B3BC1}"/>
    <cellStyle name="Comma 4 3 2 7 3" xfId="15420" xr:uid="{759FA83D-30B6-4608-846F-4ADA1B374B3D}"/>
    <cellStyle name="Comma 4 3 2 7 3 2" xfId="22959" xr:uid="{B3B48F41-31AC-492E-9DBD-CEE0009F0D99}"/>
    <cellStyle name="Comma 4 3 2 7 3 3" xfId="48267" xr:uid="{F7030B6C-01EF-46D8-A51E-B45A83F44E86}"/>
    <cellStyle name="Comma 4 3 2 7 3 4" xfId="52297" xr:uid="{377DEC11-B47A-48B3-9E80-2347E99127DC}"/>
    <cellStyle name="Comma 4 3 2 7 3 5" xfId="55313" xr:uid="{4355391D-021B-440F-982F-EBB7249CB091}"/>
    <cellStyle name="Comma 4 3 2 7 3 6" xfId="19308" xr:uid="{8DFFD457-107D-4A40-AF83-9DB4699C4453}"/>
    <cellStyle name="Comma 4 3 2 7 4" xfId="15908" xr:uid="{2BB0C9C7-CD3C-48D3-8521-56CBF673BBD5}"/>
    <cellStyle name="Comma 4 3 2 7 4 2" xfId="23436" xr:uid="{D96FBB54-3F73-4BEB-A9D5-EEF1473567F8}"/>
    <cellStyle name="Comma 4 3 2 7 4 3" xfId="47084" xr:uid="{E6B756ED-1A9E-40FF-B48F-724F4D7F7A85}"/>
    <cellStyle name="Comma 4 3 2 7 4 4" xfId="52774" xr:uid="{4E10821F-65CD-4701-9876-368E86E3AAE1}"/>
    <cellStyle name="Comma 4 3 2 7 4 5" xfId="55790" xr:uid="{1E504EF0-66F8-4424-9473-173D218699F7}"/>
    <cellStyle name="Comma 4 3 2 7 4 6" xfId="19454" xr:uid="{06DE0C8F-2BBF-49D9-835D-2753860124F4}"/>
    <cellStyle name="Comma 4 3 2 7 5" xfId="13023" xr:uid="{33786343-51B8-4B44-A8E4-2D11B3C3BFD8}"/>
    <cellStyle name="Comma 4 3 2 7 5 2" xfId="25029" xr:uid="{DE6F336F-4AA3-4390-8643-1849B313999F}"/>
    <cellStyle name="Comma 4 3 2 7 5 3" xfId="51343" xr:uid="{680C1A71-032A-4F71-9612-9D6C24CC1520}"/>
    <cellStyle name="Comma 4 3 2 7 5 4" xfId="54359" xr:uid="{033243B5-7FD8-4FC5-B133-9753E22732CB}"/>
    <cellStyle name="Comma 4 3 2 7 5 5" xfId="22023" xr:uid="{F95FDC7E-5D8D-4BF3-8821-393C5D7D368A}"/>
    <cellStyle name="Comma 4 3 2 7 6" xfId="32381" xr:uid="{C1A2E9C6-D250-4A3C-8505-C8A6DDE2525D}"/>
    <cellStyle name="Comma 4 3 2 7 7" xfId="50237" xr:uid="{D2E81E68-2545-43E2-ACB7-A8E83C07B67F}"/>
    <cellStyle name="Comma 4 3 2 7 8" xfId="53253" xr:uid="{8ACD27DD-0239-4B09-B5B8-49C4B35647E7}"/>
    <cellStyle name="Comma 4 3 2 7 9" xfId="19024" xr:uid="{3970AF85-2111-4678-900B-4295C801894A}"/>
    <cellStyle name="Comma 4 3 2 8" xfId="14362" xr:uid="{6945D96D-F212-49CD-934E-727ED0E7BF40}"/>
    <cellStyle name="Comma 4 3 2 9" xfId="14511" xr:uid="{956116EE-8A48-48F6-9D9A-04AD4AEFE1C5}"/>
    <cellStyle name="Comma 4 3 2 9 2" xfId="22058" xr:uid="{AF97D799-EACC-40D7-AB18-2435581F0333}"/>
    <cellStyle name="Comma 4 3 2 9 3" xfId="24982" xr:uid="{F33B98EC-C100-4FE9-B026-7B37E3C67A9B}"/>
    <cellStyle name="Comma 4 3 2 9 4" xfId="51396" xr:uid="{0146A5A1-58F7-4150-9605-E87D451A3617}"/>
    <cellStyle name="Comma 4 3 2 9 5" xfId="54412" xr:uid="{04C93632-AF45-48A1-957B-11988FAC857A}"/>
    <cellStyle name="Comma 4 3 2 9 6" xfId="19045" xr:uid="{C26D05E0-AD71-48D8-BF81-3AC61EC9D6DD}"/>
    <cellStyle name="Comma 4 3 3" xfId="5825" xr:uid="{AAC923BD-FF0F-44E5-B686-610834EE5178}"/>
    <cellStyle name="Comma 4 3 3 10" xfId="12178" xr:uid="{0FF787A1-D7B6-4C77-A700-0F3FD860E0D1}"/>
    <cellStyle name="Comma 4 3 3 10 2" xfId="46755" xr:uid="{7296DD35-46C3-42D5-8C89-2571B381D65C}"/>
    <cellStyle name="Comma 4 3 3 10 3" xfId="50935" xr:uid="{F629FE6E-EF40-483A-A709-F247C13FFB6C}"/>
    <cellStyle name="Comma 4 3 3 10 4" xfId="53951" xr:uid="{0360482C-747D-4CE3-A00B-CDDEDDD56978}"/>
    <cellStyle name="Comma 4 3 3 10 5" xfId="21903" xr:uid="{4AF2EB3C-6797-4CC8-92A9-40BFB79192C3}"/>
    <cellStyle name="Comma 4 3 3 11" xfId="23767" xr:uid="{5737778B-A013-4005-B514-DC1B343A7A7A}"/>
    <cellStyle name="Comma 4 3 3 12" xfId="24008" xr:uid="{A9AEBC24-1C71-4884-9382-7F89AFD26460}"/>
    <cellStyle name="Comma 4 3 3 13" xfId="48648" xr:uid="{ECBD7348-0B26-433F-AD89-6C5C71842DE7}"/>
    <cellStyle name="Comma 4 3 3 14" xfId="49556" xr:uid="{B1429C54-F11D-4F92-A662-0352153AEDBA}"/>
    <cellStyle name="Comma 4 3 3 15" xfId="49815" xr:uid="{75C4D75C-F5C7-40EA-BEBD-D58BD2B95808}"/>
    <cellStyle name="Comma 4 3 3 16" xfId="52830" xr:uid="{232E548D-C2CD-4DCE-B44B-1428F7FACF9C}"/>
    <cellStyle name="Comma 4 3 3 17" xfId="18565" xr:uid="{68714CF1-B55A-4700-B091-B0738B64150E}"/>
    <cellStyle name="Comma 4 3 3 18" xfId="8938" xr:uid="{A95E16CA-A0ED-4E5C-8B47-31E9B35119DD}"/>
    <cellStyle name="Comma 4 3 3 2" xfId="10025" xr:uid="{E5208D61-D020-4F96-AF0A-B8CA79798572}"/>
    <cellStyle name="Comma 4 3 3 2 10" xfId="18752" xr:uid="{545C4E9A-1951-4B23-AF72-C8A8BC85BC02}"/>
    <cellStyle name="Comma 4 3 3 2 2" xfId="10333" xr:uid="{24DFD327-58B1-404F-8B07-2797BEA82839}"/>
    <cellStyle name="Comma 4 3 3 2 2 2" xfId="14778" xr:uid="{22D506E9-15D5-4FF7-935B-852F3E30678F}"/>
    <cellStyle name="Comma 4 3 3 2 2 2 2" xfId="22325" xr:uid="{5BA4F8A6-4486-4530-BBCD-EC7C9F19DF5B}"/>
    <cellStyle name="Comma 4 3 3 2 2 2 3" xfId="47983" xr:uid="{856AD813-A5D3-4B98-BA5C-2DBDE296E006}"/>
    <cellStyle name="Comma 4 3 3 2 2 2 4" xfId="51663" xr:uid="{35E3E91F-6285-4142-A707-6FBCBEC5C53D}"/>
    <cellStyle name="Comma 4 3 3 2 2 2 5" xfId="54679" xr:uid="{2BC5E2C8-FBE1-47F3-93A9-D69DB6F23524}"/>
    <cellStyle name="Comma 4 3 3 2 2 2 6" xfId="19122" xr:uid="{B32268CF-E4CF-40E5-B3AD-F576F45B59C0}"/>
    <cellStyle name="Comma 4 3 3 2 2 3" xfId="15263" xr:uid="{AAA9731E-8B4C-4066-9F64-7E2DE5BB6C1E}"/>
    <cellStyle name="Comma 4 3 3 2 2 3 2" xfId="22802" xr:uid="{DBDEA4B1-8D49-4A78-95F0-5356DCE4FF9F}"/>
    <cellStyle name="Comma 4 3 3 2 2 3 3" xfId="46505" xr:uid="{82F30BA7-519F-41B1-87C6-AB38E9F6074E}"/>
    <cellStyle name="Comma 4 3 3 2 2 3 4" xfId="52140" xr:uid="{8D89EDDF-BB36-413F-BBB7-2012BB7E4954}"/>
    <cellStyle name="Comma 4 3 3 2 2 3 5" xfId="55156" xr:uid="{C0F04AFA-8824-42C7-9DF7-AF0A1CE17C02}"/>
    <cellStyle name="Comma 4 3 3 2 2 3 6" xfId="19265" xr:uid="{3FE4A7EC-DEAA-4C7A-9815-74EACD722CE1}"/>
    <cellStyle name="Comma 4 3 3 2 2 4" xfId="15750" xr:uid="{92F5A496-6E65-4AB9-B262-1D67629813E2}"/>
    <cellStyle name="Comma 4 3 3 2 2 4 2" xfId="23279" xr:uid="{EF76FF73-3A28-419D-A421-F1AC6DAD717C}"/>
    <cellStyle name="Comma 4 3 3 2 2 4 3" xfId="47444" xr:uid="{99A559BE-FD0E-4136-B4ED-D0F707F6CE8D}"/>
    <cellStyle name="Comma 4 3 3 2 2 4 4" xfId="52617" xr:uid="{1202C505-277F-493E-82C6-4D6EC4A6A82E}"/>
    <cellStyle name="Comma 4 3 3 2 2 4 5" xfId="55633" xr:uid="{193CC1A4-B9A5-4D88-863A-95779871859C}"/>
    <cellStyle name="Comma 4 3 3 2 2 4 6" xfId="19410" xr:uid="{AD6E4271-3B2B-4224-AA18-C359E0228495}"/>
    <cellStyle name="Comma 4 3 3 2 2 5" xfId="12786" xr:uid="{5E38E33B-8088-45F9-94FA-70935CE18A45}"/>
    <cellStyle name="Comma 4 3 3 2 2 5 2" xfId="37112" xr:uid="{EFE56304-EFE9-4CD8-972E-0C84E61238F4}"/>
    <cellStyle name="Comma 4 3 3 2 2 5 3" xfId="51186" xr:uid="{31C0CA65-2284-4B74-900B-A61F2736D41E}"/>
    <cellStyle name="Comma 4 3 3 2 2 5 4" xfId="54202" xr:uid="{5E1AF882-D76D-47E8-91F6-0A4BA972AE51}"/>
    <cellStyle name="Comma 4 3 3 2 2 5 5" xfId="21980" xr:uid="{4A85FB29-8667-4792-BF34-5E792C777D27}"/>
    <cellStyle name="Comma 4 3 3 2 2 6" xfId="46624" xr:uid="{207D3B31-CA83-45EB-8AE2-EC5BEDF402F6}"/>
    <cellStyle name="Comma 4 3 3 2 2 7" xfId="50080" xr:uid="{2EE1C467-32B7-42BE-97F9-B1DAA6256261}"/>
    <cellStyle name="Comma 4 3 3 2 2 8" xfId="53096" xr:uid="{DE2AD215-2A4A-40CA-BDC0-61A7777302F2}"/>
    <cellStyle name="Comma 4 3 3 2 2 9" xfId="18901" xr:uid="{6EBBC870-90FC-44D0-9509-B8BBC1620F32}"/>
    <cellStyle name="Comma 4 3 3 2 3" xfId="14566" xr:uid="{3DF24314-4FAF-4DB9-9B62-ACA9E28FA004}"/>
    <cellStyle name="Comma 4 3 3 2 3 2" xfId="22113" xr:uid="{DB73BF25-0834-42FB-8F87-85C2A554B709}"/>
    <cellStyle name="Comma 4 3 3 2 3 3" xfId="24460" xr:uid="{D5231FA4-BC17-4C77-AFA2-94FEBC5D274B}"/>
    <cellStyle name="Comma 4 3 3 2 3 4" xfId="51451" xr:uid="{94014DAD-56F7-4E91-8B5A-125DA5C6331F}"/>
    <cellStyle name="Comma 4 3 3 2 3 5" xfId="54467" xr:uid="{8E600163-2BE7-47CF-9F5B-7201DC1D894E}"/>
    <cellStyle name="Comma 4 3 3 2 3 6" xfId="19062" xr:uid="{4AACCDC8-149C-4AC8-BBC1-581F1F7F7B5F}"/>
    <cellStyle name="Comma 4 3 3 2 4" xfId="15050" xr:uid="{E9D73A7F-4020-45F3-AEAF-BA7EC03D3E9F}"/>
    <cellStyle name="Comma 4 3 3 2 4 2" xfId="22590" xr:uid="{718D65CA-321F-4307-9AD7-7BA6DF36A753}"/>
    <cellStyle name="Comma 4 3 3 2 4 3" xfId="48580" xr:uid="{0A6E4A4B-9E5F-4541-A7D2-835714DE4901}"/>
    <cellStyle name="Comma 4 3 3 2 4 4" xfId="51928" xr:uid="{2D84F878-9306-42DE-B4F3-76458DA797CD}"/>
    <cellStyle name="Comma 4 3 3 2 4 5" xfId="54944" xr:uid="{1C8858F2-120B-4B6E-8FAD-E5FEFA4AC9B2}"/>
    <cellStyle name="Comma 4 3 3 2 4 6" xfId="19204" xr:uid="{0EC8520E-0448-4829-935C-B4C50FBB63C1}"/>
    <cellStyle name="Comma 4 3 3 2 5" xfId="15537" xr:uid="{BCA64536-1DDB-49EE-8E30-92C15F4704DD}"/>
    <cellStyle name="Comma 4 3 3 2 5 2" xfId="23067" xr:uid="{0C7561F8-4A89-4B2B-8728-6B069BCDB0E2}"/>
    <cellStyle name="Comma 4 3 3 2 5 3" xfId="46547" xr:uid="{F4AAFC39-3CC7-4D94-BE55-FF9B192A9C9C}"/>
    <cellStyle name="Comma 4 3 3 2 5 4" xfId="52405" xr:uid="{6A6F7CE2-C646-4E98-B830-6DAF2C2AE1C8}"/>
    <cellStyle name="Comma 4 3 3 2 5 5" xfId="55421" xr:uid="{C7BDC3CF-31FA-4BD0-964C-0532D5EC493B}"/>
    <cellStyle name="Comma 4 3 3 2 5 6" xfId="19349" xr:uid="{79495C81-BC4B-4C3B-89C9-7ADD25B9739E}"/>
    <cellStyle name="Comma 4 3 3 2 6" xfId="12485" xr:uid="{E0A397E8-8DFC-4267-AFE2-1F14476A69CF}"/>
    <cellStyle name="Comma 4 3 3 2 6 2" xfId="24220" xr:uid="{56FC2B46-D9ED-4030-8577-E8F4A1900985}"/>
    <cellStyle name="Comma 4 3 3 2 6 3" xfId="50974" xr:uid="{C1371277-8E71-432A-9703-35CEA73DE50D}"/>
    <cellStyle name="Comma 4 3 3 2 6 4" xfId="53990" xr:uid="{36BC7F30-6A3D-4356-88E2-3D1B301EDFF4}"/>
    <cellStyle name="Comma 4 3 3 2 6 5" xfId="21919" xr:uid="{4F62F6FF-04AD-48D0-AC9D-09F16161195B}"/>
    <cellStyle name="Comma 4 3 3 2 7" xfId="46028" xr:uid="{4B70039A-1DF7-4868-8D6F-496F3433F191}"/>
    <cellStyle name="Comma 4 3 3 2 8" xfId="49868" xr:uid="{F4487F61-A92D-44A4-AFC0-B3CB4B0AA3F8}"/>
    <cellStyle name="Comma 4 3 3 2 9" xfId="52884" xr:uid="{0F22F171-3788-4725-A504-FB64093CB2BD}"/>
    <cellStyle name="Comma 4 3 3 3" xfId="10099" xr:uid="{A52EBC29-482C-4970-A2C6-EFB48655F4B8}"/>
    <cellStyle name="Comma 4 3 3 3 10" xfId="18785" xr:uid="{191152E2-C601-454B-8F0A-9EBEF777D85D}"/>
    <cellStyle name="Comma 4 3 3 3 2" xfId="10412" xr:uid="{EB8C591A-6FC9-451A-A6D7-FE178F525351}"/>
    <cellStyle name="Comma 4 3 3 3 2 2" xfId="14831" xr:uid="{AB7C42C3-3954-42D0-ADDE-552F5D360990}"/>
    <cellStyle name="Comma 4 3 3 3 2 2 2" xfId="22378" xr:uid="{97642B87-02A7-49CC-B68B-70D4BD48909B}"/>
    <cellStyle name="Comma 4 3 3 3 2 2 3" xfId="48212" xr:uid="{AA95D9D1-83AE-4B2F-B52F-0C950069F50C}"/>
    <cellStyle name="Comma 4 3 3 3 2 2 4" xfId="51716" xr:uid="{2BCE0159-7422-42AC-8EC2-2707C104B6CD}"/>
    <cellStyle name="Comma 4 3 3 3 2 2 5" xfId="54732" xr:uid="{C2D392AD-34F3-45B3-A7DD-9291CB39DCA6}"/>
    <cellStyle name="Comma 4 3 3 3 2 2 6" xfId="19137" xr:uid="{72668DC6-7209-4479-8EFE-EBAB89C5D3A6}"/>
    <cellStyle name="Comma 4 3 3 3 2 3" xfId="15316" xr:uid="{B50114B7-65E3-4747-BEF1-47A0E591BE53}"/>
    <cellStyle name="Comma 4 3 3 3 2 3 2" xfId="22855" xr:uid="{6A068FDB-3CD7-48B3-9254-48D95EE1BF9A}"/>
    <cellStyle name="Comma 4 3 3 3 2 3 3" xfId="48259" xr:uid="{7424B50E-D908-4D54-8308-D22298D24834}"/>
    <cellStyle name="Comma 4 3 3 3 2 3 4" xfId="52193" xr:uid="{5FDD07D9-CA4A-4F5A-AC52-0478EC112A25}"/>
    <cellStyle name="Comma 4 3 3 3 2 3 5" xfId="55209" xr:uid="{AFF7233B-9A3B-48A5-B1EB-F46D608F6364}"/>
    <cellStyle name="Comma 4 3 3 3 2 3 6" xfId="19280" xr:uid="{5312D679-81AB-4F52-A95C-40850EC08B9F}"/>
    <cellStyle name="Comma 4 3 3 3 2 4" xfId="15803" xr:uid="{C73F6A55-6B17-4E50-AD79-07DC61142A4C}"/>
    <cellStyle name="Comma 4 3 3 3 2 4 2" xfId="23332" xr:uid="{91135001-5DBB-4E0B-9F76-C7FB08C47C83}"/>
    <cellStyle name="Comma 4 3 3 3 2 4 3" xfId="47201" xr:uid="{E84788AB-8F77-4C43-828E-3DE8A69FEA23}"/>
    <cellStyle name="Comma 4 3 3 3 2 4 4" xfId="52670" xr:uid="{517DDCB5-5D51-405F-A9EC-C54F7D351B37}"/>
    <cellStyle name="Comma 4 3 3 3 2 4 5" xfId="55686" xr:uid="{297CEB3B-5F96-4333-BA76-DF3D09C38B66}"/>
    <cellStyle name="Comma 4 3 3 3 2 4 6" xfId="19425" xr:uid="{A9D8D176-FA40-4C25-A564-9EAFA31C5FD9}"/>
    <cellStyle name="Comma 4 3 3 3 2 5" xfId="12865" xr:uid="{A28EC080-BC0D-4434-807D-CA1526951D7C}"/>
    <cellStyle name="Comma 4 3 3 3 2 5 2" xfId="48241" xr:uid="{453BC3C6-5294-4205-8517-3792FB2FB289}"/>
    <cellStyle name="Comma 4 3 3 3 2 5 3" xfId="51239" xr:uid="{D29D4062-A073-4833-8FC4-92C931AC80F0}"/>
    <cellStyle name="Comma 4 3 3 3 2 5 4" xfId="54255" xr:uid="{67FADF20-85AA-4594-99D0-C18879B75B18}"/>
    <cellStyle name="Comma 4 3 3 3 2 5 5" xfId="21995" xr:uid="{02FCD7DF-D847-43B3-BC37-87FC013647FA}"/>
    <cellStyle name="Comma 4 3 3 3 2 6" xfId="48457" xr:uid="{FD6FF5DE-5033-434B-A4D4-AD1D5355DB92}"/>
    <cellStyle name="Comma 4 3 3 3 2 7" xfId="50133" xr:uid="{2047D648-5CF7-4DAB-81CF-AC34583CA0D9}"/>
    <cellStyle name="Comma 4 3 3 3 2 8" xfId="53149" xr:uid="{7486EA61-838D-4501-B4BD-AD690FE02FB4}"/>
    <cellStyle name="Comma 4 3 3 3 2 9" xfId="18942" xr:uid="{AE6BE60E-7B92-4668-B3CD-FF27FF073994}"/>
    <cellStyle name="Comma 4 3 3 3 3" xfId="14619" xr:uid="{5CE4B612-DDEF-4C89-9272-3376EE0EAD0C}"/>
    <cellStyle name="Comma 4 3 3 3 3 2" xfId="22166" xr:uid="{2AFFEC86-7B9D-483E-8ACB-A1A2F960C459}"/>
    <cellStyle name="Comma 4 3 3 3 3 3" xfId="32329" xr:uid="{89E7EA1F-C2E5-4E4E-8D12-5EBEDA5F508A}"/>
    <cellStyle name="Comma 4 3 3 3 3 4" xfId="51504" xr:uid="{0B82106E-A41A-4724-9B91-10AAE92BB579}"/>
    <cellStyle name="Comma 4 3 3 3 3 5" xfId="54520" xr:uid="{219E0E41-9881-4725-A618-8D511A356464}"/>
    <cellStyle name="Comma 4 3 3 3 3 6" xfId="19077" xr:uid="{716FD446-9722-4131-9DE5-D62A4B008ACA}"/>
    <cellStyle name="Comma 4 3 3 3 4" xfId="15104" xr:uid="{8FE8C6AA-315B-47C9-A655-BCB7146715C1}"/>
    <cellStyle name="Comma 4 3 3 3 4 2" xfId="22643" xr:uid="{DF1F77BC-58DB-431E-994B-4382E13AE8D1}"/>
    <cellStyle name="Comma 4 3 3 3 4 3" xfId="47187" xr:uid="{96D6C237-C9D3-4B1A-AD36-38194B2FFD1C}"/>
    <cellStyle name="Comma 4 3 3 3 4 4" xfId="51981" xr:uid="{5DB48D9D-82D3-46EF-87C7-09337DE0214F}"/>
    <cellStyle name="Comma 4 3 3 3 4 5" xfId="54997" xr:uid="{FAD19E91-C98B-4942-A063-ADA2F6695F21}"/>
    <cellStyle name="Comma 4 3 3 3 4 6" xfId="19220" xr:uid="{F367C4C3-710B-4E1A-A0CA-2898B3ACF2F2}"/>
    <cellStyle name="Comma 4 3 3 3 5" xfId="15591" xr:uid="{2D355153-0BB9-47B6-8A34-B5BB68C82034}"/>
    <cellStyle name="Comma 4 3 3 3 5 2" xfId="23120" xr:uid="{099E81B7-C840-4F7E-812A-5EFFEE388B7A}"/>
    <cellStyle name="Comma 4 3 3 3 5 3" xfId="47271" xr:uid="{23CEDC79-9E71-430A-BF04-EF23ED35552D}"/>
    <cellStyle name="Comma 4 3 3 3 5 4" xfId="52458" xr:uid="{64E91A3B-5FB0-4546-BD9D-FF3CB8C7FC39}"/>
    <cellStyle name="Comma 4 3 3 3 5 5" xfId="55474" xr:uid="{ACE9ED8F-F109-47CA-955E-DC0DAA9F95D0}"/>
    <cellStyle name="Comma 4 3 3 3 5 6" xfId="19365" xr:uid="{2957B40F-06DA-413C-87ED-4B1F4B4ED5D3}"/>
    <cellStyle name="Comma 4 3 3 3 6" xfId="12556" xr:uid="{8E324FCC-FC8F-432F-A2BB-C54671FC3A3E}"/>
    <cellStyle name="Comma 4 3 3 3 6 2" xfId="34179" xr:uid="{61BE6814-155A-4D53-9C63-A84E91463B05}"/>
    <cellStyle name="Comma 4 3 3 3 6 3" xfId="51027" xr:uid="{5E84AEE2-6E0A-4E5A-9FD4-4DA7A76730CE}"/>
    <cellStyle name="Comma 4 3 3 3 6 4" xfId="54043" xr:uid="{B40ECAD1-C1DD-417F-AB31-7068F0181397}"/>
    <cellStyle name="Comma 4 3 3 3 6 5" xfId="21935" xr:uid="{4C0BAB0A-18F0-4324-929F-9187AD909404}"/>
    <cellStyle name="Comma 4 3 3 3 7" xfId="46045" xr:uid="{2A87F752-AD4A-48FF-A84E-AEE5C1C07123}"/>
    <cellStyle name="Comma 4 3 3 3 8" xfId="49921" xr:uid="{85E6489D-2443-4A6C-B688-262FFA36D512}"/>
    <cellStyle name="Comma 4 3 3 3 9" xfId="52937" xr:uid="{87876313-4D84-4B70-8E37-99B7CDAD70FC}"/>
    <cellStyle name="Comma 4 3 3 4" xfId="10178" xr:uid="{31EC6E6C-8D66-429F-BC09-8CC355217B14}"/>
    <cellStyle name="Comma 4 3 3 4 10" xfId="18823" xr:uid="{B24981A7-375D-4A82-9253-2D80E725BE3B}"/>
    <cellStyle name="Comma 4 3 3 4 2" xfId="10492" xr:uid="{F5AF2CDA-2E11-4BEC-AA71-DCF55E1257D4}"/>
    <cellStyle name="Comma 4 3 3 4 2 2" xfId="14884" xr:uid="{12BB3AAD-E7D8-4219-A0D1-46794916DB2E}"/>
    <cellStyle name="Comma 4 3 3 4 2 2 2" xfId="22431" xr:uid="{B5EE462E-2FA9-4736-BDF0-47B676A57A2A}"/>
    <cellStyle name="Comma 4 3 3 4 2 2 3" xfId="24935" xr:uid="{DB186557-E9E7-4DE8-BC3A-479ED47C6A50}"/>
    <cellStyle name="Comma 4 3 3 4 2 2 4" xfId="51769" xr:uid="{C99687FD-5B31-4311-B45A-2EC7B9198C7D}"/>
    <cellStyle name="Comma 4 3 3 4 2 2 5" xfId="54785" xr:uid="{ADED3512-4E81-427C-BFAE-A0D083CC141C}"/>
    <cellStyle name="Comma 4 3 3 4 2 2 6" xfId="19152" xr:uid="{73AA6AD7-A014-475A-BADC-2BB2761B0101}"/>
    <cellStyle name="Comma 4 3 3 4 2 3" xfId="15369" xr:uid="{E3C7E800-B06C-4952-A395-DF743D9D6900}"/>
    <cellStyle name="Comma 4 3 3 4 2 3 2" xfId="22908" xr:uid="{D56E48CD-BAEB-486D-86D9-FC9AE2509B71}"/>
    <cellStyle name="Comma 4 3 3 4 2 3 3" xfId="36949" xr:uid="{527E4EF4-BD6C-4BE8-8489-B32976D1D36E}"/>
    <cellStyle name="Comma 4 3 3 4 2 3 4" xfId="52246" xr:uid="{E6398552-5468-4A87-9D82-52889BA63E3D}"/>
    <cellStyle name="Comma 4 3 3 4 2 3 5" xfId="55262" xr:uid="{F5F37AE5-C685-447D-9D73-6318A9EFAF10}"/>
    <cellStyle name="Comma 4 3 3 4 2 3 6" xfId="19295" xr:uid="{47F1C6C2-042E-478B-A70C-857A9660BA32}"/>
    <cellStyle name="Comma 4 3 3 4 2 4" xfId="15856" xr:uid="{75B3EE79-C122-43B9-B759-F36E81D34CFB}"/>
    <cellStyle name="Comma 4 3 3 4 2 4 2" xfId="23385" xr:uid="{BED4328D-83C0-4722-9609-634039E931A5}"/>
    <cellStyle name="Comma 4 3 3 4 2 4 3" xfId="47731" xr:uid="{4FA51AA5-9693-489A-AD16-ADF47162B16A}"/>
    <cellStyle name="Comma 4 3 3 4 2 4 4" xfId="52723" xr:uid="{7A5745C0-D722-4B93-9B71-1EA70914286B}"/>
    <cellStyle name="Comma 4 3 3 4 2 4 5" xfId="55739" xr:uid="{37A6EECF-3BD9-4631-ACCE-93EB8C2D591D}"/>
    <cellStyle name="Comma 4 3 3 4 2 4 6" xfId="19440" xr:uid="{28E209C6-E5CD-4F45-99AE-983A17C1296F}"/>
    <cellStyle name="Comma 4 3 3 4 2 5" xfId="12945" xr:uid="{C38068D8-5784-400C-AE75-E0D3DECB0801}"/>
    <cellStyle name="Comma 4 3 3 4 2 5 2" xfId="47767" xr:uid="{0DE97760-03A3-4213-95E7-89A17E632928}"/>
    <cellStyle name="Comma 4 3 3 4 2 5 3" xfId="51292" xr:uid="{F6780526-2F8C-41A6-951E-EC15D2AF3963}"/>
    <cellStyle name="Comma 4 3 3 4 2 5 4" xfId="54308" xr:uid="{33BC3A08-6DF5-498A-95D0-FB8FAFC61C20}"/>
    <cellStyle name="Comma 4 3 3 4 2 5 5" xfId="22010" xr:uid="{8D7E36AE-C38C-4FE3-9F77-8C56FDC458A8}"/>
    <cellStyle name="Comma 4 3 3 4 2 6" xfId="46134" xr:uid="{2BDC7247-B949-43B6-9458-332AFE0E2259}"/>
    <cellStyle name="Comma 4 3 3 4 2 7" xfId="50186" xr:uid="{EA67106B-4407-41BA-A9CC-1D06CF9630EA}"/>
    <cellStyle name="Comma 4 3 3 4 2 8" xfId="53202" xr:uid="{11318701-74F0-40B7-8801-69F0B856274E}"/>
    <cellStyle name="Comma 4 3 3 4 2 9" xfId="18984" xr:uid="{37AADE41-AFCE-4FC1-A617-034B44AFDC1F}"/>
    <cellStyle name="Comma 4 3 3 4 3" xfId="14672" xr:uid="{548876C8-0CC8-42F4-B4B5-9F44909C2C7F}"/>
    <cellStyle name="Comma 4 3 3 4 3 2" xfId="22219" xr:uid="{A1E0417E-C82A-47BE-90DC-F0024337A71F}"/>
    <cellStyle name="Comma 4 3 3 4 3 3" xfId="46415" xr:uid="{ABC8D48D-5ECD-40BC-BC16-EA9AB445D0A2}"/>
    <cellStyle name="Comma 4 3 3 4 3 4" xfId="51557" xr:uid="{300FB2AB-E50F-47C4-91F6-33D9890F93E8}"/>
    <cellStyle name="Comma 4 3 3 4 3 5" xfId="54573" xr:uid="{A49150E7-8B7F-4085-9916-654F542161C0}"/>
    <cellStyle name="Comma 4 3 3 4 3 6" xfId="19092" xr:uid="{4ED82CC6-7061-41F2-8DA7-B49FAC9536F9}"/>
    <cellStyle name="Comma 4 3 3 4 4" xfId="15157" xr:uid="{E5345B0E-08A8-491C-BE20-0515FEE17A89}"/>
    <cellStyle name="Comma 4 3 3 4 4 2" xfId="22696" xr:uid="{F54C7593-5E7A-4299-AC81-6D282D7B67C4}"/>
    <cellStyle name="Comma 4 3 3 4 4 3" xfId="47967" xr:uid="{91FF49D5-E23E-4E7D-B096-92711CE61F63}"/>
    <cellStyle name="Comma 4 3 3 4 4 4" xfId="52034" xr:uid="{C92E9BD5-5B45-43A3-9DF6-693D802F510D}"/>
    <cellStyle name="Comma 4 3 3 4 4 5" xfId="55050" xr:uid="{C3C28081-1FF4-4F17-AB2D-C26FE5203890}"/>
    <cellStyle name="Comma 4 3 3 4 4 6" xfId="19235" xr:uid="{F9265A43-AC12-4D3D-BD6D-45AE7D2D3222}"/>
    <cellStyle name="Comma 4 3 3 4 5" xfId="15644" xr:uid="{F5A14C0B-188E-4379-ACCA-23AF1FBCC20C}"/>
    <cellStyle name="Comma 4 3 3 4 5 2" xfId="23173" xr:uid="{9487E24F-88D5-420B-8BC3-7DAA5E0FFA8C}"/>
    <cellStyle name="Comma 4 3 3 4 5 3" xfId="47846" xr:uid="{059C61A0-88C2-4AB1-8E09-B9D763369F51}"/>
    <cellStyle name="Comma 4 3 3 4 5 4" xfId="52511" xr:uid="{9BDAAB25-B9DB-4917-855B-A20F9F074C00}"/>
    <cellStyle name="Comma 4 3 3 4 5 5" xfId="55527" xr:uid="{DD04A8FD-3F0B-4A1A-BF41-7D7605D8330F}"/>
    <cellStyle name="Comma 4 3 3 4 5 6" xfId="19380" xr:uid="{C6491123-E8DB-4165-8219-CAEDEB030AC3}"/>
    <cellStyle name="Comma 4 3 3 4 6" xfId="12632" xr:uid="{053BB17A-FDCD-4342-88CC-49EB7D7A8A24}"/>
    <cellStyle name="Comma 4 3 3 4 6 2" xfId="47759" xr:uid="{8EEE2F45-391B-4B3B-AAEA-E63E2CF0C3B7}"/>
    <cellStyle name="Comma 4 3 3 4 6 3" xfId="51080" xr:uid="{10D99ED4-1CBE-46DF-87BF-0968D43F63A7}"/>
    <cellStyle name="Comma 4 3 3 4 6 4" xfId="54096" xr:uid="{A913CB97-C15C-4B63-B871-33081E81682B}"/>
    <cellStyle name="Comma 4 3 3 4 6 5" xfId="21950" xr:uid="{FC5D3858-1D82-4648-8D84-090F5EBF7863}"/>
    <cellStyle name="Comma 4 3 3 4 7" xfId="46059" xr:uid="{7B856C5F-C684-449B-8DB0-BFCEA671DF52}"/>
    <cellStyle name="Comma 4 3 3 4 8" xfId="49974" xr:uid="{28438A6B-90B5-4CC3-BF95-D16251096484}"/>
    <cellStyle name="Comma 4 3 3 4 9" xfId="52990" xr:uid="{6935475D-31C4-4376-A160-244B9C147C6E}"/>
    <cellStyle name="Comma 4 3 3 5" xfId="10258" xr:uid="{BB8BCB58-EEB8-4DCC-977E-6E0BFFFEA68A}"/>
    <cellStyle name="Comma 4 3 3 5 2" xfId="14725" xr:uid="{41617BD8-D48C-4C8F-935E-38D5E57C8820}"/>
    <cellStyle name="Comma 4 3 3 5 2 2" xfId="22272" xr:uid="{CC881D9E-A4E5-448B-AAA2-B65344CDD634}"/>
    <cellStyle name="Comma 4 3 3 5 2 3" xfId="47481" xr:uid="{44E5CA86-8D6D-46E3-9B7C-B7CA606C4DB0}"/>
    <cellStyle name="Comma 4 3 3 5 2 4" xfId="51610" xr:uid="{61288DF5-161B-44E2-BDD2-2D3A467E1432}"/>
    <cellStyle name="Comma 4 3 3 5 2 5" xfId="54626" xr:uid="{C4F805FE-45A3-45C4-9FC9-F7E65CDFA340}"/>
    <cellStyle name="Comma 4 3 3 5 2 6" xfId="19107" xr:uid="{E43F14B6-05EC-4C99-A035-700D9176D471}"/>
    <cellStyle name="Comma 4 3 3 5 3" xfId="15210" xr:uid="{B5545A4B-C833-4C7F-B3E1-754C678D7EAC}"/>
    <cellStyle name="Comma 4 3 3 5 3 2" xfId="22749" xr:uid="{E5071D20-ED15-4D4F-8765-AC9AFA68871B}"/>
    <cellStyle name="Comma 4 3 3 5 3 3" xfId="47678" xr:uid="{F10D0560-C8F9-47D5-BB26-7D3671433399}"/>
    <cellStyle name="Comma 4 3 3 5 3 4" xfId="52087" xr:uid="{63D2AC51-677F-43AC-B752-76F792243A38}"/>
    <cellStyle name="Comma 4 3 3 5 3 5" xfId="55103" xr:uid="{3B50E18C-CA73-4317-9E3B-71EB01F81382}"/>
    <cellStyle name="Comma 4 3 3 5 3 6" xfId="19250" xr:uid="{C7C6F3BC-B4C3-4C15-951C-3F31477FCE8D}"/>
    <cellStyle name="Comma 4 3 3 5 4" xfId="15697" xr:uid="{69F1A6D9-04A3-4DA5-9FB2-FE6AB3ACCEBE}"/>
    <cellStyle name="Comma 4 3 3 5 4 2" xfId="23226" xr:uid="{BAEDE9A6-2E31-4BD6-82BD-E53D1235B4E9}"/>
    <cellStyle name="Comma 4 3 3 5 4 3" xfId="48444" xr:uid="{2AFFC927-5926-41A4-AC82-ADA6E54C1410}"/>
    <cellStyle name="Comma 4 3 3 5 4 4" xfId="52564" xr:uid="{08B9D16C-9585-4A90-BE85-F33311B44E2B}"/>
    <cellStyle name="Comma 4 3 3 5 4 5" xfId="55580" xr:uid="{D9A3A7C9-4C9F-4D2D-AC3E-1775B928A9F1}"/>
    <cellStyle name="Comma 4 3 3 5 4 6" xfId="19395" xr:uid="{B823B7C1-5861-4BF8-958F-1EF3406E52E2}"/>
    <cellStyle name="Comma 4 3 3 5 5" xfId="12711" xr:uid="{C632632A-7431-4C28-A688-2DE80485554D}"/>
    <cellStyle name="Comma 4 3 3 5 5 2" xfId="46345" xr:uid="{F88292B1-1B2A-435C-A3F6-AB926B3BF913}"/>
    <cellStyle name="Comma 4 3 3 5 5 3" xfId="51133" xr:uid="{415505AA-F908-42A1-A029-258272709B4E}"/>
    <cellStyle name="Comma 4 3 3 5 5 4" xfId="54149" xr:uid="{3D783021-D143-4EFA-9B37-2AFB9E1246FB}"/>
    <cellStyle name="Comma 4 3 3 5 5 5" xfId="21965" xr:uid="{A4E0DDC4-ADB9-41D8-946F-17F72C00FC38}"/>
    <cellStyle name="Comma 4 3 3 5 6" xfId="46622" xr:uid="{585696B3-FE07-40BF-9F36-02A2E980C6DD}"/>
    <cellStyle name="Comma 4 3 3 5 7" xfId="50027" xr:uid="{EDC46CE6-E05F-46EC-AB44-1B746A26FDA5}"/>
    <cellStyle name="Comma 4 3 3 5 8" xfId="53043" xr:uid="{E676FB30-1628-42F3-81AB-D62246219789}"/>
    <cellStyle name="Comma 4 3 3 5 9" xfId="18864" xr:uid="{76271DBE-612C-48BE-B96A-42EB928478DE}"/>
    <cellStyle name="Comma 4 3 3 6" xfId="10572" xr:uid="{A417E2CA-CDB8-40A3-9357-569052A28724}"/>
    <cellStyle name="Comma 4 3 3 6 2" xfId="14937" xr:uid="{1B6DB3ED-FB61-467B-AEFE-645C439B9B86}"/>
    <cellStyle name="Comma 4 3 3 6 2 2" xfId="22484" xr:uid="{EA4825E7-F1ED-4729-AD97-EBC8CC174D02}"/>
    <cellStyle name="Comma 4 3 3 6 2 3" xfId="47567" xr:uid="{C0D59FBB-F4F9-49CA-8EBF-9E409127B313}"/>
    <cellStyle name="Comma 4 3 3 6 2 4" xfId="51822" xr:uid="{9C2DBF06-22E4-4F89-ADA7-7B7648925DD9}"/>
    <cellStyle name="Comma 4 3 3 6 2 5" xfId="54838" xr:uid="{729BE6E6-9E84-4C5C-AFC4-0F316CC82130}"/>
    <cellStyle name="Comma 4 3 3 6 2 6" xfId="19167" xr:uid="{A7DF1BE8-2817-468A-AF8F-D9AFF74EBA37}"/>
    <cellStyle name="Comma 4 3 3 6 3" xfId="15422" xr:uid="{E6926934-1285-4A72-8EEF-810A4C0961E6}"/>
    <cellStyle name="Comma 4 3 3 6 3 2" xfId="22961" xr:uid="{4C4E30AE-B815-436A-82D0-2CF659A95FE9}"/>
    <cellStyle name="Comma 4 3 3 6 3 3" xfId="47745" xr:uid="{AF489683-1FF9-4825-B123-349C836119C0}"/>
    <cellStyle name="Comma 4 3 3 6 3 4" xfId="52299" xr:uid="{B575585B-BA1F-4D82-AF00-B89F739F05E2}"/>
    <cellStyle name="Comma 4 3 3 6 3 5" xfId="55315" xr:uid="{D3396500-3818-480D-8B9B-399E52002805}"/>
    <cellStyle name="Comma 4 3 3 6 3 6" xfId="19310" xr:uid="{E44C1A72-321E-494F-9257-53672CA3AB5A}"/>
    <cellStyle name="Comma 4 3 3 6 4" xfId="15910" xr:uid="{4501014F-ADF8-4CA0-A074-1370C0C24153}"/>
    <cellStyle name="Comma 4 3 3 6 4 2" xfId="23438" xr:uid="{C581511A-3133-4147-860B-8D5664AC81E7}"/>
    <cellStyle name="Comma 4 3 3 6 4 3" xfId="46605" xr:uid="{5D172BA0-8098-4670-816F-EADCE59FA470}"/>
    <cellStyle name="Comma 4 3 3 6 4 4" xfId="52776" xr:uid="{49FFAA30-8EC1-4E64-8509-943D278A875E}"/>
    <cellStyle name="Comma 4 3 3 6 4 5" xfId="55792" xr:uid="{FE3E4EA1-7EA3-444C-A880-BFCD60A6B997}"/>
    <cellStyle name="Comma 4 3 3 6 4 6" xfId="19456" xr:uid="{A9BA4797-0090-4027-BABA-72967DB2002F}"/>
    <cellStyle name="Comma 4 3 3 6 5" xfId="13025" xr:uid="{71143711-D248-47CD-8D4D-A27C5C665E6F}"/>
    <cellStyle name="Comma 4 3 3 6 5 2" xfId="46822" xr:uid="{29BADEC4-6037-44ED-BD83-682BDE6043FE}"/>
    <cellStyle name="Comma 4 3 3 6 5 3" xfId="51345" xr:uid="{23C079DD-FF1E-4E1F-899E-7FF95D07F6F0}"/>
    <cellStyle name="Comma 4 3 3 6 5 4" xfId="54361" xr:uid="{ACEBAEA0-870F-4154-80B9-88FEBB2B5F38}"/>
    <cellStyle name="Comma 4 3 3 6 5 5" xfId="22025" xr:uid="{02821437-F890-4001-A321-FA97E70B4DB4}"/>
    <cellStyle name="Comma 4 3 3 6 6" xfId="24000" xr:uid="{6BA0FCD0-BD8A-4CCB-8F25-DD23CDC99993}"/>
    <cellStyle name="Comma 4 3 3 6 7" xfId="50239" xr:uid="{FDDF2DDF-B9DA-4F39-AC2C-D2BE14CFD18B}"/>
    <cellStyle name="Comma 4 3 3 6 8" xfId="53255" xr:uid="{A16B6262-51A0-4E4F-A91B-3B910B9B25C0}"/>
    <cellStyle name="Comma 4 3 3 6 9" xfId="19026" xr:uid="{F8B8267B-FCCF-4169-A157-9910A81BE46B}"/>
    <cellStyle name="Comma 4 3 3 7" xfId="14513" xr:uid="{17F1F513-D058-41BD-858A-10E872E4791E}"/>
    <cellStyle name="Comma 4 3 3 7 2" xfId="22060" xr:uid="{F65AC67A-B86F-4B16-88A5-296B3C54B5BD}"/>
    <cellStyle name="Comma 4 3 3 7 3" xfId="46831" xr:uid="{3F179E0B-0603-46FB-A236-775A5C9EAFB6}"/>
    <cellStyle name="Comma 4 3 3 7 4" xfId="51398" xr:uid="{EB36518A-F081-46A9-8EC4-01F451F7B5AB}"/>
    <cellStyle name="Comma 4 3 3 7 5" xfId="54414" xr:uid="{9179C4DC-6112-4320-9F14-71F944AC4BE9}"/>
    <cellStyle name="Comma 4 3 3 7 6" xfId="19047" xr:uid="{6DDAE52A-4BB8-4944-96C5-5E57DEF44D3F}"/>
    <cellStyle name="Comma 4 3 3 8" xfId="14997" xr:uid="{E3FA9BE4-6ED7-4788-BFE6-6229CD1C4FBF}"/>
    <cellStyle name="Comma 4 3 3 8 2" xfId="22537" xr:uid="{2B431BEC-19AD-4DF4-8EE1-F902F0C7BFCC}"/>
    <cellStyle name="Comma 4 3 3 8 3" xfId="47837" xr:uid="{59568EF8-7CBC-4260-BAE1-95E4EBD92513}"/>
    <cellStyle name="Comma 4 3 3 8 4" xfId="51875" xr:uid="{CD07911A-B28E-422E-AE69-CF94DA82F3B8}"/>
    <cellStyle name="Comma 4 3 3 8 5" xfId="54891" xr:uid="{55A21B4E-C216-4FA4-947C-40F25378DB5F}"/>
    <cellStyle name="Comma 4 3 3 8 6" xfId="19189" xr:uid="{3D8450C9-D4C2-4508-849A-104EE904CAA3}"/>
    <cellStyle name="Comma 4 3 3 9" xfId="15484" xr:uid="{A962BCD6-5EB1-4BA8-88CB-97CE0C4A9BD7}"/>
    <cellStyle name="Comma 4 3 3 9 2" xfId="23014" xr:uid="{B7D0F3F8-9937-491E-BCBB-0B765587D3D8}"/>
    <cellStyle name="Comma 4 3 3 9 3" xfId="32376" xr:uid="{0250143C-1B90-43CF-AAE9-D5FD03B165E8}"/>
    <cellStyle name="Comma 4 3 3 9 4" xfId="52352" xr:uid="{221D34C3-9C56-4AE3-8E99-04611AF5E596}"/>
    <cellStyle name="Comma 4 3 3 9 5" xfId="55368" xr:uid="{5A8D50C9-1B82-49F3-8E01-B445CF7319D3}"/>
    <cellStyle name="Comma 4 3 3 9 6" xfId="19334" xr:uid="{0D81A96E-EAF2-493F-84E1-09ED562D2E0C}"/>
    <cellStyle name="Comma 4 3 4" xfId="12205" xr:uid="{235C87AA-649B-4A6D-AE19-AC9FB7423FDC}"/>
    <cellStyle name="Comma 4 3 5" xfId="11196" xr:uid="{D1F92E81-E49C-4DF7-919E-312BF02B5EE6}"/>
    <cellStyle name="Comma 4 3 5 2" xfId="21692" xr:uid="{4D01CE80-901C-4E7A-B203-E8DDBAEC84D4}"/>
    <cellStyle name="Comma 4 3 5 3" xfId="24498" xr:uid="{D98A4B14-E2C7-4EBD-9898-7C79E6FA09AE}"/>
    <cellStyle name="Comma 4 3 5 4" xfId="50709" xr:uid="{8B0323AC-B3F1-41B6-9BE6-D65A529B6053}"/>
    <cellStyle name="Comma 4 3 5 5" xfId="53725" xr:uid="{F0958013-E993-401A-996F-857F1D78E410}"/>
    <cellStyle name="Comma 4 3 5 6" xfId="18053" xr:uid="{D31BBEDC-04ED-4EDC-8B84-4F81D109CD8E}"/>
    <cellStyle name="Comma 4 3 6" xfId="19490" xr:uid="{A7ACE864-3416-4B79-9A4C-7B807F6F45A4}"/>
    <cellStyle name="Comma 4 3 7" xfId="23764" xr:uid="{4CCB9779-5607-4375-A0D3-90AEA676895A}"/>
    <cellStyle name="Comma 4 3 8" xfId="48645" xr:uid="{AF323F2D-5C40-49A5-BD6B-50E0BF8B51D0}"/>
    <cellStyle name="Comma 4 3 9" xfId="49553" xr:uid="{F9792B02-636B-4F93-8CF3-51E269F51C0D}"/>
    <cellStyle name="Comma 4 4" xfId="4542" xr:uid="{31C9F786-CDA7-44A3-93C0-280AA9989D7D}"/>
    <cellStyle name="Comma 4 4 10" xfId="14514" xr:uid="{BA0EA8B8-B8BB-4433-B43C-1A4760821B32}"/>
    <cellStyle name="Comma 4 4 10 2" xfId="22061" xr:uid="{9478C751-9808-43F2-B8F2-455302281016}"/>
    <cellStyle name="Comma 4 4 10 3" xfId="24670" xr:uid="{CEFB2336-2B86-416B-BD85-04972C1D9B39}"/>
    <cellStyle name="Comma 4 4 10 4" xfId="51399" xr:uid="{755F5207-47D3-4E6D-A519-C811797907AE}"/>
    <cellStyle name="Comma 4 4 10 5" xfId="54415" xr:uid="{88375AFA-45CD-43C7-9290-00F18B89CF9F}"/>
    <cellStyle name="Comma 4 4 11" xfId="14998" xr:uid="{CDF4F84A-4D39-42F9-9EB1-756233DEA104}"/>
    <cellStyle name="Comma 4 4 11 2" xfId="22538" xr:uid="{5B9D30D2-F4FC-41BE-B9DF-213D7ED6E18D}"/>
    <cellStyle name="Comma 4 4 11 3" xfId="32511" xr:uid="{E59F27DF-66D8-4BBA-BBE9-51A445759D57}"/>
    <cellStyle name="Comma 4 4 11 4" xfId="51876" xr:uid="{2480BFB5-7A01-433B-9B4F-4DB12FA4700B}"/>
    <cellStyle name="Comma 4 4 11 5" xfId="54892" xr:uid="{C8DBEFDD-87A0-44DB-A58A-A4754750E4F2}"/>
    <cellStyle name="Comma 4 4 12" xfId="15485" xr:uid="{A993CF39-44A2-40EA-841C-E229FD39C194}"/>
    <cellStyle name="Comma 4 4 12 2" xfId="23015" xr:uid="{9A376E4C-4738-4DB8-879C-32BB5D54136A}"/>
    <cellStyle name="Comma 4 4 12 3" xfId="24314" xr:uid="{8516179A-1735-436B-AF0D-CAA7992B9526}"/>
    <cellStyle name="Comma 4 4 12 4" xfId="52353" xr:uid="{5578FCAE-2B4F-47B7-82EA-14E4FB45AA4D}"/>
    <cellStyle name="Comma 4 4 12 5" xfId="55369" xr:uid="{AB47B173-35BB-4187-A210-3AA296AF0ED8}"/>
    <cellStyle name="Comma 4 4 13" xfId="11197" xr:uid="{466C9D31-7609-475E-8508-1E622E456448}"/>
    <cellStyle name="Comma 4 4 13 2" xfId="21693" xr:uid="{D891D9A2-E870-4491-8FE9-94520C2AF920}"/>
    <cellStyle name="Comma 4 4 13 3" xfId="46728" xr:uid="{B1B94B99-ED76-478F-AF6F-21963E1F8E86}"/>
    <cellStyle name="Comma 4 4 13 4" xfId="50710" xr:uid="{0BE2E731-6867-4CFB-8CE4-C34DAC6EBCA3}"/>
    <cellStyle name="Comma 4 4 13 5" xfId="53726" xr:uid="{388731C0-5414-431D-B3AD-E45955F1BC9F}"/>
    <cellStyle name="Comma 4 4 14" xfId="23768" xr:uid="{5ACFE279-FD80-4376-A567-C5E341DE93EB}"/>
    <cellStyle name="Comma 4 4 15" xfId="48649" xr:uid="{B3DA1F0D-5C22-40ED-BE6A-9E2D4DADD751}"/>
    <cellStyle name="Comma 4 4 16" xfId="49557" xr:uid="{BB81A932-7E01-441F-958A-AC07ABA62F52}"/>
    <cellStyle name="Comma 4 4 17" xfId="49816" xr:uid="{3C80EA9A-FDDF-430B-8207-CD6A9F6FC427}"/>
    <cellStyle name="Comma 4 4 18" xfId="52831" xr:uid="{02AF9BE7-4C01-483E-BBA1-8B9132F5F9D7}"/>
    <cellStyle name="Comma 4 4 19" xfId="8939" xr:uid="{F47B11E0-D607-43E1-A259-26A9D5E5CDA5}"/>
    <cellStyle name="Comma 4 4 2" xfId="8940" xr:uid="{CDA2453A-CEA0-47BE-9A42-89DCC04F6C13}"/>
    <cellStyle name="Comma 4 4 2 10" xfId="15486" xr:uid="{4B75982B-958E-402C-BC96-4CA75D78EC05}"/>
    <cellStyle name="Comma 4 4 2 10 2" xfId="23016" xr:uid="{60806C20-2E8E-4729-B80C-FFBE07F34FCE}"/>
    <cellStyle name="Comma 4 4 2 10 3" xfId="47374" xr:uid="{113BF89F-37DD-42C3-A211-2EAC40FA1340}"/>
    <cellStyle name="Comma 4 4 2 10 4" xfId="52354" xr:uid="{D9C50F37-42A0-476A-AC5F-7A9784645123}"/>
    <cellStyle name="Comma 4 4 2 10 5" xfId="55370" xr:uid="{DEE06679-48E9-421E-8614-596CC72439F0}"/>
    <cellStyle name="Comma 4 4 2 11" xfId="11587" xr:uid="{D0562230-1D6A-4168-B712-18AADC80C124}"/>
    <cellStyle name="Comma 4 4 2 11 2" xfId="46655" xr:uid="{10469F7E-BDF7-4BF4-AFB0-7E7D6CA1B602}"/>
    <cellStyle name="Comma 4 4 2 11 3" xfId="50734" xr:uid="{CDF1247A-21FA-4FA5-A96A-A107611FA5CE}"/>
    <cellStyle name="Comma 4 4 2 11 4" xfId="53750" xr:uid="{CC4ACB0E-9312-42E6-BB5A-C917E9AAEE71}"/>
    <cellStyle name="Comma 4 4 2 12" xfId="23769" xr:uid="{AF34D036-AA8D-4BAF-A4FB-27A136B482DA}"/>
    <cellStyle name="Comma 4 4 2 13" xfId="48650" xr:uid="{E5D8E936-2012-4389-BC4E-FE6B2227FF57}"/>
    <cellStyle name="Comma 4 4 2 14" xfId="49558" xr:uid="{23BD50B2-24DB-43D2-840D-810ADEE3ACDC}"/>
    <cellStyle name="Comma 4 4 2 15" xfId="49817" xr:uid="{BE8626DC-4472-4AF6-BE9A-E4E8E72DF1B9}"/>
    <cellStyle name="Comma 4 4 2 16" xfId="52832" xr:uid="{F9C9484E-1C32-47DF-9460-3244899EA1F0}"/>
    <cellStyle name="Comma 4 4 2 2" xfId="8941" xr:uid="{EDB54567-7F70-49E9-970D-D99C12E846CE}"/>
    <cellStyle name="Comma 4 4 2 2 10" xfId="12195" xr:uid="{809CA0F1-2B65-47B3-BAB1-16C22527CE61}"/>
    <cellStyle name="Comma 4 4 2 2 10 2" xfId="46661" xr:uid="{3F3245D9-59F0-4B33-A662-D612A7CD9FFB}"/>
    <cellStyle name="Comma 4 4 2 2 10 3" xfId="50940" xr:uid="{6490337F-0A45-4C16-A8AB-0BB200F7D2D9}"/>
    <cellStyle name="Comma 4 4 2 2 10 4" xfId="53956" xr:uid="{32CEDE47-5BFA-4A64-899A-12BD29C22BD4}"/>
    <cellStyle name="Comma 4 4 2 2 11" xfId="23770" xr:uid="{73DA5705-4B9D-4B9B-B647-6F76065296BB}"/>
    <cellStyle name="Comma 4 4 2 2 12" xfId="48651" xr:uid="{BDBA9A6C-F6DB-40D7-987D-0CAFCA1E8812}"/>
    <cellStyle name="Comma 4 4 2 2 13" xfId="49559" xr:uid="{3C269184-9918-4DC0-B0BD-FB957CBB1E7E}"/>
    <cellStyle name="Comma 4 4 2 2 14" xfId="49818" xr:uid="{A696EC28-AC55-4280-AA87-FBAE29A74987}"/>
    <cellStyle name="Comma 4 4 2 2 15" xfId="52833" xr:uid="{6A7FD264-577A-4AFA-A8AB-E10B7A5FAE04}"/>
    <cellStyle name="Comma 4 4 2 2 2" xfId="10028" xr:uid="{4B431327-F706-4E4F-B802-3E4FB321DB5A}"/>
    <cellStyle name="Comma 4 4 2 2 2 2" xfId="10336" xr:uid="{B84449F9-60B8-441F-BE40-260C719DA3A0}"/>
    <cellStyle name="Comma 4 4 2 2 2 2 2" xfId="14781" xr:uid="{38E19A2F-07B9-4945-BA5F-C23ECD5AD6EB}"/>
    <cellStyle name="Comma 4 4 2 2 2 2 2 2" xfId="22328" xr:uid="{CD4B9E5F-CE22-4007-A348-0ACF3B8A80EC}"/>
    <cellStyle name="Comma 4 4 2 2 2 2 2 3" xfId="47703" xr:uid="{8348D14D-5526-4DE5-93C7-47770B974384}"/>
    <cellStyle name="Comma 4 4 2 2 2 2 2 4" xfId="51666" xr:uid="{BE83F182-950B-493A-9487-FF24571794DB}"/>
    <cellStyle name="Comma 4 4 2 2 2 2 2 5" xfId="54682" xr:uid="{872262EC-E3A4-4FB1-8F8C-306A8CF03C85}"/>
    <cellStyle name="Comma 4 4 2 2 2 2 3" xfId="15266" xr:uid="{E64E9059-B77F-42D2-8408-FCD0A043087B}"/>
    <cellStyle name="Comma 4 4 2 2 2 2 3 2" xfId="22805" xr:uid="{4891430E-2A91-4A2A-ADB2-082E3F8251B2}"/>
    <cellStyle name="Comma 4 4 2 2 2 2 3 3" xfId="46899" xr:uid="{D441314A-9342-48B1-8141-FC213BF0F837}"/>
    <cellStyle name="Comma 4 4 2 2 2 2 3 4" xfId="52143" xr:uid="{0FEEBB7C-8912-412F-97B9-BCBBFCEF71F8}"/>
    <cellStyle name="Comma 4 4 2 2 2 2 3 5" xfId="55159" xr:uid="{EE8F3510-A299-48CC-A1A6-4CA1F6F0C46C}"/>
    <cellStyle name="Comma 4 4 2 2 2 2 4" xfId="15753" xr:uid="{0C5498CF-4AE3-46F6-996B-D6D01E37C9F9}"/>
    <cellStyle name="Comma 4 4 2 2 2 2 4 2" xfId="23282" xr:uid="{2379C3E7-6B6E-4D8B-8DA4-DE612329763D}"/>
    <cellStyle name="Comma 4 4 2 2 2 2 4 3" xfId="24646" xr:uid="{FC9866C2-1442-4EAB-A159-B0A91E58FB83}"/>
    <cellStyle name="Comma 4 4 2 2 2 2 4 4" xfId="52620" xr:uid="{EABAC306-A605-4709-869D-343405AF57D7}"/>
    <cellStyle name="Comma 4 4 2 2 2 2 4 5" xfId="55636" xr:uid="{70312552-922C-49B9-9F4F-05EBA381EBFE}"/>
    <cellStyle name="Comma 4 4 2 2 2 2 5" xfId="12789" xr:uid="{B2C6E13D-385C-4578-9A21-AC4E5E62060C}"/>
    <cellStyle name="Comma 4 4 2 2 2 2 5 2" xfId="47471" xr:uid="{EF75C260-06F9-48FB-9AC6-FED7D7C48397}"/>
    <cellStyle name="Comma 4 4 2 2 2 2 5 3" xfId="51189" xr:uid="{2969273D-4ACB-4467-92EC-6B9D7977616A}"/>
    <cellStyle name="Comma 4 4 2 2 2 2 5 4" xfId="54205" xr:uid="{720183AA-BCC2-4830-A7DA-E09281E5C64A}"/>
    <cellStyle name="Comma 4 4 2 2 2 2 6" xfId="48525" xr:uid="{CBAA172A-6DD3-4169-8BE7-3B0EE7A23C02}"/>
    <cellStyle name="Comma 4 4 2 2 2 2 7" xfId="50083" xr:uid="{3F14C358-F550-4B12-B1A5-127B09F2030C}"/>
    <cellStyle name="Comma 4 4 2 2 2 2 8" xfId="53099" xr:uid="{13486852-7041-4A64-BF84-9C41A83D86B2}"/>
    <cellStyle name="Comma 4 4 2 2 2 3" xfId="14569" xr:uid="{F13FEA65-1E3D-4103-AC10-A733E8A511CF}"/>
    <cellStyle name="Comma 4 4 2 2 2 3 2" xfId="22116" xr:uid="{8A8ADCB8-E1F4-4496-91AA-AFF6F23CC791}"/>
    <cellStyle name="Comma 4 4 2 2 2 3 3" xfId="47329" xr:uid="{EC5F2BB2-5672-4F6B-9D23-20B087AD0190}"/>
    <cellStyle name="Comma 4 4 2 2 2 3 4" xfId="51454" xr:uid="{E755B1F1-A706-4E6C-85D4-94E9C989F847}"/>
    <cellStyle name="Comma 4 4 2 2 2 3 5" xfId="54470" xr:uid="{CD6CA9C5-8663-40D2-8CAD-6420E360E835}"/>
    <cellStyle name="Comma 4 4 2 2 2 4" xfId="15053" xr:uid="{0A128F22-C881-4EB9-A09A-E269726C8C41}"/>
    <cellStyle name="Comma 4 4 2 2 2 4 2" xfId="22593" xr:uid="{9A5BCBD6-F075-4301-BD6F-C3936AE77BD5}"/>
    <cellStyle name="Comma 4 4 2 2 2 4 3" xfId="46687" xr:uid="{4898D143-1C4E-4590-81D2-3BCE07781E7E}"/>
    <cellStyle name="Comma 4 4 2 2 2 4 4" xfId="51931" xr:uid="{4E33107D-1AC2-4F79-9A72-FBC82C3AC249}"/>
    <cellStyle name="Comma 4 4 2 2 2 4 5" xfId="54947" xr:uid="{4CAA8190-3AC8-477A-B186-4C5DCA0B2BA3}"/>
    <cellStyle name="Comma 4 4 2 2 2 5" xfId="15540" xr:uid="{82CD912C-2CAE-4BAF-9304-876E533B0D84}"/>
    <cellStyle name="Comma 4 4 2 2 2 5 2" xfId="23070" xr:uid="{2AAEAF0E-8602-4D34-B4E2-D86F4B0A4DEE}"/>
    <cellStyle name="Comma 4 4 2 2 2 5 3" xfId="46932" xr:uid="{B42F1BB2-6A7B-4E37-8E7F-92D8DF039E0E}"/>
    <cellStyle name="Comma 4 4 2 2 2 5 4" xfId="52408" xr:uid="{5D60C632-C23F-4CAB-9D1C-A8E935A061B8}"/>
    <cellStyle name="Comma 4 4 2 2 2 5 5" xfId="55424" xr:uid="{AD377503-3699-4EC2-9BF0-32EBBB970176}"/>
    <cellStyle name="Comma 4 4 2 2 2 6" xfId="12488" xr:uid="{706BBBED-13B5-434F-A09A-A743F8642EC0}"/>
    <cellStyle name="Comma 4 4 2 2 2 6 2" xfId="32336" xr:uid="{5AB28DB9-5DDA-41A3-BC09-0A0B194C8097}"/>
    <cellStyle name="Comma 4 4 2 2 2 6 3" xfId="50977" xr:uid="{38A8CABA-F2C3-473D-A4FC-11456EB9C5C4}"/>
    <cellStyle name="Comma 4 4 2 2 2 6 4" xfId="53993" xr:uid="{B0C0D9A9-8A54-4EB5-AA7C-E038B44B4A2B}"/>
    <cellStyle name="Comma 4 4 2 2 2 7" xfId="47574" xr:uid="{C235A80B-9E59-46DB-B4F9-D8AD35CBF112}"/>
    <cellStyle name="Comma 4 4 2 2 2 8" xfId="49871" xr:uid="{1E6A4401-D549-4FE9-BA4B-2E3A6761DB32}"/>
    <cellStyle name="Comma 4 4 2 2 2 9" xfId="52887" xr:uid="{280ADA00-15B1-4A2C-9BB1-C4D26BD9338C}"/>
    <cellStyle name="Comma 4 4 2 2 3" xfId="10102" xr:uid="{69BF9FAF-EB56-451A-B886-379F7ECC0D9D}"/>
    <cellStyle name="Comma 4 4 2 2 3 2" xfId="10415" xr:uid="{B6E96F19-90DA-4CE6-8B56-0E5571F8B10C}"/>
    <cellStyle name="Comma 4 4 2 2 3 2 2" xfId="14834" xr:uid="{01AE65B9-4E62-4A06-B509-966EF956CCBF}"/>
    <cellStyle name="Comma 4 4 2 2 3 2 2 2" xfId="22381" xr:uid="{A7A3F765-1429-4AE0-9B5C-BAC65AA4DAD0}"/>
    <cellStyle name="Comma 4 4 2 2 3 2 2 3" xfId="48119" xr:uid="{9D295981-9438-4A66-9B0D-EF46AC14C25B}"/>
    <cellStyle name="Comma 4 4 2 2 3 2 2 4" xfId="51719" xr:uid="{75F9C4B4-9749-4E3B-8FAF-8C8074FE2E89}"/>
    <cellStyle name="Comma 4 4 2 2 3 2 2 5" xfId="54735" xr:uid="{E46F663E-4A3C-4142-BF5B-98DF212DB071}"/>
    <cellStyle name="Comma 4 4 2 2 3 2 3" xfId="15319" xr:uid="{7CDD0870-0C33-4CF6-B87A-A7661B270FC0}"/>
    <cellStyle name="Comma 4 4 2 2 3 2 3 2" xfId="22858" xr:uid="{98F0472B-132D-41E7-B3F9-EA6081D40CEF}"/>
    <cellStyle name="Comma 4 4 2 2 3 2 3 3" xfId="46515" xr:uid="{586C0728-A859-4C25-BCD5-F96303CDF8E7}"/>
    <cellStyle name="Comma 4 4 2 2 3 2 3 4" xfId="52196" xr:uid="{DF75626E-6CDD-4021-BD68-B961DB07CEEB}"/>
    <cellStyle name="Comma 4 4 2 2 3 2 3 5" xfId="55212" xr:uid="{EAA7BB46-2051-4E14-9CC8-46F67C2816D7}"/>
    <cellStyle name="Comma 4 4 2 2 3 2 4" xfId="15806" xr:uid="{8C7C835F-E283-470C-BE4A-1A574815CB07}"/>
    <cellStyle name="Comma 4 4 2 2 3 2 4 2" xfId="23335" xr:uid="{EB4F958E-4457-4AF3-9DCB-3131EAE2A216}"/>
    <cellStyle name="Comma 4 4 2 2 3 2 4 3" xfId="48255" xr:uid="{B7DE2E86-8ABE-46FF-96A4-7BCE515D6FA1}"/>
    <cellStyle name="Comma 4 4 2 2 3 2 4 4" xfId="52673" xr:uid="{53521863-D6B5-4DA5-A6A9-14B11F8BFB9F}"/>
    <cellStyle name="Comma 4 4 2 2 3 2 4 5" xfId="55689" xr:uid="{6271BF86-270F-4B66-AA26-DF85AD74E825}"/>
    <cellStyle name="Comma 4 4 2 2 3 2 5" xfId="12868" xr:uid="{68F5EDF2-2357-4428-A72B-DAE180170278}"/>
    <cellStyle name="Comma 4 4 2 2 3 2 5 2" xfId="47231" xr:uid="{9CC510B3-6BF4-4990-BF8F-6A07C3482DD9}"/>
    <cellStyle name="Comma 4 4 2 2 3 2 5 3" xfId="51242" xr:uid="{5F09F36C-A81D-405E-B11A-3074A970A95E}"/>
    <cellStyle name="Comma 4 4 2 2 3 2 5 4" xfId="54258" xr:uid="{280F487B-FE85-4574-B0F9-D716E9A8192E}"/>
    <cellStyle name="Comma 4 4 2 2 3 2 6" xfId="46116" xr:uid="{27F51875-8D3F-4C88-93D3-E93668FF9975}"/>
    <cellStyle name="Comma 4 4 2 2 3 2 7" xfId="50136" xr:uid="{8D1B68AB-92C9-47FB-B9A0-ED68457DE9AB}"/>
    <cellStyle name="Comma 4 4 2 2 3 2 8" xfId="53152" xr:uid="{9C1F80D0-660A-4274-99B3-52D797E14211}"/>
    <cellStyle name="Comma 4 4 2 2 3 3" xfId="14622" xr:uid="{AE89EF82-50E1-4EAE-8899-BD638F25FA64}"/>
    <cellStyle name="Comma 4 4 2 2 3 3 2" xfId="22169" xr:uid="{4C502A27-EEB9-493B-9A01-0C85AFB4366A}"/>
    <cellStyle name="Comma 4 4 2 2 3 3 3" xfId="47330" xr:uid="{6B8D67CC-C60B-4A25-938C-A32C234C250B}"/>
    <cellStyle name="Comma 4 4 2 2 3 3 4" xfId="51507" xr:uid="{186B21E9-F527-4B01-AA1D-B53E90479D28}"/>
    <cellStyle name="Comma 4 4 2 2 3 3 5" xfId="54523" xr:uid="{77D29B15-59D5-4E80-9BA6-F476C69E5F89}"/>
    <cellStyle name="Comma 4 4 2 2 3 4" xfId="15107" xr:uid="{BF32F2AB-35F6-4817-BA64-C49DE7C8ACDD}"/>
    <cellStyle name="Comma 4 4 2 2 3 4 2" xfId="22646" xr:uid="{44B436E7-1FF3-4AC7-B2BB-B8C9660903E9}"/>
    <cellStyle name="Comma 4 4 2 2 3 4 3" xfId="47433" xr:uid="{F5BCF7BD-5D16-47B4-9855-D2D163D51BD8}"/>
    <cellStyle name="Comma 4 4 2 2 3 4 4" xfId="51984" xr:uid="{D6C0C994-9024-48EA-BCB3-636BF16E332F}"/>
    <cellStyle name="Comma 4 4 2 2 3 4 5" xfId="55000" xr:uid="{1F52C6FE-7F81-4A6E-8B94-0D39E859A8C5}"/>
    <cellStyle name="Comma 4 4 2 2 3 5" xfId="15594" xr:uid="{332D389B-AF3E-402E-AC45-5A5C051275C6}"/>
    <cellStyle name="Comma 4 4 2 2 3 5 2" xfId="23123" xr:uid="{713BE005-9F27-421D-BAF1-177C8E652B60}"/>
    <cellStyle name="Comma 4 4 2 2 3 5 3" xfId="48023" xr:uid="{00B1A6C6-5249-492C-8C30-FB96B2E46D45}"/>
    <cellStyle name="Comma 4 4 2 2 3 5 4" xfId="52461" xr:uid="{B7D0FFBF-4810-41B4-9244-DBF2937652C0}"/>
    <cellStyle name="Comma 4 4 2 2 3 5 5" xfId="55477" xr:uid="{16EB717F-9D1E-419C-8C79-C59B3B188454}"/>
    <cellStyle name="Comma 4 4 2 2 3 6" xfId="12559" xr:uid="{2B51EF98-A126-406B-8436-4A8B95DE075B}"/>
    <cellStyle name="Comma 4 4 2 2 3 6 2" xfId="24697" xr:uid="{8DA23EFA-7D0C-4198-BF11-A330DADBE55A}"/>
    <cellStyle name="Comma 4 4 2 2 3 6 3" xfId="51030" xr:uid="{1C5FAD59-4DCC-4081-88AE-4B38A1B359D5}"/>
    <cellStyle name="Comma 4 4 2 2 3 6 4" xfId="54046" xr:uid="{147AC97D-0868-44C4-9094-4BD6B80AD079}"/>
    <cellStyle name="Comma 4 4 2 2 3 7" xfId="46046" xr:uid="{6D51E31C-9B9A-468E-B49F-4FD2144FD1D9}"/>
    <cellStyle name="Comma 4 4 2 2 3 8" xfId="49924" xr:uid="{8AA5402E-BE59-4D41-9D27-F1735EC233DD}"/>
    <cellStyle name="Comma 4 4 2 2 3 9" xfId="52940" xr:uid="{788185FE-5FF1-4894-A2C6-7F20F80725A9}"/>
    <cellStyle name="Comma 4 4 2 2 4" xfId="10181" xr:uid="{C9BA60B8-FAED-42C2-8618-633948B47517}"/>
    <cellStyle name="Comma 4 4 2 2 4 2" xfId="10495" xr:uid="{7F82ED67-8D4D-47C4-A58D-8735B53F3D21}"/>
    <cellStyle name="Comma 4 4 2 2 4 2 2" xfId="14887" xr:uid="{C1B9406E-EC10-4AD7-A194-DA492634A2B0}"/>
    <cellStyle name="Comma 4 4 2 2 4 2 2 2" xfId="22434" xr:uid="{DE0412AB-BB9C-4721-B72A-421960CF1E3D}"/>
    <cellStyle name="Comma 4 4 2 2 4 2 2 3" xfId="47184" xr:uid="{55A0F226-5C1A-40EF-A299-CBC60D8DA366}"/>
    <cellStyle name="Comma 4 4 2 2 4 2 2 4" xfId="51772" xr:uid="{BAE79F36-8E8E-40D7-9B05-B4BE0D474A6E}"/>
    <cellStyle name="Comma 4 4 2 2 4 2 2 5" xfId="54788" xr:uid="{15F0E8D6-9A5F-4947-8E89-42BF4898F6FA}"/>
    <cellStyle name="Comma 4 4 2 2 4 2 3" xfId="15372" xr:uid="{53F61FDB-F465-4D84-9F70-F1DC326AE92A}"/>
    <cellStyle name="Comma 4 4 2 2 4 2 3 2" xfId="22911" xr:uid="{2CCB143A-3831-4C60-8AED-D6B718534D3E}"/>
    <cellStyle name="Comma 4 4 2 2 4 2 3 3" xfId="36575" xr:uid="{F4E4A1B9-73F0-45A6-992D-3EB940AF5DAA}"/>
    <cellStyle name="Comma 4 4 2 2 4 2 3 4" xfId="52249" xr:uid="{28C4ED90-25C6-4C3A-A6CD-04869DF40570}"/>
    <cellStyle name="Comma 4 4 2 2 4 2 3 5" xfId="55265" xr:uid="{9D78581C-EE39-470D-BD2D-6387983C327D}"/>
    <cellStyle name="Comma 4 4 2 2 4 2 4" xfId="15859" xr:uid="{94D2C3CD-7871-49D7-A62F-84070316E61D}"/>
    <cellStyle name="Comma 4 4 2 2 4 2 4 2" xfId="23388" xr:uid="{E9631718-F603-47B3-BF93-24DF824EE198}"/>
    <cellStyle name="Comma 4 4 2 2 4 2 4 3" xfId="47504" xr:uid="{EC0B9956-4C5B-40FD-A265-8759DA376BEB}"/>
    <cellStyle name="Comma 4 4 2 2 4 2 4 4" xfId="52726" xr:uid="{C8ABAA70-086C-4CFE-B68E-C5DBFD7444DF}"/>
    <cellStyle name="Comma 4 4 2 2 4 2 4 5" xfId="55742" xr:uid="{DF7AD0B7-15F5-45A7-8033-7C89F511EEA4}"/>
    <cellStyle name="Comma 4 4 2 2 4 2 5" xfId="12948" xr:uid="{FBD31DC5-371D-49C2-8E19-A5A115FAA87D}"/>
    <cellStyle name="Comma 4 4 2 2 4 2 5 2" xfId="25035" xr:uid="{51F63E95-CB86-458E-A54A-BEA97CBFA5DA}"/>
    <cellStyle name="Comma 4 4 2 2 4 2 5 3" xfId="51295" xr:uid="{83A29340-46AE-4F39-8676-615E4C25DAEE}"/>
    <cellStyle name="Comma 4 4 2 2 4 2 5 4" xfId="54311" xr:uid="{E02491FD-1D8A-41DC-9691-9472BE996B5B}"/>
    <cellStyle name="Comma 4 4 2 2 4 2 6" xfId="47292" xr:uid="{FE854A25-06E4-451D-8D63-ECE133E36620}"/>
    <cellStyle name="Comma 4 4 2 2 4 2 7" xfId="50189" xr:uid="{D7E96E23-1E57-4816-BFB9-3DB952B13871}"/>
    <cellStyle name="Comma 4 4 2 2 4 2 8" xfId="53205" xr:uid="{8E6EC9E8-BE56-42C5-9C2F-3703CCB4B555}"/>
    <cellStyle name="Comma 4 4 2 2 4 3" xfId="14675" xr:uid="{F817DA18-51FA-4A0E-9BC6-5700DCD79C6B}"/>
    <cellStyle name="Comma 4 4 2 2 4 3 2" xfId="22222" xr:uid="{8EFA0B9D-025D-43E0-B7E6-CDDD10B3A7FD}"/>
    <cellStyle name="Comma 4 4 2 2 4 3 3" xfId="32530" xr:uid="{613787C1-39D7-4F3D-9BD1-51B8B47FAD47}"/>
    <cellStyle name="Comma 4 4 2 2 4 3 4" xfId="51560" xr:uid="{1417EB62-9AF9-452D-89DD-9E50A036DD27}"/>
    <cellStyle name="Comma 4 4 2 2 4 3 5" xfId="54576" xr:uid="{E16C5E0A-1E4C-4321-928E-5B1296826D74}"/>
    <cellStyle name="Comma 4 4 2 2 4 4" xfId="15160" xr:uid="{A471D176-54A2-4459-B41B-1331BB763AB7}"/>
    <cellStyle name="Comma 4 4 2 2 4 4 2" xfId="22699" xr:uid="{AE689DA3-7E9A-4C23-B777-0DE12218CC95}"/>
    <cellStyle name="Comma 4 4 2 2 4 4 3" xfId="46887" xr:uid="{2CA471C2-90B2-4371-B318-7E07B12D0E39}"/>
    <cellStyle name="Comma 4 4 2 2 4 4 4" xfId="52037" xr:uid="{131DBD30-50C8-4E7A-AB79-CFFFCD97AEDF}"/>
    <cellStyle name="Comma 4 4 2 2 4 4 5" xfId="55053" xr:uid="{FE3A3584-9EF6-427C-81DA-0750465176F2}"/>
    <cellStyle name="Comma 4 4 2 2 4 5" xfId="15647" xr:uid="{4C69B0DB-B80E-4273-A68D-B1B1B19EBB36}"/>
    <cellStyle name="Comma 4 4 2 2 4 5 2" xfId="23176" xr:uid="{E30A9FC4-7545-4689-A3CD-55F5537A8A87}"/>
    <cellStyle name="Comma 4 4 2 2 4 5 3" xfId="48227" xr:uid="{C4285BE4-41AB-4D15-8F65-4D48EB4B083F}"/>
    <cellStyle name="Comma 4 4 2 2 4 5 4" xfId="52514" xr:uid="{5457C0D2-EE64-4A3F-BF6B-8173DFAD875B}"/>
    <cellStyle name="Comma 4 4 2 2 4 5 5" xfId="55530" xr:uid="{CD84F4A7-87A0-4228-B72D-5B35B5354690}"/>
    <cellStyle name="Comma 4 4 2 2 4 6" xfId="12635" xr:uid="{78BBF9B6-7BCC-4A72-9F69-1AA7C0E6743C}"/>
    <cellStyle name="Comma 4 4 2 2 4 6 2" xfId="37123" xr:uid="{420B7484-2E55-44F8-8A3E-3DBFD5E87240}"/>
    <cellStyle name="Comma 4 4 2 2 4 6 3" xfId="51083" xr:uid="{F768A4C9-84A7-4EF7-8839-06A86933CFC2}"/>
    <cellStyle name="Comma 4 4 2 2 4 6 4" xfId="54099" xr:uid="{AAA96DD3-E86F-4E32-A28D-F76FA24B85F8}"/>
    <cellStyle name="Comma 4 4 2 2 4 7" xfId="47578" xr:uid="{5511E4D4-3E37-4DF4-A787-094AC2E3CEC8}"/>
    <cellStyle name="Comma 4 4 2 2 4 8" xfId="49977" xr:uid="{B8430F04-F9A2-48B3-9766-9521580D61F3}"/>
    <cellStyle name="Comma 4 4 2 2 4 9" xfId="52993" xr:uid="{B5BBF02D-B284-4A5F-817D-9150658F4186}"/>
    <cellStyle name="Comma 4 4 2 2 5" xfId="10261" xr:uid="{B1E397D0-752D-4DAA-9D21-3D924700B535}"/>
    <cellStyle name="Comma 4 4 2 2 5 2" xfId="14728" xr:uid="{0D297DF5-06BC-484B-BF95-E8A4D3C7A6E2}"/>
    <cellStyle name="Comma 4 4 2 2 5 2 2" xfId="22275" xr:uid="{8E7997D1-ED04-4DE5-ADC8-CBFC2E9378AA}"/>
    <cellStyle name="Comma 4 4 2 2 5 2 3" xfId="34047" xr:uid="{C8380934-0616-425E-8131-349907AD2B2D}"/>
    <cellStyle name="Comma 4 4 2 2 5 2 4" xfId="51613" xr:uid="{1C936D85-A30A-4BC5-9484-7F18845FD95D}"/>
    <cellStyle name="Comma 4 4 2 2 5 2 5" xfId="54629" xr:uid="{8E17FE92-56A9-4E61-BADC-18F3F9590AC0}"/>
    <cellStyle name="Comma 4 4 2 2 5 3" xfId="15213" xr:uid="{78B85D58-1D6A-4028-A6DC-3761D8BC0CDA}"/>
    <cellStyle name="Comma 4 4 2 2 5 3 2" xfId="22752" xr:uid="{4374EC88-D5C7-4388-B8B1-155BCB1A7056}"/>
    <cellStyle name="Comma 4 4 2 2 5 3 3" xfId="23838" xr:uid="{0F3E8910-469E-4D20-B9B3-C1217ADE0A6D}"/>
    <cellStyle name="Comma 4 4 2 2 5 3 4" xfId="52090" xr:uid="{3F141A57-3FE2-477D-8F3C-27BD395A1BE1}"/>
    <cellStyle name="Comma 4 4 2 2 5 3 5" xfId="55106" xr:uid="{66E251C7-E7AF-4697-8FBD-BF11E81A5FB1}"/>
    <cellStyle name="Comma 4 4 2 2 5 4" xfId="15700" xr:uid="{340C15D6-3662-4C87-A101-425F83BC3363}"/>
    <cellStyle name="Comma 4 4 2 2 5 4 2" xfId="23229" xr:uid="{1A0ED14B-DAE7-4D1F-A4FE-FB3E31447E32}"/>
    <cellStyle name="Comma 4 4 2 2 5 4 3" xfId="25285" xr:uid="{0DC95726-14A2-4E8D-B6C8-9778E997E935}"/>
    <cellStyle name="Comma 4 4 2 2 5 4 4" xfId="52567" xr:uid="{4B988500-C43B-462C-A4C1-3154EF07BE57}"/>
    <cellStyle name="Comma 4 4 2 2 5 4 5" xfId="55583" xr:uid="{ACC825B7-58CA-4509-9EC1-7E3789A9383F}"/>
    <cellStyle name="Comma 4 4 2 2 5 5" xfId="12714" xr:uid="{C844D848-6A21-4B66-83DC-D27606EA43E3}"/>
    <cellStyle name="Comma 4 4 2 2 5 5 2" xfId="46785" xr:uid="{DFE5AED6-4B16-426D-AED0-DA182721338B}"/>
    <cellStyle name="Comma 4 4 2 2 5 5 3" xfId="51136" xr:uid="{2EF18879-D80A-4C8C-B032-E4BD8DEF9DAD}"/>
    <cellStyle name="Comma 4 4 2 2 5 5 4" xfId="54152" xr:uid="{020D28E5-0BB6-4414-8C34-5B5BD1B486AC}"/>
    <cellStyle name="Comma 4 4 2 2 5 6" xfId="48234" xr:uid="{E708EA1B-51CD-49DF-89AB-D8AAC15F0340}"/>
    <cellStyle name="Comma 4 4 2 2 5 7" xfId="50030" xr:uid="{37811045-C85B-4B57-91A1-FDAE827D6164}"/>
    <cellStyle name="Comma 4 4 2 2 5 8" xfId="53046" xr:uid="{750710D6-D16C-4544-9496-C99109D57918}"/>
    <cellStyle name="Comma 4 4 2 2 6" xfId="10575" xr:uid="{EB7205E7-ED92-44C0-95DD-8A4172E4669E}"/>
    <cellStyle name="Comma 4 4 2 2 6 2" xfId="14940" xr:uid="{E8A1628A-F77F-4B43-A4C4-49631CE18ACE}"/>
    <cellStyle name="Comma 4 4 2 2 6 2 2" xfId="22487" xr:uid="{A0A4B0E9-A047-48DE-B9AC-1B18C0E451B4}"/>
    <cellStyle name="Comma 4 4 2 2 6 2 3" xfId="46457" xr:uid="{4051F9B6-A373-419B-9D17-44265368680A}"/>
    <cellStyle name="Comma 4 4 2 2 6 2 4" xfId="51825" xr:uid="{50D5B4E3-2FD1-4327-B25F-615F10B3CB1E}"/>
    <cellStyle name="Comma 4 4 2 2 6 2 5" xfId="54841" xr:uid="{925049DF-B29F-40BE-8BF0-0D01A15374CB}"/>
    <cellStyle name="Comma 4 4 2 2 6 3" xfId="15425" xr:uid="{3D82575D-E312-4B98-BA65-42970AFC2408}"/>
    <cellStyle name="Comma 4 4 2 2 6 3 2" xfId="22964" xr:uid="{BFCA43A4-DB3B-4822-AE31-3C028DF0C148}"/>
    <cellStyle name="Comma 4 4 2 2 6 3 3" xfId="46532" xr:uid="{8B7E939F-76E8-4903-B53E-2F4391340388}"/>
    <cellStyle name="Comma 4 4 2 2 6 3 4" xfId="52302" xr:uid="{4193450A-AB38-4A3D-BD2D-8F1909739680}"/>
    <cellStyle name="Comma 4 4 2 2 6 3 5" xfId="55318" xr:uid="{21F8CF66-2D14-4B82-BE70-E056A6494587}"/>
    <cellStyle name="Comma 4 4 2 2 6 4" xfId="15913" xr:uid="{89C7ABC1-DDA6-4CAD-AEF9-A6E90B942DFC}"/>
    <cellStyle name="Comma 4 4 2 2 6 4 2" xfId="23441" xr:uid="{D91DBC63-9D51-4F58-9E67-A9685B3C54EC}"/>
    <cellStyle name="Comma 4 4 2 2 6 4 3" xfId="46983" xr:uid="{4BFE805A-7A0A-406F-AAC7-1708AAF6B0EA}"/>
    <cellStyle name="Comma 4 4 2 2 6 4 4" xfId="52779" xr:uid="{D74318EF-0DEE-4937-8685-665FD1A89A95}"/>
    <cellStyle name="Comma 4 4 2 2 6 4 5" xfId="55795" xr:uid="{660373B9-D3D2-46F7-B83A-F9CA45B10C07}"/>
    <cellStyle name="Comma 4 4 2 2 6 5" xfId="13028" xr:uid="{62FDDF5C-EE4C-40DE-B806-B2AB559DB6A3}"/>
    <cellStyle name="Comma 4 4 2 2 6 5 2" xfId="46384" xr:uid="{22E308E3-6013-4A3A-8AE2-685699D780D0}"/>
    <cellStyle name="Comma 4 4 2 2 6 5 3" xfId="51348" xr:uid="{FCD59B85-D98F-4F74-BC1C-C6B84449811A}"/>
    <cellStyle name="Comma 4 4 2 2 6 5 4" xfId="54364" xr:uid="{681B7990-E6E4-4C9A-B80B-649E1CDC0088}"/>
    <cellStyle name="Comma 4 4 2 2 6 6" xfId="46152" xr:uid="{582185E1-59F0-4193-8FF4-3034D6AA50DC}"/>
    <cellStyle name="Comma 4 4 2 2 6 7" xfId="50242" xr:uid="{F3D9C43A-FD99-4C02-B27E-F9528F245521}"/>
    <cellStyle name="Comma 4 4 2 2 6 8" xfId="53258" xr:uid="{ABEFA7F5-CC2C-41B8-8806-7441892E6A0C}"/>
    <cellStyle name="Comma 4 4 2 2 7" xfId="14516" xr:uid="{9B8D924B-03CE-4841-9985-AEC12FC0297A}"/>
    <cellStyle name="Comma 4 4 2 2 7 2" xfId="22063" xr:uid="{F8C1883E-494B-46F4-9F87-F51BDF5C9586}"/>
    <cellStyle name="Comma 4 4 2 2 7 3" xfId="24984" xr:uid="{EF279192-B08D-4B56-9191-97778A78A0B9}"/>
    <cellStyle name="Comma 4 4 2 2 7 4" xfId="51401" xr:uid="{8B2B1C77-58C9-413A-B649-F6BE67315458}"/>
    <cellStyle name="Comma 4 4 2 2 7 5" xfId="54417" xr:uid="{9A28CE74-BB71-4BF5-A5C1-82FB2BC79B79}"/>
    <cellStyle name="Comma 4 4 2 2 8" xfId="15000" xr:uid="{3BC28816-21AC-4A94-A40B-7751F4808ED7}"/>
    <cellStyle name="Comma 4 4 2 2 8 2" xfId="22540" xr:uid="{484309F2-FEC1-41A8-958C-F48CDAAF7161}"/>
    <cellStyle name="Comma 4 4 2 2 8 3" xfId="47629" xr:uid="{0AD1FB63-0EE6-4D08-8968-4C17D88E257F}"/>
    <cellStyle name="Comma 4 4 2 2 8 4" xfId="51878" xr:uid="{DF00EF65-72E2-4D92-A15F-B86F34BBD5FB}"/>
    <cellStyle name="Comma 4 4 2 2 8 5" xfId="54894" xr:uid="{D6A4891B-FDEF-42B1-8D23-5656509C402F}"/>
    <cellStyle name="Comma 4 4 2 2 9" xfId="15487" xr:uid="{072FFAF9-A08F-49C4-914E-DE9659F92BCC}"/>
    <cellStyle name="Comma 4 4 2 2 9 2" xfId="23017" xr:uid="{F83436CC-5D95-4C0E-B0C2-C0898592C2AF}"/>
    <cellStyle name="Comma 4 4 2 2 9 3" xfId="47969" xr:uid="{F02DE274-10A7-4CED-90C6-94BAD85D3698}"/>
    <cellStyle name="Comma 4 4 2 2 9 4" xfId="52355" xr:uid="{49F7C54F-6F35-46C7-8FB4-6E26299D9F6D}"/>
    <cellStyle name="Comma 4 4 2 2 9 5" xfId="55371" xr:uid="{B4CC275E-7561-4A28-AB4D-78D13936AE28}"/>
    <cellStyle name="Comma 4 4 2 3" xfId="10027" xr:uid="{AFDBAF20-F48E-4BFC-BC47-43B88E275366}"/>
    <cellStyle name="Comma 4 4 2 3 2" xfId="10335" xr:uid="{2995823E-E624-48CC-B96F-AAC8AEA33F2E}"/>
    <cellStyle name="Comma 4 4 2 3 2 2" xfId="14780" xr:uid="{874EADBF-8565-45DA-8C45-122C9D1368C9}"/>
    <cellStyle name="Comma 4 4 2 3 2 2 2" xfId="22327" xr:uid="{0967632E-548F-4147-9B08-E7A99F6E0CE1}"/>
    <cellStyle name="Comma 4 4 2 3 2 2 3" xfId="24749" xr:uid="{6D627007-F6CF-49CE-956D-27D8E8458BC9}"/>
    <cellStyle name="Comma 4 4 2 3 2 2 4" xfId="51665" xr:uid="{A93EE1CF-0C46-41D1-A732-B99A832606BD}"/>
    <cellStyle name="Comma 4 4 2 3 2 2 5" xfId="54681" xr:uid="{22EDA6C9-8BA2-4D91-9760-8B3BC51579BE}"/>
    <cellStyle name="Comma 4 4 2 3 2 3" xfId="15265" xr:uid="{7C021963-085B-4ACF-9A14-CA13F2C43500}"/>
    <cellStyle name="Comma 4 4 2 3 2 3 2" xfId="22804" xr:uid="{2ACD88DC-87C4-4B6C-AF79-13A021BB5E5F}"/>
    <cellStyle name="Comma 4 4 2 3 2 3 3" xfId="47248" xr:uid="{E96237C6-D80B-43EA-B91F-5CD154C6963E}"/>
    <cellStyle name="Comma 4 4 2 3 2 3 4" xfId="52142" xr:uid="{FF930A3D-51AC-498A-875D-DD27E9C1797A}"/>
    <cellStyle name="Comma 4 4 2 3 2 3 5" xfId="55158" xr:uid="{ED4BC553-17B5-4CEC-A0C5-495AFB68C2B7}"/>
    <cellStyle name="Comma 4 4 2 3 2 4" xfId="15752" xr:uid="{C4B9E670-64D4-49EE-A72D-88290DFE9749}"/>
    <cellStyle name="Comma 4 4 2 3 2 4 2" xfId="23281" xr:uid="{4AC15EF2-F4DF-4B23-91B9-2751F9FBA2AF}"/>
    <cellStyle name="Comma 4 4 2 3 2 4 3" xfId="46960" xr:uid="{91F0290F-1EC6-4B84-B333-AFA67BE52290}"/>
    <cellStyle name="Comma 4 4 2 3 2 4 4" xfId="52619" xr:uid="{2F743766-CFB9-495F-90AD-22EAE56818EA}"/>
    <cellStyle name="Comma 4 4 2 3 2 4 5" xfId="55635" xr:uid="{CB8E158B-ECEB-431D-8B9B-DE46FFF1851A}"/>
    <cellStyle name="Comma 4 4 2 3 2 5" xfId="12788" xr:uid="{50881AF3-D939-421B-B3C2-8D6F5AB4099C}"/>
    <cellStyle name="Comma 4 4 2 3 2 5 2" xfId="46794" xr:uid="{CC9A9CB7-EDE1-4E2B-BBB4-18663FB8B617}"/>
    <cellStyle name="Comma 4 4 2 3 2 5 3" xfId="51188" xr:uid="{96E36122-6C0A-4D8A-8053-C5D60DD28155}"/>
    <cellStyle name="Comma 4 4 2 3 2 5 4" xfId="54204" xr:uid="{D46A6777-927E-4B8D-9C88-3BBD30C40AB5}"/>
    <cellStyle name="Comma 4 4 2 3 2 6" xfId="47854" xr:uid="{6151E786-E8C1-4468-9985-338280F28AB2}"/>
    <cellStyle name="Comma 4 4 2 3 2 7" xfId="50082" xr:uid="{6876A0EF-C453-49C8-96A1-90F45D82CEED}"/>
    <cellStyle name="Comma 4 4 2 3 2 8" xfId="53098" xr:uid="{8803CA2C-8E1B-42EB-A449-E110E7C2F72C}"/>
    <cellStyle name="Comma 4 4 2 3 3" xfId="14568" xr:uid="{B8B546F5-FDFF-4A11-A162-C6EB685DB8AE}"/>
    <cellStyle name="Comma 4 4 2 3 3 2" xfId="22115" xr:uid="{ACF3CABC-705E-48AE-B7E0-69676A822956}"/>
    <cellStyle name="Comma 4 4 2 3 3 3" xfId="48059" xr:uid="{D0E2DE2D-754C-4FA4-AEE0-F95DDFCEAADC}"/>
    <cellStyle name="Comma 4 4 2 3 3 4" xfId="51453" xr:uid="{43E46645-5CA0-47DE-936F-FBBA939A2716}"/>
    <cellStyle name="Comma 4 4 2 3 3 5" xfId="54469" xr:uid="{DC33F25E-D65D-4E1A-A430-683767BBC6D7}"/>
    <cellStyle name="Comma 4 4 2 3 4" xfId="15052" xr:uid="{7BF75FEB-AE90-46ED-B34F-B650BC6F8292}"/>
    <cellStyle name="Comma 4 4 2 3 4 2" xfId="22592" xr:uid="{80A2BDF6-7B7F-4047-B863-B72A8D22A143}"/>
    <cellStyle name="Comma 4 4 2 3 4 3" xfId="47513" xr:uid="{6BF8B8AF-F22C-47A5-A2FB-8C271A40949F}"/>
    <cellStyle name="Comma 4 4 2 3 4 4" xfId="51930" xr:uid="{FBB7C26F-2127-4E96-93A6-EBAB11B46322}"/>
    <cellStyle name="Comma 4 4 2 3 4 5" xfId="54946" xr:uid="{E8986CD0-88B8-4DA0-BA96-AF9544DF9488}"/>
    <cellStyle name="Comma 4 4 2 3 5" xfId="15539" xr:uid="{96DBD6D9-A942-42C3-9CCB-14B7CAE7ABF7}"/>
    <cellStyle name="Comma 4 4 2 3 5 2" xfId="23069" xr:uid="{2C6D05CF-F6F4-45C4-81C8-8A2C52654ADD}"/>
    <cellStyle name="Comma 4 4 2 3 5 3" xfId="48129" xr:uid="{605A6487-9AAF-49D5-AEA0-7B3F3DB6662D}"/>
    <cellStyle name="Comma 4 4 2 3 5 4" xfId="52407" xr:uid="{3E766B28-5C35-48D0-ADFA-AFBDC27EE89D}"/>
    <cellStyle name="Comma 4 4 2 3 5 5" xfId="55423" xr:uid="{50F60C9E-810C-43A7-87B6-AA0D02211007}"/>
    <cellStyle name="Comma 4 4 2 3 6" xfId="12487" xr:uid="{685B9176-22A9-473A-AA39-DD1D84DBD4E5}"/>
    <cellStyle name="Comma 4 4 2 3 6 2" xfId="25091" xr:uid="{C315E806-C639-4954-915A-E2818A17A85E}"/>
    <cellStyle name="Comma 4 4 2 3 6 3" xfId="50976" xr:uid="{01C86025-DD17-40EB-BA98-0E23DE366FE8}"/>
    <cellStyle name="Comma 4 4 2 3 6 4" xfId="53992" xr:uid="{4A3EBC9D-A18A-4232-929F-86CBA8AD15E3}"/>
    <cellStyle name="Comma 4 4 2 3 7" xfId="46030" xr:uid="{91DEF12E-64DB-43F2-A543-F4EBBCBA4141}"/>
    <cellStyle name="Comma 4 4 2 3 8" xfId="49870" xr:uid="{AC73A692-665B-4935-BE69-A15483FFED48}"/>
    <cellStyle name="Comma 4 4 2 3 9" xfId="52886" xr:uid="{80BFA0EB-FEEF-47F4-8DFA-1F3958B96ACD}"/>
    <cellStyle name="Comma 4 4 2 4" xfId="10101" xr:uid="{254F870A-F6BA-4413-B171-B4AF892CB8F3}"/>
    <cellStyle name="Comma 4 4 2 4 2" xfId="10414" xr:uid="{20512995-2767-431A-A6A6-06577DD1A32A}"/>
    <cellStyle name="Comma 4 4 2 4 2 2" xfId="14833" xr:uid="{BFAFCFFB-D773-4BDB-A817-853E7C1C5A93}"/>
    <cellStyle name="Comma 4 4 2 4 2 2 2" xfId="22380" xr:uid="{02B97522-2D28-4066-83E1-F04F60C1A141}"/>
    <cellStyle name="Comma 4 4 2 4 2 2 3" xfId="24942" xr:uid="{DFF3CE45-6C50-46E5-B580-172D93122792}"/>
    <cellStyle name="Comma 4 4 2 4 2 2 4" xfId="51718" xr:uid="{DC7C8E76-5B9E-483F-8A07-815D859668F8}"/>
    <cellStyle name="Comma 4 4 2 4 2 2 5" xfId="54734" xr:uid="{0B73D644-E47D-41CB-B153-DDCA5066AE6E}"/>
    <cellStyle name="Comma 4 4 2 4 2 3" xfId="15318" xr:uid="{42954614-71CB-4AFA-A4F2-98DD72F892F5}"/>
    <cellStyle name="Comma 4 4 2 4 2 3 2" xfId="22857" xr:uid="{9BEF5F1F-F2DE-43F4-9424-2562B3393E61}"/>
    <cellStyle name="Comma 4 4 2 4 2 3 3" xfId="47373" xr:uid="{47022840-03EB-4307-AF5B-9C450FEF5066}"/>
    <cellStyle name="Comma 4 4 2 4 2 3 4" xfId="52195" xr:uid="{B56B7842-0551-46C6-BBD9-578359F41EFD}"/>
    <cellStyle name="Comma 4 4 2 4 2 3 5" xfId="55211" xr:uid="{283E8CED-D3D5-422F-864D-EE00367FD4AC}"/>
    <cellStyle name="Comma 4 4 2 4 2 4" xfId="15805" xr:uid="{ED29F238-26D7-4DA6-85A4-5110E662E918}"/>
    <cellStyle name="Comma 4 4 2 4 2 4 2" xfId="23334" xr:uid="{2BCBAEEC-94EC-4674-91F9-9D94BF2294D8}"/>
    <cellStyle name="Comma 4 4 2 4 2 4 3" xfId="46589" xr:uid="{08A55F63-9122-4C50-9C94-BA95B71FDD1D}"/>
    <cellStyle name="Comma 4 4 2 4 2 4 4" xfId="52672" xr:uid="{C6BE8B09-FEE8-47D4-B8FE-6E672C3C8BF5}"/>
    <cellStyle name="Comma 4 4 2 4 2 4 5" xfId="55688" xr:uid="{DCF40BFB-63D3-4DB3-B0C9-EC112A98D387}"/>
    <cellStyle name="Comma 4 4 2 4 2 5" xfId="12867" xr:uid="{8BD0DDC1-2B1D-41E7-9EA4-E07C8D10574E}"/>
    <cellStyle name="Comma 4 4 2 4 2 5 2" xfId="25043" xr:uid="{72C4423F-E630-4DC6-8934-EEB4831AA763}"/>
    <cellStyle name="Comma 4 4 2 4 2 5 3" xfId="51241" xr:uid="{6924ECA5-3567-4753-9EA7-8709D92E6E9C}"/>
    <cellStyle name="Comma 4 4 2 4 2 5 4" xfId="54257" xr:uid="{4132F7CD-3AEF-48E1-A6BA-F68F12F9A582}"/>
    <cellStyle name="Comma 4 4 2 4 2 6" xfId="46115" xr:uid="{986F7969-06EE-49A8-BE66-B2D50AB40617}"/>
    <cellStyle name="Comma 4 4 2 4 2 7" xfId="50135" xr:uid="{E58DA9F9-122A-48F6-8B3B-F76CF52BA496}"/>
    <cellStyle name="Comma 4 4 2 4 2 8" xfId="53151" xr:uid="{530BCCD5-42C6-49EA-ACD3-A4F03DAFAA41}"/>
    <cellStyle name="Comma 4 4 2 4 3" xfId="14621" xr:uid="{94279980-587E-4CCE-AFEB-AD7A5D11A891}"/>
    <cellStyle name="Comma 4 4 2 4 3 2" xfId="22168" xr:uid="{88AC6D93-1937-4767-9B1D-0585DEA55FB4}"/>
    <cellStyle name="Comma 4 4 2 4 3 3" xfId="47770" xr:uid="{4C5D8539-6142-4FE7-9959-316004A194F4}"/>
    <cellStyle name="Comma 4 4 2 4 3 4" xfId="51506" xr:uid="{8A081C0E-E8B2-41B2-8A29-AE3BB2252ACB}"/>
    <cellStyle name="Comma 4 4 2 4 3 5" xfId="54522" xr:uid="{D280B30F-C218-43E5-9871-F9350E3EBEA5}"/>
    <cellStyle name="Comma 4 4 2 4 4" xfId="15106" xr:uid="{F184F7A2-DBF4-48D6-927B-14712C806130}"/>
    <cellStyle name="Comma 4 4 2 4 4 2" xfId="22645" xr:uid="{FCEE1B0D-11DC-4491-9D8A-FD10CAD58B93}"/>
    <cellStyle name="Comma 4 4 2 4 4 3" xfId="46480" xr:uid="{CA6B0A86-525D-4482-AFDF-CCE267E5E01B}"/>
    <cellStyle name="Comma 4 4 2 4 4 4" xfId="51983" xr:uid="{F98CC9E7-42BB-4D7E-846A-9297CAEA8E2A}"/>
    <cellStyle name="Comma 4 4 2 4 4 5" xfId="54999" xr:uid="{CB348AF2-F2C8-42AD-B6AB-3C1127F6E8F7}"/>
    <cellStyle name="Comma 4 4 2 4 5" xfId="15593" xr:uid="{F6ABF9C8-AC89-4E38-9614-052E575BF542}"/>
    <cellStyle name="Comma 4 4 2 4 5 2" xfId="23122" xr:uid="{A7BC17FC-8F2F-40AF-864A-3478C65140DD}"/>
    <cellStyle name="Comma 4 4 2 4 5 3" xfId="46556" xr:uid="{B423BCF7-192F-4EB0-B28B-E4D2E0BA94CF}"/>
    <cellStyle name="Comma 4 4 2 4 5 4" xfId="52460" xr:uid="{C85AF407-02EE-4029-81C6-3FFF155E44B5}"/>
    <cellStyle name="Comma 4 4 2 4 5 5" xfId="55476" xr:uid="{9DEDE108-434A-4A96-8D0C-F2010A8628EC}"/>
    <cellStyle name="Comma 4 4 2 4 6" xfId="12558" xr:uid="{76D8EC1D-7F1C-4D04-B03C-2FA447402749}"/>
    <cellStyle name="Comma 4 4 2 4 6 2" xfId="32538" xr:uid="{5927B48B-F95C-4A1B-9226-19C355A6C349}"/>
    <cellStyle name="Comma 4 4 2 4 6 3" xfId="51029" xr:uid="{9DE8A5B1-C263-4E9F-AC99-99E1ADC191C1}"/>
    <cellStyle name="Comma 4 4 2 4 6 4" xfId="54045" xr:uid="{6659D468-1AF8-4484-BF8B-9FDE51AF8BF7}"/>
    <cellStyle name="Comma 4 4 2 4 7" xfId="24280" xr:uid="{F06CB76E-9A23-48A3-8D56-EF3EBE0B349A}"/>
    <cellStyle name="Comma 4 4 2 4 8" xfId="49923" xr:uid="{ED0BA167-2E4E-41C6-B449-0631531D5AD0}"/>
    <cellStyle name="Comma 4 4 2 4 9" xfId="52939" xr:uid="{557F6CDC-3705-4525-AF7F-CD9570459B1D}"/>
    <cellStyle name="Comma 4 4 2 5" xfId="10180" xr:uid="{CD80EC3F-2039-49D7-BADA-5B97EAC11F15}"/>
    <cellStyle name="Comma 4 4 2 5 2" xfId="10494" xr:uid="{83AF6F4A-0EFD-4E44-99FA-AB46D59700AF}"/>
    <cellStyle name="Comma 4 4 2 5 2 2" xfId="14886" xr:uid="{C863C889-CC1D-48B1-8292-3985A132EA64}"/>
    <cellStyle name="Comma 4 4 2 5 2 2 2" xfId="22433" xr:uid="{FF32564F-28D2-4C90-A996-FB3CD7B5CE49}"/>
    <cellStyle name="Comma 4 4 2 5 2 2 3" xfId="32526" xr:uid="{F58EF2E8-29E3-4D02-8804-D55B9B35B81D}"/>
    <cellStyle name="Comma 4 4 2 5 2 2 4" xfId="51771" xr:uid="{A80D1408-2D75-46B2-9AF9-DDCEA7F9ACD6}"/>
    <cellStyle name="Comma 4 4 2 5 2 2 5" xfId="54787" xr:uid="{6ACD68CE-9527-4239-98E7-E008211CE60C}"/>
    <cellStyle name="Comma 4 4 2 5 2 3" xfId="15371" xr:uid="{0B053D41-9987-4A0D-9BDE-5E4D97F481A3}"/>
    <cellStyle name="Comma 4 4 2 5 2 3 2" xfId="22910" xr:uid="{DB126E86-AD71-4A95-B3F6-8DF3472E5463}"/>
    <cellStyle name="Comma 4 4 2 5 2 3 3" xfId="32502" xr:uid="{ED1187ED-4393-471C-A5AB-5A1D6A40EA03}"/>
    <cellStyle name="Comma 4 4 2 5 2 3 4" xfId="52248" xr:uid="{838D1726-9EB9-4EF9-87DB-CD2EF1990A3D}"/>
    <cellStyle name="Comma 4 4 2 5 2 3 5" xfId="55264" xr:uid="{4DFD0D13-C819-4F72-854A-1E4030DD5286}"/>
    <cellStyle name="Comma 4 4 2 5 2 4" xfId="15858" xr:uid="{39F0FDF2-6A4A-4639-A074-B1CA201079F8}"/>
    <cellStyle name="Comma 4 4 2 5 2 4 2" xfId="23387" xr:uid="{54A2BC87-9071-4EB4-ACCD-2A27FC993D96}"/>
    <cellStyle name="Comma 4 4 2 5 2 4 3" xfId="46976" xr:uid="{D0BBD9DA-E4FD-4963-8109-3FEB1634FF6E}"/>
    <cellStyle name="Comma 4 4 2 5 2 4 4" xfId="52725" xr:uid="{ACE25226-53F2-4D80-8681-5DF44000A9F8}"/>
    <cellStyle name="Comma 4 4 2 5 2 4 5" xfId="55741" xr:uid="{44551D8A-0CAF-411A-9232-28BDC8A67554}"/>
    <cellStyle name="Comma 4 4 2 5 2 5" xfId="12947" xr:uid="{A35F8AE6-642F-4E69-874C-4F892F1E5041}"/>
    <cellStyle name="Comma 4 4 2 5 2 5 2" xfId="46376" xr:uid="{0CA60576-CC10-4C2B-B2B4-5A7893B91E24}"/>
    <cellStyle name="Comma 4 4 2 5 2 5 3" xfId="51294" xr:uid="{D96B9A0A-1E3E-4962-B9F1-77A5644907F7}"/>
    <cellStyle name="Comma 4 4 2 5 2 5 4" xfId="54310" xr:uid="{74A0E47F-2FC7-4A78-8185-26127A1728B5}"/>
    <cellStyle name="Comma 4 4 2 5 2 6" xfId="46135" xr:uid="{0BE1107B-105F-45D7-AB3B-54362A5AA744}"/>
    <cellStyle name="Comma 4 4 2 5 2 7" xfId="50188" xr:uid="{3E43358C-D840-4019-8CF1-C480D4FD0E31}"/>
    <cellStyle name="Comma 4 4 2 5 2 8" xfId="53204" xr:uid="{83F69B6F-0CB3-4EC8-AC98-B7B3F6A8812C}"/>
    <cellStyle name="Comma 4 4 2 5 3" xfId="14674" xr:uid="{FE66D4F6-83FE-4DA3-85F1-5B8BE1F57675}"/>
    <cellStyle name="Comma 4 4 2 5 3 2" xfId="22221" xr:uid="{380C4D26-0278-470D-B408-0B5529562DE1}"/>
    <cellStyle name="Comma 4 4 2 5 3 3" xfId="36279" xr:uid="{88FD250C-7ABA-4D4B-97FD-D19C1F6525F3}"/>
    <cellStyle name="Comma 4 4 2 5 3 4" xfId="51559" xr:uid="{73C70DE0-144B-4F66-BA2E-8E81A17617D6}"/>
    <cellStyle name="Comma 4 4 2 5 3 5" xfId="54575" xr:uid="{5385CE02-F138-4C2D-AD7F-9D5962993ABC}"/>
    <cellStyle name="Comma 4 4 2 5 4" xfId="15159" xr:uid="{5EE35F06-322F-453B-B808-E407FD7F6C72}"/>
    <cellStyle name="Comma 4 4 2 5 4 2" xfId="22698" xr:uid="{E520B231-B36A-49DA-9CF2-FF71AE43C3A2}"/>
    <cellStyle name="Comma 4 4 2 5 4 3" xfId="47696" xr:uid="{D7436300-8450-4B34-AA35-13C77C3E46F7}"/>
    <cellStyle name="Comma 4 4 2 5 4 4" xfId="52036" xr:uid="{4EAA3409-77BB-4935-B329-AFF2D8AFEF82}"/>
    <cellStyle name="Comma 4 4 2 5 4 5" xfId="55052" xr:uid="{C57F1574-578B-40F4-9FD8-267E538D2849}"/>
    <cellStyle name="Comma 4 4 2 5 5" xfId="15646" xr:uid="{1195C11D-CD3E-4F9C-AA35-7570521286F8}"/>
    <cellStyle name="Comma 4 4 2 5 5 2" xfId="23175" xr:uid="{5BA8A8AA-97DB-4030-A463-97B822FE2EBF}"/>
    <cellStyle name="Comma 4 4 2 5 5 3" xfId="33644" xr:uid="{5D660E9F-7F5B-4584-B60F-FF927958CFDF}"/>
    <cellStyle name="Comma 4 4 2 5 5 4" xfId="52513" xr:uid="{B9F0311B-EA2D-41F5-B0B4-8D3B9173DD1D}"/>
    <cellStyle name="Comma 4 4 2 5 5 5" xfId="55529" xr:uid="{BF054E0F-4DA1-41A8-A0EA-0624B949DD92}"/>
    <cellStyle name="Comma 4 4 2 5 6" xfId="12634" xr:uid="{642C2BD3-DA1F-4D30-B9EF-78EAE3E5F6FB}"/>
    <cellStyle name="Comma 4 4 2 5 6 2" xfId="46333" xr:uid="{AE047CC3-9B9A-4CD4-BFC1-F993FF9F727F}"/>
    <cellStyle name="Comma 4 4 2 5 6 3" xfId="51082" xr:uid="{4898CA7B-463B-46A4-BB11-D13206D60865}"/>
    <cellStyle name="Comma 4 4 2 5 6 4" xfId="54098" xr:uid="{EE5E337F-2560-4A9D-B30F-1D6C6F7DCBCA}"/>
    <cellStyle name="Comma 4 4 2 5 7" xfId="46061" xr:uid="{3B37C92C-240F-49A6-894F-34B313666004}"/>
    <cellStyle name="Comma 4 4 2 5 8" xfId="49976" xr:uid="{2636C90D-01BD-42D3-88C9-8ED230E9EE6E}"/>
    <cellStyle name="Comma 4 4 2 5 9" xfId="52992" xr:uid="{24980D04-DC36-4C33-B7E0-DB6CB19E0415}"/>
    <cellStyle name="Comma 4 4 2 6" xfId="10260" xr:uid="{D5606D7F-60B6-44E6-A706-12E14DD72C81}"/>
    <cellStyle name="Comma 4 4 2 6 2" xfId="14727" xr:uid="{44CAD1B1-C462-418B-AC29-C1C5E8D5628A}"/>
    <cellStyle name="Comma 4 4 2 6 2 2" xfId="22274" xr:uid="{2C127CE8-DD96-49BC-8563-CB8828891023}"/>
    <cellStyle name="Comma 4 4 2 6 2 3" xfId="46424" xr:uid="{01EDEE23-9F4C-4DA4-9E82-CF43959C6518}"/>
    <cellStyle name="Comma 4 4 2 6 2 4" xfId="51612" xr:uid="{45CB79B6-DC86-4FFD-A650-EF8AE23307DD}"/>
    <cellStyle name="Comma 4 4 2 6 2 5" xfId="54628" xr:uid="{6E4B3415-6C4E-4F95-AE28-0C2E1C2B4180}"/>
    <cellStyle name="Comma 4 4 2 6 3" xfId="15212" xr:uid="{180D7516-BF5D-457C-9F12-AAD011B8E45A}"/>
    <cellStyle name="Comma 4 4 2 6 3 2" xfId="22751" xr:uid="{FD09EFAD-F2B1-44C0-ABE9-39DAD8596E50}"/>
    <cellStyle name="Comma 4 4 2 6 3 3" xfId="48246" xr:uid="{511436D0-6729-43C4-B949-D47A9B93E0EA}"/>
    <cellStyle name="Comma 4 4 2 6 3 4" xfId="52089" xr:uid="{ABAD14FE-4EB8-4AFD-AC03-B80AF691DE15}"/>
    <cellStyle name="Comma 4 4 2 6 3 5" xfId="55105" xr:uid="{6A8B05D7-E2AA-4D07-9D54-B1D6326AB300}"/>
    <cellStyle name="Comma 4 4 2 6 4" xfId="15699" xr:uid="{81AC11C3-2501-4D57-84D0-0D4977AB500E}"/>
    <cellStyle name="Comma 4 4 2 6 4 2" xfId="23228" xr:uid="{7C87A1FF-6D5F-4EF0-B16F-2BCC231DFA76}"/>
    <cellStyle name="Comma 4 4 2 6 4 3" xfId="46573" xr:uid="{BEF10AB9-DC44-45D5-B315-D02882D39148}"/>
    <cellStyle name="Comma 4 4 2 6 4 4" xfId="52566" xr:uid="{FAEF4B1D-863C-49B8-9E03-D92025B01E41}"/>
    <cellStyle name="Comma 4 4 2 6 4 5" xfId="55582" xr:uid="{EFD6BF0F-677D-4A60-AAC2-2C4A5D795CAD}"/>
    <cellStyle name="Comma 4 4 2 6 5" xfId="12713" xr:uid="{061B0A2B-607D-4FD1-83BE-89D1A5C10097}"/>
    <cellStyle name="Comma 4 4 2 6 5 2" xfId="47051" xr:uid="{1E1E3056-4E87-4BC6-84D0-9BFEAB998570}"/>
    <cellStyle name="Comma 4 4 2 6 5 3" xfId="51135" xr:uid="{90A4EB8C-069A-4431-AD58-F7BEBB2F3157}"/>
    <cellStyle name="Comma 4 4 2 6 5 4" xfId="54151" xr:uid="{DE09C250-6E8E-49F0-86CA-CD27D5578A33}"/>
    <cellStyle name="Comma 4 4 2 6 6" xfId="48431" xr:uid="{6F58F749-568C-4AE2-BBB7-E55DF4B676BE}"/>
    <cellStyle name="Comma 4 4 2 6 7" xfId="50029" xr:uid="{F8D0327B-7F9E-4878-B214-B0F14148B5DF}"/>
    <cellStyle name="Comma 4 4 2 6 8" xfId="53045" xr:uid="{E97DCEA8-B51A-4A16-AF64-1398CE523778}"/>
    <cellStyle name="Comma 4 4 2 7" xfId="10574" xr:uid="{D162731F-8A39-4B85-9134-9DCA901848F7}"/>
    <cellStyle name="Comma 4 4 2 7 2" xfId="14939" xr:uid="{9D87967A-E1ED-4EBB-9C52-50DE72BBAB78}"/>
    <cellStyle name="Comma 4 4 2 7 2 2" xfId="22486" xr:uid="{9C9D4B71-9DB2-4977-835B-8799343A2082}"/>
    <cellStyle name="Comma 4 4 2 7 2 3" xfId="48537" xr:uid="{3272FCB3-E684-4706-AAF6-1BE818DC3F57}"/>
    <cellStyle name="Comma 4 4 2 7 2 4" xfId="51824" xr:uid="{E7E52F80-B288-4BE4-99AB-D1FA13377350}"/>
    <cellStyle name="Comma 4 4 2 7 2 5" xfId="54840" xr:uid="{17638CF1-FAB8-4D34-BEDA-F495161A7669}"/>
    <cellStyle name="Comma 4 4 2 7 3" xfId="15424" xr:uid="{5C7F2E52-71F5-4AC0-8197-FEBCCA3BAB56}"/>
    <cellStyle name="Comma 4 4 2 7 3 2" xfId="22963" xr:uid="{DAC2F65B-C78F-44AE-8536-F1A6D68FEBA4}"/>
    <cellStyle name="Comma 4 4 2 7 3 3" xfId="47670" xr:uid="{56426F44-BF52-44C9-B17A-8D32D8A1CF68}"/>
    <cellStyle name="Comma 4 4 2 7 3 4" xfId="52301" xr:uid="{521AE701-34B7-4B16-9EDF-51A094E36214}"/>
    <cellStyle name="Comma 4 4 2 7 3 5" xfId="55317" xr:uid="{A3748E5C-069B-4492-ABBB-8EA92A3C43B7}"/>
    <cellStyle name="Comma 4 4 2 7 4" xfId="15912" xr:uid="{0C4B6FB0-AB07-4AFF-90D2-191FBE8FA8CF}"/>
    <cellStyle name="Comma 4 4 2 7 4 2" xfId="23440" xr:uid="{0575A322-D3E3-4A67-9F6E-393893F2977F}"/>
    <cellStyle name="Comma 4 4 2 7 4 3" xfId="48137" xr:uid="{B2D57399-2E80-416C-ABFE-D2693F20E2D3}"/>
    <cellStyle name="Comma 4 4 2 7 4 4" xfId="52778" xr:uid="{D4E31AFE-E329-40A4-B032-F5F27AC46E80}"/>
    <cellStyle name="Comma 4 4 2 7 4 5" xfId="55794" xr:uid="{C2C40670-5424-4985-9CCC-93C6D5A17E00}"/>
    <cellStyle name="Comma 4 4 2 7 5" xfId="13027" xr:uid="{1BEB345C-4F3B-4009-ACA5-98C896E84B61}"/>
    <cellStyle name="Comma 4 4 2 7 5 2" xfId="48007" xr:uid="{459940F7-E17E-4BF4-8BE1-24D657AC35A1}"/>
    <cellStyle name="Comma 4 4 2 7 5 3" xfId="51347" xr:uid="{7EFCBE25-1D06-44BC-8982-62DB945878E8}"/>
    <cellStyle name="Comma 4 4 2 7 5 4" xfId="54363" xr:uid="{55460D50-CD0A-467D-89F3-9B26C6FA5AA0}"/>
    <cellStyle name="Comma 4 4 2 7 6" xfId="46151" xr:uid="{E9A5AD4B-60E8-4BED-A443-C2C0162FD391}"/>
    <cellStyle name="Comma 4 4 2 7 7" xfId="50241" xr:uid="{5B420B02-A115-4050-BA54-BA1D0C75415C}"/>
    <cellStyle name="Comma 4 4 2 7 8" xfId="53257" xr:uid="{02449920-8059-4DDF-B84C-A6F1E386B944}"/>
    <cellStyle name="Comma 4 4 2 8" xfId="14515" xr:uid="{73DF8225-FF27-4423-B818-A892AACEB2CD}"/>
    <cellStyle name="Comma 4 4 2 8 2" xfId="22062" xr:uid="{E76A7019-DEDE-4F8E-9F55-BBD8D25106CB}"/>
    <cellStyle name="Comma 4 4 2 8 3" xfId="48205" xr:uid="{16D111B1-9FE5-4615-9658-0088A6CC0E28}"/>
    <cellStyle name="Comma 4 4 2 8 4" xfId="51400" xr:uid="{58C7D9E2-1FEB-4467-8407-3924B9795719}"/>
    <cellStyle name="Comma 4 4 2 8 5" xfId="54416" xr:uid="{FBB24449-D77F-49E6-83DD-5B0D787159E5}"/>
    <cellStyle name="Comma 4 4 2 9" xfId="14999" xr:uid="{F6DC5ACB-D79A-46F5-86EE-2CF45593A24A}"/>
    <cellStyle name="Comma 4 4 2 9 2" xfId="22539" xr:uid="{EED783ED-1D94-413C-BCCE-CF9219FFAB10}"/>
    <cellStyle name="Comma 4 4 2 9 3" xfId="47488" xr:uid="{910147D7-4879-4382-840C-A7DB372C5E09}"/>
    <cellStyle name="Comma 4 4 2 9 4" xfId="51877" xr:uid="{74E46F50-1135-41EC-B497-053895C8D00C}"/>
    <cellStyle name="Comma 4 4 2 9 5" xfId="54893" xr:uid="{424D8B97-CBD1-4D0F-A7A8-D7B3A5A234E9}"/>
    <cellStyle name="Comma 4 4 3" xfId="8942" xr:uid="{BEB6663C-3A61-48A8-AF5E-E2AA01B77A5B}"/>
    <cellStyle name="Comma 4 4 3 10" xfId="11123" xr:uid="{EE42462E-3F4F-4672-B723-DA0CAF0354C9}"/>
    <cellStyle name="Comma 4 4 3 10 2" xfId="47157" xr:uid="{9A9BA943-CF67-4874-98B0-008B0337C9DB}"/>
    <cellStyle name="Comma 4 4 3 10 3" xfId="50690" xr:uid="{2FFDB2A1-16D3-4FD5-82ED-77FBE8C6D3BC}"/>
    <cellStyle name="Comma 4 4 3 10 4" xfId="53706" xr:uid="{6E7610EF-CF08-4F1A-85B1-133531C9373E}"/>
    <cellStyle name="Comma 4 4 3 11" xfId="23771" xr:uid="{316CBB92-1282-483C-B26B-713A6E8468CF}"/>
    <cellStyle name="Comma 4 4 3 12" xfId="48652" xr:uid="{B906B726-9518-4BE6-A24D-89318D7559B8}"/>
    <cellStyle name="Comma 4 4 3 13" xfId="49560" xr:uid="{1B7AA6F3-4098-4CDF-BC6F-2D12BBDA8AF7}"/>
    <cellStyle name="Comma 4 4 3 14" xfId="49819" xr:uid="{FB212C14-8628-42D0-B004-FD4417AAD28A}"/>
    <cellStyle name="Comma 4 4 3 15" xfId="52834" xr:uid="{695CF957-26EB-4519-81D3-2245A7787C0D}"/>
    <cellStyle name="Comma 4 4 3 2" xfId="10029" xr:uid="{09B1E03A-D81E-452E-A711-0A3108AD97C8}"/>
    <cellStyle name="Comma 4 4 3 2 2" xfId="10337" xr:uid="{31B07A54-6F1F-4E19-B891-1A09603FFC4E}"/>
    <cellStyle name="Comma 4 4 3 2 2 2" xfId="14782" xr:uid="{0A0BF64F-D1B4-4F87-ADF4-56EA159885EE}"/>
    <cellStyle name="Comma 4 4 3 2 2 2 2" xfId="22329" xr:uid="{037ED473-6A58-4AF0-BFDA-8AF5FCCA895D}"/>
    <cellStyle name="Comma 4 4 3 2 2 2 3" xfId="47965" xr:uid="{88B202EC-FA0E-4744-BF20-13336A4BD0B2}"/>
    <cellStyle name="Comma 4 4 3 2 2 2 4" xfId="51667" xr:uid="{28B2B644-6C0E-4175-B1A7-098712584D6F}"/>
    <cellStyle name="Comma 4 4 3 2 2 2 5" xfId="54683" xr:uid="{6B86B90B-E78B-45BE-840A-75A7CF245CD4}"/>
    <cellStyle name="Comma 4 4 3 2 2 3" xfId="15267" xr:uid="{549464BF-A4F7-4F70-B8F6-1F8525893CA1}"/>
    <cellStyle name="Comma 4 4 3 2 2 3 2" xfId="22806" xr:uid="{30C65B78-AB8F-4AE5-8359-4298EB4F173C}"/>
    <cellStyle name="Comma 4 4 3 2 2 3 3" xfId="47491" xr:uid="{CF71E408-FF77-43F3-B0DE-2E62E399CAE2}"/>
    <cellStyle name="Comma 4 4 3 2 2 3 4" xfId="52144" xr:uid="{255B0026-5C5D-4156-B37D-A13FB33B0701}"/>
    <cellStyle name="Comma 4 4 3 2 2 3 5" xfId="55160" xr:uid="{645F55D0-BF7D-4BEA-816C-081E013FD8DB}"/>
    <cellStyle name="Comma 4 4 3 2 2 4" xfId="15754" xr:uid="{BA2C6CB0-4F3A-435E-8FC5-714387D749A5}"/>
    <cellStyle name="Comma 4 4 3 2 2 4 2" xfId="23283" xr:uid="{C8A8F8B9-3FBC-4BE4-899F-7C545E1AD7BA}"/>
    <cellStyle name="Comma 4 4 3 2 2 4 3" xfId="48229" xr:uid="{5490E633-7FE2-443E-BDCC-5ED1B281312D}"/>
    <cellStyle name="Comma 4 4 3 2 2 4 4" xfId="52621" xr:uid="{32929176-2F7C-4D9B-A3D5-A08C37AD5A92}"/>
    <cellStyle name="Comma 4 4 3 2 2 4 5" xfId="55637" xr:uid="{EA6375D2-3E50-4419-B5EA-9C044B088F9C}"/>
    <cellStyle name="Comma 4 4 3 2 2 5" xfId="12790" xr:uid="{A3551BE0-2239-404E-832D-DE01E1444F87}"/>
    <cellStyle name="Comma 4 4 3 2 2 5 2" xfId="47920" xr:uid="{FF5EFEDB-F6BC-475A-A669-082F7EC61252}"/>
    <cellStyle name="Comma 4 4 3 2 2 5 3" xfId="51190" xr:uid="{1A885DEA-A9C8-4689-BFD2-A516DCBFD269}"/>
    <cellStyle name="Comma 4 4 3 2 2 5 4" xfId="54206" xr:uid="{BF3760BA-8225-433E-90DF-00A2474B2E62}"/>
    <cellStyle name="Comma 4 4 3 2 2 6" xfId="47653" xr:uid="{F0E6896E-105C-4508-BEA8-3175459D49EB}"/>
    <cellStyle name="Comma 4 4 3 2 2 7" xfId="50084" xr:uid="{81CBA1F1-9B78-45C7-9096-CFF06F6C6A66}"/>
    <cellStyle name="Comma 4 4 3 2 2 8" xfId="53100" xr:uid="{5C46A712-D56C-4275-8EFE-7419D14647F0}"/>
    <cellStyle name="Comma 4 4 3 2 3" xfId="14570" xr:uid="{46A875E7-60B3-46AC-992F-F608EC77ACE2}"/>
    <cellStyle name="Comma 4 4 3 2 3 2" xfId="22117" xr:uid="{4340D734-74AC-4017-BAFE-EA5A46FB4D09}"/>
    <cellStyle name="Comma 4 4 3 2 3 3" xfId="46399" xr:uid="{847D63E5-4BE3-4023-AE74-4FD1492001B6}"/>
    <cellStyle name="Comma 4 4 3 2 3 4" xfId="51455" xr:uid="{FEDAFC79-79F0-4C46-A600-5DB27E6FE1E9}"/>
    <cellStyle name="Comma 4 4 3 2 3 5" xfId="54471" xr:uid="{CE3D5639-AC9C-4595-8A36-2F5358773583}"/>
    <cellStyle name="Comma 4 4 3 2 4" xfId="15054" xr:uid="{49EAFC9B-4A8B-4B89-A254-D8126C0537B5}"/>
    <cellStyle name="Comma 4 4 3 2 4 2" xfId="22594" xr:uid="{9CF36788-E71A-4E32-9EC3-911282ABE829}"/>
    <cellStyle name="Comma 4 4 3 2 4 3" xfId="24748" xr:uid="{6F4916E7-241C-47E0-8056-D7AC38417A2C}"/>
    <cellStyle name="Comma 4 4 3 2 4 4" xfId="51932" xr:uid="{D20DFF7F-64DE-44DE-9FE4-1BE60D43DE31}"/>
    <cellStyle name="Comma 4 4 3 2 4 5" xfId="54948" xr:uid="{D104E554-A87A-4411-A6B4-6787225F2764}"/>
    <cellStyle name="Comma 4 4 3 2 5" xfId="15541" xr:uid="{C429FE40-E227-488F-86C6-5BAAC970CD67}"/>
    <cellStyle name="Comma 4 4 3 2 5 2" xfId="23071" xr:uid="{6D54367E-155E-4FDE-A180-6926AE9886B7}"/>
    <cellStyle name="Comma 4 4 3 2 5 3" xfId="48365" xr:uid="{127CCE5E-6550-47C2-8224-88829F313583}"/>
    <cellStyle name="Comma 4 4 3 2 5 4" xfId="52409" xr:uid="{D4765D47-B6AD-44D7-AB5C-5D8BC8A8B062}"/>
    <cellStyle name="Comma 4 4 3 2 5 5" xfId="55425" xr:uid="{A7032377-9F69-4921-97E4-B7B05EC49102}"/>
    <cellStyle name="Comma 4 4 3 2 6" xfId="12489" xr:uid="{77E6D95A-8755-4DA1-8619-C79E75F29512}"/>
    <cellStyle name="Comma 4 4 3 2 6 2" xfId="46759" xr:uid="{519A099A-24A7-4DCC-93C0-59D1ECF5BBE5}"/>
    <cellStyle name="Comma 4 4 3 2 6 3" xfId="50978" xr:uid="{3BB7CCA7-7A93-47C7-A33A-0F0644D04E92}"/>
    <cellStyle name="Comma 4 4 3 2 6 4" xfId="53994" xr:uid="{0D1AF60B-4C4A-4DD3-AD85-7A7B43DC88CD}"/>
    <cellStyle name="Comma 4 4 3 2 7" xfId="47573" xr:uid="{457D11B4-91A0-409A-9C3A-427E7FBCEF54}"/>
    <cellStyle name="Comma 4 4 3 2 8" xfId="49872" xr:uid="{7499C6CB-FFDA-4798-9E09-5E07D41622AF}"/>
    <cellStyle name="Comma 4 4 3 2 9" xfId="52888" xr:uid="{BBD79687-FE92-4002-8103-9B5B07EFBB3C}"/>
    <cellStyle name="Comma 4 4 3 3" xfId="10103" xr:uid="{93D06586-6855-4233-9954-D05488ACECB5}"/>
    <cellStyle name="Comma 4 4 3 3 2" xfId="10416" xr:uid="{4F053F38-BC84-4F18-9018-785066129A54}"/>
    <cellStyle name="Comma 4 4 3 3 2 2" xfId="14835" xr:uid="{507DD6D0-2AF5-4223-A515-7FD2F8FCA3D7}"/>
    <cellStyle name="Comma 4 4 3 3 2 2 2" xfId="22382" xr:uid="{4618F0E5-63DD-4AD9-9FA1-CD05E0CD182D}"/>
    <cellStyle name="Comma 4 4 3 3 2 2 3" xfId="46867" xr:uid="{B6CEC866-F3A8-4DC1-8490-2CB61401800C}"/>
    <cellStyle name="Comma 4 4 3 3 2 2 4" xfId="51720" xr:uid="{A3DAAB53-7B4D-4A0D-B280-7F0415E167E4}"/>
    <cellStyle name="Comma 4 4 3 3 2 2 5" xfId="54736" xr:uid="{F0196706-66A3-4D1D-9E4F-04228150232D}"/>
    <cellStyle name="Comma 4 4 3 3 2 3" xfId="15320" xr:uid="{F10C2440-801D-45C9-9F5A-982B3F4531D7}"/>
    <cellStyle name="Comma 4 4 3 3 2 3 2" xfId="22859" xr:uid="{5B530DED-6827-484C-BBA8-3566EF34B284}"/>
    <cellStyle name="Comma 4 4 3 3 2 3 3" xfId="47717" xr:uid="{7A089532-08CA-4788-8E24-965C01E0A43B}"/>
    <cellStyle name="Comma 4 4 3 3 2 3 4" xfId="52197" xr:uid="{70DBE788-A25D-4ED6-B7FD-7BC63678BFA7}"/>
    <cellStyle name="Comma 4 4 3 3 2 3 5" xfId="55213" xr:uid="{2187232D-083F-4E9D-A891-C2ECA0BE3B30}"/>
    <cellStyle name="Comma 4 4 3 3 2 4" xfId="15807" xr:uid="{921CB59F-6A12-4490-A86B-1891296F7C82}"/>
    <cellStyle name="Comma 4 4 3 3 2 4 2" xfId="23336" xr:uid="{86645795-DC8B-43F9-A070-EA9C8663D324}"/>
    <cellStyle name="Comma 4 4 3 3 2 4 3" xfId="47849" xr:uid="{BB990BEE-DF0A-4B28-B671-3792BBDDFAE8}"/>
    <cellStyle name="Comma 4 4 3 3 2 4 4" xfId="52674" xr:uid="{8973A484-E3E0-4F5D-BD39-F727099B8D28}"/>
    <cellStyle name="Comma 4 4 3 3 2 4 5" xfId="55690" xr:uid="{8758B59F-9715-480C-B1C2-8E79BDFE6564}"/>
    <cellStyle name="Comma 4 4 3 3 2 5" xfId="12869" xr:uid="{80CED840-2098-469B-9E73-9B2B9B4C6327}"/>
    <cellStyle name="Comma 4 4 3 3 2 5 2" xfId="46807" xr:uid="{E2D623BD-4C6B-41BE-AFB8-C5C3C06122C9}"/>
    <cellStyle name="Comma 4 4 3 3 2 5 3" xfId="51243" xr:uid="{DE8899FB-5AB5-4544-A83D-3B1DD83B6CCF}"/>
    <cellStyle name="Comma 4 4 3 3 2 5 4" xfId="54259" xr:uid="{45D1D2D7-30C2-4348-8047-51CCE29F97D3}"/>
    <cellStyle name="Comma 4 4 3 3 2 6" xfId="46117" xr:uid="{B3B40948-B75D-4760-BB33-052D313B1315}"/>
    <cellStyle name="Comma 4 4 3 3 2 7" xfId="50137" xr:uid="{C985A81F-7A39-4858-8189-167CBE4EE5B1}"/>
    <cellStyle name="Comma 4 4 3 3 2 8" xfId="53153" xr:uid="{9DA2A6C9-7F4E-4419-953C-21923536FAAE}"/>
    <cellStyle name="Comma 4 4 3 3 3" xfId="14623" xr:uid="{30948318-5DA6-4A13-96E0-EF113E98A404}"/>
    <cellStyle name="Comma 4 4 3 3 3 2" xfId="22170" xr:uid="{49FA5E0E-7302-4A7E-B5A4-B9897C5A82E1}"/>
    <cellStyle name="Comma 4 4 3 3 3 3" xfId="46410" xr:uid="{F5863238-BF7B-4B3A-A4CF-A7759C4C10A6}"/>
    <cellStyle name="Comma 4 4 3 3 3 4" xfId="51508" xr:uid="{63F2E0D1-E717-4326-B83D-FE19EDF2957D}"/>
    <cellStyle name="Comma 4 4 3 3 3 5" xfId="54524" xr:uid="{B132B37F-4FF3-4016-BEA0-37EF2BB437D2}"/>
    <cellStyle name="Comma 4 4 3 3 4" xfId="15108" xr:uid="{282F438E-986F-48E9-914C-75413A2B8CC5}"/>
    <cellStyle name="Comma 4 4 3 3 4 2" xfId="22647" xr:uid="{2B1CD46A-DDD9-4200-98FF-FE213E261735}"/>
    <cellStyle name="Comma 4 4 3 3 4 3" xfId="48124" xr:uid="{CE549C2E-D23F-417E-81E5-9ED2C5F303A3}"/>
    <cellStyle name="Comma 4 4 3 3 4 4" xfId="51985" xr:uid="{A8697FDC-B8FA-405B-A159-7BB42A7AC217}"/>
    <cellStyle name="Comma 4 4 3 3 4 5" xfId="55001" xr:uid="{F1B3356B-1536-4FF9-9004-5D76835C55CD}"/>
    <cellStyle name="Comma 4 4 3 3 5" xfId="15595" xr:uid="{052C73BC-C767-45E5-8AD3-0FB57755FAC6}"/>
    <cellStyle name="Comma 4 4 3 3 5 2" xfId="23124" xr:uid="{CB34C819-A185-44B3-A7B7-C59568973276}"/>
    <cellStyle name="Comma 4 4 3 3 5 3" xfId="47253" xr:uid="{798BA22C-BDD3-4EB2-B3D8-57B3C21643AB}"/>
    <cellStyle name="Comma 4 4 3 3 5 4" xfId="52462" xr:uid="{E7038CD4-17DE-4773-8D91-0EC5BC3164D6}"/>
    <cellStyle name="Comma 4 4 3 3 5 5" xfId="55478" xr:uid="{5DE855FF-A5A6-44C3-8516-F888318F0961}"/>
    <cellStyle name="Comma 4 4 3 3 6" xfId="12560" xr:uid="{15C074B2-79C0-4C52-84D7-FA80F3226906}"/>
    <cellStyle name="Comma 4 4 3 3 6 2" xfId="48489" xr:uid="{C3C0F9A8-0663-4699-9B47-42A2AB2956F9}"/>
    <cellStyle name="Comma 4 4 3 3 6 3" xfId="51031" xr:uid="{FA8F9EC5-14A2-444C-94F9-C2420D144DDA}"/>
    <cellStyle name="Comma 4 4 3 3 6 4" xfId="54047" xr:uid="{CA1C5F6C-3EDA-41D0-88C1-1BFD52D3A361}"/>
    <cellStyle name="Comma 4 4 3 3 7" xfId="47276" xr:uid="{623A359F-23ED-4C1B-910A-DC2BED9605AE}"/>
    <cellStyle name="Comma 4 4 3 3 8" xfId="49925" xr:uid="{EC583945-9856-4915-9369-979BDBA56095}"/>
    <cellStyle name="Comma 4 4 3 3 9" xfId="52941" xr:uid="{827738A7-8209-49F2-A0F5-9D92E5399424}"/>
    <cellStyle name="Comma 4 4 3 4" xfId="10182" xr:uid="{50CF7012-1CFD-4BA5-80E1-4802F6E0741E}"/>
    <cellStyle name="Comma 4 4 3 4 2" xfId="10496" xr:uid="{861A50FA-57C6-44A9-A710-5487EC48C7A9}"/>
    <cellStyle name="Comma 4 4 3 4 2 2" xfId="14888" xr:uid="{56C03E08-6444-4E5D-898C-775E4359E6C3}"/>
    <cellStyle name="Comma 4 4 3 4 2 2 2" xfId="22435" xr:uid="{E32AB3D7-EECB-4EDE-8BCF-E39B1157FE05}"/>
    <cellStyle name="Comma 4 4 3 4 2 2 3" xfId="24186" xr:uid="{EED17106-6D7F-464D-B637-912469E25913}"/>
    <cellStyle name="Comma 4 4 3 4 2 2 4" xfId="51773" xr:uid="{5A6F31AE-2625-4D1B-938F-0F4F8DA06733}"/>
    <cellStyle name="Comma 4 4 3 4 2 2 5" xfId="54789" xr:uid="{279EAF18-852A-4FF2-836B-661DF8A463CF}"/>
    <cellStyle name="Comma 4 4 3 4 2 3" xfId="15373" xr:uid="{6E894DB5-B165-497C-BB0E-63E68B61BAA0}"/>
    <cellStyle name="Comma 4 4 3 4 2 3 2" xfId="22912" xr:uid="{EAFFB2D4-5662-44A2-BFD7-D5198A1C1B01}"/>
    <cellStyle name="Comma 4 4 3 4 2 3 3" xfId="47639" xr:uid="{E13C2DA3-FCEA-4AA1-89B2-42B5416EB4C4}"/>
    <cellStyle name="Comma 4 4 3 4 2 3 4" xfId="52250" xr:uid="{27BA568D-C185-4277-8AC1-B9DE239E3275}"/>
    <cellStyle name="Comma 4 4 3 4 2 3 5" xfId="55266" xr:uid="{0DEA15FF-682A-40E9-92B1-06CCB85897CF}"/>
    <cellStyle name="Comma 4 4 3 4 2 4" xfId="15860" xr:uid="{83635B32-6EF9-4914-B861-94D973B94163}"/>
    <cellStyle name="Comma 4 4 3 4 2 4 2" xfId="23389" xr:uid="{7580CA5E-4D9D-437A-AC70-91E5185141FB}"/>
    <cellStyle name="Comma 4 4 3 4 2 4 3" xfId="48524" xr:uid="{07FA46E9-5991-4100-ABC7-A2D5D6AF8DF7}"/>
    <cellStyle name="Comma 4 4 3 4 2 4 4" xfId="52727" xr:uid="{08D83DEB-3ABB-41B8-82FE-2193E0FA6A06}"/>
    <cellStyle name="Comma 4 4 3 4 2 4 5" xfId="55743" xr:uid="{3ECD7B1A-239B-4546-A27F-FA44A111AC20}"/>
    <cellStyle name="Comma 4 4 3 4 2 5" xfId="12949" xr:uid="{9800BE6C-D0DE-4FA9-9FAF-B73CA1CCAC82}"/>
    <cellStyle name="Comma 4 4 3 4 2 5 2" xfId="47400" xr:uid="{F056338A-0296-4E9C-AF87-B62EDC86A109}"/>
    <cellStyle name="Comma 4 4 3 4 2 5 3" xfId="51296" xr:uid="{231AEBF0-6ED1-4324-A328-0C81EF346247}"/>
    <cellStyle name="Comma 4 4 3 4 2 5 4" xfId="54312" xr:uid="{99FCEC39-CDB1-4B39-9376-12143AAE48CF}"/>
    <cellStyle name="Comma 4 4 3 4 2 6" xfId="32301" xr:uid="{21C65739-1E9A-4382-BA4B-DE3D4BA6467D}"/>
    <cellStyle name="Comma 4 4 3 4 2 7" xfId="50190" xr:uid="{DEDED29D-6451-4753-9D68-7D8322997E86}"/>
    <cellStyle name="Comma 4 4 3 4 2 8" xfId="53206" xr:uid="{6BAEF8EC-D876-4E34-82C1-F48FF9B982BB}"/>
    <cellStyle name="Comma 4 4 3 4 3" xfId="14676" xr:uid="{CC1FD4FB-EDA5-4E56-9B14-FC2585FAA25B}"/>
    <cellStyle name="Comma 4 4 3 4 3 2" xfId="22223" xr:uid="{19ED5808-52A3-44FA-BFD9-10EF6635E1E2}"/>
    <cellStyle name="Comma 4 4 3 4 3 3" xfId="47771" xr:uid="{1FE17549-A775-44E6-839B-E61DE066BA72}"/>
    <cellStyle name="Comma 4 4 3 4 3 4" xfId="51561" xr:uid="{BF56581D-5F0E-4196-B7E1-4AEE350106F1}"/>
    <cellStyle name="Comma 4 4 3 4 3 5" xfId="54577" xr:uid="{EFBF8BEF-7118-45EB-8256-A31974AC38F3}"/>
    <cellStyle name="Comma 4 4 3 4 4" xfId="15161" xr:uid="{788F92DA-5235-47E4-8D75-7ACA205A1D53}"/>
    <cellStyle name="Comma 4 4 3 4 4 2" xfId="22700" xr:uid="{22F441D3-9387-466D-98FB-C66970F3FB0A}"/>
    <cellStyle name="Comma 4 4 3 4 4 3" xfId="47391" xr:uid="{EC749A44-F6BF-469B-9A14-2ACC5A53E887}"/>
    <cellStyle name="Comma 4 4 3 4 4 4" xfId="52038" xr:uid="{3DA43D50-5B84-42F1-A418-BD94662F8BA8}"/>
    <cellStyle name="Comma 4 4 3 4 4 5" xfId="55054" xr:uid="{388CDC64-FD3B-41EE-8636-C2D3A55D13C5}"/>
    <cellStyle name="Comma 4 4 3 4 5" xfId="15648" xr:uid="{2C354003-A537-47AA-A670-66988C0B0469}"/>
    <cellStyle name="Comma 4 4 3 4 5 2" xfId="23177" xr:uid="{1FA9B077-8632-4250-A897-1089701F64BC}"/>
    <cellStyle name="Comma 4 4 3 4 5 3" xfId="46564" xr:uid="{2BD8180B-275D-47D4-954A-B9FAEE2D1538}"/>
    <cellStyle name="Comma 4 4 3 4 5 4" xfId="52515" xr:uid="{C74B53EE-B36A-4BC1-875E-5206D4C537D8}"/>
    <cellStyle name="Comma 4 4 3 4 5 5" xfId="55531" xr:uid="{6BB44F59-4C4D-4160-8BE5-8B4EB1BD65DA}"/>
    <cellStyle name="Comma 4 4 3 4 6" xfId="12636" xr:uid="{3B6A83B7-7167-4712-AF2D-63EFA5FCACA2}"/>
    <cellStyle name="Comma 4 4 3 4 6 2" xfId="47988" xr:uid="{53E90FB0-F1C7-42E4-BEC4-74E307CAD84F}"/>
    <cellStyle name="Comma 4 4 3 4 6 3" xfId="51084" xr:uid="{4DD5643B-1A70-4D04-9893-50B25EA791D3}"/>
    <cellStyle name="Comma 4 4 3 4 6 4" xfId="54100" xr:uid="{37E712EE-C9F1-4F0D-BBAA-8B7CC1CD53B8}"/>
    <cellStyle name="Comma 4 4 3 4 7" xfId="46062" xr:uid="{BA015E32-28A2-49D2-9439-1F2FC0BCFFD0}"/>
    <cellStyle name="Comma 4 4 3 4 8" xfId="49978" xr:uid="{4932C109-F017-4E1E-BCCD-CBFBF6BF07F9}"/>
    <cellStyle name="Comma 4 4 3 4 9" xfId="52994" xr:uid="{67118F24-2291-4AE8-9955-FC1F5AB39D37}"/>
    <cellStyle name="Comma 4 4 3 5" xfId="10262" xr:uid="{1C05698B-6927-41F5-A806-BB1A38C30F5C}"/>
    <cellStyle name="Comma 4 4 3 5 2" xfId="14729" xr:uid="{CD8DF229-6C90-481B-A2A2-839C96CA5B77}"/>
    <cellStyle name="Comma 4 4 3 5 2 2" xfId="22276" xr:uid="{5ADAA247-2C23-4764-AF7A-76C61667A936}"/>
    <cellStyle name="Comma 4 4 3 5 2 3" xfId="48407" xr:uid="{145AB729-3581-468E-ABDA-A2D470CDA472}"/>
    <cellStyle name="Comma 4 4 3 5 2 4" xfId="51614" xr:uid="{A2A495DA-C01C-4232-8A6A-612A331F03C8}"/>
    <cellStyle name="Comma 4 4 3 5 2 5" xfId="54630" xr:uid="{3EE07893-7EBB-479B-B3E8-B4B251EB9A17}"/>
    <cellStyle name="Comma 4 4 3 5 3" xfId="15214" xr:uid="{EE2A8E6B-76AE-42F8-9C5C-BF4F04834E90}"/>
    <cellStyle name="Comma 4 4 3 5 3 2" xfId="22753" xr:uid="{26F85157-5CE8-4B79-9C80-250495CCB30E}"/>
    <cellStyle name="Comma 4 4 3 5 3 3" xfId="46496" xr:uid="{9FBF19BE-B2E9-42F4-8CF2-A48764CF9DC6}"/>
    <cellStyle name="Comma 4 4 3 5 3 4" xfId="52091" xr:uid="{A07BAE42-2C66-4246-8D1C-DF42373AA4AB}"/>
    <cellStyle name="Comma 4 4 3 5 3 5" xfId="55107" xr:uid="{6DF6A400-E952-4CA7-888B-97FD343FECE8}"/>
    <cellStyle name="Comma 4 4 3 5 4" xfId="15701" xr:uid="{56C79256-6E44-4AE6-A55B-396C76FAC682}"/>
    <cellStyle name="Comma 4 4 3 5 4 2" xfId="23230" xr:uid="{212BC880-1B8B-4BDE-9B41-A34191D1F6C2}"/>
    <cellStyle name="Comma 4 4 3 5 4 3" xfId="47395" xr:uid="{6AC37900-A028-4B88-ACB3-6EE8F0DBBC8B}"/>
    <cellStyle name="Comma 4 4 3 5 4 4" xfId="52568" xr:uid="{8581FE77-C4B9-4143-8315-7B545605611D}"/>
    <cellStyle name="Comma 4 4 3 5 4 5" xfId="55584" xr:uid="{48E5C3EF-3E37-4AA4-B6B3-B99796D9AEC1}"/>
    <cellStyle name="Comma 4 4 3 5 5" xfId="12715" xr:uid="{B076A414-0BCA-40C0-A923-6FA039D901D0}"/>
    <cellStyle name="Comma 4 4 3 5 5 2" xfId="47168" xr:uid="{B0BA6449-69AD-46E0-B38E-80DED63BEC52}"/>
    <cellStyle name="Comma 4 4 3 5 5 3" xfId="51137" xr:uid="{7D5A64B9-63D4-4979-B97B-FC0FB1431C0C}"/>
    <cellStyle name="Comma 4 4 3 5 5 4" xfId="54153" xr:uid="{EEB83904-FF98-4994-91DA-35658B5BE54A}"/>
    <cellStyle name="Comma 4 4 3 5 6" xfId="32278" xr:uid="{1BF9FD75-44D1-4484-ADF4-54FACA588C66}"/>
    <cellStyle name="Comma 4 4 3 5 7" xfId="50031" xr:uid="{C8B99CC6-1E23-4DEB-B416-586617773522}"/>
    <cellStyle name="Comma 4 4 3 5 8" xfId="53047" xr:uid="{DBB32642-6B35-4CBE-ACF8-E73EF2B167FF}"/>
    <cellStyle name="Comma 4 4 3 6" xfId="10576" xr:uid="{9CB2B27D-2063-4A6E-A1A1-8663D0E431A7}"/>
    <cellStyle name="Comma 4 4 3 6 2" xfId="14941" xr:uid="{D14BE5ED-15D2-435C-B03F-55470BF0AC9F}"/>
    <cellStyle name="Comma 4 4 3 6 2 2" xfId="22488" xr:uid="{A0380018-862E-4470-A473-645F0B125B69}"/>
    <cellStyle name="Comma 4 4 3 6 2 3" xfId="47027" xr:uid="{5CD1DE12-B19C-4751-926C-65C8C7F97E56}"/>
    <cellStyle name="Comma 4 4 3 6 2 4" xfId="51826" xr:uid="{4A4B28C9-3F4A-43ED-A381-37C1EDD70BC7}"/>
    <cellStyle name="Comma 4 4 3 6 2 5" xfId="54842" xr:uid="{42A39B7E-A3AE-42F5-A8A0-7A14BF5582A4}"/>
    <cellStyle name="Comma 4 4 3 6 3" xfId="15426" xr:uid="{C715FD19-CCE1-408D-ADC6-53D48BCC8674}"/>
    <cellStyle name="Comma 4 4 3 6 3 2" xfId="22965" xr:uid="{0698DD71-E868-4385-93C9-A952307E41AA}"/>
    <cellStyle name="Comma 4 4 3 6 3 3" xfId="25288" xr:uid="{00050690-A535-456F-AD6A-8686B769E636}"/>
    <cellStyle name="Comma 4 4 3 6 3 4" xfId="52303" xr:uid="{5ED3B4CF-81B7-4EAE-93EF-53855E75A43F}"/>
    <cellStyle name="Comma 4 4 3 6 3 5" xfId="55319" xr:uid="{5CCB1DE1-B780-42A7-8AF6-DB199BEE2E23}"/>
    <cellStyle name="Comma 4 4 3 6 4" xfId="15914" xr:uid="{9B97E999-895B-4851-B7FC-CE2D4F0213A4}"/>
    <cellStyle name="Comma 4 4 3 6 4 2" xfId="23442" xr:uid="{EDEB8ABD-3145-4E4E-AE81-0F614F004E9D}"/>
    <cellStyle name="Comma 4 4 3 6 4 3" xfId="48086" xr:uid="{F3FFD7DC-C5D2-4D27-99E1-6E2F9B5DC8FE}"/>
    <cellStyle name="Comma 4 4 3 6 4 4" xfId="52780" xr:uid="{AD625542-FDBB-4110-861D-22A877D67186}"/>
    <cellStyle name="Comma 4 4 3 6 4 5" xfId="55796" xr:uid="{A93EF7B7-2F22-4006-8A34-4D2627DC0BC9}"/>
    <cellStyle name="Comma 4 4 3 6 5" xfId="13029" xr:uid="{81866618-77B8-4BF7-A1A9-8FF3BE3D72B2}"/>
    <cellStyle name="Comma 4 4 3 6 5 2" xfId="34138" xr:uid="{270240B6-6B0A-421B-8F81-FF8A40701A12}"/>
    <cellStyle name="Comma 4 4 3 6 5 3" xfId="51349" xr:uid="{F4056CAD-4C9D-47C5-AF1C-2819DCE9A7E8}"/>
    <cellStyle name="Comma 4 4 3 6 5 4" xfId="54365" xr:uid="{DB26EB21-A7A9-421A-A2EB-9E9C207EAFC6}"/>
    <cellStyle name="Comma 4 4 3 6 6" xfId="46153" xr:uid="{4A9C7DB6-49B2-429C-B6E0-12616C4A15F9}"/>
    <cellStyle name="Comma 4 4 3 6 7" xfId="50243" xr:uid="{F9C3656B-9C63-4693-A920-75A0EDD33EA0}"/>
    <cellStyle name="Comma 4 4 3 6 8" xfId="53259" xr:uid="{6646653F-1BB6-4231-AE49-A3DD0948EBAC}"/>
    <cellStyle name="Comma 4 4 3 7" xfId="14517" xr:uid="{B0175149-2FB0-4A27-8F34-6DAEC456E10F}"/>
    <cellStyle name="Comma 4 4 3 7 2" xfId="22064" xr:uid="{9B0DE798-2434-43F7-AEA9-11D52631B70C}"/>
    <cellStyle name="Comma 4 4 3 7 3" xfId="48402" xr:uid="{5A89D03D-65AF-4616-B98C-BAD3FB58F1FA}"/>
    <cellStyle name="Comma 4 4 3 7 4" xfId="51402" xr:uid="{7D4AAC5F-24B5-4AF9-88A7-51EE46D1D3C6}"/>
    <cellStyle name="Comma 4 4 3 7 5" xfId="54418" xr:uid="{3EBC698B-7E5C-4A06-A647-F660F4D32AF6}"/>
    <cellStyle name="Comma 4 4 3 8" xfId="15001" xr:uid="{364F42F3-6EA9-41E1-BB4D-88F9A449E795}"/>
    <cellStyle name="Comma 4 4 3 8 2" xfId="22541" xr:uid="{6B94B1A0-8339-411C-BB87-21F505AE2C69}"/>
    <cellStyle name="Comma 4 4 3 8 3" xfId="46464" xr:uid="{2A334071-3F68-467A-8AC2-D00DE840C0B0}"/>
    <cellStyle name="Comma 4 4 3 8 4" xfId="51879" xr:uid="{4A3A2590-6463-4472-A745-A682A8EAF98C}"/>
    <cellStyle name="Comma 4 4 3 8 5" xfId="54895" xr:uid="{D6E5CFC8-6026-4BCE-9708-F272FEAFC7F7}"/>
    <cellStyle name="Comma 4 4 3 9" xfId="15488" xr:uid="{DDB731DF-1DC0-48AC-A30E-892E29289ECD}"/>
    <cellStyle name="Comma 4 4 3 9 2" xfId="23018" xr:uid="{C245DE69-4712-4A60-9A52-F9B18ED42721}"/>
    <cellStyle name="Comma 4 4 3 9 3" xfId="46539" xr:uid="{AA9A71C1-208C-422C-B180-4FC38C27D1F4}"/>
    <cellStyle name="Comma 4 4 3 9 4" xfId="52356" xr:uid="{1CBE585D-7DAD-4809-97E6-0EA6377BF3BE}"/>
    <cellStyle name="Comma 4 4 3 9 5" xfId="55372" xr:uid="{3C99F36C-666D-4596-9A6F-B330DD9C7D95}"/>
    <cellStyle name="Comma 4 4 4" xfId="10026" xr:uid="{2FA97E19-5B16-4259-B5CE-0A5D41B3EE32}"/>
    <cellStyle name="Comma 4 4 4 2" xfId="10334" xr:uid="{AF49E2B5-8AA9-4026-A70E-4F6D1C77D4F0}"/>
    <cellStyle name="Comma 4 4 4 2 2" xfId="14779" xr:uid="{829DB135-551E-411E-A484-860DB13A28D0}"/>
    <cellStyle name="Comma 4 4 4 2 2 2" xfId="22326" xr:uid="{3A84B87C-C652-458A-ACEE-E39F5DF19259}"/>
    <cellStyle name="Comma 4 4 4 2 2 3" xfId="46680" xr:uid="{B2F4D6DD-63FE-43F9-B1FE-FF347AE38550}"/>
    <cellStyle name="Comma 4 4 4 2 2 4" xfId="51664" xr:uid="{C3004070-DAD7-4A00-9E0C-D27AC5DDBB6C}"/>
    <cellStyle name="Comma 4 4 4 2 2 5" xfId="54680" xr:uid="{28598306-7D7B-4079-94E2-89C9673AD657}"/>
    <cellStyle name="Comma 4 4 4 2 3" xfId="15264" xr:uid="{5BBF73CF-90BD-4A2D-9A72-FCA25AB86160}"/>
    <cellStyle name="Comma 4 4 4 2 3 2" xfId="22803" xr:uid="{5DD1B4E8-CFF4-4F9C-A17D-40147670E8B3}"/>
    <cellStyle name="Comma 4 4 4 2 3 3" xfId="48018" xr:uid="{C8E83E5A-53EF-4EE8-B44E-316198257639}"/>
    <cellStyle name="Comma 4 4 4 2 3 4" xfId="52141" xr:uid="{CF42129E-95B8-409D-ADFB-C6483CE98706}"/>
    <cellStyle name="Comma 4 4 4 2 3 5" xfId="55157" xr:uid="{8DA4F557-9680-464C-9804-CE7779982ED9}"/>
    <cellStyle name="Comma 4 4 4 2 4" xfId="15751" xr:uid="{FFE261A7-47F8-42B5-B960-F17E24DABEC1}"/>
    <cellStyle name="Comma 4 4 4 2 4 2" xfId="23280" xr:uid="{731689B4-B043-495B-BFE6-E63662E93335}"/>
    <cellStyle name="Comma 4 4 4 2 4 3" xfId="32323" xr:uid="{A34AF19D-3719-4865-BBC4-3E88D43992CF}"/>
    <cellStyle name="Comma 4 4 4 2 4 4" xfId="52618" xr:uid="{19C18D1C-90F1-4DFD-93F3-F3B915290B29}"/>
    <cellStyle name="Comma 4 4 4 2 4 5" xfId="55634" xr:uid="{94DA1541-D87A-49EE-BCDA-3CE35F614F81}"/>
    <cellStyle name="Comma 4 4 4 2 5" xfId="12787" xr:uid="{8F363785-CEAE-4BBF-883A-27525CEEB235}"/>
    <cellStyle name="Comma 4 4 4 2 5 2" xfId="47526" xr:uid="{86AE23EE-D4D6-4E63-9CB5-06C32C8666E7}"/>
    <cellStyle name="Comma 4 4 4 2 5 3" xfId="51187" xr:uid="{2CE45D7D-46D2-4294-8FBF-C5902283911F}"/>
    <cellStyle name="Comma 4 4 4 2 5 4" xfId="54203" xr:uid="{5E35AE49-A2C1-4F7F-BB18-E4475F5B354F}"/>
    <cellStyle name="Comma 4 4 4 2 6" xfId="47734" xr:uid="{F9D454C4-01BC-49C4-8678-FC7F6062FA61}"/>
    <cellStyle name="Comma 4 4 4 2 7" xfId="50081" xr:uid="{398E16EC-829F-43D6-9DAE-892B9CA74D90}"/>
    <cellStyle name="Comma 4 4 4 2 8" xfId="53097" xr:uid="{5C15F01D-5282-455E-BDA4-62D62CA26163}"/>
    <cellStyle name="Comma 4 4 4 3" xfId="14567" xr:uid="{F4BC0269-7801-479C-9950-56821F78B049}"/>
    <cellStyle name="Comma 4 4 4 3 2" xfId="22114" xr:uid="{FA74929C-835C-4593-AE78-11F4EEE71889}"/>
    <cellStyle name="Comma 4 4 4 3 3" xfId="46836" xr:uid="{3FC7657F-55D9-48FE-8097-78256C4D6620}"/>
    <cellStyle name="Comma 4 4 4 3 4" xfId="51452" xr:uid="{B0FCD13D-1EA3-46B5-9F64-AFDD9812B963}"/>
    <cellStyle name="Comma 4 4 4 3 5" xfId="54468" xr:uid="{2C437343-64DD-4C08-B2FA-123FC0165DE2}"/>
    <cellStyle name="Comma 4 4 4 4" xfId="15051" xr:uid="{5A98CC6B-4FFD-40A4-8E1C-0214D61D071E}"/>
    <cellStyle name="Comma 4 4 4 4 2" xfId="22591" xr:uid="{64C462B3-B1A6-4070-BB40-DB35936C09AA}"/>
    <cellStyle name="Comma 4 4 4 4 3" xfId="32461" xr:uid="{749844FF-CEFD-4392-B6F7-C704B4F52A88}"/>
    <cellStyle name="Comma 4 4 4 4 4" xfId="51929" xr:uid="{73A91009-DF84-40D2-A578-E5A23D6418E1}"/>
    <cellStyle name="Comma 4 4 4 4 5" xfId="54945" xr:uid="{4C15279E-3D61-45FB-BCE6-096E9120DAC5}"/>
    <cellStyle name="Comma 4 4 4 5" xfId="15538" xr:uid="{6471AE9C-4BA5-4275-86FA-9EEFEE09F19A}"/>
    <cellStyle name="Comma 4 4 4 5 2" xfId="23068" xr:uid="{9BACCD3E-AE67-4DD1-8BB0-A3438AC56999}"/>
    <cellStyle name="Comma 4 4 4 5 3" xfId="48306" xr:uid="{25AD9B63-B2E8-4637-8282-61FCFE10FCB6}"/>
    <cellStyle name="Comma 4 4 4 5 4" xfId="52406" xr:uid="{B71629BE-671F-42D2-8ECE-15276FB494E3}"/>
    <cellStyle name="Comma 4 4 4 5 5" xfId="55422" xr:uid="{6A6F5E87-2D08-4AB7-8E9B-268F1DA8EBF5}"/>
    <cellStyle name="Comma 4 4 4 6" xfId="12486" xr:uid="{A0B473AB-4685-42DA-9B98-DD8A8AFCF46C}"/>
    <cellStyle name="Comma 4 4 4 6 2" xfId="46312" xr:uid="{749E38BC-B924-458A-A8D4-7BA294293D98}"/>
    <cellStyle name="Comma 4 4 4 6 3" xfId="50975" xr:uid="{51C725F5-427F-4DFA-8DED-3B60B97E6EFB}"/>
    <cellStyle name="Comma 4 4 4 6 4" xfId="53991" xr:uid="{FD0C2776-13CC-4FFA-8F81-9FB95421790B}"/>
    <cellStyle name="Comma 4 4 4 7" xfId="46029" xr:uid="{6E986919-6415-4EA1-A53D-86E1338E391A}"/>
    <cellStyle name="Comma 4 4 4 8" xfId="49869" xr:uid="{2FBC616A-65F8-45BF-96CF-667CA3BBE8BF}"/>
    <cellStyle name="Comma 4 4 4 9" xfId="52885" xr:uid="{8C6EFDDF-8482-4E02-8700-103C147811E3}"/>
    <cellStyle name="Comma 4 4 5" xfId="10100" xr:uid="{ED45B3B3-AD77-4A88-ABE6-70CC7EA06E4F}"/>
    <cellStyle name="Comma 4 4 5 2" xfId="10413" xr:uid="{5AAD3FFB-3508-4293-86F1-C4B8C918B8AB}"/>
    <cellStyle name="Comma 4 4 5 2 2" xfId="14832" xr:uid="{6F3E094D-6534-472F-8BC9-077E7E95C21D}"/>
    <cellStyle name="Comma 4 4 5 2 2 2" xfId="22379" xr:uid="{F145487C-2112-4CFC-8E41-5FD0CF644E82}"/>
    <cellStyle name="Comma 4 4 5 2 2 3" xfId="46441" xr:uid="{B731E25D-5EBF-407B-9513-EF8815FD4289}"/>
    <cellStyle name="Comma 4 4 5 2 2 4" xfId="51717" xr:uid="{763014D2-D67E-42A5-9E04-D1371EE2A5EB}"/>
    <cellStyle name="Comma 4 4 5 2 2 5" xfId="54733" xr:uid="{F7787DBC-10A8-40F3-B523-592728ADD0B6}"/>
    <cellStyle name="Comma 4 4 5 2 3" xfId="15317" xr:uid="{4651DAFC-49C1-4138-8101-03922CCF21B8}"/>
    <cellStyle name="Comma 4 4 5 2 3 2" xfId="22856" xr:uid="{78184322-13C9-451C-A20F-C372B791C372}"/>
    <cellStyle name="Comma 4 4 5 2 3 3" xfId="24315" xr:uid="{0E347EBA-B7B8-4CB7-AC00-1FC56A862728}"/>
    <cellStyle name="Comma 4 4 5 2 3 4" xfId="52194" xr:uid="{E722BE2F-BE5D-4A97-A120-4496ABFCC2BC}"/>
    <cellStyle name="Comma 4 4 5 2 3 5" xfId="55210" xr:uid="{F1931DED-2FF8-464C-8CFB-CD6978DB09B8}"/>
    <cellStyle name="Comma 4 4 5 2 4" xfId="15804" xr:uid="{E06E6149-86F9-4CB5-BDE9-4D5BDFFF7FF1}"/>
    <cellStyle name="Comma 4 4 5 2 4 2" xfId="23333" xr:uid="{71F72E75-4169-4A68-9E19-03FC994EE994}"/>
    <cellStyle name="Comma 4 4 5 2 4 3" xfId="24157" xr:uid="{66431982-128B-4EAB-B2ED-9077E7DDBFC3}"/>
    <cellStyle name="Comma 4 4 5 2 4 4" xfId="52671" xr:uid="{1BD3DE9F-7438-4EFD-AA85-F5B0AD5C37AA}"/>
    <cellStyle name="Comma 4 4 5 2 4 5" xfId="55687" xr:uid="{BF8BA2D8-F5F1-46EE-9BC5-8C932587BA14}"/>
    <cellStyle name="Comma 4 4 5 2 5" xfId="12866" xr:uid="{152F883B-D6B7-43C7-A631-FEE768F82694}"/>
    <cellStyle name="Comma 4 4 5 2 5 2" xfId="46364" xr:uid="{836B7F80-D9F3-4676-AFFA-481DDC13713F}"/>
    <cellStyle name="Comma 4 4 5 2 5 3" xfId="51240" xr:uid="{4F9152FB-BA7B-4D20-A2A6-8455199F54EA}"/>
    <cellStyle name="Comma 4 4 5 2 5 4" xfId="54256" xr:uid="{A4CCEC35-1ED6-42D9-B477-A5D4AC5FD5EF}"/>
    <cellStyle name="Comma 4 4 5 2 6" xfId="46114" xr:uid="{4BF9CC45-F6B5-410C-8278-4B336DE6C012}"/>
    <cellStyle name="Comma 4 4 5 2 7" xfId="50134" xr:uid="{2EDFEB9F-C489-4D21-9BDD-ADC08B10BEFA}"/>
    <cellStyle name="Comma 4 4 5 2 8" xfId="53150" xr:uid="{23324222-9157-4C73-9B31-E663C893CE09}"/>
    <cellStyle name="Comma 4 4 5 3" xfId="14620" xr:uid="{2DC58EF3-B61D-486B-9079-0B6ADA84F930}"/>
    <cellStyle name="Comma 4 4 5 3 2" xfId="22167" xr:uid="{C1BCA40C-146C-4A17-BBD0-BF5230664D39}"/>
    <cellStyle name="Comma 4 4 5 3 3" xfId="46842" xr:uid="{0FCCEF28-9900-4F17-92E7-0EBD3A3575F2}"/>
    <cellStyle name="Comma 4 4 5 3 4" xfId="51505" xr:uid="{586CE941-B81B-4D57-ACAD-29F50BD1D46F}"/>
    <cellStyle name="Comma 4 4 5 3 5" xfId="54521" xr:uid="{F65A9D53-354D-44B2-BEBD-F0BE8C6F3E51}"/>
    <cellStyle name="Comma 4 4 5 4" xfId="15105" xr:uid="{4788BAD9-1883-4E2B-AF49-2A98C1A9F2DB}"/>
    <cellStyle name="Comma 4 4 5 4 2" xfId="22644" xr:uid="{3FCCF738-7C5A-43CB-91DF-E635E5AF09BE}"/>
    <cellStyle name="Comma 4 4 5 4 3" xfId="24180" xr:uid="{63D92BFB-01EF-4815-8410-E3113A8AE8E2}"/>
    <cellStyle name="Comma 4 4 5 4 4" xfId="51982" xr:uid="{BF491645-25EB-4123-BF36-EA83F2E12B50}"/>
    <cellStyle name="Comma 4 4 5 4 5" xfId="54998" xr:uid="{7D0D3EDC-0BBE-4BE7-98F8-61304E385506}"/>
    <cellStyle name="Comma 4 4 5 5" xfId="15592" xr:uid="{B668117B-1A96-407D-8E33-E41544B2DBE1}"/>
    <cellStyle name="Comma 4 4 5 5 2" xfId="23121" xr:uid="{6D5EED16-8F15-47E9-A0FB-692F92B30E8E}"/>
    <cellStyle name="Comma 4 4 5 5 3" xfId="48540" xr:uid="{AC576223-8617-4192-B947-7B7CD8E2E314}"/>
    <cellStyle name="Comma 4 4 5 5 4" xfId="52459" xr:uid="{B2B24772-B61E-4C5D-B6A7-5809D8C34FAB}"/>
    <cellStyle name="Comma 4 4 5 5 5" xfId="55475" xr:uid="{3667EFE1-4F02-4C0B-94D0-F041F7850D77}"/>
    <cellStyle name="Comma 4 4 5 6" xfId="12557" xr:uid="{5EB68DE5-8EAC-4073-877D-0CE0C4D5833F}"/>
    <cellStyle name="Comma 4 4 5 6 2" xfId="48558" xr:uid="{85C875F9-176B-4FCB-9C23-5FE992F9D832}"/>
    <cellStyle name="Comma 4 4 5 6 3" xfId="51028" xr:uid="{405FC9E4-80D0-4954-8300-7A549C6DFDC3}"/>
    <cellStyle name="Comma 4 4 5 6 4" xfId="54044" xr:uid="{7C4C35E1-B78E-4CBC-AD95-97C09A341612}"/>
    <cellStyle name="Comma 4 4 5 7" xfId="47870" xr:uid="{B20F8C20-37B1-446E-90C7-3FECE4FBB893}"/>
    <cellStyle name="Comma 4 4 5 8" xfId="49922" xr:uid="{5C8BE494-0856-4966-B259-C0729A22550E}"/>
    <cellStyle name="Comma 4 4 5 9" xfId="52938" xr:uid="{EA36459B-B493-4500-A167-38A39CCD3745}"/>
    <cellStyle name="Comma 4 4 6" xfId="10179" xr:uid="{B8B7A151-5EB2-4F9E-8669-A3875B47F38D}"/>
    <cellStyle name="Comma 4 4 6 2" xfId="10493" xr:uid="{C965438F-4E73-4EE3-90B7-85232827316C}"/>
    <cellStyle name="Comma 4 4 6 2 2" xfId="14885" xr:uid="{D37F91AD-AFC7-43BA-B7D0-6A5897BF99C9}"/>
    <cellStyle name="Comma 4 4 6 2 2 2" xfId="22432" xr:uid="{09366E04-0922-4272-98E4-83931DD4C53D}"/>
    <cellStyle name="Comma 4 4 6 2 2 3" xfId="48120" xr:uid="{87CB1918-451D-4A89-8448-AEE1BC132B6E}"/>
    <cellStyle name="Comma 4 4 6 2 2 4" xfId="51770" xr:uid="{5ED9A23C-9616-4EBF-8075-BE5946135CF9}"/>
    <cellStyle name="Comma 4 4 6 2 2 5" xfId="54786" xr:uid="{32538BD2-2882-4AB8-84FD-2061062E0E4C}"/>
    <cellStyle name="Comma 4 4 6 2 3" xfId="15370" xr:uid="{2C3A83F9-B080-4144-9363-9331FD329722}"/>
    <cellStyle name="Comma 4 4 6 2 3 2" xfId="22909" xr:uid="{4FC785C1-1F7E-4FE0-949A-BA62AD76BA2B}"/>
    <cellStyle name="Comma 4 4 6 2 3 3" xfId="47250" xr:uid="{75578D39-8F4D-4C60-AF70-F2566EC0B2EE}"/>
    <cellStyle name="Comma 4 4 6 2 3 4" xfId="52247" xr:uid="{7B61E022-A3B7-4E6A-B9DA-A89710100DAC}"/>
    <cellStyle name="Comma 4 4 6 2 3 5" xfId="55263" xr:uid="{B0C09E11-4A37-4422-9401-0B67481B7660}"/>
    <cellStyle name="Comma 4 4 6 2 4" xfId="15857" xr:uid="{F5E64FD0-A3A3-4993-95DF-FCD9B361BE5D}"/>
    <cellStyle name="Comma 4 4 6 2 4 2" xfId="23386" xr:uid="{0B40ECEB-ED83-45DE-9055-FB8B78B0BC78}"/>
    <cellStyle name="Comma 4 4 6 2 4 3" xfId="47555" xr:uid="{DF78DF9A-E9BB-4994-AEFF-11079CA0DEF9}"/>
    <cellStyle name="Comma 4 4 6 2 4 4" xfId="52724" xr:uid="{22C5707E-D67F-4282-BF58-DBE22E9818E7}"/>
    <cellStyle name="Comma 4 4 6 2 4 5" xfId="55740" xr:uid="{09B198E1-C2CB-4C56-827E-0098DF1F10E9}"/>
    <cellStyle name="Comma 4 4 6 2 5" xfId="12946" xr:uid="{D49C28D5-D420-468A-864F-87E6DE327706}"/>
    <cellStyle name="Comma 4 4 6 2 5 2" xfId="47919" xr:uid="{FC2C8A19-525F-4FC2-BB24-92421362161E}"/>
    <cellStyle name="Comma 4 4 6 2 5 3" xfId="51293" xr:uid="{E2F30586-4CE1-4729-A420-364D0004720B}"/>
    <cellStyle name="Comma 4 4 6 2 5 4" xfId="54309" xr:uid="{4ADF1F97-42CB-4EC0-A58B-19026DEDB890}"/>
    <cellStyle name="Comma 4 4 6 2 6" xfId="48162" xr:uid="{6DAC8C55-E852-47AE-8288-EE6B4B4A553C}"/>
    <cellStyle name="Comma 4 4 6 2 7" xfId="50187" xr:uid="{D97DFA72-4F76-4A2D-B2D6-5769F33B5153}"/>
    <cellStyle name="Comma 4 4 6 2 8" xfId="53203" xr:uid="{C33200AA-6F46-49A6-86DD-329B00F78793}"/>
    <cellStyle name="Comma 4 4 6 3" xfId="14673" xr:uid="{F0C84D69-BE60-47C5-B684-EEE233768046}"/>
    <cellStyle name="Comma 4 4 6 3 2" xfId="22220" xr:uid="{18152720-0367-44B6-9227-FC4D308FF3FE}"/>
    <cellStyle name="Comma 4 4 6 3 3" xfId="24966" xr:uid="{D93D1B59-1639-4908-9AD2-F0468EE04AA1}"/>
    <cellStyle name="Comma 4 4 6 3 4" xfId="51558" xr:uid="{206649B4-ABCB-4981-90DE-F8902E5C4330}"/>
    <cellStyle name="Comma 4 4 6 3 5" xfId="54574" xr:uid="{8DCC4500-7D74-42EF-8EF9-86236A345881}"/>
    <cellStyle name="Comma 4 4 6 4" xfId="15158" xr:uid="{13A24AA1-52D3-4FAB-B67D-6404A8AAFFDA}"/>
    <cellStyle name="Comma 4 4 6 4 2" xfId="22697" xr:uid="{43995647-B888-4249-B2DE-07DF738C0AF2}"/>
    <cellStyle name="Comma 4 4 6 4 3" xfId="48300" xr:uid="{12F6F620-B938-42A3-AECB-105F47ED5D65}"/>
    <cellStyle name="Comma 4 4 6 4 4" xfId="52035" xr:uid="{741888E0-CF19-4B8D-AA58-04AD14927A8D}"/>
    <cellStyle name="Comma 4 4 6 4 5" xfId="55051" xr:uid="{31101476-54FB-4E26-89B6-4CF756A97400}"/>
    <cellStyle name="Comma 4 4 6 5" xfId="15645" xr:uid="{47ED4BAB-A0D2-4959-961B-A2C3E93E03F7}"/>
    <cellStyle name="Comma 4 4 6 5 2" xfId="23174" xr:uid="{F8A9C240-21DA-4915-BBA7-B09155853176}"/>
    <cellStyle name="Comma 4 4 6 5 3" xfId="46947" xr:uid="{900B4380-5680-4D25-8CC9-C6CE9032F4E9}"/>
    <cellStyle name="Comma 4 4 6 5 4" xfId="52512" xr:uid="{EF67A254-D358-43E5-A6CA-EA2BB9D1D064}"/>
    <cellStyle name="Comma 4 4 6 5 5" xfId="55528" xr:uid="{55BE7EC1-F6ED-4FC6-B748-72087C19DAA6}"/>
    <cellStyle name="Comma 4 4 6 6" xfId="12633" xr:uid="{AF92DC0F-937A-4822-A8A8-DC90B15E7994}"/>
    <cellStyle name="Comma 4 4 6 6 2" xfId="47319" xr:uid="{2D571BBA-4E15-435C-AFD9-EDDAA3FA7EA5}"/>
    <cellStyle name="Comma 4 4 6 6 3" xfId="51081" xr:uid="{9C4821B6-AA37-4B18-A726-777E1EFC6F3B}"/>
    <cellStyle name="Comma 4 4 6 6 4" xfId="54097" xr:uid="{855324C0-86A6-41CF-B33D-462E6C922331}"/>
    <cellStyle name="Comma 4 4 6 7" xfId="46060" xr:uid="{68C1AC5C-4B56-43DE-9EAD-062671E0AA61}"/>
    <cellStyle name="Comma 4 4 6 8" xfId="49975" xr:uid="{A85C8EBC-5430-4291-B3D3-051F759FB5B8}"/>
    <cellStyle name="Comma 4 4 6 9" xfId="52991" xr:uid="{6D277A6E-1358-43E0-8AD2-9378B60D667A}"/>
    <cellStyle name="Comma 4 4 7" xfId="10259" xr:uid="{440A8F97-7CB3-42B4-A576-8A896302AA4C}"/>
    <cellStyle name="Comma 4 4 7 2" xfId="14726" xr:uid="{642C66FB-28ED-4F41-A54C-A3E0AE4A7C91}"/>
    <cellStyle name="Comma 4 4 7 2 2" xfId="22273" xr:uid="{27D87CDF-23CA-43A7-944A-7244F9F86E76}"/>
    <cellStyle name="Comma 4 4 7 2 3" xfId="48503" xr:uid="{C2CC51D2-86D0-48CA-B8DB-35AD907D2E3B}"/>
    <cellStyle name="Comma 4 4 7 2 4" xfId="51611" xr:uid="{FFE775A2-3DE5-44ED-AC8E-D56D6D73F480}"/>
    <cellStyle name="Comma 4 4 7 2 5" xfId="54627" xr:uid="{904CCC4A-189E-496E-848F-9850AAED636C}"/>
    <cellStyle name="Comma 4 4 7 3" xfId="15211" xr:uid="{31459B35-1495-4C50-AC9F-65007AD814C8}"/>
    <cellStyle name="Comma 4 4 7 3 2" xfId="22750" xr:uid="{6F092CF4-38FE-481C-B18A-04F52C873D96}"/>
    <cellStyle name="Comma 4 4 7 3 3" xfId="48145" xr:uid="{A51FAA66-2F1D-4559-B26B-EAEB68D5B065}"/>
    <cellStyle name="Comma 4 4 7 3 4" xfId="52088" xr:uid="{7083C38E-5C81-4A05-8F8B-1C88A1255DF0}"/>
    <cellStyle name="Comma 4 4 7 3 5" xfId="55104" xr:uid="{3DDF6AA9-DCAD-4D4F-8FC3-3E099BDFB6CE}"/>
    <cellStyle name="Comma 4 4 7 4" xfId="15698" xr:uid="{7E0951A0-FF8B-4BC9-9273-AEA7CEBE0779}"/>
    <cellStyle name="Comma 4 4 7 4 2" xfId="23227" xr:uid="{7BB35CAE-D4ED-41E1-B52D-80FC6DD8AD8C}"/>
    <cellStyle name="Comma 4 4 7 4 3" xfId="23835" xr:uid="{9E5159E7-8E6B-4A4B-94CC-39A1965781C4}"/>
    <cellStyle name="Comma 4 4 7 4 4" xfId="52565" xr:uid="{C69135D0-DAA4-42B3-A46B-B26FC5824BF0}"/>
    <cellStyle name="Comma 4 4 7 4 5" xfId="55581" xr:uid="{DAD96CFD-A4B2-4F3A-B42F-7F96C795EE24}"/>
    <cellStyle name="Comma 4 4 7 5" xfId="12712" xr:uid="{33F366B5-170A-46AE-855E-4B5739FDA758}"/>
    <cellStyle name="Comma 4 4 7 5 2" xfId="47018" xr:uid="{09547D7B-3484-4B96-91A7-A8B9BA914E72}"/>
    <cellStyle name="Comma 4 4 7 5 3" xfId="51134" xr:uid="{A985CCA4-DAD5-405D-87E2-0D22AB838828}"/>
    <cellStyle name="Comma 4 4 7 5 4" xfId="54150" xr:uid="{276C0B7E-C9E9-4636-8894-05B189CFDEB8}"/>
    <cellStyle name="Comma 4 4 7 6" xfId="48314" xr:uid="{02119248-7E32-4A00-9C44-4470EC18215F}"/>
    <cellStyle name="Comma 4 4 7 7" xfId="50028" xr:uid="{045CBD9E-0577-4170-B8E8-33979FC9307D}"/>
    <cellStyle name="Comma 4 4 7 8" xfId="53044" xr:uid="{D048BADE-760E-4E2F-9293-52D6BD2FD235}"/>
    <cellStyle name="Comma 4 4 8" xfId="10573" xr:uid="{E4348FF7-454D-4FFB-B4AC-3F420273C0CF}"/>
    <cellStyle name="Comma 4 4 8 2" xfId="14938" xr:uid="{B0DA9E5B-1D34-47B4-AABC-31D516D55AD8}"/>
    <cellStyle name="Comma 4 4 8 2 2" xfId="22485" xr:uid="{BAF629BE-F48B-4A70-B0CA-59052D94A71B}"/>
    <cellStyle name="Comma 4 4 8 2 3" xfId="47966" xr:uid="{07CDC2A7-8C45-46BC-9058-947FC9EB6C94}"/>
    <cellStyle name="Comma 4 4 8 2 4" xfId="51823" xr:uid="{E79DBCEC-6C87-476B-AC08-16553852C9C3}"/>
    <cellStyle name="Comma 4 4 8 2 5" xfId="54839" xr:uid="{B51A00F1-FD75-44BE-A2A4-68141F279952}"/>
    <cellStyle name="Comma 4 4 8 3" xfId="15423" xr:uid="{4DA7949D-EE13-442E-A0D9-B7D566E3297E}"/>
    <cellStyle name="Comma 4 4 8 3 2" xfId="22962" xr:uid="{66594287-9E27-44CE-97E6-69C62C106E9A}"/>
    <cellStyle name="Comma 4 4 8 3 3" xfId="47863" xr:uid="{7576E779-FD1F-4473-AB5F-6D2CD9C80079}"/>
    <cellStyle name="Comma 4 4 8 3 4" xfId="52300" xr:uid="{BF3DEDF0-EC3A-4B00-B8C2-AE5468872956}"/>
    <cellStyle name="Comma 4 4 8 3 5" xfId="55316" xr:uid="{2E0253DC-5A87-4216-A79C-099921716CA4}"/>
    <cellStyle name="Comma 4 4 8 4" xfId="15911" xr:uid="{FB389230-C7AB-4D10-9DCF-C4ADA99CB6AB}"/>
    <cellStyle name="Comma 4 4 8 4 2" xfId="23439" xr:uid="{D7549AFC-9159-4932-8467-7B5C29FA80EC}"/>
    <cellStyle name="Comma 4 4 8 4 3" xfId="47442" xr:uid="{671CCE1C-7D1B-410B-ADD3-C02119F7E8DB}"/>
    <cellStyle name="Comma 4 4 8 4 4" xfId="52777" xr:uid="{2D7F8A92-2706-4E0B-8873-343B6D0D0EA6}"/>
    <cellStyle name="Comma 4 4 8 4 5" xfId="55793" xr:uid="{1802CFC1-DDDC-4F6B-A623-E90CAF2DEC31}"/>
    <cellStyle name="Comma 4 4 8 5" xfId="13026" xr:uid="{812FEE33-2E15-4F1E-8508-2B6E7C76EF93}"/>
    <cellStyle name="Comma 4 4 8 5 2" xfId="48053" xr:uid="{4D919FCD-8559-49EA-B57F-E9F720CEC54B}"/>
    <cellStyle name="Comma 4 4 8 5 3" xfId="51346" xr:uid="{AAABEB8A-B09D-4C24-83C7-265F2EB1984C}"/>
    <cellStyle name="Comma 4 4 8 5 4" xfId="54362" xr:uid="{25F12770-88FA-4DF3-915C-A3C77673294B}"/>
    <cellStyle name="Comma 4 4 8 6" xfId="47294" xr:uid="{F015A930-192D-46D9-99F2-534E36C999EC}"/>
    <cellStyle name="Comma 4 4 8 7" xfId="50240" xr:uid="{E244DA62-9758-4E6B-85CD-8937BFC0BDC5}"/>
    <cellStyle name="Comma 4 4 8 8" xfId="53256" xr:uid="{8D1B666C-B620-4005-927A-BC2C7F6C6F31}"/>
    <cellStyle name="Comma 4 4 9" xfId="11148" xr:uid="{B6E18881-411B-42AB-96FE-B9760D5ED495}"/>
    <cellStyle name="Comma 4 5" xfId="5823" xr:uid="{213FFDA8-E01C-45B1-9459-770A0AB0F4D9}"/>
    <cellStyle name="Comma 4 5 10" xfId="15002" xr:uid="{8A6223DA-6915-45AC-ACF3-460B5CF0B6F9}"/>
    <cellStyle name="Comma 4 5 10 2" xfId="22542" xr:uid="{6D478355-D038-4CA8-91CD-D87ED1D34DFF}"/>
    <cellStyle name="Comma 4 5 10 3" xfId="24925" xr:uid="{5E67A740-93E5-4F86-913C-2606DF4395A8}"/>
    <cellStyle name="Comma 4 5 10 4" xfId="51880" xr:uid="{74587EDF-D5DE-4736-B65D-DABA6C752634}"/>
    <cellStyle name="Comma 4 5 10 5" xfId="54896" xr:uid="{C9E1AAB1-19B0-444F-A23E-3C9A42AFD14E}"/>
    <cellStyle name="Comma 4 5 11" xfId="15489" xr:uid="{3B12C3C1-43A4-4DA6-AB06-95AD226E1CE6}"/>
    <cellStyle name="Comma 4 5 11 2" xfId="23019" xr:uid="{98318F52-FDDC-426E-B6D0-37C86CC226CC}"/>
    <cellStyle name="Comma 4 5 11 3" xfId="47029" xr:uid="{687F68FA-DA7A-4469-8CC4-1558EBF3FA92}"/>
    <cellStyle name="Comma 4 5 11 4" xfId="52357" xr:uid="{4D63A6CF-2840-4E72-98A2-EFAD844F9772}"/>
    <cellStyle name="Comma 4 5 11 5" xfId="55373" xr:uid="{52C26FDD-8DAD-4B19-9BA4-F91BFB42F91F}"/>
    <cellStyle name="Comma 4 5 12" xfId="11585" xr:uid="{D75F1710-ED8D-4A25-A203-BFBBBB7EB515}"/>
    <cellStyle name="Comma 4 5 12 2" xfId="21709" xr:uid="{39D9BA34-1B74-462A-BFA5-E5E13B65D2E1}"/>
    <cellStyle name="Comma 4 5 12 3" xfId="46993" xr:uid="{F87C1B2C-A200-4DFE-9A57-276E85E59CC8}"/>
    <cellStyle name="Comma 4 5 12 4" xfId="50732" xr:uid="{530457EC-AD82-4F67-BC6B-C152565F38D9}"/>
    <cellStyle name="Comma 4 5 12 5" xfId="53748" xr:uid="{40B63999-F666-49D3-83D7-0B29F528FF0A}"/>
    <cellStyle name="Comma 4 5 13" xfId="21243" xr:uid="{BD5B4104-8486-4BB1-9D9D-072C11F817B8}"/>
    <cellStyle name="Comma 4 5 14" xfId="23772" xr:uid="{00CB7AF7-868D-41FF-9E06-01CB19BBF053}"/>
    <cellStyle name="Comma 4 5 15" xfId="48653" xr:uid="{94F28716-3062-4251-838A-9A36DB4821AA}"/>
    <cellStyle name="Comma 4 5 16" xfId="49561" xr:uid="{2FB11976-0AF4-4B36-8664-C0BEB9B626E6}"/>
    <cellStyle name="Comma 4 5 17" xfId="49820" xr:uid="{4497625E-3942-46A4-8B44-074296CC4402}"/>
    <cellStyle name="Comma 4 5 18" xfId="52835" xr:uid="{BDD3520A-746C-4ACD-856F-EB4DC3CCE09D}"/>
    <cellStyle name="Comma 4 5 19" xfId="17477" xr:uid="{97054A84-C276-4B28-89B0-434627DEE3E0}"/>
    <cellStyle name="Comma 4 5 2" xfId="8944" xr:uid="{FBDAAAD5-7660-405A-ACBA-FC489E1A8DA5}"/>
    <cellStyle name="Comma 4 5 2 10" xfId="12194" xr:uid="{F5629569-BB12-44F9-A81D-CB32D06185DD}"/>
    <cellStyle name="Comma 4 5 2 10 2" xfId="24538" xr:uid="{A76CDF1B-7890-4B8F-A0FA-0DF77207A4F7}"/>
    <cellStyle name="Comma 4 5 2 10 3" xfId="50939" xr:uid="{77661F83-0091-4B56-8C78-D9137589F8D1}"/>
    <cellStyle name="Comma 4 5 2 10 4" xfId="53955" xr:uid="{A7B3247D-4F6A-400F-B26A-C7E94742874D}"/>
    <cellStyle name="Comma 4 5 2 11" xfId="23773" xr:uid="{D43C7592-67F6-472A-AFD2-D2CD1AB57AAA}"/>
    <cellStyle name="Comma 4 5 2 12" xfId="48654" xr:uid="{61A42AD3-9D18-4034-B7AC-8F7931CCFF3A}"/>
    <cellStyle name="Comma 4 5 2 13" xfId="49562" xr:uid="{5CDFDD87-E273-43E5-9E04-2C3E94D5BE2F}"/>
    <cellStyle name="Comma 4 5 2 14" xfId="49821" xr:uid="{57B1C26A-30C9-49F8-815D-8E319A7E18C5}"/>
    <cellStyle name="Comma 4 5 2 15" xfId="52836" xr:uid="{075F004B-B7B0-413A-BF0F-2E4AB88DAEB2}"/>
    <cellStyle name="Comma 4 5 2 2" xfId="10031" xr:uid="{CEE76FEE-C586-4515-9C1A-BDBAEEB8617E}"/>
    <cellStyle name="Comma 4 5 2 2 2" xfId="10339" xr:uid="{AF8903CC-F556-41FA-A47D-85830ED9662A}"/>
    <cellStyle name="Comma 4 5 2 2 2 2" xfId="14784" xr:uid="{40AEEFF9-D7CB-49C2-94CB-2F802A4863B5}"/>
    <cellStyle name="Comma 4 5 2 2 2 2 2" xfId="22331" xr:uid="{3EE837E9-7901-4C92-A19C-E10115ADCE1B}"/>
    <cellStyle name="Comma 4 5 2 2 2 2 3" xfId="46433" xr:uid="{FD9B8AD9-12E5-4D94-A145-898D321FEAB7}"/>
    <cellStyle name="Comma 4 5 2 2 2 2 4" xfId="51669" xr:uid="{FF0F630D-668F-4DF5-930A-374CB51FC0C7}"/>
    <cellStyle name="Comma 4 5 2 2 2 2 5" xfId="54685" xr:uid="{07ADDF1A-827D-4DE3-AEDA-20AFFCAC5082}"/>
    <cellStyle name="Comma 4 5 2 2 2 3" xfId="15269" xr:uid="{B17E0C88-83A6-4C33-8F46-56E0722EBFE4}"/>
    <cellStyle name="Comma 4 5 2 2 2 3 2" xfId="22808" xr:uid="{2C83013A-877F-4683-BC44-72CAEFF4246C}"/>
    <cellStyle name="Comma 4 5 2 2 2 3 3" xfId="46506" xr:uid="{3BC9302B-7597-43C5-BD02-377D130439C2}"/>
    <cellStyle name="Comma 4 5 2 2 2 3 4" xfId="52146" xr:uid="{F0584D27-5D4F-4A92-88E6-EB9D458664D0}"/>
    <cellStyle name="Comma 4 5 2 2 2 3 5" xfId="55162" xr:uid="{877D580B-3901-410B-A98F-717853DACB84}"/>
    <cellStyle name="Comma 4 5 2 2 2 4" xfId="15756" xr:uid="{55686725-D8DF-4E26-A4B2-E020F910FB6C}"/>
    <cellStyle name="Comma 4 5 2 2 2 4 2" xfId="23285" xr:uid="{F892B5E9-EF77-4556-A4B2-AFF9C17CE515}"/>
    <cellStyle name="Comma 4 5 2 2 2 4 3" xfId="47687" xr:uid="{788BCA1D-7628-4715-A835-595923602045}"/>
    <cellStyle name="Comma 4 5 2 2 2 4 4" xfId="52623" xr:uid="{97FF8BD4-6955-4CDE-AB47-19A462A18438}"/>
    <cellStyle name="Comma 4 5 2 2 2 4 5" xfId="55639" xr:uid="{2F58DA14-13B3-40DE-B07B-3F389018EADC}"/>
    <cellStyle name="Comma 4 5 2 2 2 5" xfId="12792" xr:uid="{13844F5B-F5F9-4539-8746-D76899334CBF}"/>
    <cellStyle name="Comma 4 5 2 2 2 5 2" xfId="25055" xr:uid="{783D6223-C0DE-48A9-B0C7-AE6854059EB4}"/>
    <cellStyle name="Comma 4 5 2 2 2 5 3" xfId="51192" xr:uid="{CA959216-1E8F-4C8B-915C-A9E7BB0A2048}"/>
    <cellStyle name="Comma 4 5 2 2 2 5 4" xfId="54208" xr:uid="{804DB904-F7DB-4C9C-9C58-9C010BFF394A}"/>
    <cellStyle name="Comma 4 5 2 2 2 6" xfId="48157" xr:uid="{E84A7E23-6613-4006-96D6-A14DCB66A40C}"/>
    <cellStyle name="Comma 4 5 2 2 2 7" xfId="50086" xr:uid="{B3EB0567-ED3D-4954-8595-4F7624C60EAA}"/>
    <cellStyle name="Comma 4 5 2 2 2 8" xfId="53102" xr:uid="{903E6D55-F113-43E0-A962-8CE0849AC90C}"/>
    <cellStyle name="Comma 4 5 2 2 3" xfId="14572" xr:uid="{2CE3501C-7605-40E8-9AA0-17822234E76B}"/>
    <cellStyle name="Comma 4 5 2 2 3 2" xfId="22119" xr:uid="{86C97CCF-2BCE-4020-8F01-3645DA09098D}"/>
    <cellStyle name="Comma 4 5 2 2 3 3" xfId="46401" xr:uid="{32A96F34-B181-4CC0-9030-ACF63D552B5D}"/>
    <cellStyle name="Comma 4 5 2 2 3 4" xfId="51457" xr:uid="{3F702167-6A67-4425-9D94-4D95B457532F}"/>
    <cellStyle name="Comma 4 5 2 2 3 5" xfId="54473" xr:uid="{D2B9100C-715B-46C0-9372-BDAE8F7F8A82}"/>
    <cellStyle name="Comma 4 5 2 2 4" xfId="15056" xr:uid="{A1E64F2A-91C8-4A73-8D7E-3E52F3216067}"/>
    <cellStyle name="Comma 4 5 2 2 4 2" xfId="22596" xr:uid="{DC2FFE21-EE14-40AC-A423-14EB18DE9801}"/>
    <cellStyle name="Comma 4 5 2 2 4 3" xfId="48245" xr:uid="{BF9BBDDB-06A1-4620-B712-FD3429432B40}"/>
    <cellStyle name="Comma 4 5 2 2 4 4" xfId="51934" xr:uid="{4AEC0024-2469-4B76-8A9E-E85A99EBEA71}"/>
    <cellStyle name="Comma 4 5 2 2 4 5" xfId="54950" xr:uid="{7C8E3C79-2C9A-461B-9138-B472D0B054D0}"/>
    <cellStyle name="Comma 4 5 2 2 5" xfId="15543" xr:uid="{58F6C3B6-9BE8-4E4A-A2AA-4F783BBD4DEB}"/>
    <cellStyle name="Comma 4 5 2 2 5 2" xfId="23073" xr:uid="{C900CE67-B436-480A-888F-FB748808A595}"/>
    <cellStyle name="Comma 4 5 2 2 5 3" xfId="46548" xr:uid="{27F1E22F-9238-4C43-9962-7432021C7377}"/>
    <cellStyle name="Comma 4 5 2 2 5 4" xfId="52411" xr:uid="{07AE2DA2-23EF-4F26-B2D1-EE87ADFD6BA1}"/>
    <cellStyle name="Comma 4 5 2 2 5 5" xfId="55427" xr:uid="{A543C17D-AC80-4A23-A38D-1AFCC3DB7084}"/>
    <cellStyle name="Comma 4 5 2 2 6" xfId="12491" xr:uid="{E5C887AE-39AC-4B55-897D-35A4D1ADA496}"/>
    <cellStyle name="Comma 4 5 2 2 6 2" xfId="47316" xr:uid="{2BB424E5-593B-4186-ACF7-4681BF674D15}"/>
    <cellStyle name="Comma 4 5 2 2 6 3" xfId="50980" xr:uid="{31E1DFB5-918D-49DA-8BCC-3A6C73C9EF4A}"/>
    <cellStyle name="Comma 4 5 2 2 6 4" xfId="53996" xr:uid="{6064C90F-2BAE-4FCC-B356-A03D01EE3C54}"/>
    <cellStyle name="Comma 4 5 2 2 7" xfId="48149" xr:uid="{6DC6CF2E-A623-4712-BE7B-59FD8AE26166}"/>
    <cellStyle name="Comma 4 5 2 2 8" xfId="49874" xr:uid="{2957EDF8-A4AB-47A4-9B0B-48D901C0B217}"/>
    <cellStyle name="Comma 4 5 2 2 9" xfId="52890" xr:uid="{05BB9952-E743-42E5-AFAF-D04A3456631A}"/>
    <cellStyle name="Comma 4 5 2 3" xfId="10105" xr:uid="{9B95116A-4F3E-400F-8AAC-1A35BEF78D44}"/>
    <cellStyle name="Comma 4 5 2 3 2" xfId="10418" xr:uid="{FB82B6C1-A5AF-4A4F-98B5-7E325D76A4DB}"/>
    <cellStyle name="Comma 4 5 2 3 2 2" xfId="14837" xr:uid="{1BB42DC3-BD42-4E66-A41B-FBF783E0A23E}"/>
    <cellStyle name="Comma 4 5 2 3 2 2 2" xfId="22384" xr:uid="{E1FD5CCB-6D73-4F8A-8104-4053DB197A33}"/>
    <cellStyle name="Comma 4 5 2 3 2 2 3" xfId="24187" xr:uid="{12B4783C-C7C4-4C28-BD86-058414FB74C2}"/>
    <cellStyle name="Comma 4 5 2 3 2 2 4" xfId="51722" xr:uid="{38655785-E3C6-484B-BBDA-8D2FF406C275}"/>
    <cellStyle name="Comma 4 5 2 3 2 2 5" xfId="54738" xr:uid="{EFAF67BD-ACED-4CDC-A76D-01FADB1BD5F8}"/>
    <cellStyle name="Comma 4 5 2 3 2 3" xfId="15322" xr:uid="{6F842FA3-A759-4326-9838-391469DE080D}"/>
    <cellStyle name="Comma 4 5 2 3 2 3 2" xfId="22861" xr:uid="{EA83D676-2A6E-47B8-876F-58E987BE965C}"/>
    <cellStyle name="Comma 4 5 2 3 2 3 3" xfId="46907" xr:uid="{7B6B7EF7-B38F-42ED-A60D-E37577662540}"/>
    <cellStyle name="Comma 4 5 2 3 2 3 4" xfId="52199" xr:uid="{D7062F19-5CD1-4246-A7B2-D4E1B04F5D01}"/>
    <cellStyle name="Comma 4 5 2 3 2 3 5" xfId="55215" xr:uid="{E8EC1B07-9787-4FA9-B63B-B507462ED6C3}"/>
    <cellStyle name="Comma 4 5 2 3 2 4" xfId="15809" xr:uid="{06E16737-0C08-4223-8C24-6ACA7F932F72}"/>
    <cellStyle name="Comma 4 5 2 3 2 4 2" xfId="23338" xr:uid="{AF395444-0751-4F83-8362-AA10C1ADC17A}"/>
    <cellStyle name="Comma 4 5 2 3 2 4 3" xfId="47794" xr:uid="{E82B00C3-3345-4D23-A384-BF252FF89868}"/>
    <cellStyle name="Comma 4 5 2 3 2 4 4" xfId="52676" xr:uid="{B0714058-A334-4C09-BAD4-F7BB9D6B7EC1}"/>
    <cellStyle name="Comma 4 5 2 3 2 4 5" xfId="55692" xr:uid="{FD599631-AA56-427F-BCE9-2FD4CDB822F0}"/>
    <cellStyle name="Comma 4 5 2 3 2 5" xfId="12871" xr:uid="{CC46FA08-A8CA-48C8-B221-F1D7A61CE653}"/>
    <cellStyle name="Comma 4 5 2 3 2 5 2" xfId="48203" xr:uid="{5911A259-8A12-470C-8C02-DEE17DB417ED}"/>
    <cellStyle name="Comma 4 5 2 3 2 5 3" xfId="51245" xr:uid="{CA710BD2-7FF5-464E-ABE1-0B6804FBF3CE}"/>
    <cellStyle name="Comma 4 5 2 3 2 5 4" xfId="54261" xr:uid="{AAAFCC7B-34B0-4B64-906C-5DDDD25261DA}"/>
    <cellStyle name="Comma 4 5 2 3 2 6" xfId="47288" xr:uid="{24FEB12C-E0B2-4C67-8BFA-34DA82952A69}"/>
    <cellStyle name="Comma 4 5 2 3 2 7" xfId="50139" xr:uid="{2EDBDE2A-1E9D-433C-AD80-2BAF2FBB53DC}"/>
    <cellStyle name="Comma 4 5 2 3 2 8" xfId="53155" xr:uid="{E0DFFD72-56DA-4B40-8BE3-18BF6D536EDE}"/>
    <cellStyle name="Comma 4 5 2 3 3" xfId="14625" xr:uid="{3EBDF536-81B0-43C6-8F41-E4B33803F859}"/>
    <cellStyle name="Comma 4 5 2 3 3 2" xfId="22172" xr:uid="{72F69DD7-C5A6-40AD-8A8B-E0184B644F6C}"/>
    <cellStyle name="Comma 4 5 2 3 3 3" xfId="47237" xr:uid="{69BBF0AB-EC49-41F8-9C9A-FD80264379A7}"/>
    <cellStyle name="Comma 4 5 2 3 3 4" xfId="51510" xr:uid="{9CFF037B-54D2-4954-861A-5C23E2D44D29}"/>
    <cellStyle name="Comma 4 5 2 3 3 5" xfId="54526" xr:uid="{1880EC98-C171-42A2-A40D-7A2087B9F44E}"/>
    <cellStyle name="Comma 4 5 2 3 4" xfId="15110" xr:uid="{4D12CBB8-AF70-4548-885D-34EF7B21F97E}"/>
    <cellStyle name="Comma 4 5 2 3 4 2" xfId="22649" xr:uid="{BAA8CB58-975A-4E74-8485-3F6AB0716E81}"/>
    <cellStyle name="Comma 4 5 2 3 4 3" xfId="47780" xr:uid="{15CAD9F5-8685-4C04-A5E0-9306A268424A}"/>
    <cellStyle name="Comma 4 5 2 3 4 4" xfId="51987" xr:uid="{594BD75C-1A39-482C-B147-4CAF3022779B}"/>
    <cellStyle name="Comma 4 5 2 3 4 5" xfId="55003" xr:uid="{7139620C-3F67-4673-8F0E-0B52E6596281}"/>
    <cellStyle name="Comma 4 5 2 3 5" xfId="15597" xr:uid="{8948D123-9CB4-46EC-A7CB-3F50F3152758}"/>
    <cellStyle name="Comma 4 5 2 3 5 2" xfId="23126" xr:uid="{760286E0-AA9E-4D76-8307-59A1A9F5F019}"/>
    <cellStyle name="Comma 4 5 2 3 5 3" xfId="48079" xr:uid="{437E6C2D-ACCC-46CC-9124-408A589B8247}"/>
    <cellStyle name="Comma 4 5 2 3 5 4" xfId="52464" xr:uid="{12B889F1-7528-476E-B44D-7744AC1F3A01}"/>
    <cellStyle name="Comma 4 5 2 3 5 5" xfId="55480" xr:uid="{E167E2FB-A386-4446-A6AE-BFB95DAA5DD5}"/>
    <cellStyle name="Comma 4 5 2 3 6" xfId="12562" xr:uid="{58DFAB86-6A04-4BE6-B474-F6D424BCAE35}"/>
    <cellStyle name="Comma 4 5 2 3 6 2" xfId="25079" xr:uid="{1CCAB8FA-95B9-4894-B044-0A87FB807669}"/>
    <cellStyle name="Comma 4 5 2 3 6 3" xfId="51033" xr:uid="{10CE2818-9EBF-45EB-94ED-C48D950F20BD}"/>
    <cellStyle name="Comma 4 5 2 3 6 4" xfId="54049" xr:uid="{CD08C89E-1834-4E9E-9C4F-77BBD38064BB}"/>
    <cellStyle name="Comma 4 5 2 3 7" xfId="46048" xr:uid="{69FE4C3C-458F-4E19-9386-31BE6DDC17B5}"/>
    <cellStyle name="Comma 4 5 2 3 8" xfId="49927" xr:uid="{A64D8D49-470B-4455-BC8E-BFFA40B349B5}"/>
    <cellStyle name="Comma 4 5 2 3 9" xfId="52943" xr:uid="{DBB181C7-6E29-45B1-BBD4-0C68C2EA43B4}"/>
    <cellStyle name="Comma 4 5 2 4" xfId="10184" xr:uid="{5D71DBAF-4825-435D-939A-31CE994D58B5}"/>
    <cellStyle name="Comma 4 5 2 4 2" xfId="10498" xr:uid="{64A239FA-AB64-4220-A832-4E2F7E09C172}"/>
    <cellStyle name="Comma 4 5 2 4 2 2" xfId="14890" xr:uid="{D60B8C7D-EB5D-484E-B2CC-AB80091DB633}"/>
    <cellStyle name="Comma 4 5 2 4 2 2 2" xfId="22437" xr:uid="{FA90E7F0-FEB8-48D2-9657-82DAFE802F74}"/>
    <cellStyle name="Comma 4 5 2 4 2 2 3" xfId="46451" xr:uid="{E9E0EC98-8ACB-442C-9ABF-45249745CCD1}"/>
    <cellStyle name="Comma 4 5 2 4 2 2 4" xfId="51775" xr:uid="{277A19D7-2664-4ACC-8C43-9C6F79241995}"/>
    <cellStyle name="Comma 4 5 2 4 2 2 5" xfId="54791" xr:uid="{C8098D0F-7E1B-405D-898A-F8DE0CB3C731}"/>
    <cellStyle name="Comma 4 5 2 4 2 3" xfId="15375" xr:uid="{D3339863-041B-49A0-8A37-A61853EB80B5}"/>
    <cellStyle name="Comma 4 5 2 4 2 3 2" xfId="22914" xr:uid="{EA3776AD-983D-471C-976B-3C3733CB2353}"/>
    <cellStyle name="Comma 4 5 2 4 2 3 3" xfId="47131" xr:uid="{88ECFD1B-E317-4949-9182-2F4868EC64F5}"/>
    <cellStyle name="Comma 4 5 2 4 2 3 4" xfId="52252" xr:uid="{13945469-2C1C-43AE-921D-F15D5AC0ADC0}"/>
    <cellStyle name="Comma 4 5 2 4 2 3 5" xfId="55268" xr:uid="{6D1892E6-CF22-4A8F-AD56-5B90345F1193}"/>
    <cellStyle name="Comma 4 5 2 4 2 4" xfId="15862" xr:uid="{C4140398-DBAB-4F5B-8B4E-E8FDE439BE1D}"/>
    <cellStyle name="Comma 4 5 2 4 2 4 2" xfId="23391" xr:uid="{791A2659-20DE-495F-9E37-F1F4181FCAC5}"/>
    <cellStyle name="Comma 4 5 2 4 2 4 3" xfId="48268" xr:uid="{6707C9BF-DFEF-4B85-969D-BC6E0EF1A1A7}"/>
    <cellStyle name="Comma 4 5 2 4 2 4 4" xfId="52729" xr:uid="{6F838665-A229-4982-888D-9F94F7F087C2}"/>
    <cellStyle name="Comma 4 5 2 4 2 4 5" xfId="55745" xr:uid="{A91DE5A3-79D2-45FB-AD8D-BF2CDFD4B072}"/>
    <cellStyle name="Comma 4 5 2 4 2 5" xfId="12951" xr:uid="{CC7BA2C0-19D8-488E-B261-671AE8C3BD64}"/>
    <cellStyle name="Comma 4 5 2 4 2 5 2" xfId="48345" xr:uid="{7EE7C0A4-C0C1-467D-B4E8-A35409373107}"/>
    <cellStyle name="Comma 4 5 2 4 2 5 3" xfId="51298" xr:uid="{40131D1F-9ACB-4C46-8040-043773DD7242}"/>
    <cellStyle name="Comma 4 5 2 4 2 5 4" xfId="54314" xr:uid="{7BE6AC00-791D-4E8E-9CDC-A03DD38B2523}"/>
    <cellStyle name="Comma 4 5 2 4 2 6" xfId="24263" xr:uid="{2FB6DE95-11B4-4688-B9DF-10B8C2992997}"/>
    <cellStyle name="Comma 4 5 2 4 2 7" xfId="50192" xr:uid="{001142A4-2692-4C54-8EDD-54AA3E0F66CC}"/>
    <cellStyle name="Comma 4 5 2 4 2 8" xfId="53208" xr:uid="{B6AFE886-ACA8-4D66-AC59-EEA966615E88}"/>
    <cellStyle name="Comma 4 5 2 4 3" xfId="14678" xr:uid="{C809FEA9-5E99-401E-BE5B-7FF6CDFB58A8}"/>
    <cellStyle name="Comma 4 5 2 4 3 2" xfId="22225" xr:uid="{5162DDCC-DAEF-4127-AB7C-F000B730E5C6}"/>
    <cellStyle name="Comma 4 5 2 4 3 3" xfId="46416" xr:uid="{D7319CE6-A809-4C34-AFA1-D485B7D4A4D2}"/>
    <cellStyle name="Comma 4 5 2 4 3 4" xfId="51563" xr:uid="{AE459B16-C6FE-46E1-BB14-8C588580A898}"/>
    <cellStyle name="Comma 4 5 2 4 3 5" xfId="54579" xr:uid="{26AD11F7-B738-495A-BA16-B581A9A90626}"/>
    <cellStyle name="Comma 4 5 2 4 4" xfId="15163" xr:uid="{E76037B0-4975-4CF3-BA09-176F7DBFDF6D}"/>
    <cellStyle name="Comma 4 5 2 4 4 2" xfId="22702" xr:uid="{3D87B095-1504-4A0C-A72C-3198D807B56D}"/>
    <cellStyle name="Comma 4 5 2 4 4 3" xfId="46490" xr:uid="{8B172676-7A2C-451A-AAD1-1DD26EDDF19D}"/>
    <cellStyle name="Comma 4 5 2 4 4 4" xfId="52040" xr:uid="{186ACC72-267F-4EBE-A70A-1C32ACE5DF7C}"/>
    <cellStyle name="Comma 4 5 2 4 4 5" xfId="55056" xr:uid="{21DA1D77-4695-427A-8CBD-D852449BB491}"/>
    <cellStyle name="Comma 4 5 2 4 5" xfId="15650" xr:uid="{11361467-F145-4603-84E0-1EF3B354D4F9}"/>
    <cellStyle name="Comma 4 5 2 4 5 2" xfId="23179" xr:uid="{D526D73D-F7D8-4E79-AD7F-619E2654689C}"/>
    <cellStyle name="Comma 4 5 2 4 5 3" xfId="48422" xr:uid="{0C4C16DD-F15D-4955-A3A9-8CD8DD94304F}"/>
    <cellStyle name="Comma 4 5 2 4 5 4" xfId="52517" xr:uid="{DFDA3E9C-AACE-4BD4-AA55-577372F83440}"/>
    <cellStyle name="Comma 4 5 2 4 5 5" xfId="55533" xr:uid="{EA8EFF75-E09E-49AD-BE3F-11374B232E9E}"/>
    <cellStyle name="Comma 4 5 2 4 6" xfId="12638" xr:uid="{1435D3C8-C425-43FD-8F56-F48D93E35359}"/>
    <cellStyle name="Comma 4 5 2 4 6 2" xfId="48337" xr:uid="{4620843B-8283-4A37-9641-11152C780B4D}"/>
    <cellStyle name="Comma 4 5 2 4 6 3" xfId="51086" xr:uid="{FC5D98A6-BF85-4398-9AB1-4C15D5F6C887}"/>
    <cellStyle name="Comma 4 5 2 4 6 4" xfId="54102" xr:uid="{23F74E51-D58C-4D0B-84D9-57506ABDF8B5}"/>
    <cellStyle name="Comma 4 5 2 4 7" xfId="46063" xr:uid="{D9D39305-A7D6-4C74-9A8E-00BC59D70EB0}"/>
    <cellStyle name="Comma 4 5 2 4 8" xfId="49980" xr:uid="{3299D21C-3619-449E-88D5-78F948741291}"/>
    <cellStyle name="Comma 4 5 2 4 9" xfId="52996" xr:uid="{C2519529-C0E0-41FC-8B62-15409147D38C}"/>
    <cellStyle name="Comma 4 5 2 5" xfId="10264" xr:uid="{4D9108C6-31B5-4DE0-A05C-DC93E78AEAC2}"/>
    <cellStyle name="Comma 4 5 2 5 2" xfId="14731" xr:uid="{B740592F-7C7A-41AC-B919-D2A9228FA259}"/>
    <cellStyle name="Comma 4 5 2 5 2 2" xfId="22278" xr:uid="{3FAB0F14-8B91-4000-8F96-52B0C366E1A7}"/>
    <cellStyle name="Comma 4 5 2 5 2 3" xfId="48062" xr:uid="{506E47F4-72ED-4943-B064-84FE96ACF727}"/>
    <cellStyle name="Comma 4 5 2 5 2 4" xfId="51616" xr:uid="{BCFC0D8D-B3D4-4182-AABD-7A69EA512A23}"/>
    <cellStyle name="Comma 4 5 2 5 2 5" xfId="54632" xr:uid="{8841BB48-04E9-429E-B84C-85E770A5DCCA}"/>
    <cellStyle name="Comma 4 5 2 5 3" xfId="15216" xr:uid="{6E05CAE1-62A4-4448-BA02-115D87127F29}"/>
    <cellStyle name="Comma 4 5 2 5 3 2" xfId="22755" xr:uid="{BD0C8541-5D9D-49CA-8418-8A4E72E9FD6D}"/>
    <cellStyle name="Comma 4 5 2 5 3 3" xfId="48125" xr:uid="{571E98BB-F1A7-4F57-AE0D-6FB4BF2790C7}"/>
    <cellStyle name="Comma 4 5 2 5 3 4" xfId="52093" xr:uid="{606D3B5F-0A8A-436F-8F81-1C766793AFD3}"/>
    <cellStyle name="Comma 4 5 2 5 3 5" xfId="55109" xr:uid="{B256A4B1-B32E-4C23-B2DA-7EEABA7DB9DC}"/>
    <cellStyle name="Comma 4 5 2 5 4" xfId="15703" xr:uid="{8FBC7DA2-7418-4D6B-B054-623BC68C3D30}"/>
    <cellStyle name="Comma 4 5 2 5 4 2" xfId="23232" xr:uid="{06D65883-C260-4D6D-ABB6-D49AE284CAED}"/>
    <cellStyle name="Comma 4 5 2 5 4 3" xfId="47456" xr:uid="{502205E2-0585-4200-8C4E-146C3D808B3E}"/>
    <cellStyle name="Comma 4 5 2 5 4 4" xfId="52570" xr:uid="{9FABBDE7-9143-4102-9AC5-5441908819D9}"/>
    <cellStyle name="Comma 4 5 2 5 4 5" xfId="55586" xr:uid="{E8371685-496F-4ECD-8C03-BF2227B79CAE}"/>
    <cellStyle name="Comma 4 5 2 5 5" xfId="12717" xr:uid="{B2A98A76-D811-4D21-A946-E06F61222500}"/>
    <cellStyle name="Comma 4 5 2 5 5 2" xfId="37489" xr:uid="{BC1A5B5A-2CA9-4881-9E1A-0D8764B01211}"/>
    <cellStyle name="Comma 4 5 2 5 5 3" xfId="51139" xr:uid="{455016ED-806C-4678-8B93-757D6BD2879E}"/>
    <cellStyle name="Comma 4 5 2 5 5 4" xfId="54155" xr:uid="{84D59DED-64B2-4C13-8760-7B78E6CB9385}"/>
    <cellStyle name="Comma 4 5 2 5 6" xfId="48452" xr:uid="{94149962-4CE4-4DC1-A052-92C02D41B702}"/>
    <cellStyle name="Comma 4 5 2 5 7" xfId="50033" xr:uid="{EBB79D2D-6ECF-4523-8ECD-AB716646BBB7}"/>
    <cellStyle name="Comma 4 5 2 5 8" xfId="53049" xr:uid="{3B800531-2FE8-4BBC-BAB0-DB26F39FE8C7}"/>
    <cellStyle name="Comma 4 5 2 6" xfId="10578" xr:uid="{F3846D05-D7ED-49EC-AEFA-40C73BF6FE39}"/>
    <cellStyle name="Comma 4 5 2 6 2" xfId="14943" xr:uid="{3FCB25E3-E14C-4ACC-8F5E-DF9A64E08BAF}"/>
    <cellStyle name="Comma 4 5 2 6 2 2" xfId="22490" xr:uid="{8BE581C4-48C5-424C-A7AE-DC3D084326A1}"/>
    <cellStyle name="Comma 4 5 2 6 2 3" xfId="32520" xr:uid="{A078C9CC-9AA4-46FD-9CEB-643637FE07CE}"/>
    <cellStyle name="Comma 4 5 2 6 2 4" xfId="51828" xr:uid="{A5347349-5FCB-49F8-8305-FDDDC405A22D}"/>
    <cellStyle name="Comma 4 5 2 6 2 5" xfId="54844" xr:uid="{2329F3A8-93BB-4F58-BF43-56B7EC71DA96}"/>
    <cellStyle name="Comma 4 5 2 6 3" xfId="15428" xr:uid="{F36109A1-82E2-47DC-8055-5229FA0A7BCF}"/>
    <cellStyle name="Comma 4 5 2 6 3 2" xfId="22967" xr:uid="{5FC48F07-D43F-4498-BFB9-F25B74F046A4}"/>
    <cellStyle name="Comma 4 5 2 6 3 3" xfId="46692" xr:uid="{F055CEAC-E876-4262-B567-DC9E61EC1F6A}"/>
    <cellStyle name="Comma 4 5 2 6 3 4" xfId="52305" xr:uid="{92F0135A-E586-4FFB-93CD-21DA49EC6C94}"/>
    <cellStyle name="Comma 4 5 2 6 3 5" xfId="55321" xr:uid="{33C5FFC9-C35D-4990-87B4-0BBE7B5486C2}"/>
    <cellStyle name="Comma 4 5 2 6 4" xfId="15916" xr:uid="{F355DCC4-498C-4308-9E4E-A411AA1061DA}"/>
    <cellStyle name="Comma 4 5 2 6 4 2" xfId="23444" xr:uid="{49FC0458-213D-4ACE-BB32-22C2378052F9}"/>
    <cellStyle name="Comma 4 5 2 6 4 3" xfId="46606" xr:uid="{8A243C94-5705-4497-AD93-3019C018B665}"/>
    <cellStyle name="Comma 4 5 2 6 4 4" xfId="52782" xr:uid="{B8C3178A-5433-4539-B91B-BD7329E0128A}"/>
    <cellStyle name="Comma 4 5 2 6 4 5" xfId="55798" xr:uid="{AE42E70B-E109-4FBC-8677-7856ACF7D9C1}"/>
    <cellStyle name="Comma 4 5 2 6 5" xfId="13031" xr:uid="{3CC5FEDB-EC2A-427D-B03A-B8B659177B2D}"/>
    <cellStyle name="Comma 4 5 2 6 5 2" xfId="46823" xr:uid="{545EC74D-812C-4DBB-B5EB-AD58A85FB58E}"/>
    <cellStyle name="Comma 4 5 2 6 5 3" xfId="51351" xr:uid="{AAE7FC25-2D94-4041-8D6C-FBB07653C081}"/>
    <cellStyle name="Comma 4 5 2 6 5 4" xfId="54367" xr:uid="{26032F0F-15B0-4404-9724-53F48B2F176A}"/>
    <cellStyle name="Comma 4 5 2 6 6" xfId="46154" xr:uid="{DC2520BD-C7C8-4124-8A44-7A541FA71913}"/>
    <cellStyle name="Comma 4 5 2 6 7" xfId="50245" xr:uid="{2F1BD1FF-9F9A-4586-87E8-4A31DA142CB5}"/>
    <cellStyle name="Comma 4 5 2 6 8" xfId="53261" xr:uid="{BA8A91E8-ADDB-4FCE-8895-465BFCFEA4A4}"/>
    <cellStyle name="Comma 4 5 2 7" xfId="14519" xr:uid="{465FFD5C-EA24-401F-910A-A5CA6AEF3B83}"/>
    <cellStyle name="Comma 4 5 2 7 2" xfId="22066" xr:uid="{FB6ABEDD-E9C7-4EB8-8781-FCF2FC178AC1}"/>
    <cellStyle name="Comma 4 5 2 7 3" xfId="47768" xr:uid="{648D8E94-C705-4C4B-B3B2-5C668E7179A9}"/>
    <cellStyle name="Comma 4 5 2 7 4" xfId="51404" xr:uid="{BC78DD7D-919E-44F3-AE32-2164E33BAB4B}"/>
    <cellStyle name="Comma 4 5 2 7 5" xfId="54420" xr:uid="{B82B24EC-9DAD-4D4A-A90D-F39E5221CEEB}"/>
    <cellStyle name="Comma 4 5 2 8" xfId="15003" xr:uid="{56BDCA45-BA07-4BAE-923B-4619621323C0}"/>
    <cellStyle name="Comma 4 5 2 8 2" xfId="22543" xr:uid="{E27C7288-910C-4F1E-B312-691FC3B5B88C}"/>
    <cellStyle name="Comma 4 5 2 8 3" xfId="48413" xr:uid="{3474B844-4B43-4B74-8E87-9DD9C03D13E4}"/>
    <cellStyle name="Comma 4 5 2 8 4" xfId="51881" xr:uid="{C8BEE1F7-8CE8-4E1A-91B8-33E579B56717}"/>
    <cellStyle name="Comma 4 5 2 8 5" xfId="54897" xr:uid="{8892FA21-F535-4094-9D0A-BDDF218AA1B7}"/>
    <cellStyle name="Comma 4 5 2 9" xfId="15490" xr:uid="{BC405102-7457-4271-B8E8-38CEEF021A4E}"/>
    <cellStyle name="Comma 4 5 2 9 2" xfId="23020" xr:uid="{907C4DC8-0608-4F33-BD2E-8226D311B5B5}"/>
    <cellStyle name="Comma 4 5 2 9 3" xfId="47995" xr:uid="{3E7BDA8B-B8E0-4335-A109-EB0BCA515854}"/>
    <cellStyle name="Comma 4 5 2 9 4" xfId="52358" xr:uid="{650B4333-0B43-4552-B94A-CB99D2DB2E4F}"/>
    <cellStyle name="Comma 4 5 2 9 5" xfId="55374" xr:uid="{E48D1584-306F-4877-9D92-034D3993C1CF}"/>
    <cellStyle name="Comma 4 5 20" xfId="8943" xr:uid="{A8411680-103B-4F6C-826F-678E6F43895B}"/>
    <cellStyle name="Comma 4 5 3" xfId="10030" xr:uid="{775A0505-4F3D-477B-8CB4-FECE06F76E74}"/>
    <cellStyle name="Comma 4 5 3 2" xfId="10338" xr:uid="{3CE42433-9C08-46E7-8C23-D42D0FD77ED1}"/>
    <cellStyle name="Comma 4 5 3 2 2" xfId="14783" xr:uid="{8BBF7D55-5CAA-4D4C-9A3A-C58ED788B64E}"/>
    <cellStyle name="Comma 4 5 3 2 2 2" xfId="22330" xr:uid="{C505E2B5-2314-4310-B226-B86AE325E403}"/>
    <cellStyle name="Comma 4 5 3 2 2 3" xfId="48536" xr:uid="{96E17D6F-737A-450D-8F8A-091B52F8C9D3}"/>
    <cellStyle name="Comma 4 5 3 2 2 4" xfId="51668" xr:uid="{6A2F2870-D6F6-4F72-9C44-70887A9FA7F8}"/>
    <cellStyle name="Comma 4 5 3 2 2 5" xfId="54684" xr:uid="{E168783B-FBF4-49D5-AE8A-9CE9379A923F}"/>
    <cellStyle name="Comma 4 5 3 2 3" xfId="15268" xr:uid="{EF1516BC-D3BA-4CFE-9008-68A822053443}"/>
    <cellStyle name="Comma 4 5 3 2 3 2" xfId="22807" xr:uid="{D7BC373B-A4B9-46E4-8F1C-437D565C3312}"/>
    <cellStyle name="Comma 4 5 3 2 3 3" xfId="48512" xr:uid="{1D824CE9-470B-4ABB-8B28-EC157C704CBB}"/>
    <cellStyle name="Comma 4 5 3 2 3 4" xfId="52145" xr:uid="{5C688371-B7C8-404B-9D9B-264D9168E111}"/>
    <cellStyle name="Comma 4 5 3 2 3 5" xfId="55161" xr:uid="{40A15272-04B4-421C-8416-56E484176F81}"/>
    <cellStyle name="Comma 4 5 3 2 4" xfId="15755" xr:uid="{5434A4A5-7BDB-4122-9E07-ABB6B7801100}"/>
    <cellStyle name="Comma 4 5 3 2 4 2" xfId="23284" xr:uid="{44466BD4-2F6A-4E9B-AF26-6A5B87B29D9E}"/>
    <cellStyle name="Comma 4 5 3 2 4 3" xfId="47003" xr:uid="{AC3BD263-FD50-46A6-B298-394EF9B6425C}"/>
    <cellStyle name="Comma 4 5 3 2 4 4" xfId="52622" xr:uid="{F6838FB8-4965-4B39-9E90-AED890FB6B5D}"/>
    <cellStyle name="Comma 4 5 3 2 4 5" xfId="55638" xr:uid="{05FCE8AC-AA46-4DF7-B6BB-A2263E6F75D2}"/>
    <cellStyle name="Comma 4 5 3 2 5" xfId="12791" xr:uid="{3780A734-B5D2-4A22-9D19-B97A0F0C223E}"/>
    <cellStyle name="Comma 4 5 3 2 5 2" xfId="46353" xr:uid="{F7222335-B9DD-482A-ADBE-D5A3C1A626D0}"/>
    <cellStyle name="Comma 4 5 3 2 5 3" xfId="51191" xr:uid="{1FAAB504-BC90-4E39-BF2E-743EC2AD5047}"/>
    <cellStyle name="Comma 4 5 3 2 5 4" xfId="54207" xr:uid="{4340E647-DDD2-42CA-942D-BBFEF65BA7BB}"/>
    <cellStyle name="Comma 4 5 3 2 6" xfId="46090" xr:uid="{F0815B45-B6C0-463B-9B78-14768A26E445}"/>
    <cellStyle name="Comma 4 5 3 2 7" xfId="50085" xr:uid="{872502FF-888C-4303-86A4-F3CD0B8A3D69}"/>
    <cellStyle name="Comma 4 5 3 2 8" xfId="53101" xr:uid="{E98C3AB3-CAED-4A5F-9641-9AEB9E04B002}"/>
    <cellStyle name="Comma 4 5 3 3" xfId="14571" xr:uid="{BA8DF413-3D71-4FA3-8129-9C00F64016FB}"/>
    <cellStyle name="Comma 4 5 3 3 2" xfId="22118" xr:uid="{60584EA3-3D4E-461A-85DB-065BEA326051}"/>
    <cellStyle name="Comma 4 5 3 3 3" xfId="46400" xr:uid="{A07B61CD-92F0-40DE-B714-26FB740FAA19}"/>
    <cellStyle name="Comma 4 5 3 3 4" xfId="51456" xr:uid="{8A6CDF7D-FE21-4BCF-8B76-B8168BF0246F}"/>
    <cellStyle name="Comma 4 5 3 3 5" xfId="54472" xr:uid="{554F1648-9208-497B-A2C4-1EBFB7AE30EF}"/>
    <cellStyle name="Comma 4 5 3 4" xfId="15055" xr:uid="{88ABF9FA-4A74-449C-A1F9-D756DC8B828E}"/>
    <cellStyle name="Comma 4 5 3 4 2" xfId="22595" xr:uid="{CEF141DE-7F67-4A25-8C0B-85E1C3B0CB78}"/>
    <cellStyle name="Comma 4 5 3 4 3" xfId="33168" xr:uid="{41ABB741-B804-4540-85AD-B957F50DDCFB}"/>
    <cellStyle name="Comma 4 5 3 4 4" xfId="51933" xr:uid="{78D6636D-5745-42F4-99F2-0EA5F628435B}"/>
    <cellStyle name="Comma 4 5 3 4 5" xfId="54949" xr:uid="{3893D5AD-FECD-4253-B69F-9FE61C1F43F3}"/>
    <cellStyle name="Comma 4 5 3 5" xfId="15542" xr:uid="{96F81746-91A2-4A79-9D0D-CAD1BF32530B}"/>
    <cellStyle name="Comma 4 5 3 5 2" xfId="23072" xr:uid="{9164D80B-BC57-4CA7-8787-8BB51DDEAFD1}"/>
    <cellStyle name="Comma 4 5 3 5 3" xfId="47943" xr:uid="{0DC6B39E-4B5D-4D09-824D-8F94912382F4}"/>
    <cellStyle name="Comma 4 5 3 5 4" xfId="52410" xr:uid="{184E6275-AC1C-4306-99C3-2CFA9E611A24}"/>
    <cellStyle name="Comma 4 5 3 5 5" xfId="55426" xr:uid="{63533730-E01D-4AA7-A90D-C5600839BB95}"/>
    <cellStyle name="Comma 4 5 3 6" xfId="12490" xr:uid="{F1A7A9F9-D6D5-436C-9877-8DC69C47F479}"/>
    <cellStyle name="Comma 4 5 3 6 2" xfId="47756" xr:uid="{2AD42A94-B6FF-4AF0-9BD2-3462DA098DDC}"/>
    <cellStyle name="Comma 4 5 3 6 3" xfId="50979" xr:uid="{447FB9EC-C606-4D6D-AAA0-863849D2C194}"/>
    <cellStyle name="Comma 4 5 3 6 4" xfId="53995" xr:uid="{6C46B206-FA24-4279-8C60-ABADD2C5406F}"/>
    <cellStyle name="Comma 4 5 3 7" xfId="46031" xr:uid="{E6D1C0BB-27E1-4608-9A5E-C6A3A5A2DABF}"/>
    <cellStyle name="Comma 4 5 3 8" xfId="49873" xr:uid="{C146BA2E-0B32-4BB0-97E3-55194A2982ED}"/>
    <cellStyle name="Comma 4 5 3 9" xfId="52889" xr:uid="{7D45D85A-7F13-41D1-A90E-6A9DCF488C74}"/>
    <cellStyle name="Comma 4 5 4" xfId="10104" xr:uid="{86A3C6D8-5F80-441A-B70C-5D1F5E7C11E0}"/>
    <cellStyle name="Comma 4 5 4 2" xfId="10417" xr:uid="{0DD2A3D7-FA72-452A-84EB-734FCC2B706C}"/>
    <cellStyle name="Comma 4 5 4 2 2" xfId="14836" xr:uid="{6E27F136-C730-4FC0-8754-72FC5B4B5459}"/>
    <cellStyle name="Comma 4 5 4 2 2 2" xfId="22383" xr:uid="{938BDF2B-F78F-4546-9A60-065A94D6FF3F}"/>
    <cellStyle name="Comma 4 5 4 2 2 3" xfId="47183" xr:uid="{E77EDB39-CB8A-4247-ACDD-768EA514F5A0}"/>
    <cellStyle name="Comma 4 5 4 2 2 4" xfId="51721" xr:uid="{DAB90DA8-FC91-4E34-9784-064EF7AB6A70}"/>
    <cellStyle name="Comma 4 5 4 2 2 5" xfId="54737" xr:uid="{F67670DE-5F3B-4235-96F7-49E43E2C4980}"/>
    <cellStyle name="Comma 4 5 4 2 3" xfId="15321" xr:uid="{8E23F887-3201-41FF-B9D2-8AEC2B93FD8A}"/>
    <cellStyle name="Comma 4 5 4 2 3 2" xfId="22860" xr:uid="{44E0E2CF-1C10-4087-8936-0C0B01BA607F}"/>
    <cellStyle name="Comma 4 5 4 2 3 3" xfId="47841" xr:uid="{124F2B3E-96AA-4E51-A26D-5F7384D7DEB1}"/>
    <cellStyle name="Comma 4 5 4 2 3 4" xfId="52198" xr:uid="{BF3370C5-847C-4D9E-991D-C24ADF48B99C}"/>
    <cellStyle name="Comma 4 5 4 2 3 5" xfId="55214" xr:uid="{31A85E7B-5658-4F0C-8C07-5885364EA4F8}"/>
    <cellStyle name="Comma 4 5 4 2 4" xfId="15808" xr:uid="{F2241684-E006-4D1F-838F-7F834558DC0F}"/>
    <cellStyle name="Comma 4 5 4 2 4 2" xfId="23337" xr:uid="{8AC2A5A6-F0B4-4543-970B-FBC3E498D67E}"/>
    <cellStyle name="Comma 4 5 4 2 4 3" xfId="46968" xr:uid="{950C1A0D-858D-42C5-9553-86C503B1E395}"/>
    <cellStyle name="Comma 4 5 4 2 4 4" xfId="52675" xr:uid="{DBB182A1-1C1E-46BA-A2E2-65A88ED9DE4D}"/>
    <cellStyle name="Comma 4 5 4 2 4 5" xfId="55691" xr:uid="{4096FADF-8EA2-4CD0-BE8B-023D4BA77A2E}"/>
    <cellStyle name="Comma 4 5 4 2 5" xfId="12870" xr:uid="{58C8FFD7-77E8-4319-A5EF-CCB9E265987C}"/>
    <cellStyle name="Comma 4 5 4 2 5 2" xfId="24688" xr:uid="{C9232BBB-4A46-42BC-84AF-16830B0F932F}"/>
    <cellStyle name="Comma 4 5 4 2 5 3" xfId="51244" xr:uid="{3CD83B36-F694-46E2-8F40-5A47B38CD713}"/>
    <cellStyle name="Comma 4 5 4 2 5 4" xfId="54260" xr:uid="{221E207B-B468-4F1D-BCD2-F19B60FA0A32}"/>
    <cellStyle name="Comma 4 5 4 2 6" xfId="47289" xr:uid="{670C10AC-9816-447A-8660-3D9E90F244DD}"/>
    <cellStyle name="Comma 4 5 4 2 7" xfId="50138" xr:uid="{A6F238E6-2E93-4C92-866E-4AFEE3FE9ED3}"/>
    <cellStyle name="Comma 4 5 4 2 8" xfId="53154" xr:uid="{A4047F02-211E-49E2-884C-7344E274472A}"/>
    <cellStyle name="Comma 4 5 4 3" xfId="14624" xr:uid="{816B5CBB-8BDB-4850-8656-250EEFF78DA6}"/>
    <cellStyle name="Comma 4 5 4 3 2" xfId="22171" xr:uid="{455D5659-79C7-4CA8-B287-64A18A0D2901}"/>
    <cellStyle name="Comma 4 5 4 3 3" xfId="24970" xr:uid="{C104CD5B-C36A-4E26-9E48-491A60904E4F}"/>
    <cellStyle name="Comma 4 5 4 3 4" xfId="51509" xr:uid="{27358AFB-4388-47EA-ABAE-C5C7ADF2A2BC}"/>
    <cellStyle name="Comma 4 5 4 3 5" xfId="54525" xr:uid="{6782B559-C866-4A3C-B58F-DF7547CE2C04}"/>
    <cellStyle name="Comma 4 5 4 4" xfId="15109" xr:uid="{21367D3A-0BC7-434D-B3BF-4DA0D2AAD229}"/>
    <cellStyle name="Comma 4 5 4 4 2" xfId="22648" xr:uid="{75E8350F-BEFA-4BEE-B238-687098FF1C63}"/>
    <cellStyle name="Comma 4 5 4 4 3" xfId="46881" xr:uid="{A9EF0C2A-0E19-4CEF-A6DD-55C9938EE105}"/>
    <cellStyle name="Comma 4 5 4 4 4" xfId="51986" xr:uid="{2FE13520-62A1-4A74-881C-4818A56E7718}"/>
    <cellStyle name="Comma 4 5 4 4 5" xfId="55002" xr:uid="{586CAE3D-5C60-4540-AE0D-787F2DE1D8E2}"/>
    <cellStyle name="Comma 4 5 4 5" xfId="15596" xr:uid="{28BAF873-FCF4-48CE-A0FE-33EAA82D57A8}"/>
    <cellStyle name="Comma 4 5 4 5 2" xfId="23125" xr:uid="{00564708-3C3A-4983-AD5B-356AEEBA4B6F}"/>
    <cellStyle name="Comma 4 5 4 5 3" xfId="46940" xr:uid="{61FEC0DF-794D-458E-82A4-C46D0EDF3426}"/>
    <cellStyle name="Comma 4 5 4 5 4" xfId="52463" xr:uid="{4E18C9B2-97ED-4606-B13D-B2856FEF714A}"/>
    <cellStyle name="Comma 4 5 4 5 5" xfId="55479" xr:uid="{1BA31C33-CA6E-4EBC-9651-9136B0FEB730}"/>
    <cellStyle name="Comma 4 5 4 6" xfId="12561" xr:uid="{2EF519C5-C6FA-4FBF-8335-BB3060ED72E3}"/>
    <cellStyle name="Comma 4 5 4 6 2" xfId="47091" xr:uid="{FE3DB549-5857-4633-8638-E3AD45468B3D}"/>
    <cellStyle name="Comma 4 5 4 6 3" xfId="51032" xr:uid="{6FA907F8-3E1A-4612-BF8E-546112F68BEC}"/>
    <cellStyle name="Comma 4 5 4 6 4" xfId="54048" xr:uid="{32F30897-48D7-474E-A2E8-D9005233B9CC}"/>
    <cellStyle name="Comma 4 5 4 7" xfId="46047" xr:uid="{EE84A112-B8D6-40E4-BD99-207C737D8D8F}"/>
    <cellStyle name="Comma 4 5 4 8" xfId="49926" xr:uid="{21F48A10-2DDC-4960-AC69-70FFB703B2A5}"/>
    <cellStyle name="Comma 4 5 4 9" xfId="52942" xr:uid="{DABCF998-13F3-44DB-828F-4B1C1CD5576B}"/>
    <cellStyle name="Comma 4 5 5" xfId="10183" xr:uid="{E5C774DA-EC81-4566-9061-BC8F44C9B94C}"/>
    <cellStyle name="Comma 4 5 5 2" xfId="10497" xr:uid="{48E8D9AA-AB48-4A1C-9335-25A50EFCD613}"/>
    <cellStyle name="Comma 4 5 5 2 2" xfId="14889" xr:uid="{7B75DB2B-6182-4293-BE53-BF39666D6B27}"/>
    <cellStyle name="Comma 4 5 5 2 2 2" xfId="22436" xr:uid="{18759703-CF6D-4DF8-A9AB-3A617D2F3E4F}"/>
    <cellStyle name="Comma 4 5 5 2 2 3" xfId="46450" xr:uid="{EDD955A6-1492-4173-B138-736D1A8769F6}"/>
    <cellStyle name="Comma 4 5 5 2 2 4" xfId="51774" xr:uid="{985382B3-BE1E-47F1-98F0-15B8EE33C39D}"/>
    <cellStyle name="Comma 4 5 5 2 2 5" xfId="54790" xr:uid="{BA23C235-D570-4FE0-8A82-543B9FD08612}"/>
    <cellStyle name="Comma 4 5 5 2 3" xfId="15374" xr:uid="{26045ADA-54B8-45C1-8D5A-628930DD378A}"/>
    <cellStyle name="Comma 4 5 5 2 3 2" xfId="22913" xr:uid="{86DE0E50-1B0F-4BB5-B86B-0AB67742A1FE}"/>
    <cellStyle name="Comma 4 5 5 2 3 3" xfId="46522" xr:uid="{203A7B58-7138-445C-85EB-FF58BF687769}"/>
    <cellStyle name="Comma 4 5 5 2 3 4" xfId="52251" xr:uid="{652121E7-4D13-49D9-9922-64FD19DEEB5E}"/>
    <cellStyle name="Comma 4 5 5 2 3 5" xfId="55267" xr:uid="{18F6B149-88E1-4C98-AC32-BCCC4F4A39B7}"/>
    <cellStyle name="Comma 4 5 5 2 4" xfId="15861" xr:uid="{AD441D12-B5D7-4579-8FB0-A1C77E95A293}"/>
    <cellStyle name="Comma 4 5 5 2 4 2" xfId="23390" xr:uid="{95CA16E1-074E-40D0-B5A9-8DC5CE04F93D}"/>
    <cellStyle name="Comma 4 5 5 2 4 3" xfId="37441" xr:uid="{61F3A3A7-7DDB-47FC-83DE-CBA7260D5AFC}"/>
    <cellStyle name="Comma 4 5 5 2 4 4" xfId="52728" xr:uid="{DD02274E-5D19-4CED-810A-C9F5B3F65647}"/>
    <cellStyle name="Comma 4 5 5 2 4 5" xfId="55744" xr:uid="{114E68B2-77F4-439F-BA80-D5105CFC3BDA}"/>
    <cellStyle name="Comma 4 5 5 2 5" xfId="12950" xr:uid="{8F223976-4A63-4FD1-AD48-1C9301298DD7}"/>
    <cellStyle name="Comma 4 5 5 2 5 2" xfId="46816" xr:uid="{1A57E200-E7F4-4CE9-9E06-FD227B147881}"/>
    <cellStyle name="Comma 4 5 5 2 5 3" xfId="51297" xr:uid="{37B6A64F-F212-470F-9217-46E21BE1B5CC}"/>
    <cellStyle name="Comma 4 5 5 2 5 4" xfId="54313" xr:uid="{93E91A18-FA49-436D-BDAC-43F2FA1217CA}"/>
    <cellStyle name="Comma 4 5 5 2 6" xfId="46136" xr:uid="{64889D8C-720C-46DE-A84F-8719B8C55253}"/>
    <cellStyle name="Comma 4 5 5 2 7" xfId="50191" xr:uid="{186C1CCD-81ED-4FBE-908F-18FA347FACDB}"/>
    <cellStyle name="Comma 4 5 5 2 8" xfId="53207" xr:uid="{F4F29019-B423-46F8-8538-E3DEA652E968}"/>
    <cellStyle name="Comma 4 5 5 3" xfId="14677" xr:uid="{3926CBEB-7FB4-4F8D-A6DF-53734F75A20C}"/>
    <cellStyle name="Comma 4 5 5 3 2" xfId="22224" xr:uid="{084A7C96-6BCD-4B60-A3EE-F0B04506EEBF}"/>
    <cellStyle name="Comma 4 5 5 3 3" xfId="47331" xr:uid="{3E1EEC2F-920F-4B96-885E-5FDFC44DA8ED}"/>
    <cellStyle name="Comma 4 5 5 3 4" xfId="51562" xr:uid="{2C69B0BA-41A6-42E8-8B29-E52B23967FD9}"/>
    <cellStyle name="Comma 4 5 5 3 5" xfId="54578" xr:uid="{5AECC3F4-BDCE-4F25-848D-42BEF7D837CF}"/>
    <cellStyle name="Comma 4 5 5 4" xfId="15162" xr:uid="{D185E71F-541C-4DAD-BC2F-368634E145BA}"/>
    <cellStyle name="Comma 4 5 5 4 2" xfId="22701" xr:uid="{67E2BCDD-D361-4506-A0BC-0158E9545358}"/>
    <cellStyle name="Comma 4 5 5 4 3" xfId="47340" xr:uid="{069E48C0-2B03-4B29-AAB6-5B7B4EF91D1F}"/>
    <cellStyle name="Comma 4 5 5 4 4" xfId="52039" xr:uid="{C4814477-3BAF-4DE9-BC94-80797908C704}"/>
    <cellStyle name="Comma 4 5 5 4 5" xfId="55055" xr:uid="{7537F510-28D1-4DD4-B1FA-9A4C62560DF5}"/>
    <cellStyle name="Comma 4 5 5 5" xfId="15649" xr:uid="{7C9AAE97-6DE9-4D46-841B-2C5DC24E5D35}"/>
    <cellStyle name="Comma 4 5 5 5 2" xfId="23178" xr:uid="{42159DC3-EA14-4C6B-A6B5-473D65671B22}"/>
    <cellStyle name="Comma 4 5 5 5 3" xfId="24896" xr:uid="{EDD200A5-8D7E-4D0B-8C0C-2D7280246F3E}"/>
    <cellStyle name="Comma 4 5 5 5 4" xfId="52516" xr:uid="{72D64B6C-A6E5-4BD5-97F6-248979D5E7BE}"/>
    <cellStyle name="Comma 4 5 5 5 5" xfId="55532" xr:uid="{A6727116-CFE2-4264-A5EC-6F423573580D}"/>
    <cellStyle name="Comma 4 5 5 6" xfId="12637" xr:uid="{BBF9C3F4-6CED-4DDE-8EC9-03CBDA543DC3}"/>
    <cellStyle name="Comma 4 5 5 6 2" xfId="46778" xr:uid="{65CF396A-5ACF-4FB5-9984-AF801E6E9EDE}"/>
    <cellStyle name="Comma 4 5 5 6 3" xfId="51085" xr:uid="{63ED7E21-7C3A-42B7-9FCA-E7201A526C55}"/>
    <cellStyle name="Comma 4 5 5 6 4" xfId="54101" xr:uid="{0230D978-B0D2-4C27-B6FD-FE7EEC3A9A51}"/>
    <cellStyle name="Comma 4 5 5 7" xfId="48154" xr:uid="{9C253E2D-8C28-4FFC-96EB-8ED06A56E39B}"/>
    <cellStyle name="Comma 4 5 5 8" xfId="49979" xr:uid="{23D8E6DA-0098-4D77-8423-59B9553D64DC}"/>
    <cellStyle name="Comma 4 5 5 9" xfId="52995" xr:uid="{8BAEC773-A86E-4B91-A8EC-9A63E24A80BA}"/>
    <cellStyle name="Comma 4 5 6" xfId="10263" xr:uid="{31061916-DBD5-4057-A59E-07A599FFC734}"/>
    <cellStyle name="Comma 4 5 6 2" xfId="14730" xr:uid="{0495ECC6-3D65-426E-A97E-D36D6AC0A5AF}"/>
    <cellStyle name="Comma 4 5 6 2 2" xfId="22277" xr:uid="{BDD3EB71-E97F-4939-A4B8-5413FFB2AE0F}"/>
    <cellStyle name="Comma 4 5 6 2 3" xfId="46855" xr:uid="{204AB8D8-368D-45A6-9A29-29EB16719F0B}"/>
    <cellStyle name="Comma 4 5 6 2 4" xfId="51615" xr:uid="{A222C499-0BA6-4147-B074-98C3E9E8D02B}"/>
    <cellStyle name="Comma 4 5 6 2 5" xfId="54631" xr:uid="{CAC1C3B5-7882-4E74-8CFE-DF68C44F2B38}"/>
    <cellStyle name="Comma 4 5 6 3" xfId="15215" xr:uid="{1463D56C-D7E2-45F2-A59D-40903C8BAF08}"/>
    <cellStyle name="Comma 4 5 6 3 2" xfId="22754" xr:uid="{3B22F952-0500-4B5C-B52F-207532EF9521}"/>
    <cellStyle name="Comma 4 5 6 3 3" xfId="47972" xr:uid="{E0A32F73-569D-4E2E-8B7E-4502B61B2105}"/>
    <cellStyle name="Comma 4 5 6 3 4" xfId="52092" xr:uid="{D020F840-789A-4EBB-A8BC-F1D9871FC47C}"/>
    <cellStyle name="Comma 4 5 6 3 5" xfId="55108" xr:uid="{849A62EB-00EE-4861-A636-B0190AC73BC5}"/>
    <cellStyle name="Comma 4 5 6 4" xfId="15702" xr:uid="{A6276F86-2AE7-4379-9121-5A2EFA9EEDAF}"/>
    <cellStyle name="Comma 4 5 6 4 2" xfId="23231" xr:uid="{B6113EE3-C303-45A0-BC59-84FABD80CA2D}"/>
    <cellStyle name="Comma 4 5 6 4 3" xfId="46699" xr:uid="{06CA5939-552F-4F79-8D9D-845293717F02}"/>
    <cellStyle name="Comma 4 5 6 4 4" xfId="52569" xr:uid="{D4226D6F-904E-4F12-B966-E7DB55C8D60C}"/>
    <cellStyle name="Comma 4 5 6 4 5" xfId="55585" xr:uid="{8BC01852-9877-4A58-A56F-C93810F6FA80}"/>
    <cellStyle name="Comma 4 5 6 5" xfId="12716" xr:uid="{9E626A5E-2ACA-448E-87F0-6F174303B16D}"/>
    <cellStyle name="Comma 4 5 6 5 2" xfId="24214" xr:uid="{C6ADB96E-9FBA-4798-A9C1-AD35B58096EF}"/>
    <cellStyle name="Comma 4 5 6 5 3" xfId="51138" xr:uid="{7A133461-1D97-4B41-82FC-3DBF4108243B}"/>
    <cellStyle name="Comma 4 5 6 5 4" xfId="54154" xr:uid="{3E018822-00FF-4E9A-A3CE-5FE5E6F4B26D}"/>
    <cellStyle name="Comma 4 5 6 6" xfId="46075" xr:uid="{A76E7836-AECF-41D4-B1FF-132A5979C5C6}"/>
    <cellStyle name="Comma 4 5 6 7" xfId="50032" xr:uid="{70AB98A2-B56A-4F5F-A37B-1E62F95E80DD}"/>
    <cellStyle name="Comma 4 5 6 8" xfId="53048" xr:uid="{B76DDE23-D4E3-4557-A7C0-C1C05F816DE7}"/>
    <cellStyle name="Comma 4 5 7" xfId="10577" xr:uid="{03E090C2-FF7B-48B8-BB7E-064844ECFFE2}"/>
    <cellStyle name="Comma 4 5 7 2" xfId="14942" xr:uid="{1AA94B25-A959-4123-9DBA-38B3A1115B07}"/>
    <cellStyle name="Comma 4 5 7 2 2" xfId="22489" xr:uid="{7EED275A-F9E3-4333-92DC-19D7879F33CA}"/>
    <cellStyle name="Comma 4 5 7 2 3" xfId="48121" xr:uid="{71F788B5-327F-48CD-A7E2-9D084A788D62}"/>
    <cellStyle name="Comma 4 5 7 2 4" xfId="51827" xr:uid="{52DD3CAB-3F02-4B4D-A469-57091D31587C}"/>
    <cellStyle name="Comma 4 5 7 2 5" xfId="54843" xr:uid="{E27EB64C-C4F7-48B2-8C80-AE6507BFBEB7}"/>
    <cellStyle name="Comma 4 5 7 3" xfId="15427" xr:uid="{57F677F2-884C-43D1-9FB1-D88180453363}"/>
    <cellStyle name="Comma 4 5 7 3 2" xfId="22966" xr:uid="{618612CE-0852-4D2A-B0BB-CA81C45613E3}"/>
    <cellStyle name="Comma 4 5 7 3 3" xfId="47217" xr:uid="{CCDCA041-2B7A-4A49-9059-D7409B6CE68B}"/>
    <cellStyle name="Comma 4 5 7 3 4" xfId="52304" xr:uid="{ED05CE8B-6EC6-4661-A6D3-DB5E13836805}"/>
    <cellStyle name="Comma 4 5 7 3 5" xfId="55320" xr:uid="{63C680BB-5BF6-4F00-8EC5-D6F2BBC6703C}"/>
    <cellStyle name="Comma 4 5 7 4" xfId="15915" xr:uid="{611A0FB9-B137-4D1A-8F0A-91D53572F870}"/>
    <cellStyle name="Comma 4 5 7 4 2" xfId="23443" xr:uid="{5F27EE42-12F6-4E6D-8B58-EDBF3DA7FEB2}"/>
    <cellStyle name="Comma 4 5 7 4 3" xfId="48010" xr:uid="{2DD9B76E-3202-45CF-98C1-B7D446C5EA8F}"/>
    <cellStyle name="Comma 4 5 7 4 4" xfId="52781" xr:uid="{E61CACA1-8D33-455C-AF10-A7FBB1043EBD}"/>
    <cellStyle name="Comma 4 5 7 4 5" xfId="55797" xr:uid="{D75F2B61-B03A-498F-BE02-83B990E7C940}"/>
    <cellStyle name="Comma 4 5 7 5" xfId="13030" xr:uid="{9333B29D-6348-47F9-8457-F73391DEB218}"/>
    <cellStyle name="Comma 4 5 7 5 2" xfId="48401" xr:uid="{F9579FDA-1A9A-4CD1-B3BE-473B1F4721EB}"/>
    <cellStyle name="Comma 4 5 7 5 3" xfId="51350" xr:uid="{A9CE7E14-C063-4B17-BC5E-F73C8464C0A2}"/>
    <cellStyle name="Comma 4 5 7 5 4" xfId="54366" xr:uid="{24A6FEF7-4AC6-45EE-AF59-93D89A381F96}"/>
    <cellStyle name="Comma 4 5 7 6" xfId="47591" xr:uid="{D5425DC7-403D-4D03-9216-AC2F50660DC6}"/>
    <cellStyle name="Comma 4 5 7 7" xfId="50244" xr:uid="{1EED4B3A-DBF0-4C81-94C9-1773F06D273A}"/>
    <cellStyle name="Comma 4 5 7 8" xfId="53260" xr:uid="{29FB0259-28D6-44A8-9D4A-8728C58915A6}"/>
    <cellStyle name="Comma 4 5 8" xfId="13375" xr:uid="{4FA7FE20-161B-4F40-A2B6-5B1BDA5160DF}"/>
    <cellStyle name="Comma 4 5 9" xfId="14518" xr:uid="{49D82C2C-C33F-4CAE-ACC8-CD0595135912}"/>
    <cellStyle name="Comma 4 5 9 2" xfId="22065" xr:uid="{5D19C314-6E4D-49B8-B910-EE7419CF7760}"/>
    <cellStyle name="Comma 4 5 9 3" xfId="46829" xr:uid="{557990A5-CAFE-47FC-A456-F20E4778CA12}"/>
    <cellStyle name="Comma 4 5 9 4" xfId="51403" xr:uid="{4C7E81D9-3A0A-4F27-8051-6E0201380694}"/>
    <cellStyle name="Comma 4 5 9 5" xfId="54419" xr:uid="{B60B12D0-74FE-49F9-AD8F-3BEE6BD0F190}"/>
    <cellStyle name="Comma 4 6" xfId="2624" xr:uid="{DC4A5CEA-8C68-473A-9B28-37C28099DC5A}"/>
    <cellStyle name="Comma 4 6 10" xfId="11700" xr:uid="{FA85E8E0-1F3F-4CBA-846A-E861DD37E0B2}"/>
    <cellStyle name="Comma 4 6 10 2" xfId="47752" xr:uid="{AE21E74A-0EF0-49F9-B293-86E1C748E261}"/>
    <cellStyle name="Comma 4 6 10 3" xfId="50747" xr:uid="{25E72C58-4EBD-44EF-9216-6DD717625EEF}"/>
    <cellStyle name="Comma 4 6 10 4" xfId="53763" xr:uid="{5BBEDA2E-FE59-45D5-AF48-093EF2AC8378}"/>
    <cellStyle name="Comma 4 6 11" xfId="23774" xr:uid="{F3B456EB-DC59-4774-8558-1932E41B226D}"/>
    <cellStyle name="Comma 4 6 12" xfId="48655" xr:uid="{F9863A32-09B9-4F58-B3EC-25459BEF9F99}"/>
    <cellStyle name="Comma 4 6 13" xfId="49563" xr:uid="{04D1953D-0C74-4583-AC74-C96EDA594BC6}"/>
    <cellStyle name="Comma 4 6 14" xfId="49822" xr:uid="{AD7EE875-DE02-44F6-BB68-E1608D9C0C24}"/>
    <cellStyle name="Comma 4 6 15" xfId="52837" xr:uid="{6A8E15CD-016E-403B-A66E-ABBC5E3A887B}"/>
    <cellStyle name="Comma 4 6 16" xfId="8945" xr:uid="{544FDDB9-9CFB-4B39-800F-7E273947FF98}"/>
    <cellStyle name="Comma 4 6 2" xfId="10032" xr:uid="{EAE8B58E-A26E-42F3-906B-E7080BE63EDC}"/>
    <cellStyle name="Comma 4 6 2 2" xfId="10340" xr:uid="{43AA1472-79FD-4FF0-91FD-0525DCFDD67A}"/>
    <cellStyle name="Comma 4 6 2 2 2" xfId="14785" xr:uid="{41FF40A4-61CE-4248-9085-EFA9BBA89299}"/>
    <cellStyle name="Comma 4 6 2 2 2 2" xfId="22332" xr:uid="{9DFB4E9E-7E92-4C61-A93B-0846EFAE44C0}"/>
    <cellStyle name="Comma 4 6 2 2 2 3" xfId="24944" xr:uid="{A75C0708-288E-448C-B40B-E7F1A9D24525}"/>
    <cellStyle name="Comma 4 6 2 2 2 4" xfId="51670" xr:uid="{BF41E2C6-3725-4300-9024-AE42F4ED73A5}"/>
    <cellStyle name="Comma 4 6 2 2 2 5" xfId="54686" xr:uid="{9DE4077D-3E1D-4386-8B13-78B17C99A5F2}"/>
    <cellStyle name="Comma 4 6 2 2 3" xfId="15270" xr:uid="{AA9E7ABB-0D5B-4C74-B766-E1A3F907DFF3}"/>
    <cellStyle name="Comma 4 6 2 2 3 2" xfId="22809" xr:uid="{E1088408-C759-4DB0-AD84-BD37D90D8A6F}"/>
    <cellStyle name="Comma 4 6 2 2 3 3" xfId="24908" xr:uid="{BD76FD06-F921-4E24-A3DA-44B23ADE5D7B}"/>
    <cellStyle name="Comma 4 6 2 2 3 4" xfId="52147" xr:uid="{B0F0B66F-D71E-47D1-B842-EBF74552AB28}"/>
    <cellStyle name="Comma 4 6 2 2 3 5" xfId="55163" xr:uid="{565EBB5D-1DA2-4608-9F5D-9479CC3AAEC0}"/>
    <cellStyle name="Comma 4 6 2 2 4" xfId="15757" xr:uid="{40BB1490-585A-430A-A1BB-31EB1008CC29}"/>
    <cellStyle name="Comma 4 6 2 2 4 2" xfId="23286" xr:uid="{F619A6C6-BE9F-4BF9-A657-BD41F0608A07}"/>
    <cellStyle name="Comma 4 6 2 2 4 3" xfId="46702" xr:uid="{CC39B683-1C39-4B16-B466-CE1B06F97A1F}"/>
    <cellStyle name="Comma 4 6 2 2 4 4" xfId="52624" xr:uid="{13DDC905-30B7-471D-AB2C-CF13A951AF59}"/>
    <cellStyle name="Comma 4 6 2 2 4 5" xfId="55640" xr:uid="{C686BE9B-0F6C-4324-8AE9-459E92316EFA}"/>
    <cellStyle name="Comma 4 6 2 2 5" xfId="12793" xr:uid="{DBD3B931-048E-404B-8C17-3338113C9460}"/>
    <cellStyle name="Comma 4 6 2 2 5 2" xfId="48107" xr:uid="{DE505D2E-D149-4132-8736-A120A04A899E}"/>
    <cellStyle name="Comma 4 6 2 2 5 3" xfId="51193" xr:uid="{577E38BC-50E4-48DD-AD40-D3EFD9D4A7DD}"/>
    <cellStyle name="Comma 4 6 2 2 5 4" xfId="54209" xr:uid="{B3322041-7615-4455-B31D-8EBAFE2A6F81}"/>
    <cellStyle name="Comma 4 6 2 2 6" xfId="24271" xr:uid="{E6D7E45C-EC35-499E-B2A1-EEEB4A71CF78}"/>
    <cellStyle name="Comma 4 6 2 2 7" xfId="50087" xr:uid="{61B1AE81-5072-4F4A-9545-80232108F428}"/>
    <cellStyle name="Comma 4 6 2 2 8" xfId="53103" xr:uid="{0FDD267A-FD99-465C-B115-436E923D934C}"/>
    <cellStyle name="Comma 4 6 2 3" xfId="14573" xr:uid="{36EB6D3C-B070-4812-B60F-0DF3AD99D7DC}"/>
    <cellStyle name="Comma 4 6 2 3 2" xfId="22120" xr:uid="{A7D0DDCD-F185-43BC-932C-56408D372677}"/>
    <cellStyle name="Comma 4 6 2 3 3" xfId="46402" xr:uid="{7F13A452-BA80-49C1-8A2B-5BA19DAC3ED2}"/>
    <cellStyle name="Comma 4 6 2 3 4" xfId="51458" xr:uid="{3DE384C1-BF19-42EE-8DD0-766F02270F05}"/>
    <cellStyle name="Comma 4 6 2 3 5" xfId="54474" xr:uid="{9AB92FF9-ED55-4DE4-BD28-427FDEC83BD6}"/>
    <cellStyle name="Comma 4 6 2 4" xfId="15057" xr:uid="{066FCE28-B43E-4524-AB50-DD9592DFF513}"/>
    <cellStyle name="Comma 4 6 2 4 2" xfId="22597" xr:uid="{5945E7E7-D6D8-4C4C-AD3D-BCCA295066D5}"/>
    <cellStyle name="Comma 4 6 2 4 3" xfId="23861" xr:uid="{3061BE27-EC28-4624-88D1-CA568C2E7D3E}"/>
    <cellStyle name="Comma 4 6 2 4 4" xfId="51935" xr:uid="{7F665BBF-0F00-4FD2-9D59-0CF49A3BB569}"/>
    <cellStyle name="Comma 4 6 2 4 5" xfId="54951" xr:uid="{3F77EBDD-F4EA-4070-8982-36192222430B}"/>
    <cellStyle name="Comma 4 6 2 5" xfId="15544" xr:uid="{361410D8-45CB-4FC5-8960-4A4D15760AC5}"/>
    <cellStyle name="Comma 4 6 2 5 2" xfId="23074" xr:uid="{BBE2A7F9-E037-4FCD-9E5D-B499B544EA17}"/>
    <cellStyle name="Comma 4 6 2 5 3" xfId="47440" xr:uid="{EEF59FDF-6778-4E28-8EFA-74185FE34A9D}"/>
    <cellStyle name="Comma 4 6 2 5 4" xfId="52412" xr:uid="{04DF70DF-8D58-4394-90AE-1BAB1EB96ECF}"/>
    <cellStyle name="Comma 4 6 2 5 5" xfId="55428" xr:uid="{E3BEE550-B0F0-47FD-AAA2-802F3AABA160}"/>
    <cellStyle name="Comma 4 6 2 6" xfId="12492" xr:uid="{8BF38E61-0BF4-4F70-A16B-E669056E6810}"/>
    <cellStyle name="Comma 4 6 2 6 2" xfId="46313" xr:uid="{FEC0CCCD-FD6C-405F-95CD-F800310C4A3B}"/>
    <cellStyle name="Comma 4 6 2 6 3" xfId="50981" xr:uid="{2922D537-9104-437B-9B39-ACCB67AE1EF5}"/>
    <cellStyle name="Comma 4 6 2 6 4" xfId="53997" xr:uid="{CC0EAE0F-31F4-490A-9843-DEC5FE673470}"/>
    <cellStyle name="Comma 4 6 2 7" xfId="46032" xr:uid="{60407330-9D3C-4BC1-9407-FBFA90F8BE89}"/>
    <cellStyle name="Comma 4 6 2 8" xfId="49875" xr:uid="{6296E8B7-909C-4E51-B4FB-7287C62D6DBA}"/>
    <cellStyle name="Comma 4 6 2 9" xfId="52891" xr:uid="{C104E484-1B37-4C73-9449-318BD77DA34C}"/>
    <cellStyle name="Comma 4 6 3" xfId="10106" xr:uid="{455E9536-EF50-4802-8E10-02DF527656EA}"/>
    <cellStyle name="Comma 4 6 3 2" xfId="10419" xr:uid="{CC782EB6-1B34-47D1-B8B9-B7D46B25D1F4}"/>
    <cellStyle name="Comma 4 6 3 2 2" xfId="14838" xr:uid="{CFE63020-5E0B-4AFB-A0DD-18753DF0624C}"/>
    <cellStyle name="Comma 4 6 3 2 2 2" xfId="22385" xr:uid="{B1C9A427-A335-4A37-92DC-12E06F415E59}"/>
    <cellStyle name="Comma 4 6 3 2 2 3" xfId="46442" xr:uid="{401F89AF-CE75-4393-A832-2E33B4BCCE7C}"/>
    <cellStyle name="Comma 4 6 3 2 2 4" xfId="51723" xr:uid="{655738BD-D6F8-4801-8925-498E6A163C28}"/>
    <cellStyle name="Comma 4 6 3 2 2 5" xfId="54739" xr:uid="{EAC7AF50-4562-4F62-909C-DEB1C7DBE5DF}"/>
    <cellStyle name="Comma 4 6 3 2 3" xfId="15323" xr:uid="{710BAE69-696A-46E3-9A8E-9FCA63FABC11}"/>
    <cellStyle name="Comma 4 6 3 2 3 2" xfId="22862" xr:uid="{6D486629-3FD0-4FA9-8229-89E6C33DDCC9}"/>
    <cellStyle name="Comma 4 6 3 2 3 3" xfId="24658" xr:uid="{57C24360-22CB-4007-A891-776E2CB92CAE}"/>
    <cellStyle name="Comma 4 6 3 2 3 4" xfId="52200" xr:uid="{866A1AE7-D17A-4573-AF37-9C0A7CDEF1BB}"/>
    <cellStyle name="Comma 4 6 3 2 3 5" xfId="55216" xr:uid="{E9D18F1A-1285-43A6-9B23-A222289AEA3B}"/>
    <cellStyle name="Comma 4 6 3 2 4" xfId="15810" xr:uid="{C6B11EAF-8505-46AF-B2C1-A1B70973993B}"/>
    <cellStyle name="Comma 4 6 3 2 4 2" xfId="23339" xr:uid="{BA5701FD-8590-4F1A-AD76-62F1160FF33F}"/>
    <cellStyle name="Comma 4 6 3 2 4 3" xfId="47354" xr:uid="{394DCE04-566B-4C2F-97D7-2A9D9568BFA4}"/>
    <cellStyle name="Comma 4 6 3 2 4 4" xfId="52677" xr:uid="{C104F57E-37E6-4FF7-AAAC-6AB90DDED629}"/>
    <cellStyle name="Comma 4 6 3 2 4 5" xfId="55693" xr:uid="{F23ED045-74F2-40A6-95D0-4BE103BA9449}"/>
    <cellStyle name="Comma 4 6 3 2 5" xfId="12872" xr:uid="{B31CBDE3-A568-4177-8FA6-5C765A7C025D}"/>
    <cellStyle name="Comma 4 6 3 2 5 2" xfId="32423" xr:uid="{F740D03F-7C73-468F-BA0C-0BC5C9D1A753}"/>
    <cellStyle name="Comma 4 6 3 2 5 3" xfId="51246" xr:uid="{38936508-A3EE-4F77-BB95-51361F0AF285}"/>
    <cellStyle name="Comma 4 6 3 2 5 4" xfId="54262" xr:uid="{EAB5A25E-AD4C-4773-B591-DEEEE6AD5C92}"/>
    <cellStyle name="Comma 4 6 3 2 6" xfId="46118" xr:uid="{F93AAA13-133F-46C7-A976-38025B65F2EE}"/>
    <cellStyle name="Comma 4 6 3 2 7" xfId="50140" xr:uid="{746C58F8-261A-4CD8-8AD5-4B30507490F5}"/>
    <cellStyle name="Comma 4 6 3 2 8" xfId="53156" xr:uid="{DEA17783-8C1A-491F-A172-17B0DC1EDCB1}"/>
    <cellStyle name="Comma 4 6 3 3" xfId="14626" xr:uid="{9DC1358B-33F7-4743-A7BA-AED66C852C3E}"/>
    <cellStyle name="Comma 4 6 3 3 2" xfId="22173" xr:uid="{019AF8D6-6870-4767-BE9E-8FD9A7BBA3CF}"/>
    <cellStyle name="Comma 4 6 3 3 3" xfId="46843" xr:uid="{DF18445B-BB35-45B8-96E4-8C0792B0C7A7}"/>
    <cellStyle name="Comma 4 6 3 3 4" xfId="51511" xr:uid="{777399D3-8020-44F7-932D-E32632AAEC15}"/>
    <cellStyle name="Comma 4 6 3 3 5" xfId="54527" xr:uid="{0278C55C-7A0C-42DA-8D6F-6311ADABA2E5}"/>
    <cellStyle name="Comma 4 6 3 4" xfId="15111" xr:uid="{078EDAC7-B9E0-4369-8451-B23A4FF6EC75}"/>
    <cellStyle name="Comma 4 6 3 4 2" xfId="22650" xr:uid="{D515B10B-555E-4335-BE01-539F15BBBEA8}"/>
    <cellStyle name="Comma 4 6 3 4 3" xfId="47082" xr:uid="{8851CCD6-8738-403A-969D-65F2B1EFE4B1}"/>
    <cellStyle name="Comma 4 6 3 4 4" xfId="51988" xr:uid="{93C9F888-01CB-4B93-BE2A-F3550487F2EB}"/>
    <cellStyle name="Comma 4 6 3 4 5" xfId="55004" xr:uid="{8D109F46-4408-466E-88FB-B51B31F1606C}"/>
    <cellStyle name="Comma 4 6 3 5" xfId="15598" xr:uid="{7E202FC6-4C5D-4A34-B9F5-76013D232AC2}"/>
    <cellStyle name="Comma 4 6 3 5 2" xfId="23127" xr:uid="{2AEBC30C-6B51-401E-A1BE-D92769264FE8}"/>
    <cellStyle name="Comma 4 6 3 5 3" xfId="47644" xr:uid="{DE062BB8-C7F2-461B-9045-7D0B4F64FB89}"/>
    <cellStyle name="Comma 4 6 3 5 4" xfId="52465" xr:uid="{B7FDE66D-A3B2-4D40-82C1-DFAAE9B7F625}"/>
    <cellStyle name="Comma 4 6 3 5 5" xfId="55481" xr:uid="{3736BAEC-F053-4229-8CEC-3CC504C0EE6C}"/>
    <cellStyle name="Comma 4 6 3 6" xfId="12563" xr:uid="{4ACD6A63-ACFE-4374-B9E3-C08B387E2026}"/>
    <cellStyle name="Comma 4 6 3 6 2" xfId="47692" xr:uid="{34B82994-0036-45B6-8200-BF4F779C7126}"/>
    <cellStyle name="Comma 4 6 3 6 3" xfId="51034" xr:uid="{FD2C28AD-529E-454F-9B1E-975574B1F05C}"/>
    <cellStyle name="Comma 4 6 3 6 4" xfId="54050" xr:uid="{C73EFAB8-C1C2-4BA8-924B-7E131B23AE97}"/>
    <cellStyle name="Comma 4 6 3 7" xfId="46049" xr:uid="{3D1F9F86-EF81-4F23-AD8D-E1E9D37D45D9}"/>
    <cellStyle name="Comma 4 6 3 8" xfId="49928" xr:uid="{0155F888-C4D5-49F8-A15D-C7DC71244C3D}"/>
    <cellStyle name="Comma 4 6 3 9" xfId="52944" xr:uid="{703E3C23-5A15-4CEE-9D81-92C6A156AE92}"/>
    <cellStyle name="Comma 4 6 4" xfId="10185" xr:uid="{DA36A299-0D31-47D9-AACA-DFEB22E8CB9D}"/>
    <cellStyle name="Comma 4 6 4 2" xfId="10499" xr:uid="{07FAB5FC-3DB2-4009-914C-8AE54CEEF840}"/>
    <cellStyle name="Comma 4 6 4 2 2" xfId="14891" xr:uid="{2852485D-E2C8-49E4-A3E5-4958ACC85835}"/>
    <cellStyle name="Comma 4 6 4 2 2 2" xfId="22438" xr:uid="{DD5C2E58-6B2F-4DA0-8185-D8A6C1F6FD52}"/>
    <cellStyle name="Comma 4 6 4 2 2 3" xfId="46452" xr:uid="{9BF11595-6D62-4E3E-9A9F-D905B940CFD1}"/>
    <cellStyle name="Comma 4 6 4 2 2 4" xfId="51776" xr:uid="{5EA3D327-C775-42B0-B8B6-AF99BC43078A}"/>
    <cellStyle name="Comma 4 6 4 2 2 5" xfId="54792" xr:uid="{AFE919ED-4E74-46A2-88C9-3827A3A3E155}"/>
    <cellStyle name="Comma 4 6 4 2 3" xfId="15376" xr:uid="{40D27D6B-02BB-4C14-AE6C-C12ACB46CC6F}"/>
    <cellStyle name="Comma 4 6 4 2 3 2" xfId="22915" xr:uid="{ED3E2ACE-A212-4CAB-BE17-AFCA12FFDE48}"/>
    <cellStyle name="Comma 4 6 4 2 3 3" xfId="47842" xr:uid="{EA54E6BE-0309-4EA1-8875-3B816EC3D4F4}"/>
    <cellStyle name="Comma 4 6 4 2 3 4" xfId="52253" xr:uid="{7E6865F4-AF74-4F8C-87CC-CFC9B2DEF018}"/>
    <cellStyle name="Comma 4 6 4 2 3 5" xfId="55269" xr:uid="{0DA2A6CD-C2EF-4C16-B09C-6927AAE3A6FC}"/>
    <cellStyle name="Comma 4 6 4 2 4" xfId="15863" xr:uid="{374D666D-7F5B-4F30-9EA8-487E46353B28}"/>
    <cellStyle name="Comma 4 6 4 2 4 2" xfId="23392" xr:uid="{6E4AD6EC-7C61-4AB5-BC54-63AB9D67E136}"/>
    <cellStyle name="Comma 4 6 4 2 4 3" xfId="46703" xr:uid="{CCA1AFBB-C23F-4320-94F8-3A6933683AA1}"/>
    <cellStyle name="Comma 4 6 4 2 4 4" xfId="52730" xr:uid="{ADE2A4E1-9A8A-40EE-93CC-5FDA13EBC98B}"/>
    <cellStyle name="Comma 4 6 4 2 4 5" xfId="55746" xr:uid="{04D09C09-92FB-4208-800E-CF95DD42D3C5}"/>
    <cellStyle name="Comma 4 6 4 2 5" xfId="12952" xr:uid="{44E7A45C-DB0F-4930-8186-26F5B812F61E}"/>
    <cellStyle name="Comma 4 6 4 2 5 2" xfId="48494" xr:uid="{9DB1BE6A-0A35-4BE2-8327-FB5333E01AF2}"/>
    <cellStyle name="Comma 4 6 4 2 5 3" xfId="51299" xr:uid="{3A391FAD-2657-4C0E-A8B4-542408ECB054}"/>
    <cellStyle name="Comma 4 6 4 2 5 4" xfId="54315" xr:uid="{EF6EE3DA-F647-4D1B-956A-3D2CD0AC69AD}"/>
    <cellStyle name="Comma 4 6 4 2 6" xfId="46137" xr:uid="{D22522A8-0628-4283-9D96-3AA415663652}"/>
    <cellStyle name="Comma 4 6 4 2 7" xfId="50193" xr:uid="{B9F85A70-2670-4BE2-BCAD-8CB039138E4D}"/>
    <cellStyle name="Comma 4 6 4 2 8" xfId="53209" xr:uid="{E760E15C-AB22-4C63-973B-F71E537E1978}"/>
    <cellStyle name="Comma 4 6 4 3" xfId="14679" xr:uid="{346C41FA-85D9-453E-93EC-C3EF3AB6C2BC}"/>
    <cellStyle name="Comma 4 6 4 3 2" xfId="22226" xr:uid="{CC5EBE6F-0274-4C8B-AF5E-8CF7CE18FA53}"/>
    <cellStyle name="Comma 4 6 4 3 3" xfId="24965" xr:uid="{54FD7F97-4E80-4F21-BFB9-409CDBF0B74D}"/>
    <cellStyle name="Comma 4 6 4 3 4" xfId="51564" xr:uid="{0E32E328-CE4B-4A85-959D-F850072FCD6E}"/>
    <cellStyle name="Comma 4 6 4 3 5" xfId="54580" xr:uid="{1249A803-7639-447F-811A-71E5F9ECC392}"/>
    <cellStyle name="Comma 4 6 4 4" xfId="15164" xr:uid="{BBC8BEFD-E6D9-4430-8B62-4906EFC93769}"/>
    <cellStyle name="Comma 4 6 4 4 2" xfId="22703" xr:uid="{2336AA99-EDC4-404E-86C4-2BCAA5B4C0EF}"/>
    <cellStyle name="Comma 4 6 4 4 3" xfId="46491" xr:uid="{5175E99C-072D-4BA2-A9CA-E7DF3FC65DBA}"/>
    <cellStyle name="Comma 4 6 4 4 4" xfId="52041" xr:uid="{93D297DE-E871-4927-844E-E6128D45D74C}"/>
    <cellStyle name="Comma 4 6 4 4 5" xfId="55057" xr:uid="{CFD7CC45-A297-4BA1-B32A-0D3E96DDDB30}"/>
    <cellStyle name="Comma 4 6 4 5" xfId="15651" xr:uid="{1F1E86DF-906D-4416-89B7-8141B6D38E40}"/>
    <cellStyle name="Comma 4 6 4 5 2" xfId="23180" xr:uid="{7FD59497-3F69-4FD5-95B7-E748B461A505}"/>
    <cellStyle name="Comma 4 6 4 5 3" xfId="46948" xr:uid="{0A9FAB53-E485-4235-825E-5024D680ED40}"/>
    <cellStyle name="Comma 4 6 4 5 4" xfId="52518" xr:uid="{AEB86AC5-4752-4889-8E7F-543F06EC5047}"/>
    <cellStyle name="Comma 4 6 4 5 5" xfId="55534" xr:uid="{809004F3-5F38-4252-837E-E440CE3732D2}"/>
    <cellStyle name="Comma 4 6 4 6" xfId="12639" xr:uid="{AF9C5C8A-69FA-4DC4-9199-DEB9C39DDD53}"/>
    <cellStyle name="Comma 4 6 4 6 2" xfId="47917" xr:uid="{12D795B4-6F6B-4034-B959-1E7DC5C8FB23}"/>
    <cellStyle name="Comma 4 6 4 6 3" xfId="51087" xr:uid="{8A4AF798-2128-4628-A1EE-AB195813B664}"/>
    <cellStyle name="Comma 4 6 4 6 4" xfId="54103" xr:uid="{9A64C8EF-44EA-4305-8D1A-194EA7CBED9D}"/>
    <cellStyle name="Comma 4 6 4 7" xfId="24279" xr:uid="{C75CA23E-0E8A-4392-8259-3020A208001C}"/>
    <cellStyle name="Comma 4 6 4 8" xfId="49981" xr:uid="{4E58A189-492F-4CA4-BAD7-6459AE79C643}"/>
    <cellStyle name="Comma 4 6 4 9" xfId="52997" xr:uid="{616057E9-0AA7-4389-8EBA-ED61A2D8EB55}"/>
    <cellStyle name="Comma 4 6 5" xfId="10265" xr:uid="{F0270FD2-AE79-4E05-9CA9-CF2E6C7FB2BC}"/>
    <cellStyle name="Comma 4 6 5 2" xfId="14732" xr:uid="{FF93FFE1-90A7-41E7-A6DE-DF01F94698F9}"/>
    <cellStyle name="Comma 4 6 5 2 2" xfId="22279" xr:uid="{4C4D58F4-B00E-451E-BCE6-F4239437F74B}"/>
    <cellStyle name="Comma 4 6 5 2 3" xfId="47627" xr:uid="{5A9C023B-5B69-4B35-86C4-6227B9DF33A3}"/>
    <cellStyle name="Comma 4 6 5 2 4" xfId="51617" xr:uid="{00B333C4-51C4-4267-8F68-E22AA8A4CA4C}"/>
    <cellStyle name="Comma 4 6 5 2 5" xfId="54633" xr:uid="{10EBD1AA-76F0-4E77-8703-5382634C4022}"/>
    <cellStyle name="Comma 4 6 5 3" xfId="15217" xr:uid="{707B8B9C-40A8-4A14-B789-2068F556FACC}"/>
    <cellStyle name="Comma 4 6 5 3 2" xfId="22756" xr:uid="{344C7E0E-610A-432D-AF51-CE37DA2EAD18}"/>
    <cellStyle name="Comma 4 6 5 3 3" xfId="46893" xr:uid="{21877D8D-A4FF-462F-BAD9-A2F633837AF3}"/>
    <cellStyle name="Comma 4 6 5 3 4" xfId="52094" xr:uid="{E07FBE73-115A-473C-AE17-C1F7711B6390}"/>
    <cellStyle name="Comma 4 6 5 3 5" xfId="55110" xr:uid="{6F15F48F-1FA9-45F1-A8E5-C1BD9852FA08}"/>
    <cellStyle name="Comma 4 6 5 4" xfId="15704" xr:uid="{B1A6402B-ED53-45D0-97D9-FBC989AB703D}"/>
    <cellStyle name="Comma 4 6 5 4 2" xfId="23233" xr:uid="{B570DC19-BEC6-4E0F-A355-FEBF405CD5B3}"/>
    <cellStyle name="Comma 4 6 5 4 3" xfId="47570" xr:uid="{38C2BC64-0501-4BF0-9BD7-AE8F4E14FC34}"/>
    <cellStyle name="Comma 4 6 5 4 4" xfId="52571" xr:uid="{2C3D7948-E66E-48AC-9D67-F1C78384EA72}"/>
    <cellStyle name="Comma 4 6 5 4 5" xfId="55587" xr:uid="{BCEBE9B8-36A0-4D83-9043-375467B27B4C}"/>
    <cellStyle name="Comma 4 6 5 5" xfId="12718" xr:uid="{2D69DBC5-724D-4AF8-A8C7-759174F50B9E}"/>
    <cellStyle name="Comma 4 6 5 5 2" xfId="24532" xr:uid="{43F65FFA-D0D0-43CE-8DE6-DB11AF1AD474}"/>
    <cellStyle name="Comma 4 6 5 5 3" xfId="51140" xr:uid="{AF879B39-BF38-41B9-8B8C-630000C64FAB}"/>
    <cellStyle name="Comma 4 6 5 5 4" xfId="54156" xr:uid="{9E6B77A2-54D4-46D2-9D8B-297E0D561A68}"/>
    <cellStyle name="Comma 4 6 5 6" xfId="47704" xr:uid="{5C94B2FA-014E-48AD-BFFB-440E0D5B97AC}"/>
    <cellStyle name="Comma 4 6 5 7" xfId="50034" xr:uid="{35D9B42F-BF91-4210-98EA-3F95F3CCB1F5}"/>
    <cellStyle name="Comma 4 6 5 8" xfId="53050" xr:uid="{612F933D-22EE-4C8C-8E61-593451138F68}"/>
    <cellStyle name="Comma 4 6 6" xfId="10579" xr:uid="{7E7F5D6A-EAA9-4909-8911-74E5124F93F2}"/>
    <cellStyle name="Comma 4 6 6 2" xfId="14944" xr:uid="{3587D5F1-9E7E-4607-B6C2-60E9FFB3B235}"/>
    <cellStyle name="Comma 4 6 6 2 2" xfId="22491" xr:uid="{4CBA6B98-2855-467D-BCEB-1F7982EB9326}"/>
    <cellStyle name="Comma 4 6 6 2 3" xfId="47185" xr:uid="{38297C86-8E93-4FA2-B439-2DA9D08FD8DD}"/>
    <cellStyle name="Comma 4 6 6 2 4" xfId="51829" xr:uid="{7C7079A7-FBDC-42E9-AC87-1907A8E9DE87}"/>
    <cellStyle name="Comma 4 6 6 2 5" xfId="54845" xr:uid="{B25A6C9F-AC64-4780-8F08-99F47E9B84CE}"/>
    <cellStyle name="Comma 4 6 6 3" xfId="15429" xr:uid="{523FC368-1D0B-4958-ACF1-D4CB96F50856}"/>
    <cellStyle name="Comma 4 6 6 3 2" xfId="22968" xr:uid="{F05F6BF7-F855-43CF-9641-88ECF3002B34}"/>
    <cellStyle name="Comma 4 6 6 3 3" xfId="48324" xr:uid="{76FED9E2-C7EC-4E8C-8276-FB268A88CFA1}"/>
    <cellStyle name="Comma 4 6 6 3 4" xfId="52306" xr:uid="{31EF854A-4DEE-4E7E-BDBE-851678CFC557}"/>
    <cellStyle name="Comma 4 6 6 3 5" xfId="55322" xr:uid="{0E7B3A4E-767C-4D1A-B5CC-9B74E5548070}"/>
    <cellStyle name="Comma 4 6 6 4" xfId="15917" xr:uid="{0C0E2BF2-DA25-4F3F-A153-0ED3FE3E2A0F}"/>
    <cellStyle name="Comma 4 6 6 4 2" xfId="23445" xr:uid="{388E0792-62A7-49ED-A44B-45898F5DBECA}"/>
    <cellStyle name="Comma 4 6 6 4 3" xfId="48024" xr:uid="{9FE07413-FC75-45EC-9C52-72E00AE91FEC}"/>
    <cellStyle name="Comma 4 6 6 4 4" xfId="52783" xr:uid="{26DFE155-A23C-4566-BA32-01BF0B77F2DF}"/>
    <cellStyle name="Comma 4 6 6 4 5" xfId="55799" xr:uid="{3A620F8A-4A31-4507-AF76-6EB4F72D34B6}"/>
    <cellStyle name="Comma 4 6 6 5" xfId="13032" xr:uid="{A4484F09-3147-43B8-8A0E-C0D16CC5773B}"/>
    <cellStyle name="Comma 4 6 6 5 2" xfId="24687" xr:uid="{127D7955-C9BA-453C-8D5B-7913E14E38A0}"/>
    <cellStyle name="Comma 4 6 6 5 3" xfId="51352" xr:uid="{57726322-5643-4905-A04E-353D44BB7B1F}"/>
    <cellStyle name="Comma 4 6 6 5 4" xfId="54368" xr:uid="{635F5AB8-1B5A-43A2-8679-C4625BDF7A9E}"/>
    <cellStyle name="Comma 4 6 6 6" xfId="48166" xr:uid="{F23F8F5A-F4B1-44DA-A05C-A12D63DBA11B}"/>
    <cellStyle name="Comma 4 6 6 7" xfId="50246" xr:uid="{E70F2536-C857-4A4B-9772-C50D18662274}"/>
    <cellStyle name="Comma 4 6 6 8" xfId="53262" xr:uid="{2F68D872-E882-4CE4-9F85-A1013DEE71A4}"/>
    <cellStyle name="Comma 4 6 7" xfId="14520" xr:uid="{B4902715-86E9-4829-BF0D-634C4D35372D}"/>
    <cellStyle name="Comma 4 6 7 2" xfId="22067" xr:uid="{6A6B6FB3-35CA-4DA1-9465-F3D855879A71}"/>
    <cellStyle name="Comma 4 6 7 3" xfId="47328" xr:uid="{A81DD37E-469A-4C0E-B739-0062D5EF13CB}"/>
    <cellStyle name="Comma 4 6 7 4" xfId="51405" xr:uid="{DEA470E0-AC43-4E7E-9DF8-542E079830D7}"/>
    <cellStyle name="Comma 4 6 7 5" xfId="54421" xr:uid="{CEB6D957-B7B0-4E8E-AF6E-86FB771CE53A}"/>
    <cellStyle name="Comma 4 6 8" xfId="15004" xr:uid="{EFFAC03C-F80F-4D51-AD40-D9AB5AAFDD44}"/>
    <cellStyle name="Comma 4 6 8 2" xfId="22544" xr:uid="{AD8E8441-0C49-4D1F-B374-EF373C8907B2}"/>
    <cellStyle name="Comma 4 6 8 3" xfId="32510" xr:uid="{653C2A0D-4AA1-4A9C-8FE1-FA9D8826AFC7}"/>
    <cellStyle name="Comma 4 6 8 4" xfId="51882" xr:uid="{EBEFAF8B-3952-4441-9C31-236833E94126}"/>
    <cellStyle name="Comma 4 6 8 5" xfId="54898" xr:uid="{66E4BFA8-79C1-45F6-9882-5075129EEA9A}"/>
    <cellStyle name="Comma 4 6 9" xfId="15491" xr:uid="{6C9F76BA-64E5-465D-A358-AF80454EF8EE}"/>
    <cellStyle name="Comma 4 6 9 2" xfId="23021" xr:uid="{CD511A22-4DC4-4767-942A-68B55CFA5BF4}"/>
    <cellStyle name="Comma 4 6 9 3" xfId="46926" xr:uid="{C3D92FEF-0883-4B43-A60F-D03F899154C3}"/>
    <cellStyle name="Comma 4 6 9 4" xfId="52359" xr:uid="{308A4E2D-1FFC-4D6C-B3FC-4FAFF76263D5}"/>
    <cellStyle name="Comma 4 6 9 5" xfId="55375" xr:uid="{BEFBD73C-BD8A-43F1-A638-C5F071F0D834}"/>
    <cellStyle name="Comma 4 7" xfId="11193" xr:uid="{C97E4674-D399-48DB-8282-947AB46AA2E5}"/>
    <cellStyle name="Comma 4 7 2" xfId="21689" xr:uid="{5725AF3D-EA96-4A0E-8AFA-6BAD19BD73F3}"/>
    <cellStyle name="Comma 4 7 3" xfId="23775" xr:uid="{AEB9EC06-EBBE-4088-B193-2CFD790A46A6}"/>
    <cellStyle name="Comma 4 7 4" xfId="47313" xr:uid="{CDA16AA5-7C8D-4024-A54F-49ABA9CF410E}"/>
    <cellStyle name="Comma 4 7 5" xfId="48656" xr:uid="{CF986BAF-4194-4104-9691-927C47E5AE8A}"/>
    <cellStyle name="Comma 4 7 6" xfId="49564" xr:uid="{EF2AA0E5-46AF-474D-93AF-5DC7C2B4E3D3}"/>
    <cellStyle name="Comma 4 7 7" xfId="50706" xr:uid="{646F3B58-EE4B-416F-90B0-5CAE52D19598}"/>
    <cellStyle name="Comma 4 7 8" xfId="53722" xr:uid="{60DB7471-FBE7-4A5D-8B4B-84049F6ED419}"/>
    <cellStyle name="Comma 4 8" xfId="19486" xr:uid="{3D4AF06E-9079-4E96-BD71-ED5AAF09719F}"/>
    <cellStyle name="Comma 4 8 2" xfId="23776" xr:uid="{29FE70C4-590E-4D55-9394-D560CD6E48CE}"/>
    <cellStyle name="Comma 4 8 3" xfId="48657" xr:uid="{43CB0218-D4D0-4535-92CA-3CEB05465B21}"/>
    <cellStyle name="Comma 4 8 4" xfId="49565" xr:uid="{61203601-1E7D-411D-A9C9-0B60C7137C73}"/>
    <cellStyle name="Comma 4 9" xfId="23777" xr:uid="{7994D259-09F1-4686-8B1E-B5440AC1C9F7}"/>
    <cellStyle name="Comma 5" xfId="54" xr:uid="{00000000-0005-0000-0000-000059000000}"/>
    <cellStyle name="Comma 5 10" xfId="48658" xr:uid="{F9DB47C4-8265-479D-B26E-D8583D626F9A}"/>
    <cellStyle name="Comma 5 11" xfId="49566" xr:uid="{89EBBC22-B44A-4A1E-AAD4-07F59384CFD3}"/>
    <cellStyle name="Comma 5 12" xfId="7228" xr:uid="{B3BB19CC-E1DE-420A-BCE5-99B5F0A86C54}"/>
    <cellStyle name="Comma 5 2" xfId="2628" xr:uid="{23A21D87-3CF9-42BE-A7ED-972175E47667}"/>
    <cellStyle name="Comma 5 2 10" xfId="15452" xr:uid="{3B968D5D-99F2-4003-A1DA-9D0ED8015D0C}"/>
    <cellStyle name="Comma 5 2 10 2" xfId="22987" xr:uid="{FCEF57B5-C504-409E-91EB-576BCC77FD81}"/>
    <cellStyle name="Comma 5 2 10 3" xfId="40720" xr:uid="{0B9153DE-1A3C-4081-B0BF-1A628BC493CD}"/>
    <cellStyle name="Comma 5 2 10 4" xfId="47439" xr:uid="{99DFBE75-0AEC-4649-8DF8-38BB211B771D}"/>
    <cellStyle name="Comma 5 2 10 5" xfId="52325" xr:uid="{BEEB4687-D062-4BFE-992C-F4C4EF47F184}"/>
    <cellStyle name="Comma 5 2 10 6" xfId="55341" xr:uid="{75A9801D-E2A7-444E-B73B-A3E92AA97972}"/>
    <cellStyle name="Comma 5 2 11" xfId="11588" xr:uid="{40909803-9ECA-430B-AF46-72A0A9D8BEF8}"/>
    <cellStyle name="Comma 5 2 11 2" xfId="21711" xr:uid="{FA9AB5E8-2905-43AA-9E07-AFEF4FEA5B9D}"/>
    <cellStyle name="Comma 5 2 11 3" xfId="47147" xr:uid="{AC6EE5FA-68B2-4005-BBF8-DEC61DBB5984}"/>
    <cellStyle name="Comma 5 2 11 4" xfId="50735" xr:uid="{62E6FD9F-74F1-4CD5-80F6-E3F7E1F4CF1C}"/>
    <cellStyle name="Comma 5 2 11 5" xfId="53751" xr:uid="{433C64E6-1FE3-44E8-BA0A-C79BA3F4235C}"/>
    <cellStyle name="Comma 5 2 12" xfId="19492" xr:uid="{FB926EC8-1409-4EE2-97A9-E8E9C304F963}"/>
    <cellStyle name="Comma 5 2 13" xfId="23779" xr:uid="{43E6AA6C-0821-4633-AF41-B53C06F1D654}"/>
    <cellStyle name="Comma 5 2 14" xfId="49788" xr:uid="{FDE43876-269C-4EAE-958E-59A72E377D53}"/>
    <cellStyle name="Comma 5 2 15" xfId="52803" xr:uid="{822143B2-2045-4C9C-AFE5-132F8157B711}"/>
    <cellStyle name="Comma 5 2 2" xfId="8946" xr:uid="{223DDD5A-6700-4FAB-AB83-3C7DEF3A7410}"/>
    <cellStyle name="Comma 5 2 2 10" xfId="11497" xr:uid="{325E546C-FDD6-4804-ADF5-AAE84E138E1B}"/>
    <cellStyle name="Comma 5 2 2 10 2" xfId="47960" xr:uid="{A50CEF59-3ED9-45DC-8660-45F3A8522C94}"/>
    <cellStyle name="Comma 5 2 2 10 3" xfId="50721" xr:uid="{445787C8-2C74-4BA6-A8C3-6EDC702333BB}"/>
    <cellStyle name="Comma 5 2 2 10 4" xfId="53737" xr:uid="{0223D1B6-66C6-4857-AB9B-8EA482866DEA}"/>
    <cellStyle name="Comma 5 2 2 11" xfId="23780" xr:uid="{3AE29773-684F-43D7-BE00-C344858F7028}"/>
    <cellStyle name="Comma 5 2 2 12" xfId="49823" xr:uid="{A1ACB1C8-E39C-46DE-9F35-8AE707ACFD56}"/>
    <cellStyle name="Comma 5 2 2 13" xfId="52838" xr:uid="{AE15FD71-74E5-40BC-82FA-0A0E8B93FE90}"/>
    <cellStyle name="Comma 5 2 2 2" xfId="10033" xr:uid="{E0A1C6AE-6F97-4D1A-BFE5-59857127DEF9}"/>
    <cellStyle name="Comma 5 2 2 2 10" xfId="49876" xr:uid="{76DEA4EA-F66E-4341-8EF5-94FBF73C865D}"/>
    <cellStyle name="Comma 5 2 2 2 11" xfId="52892" xr:uid="{14402434-4F90-474F-B599-221BC895D532}"/>
    <cellStyle name="Comma 5 2 2 2 2" xfId="10341" xr:uid="{1347DD5A-391A-406C-A46E-3F25645957B2}"/>
    <cellStyle name="Comma 5 2 2 2 2 2" xfId="14786" xr:uid="{77254F8E-718E-4484-A341-1B64695DE8A0}"/>
    <cellStyle name="Comma 5 2 2 2 2 2 2" xfId="22333" xr:uid="{119C7375-A108-4913-BBA8-C9AF808929D2}"/>
    <cellStyle name="Comma 5 2 2 2 2 2 3" xfId="47241" xr:uid="{F29BBC3D-91A3-4E70-917E-82FC33D28333}"/>
    <cellStyle name="Comma 5 2 2 2 2 2 4" xfId="51671" xr:uid="{C8D1A061-CE18-41B6-AE54-7C811DF0A051}"/>
    <cellStyle name="Comma 5 2 2 2 2 2 5" xfId="54687" xr:uid="{45B92813-BA04-4C55-9F9D-B7A43F8AA0BD}"/>
    <cellStyle name="Comma 5 2 2 2 2 3" xfId="15271" xr:uid="{721B6C26-51F3-4AE2-97D7-F899B27F78FE}"/>
    <cellStyle name="Comma 5 2 2 2 2 3 2" xfId="22810" xr:uid="{5DA3DBF2-62F5-4285-AD60-9563B12E9AEA}"/>
    <cellStyle name="Comma 5 2 2 2 2 3 3" xfId="47840" xr:uid="{8E2B9FFC-8E8F-4320-9D1F-8351264C1212}"/>
    <cellStyle name="Comma 5 2 2 2 2 3 4" xfId="52148" xr:uid="{C0946F86-F505-477A-904A-932B7C956F20}"/>
    <cellStyle name="Comma 5 2 2 2 2 3 5" xfId="55164" xr:uid="{4BF20C02-8729-45AD-B89E-4D03433E3E2E}"/>
    <cellStyle name="Comma 5 2 2 2 2 4" xfId="15758" xr:uid="{35538AE6-EE07-4AB0-9079-9807144FC241}"/>
    <cellStyle name="Comma 5 2 2 2 2 4 2" xfId="23287" xr:uid="{933B97E8-0DC0-4620-82CF-F93F538BE50C}"/>
    <cellStyle name="Comma 5 2 2 2 2 4 3" xfId="47742" xr:uid="{96967CA8-DE1C-4CE8-9FE6-8A3FF7160120}"/>
    <cellStyle name="Comma 5 2 2 2 2 4 4" xfId="52625" xr:uid="{60A217D1-0585-4B9B-AD43-EAC6CA922AD9}"/>
    <cellStyle name="Comma 5 2 2 2 2 4 5" xfId="55641" xr:uid="{311B52EC-5AC0-43E7-954E-BCE23499033B}"/>
    <cellStyle name="Comma 5 2 2 2 2 5" xfId="12794" xr:uid="{58AC27BB-EB9E-4072-B3B9-5A7C34CE1145}"/>
    <cellStyle name="Comma 5 2 2 2 2 5 2" xfId="46795" xr:uid="{FCEC0937-9EE8-4D3A-BD46-EA0527303940}"/>
    <cellStyle name="Comma 5 2 2 2 2 5 3" xfId="51194" xr:uid="{E36527B9-BF64-463F-8F3C-28E4A0EA997D}"/>
    <cellStyle name="Comma 5 2 2 2 2 5 4" xfId="54210" xr:uid="{6C9F271D-2DD6-456F-9403-B70BCDCBB672}"/>
    <cellStyle name="Comma 5 2 2 2 2 6" xfId="46091" xr:uid="{6D7E8C9B-0C10-43A3-B3C2-3C378C668FC5}"/>
    <cellStyle name="Comma 5 2 2 2 2 7" xfId="50088" xr:uid="{523D6967-F815-4EF3-8754-D558F738717E}"/>
    <cellStyle name="Comma 5 2 2 2 2 8" xfId="53104" xr:uid="{AEFCB1FC-64E2-443F-8C31-403CA6E29FF9}"/>
    <cellStyle name="Comma 5 2 2 2 3" xfId="14574" xr:uid="{AE4CABB5-5A72-4B12-9EBE-37A2B777DDCA}"/>
    <cellStyle name="Comma 5 2 2 2 3 2" xfId="22121" xr:uid="{C6623ED2-3D1E-4F95-BB57-AE0F92F6E98A}"/>
    <cellStyle name="Comma 5 2 2 2 3 3" xfId="24977" xr:uid="{C861F913-4C9D-44E2-9A2F-BBA85BDBE264}"/>
    <cellStyle name="Comma 5 2 2 2 3 4" xfId="51459" xr:uid="{3057ACAB-A6C0-474D-B0DA-119404248AD5}"/>
    <cellStyle name="Comma 5 2 2 2 3 5" xfId="54475" xr:uid="{0517F045-ECAF-4D75-8ABD-54C5CF190EA9}"/>
    <cellStyle name="Comma 5 2 2 2 4" xfId="15058" xr:uid="{BB32F1DC-6254-4E91-9C2C-973C4873AFBF}"/>
    <cellStyle name="Comma 5 2 2 2 4 2" xfId="22598" xr:uid="{9C0072E5-59FB-476A-B9C3-23D181AF7A2D}"/>
    <cellStyle name="Comma 5 2 2 2 4 3" xfId="46472" xr:uid="{E145E5B7-4FB2-44E7-A83E-9462E880C6B8}"/>
    <cellStyle name="Comma 5 2 2 2 4 4" xfId="51936" xr:uid="{92DD7C5B-FB41-4648-AF62-CA5314C34DB8}"/>
    <cellStyle name="Comma 5 2 2 2 4 5" xfId="54952" xr:uid="{4D065D13-A8D8-4CE4-99B6-0CE7BAF5FAED}"/>
    <cellStyle name="Comma 5 2 2 2 5" xfId="15545" xr:uid="{27AB0F42-3000-4777-807A-7F5EDC8F3A2D}"/>
    <cellStyle name="Comma 5 2 2 2 5 2" xfId="23075" xr:uid="{EF24F7A9-16F0-4202-8740-FDE22F1CA33A}"/>
    <cellStyle name="Comma 5 2 2 2 5 3" xfId="24440" xr:uid="{F2B3A647-C03B-433D-8743-3DAC33F8795A}"/>
    <cellStyle name="Comma 5 2 2 2 5 4" xfId="52413" xr:uid="{964183C8-FACD-4442-99E2-E050EE1D0889}"/>
    <cellStyle name="Comma 5 2 2 2 5 5" xfId="55429" xr:uid="{53FC8B4B-6FE4-4376-ABA6-77C37E397038}"/>
    <cellStyle name="Comma 5 2 2 2 6" xfId="12493" xr:uid="{04209A92-05E2-483A-9D89-296F91575905}"/>
    <cellStyle name="Comma 5 2 2 2 6 2" xfId="25088" xr:uid="{CF7C0169-168D-4777-809E-64437F772DB5}"/>
    <cellStyle name="Comma 5 2 2 2 6 3" xfId="50982" xr:uid="{7CAE7EAC-CFAC-44AA-A81B-11783DABB206}"/>
    <cellStyle name="Comma 5 2 2 2 6 4" xfId="53998" xr:uid="{E89FF9AC-F3AE-4D14-A290-A5D024EA8824}"/>
    <cellStyle name="Comma 5 2 2 2 7" xfId="23781" xr:uid="{70B6C4F5-0F80-4711-849D-023F45C80DE4}"/>
    <cellStyle name="Comma 5 2 2 2 8" xfId="48659" xr:uid="{DCF68AE3-49AF-48BE-905A-F6416A458384}"/>
    <cellStyle name="Comma 5 2 2 2 9" xfId="49567" xr:uid="{22AC0DC1-6F9E-4934-9C61-24CA55D2FF3E}"/>
    <cellStyle name="Comma 5 2 2 3" xfId="10107" xr:uid="{F95B4C31-32F5-4E77-98F1-6DC134DA6425}"/>
    <cellStyle name="Comma 5 2 2 3 10" xfId="52945" xr:uid="{F527714B-D94F-41EA-8E49-41C43A438514}"/>
    <cellStyle name="Comma 5 2 2 3 2" xfId="10420" xr:uid="{859CDAA9-47C5-40BE-A2AB-6165332B7F44}"/>
    <cellStyle name="Comma 5 2 2 3 2 2" xfId="14839" xr:uid="{2F94FD42-4A77-4276-A25D-88EE727F67E5}"/>
    <cellStyle name="Comma 5 2 2 3 2 2 2" xfId="22386" xr:uid="{3549FAD1-1A66-40F1-893B-33A2E878A8D4}"/>
    <cellStyle name="Comma 5 2 2 3 2 2 3" xfId="24939" xr:uid="{FD32666B-61B1-4E5B-8F65-F82DFAE541A7}"/>
    <cellStyle name="Comma 5 2 2 3 2 2 4" xfId="51724" xr:uid="{D85315F2-F78E-4458-B7A0-D87DCC96A8B7}"/>
    <cellStyle name="Comma 5 2 2 3 2 2 5" xfId="54740" xr:uid="{E891AC6D-012A-4E8B-96B1-89FE55A0F1BD}"/>
    <cellStyle name="Comma 5 2 2 3 2 3" xfId="15324" xr:uid="{48D57C42-7712-4B36-997D-4AAD71F5E167}"/>
    <cellStyle name="Comma 5 2 2 3 2 3 2" xfId="22863" xr:uid="{4B83014C-8D90-4938-80E5-009E813F833A}"/>
    <cellStyle name="Comma 5 2 2 3 2 3 3" xfId="48220" xr:uid="{B877FBE4-C0D1-4F09-A040-32AF58DAE551}"/>
    <cellStyle name="Comma 5 2 2 3 2 3 4" xfId="52201" xr:uid="{15166C59-A0C1-450C-AE52-5EAE46C5D420}"/>
    <cellStyle name="Comma 5 2 2 3 2 3 5" xfId="55217" xr:uid="{B6A37C14-80DD-4B33-B214-9D6CF51E84B8}"/>
    <cellStyle name="Comma 5 2 2 3 2 4" xfId="15811" xr:uid="{5734FB92-5D91-454A-9D5B-108724829389}"/>
    <cellStyle name="Comma 5 2 2 3 2 4 2" xfId="23340" xr:uid="{C20A2B05-2C6C-493E-A555-F354E8778A8E}"/>
    <cellStyle name="Comma 5 2 2 3 2 4 3" xfId="46590" xr:uid="{4DCB7E16-1DA5-45EF-A192-6A108F673F73}"/>
    <cellStyle name="Comma 5 2 2 3 2 4 4" xfId="52678" xr:uid="{BED31B2B-5446-492D-BDFC-57636AA7AB90}"/>
    <cellStyle name="Comma 5 2 2 3 2 4 5" xfId="55694" xr:uid="{F7F3581E-98A4-4E2C-AB1D-E14E2C947CF8}"/>
    <cellStyle name="Comma 5 2 2 3 2 5" xfId="12873" xr:uid="{45E1D4BA-938B-4DD4-A499-8A58E844A023}"/>
    <cellStyle name="Comma 5 2 2 3 2 5 2" xfId="47824" xr:uid="{F8A07B8A-EBAD-4A98-8E83-35DA55A18F6B}"/>
    <cellStyle name="Comma 5 2 2 3 2 5 3" xfId="51247" xr:uid="{0DA34621-1169-40FB-9A6F-3AD37CB5B0AB}"/>
    <cellStyle name="Comma 5 2 2 3 2 5 4" xfId="54263" xr:uid="{D0993B1D-61B0-4812-9AE9-510613178031}"/>
    <cellStyle name="Comma 5 2 2 3 2 6" xfId="38070" xr:uid="{F70837AC-49A7-4622-9849-329FF1A2E98A}"/>
    <cellStyle name="Comma 5 2 2 3 2 7" xfId="47882" xr:uid="{CB543080-97FE-4D65-BAD2-640372A41086}"/>
    <cellStyle name="Comma 5 2 2 3 2 8" xfId="50141" xr:uid="{59070CCC-2C65-439E-A57D-A4691B4654F8}"/>
    <cellStyle name="Comma 5 2 2 3 2 9" xfId="53157" xr:uid="{66AB4FAF-D580-476E-BE99-A042D2ABF40A}"/>
    <cellStyle name="Comma 5 2 2 3 3" xfId="14627" xr:uid="{A2201F49-5265-4153-B4FD-C59641EA7B90}"/>
    <cellStyle name="Comma 5 2 2 3 3 2" xfId="22174" xr:uid="{EB75117E-2FDD-40C9-8045-02235D987751}"/>
    <cellStyle name="Comma 5 2 2 3 3 3" xfId="43372" xr:uid="{CE6727C9-1532-42A3-ADB3-FB3CDC3DC411}"/>
    <cellStyle name="Comma 5 2 2 3 3 4" xfId="48348" xr:uid="{2699C154-6F76-4698-8FA7-14646371CEEF}"/>
    <cellStyle name="Comma 5 2 2 3 3 5" xfId="51512" xr:uid="{80E4D0D4-84C6-4B75-B014-8CD2DF0C1C63}"/>
    <cellStyle name="Comma 5 2 2 3 3 6" xfId="54528" xr:uid="{316CD6B4-7E47-459D-9D8F-8F47D855BB6A}"/>
    <cellStyle name="Comma 5 2 2 3 4" xfId="15112" xr:uid="{F7B0C63A-95F9-49A4-A690-ED44780F1F29}"/>
    <cellStyle name="Comma 5 2 2 3 4 2" xfId="22651" xr:uid="{21DDA3AE-D686-4642-8975-ABDAA0062FB5}"/>
    <cellStyle name="Comma 5 2 2 3 4 3" xfId="46481" xr:uid="{4B9793A2-DBA4-4928-9B80-82E6ED1EEB05}"/>
    <cellStyle name="Comma 5 2 2 3 4 4" xfId="51989" xr:uid="{D6862A18-8EE2-437D-A59D-1E41B7155118}"/>
    <cellStyle name="Comma 5 2 2 3 4 5" xfId="55005" xr:uid="{6246AA64-AA51-4662-9F47-3226EE234A55}"/>
    <cellStyle name="Comma 5 2 2 3 5" xfId="15599" xr:uid="{A67BCB97-F5ED-4606-A93C-901F3060CFB3}"/>
    <cellStyle name="Comma 5 2 2 3 5 2" xfId="23128" xr:uid="{331A4CDA-A5AE-4DC3-BC96-23CB16918AE6}"/>
    <cellStyle name="Comma 5 2 2 3 5 3" xfId="25286" xr:uid="{A48C1A7B-B454-437C-B3D2-2E527F59D7EB}"/>
    <cellStyle name="Comma 5 2 2 3 5 4" xfId="52466" xr:uid="{BCB5CC96-E53D-4255-87B0-F3DA2CA5B1E5}"/>
    <cellStyle name="Comma 5 2 2 3 5 5" xfId="55482" xr:uid="{163B567F-8EBA-4F21-AEF5-46F821DA0926}"/>
    <cellStyle name="Comma 5 2 2 3 6" xfId="12564" xr:uid="{6B716760-B745-464A-A097-62A7E3330C70}"/>
    <cellStyle name="Comma 5 2 2 3 6 2" xfId="32537" xr:uid="{DB10CC6C-3815-49BD-AA37-CDDBB88F9475}"/>
    <cellStyle name="Comma 5 2 2 3 6 3" xfId="51035" xr:uid="{C619EEEF-11C8-4E3F-B21B-5BD227AE4B72}"/>
    <cellStyle name="Comma 5 2 2 3 6 4" xfId="54051" xr:uid="{18A028C6-7001-4B81-8A1A-0F9053036107}"/>
    <cellStyle name="Comma 5 2 2 3 7" xfId="32696" xr:uid="{26EC86F5-82DC-43FF-9CFD-F6CBD31F3CAD}"/>
    <cellStyle name="Comma 5 2 2 3 8" xfId="47873" xr:uid="{F5AFE743-BBBB-4823-9FE9-92A2D42B4FDB}"/>
    <cellStyle name="Comma 5 2 2 3 9" xfId="49929" xr:uid="{4C992079-0D92-4A74-BB71-72783B8C8F93}"/>
    <cellStyle name="Comma 5 2 2 4" xfId="10186" xr:uid="{3FE4896C-B2AF-4216-8B5F-E1C0B7AB7108}"/>
    <cellStyle name="Comma 5 2 2 4 10" xfId="52998" xr:uid="{3C1C9517-720E-4D65-B4AF-99E50901349D}"/>
    <cellStyle name="Comma 5 2 2 4 2" xfId="10500" xr:uid="{39C8A3DD-6584-4407-862D-C0F04672B763}"/>
    <cellStyle name="Comma 5 2 2 4 2 2" xfId="14892" xr:uid="{A8ADB194-1B6C-4A33-AA34-2A01635C889E}"/>
    <cellStyle name="Comma 5 2 2 4 2 2 2" xfId="22439" xr:uid="{A4654E77-0638-4D17-A7F3-E54A6F52F1A0}"/>
    <cellStyle name="Comma 5 2 2 4 2 2 3" xfId="34027" xr:uid="{CA9E8E83-AA7C-471C-8A63-D26B9AA2CD0D}"/>
    <cellStyle name="Comma 5 2 2 4 2 2 4" xfId="51777" xr:uid="{3C5FF67B-558D-4541-AADA-4D77BC27D34F}"/>
    <cellStyle name="Comma 5 2 2 4 2 2 5" xfId="54793" xr:uid="{212FB3FA-5AD9-4665-97C7-DE403CD81235}"/>
    <cellStyle name="Comma 5 2 2 4 2 3" xfId="15377" xr:uid="{5598E4DE-D1D5-4F30-8D52-24CAA0974768}"/>
    <cellStyle name="Comma 5 2 2 4 2 3 2" xfId="22916" xr:uid="{FAD0F81B-51AD-484D-9C14-05578182DA1B}"/>
    <cellStyle name="Comma 5 2 2 4 2 3 3" xfId="46914" xr:uid="{73FAC1D3-9E91-4686-8940-8A6C2F526070}"/>
    <cellStyle name="Comma 5 2 2 4 2 3 4" xfId="52254" xr:uid="{B2D5B8A2-50B7-4B9F-B972-6B158BD3E9F5}"/>
    <cellStyle name="Comma 5 2 2 4 2 3 5" xfId="55270" xr:uid="{D5C11301-8314-41CF-B7D0-C22E9E7B4FAF}"/>
    <cellStyle name="Comma 5 2 2 4 2 4" xfId="15864" xr:uid="{EE1CA214-6CEC-4861-9730-C02A55B71C25}"/>
    <cellStyle name="Comma 5 2 2 4 2 4 2" xfId="23393" xr:uid="{2AD3A308-EA6A-48B2-9638-ADD5911D0C5D}"/>
    <cellStyle name="Comma 5 2 2 4 2 4 3" xfId="48321" xr:uid="{4FFFDBD9-EAB8-4E7D-B26D-060333F2996B}"/>
    <cellStyle name="Comma 5 2 2 4 2 4 4" xfId="52731" xr:uid="{22950097-823A-4DF2-8C29-57EE95206F91}"/>
    <cellStyle name="Comma 5 2 2 4 2 4 5" xfId="55747" xr:uid="{C9DC9E3A-B932-4469-B7D9-B5C3860D0CA7}"/>
    <cellStyle name="Comma 5 2 2 4 2 5" xfId="12953" xr:uid="{CD3E13C7-CF33-4EE0-A3BA-FEE1635B45D6}"/>
    <cellStyle name="Comma 5 2 2 4 2 5 2" xfId="32465" xr:uid="{A2AF3CAF-A38E-4688-A98E-1AA52A0297C7}"/>
    <cellStyle name="Comma 5 2 2 4 2 5 3" xfId="51300" xr:uid="{534A823E-2F2C-44F2-A60F-60028DC24A42}"/>
    <cellStyle name="Comma 5 2 2 4 2 5 4" xfId="54316" xr:uid="{CD175654-C895-4AE6-8254-8DBE3C0202D4}"/>
    <cellStyle name="Comma 5 2 2 4 2 6" xfId="46138" xr:uid="{E8087548-C5E2-4747-934A-CB78C9C780F4}"/>
    <cellStyle name="Comma 5 2 2 4 2 7" xfId="50194" xr:uid="{9958E450-FDCF-46A0-9834-D8AC89CF33A5}"/>
    <cellStyle name="Comma 5 2 2 4 2 8" xfId="53210" xr:uid="{90EA896C-3F08-4E36-937A-F64190789507}"/>
    <cellStyle name="Comma 5 2 2 4 3" xfId="14680" xr:uid="{85692E4B-BD0D-41C4-BAD2-74CC029E1D42}"/>
    <cellStyle name="Comma 5 2 2 4 3 2" xfId="22227" xr:uid="{404F27CB-1FE7-41F9-9A06-74B5E009251E}"/>
    <cellStyle name="Comma 5 2 2 4 3 3" xfId="47238" xr:uid="{84C35888-58E2-4913-B892-9A654203B1E3}"/>
    <cellStyle name="Comma 5 2 2 4 3 4" xfId="51565" xr:uid="{E915FCB1-F508-49B6-9E20-BFDE5DA4DE08}"/>
    <cellStyle name="Comma 5 2 2 4 3 5" xfId="54581" xr:uid="{B08ACC3A-E849-459D-A1DD-1F71AF45AB76}"/>
    <cellStyle name="Comma 5 2 2 4 4" xfId="15165" xr:uid="{5DB2C4E1-D4A8-466C-BE9C-481C3BC277EC}"/>
    <cellStyle name="Comma 5 2 2 4 4 2" xfId="22704" xr:uid="{2F017D13-960B-44E7-83A5-3D93490E0C17}"/>
    <cellStyle name="Comma 5 2 2 4 4 3" xfId="46492" xr:uid="{4B9085ED-D540-49A5-821A-827466FA29F1}"/>
    <cellStyle name="Comma 5 2 2 4 4 4" xfId="52042" xr:uid="{121843A9-D5E3-4FFE-8533-CA7F15361618}"/>
    <cellStyle name="Comma 5 2 2 4 4 5" xfId="55058" xr:uid="{E49D9AAF-C864-4EB2-9FA3-8E043E82DADF}"/>
    <cellStyle name="Comma 5 2 2 4 5" xfId="15652" xr:uid="{970110B8-F278-4F27-86D8-A03D7E3D7875}"/>
    <cellStyle name="Comma 5 2 2 4 5 2" xfId="23181" xr:uid="{8F390218-8CCA-42DD-86B6-5FFFBC60FE7A}"/>
    <cellStyle name="Comma 5 2 2 4 5 3" xfId="47198" xr:uid="{19414543-DF87-41AC-8C28-AE21157E06EC}"/>
    <cellStyle name="Comma 5 2 2 4 5 4" xfId="52519" xr:uid="{6D89CBD8-E699-4BB1-86DF-D6B3BC42BD5E}"/>
    <cellStyle name="Comma 5 2 2 4 5 5" xfId="55535" xr:uid="{EF8B9D8B-D244-4D77-8011-1DE4B9FD21E2}"/>
    <cellStyle name="Comma 5 2 2 4 6" xfId="12640" xr:uid="{2B4DC09B-50CA-462B-B707-02363E5EF129}"/>
    <cellStyle name="Comma 5 2 2 4 6 2" xfId="46334" xr:uid="{28F39DC3-416E-44F4-A6CC-A2D3BF2A4424}"/>
    <cellStyle name="Comma 5 2 2 4 6 3" xfId="51088" xr:uid="{50001F4F-09F9-4020-96AA-3CCC2A7E647D}"/>
    <cellStyle name="Comma 5 2 2 4 6 4" xfId="54104" xr:uid="{6F877D2B-1DB3-4808-BDA1-E90A8359E98C}"/>
    <cellStyle name="Comma 5 2 2 4 7" xfId="35605" xr:uid="{45EACD33-C42A-4120-99AF-8B87FDEBE879}"/>
    <cellStyle name="Comma 5 2 2 4 8" xfId="46985" xr:uid="{0CEA43BD-A777-45F7-B460-C8A584B3DE02}"/>
    <cellStyle name="Comma 5 2 2 4 9" xfId="49982" xr:uid="{48C762D1-A661-4A2E-ACC8-99A3AC517217}"/>
    <cellStyle name="Comma 5 2 2 5" xfId="10266" xr:uid="{912C164B-2574-4C2F-B76F-03AB74655F46}"/>
    <cellStyle name="Comma 5 2 2 5 2" xfId="14733" xr:uid="{D97FAED4-918B-47C4-8749-B8104D718837}"/>
    <cellStyle name="Comma 5 2 2 5 2 2" xfId="22280" xr:uid="{5D43CEC1-1B46-4A26-A9B9-A3FFC7534516}"/>
    <cellStyle name="Comma 5 2 2 5 2 3" xfId="46425" xr:uid="{53FEDD80-47E1-446E-A112-0F139E20FBDD}"/>
    <cellStyle name="Comma 5 2 2 5 2 4" xfId="51618" xr:uid="{9760B9FD-C24E-4964-ACB7-EB89282F2604}"/>
    <cellStyle name="Comma 5 2 2 5 2 5" xfId="54634" xr:uid="{05DE3D3D-62C3-4F85-8692-0E6E64FA2509}"/>
    <cellStyle name="Comma 5 2 2 5 3" xfId="15218" xr:uid="{CC784ACC-479B-4BB4-8838-A0008AE904FD}"/>
    <cellStyle name="Comma 5 2 2 5 3 2" xfId="22757" xr:uid="{787C7F92-7FCB-4649-ACF2-7C791B6A1D2D}"/>
    <cellStyle name="Comma 5 2 2 5 3 3" xfId="47781" xr:uid="{591B7F03-E60F-44D5-8C85-6B84ABF91037}"/>
    <cellStyle name="Comma 5 2 2 5 3 4" xfId="52095" xr:uid="{A5F5A28D-1F2D-40C6-8E9C-9696C21DA1FB}"/>
    <cellStyle name="Comma 5 2 2 5 3 5" xfId="55111" xr:uid="{3222D27E-C6F2-44D7-AE59-213D3A08AD87}"/>
    <cellStyle name="Comma 5 2 2 5 4" xfId="15705" xr:uid="{1974E7E6-0438-4002-9C09-EBC3531F5E93}"/>
    <cellStyle name="Comma 5 2 2 5 4 2" xfId="23234" xr:uid="{94FE4843-91F1-4FB2-8F41-12F8EF5AFFB2}"/>
    <cellStyle name="Comma 5 2 2 5 4 3" xfId="47375" xr:uid="{0851A718-7AF6-44E3-B841-6454491EF26C}"/>
    <cellStyle name="Comma 5 2 2 5 4 4" xfId="52572" xr:uid="{32ECA86D-C814-4349-AF23-965190C9A954}"/>
    <cellStyle name="Comma 5 2 2 5 4 5" xfId="55588" xr:uid="{7E423BCA-2DE1-456F-8BAB-05E865F8A342}"/>
    <cellStyle name="Comma 5 2 2 5 5" xfId="12719" xr:uid="{F4D669DE-F4D0-4BF4-8D9C-D73D4744ECEE}"/>
    <cellStyle name="Comma 5 2 2 5 5 2" xfId="46667" xr:uid="{18630111-93C7-4A45-972B-F91757C15FAB}"/>
    <cellStyle name="Comma 5 2 2 5 5 3" xfId="51141" xr:uid="{459424C1-E417-486C-B443-53055CA32A16}"/>
    <cellStyle name="Comma 5 2 2 5 5 4" xfId="54157" xr:uid="{8386B246-D886-4391-8924-8544C32EC197}"/>
    <cellStyle name="Comma 5 2 2 5 6" xfId="40721" xr:uid="{E1A31CE3-520F-4914-BF9A-BD647876B951}"/>
    <cellStyle name="Comma 5 2 2 5 7" xfId="46076" xr:uid="{F0764C44-A7AD-4786-BF53-276D305BBCCA}"/>
    <cellStyle name="Comma 5 2 2 5 8" xfId="50035" xr:uid="{894280F6-C453-4EDC-9936-BD97C19507D5}"/>
    <cellStyle name="Comma 5 2 2 5 9" xfId="53051" xr:uid="{F5012EF2-DFDE-4FB3-AAB1-B2E409C5C6DC}"/>
    <cellStyle name="Comma 5 2 2 6" xfId="10580" xr:uid="{8DA44A5A-DEB7-484A-823F-D6BDFEC21FFA}"/>
    <cellStyle name="Comma 5 2 2 6 2" xfId="14945" xr:uid="{1B6D4244-D2E3-4F3D-B26C-E006BBE41B28}"/>
    <cellStyle name="Comma 5 2 2 6 2 2" xfId="22492" xr:uid="{D4E9F201-52D4-4EB6-BF28-980D33709EF0}"/>
    <cellStyle name="Comma 5 2 2 6 2 3" xfId="24184" xr:uid="{B8BECFA1-03AB-49DC-90EF-B91041D11272}"/>
    <cellStyle name="Comma 5 2 2 6 2 4" xfId="51830" xr:uid="{FC208035-C506-4105-84DE-3354526602BD}"/>
    <cellStyle name="Comma 5 2 2 6 2 5" xfId="54846" xr:uid="{8AF4A4DF-CA00-404E-9453-4D189E449883}"/>
    <cellStyle name="Comma 5 2 2 6 3" xfId="15430" xr:uid="{D9F2FC7E-63BC-4579-A448-636ED017A8E8}"/>
    <cellStyle name="Comma 5 2 2 6 3 2" xfId="22969" xr:uid="{6E9EB278-0A71-43FF-B7C3-BFFEECA6D564}"/>
    <cellStyle name="Comma 5 2 2 6 3 3" xfId="48443" xr:uid="{046EEE8D-36BA-419F-8C9C-455EFB833935}"/>
    <cellStyle name="Comma 5 2 2 6 3 4" xfId="52307" xr:uid="{3431040C-4097-4728-BDB8-287011542621}"/>
    <cellStyle name="Comma 5 2 2 6 3 5" xfId="55323" xr:uid="{E833210D-A58E-4482-960B-0375BA70F717}"/>
    <cellStyle name="Comma 5 2 2 6 4" xfId="15918" xr:uid="{FED9475D-31BC-4286-8288-3D55E84C184D}"/>
    <cellStyle name="Comma 5 2 2 6 4 2" xfId="23446" xr:uid="{7D26274A-9C1F-45EC-89E6-A7E74D5BBEF5}"/>
    <cellStyle name="Comma 5 2 2 6 4 3" xfId="33345" xr:uid="{2622A0C2-6F8B-4290-8CC7-7AA75B5EC1A2}"/>
    <cellStyle name="Comma 5 2 2 6 4 4" xfId="52784" xr:uid="{0001873E-9ECF-4B37-9010-AC27E2C56797}"/>
    <cellStyle name="Comma 5 2 2 6 4 5" xfId="55800" xr:uid="{C9B85DAA-2553-4D8B-8F7C-3864AC935602}"/>
    <cellStyle name="Comma 5 2 2 6 5" xfId="13033" xr:uid="{613B1123-988C-4325-983E-EA667CE3AC43}"/>
    <cellStyle name="Comma 5 2 2 6 5 2" xfId="48579" xr:uid="{2C4C0C3D-921A-47FB-937B-777DC1AB27AB}"/>
    <cellStyle name="Comma 5 2 2 6 5 3" xfId="51353" xr:uid="{08BFDB0B-BA79-4F98-B66E-C1211BAD080B}"/>
    <cellStyle name="Comma 5 2 2 6 5 4" xfId="54369" xr:uid="{46547114-28CA-47D4-BC03-169ECC7C43B2}"/>
    <cellStyle name="Comma 5 2 2 6 6" xfId="46155" xr:uid="{D9E2AB1C-AB5D-4FD1-9D61-1293E9520E76}"/>
    <cellStyle name="Comma 5 2 2 6 7" xfId="50247" xr:uid="{957DBC81-AFF0-4E98-8D82-14640CF7D2E1}"/>
    <cellStyle name="Comma 5 2 2 6 8" xfId="53263" xr:uid="{1FF6F3D6-4972-48AD-9982-22B660C2DFE4}"/>
    <cellStyle name="Comma 5 2 2 7" xfId="14521" xr:uid="{49CE7008-87BF-419A-AA95-12A6CCE219A1}"/>
    <cellStyle name="Comma 5 2 2 7 2" xfId="22068" xr:uid="{42967F9B-4344-458F-8F49-EDA48F87F628}"/>
    <cellStyle name="Comma 5 2 2 7 3" xfId="46391" xr:uid="{30E2690C-1190-4F0C-B972-D138DB33B250}"/>
    <cellStyle name="Comma 5 2 2 7 4" xfId="51406" xr:uid="{9C5241C1-C698-4C7E-AE6B-90233C631F5C}"/>
    <cellStyle name="Comma 5 2 2 7 5" xfId="54422" xr:uid="{47F3B2E7-9514-49A9-8E6B-0C38656B3DE6}"/>
    <cellStyle name="Comma 5 2 2 8" xfId="15005" xr:uid="{4AF39227-FCBB-4951-9D83-D3D9208CA3F9}"/>
    <cellStyle name="Comma 5 2 2 8 2" xfId="22545" xr:uid="{07358A38-E533-4675-ABBF-A942CA0526CB}"/>
    <cellStyle name="Comma 5 2 2 8 3" xfId="48069" xr:uid="{734D4817-1B5E-410E-8C71-224D0496B015}"/>
    <cellStyle name="Comma 5 2 2 8 4" xfId="51883" xr:uid="{486EC3B2-8D5E-42E8-BAC7-E724226E736E}"/>
    <cellStyle name="Comma 5 2 2 8 5" xfId="54899" xr:uid="{8612BA6F-F076-462E-8A7B-055EDD74B8D5}"/>
    <cellStyle name="Comma 5 2 2 9" xfId="15492" xr:uid="{6B008498-B842-45BF-B355-709A49B0D50D}"/>
    <cellStyle name="Comma 5 2 2 9 2" xfId="23022" xr:uid="{90D62371-6B7C-4A45-A801-61B4220EFBFF}"/>
    <cellStyle name="Comma 5 2 2 9 3" xfId="47194" xr:uid="{70B33718-F10F-4A18-8C2C-64FC9F59E512}"/>
    <cellStyle name="Comma 5 2 2 9 4" xfId="52360" xr:uid="{692E85FA-3506-4CD1-B74C-EA53C493DE83}"/>
    <cellStyle name="Comma 5 2 2 9 5" xfId="55376" xr:uid="{EB111B6F-C60B-47B0-875D-863F9A1D7F15}"/>
    <cellStyle name="Comma 5 2 3" xfId="9596" xr:uid="{50C03854-21D5-4F71-8F78-63602BD26711}"/>
    <cellStyle name="Comma 5 2 3 10" xfId="52857" xr:uid="{A74C2BFC-E482-4E73-A753-7D28EF55ABA0}"/>
    <cellStyle name="Comma 5 2 3 2" xfId="10290" xr:uid="{6D1BB9E9-1FC4-44D8-B064-191687D8680B}"/>
    <cellStyle name="Comma 5 2 3 2 2" xfId="14751" xr:uid="{C980BEE4-B5B8-4DDC-AEF2-192428B9F25C}"/>
    <cellStyle name="Comma 5 2 3 2 2 2" xfId="22298" xr:uid="{F5367B2D-0CED-4FCB-B379-3B181ED3FE80}"/>
    <cellStyle name="Comma 5 2 3 2 2 3" xfId="38071" xr:uid="{8C1EEE42-FB63-4EDA-841D-F405B37C3E71}"/>
    <cellStyle name="Comma 5 2 3 2 2 4" xfId="47773" xr:uid="{BA3C1E32-B1ED-4278-B3F7-9C719CF33112}"/>
    <cellStyle name="Comma 5 2 3 2 2 5" xfId="51636" xr:uid="{9E0520CF-577A-4639-9F4F-A31C8C34F988}"/>
    <cellStyle name="Comma 5 2 3 2 2 6" xfId="54652" xr:uid="{2B5316BE-C451-4B0F-BC56-88F4FE29B9FB}"/>
    <cellStyle name="Comma 5 2 3 2 3" xfId="15236" xr:uid="{DAC254B8-94F9-4EA9-A45D-FB875916A2C2}"/>
    <cellStyle name="Comma 5 2 3 2 3 2" xfId="22775" xr:uid="{F035BA99-38E6-4699-82BD-CB6161942D4D}"/>
    <cellStyle name="Comma 5 2 3 2 3 3" xfId="43373" xr:uid="{A6006548-D29A-4AF0-A887-A7A65F16D3A7}"/>
    <cellStyle name="Comma 5 2 3 2 3 4" xfId="48071" xr:uid="{271778E6-AABF-4F94-8757-B7AEFE2B48DA}"/>
    <cellStyle name="Comma 5 2 3 2 3 5" xfId="52113" xr:uid="{04138346-BE87-42AB-8744-C9270D8D4A97}"/>
    <cellStyle name="Comma 5 2 3 2 3 6" xfId="55129" xr:uid="{929FB33C-4C3B-4E91-8522-1DD6F86A0872}"/>
    <cellStyle name="Comma 5 2 3 2 4" xfId="15723" xr:uid="{8F2D6253-4A65-4BBA-B969-94E060CD5FD4}"/>
    <cellStyle name="Comma 5 2 3 2 4 2" xfId="23252" xr:uid="{E02B01B4-119E-4C4F-B3E1-88B70F586D5B}"/>
    <cellStyle name="Comma 5 2 3 2 4 3" xfId="48369" xr:uid="{5B22981E-0011-4840-A8D5-9940871C7734}"/>
    <cellStyle name="Comma 5 2 3 2 4 4" xfId="52590" xr:uid="{12D2B93F-91E7-4F2F-9D90-BB59FF2D90A1}"/>
    <cellStyle name="Comma 5 2 3 2 4 5" xfId="55606" xr:uid="{5FB1AB60-89CC-463C-AF21-A7E5CB60236A}"/>
    <cellStyle name="Comma 5 2 3 2 5" xfId="12743" xr:uid="{F7AF142E-6F47-4E50-BD7D-9836ED368788}"/>
    <cellStyle name="Comma 5 2 3 2 5 2" xfId="46669" xr:uid="{E2D389BF-851E-4160-93D0-5CFF5B1EBDB4}"/>
    <cellStyle name="Comma 5 2 3 2 5 3" xfId="51159" xr:uid="{3F4BEC6F-032D-46BB-850B-406BFBFDCD33}"/>
    <cellStyle name="Comma 5 2 3 2 5 4" xfId="54175" xr:uid="{C51B6290-AECD-489B-8538-8ED399AFC4D7}"/>
    <cellStyle name="Comma 5 2 3 2 6" xfId="32697" xr:uid="{C1E2E659-83DD-422B-B9F2-E9205D86623B}"/>
    <cellStyle name="Comma 5 2 3 2 7" xfId="48285" xr:uid="{6152A770-5874-47ED-B287-0E107E9C7BA6}"/>
    <cellStyle name="Comma 5 2 3 2 8" xfId="50053" xr:uid="{74AF2EB0-660C-4967-B150-C9E0BDAD35A6}"/>
    <cellStyle name="Comma 5 2 3 2 9" xfId="53069" xr:uid="{C93B2019-2A19-4FED-A8B2-944880519AAE}"/>
    <cellStyle name="Comma 5 2 3 3" xfId="14539" xr:uid="{F39D72F9-9557-46BF-A3F8-EBD39ACED8AA}"/>
    <cellStyle name="Comma 5 2 3 3 2" xfId="22086" xr:uid="{A342E0B3-B784-41A5-94EE-9390665AE7E8}"/>
    <cellStyle name="Comma 5 2 3 3 3" xfId="35606" xr:uid="{9AE79273-D371-4275-BA00-E4F665B93E60}"/>
    <cellStyle name="Comma 5 2 3 3 4" xfId="47105" xr:uid="{C52ADD09-0B1B-4639-BC81-EB644EEA3E57}"/>
    <cellStyle name="Comma 5 2 3 3 5" xfId="51424" xr:uid="{F02E425F-05A9-428C-B22B-0F5904ADF536}"/>
    <cellStyle name="Comma 5 2 3 3 6" xfId="54440" xr:uid="{FEEA798B-33AC-4442-B616-4B80FC051C1B}"/>
    <cellStyle name="Comma 5 2 3 4" xfId="15023" xr:uid="{3B4A5863-CC88-4AC3-9CAF-03078791EBE7}"/>
    <cellStyle name="Comma 5 2 3 4 2" xfId="22563" xr:uid="{493BD8B5-BE07-42A8-86B7-B8988D21FE0A}"/>
    <cellStyle name="Comma 5 2 3 4 3" xfId="40722" xr:uid="{65545CB8-94BE-485E-B016-313D2DB7745B}"/>
    <cellStyle name="Comma 5 2 3 4 4" xfId="24453" xr:uid="{23FAF648-EA1E-4124-BDF9-88626FFADA8A}"/>
    <cellStyle name="Comma 5 2 3 4 5" xfId="51901" xr:uid="{0A7266E2-11A5-4B3F-8F20-F06BC9F808B6}"/>
    <cellStyle name="Comma 5 2 3 4 6" xfId="54917" xr:uid="{EF458F9C-DA9A-4FBC-92E5-A92EDC9A1E0F}"/>
    <cellStyle name="Comma 5 2 3 5" xfId="15510" xr:uid="{2369D434-F1F9-4608-A8D4-4F075A7906DB}"/>
    <cellStyle name="Comma 5 2 3 5 2" xfId="23040" xr:uid="{776A06B0-0E75-4502-AD99-A6B04E714A8E}"/>
    <cellStyle name="Comma 5 2 3 5 3" xfId="47496" xr:uid="{E64659FC-85A2-452A-8479-DC4006AE1DC1}"/>
    <cellStyle name="Comma 5 2 3 5 4" xfId="52378" xr:uid="{1AC9B89A-86EC-421E-B336-78527F891559}"/>
    <cellStyle name="Comma 5 2 3 5 5" xfId="55394" xr:uid="{961987BB-CEFF-42A1-BBB5-77EDAEEA7DB9}"/>
    <cellStyle name="Comma 5 2 3 6" xfId="12449" xr:uid="{83DE88FB-19E8-41EA-AF9F-9664DE06AE7A}"/>
    <cellStyle name="Comma 5 2 3 6 2" xfId="46308" xr:uid="{B8B96DD5-2A3C-4AD2-94A0-B5CA06BE6EE8}"/>
    <cellStyle name="Comma 5 2 3 6 3" xfId="50948" xr:uid="{D194C9BF-E0E0-47F1-9644-C2E52DDB028A}"/>
    <cellStyle name="Comma 5 2 3 6 4" xfId="53964" xr:uid="{72EDE9D4-6CD4-423E-B472-EF2C6C4D26A4}"/>
    <cellStyle name="Comma 5 2 3 7" xfId="23782" xr:uid="{FF7A90BF-FF76-48B0-89CF-C3B2DEA4540B}"/>
    <cellStyle name="Comma 5 2 3 8" xfId="46015" xr:uid="{EE6315DC-40C4-4937-AD7C-C9791BE7E533}"/>
    <cellStyle name="Comma 5 2 3 9" xfId="49841" xr:uid="{B0187AF5-56CC-4B14-8DC9-2F46F75AFA73}"/>
    <cellStyle name="Comma 5 2 4" xfId="10056" xr:uid="{C4069BCA-A5B7-4F29-A0B1-ECA15B1217A2}"/>
    <cellStyle name="Comma 5 2 4 10" xfId="49894" xr:uid="{33EAE686-EA25-4669-8296-E45768B06696}"/>
    <cellStyle name="Comma 5 2 4 11" xfId="52910" xr:uid="{0458471D-51FB-41D4-A4E8-6990527F5DB9}"/>
    <cellStyle name="Comma 5 2 4 2" xfId="10364" xr:uid="{A6215F48-FDD1-48BC-93B5-89FA066F9783}"/>
    <cellStyle name="Comma 5 2 4 2 2" xfId="14804" xr:uid="{BBAFE08A-AD90-4DF0-A498-CD44583A6E1E}"/>
    <cellStyle name="Comma 5 2 4 2 2 2" xfId="22351" xr:uid="{958DCDE1-098D-494A-94A0-55FACB23ECAC}"/>
    <cellStyle name="Comma 5 2 4 2 2 3" xfId="32529" xr:uid="{19F697EF-22D9-4BCF-9E7F-5B0782256049}"/>
    <cellStyle name="Comma 5 2 4 2 2 4" xfId="51689" xr:uid="{B9FE0B50-CEA8-41C5-A162-BB0E92AFC3E2}"/>
    <cellStyle name="Comma 5 2 4 2 2 5" xfId="54705" xr:uid="{225DC529-9366-4FC6-8DCB-CC0381649C93}"/>
    <cellStyle name="Comma 5 2 4 2 3" xfId="15289" xr:uid="{E15B2E7A-25A2-49CD-9124-6676EBB36B37}"/>
    <cellStyle name="Comma 5 2 4 2 3 2" xfId="22828" xr:uid="{ECF68901-B307-4DAE-B2B7-885B94EF1D7D}"/>
    <cellStyle name="Comma 5 2 4 2 3 3" xfId="46511" xr:uid="{0435EAD2-17B5-44AE-BF21-213D6054A031}"/>
    <cellStyle name="Comma 5 2 4 2 3 4" xfId="52166" xr:uid="{E931E63A-C4FA-4A9D-A8FF-90571ED4EA3C}"/>
    <cellStyle name="Comma 5 2 4 2 3 5" xfId="55182" xr:uid="{04955AEF-2B39-4FBA-BF03-A7D2187DC0E9}"/>
    <cellStyle name="Comma 5 2 4 2 4" xfId="15776" xr:uid="{12890C0C-32AB-4233-B30D-96A01FBBDF1B}"/>
    <cellStyle name="Comma 5 2 4 2 4 2" xfId="23305" xr:uid="{D539287A-3DB2-46B1-ACCE-0C8E5FB7B52D}"/>
    <cellStyle name="Comma 5 2 4 2 4 3" xfId="48424" xr:uid="{0EA2B448-D075-4F26-9AA5-682C04967CC9}"/>
    <cellStyle name="Comma 5 2 4 2 4 4" xfId="52643" xr:uid="{2821CF4D-94C5-4C4F-AC6E-615711DD318B}"/>
    <cellStyle name="Comma 5 2 4 2 4 5" xfId="55659" xr:uid="{28CFD29E-2A66-42DE-856F-EC0A2447801D}"/>
    <cellStyle name="Comma 5 2 4 2 5" xfId="12817" xr:uid="{82A8E2E4-0FB0-48CD-905D-DC0CAAD275B6}"/>
    <cellStyle name="Comma 5 2 4 2 5 2" xfId="48398" xr:uid="{5FF7B483-8D8A-4EA7-85E6-07FC9E52C3E4}"/>
    <cellStyle name="Comma 5 2 4 2 5 3" xfId="51212" xr:uid="{5B7F88EF-E84B-4D7E-9787-BCC26B1E02FD}"/>
    <cellStyle name="Comma 5 2 4 2 5 4" xfId="54228" xr:uid="{3A222E0D-00A6-44B6-BF7D-B0764E395DB8}"/>
    <cellStyle name="Comma 5 2 4 2 6" xfId="24270" xr:uid="{C4A25583-F554-463A-A7E6-946FD816114C}"/>
    <cellStyle name="Comma 5 2 4 2 7" xfId="50106" xr:uid="{895049B6-95CD-4771-8B5C-CAB569EA54C4}"/>
    <cellStyle name="Comma 5 2 4 2 8" xfId="53122" xr:uid="{BA49433E-0B74-470B-AB30-D9EF60B3DEB6}"/>
    <cellStyle name="Comma 5 2 4 3" xfId="14592" xr:uid="{66F19166-3091-4303-ABEC-A92465260795}"/>
    <cellStyle name="Comma 5 2 4 3 2" xfId="22139" xr:uid="{8AF28FB0-4A9B-48CD-8B1D-1336D05868F7}"/>
    <cellStyle name="Comma 5 2 4 3 3" xfId="34059" xr:uid="{DA064177-ED00-484A-A6B1-BB6C59A4A382}"/>
    <cellStyle name="Comma 5 2 4 3 4" xfId="51477" xr:uid="{11D62483-174E-41BF-B4A7-6A2A18645664}"/>
    <cellStyle name="Comma 5 2 4 3 5" xfId="54493" xr:uid="{3D9E76C0-4E0D-4372-8749-F58C10E6F5CC}"/>
    <cellStyle name="Comma 5 2 4 4" xfId="15077" xr:uid="{D09A8F74-0FBA-4B56-BA85-FC83EA4917A9}"/>
    <cellStyle name="Comma 5 2 4 4 2" xfId="22616" xr:uid="{803AFE50-4337-45FF-BE19-4534B8B295E1}"/>
    <cellStyle name="Comma 5 2 4 4 3" xfId="47695" xr:uid="{9D0944FA-61BB-469B-B36F-60B264200027}"/>
    <cellStyle name="Comma 5 2 4 4 4" xfId="51954" xr:uid="{1D6E51EB-611C-4425-AF4F-C9B4DB73BC6B}"/>
    <cellStyle name="Comma 5 2 4 4 5" xfId="54970" xr:uid="{F6EE7696-4F52-49D1-B18C-F60BAFCFD4D8}"/>
    <cellStyle name="Comma 5 2 4 5" xfId="15564" xr:uid="{39EAF0F3-BCE8-4CA8-A279-445926C0CA0F}"/>
    <cellStyle name="Comma 5 2 4 5 2" xfId="23093" xr:uid="{DE79FEC9-D2E5-467F-A529-D0578B3BC2A4}"/>
    <cellStyle name="Comma 5 2 4 5 3" xfId="47134" xr:uid="{234CD9EF-9AA1-4209-99CD-80CE1ED286C4}"/>
    <cellStyle name="Comma 5 2 4 5 4" xfId="52431" xr:uid="{BEFEF129-CDF7-4375-B3CA-D73F93E31173}"/>
    <cellStyle name="Comma 5 2 4 5 5" xfId="55447" xr:uid="{AF8611B3-D2CC-4F1F-B843-C8E224F7BE3C}"/>
    <cellStyle name="Comma 5 2 4 6" xfId="12515" xr:uid="{2F1AA215-F834-4661-82F0-4163E21BDA86}"/>
    <cellStyle name="Comma 5 2 4 6 2" xfId="36623" xr:uid="{7CC261A0-FB4E-4CCB-85D0-529F9EE8A65F}"/>
    <cellStyle name="Comma 5 2 4 6 3" xfId="51000" xr:uid="{9D1A94AD-3163-42D9-B339-382D0E63FAAE}"/>
    <cellStyle name="Comma 5 2 4 6 4" xfId="54016" xr:uid="{EA5B06BC-28F0-47A8-B0C2-E4ED1CBCACEA}"/>
    <cellStyle name="Comma 5 2 4 7" xfId="23783" xr:uid="{0B4216EA-C8C5-485B-9EFC-747DC5D4BFEE}"/>
    <cellStyle name="Comma 5 2 4 8" xfId="48660" xr:uid="{56654D49-A3E8-4D03-829A-6E296C8CAA32}"/>
    <cellStyle name="Comma 5 2 4 9" xfId="49568" xr:uid="{CD51B0FF-D456-47A7-9E5A-41BC78C02EE0}"/>
    <cellStyle name="Comma 5 2 5" xfId="10130" xr:uid="{27E979B5-D378-4EB5-BD18-F8A7A489733F}"/>
    <cellStyle name="Comma 5 2 5 10" xfId="52963" xr:uid="{52FFE364-3BFD-4C53-B0E6-64B546729D82}"/>
    <cellStyle name="Comma 5 2 5 2" xfId="10444" xr:uid="{4CB56CAD-1314-41C5-B19D-49DAE2ED3102}"/>
    <cellStyle name="Comma 5 2 5 2 2" xfId="14857" xr:uid="{05589D3D-8CE8-430D-A866-6D0FD7D8269E}"/>
    <cellStyle name="Comma 5 2 5 2 2 2" xfId="22404" xr:uid="{099E899D-0FDA-44E5-A679-BCABCDA2E9F2}"/>
    <cellStyle name="Comma 5 2 5 2 2 3" xfId="38072" xr:uid="{64D2ADE5-3A3A-4E01-8D45-713B4634659A}"/>
    <cellStyle name="Comma 5 2 5 2 2 4" xfId="47485" xr:uid="{EF07F07A-A8BB-49D1-ACBD-3B14C7EF4451}"/>
    <cellStyle name="Comma 5 2 5 2 2 5" xfId="51742" xr:uid="{1F4E8DC3-5A32-43D3-A0AF-5E9B95AD8D0E}"/>
    <cellStyle name="Comma 5 2 5 2 2 6" xfId="54758" xr:uid="{682D636F-DAC7-44C5-99EA-A94E6C8ABB7C}"/>
    <cellStyle name="Comma 5 2 5 2 3" xfId="15342" xr:uid="{5418AE1D-0855-4C1D-873C-D569B1E13D41}"/>
    <cellStyle name="Comma 5 2 5 2 3 2" xfId="22881" xr:uid="{AEE15EF0-D9B8-4D54-A362-3188A364A3AB}"/>
    <cellStyle name="Comma 5 2 5 2 3 3" xfId="43374" xr:uid="{48109D3B-46A9-478D-A742-E844A8564488}"/>
    <cellStyle name="Comma 5 2 5 2 3 4" xfId="24176" xr:uid="{04BED61C-E37C-44C2-9278-DA92AA6D7F7A}"/>
    <cellStyle name="Comma 5 2 5 2 3 5" xfId="52219" xr:uid="{1E557913-2E14-4A76-954E-A99EFF4DFBCE}"/>
    <cellStyle name="Comma 5 2 5 2 3 6" xfId="55235" xr:uid="{46276763-9B17-4FF2-84C3-DE8A76AC7226}"/>
    <cellStyle name="Comma 5 2 5 2 4" xfId="15829" xr:uid="{5BF62E85-6880-4463-9EE0-70C6BEE9F053}"/>
    <cellStyle name="Comma 5 2 5 2 4 2" xfId="23358" xr:uid="{DC2338F1-9E62-4039-9F39-6FE7E8A2D140}"/>
    <cellStyle name="Comma 5 2 5 2 4 3" xfId="46593" xr:uid="{E8C1146F-3949-4E48-A3FC-92B2CE62EE9F}"/>
    <cellStyle name="Comma 5 2 5 2 4 4" xfId="52696" xr:uid="{834F1909-A708-45E2-A8F2-0BDE45708049}"/>
    <cellStyle name="Comma 5 2 5 2 4 5" xfId="55712" xr:uid="{CB89AACC-CF7D-44CC-A200-B7A1FF3F5107}"/>
    <cellStyle name="Comma 5 2 5 2 5" xfId="12897" xr:uid="{E4C6D153-59E6-4260-B3BB-A33EB6AFD8E9}"/>
    <cellStyle name="Comma 5 2 5 2 5 2" xfId="47023" xr:uid="{88C1517B-8670-4C48-AD89-A74EFB8DB221}"/>
    <cellStyle name="Comma 5 2 5 2 5 3" xfId="51265" xr:uid="{3CE5EB11-9010-40BC-A454-B9E863BD0DFB}"/>
    <cellStyle name="Comma 5 2 5 2 5 4" xfId="54281" xr:uid="{F07BC737-C0BC-48E8-9382-2AD80B4DFD7E}"/>
    <cellStyle name="Comma 5 2 5 2 6" xfId="32698" xr:uid="{EE24B260-8B14-457C-AB2B-DFD92B4E9EA5}"/>
    <cellStyle name="Comma 5 2 5 2 7" xfId="46122" xr:uid="{8598C51D-EE52-45C9-B0BF-FBC75D61AD7F}"/>
    <cellStyle name="Comma 5 2 5 2 8" xfId="50159" xr:uid="{DFB147FE-27EB-4F80-8AC1-89CE04143AAD}"/>
    <cellStyle name="Comma 5 2 5 2 9" xfId="53175" xr:uid="{8E377EA9-78DC-4CCB-88EF-8A02CC18DE15}"/>
    <cellStyle name="Comma 5 2 5 3" xfId="14645" xr:uid="{33CBD0CB-DBF6-4111-AB39-7CD474B9AB02}"/>
    <cellStyle name="Comma 5 2 5 3 2" xfId="22192" xr:uid="{87664DCB-92A6-401F-BF76-365E96BCF0EC}"/>
    <cellStyle name="Comma 5 2 5 3 3" xfId="35607" xr:uid="{3F8A358D-9B64-4A6E-9406-1077C8AA29DA}"/>
    <cellStyle name="Comma 5 2 5 3 4" xfId="48060" xr:uid="{1B935399-26E4-4048-8596-D73F002F0603}"/>
    <cellStyle name="Comma 5 2 5 3 5" xfId="51530" xr:uid="{B1C6FD6D-CFB6-4200-B4D2-309D002A13D3}"/>
    <cellStyle name="Comma 5 2 5 3 6" xfId="54546" xr:uid="{80FD5FD0-050A-4ABB-A9F9-7769C6B5B2C6}"/>
    <cellStyle name="Comma 5 2 5 4" xfId="15130" xr:uid="{02CAAF77-6D29-4B49-80CF-5E48FCB55385}"/>
    <cellStyle name="Comma 5 2 5 4 2" xfId="22669" xr:uid="{5ED7F303-9EC4-43B4-9ECF-57D4857CBC21}"/>
    <cellStyle name="Comma 5 2 5 4 3" xfId="40723" xr:uid="{2ADB6D3E-43CF-40EA-B769-D75A01DC8179}"/>
    <cellStyle name="Comma 5 2 5 4 4" xfId="46884" xr:uid="{1AA33556-68E3-4C39-B408-0D601E1DCFDB}"/>
    <cellStyle name="Comma 5 2 5 4 5" xfId="52007" xr:uid="{E22C212C-FDA8-4080-B53F-919191F902E8}"/>
    <cellStyle name="Comma 5 2 5 4 6" xfId="55023" xr:uid="{B92D4F07-9A96-4DA6-99EB-2F26A59DCF9E}"/>
    <cellStyle name="Comma 5 2 5 5" xfId="15617" xr:uid="{68178AC2-58C3-458D-A379-D4B507BD66FB}"/>
    <cellStyle name="Comma 5 2 5 5 2" xfId="23146" xr:uid="{26C04343-B988-4143-83D3-19F900434AB9}"/>
    <cellStyle name="Comma 5 2 5 5 3" xfId="46558" xr:uid="{D9E0ADD8-CCC2-4C89-8D08-C21CC1FF51DD}"/>
    <cellStyle name="Comma 5 2 5 5 4" xfId="52484" xr:uid="{3F0B5684-1D02-41E3-953D-3698C5051106}"/>
    <cellStyle name="Comma 5 2 5 5 5" xfId="55500" xr:uid="{523F2D9E-0517-4342-AF2F-FB4115F6125D}"/>
    <cellStyle name="Comma 5 2 5 6" xfId="12587" xr:uid="{442F3023-49C7-4442-8997-A6E17E3DFE89}"/>
    <cellStyle name="Comma 5 2 5 6 2" xfId="46665" xr:uid="{8B368116-1D84-43BE-B946-D5355F4D2BD2}"/>
    <cellStyle name="Comma 5 2 5 6 3" xfId="51053" xr:uid="{B9513C2D-FE3E-4D0F-87BF-FD4EE0B6EE07}"/>
    <cellStyle name="Comma 5 2 5 6 4" xfId="54069" xr:uid="{B38B84F2-80F7-4B00-A5C5-28DCF388239A}"/>
    <cellStyle name="Comma 5 2 5 7" xfId="23784" xr:uid="{65498EDF-350F-495D-9D80-CC7289AD584C}"/>
    <cellStyle name="Comma 5 2 5 8" xfId="47278" xr:uid="{EE3A3FC4-6590-4C25-A4E3-2EF7F76B5791}"/>
    <cellStyle name="Comma 5 2 5 9" xfId="49947" xr:uid="{29CEAF0B-A3B5-4D7D-9FA0-2ED5CB50A93D}"/>
    <cellStyle name="Comma 5 2 6" xfId="10210" xr:uid="{4F61F508-34C4-4D07-BDA5-E416FD06D5AC}"/>
    <cellStyle name="Comma 5 2 6 2" xfId="14698" xr:uid="{4C826ACE-7702-48DE-8FF3-3587E44A05AB}"/>
    <cellStyle name="Comma 5 2 6 2 2" xfId="22245" xr:uid="{57DF110B-C508-4669-9005-501EB7268424}"/>
    <cellStyle name="Comma 5 2 6 2 2 2" xfId="38073" xr:uid="{FE7451BD-1D0A-4816-887F-EE5476D3CB2F}"/>
    <cellStyle name="Comma 5 2 6 2 3" xfId="43375" xr:uid="{37FAF040-E23C-4EBA-A5D1-7A5C184C8B09}"/>
    <cellStyle name="Comma 5 2 6 2 4" xfId="32699" xr:uid="{14C7AF23-EA61-462C-8C3E-B48B6BDC91B4}"/>
    <cellStyle name="Comma 5 2 6 2 5" xfId="32409" xr:uid="{A1AE352F-FCC2-4B78-98C2-CCF089D79131}"/>
    <cellStyle name="Comma 5 2 6 2 6" xfId="51583" xr:uid="{875C338C-AA29-4B7B-9C68-FC5B832634C0}"/>
    <cellStyle name="Comma 5 2 6 2 7" xfId="54599" xr:uid="{4B914942-AE28-4A46-94C0-1B9F8DA0432D}"/>
    <cellStyle name="Comma 5 2 6 3" xfId="15183" xr:uid="{F35DC1A7-CE52-43E2-BA95-40FB332B8F50}"/>
    <cellStyle name="Comma 5 2 6 3 2" xfId="22722" xr:uid="{04AE1FDC-8702-4E8F-A7F5-8FE1A0DF361E}"/>
    <cellStyle name="Comma 5 2 6 3 3" xfId="35608" xr:uid="{3BE5EB00-9B48-4613-9B1D-E4B35858A2FF}"/>
    <cellStyle name="Comma 5 2 6 3 4" xfId="32460" xr:uid="{27C1586A-AD54-40A7-B16A-7182DA22C971}"/>
    <cellStyle name="Comma 5 2 6 3 5" xfId="52060" xr:uid="{70BD0F38-A62C-48B5-B782-0A2E711A1B01}"/>
    <cellStyle name="Comma 5 2 6 3 6" xfId="55076" xr:uid="{FB6AF4EA-6A6F-4042-9088-8BC05E9EA82B}"/>
    <cellStyle name="Comma 5 2 6 4" xfId="15670" xr:uid="{62103D7C-9DF3-4EE4-A006-0A33BC8CA319}"/>
    <cellStyle name="Comma 5 2 6 4 2" xfId="23199" xr:uid="{9A0628C3-758B-4577-8923-5F5E7A6DB727}"/>
    <cellStyle name="Comma 5 2 6 4 3" xfId="40724" xr:uid="{8A846698-1447-440C-8E5A-1157FE1D6C09}"/>
    <cellStyle name="Comma 5 2 6 4 4" xfId="47728" xr:uid="{E3373BDC-4BE3-4745-AC95-C4F586856D8F}"/>
    <cellStyle name="Comma 5 2 6 4 5" xfId="52537" xr:uid="{BF9EB301-2FF9-4186-8649-FB44FE519C78}"/>
    <cellStyle name="Comma 5 2 6 4 6" xfId="55553" xr:uid="{3885E91F-F8B4-4FDC-B09C-6014D2CA2A39}"/>
    <cellStyle name="Comma 5 2 6 5" xfId="12663" xr:uid="{5FE32130-6330-4245-8728-235F51ACA46A}"/>
    <cellStyle name="Comma 5 2 6 5 2" xfId="47228" xr:uid="{A0D8532A-E686-490D-8387-9D894C32563B}"/>
    <cellStyle name="Comma 5 2 6 5 3" xfId="51106" xr:uid="{765FF8B0-8979-476F-85EC-CDF54A068680}"/>
    <cellStyle name="Comma 5 2 6 5 4" xfId="54122" xr:uid="{E606A1B7-94D0-4167-903E-3934558C48BA}"/>
    <cellStyle name="Comma 5 2 6 6" xfId="23785" xr:uid="{BF521A54-C2D0-46F1-99F3-2D30B83684E0}"/>
    <cellStyle name="Comma 5 2 6 7" xfId="47876" xr:uid="{E58B1213-6811-4311-9111-7391AB808A94}"/>
    <cellStyle name="Comma 5 2 6 8" xfId="50000" xr:uid="{4C7E2FB3-E110-4E90-8744-9EE1AABE8E51}"/>
    <cellStyle name="Comma 5 2 6 9" xfId="53016" xr:uid="{A1FC49D7-A815-4877-A494-D41F00C4FDAB}"/>
    <cellStyle name="Comma 5 2 7" xfId="10524" xr:uid="{22840352-4D40-43C5-9691-54EB746BB77B}"/>
    <cellStyle name="Comma 5 2 7 2" xfId="14910" xr:uid="{61F8AD3B-AC4A-4657-AA2F-D2B3C26AF867}"/>
    <cellStyle name="Comma 5 2 7 2 2" xfId="22457" xr:uid="{ED4968BD-A30C-4BD1-A208-C38DFB276243}"/>
    <cellStyle name="Comma 5 2 7 2 2 2" xfId="38074" xr:uid="{80DEE437-EF22-47EA-BB7B-CD58C93D1632}"/>
    <cellStyle name="Comma 5 2 7 2 3" xfId="43376" xr:uid="{0D2A12B4-3C80-4A43-9050-9E3B9682C831}"/>
    <cellStyle name="Comma 5 2 7 2 4" xfId="32700" xr:uid="{A8424D21-7A18-4BEC-B7F8-F20109B9053A}"/>
    <cellStyle name="Comma 5 2 7 2 5" xfId="48266" xr:uid="{40A4DFAC-DCDB-4EDE-9F09-3D4CE7BD357F}"/>
    <cellStyle name="Comma 5 2 7 2 6" xfId="51795" xr:uid="{E39217AA-FA17-48A3-AD2F-9FCE73CA7415}"/>
    <cellStyle name="Comma 5 2 7 2 7" xfId="54811" xr:uid="{040CAC89-32F3-4C9B-8F6D-0823CBC4DC76}"/>
    <cellStyle name="Comma 5 2 7 3" xfId="15395" xr:uid="{DF54E8CB-ADE2-41D0-9150-6F557692079D}"/>
    <cellStyle name="Comma 5 2 7 3 2" xfId="22934" xr:uid="{39DBCC04-E9EE-4418-974B-534FDE183709}"/>
    <cellStyle name="Comma 5 2 7 3 3" xfId="35609" xr:uid="{8E8ACB30-A68E-4319-927F-D04DC275172A}"/>
    <cellStyle name="Comma 5 2 7 3 4" xfId="46528" xr:uid="{3FA259D4-FFC0-4537-BB69-329269565677}"/>
    <cellStyle name="Comma 5 2 7 3 5" xfId="52272" xr:uid="{BF294433-0A67-431C-9077-33BF044133E8}"/>
    <cellStyle name="Comma 5 2 7 3 6" xfId="55288" xr:uid="{ABDBA491-EA03-402D-BF05-486028151229}"/>
    <cellStyle name="Comma 5 2 7 4" xfId="15882" xr:uid="{D845B783-95FF-49FB-9A19-F135B3C8A5BF}"/>
    <cellStyle name="Comma 5 2 7 4 2" xfId="23411" xr:uid="{2FF47164-80CF-4839-8C67-E3A22BFE9D17}"/>
    <cellStyle name="Comma 5 2 7 4 3" xfId="40725" xr:uid="{A1362ADE-DFC1-4ADC-A91C-9D23DCCA81FD}"/>
    <cellStyle name="Comma 5 2 7 4 4" xfId="47556" xr:uid="{E108277C-AF67-4CAB-B47A-EAD20DF316B8}"/>
    <cellStyle name="Comma 5 2 7 4 5" xfId="52749" xr:uid="{9C663968-2A79-42BB-9EAB-10341114F040}"/>
    <cellStyle name="Comma 5 2 7 4 6" xfId="55765" xr:uid="{F99589F1-4BA0-4F91-9DF9-D34769A2E80B}"/>
    <cellStyle name="Comma 5 2 7 5" xfId="12977" xr:uid="{3D7C9667-47B8-4507-94A4-C60A75226208}"/>
    <cellStyle name="Comma 5 2 7 5 2" xfId="48057" xr:uid="{74110A5B-67C3-47C2-9C13-16698211D562}"/>
    <cellStyle name="Comma 5 2 7 5 3" xfId="51318" xr:uid="{256FA719-5EB7-447F-8FE7-C4E366F02CEB}"/>
    <cellStyle name="Comma 5 2 7 5 4" xfId="54334" xr:uid="{5A01547E-CDFD-43FC-9D7E-A95362763CE0}"/>
    <cellStyle name="Comma 5 2 7 6" xfId="23786" xr:uid="{B3A9E9B2-A950-4A86-A587-2FF00607A8E8}"/>
    <cellStyle name="Comma 5 2 7 7" xfId="47654" xr:uid="{DCC6AE17-CD72-4BC0-8D30-BDD42EC76393}"/>
    <cellStyle name="Comma 5 2 7 8" xfId="50212" xr:uid="{940AD59D-5573-440C-833B-E8A0E3000731}"/>
    <cellStyle name="Comma 5 2 7 9" xfId="53228" xr:uid="{2D3941D3-3529-4B03-AC67-734EFE6A78A9}"/>
    <cellStyle name="Comma 5 2 8" xfId="14486" xr:uid="{764231D7-C39A-44ED-8902-DD7FA3750DDE}"/>
    <cellStyle name="Comma 5 2 8 2" xfId="22033" xr:uid="{72B2B4DD-BE0D-4920-9F0A-EE64B0372F2F}"/>
    <cellStyle name="Comma 5 2 8 2 2" xfId="38069" xr:uid="{30B1E3D6-8013-4604-A885-9DA852A3EE55}"/>
    <cellStyle name="Comma 5 2 8 3" xfId="43371" xr:uid="{CFB13121-B3AB-4158-85F9-CE561B1E3F5B}"/>
    <cellStyle name="Comma 5 2 8 4" xfId="32695" xr:uid="{E2A340ED-BE86-470B-AB1D-33C771447C5F}"/>
    <cellStyle name="Comma 5 2 8 5" xfId="32414" xr:uid="{ED5922D5-1D0D-460A-BA53-CF1335E3813A}"/>
    <cellStyle name="Comma 5 2 8 6" xfId="51371" xr:uid="{B9CB850E-F5D5-418D-87B3-408E51A636B7}"/>
    <cellStyle name="Comma 5 2 8 7" xfId="54387" xr:uid="{BD67E6F7-7F5E-4958-BEE2-F1A161063B09}"/>
    <cellStyle name="Comma 5 2 9" xfId="14966" xr:uid="{1B9D0E57-58BB-48D7-8FC2-135C0DD09D3C}"/>
    <cellStyle name="Comma 5 2 9 2" xfId="22510" xr:uid="{C9211E3C-B556-4DE1-BCA4-928707816504}"/>
    <cellStyle name="Comma 5 2 9 3" xfId="35604" xr:uid="{D32279DB-B52A-4143-B180-6BFD750EF1D9}"/>
    <cellStyle name="Comma 5 2 9 4" xfId="48412" xr:uid="{51C50AD1-D4C8-4B93-98EB-AE3E47C080EE}"/>
    <cellStyle name="Comma 5 2 9 5" xfId="51848" xr:uid="{E31BEB5A-883F-479C-8DD4-DD2BF1907018}"/>
    <cellStyle name="Comma 5 2 9 6" xfId="54864" xr:uid="{E1D9757B-6F2D-4162-A743-C569D1FAB278}"/>
    <cellStyle name="Comma 5 3" xfId="2629" xr:uid="{62BEAAA4-2164-4072-AAD4-244577425C4E}"/>
    <cellStyle name="Comma 5 3 2" xfId="4545" xr:uid="{3B0AA891-FA99-4C99-8666-A275B1C4CFAF}"/>
    <cellStyle name="Comma 5 3 2 2" xfId="35066" xr:uid="{754B4673-A67B-4A1C-95B0-068F47F9122C}"/>
    <cellStyle name="Comma 5 3 2 2 2" xfId="40227" xr:uid="{52CB88A9-B6F4-4A78-8030-24FF490E270A}"/>
    <cellStyle name="Comma 5 3 2 2 3" xfId="45529" xr:uid="{ABF84611-5D69-4884-A42E-CCFF38CB6931}"/>
    <cellStyle name="Comma 5 3 2 3" xfId="37576" xr:uid="{63C106F2-7D87-4BA8-95EF-E65532F888B3}"/>
    <cellStyle name="Comma 5 3 2 4" xfId="42878" xr:uid="{13FAFC9E-74F9-4E08-9AFC-E07513AAC616}"/>
    <cellStyle name="Comma 5 3 2 5" xfId="9882" xr:uid="{7430387F-61E3-427C-AD48-9E4917BBB6F6}"/>
    <cellStyle name="Comma 5 3 3" xfId="5826" xr:uid="{E81F8B88-167F-4D79-8CB5-310EF5CC7C5B}"/>
    <cellStyle name="Comma 5 3 3 2" xfId="12360" xr:uid="{C4D5008A-2DCF-4DB6-A017-8B23F3AB2783}"/>
    <cellStyle name="Comma 5 3 4" xfId="11701" xr:uid="{9A6958AD-D84E-4A1D-9070-1E99CE3F68F9}"/>
    <cellStyle name="Comma 5 3 4 2" xfId="21721" xr:uid="{BF39F6A7-9F15-4217-A4FA-9DDDEB6C1302}"/>
    <cellStyle name="Comma 5 3 4 3" xfId="24227" xr:uid="{A31B359C-735E-44D9-934B-110BB438C8B5}"/>
    <cellStyle name="Comma 5 3 4 4" xfId="50748" xr:uid="{962A3E6E-0BF6-4EC7-B1D9-70BDA8B8C6BA}"/>
    <cellStyle name="Comma 5 3 4 5" xfId="53764" xr:uid="{8D56E89A-4744-4BB8-A1CE-02B2F8539C41}"/>
    <cellStyle name="Comma 5 3 5" xfId="19493" xr:uid="{5ACA217C-07C8-47C3-A585-3986C0575CA0}"/>
    <cellStyle name="Comma 5 3 6" xfId="23787" xr:uid="{BF909E80-9850-4FB5-B33C-BB92E62CD20F}"/>
    <cellStyle name="Comma 5 3 7" xfId="48661" xr:uid="{BAF1319A-83BC-4176-8EFC-887046D89337}"/>
    <cellStyle name="Comma 5 3 8" xfId="49569" xr:uid="{D4D45E7E-9B08-4756-828B-87602A8E9BDC}"/>
    <cellStyle name="Comma 5 3 9" xfId="8425" xr:uid="{6FAB90ED-0552-4471-8D23-04EDF9B9CB31}"/>
    <cellStyle name="Comma 5 4" xfId="7719" xr:uid="{13FB64E2-4542-4B8F-9656-A492ACAA8109}"/>
    <cellStyle name="Comma 5 4 10" xfId="15461" xr:uid="{E3A1640C-8614-49DD-A91E-9E9A74983F28}"/>
    <cellStyle name="Comma 5 4 10 2" xfId="22993" xr:uid="{6E97AC68-00E9-4887-AB49-CE9A9203C324}"/>
    <cellStyle name="Comma 5 4 10 3" xfId="47569" xr:uid="{DF5358C6-4C3B-4B16-BE03-76EC73311F03}"/>
    <cellStyle name="Comma 5 4 10 4" xfId="52331" xr:uid="{6624EDE0-0744-496E-BE06-912BA663F136}"/>
    <cellStyle name="Comma 5 4 10 5" xfId="55347" xr:uid="{5F5FA368-B56B-426D-982A-A3C98227AEEB}"/>
    <cellStyle name="Comma 5 4 10 6" xfId="19326" xr:uid="{49FC980E-8512-4869-ADF4-28C53B4499BC}"/>
    <cellStyle name="Comma 5 4 11" xfId="11198" xr:uid="{0841D578-16B4-4DB9-90CB-CE34D6728D50}"/>
    <cellStyle name="Comma 5 4 11 2" xfId="21694" xr:uid="{79DB4454-5DEE-4D2F-998C-F379D717A456}"/>
    <cellStyle name="Comma 5 4 11 3" xfId="47158" xr:uid="{2D7251E4-5793-4753-84D4-E892E4F96E76}"/>
    <cellStyle name="Comma 5 4 11 4" xfId="50711" xr:uid="{E983BEFB-CBAB-45D5-BC67-796A62F33717}"/>
    <cellStyle name="Comma 5 4 11 5" xfId="53727" xr:uid="{AE38524C-6130-4C74-A05E-D828027F64B7}"/>
    <cellStyle name="Comma 5 4 12" xfId="19494" xr:uid="{16176B31-FAF5-4E6B-ACFA-EA6FF01F224F}"/>
    <cellStyle name="Comma 5 4 13" xfId="23788" xr:uid="{AE9DEFFE-3D6C-4151-94B8-F7BEB1631F62}"/>
    <cellStyle name="Comma 5 4 14" xfId="47378" xr:uid="{74E4CAF7-04EF-46D4-96D6-3C0712C890CD}"/>
    <cellStyle name="Comma 5 4 15" xfId="48662" xr:uid="{F9B656FD-374E-468C-B02C-143214615A99}"/>
    <cellStyle name="Comma 5 4 16" xfId="49570" xr:uid="{3A31B160-F378-41BD-8C93-77A2AB2027EE}"/>
    <cellStyle name="Comma 5 4 17" xfId="49794" xr:uid="{1E9C77A2-28B3-4B8D-B9A5-ECF86ADD4670}"/>
    <cellStyle name="Comma 5 4 18" xfId="52809" xr:uid="{5EB2F481-9293-42C5-8251-9CDA28104AF3}"/>
    <cellStyle name="Comma 5 4 19" xfId="15946" xr:uid="{037B03C9-FC04-417E-8436-9518F2235009}"/>
    <cellStyle name="Comma 5 4 2" xfId="9877" xr:uid="{32369DA9-027D-4B4C-AF1F-9499C47C0454}"/>
    <cellStyle name="Comma 5 4 2 10" xfId="18738" xr:uid="{10F4A68C-B709-4EA6-8C0B-29A89F4DABDB}"/>
    <cellStyle name="Comma 5 4 2 2" xfId="10300" xr:uid="{DDAAAAF2-B39A-418C-A775-DF8817338685}"/>
    <cellStyle name="Comma 5 4 2 2 2" xfId="14757" xr:uid="{39555467-AF97-48B1-B967-162CD47004F9}"/>
    <cellStyle name="Comma 5 4 2 2 2 2" xfId="22304" xr:uid="{D8594808-9A6B-4837-BBD6-3687F6B2F168}"/>
    <cellStyle name="Comma 5 4 2 2 2 3" xfId="48351" xr:uid="{5CEDA2D8-DFB5-4549-8318-43098BB43DEB}"/>
    <cellStyle name="Comma 5 4 2 2 2 4" xfId="51642" xr:uid="{17CBC2D6-AB66-4C38-B7EA-E7610EBBCA0E}"/>
    <cellStyle name="Comma 5 4 2 2 2 5" xfId="54658" xr:uid="{9922076C-9E33-4089-9E2B-11FA626E4316}"/>
    <cellStyle name="Comma 5 4 2 2 2 6" xfId="19116" xr:uid="{566139B0-B759-409D-AD24-1104BEAA135E}"/>
    <cellStyle name="Comma 5 4 2 2 3" xfId="15242" xr:uid="{E65EC174-9C01-42E4-97E6-C65A4019FAFE}"/>
    <cellStyle name="Comma 5 4 2 2 3 2" xfId="22781" xr:uid="{5D180EB0-3562-4A38-8FEE-AA9C93B3C9AE}"/>
    <cellStyle name="Comma 5 4 2 2 3 3" xfId="36579" xr:uid="{5C77EC69-F3DF-42DF-8E10-87351B03101B}"/>
    <cellStyle name="Comma 5 4 2 2 3 4" xfId="52119" xr:uid="{37497C6B-E36D-4D94-AB18-95E206FCD175}"/>
    <cellStyle name="Comma 5 4 2 2 3 5" xfId="55135" xr:uid="{41EB76E3-A9A0-4B0B-AFF7-2B9A787E212D}"/>
    <cellStyle name="Comma 5 4 2 2 3 6" xfId="19259" xr:uid="{CD0DB6BF-AC87-4E38-9725-AD7A2231F478}"/>
    <cellStyle name="Comma 5 4 2 2 4" xfId="15729" xr:uid="{0AAE3A00-4492-499E-B69E-4A8DC78B50EB}"/>
    <cellStyle name="Comma 5 4 2 2 4 2" xfId="23258" xr:uid="{5AA6C2A3-15D7-4DBD-B4EB-DCDCF52976A2}"/>
    <cellStyle name="Comma 5 4 2 2 4 3" xfId="47501" xr:uid="{95673370-7761-4EC7-9932-ABAE7B8BF2EE}"/>
    <cellStyle name="Comma 5 4 2 2 4 4" xfId="52596" xr:uid="{A941B67B-72E4-4406-930C-68D2F371DCE7}"/>
    <cellStyle name="Comma 5 4 2 2 4 5" xfId="55612" xr:uid="{6C79A067-3CB0-4C3E-9195-2420E345E497}"/>
    <cellStyle name="Comma 5 4 2 2 4 6" xfId="19404" xr:uid="{AF8C01D3-CEBD-4DCE-8DED-672A70168147}"/>
    <cellStyle name="Comma 5 4 2 2 5" xfId="12753" xr:uid="{B266042B-E237-4F30-8B27-2943C41ED0EF}"/>
    <cellStyle name="Comma 5 4 2 2 5 2" xfId="48493" xr:uid="{EED8110C-0062-402E-BAF9-13DAD3BC02FD}"/>
    <cellStyle name="Comma 5 4 2 2 5 3" xfId="51165" xr:uid="{90C14AE4-C48C-42DE-A961-438624C00EB3}"/>
    <cellStyle name="Comma 5 4 2 2 5 4" xfId="54181" xr:uid="{A376B1DF-8B20-43B2-93FA-090D68E20638}"/>
    <cellStyle name="Comma 5 4 2 2 5 5" xfId="21974" xr:uid="{97F47AF4-E20C-4D25-9BB0-15945F1F7074}"/>
    <cellStyle name="Comma 5 4 2 2 6" xfId="47558" xr:uid="{437BAD43-D757-4560-BA74-DD50218BF6F5}"/>
    <cellStyle name="Comma 5 4 2 2 7" xfId="50059" xr:uid="{B006CE82-2DAD-4181-8030-69B0461BD9B2}"/>
    <cellStyle name="Comma 5 4 2 2 8" xfId="53075" xr:uid="{6A8CB80F-BD7B-4D5C-BA20-42B1E00CC338}"/>
    <cellStyle name="Comma 5 4 2 2 9" xfId="18883" xr:uid="{D2FAD731-4780-41BB-B536-CA45957BF13D}"/>
    <cellStyle name="Comma 5 4 2 3" xfId="14545" xr:uid="{2376AAE0-C977-48AA-AF10-E37DC811552F}"/>
    <cellStyle name="Comma 5 4 2 3 2" xfId="22092" xr:uid="{6801ED82-E057-4D73-B266-2414A8F5A2B3}"/>
    <cellStyle name="Comma 5 4 2 3 3" xfId="24194" xr:uid="{EC1E83DD-57F5-4361-A68B-FB833B010E3C}"/>
    <cellStyle name="Comma 5 4 2 3 4" xfId="51430" xr:uid="{D2EF862A-17EC-4A10-AB7D-7C3B55A81707}"/>
    <cellStyle name="Comma 5 4 2 3 5" xfId="54446" xr:uid="{D1F84DCE-9EA7-498B-85B7-AF32D0DF0935}"/>
    <cellStyle name="Comma 5 4 2 3 6" xfId="19056" xr:uid="{03D0FB5B-6AF4-47CB-B71F-84467765FB4E}"/>
    <cellStyle name="Comma 5 4 2 4" xfId="15029" xr:uid="{287C08E3-27BF-4FF7-B1BF-D27129125FAE}"/>
    <cellStyle name="Comma 5 4 2 4 2" xfId="22569" xr:uid="{F40ACC0E-E30B-47C3-958F-2F6A1F88347A}"/>
    <cellStyle name="Comma 5 4 2 4 3" xfId="47054" xr:uid="{C868C44E-8CEE-40D2-A4CC-F12F72C90BAF}"/>
    <cellStyle name="Comma 5 4 2 4 4" xfId="51907" xr:uid="{068EA129-F717-4272-8D18-B5B815BF36C0}"/>
    <cellStyle name="Comma 5 4 2 4 5" xfId="54923" xr:uid="{8364C268-928C-4676-AEF3-220E7B88900F}"/>
    <cellStyle name="Comma 5 4 2 4 6" xfId="19198" xr:uid="{4E9CBD5F-7C64-4130-B246-C115D7B24A7B}"/>
    <cellStyle name="Comma 5 4 2 5" xfId="15516" xr:uid="{8581A297-1CC4-42F1-8BD3-DF04E7BEBE9F}"/>
    <cellStyle name="Comma 5 4 2 5 2" xfId="23046" xr:uid="{CDDE33E9-E05E-4E65-A7D0-AA6522E19433}"/>
    <cellStyle name="Comma 5 4 2 5 3" xfId="48077" xr:uid="{FACC0420-ADAB-4891-8E39-BD676ECF2BB4}"/>
    <cellStyle name="Comma 5 4 2 5 4" xfId="52384" xr:uid="{AF218906-6D5D-4BD4-BBD7-7A2ECE61B3E8}"/>
    <cellStyle name="Comma 5 4 2 5 5" xfId="55400" xr:uid="{D5CD6CFD-515B-495F-90F3-82347BC01A2D}"/>
    <cellStyle name="Comma 5 4 2 5 6" xfId="19343" xr:uid="{C3E7D670-8907-4375-80E3-05A11AD6CA92}"/>
    <cellStyle name="Comma 5 4 2 6" xfId="12456" xr:uid="{85CF6103-B86C-414D-B109-B301284BCE34}"/>
    <cellStyle name="Comma 5 4 2 6 2" xfId="24537" xr:uid="{E860DD88-6749-404B-AF66-DAD5DBEE44AB}"/>
    <cellStyle name="Comma 5 4 2 6 3" xfId="50953" xr:uid="{D75D8921-DC94-4D0F-AAF4-3FC75F3530EF}"/>
    <cellStyle name="Comma 5 4 2 6 4" xfId="53969" xr:uid="{3488CA18-A5A1-4CF8-88CD-373CC5C70A67}"/>
    <cellStyle name="Comma 5 4 2 6 5" xfId="21912" xr:uid="{C8D6D14B-7072-448E-A87D-EFDAC5D583BD}"/>
    <cellStyle name="Comma 5 4 2 7" xfId="47421" xr:uid="{26A10EE5-C8A7-4DB7-8CED-A850AA1AB1F0}"/>
    <cellStyle name="Comma 5 4 2 8" xfId="49847" xr:uid="{E69A860E-6BA2-4D22-953F-D59BEB68DB1A}"/>
    <cellStyle name="Comma 5 4 2 9" xfId="52863" xr:uid="{ACEF2698-E28E-4592-BDAB-E530E1B8C520}"/>
    <cellStyle name="Comma 5 4 3" xfId="10066" xr:uid="{B13EF069-6DDD-4300-842E-CBAE4D37D1CB}"/>
    <cellStyle name="Comma 5 4 3 10" xfId="18769" xr:uid="{D5F9A99F-9825-4B32-9F1E-5645A4CBB0A3}"/>
    <cellStyle name="Comma 5 4 3 2" xfId="10375" xr:uid="{6C16D051-EC2F-47DA-949B-2D0FDF139240}"/>
    <cellStyle name="Comma 5 4 3 2 2" xfId="14810" xr:uid="{B14CD7E8-607C-4A19-BC11-E5A3CE877B8D}"/>
    <cellStyle name="Comma 5 4 3 2 2 2" xfId="22357" xr:uid="{FB093C90-1AA5-4CBD-B36C-91E34A3D56BF}"/>
    <cellStyle name="Comma 5 4 3 2 2 3" xfId="32528" xr:uid="{1FDF9DCE-02AE-481D-B71E-BAF8B1FD71AF}"/>
    <cellStyle name="Comma 5 4 3 2 2 4" xfId="51695" xr:uid="{E29D1384-B700-4F8A-9C53-3242F18B2258}"/>
    <cellStyle name="Comma 5 4 3 2 2 5" xfId="54711" xr:uid="{EC03578B-A524-4C6E-99DE-5C07B7988FF3}"/>
    <cellStyle name="Comma 5 4 3 2 2 6" xfId="19131" xr:uid="{BEB3217B-462D-4FDF-AD89-D280BB5076E0}"/>
    <cellStyle name="Comma 5 4 3 2 3" xfId="15295" xr:uid="{B505E1F2-5EAA-4041-A7B4-F8A53B37C683}"/>
    <cellStyle name="Comma 5 4 3 2 3 2" xfId="22834" xr:uid="{F419C346-7CDE-4C55-B96A-56107F07CED7}"/>
    <cellStyle name="Comma 5 4 3 2 3 3" xfId="46512" xr:uid="{80E3A08B-A212-41CB-A8AA-4A2388A5B86F}"/>
    <cellStyle name="Comma 5 4 3 2 3 4" xfId="52172" xr:uid="{82020EFF-6FA2-483C-8F54-FD2D9E211C3F}"/>
    <cellStyle name="Comma 5 4 3 2 3 5" xfId="55188" xr:uid="{B04C3D2F-0571-4A4E-AFC0-FED40CCA898A}"/>
    <cellStyle name="Comma 5 4 3 2 3 6" xfId="19274" xr:uid="{C4FB2B60-0769-46DC-9877-459F8A95D43B}"/>
    <cellStyle name="Comma 5 4 3 2 4" xfId="15782" xr:uid="{4ABD9331-118B-4DE9-B315-EECF4D98AA19}"/>
    <cellStyle name="Comma 5 4 3 2 4 2" xfId="23311" xr:uid="{3757D9B2-5369-42F5-9B5F-B24E75C58C50}"/>
    <cellStyle name="Comma 5 4 3 2 4 3" xfId="47553" xr:uid="{059E251F-20A8-44B7-9CBA-CF5B63F8FBE8}"/>
    <cellStyle name="Comma 5 4 3 2 4 4" xfId="52649" xr:uid="{192D3EA4-BFCA-4CEF-8E32-57152C11DB1A}"/>
    <cellStyle name="Comma 5 4 3 2 4 5" xfId="55665" xr:uid="{E046377C-8A93-42E6-B8BB-639CFF1EBC40}"/>
    <cellStyle name="Comma 5 4 3 2 4 6" xfId="19419" xr:uid="{8CCCFB1B-18FE-4B6C-BC06-BC37878D7DEC}"/>
    <cellStyle name="Comma 5 4 3 2 5" xfId="12828" xr:uid="{248D5B2C-2757-4745-85F3-DFA2C15AB014}"/>
    <cellStyle name="Comma 5 4 3 2 5 2" xfId="47921" xr:uid="{8C27009B-BC85-4ECD-AD43-C020B755968B}"/>
    <cellStyle name="Comma 5 4 3 2 5 3" xfId="51218" xr:uid="{60082E7F-3ED6-4B48-AE80-B50C29E65F8F}"/>
    <cellStyle name="Comma 5 4 3 2 5 4" xfId="54234" xr:uid="{D47A7F21-FE9A-4D21-BDD7-3409AB355CE1}"/>
    <cellStyle name="Comma 5 4 3 2 5 5" xfId="21989" xr:uid="{4DAC537E-5E35-44E1-8387-23985E6F72BF}"/>
    <cellStyle name="Comma 5 4 3 2 6" xfId="47583" xr:uid="{7F348826-D1EF-405C-BBB3-3E0F9D7A51DB}"/>
    <cellStyle name="Comma 5 4 3 2 7" xfId="50112" xr:uid="{92185048-3667-46D1-AC99-1DB05F0F9CE8}"/>
    <cellStyle name="Comma 5 4 3 2 8" xfId="53128" xr:uid="{00590DE1-C135-4844-9BB4-5C9FAEC15CB3}"/>
    <cellStyle name="Comma 5 4 3 2 9" xfId="18920" xr:uid="{C1AA83F8-E698-4D1D-8690-B18044CF6A8D}"/>
    <cellStyle name="Comma 5 4 3 3" xfId="14598" xr:uid="{472D4363-3AF9-41D3-846D-252B4AC9140E}"/>
    <cellStyle name="Comma 5 4 3 3 2" xfId="22145" xr:uid="{C895DE65-2ABD-42D1-99A3-AF61B7835644}"/>
    <cellStyle name="Comma 5 4 3 3 3" xfId="47512" xr:uid="{58F20803-EC59-40E7-80D8-94E0DC41ED28}"/>
    <cellStyle name="Comma 5 4 3 3 4" xfId="51483" xr:uid="{DA068634-DD3A-404E-A41C-13245F108C42}"/>
    <cellStyle name="Comma 5 4 3 3 5" xfId="54499" xr:uid="{5020857D-424D-46AA-97A6-85EE9B088379}"/>
    <cellStyle name="Comma 5 4 3 3 6" xfId="19071" xr:uid="{8C63D55E-1630-4E68-B223-9156B081A441}"/>
    <cellStyle name="Comma 5 4 3 4" xfId="15083" xr:uid="{5F72C047-0B07-4110-B821-79004430AC23}"/>
    <cellStyle name="Comma 5 4 3 4 2" xfId="22622" xr:uid="{896985CF-CCBA-4290-BE44-040D3110B2AD}"/>
    <cellStyle name="Comma 5 4 3 4 3" xfId="48275" xr:uid="{A5F255C7-B087-4461-B367-48DF48B131B2}"/>
    <cellStyle name="Comma 5 4 3 4 4" xfId="51960" xr:uid="{9710D836-8CCA-499F-A822-82E68F4B1A8A}"/>
    <cellStyle name="Comma 5 4 3 4 5" xfId="54976" xr:uid="{C600173C-BC97-4D6A-9551-D843EEDCFC63}"/>
    <cellStyle name="Comma 5 4 3 4 6" xfId="19214" xr:uid="{C518B03F-327B-4482-BB7B-DEADDF861527}"/>
    <cellStyle name="Comma 5 4 3 5" xfId="15570" xr:uid="{E3CEFAA4-92E6-40E0-B97B-9E6C38A7A37E}"/>
    <cellStyle name="Comma 5 4 3 5 2" xfId="23099" xr:uid="{092550DA-06C3-445F-A5CF-794A74B234B7}"/>
    <cellStyle name="Comma 5 4 3 5 3" xfId="47726" xr:uid="{A3B78B90-EC41-4A00-B04D-A5967898B070}"/>
    <cellStyle name="Comma 5 4 3 5 4" xfId="52437" xr:uid="{29222594-0BED-44F5-AA79-9DD849C663FB}"/>
    <cellStyle name="Comma 5 4 3 5 5" xfId="55453" xr:uid="{4D06CAA9-1C93-42EC-BE23-ED6EA28358DA}"/>
    <cellStyle name="Comma 5 4 3 5 6" xfId="19359" xr:uid="{B5DE5F1D-8A26-472D-8606-D40D076A6B6D}"/>
    <cellStyle name="Comma 5 4 3 6" xfId="12525" xr:uid="{7B4BF71D-03B5-48F8-A4ED-439D594603A7}"/>
    <cellStyle name="Comma 5 4 3 6 2" xfId="36312" xr:uid="{7EBBCE73-0B06-4AF4-8793-EB2F6BB83872}"/>
    <cellStyle name="Comma 5 4 3 6 3" xfId="51006" xr:uid="{496F3628-6EAC-407B-9C10-4110BB724FAB}"/>
    <cellStyle name="Comma 5 4 3 6 4" xfId="54022" xr:uid="{CA5D681D-7D5F-4976-BF63-4B933809A68D}"/>
    <cellStyle name="Comma 5 4 3 6 5" xfId="21929" xr:uid="{7F8903BA-5CFD-46C0-9DAB-D4245483F83F}"/>
    <cellStyle name="Comma 5 4 3 7" xfId="47205" xr:uid="{D761C128-6C51-4964-8CDA-6B3821534C06}"/>
    <cellStyle name="Comma 5 4 3 8" xfId="49900" xr:uid="{2635AD35-178A-4118-946E-6E7F513D658F}"/>
    <cellStyle name="Comma 5 4 3 9" xfId="52916" xr:uid="{5F112D12-9B3A-49BD-B00B-A4DB22DE9F69}"/>
    <cellStyle name="Comma 5 4 4" xfId="10141" xr:uid="{FD7F70B2-54C6-4CDE-ADEE-9E86AA2613D3}"/>
    <cellStyle name="Comma 5 4 4 10" xfId="18803" xr:uid="{7B841085-BF0F-478B-ADE2-0E8508214CE1}"/>
    <cellStyle name="Comma 5 4 4 2" xfId="10455" xr:uid="{5EF0BC95-2926-480D-9092-687AD8A6AA2E}"/>
    <cellStyle name="Comma 5 4 4 2 2" xfId="14863" xr:uid="{207FEE10-17A8-4E50-A0E1-10187ABCE4EB}"/>
    <cellStyle name="Comma 5 4 4 2 2 2" xfId="22410" xr:uid="{C9EF12E7-1DBA-4C20-9B1F-E90F5FB57FC8}"/>
    <cellStyle name="Comma 5 4 4 2 2 3" xfId="48066" xr:uid="{45C0CF9E-697B-4A52-A869-098E3F90A17E}"/>
    <cellStyle name="Comma 5 4 4 2 2 4" xfId="51748" xr:uid="{4C6F5A81-53D0-4EAD-BD42-E5C12B925BB0}"/>
    <cellStyle name="Comma 5 4 4 2 2 5" xfId="54764" xr:uid="{66006CD4-051A-434D-87BD-BB1A1AD62616}"/>
    <cellStyle name="Comma 5 4 4 2 2 6" xfId="19146" xr:uid="{72D8F030-F87D-4DF1-A58D-E054968B6B28}"/>
    <cellStyle name="Comma 5 4 4 2 3" xfId="15348" xr:uid="{EE6CED55-B394-4BFE-87CE-BE0A7086F6C4}"/>
    <cellStyle name="Comma 5 4 4 2 3 2" xfId="22887" xr:uid="{F152E65A-1810-4B76-9365-3A96CD7EE926}"/>
    <cellStyle name="Comma 5 4 4 2 3 3" xfId="24173" xr:uid="{9EF72287-CAC8-4593-A578-7828C0BEAEA0}"/>
    <cellStyle name="Comma 5 4 4 2 3 4" xfId="52225" xr:uid="{320EDC16-2904-43FA-95C8-3AD0F708E03C}"/>
    <cellStyle name="Comma 5 4 4 2 3 5" xfId="55241" xr:uid="{7F1634A6-E12B-4AAD-99BE-2D17ECD6BF69}"/>
    <cellStyle name="Comma 5 4 4 2 3 6" xfId="19289" xr:uid="{D6DEDE92-E572-4584-A54F-A985E5DBED1F}"/>
    <cellStyle name="Comma 5 4 4 2 4" xfId="15835" xr:uid="{0C2CE56D-8B10-425D-98C3-1D221B4EB978}"/>
    <cellStyle name="Comma 5 4 4 2 4 2" xfId="23364" xr:uid="{6AF55E0A-62C1-4964-88D4-AE3A2747142B}"/>
    <cellStyle name="Comma 5 4 4 2 4 3" xfId="46594" xr:uid="{1D6578C9-FBFF-400E-8861-75D5A31A419A}"/>
    <cellStyle name="Comma 5 4 4 2 4 4" xfId="52702" xr:uid="{C49C7677-AE49-4EBE-B3F4-DF04EE6E271B}"/>
    <cellStyle name="Comma 5 4 4 2 4 5" xfId="55718" xr:uid="{4C884505-3777-4D48-9F21-23699566CE4F}"/>
    <cellStyle name="Comma 5 4 4 2 4 6" xfId="19434" xr:uid="{E7C62589-CACA-4C95-9249-91A5268DE0C8}"/>
    <cellStyle name="Comma 5 4 4 2 5" xfId="12908" xr:uid="{63BCF34D-AC38-4B2E-8F7F-355E3F405C86}"/>
    <cellStyle name="Comma 5 4 4 2 5 2" xfId="46368" xr:uid="{0B34359A-63D4-4E80-B3CC-BD4909E37C2B}"/>
    <cellStyle name="Comma 5 4 4 2 5 3" xfId="51271" xr:uid="{9C9301A6-7F88-4906-BB9B-368C9734F630}"/>
    <cellStyle name="Comma 5 4 4 2 5 4" xfId="54287" xr:uid="{23CDDAD1-69AF-4792-BBB3-8897CD2F42C8}"/>
    <cellStyle name="Comma 5 4 4 2 5 5" xfId="22004" xr:uid="{B30EFF41-738D-4F15-BB54-D31DF7D263D2}"/>
    <cellStyle name="Comma 5 4 4 2 6" xfId="48160" xr:uid="{8FDA1AF8-F3E3-4AC7-93E9-F20B6E277399}"/>
    <cellStyle name="Comma 5 4 4 2 7" xfId="50165" xr:uid="{4FA1BBCE-93DF-42E5-8BE2-4D9384A0303A}"/>
    <cellStyle name="Comma 5 4 4 2 8" xfId="53181" xr:uid="{93DA3674-F49F-4351-A925-2E3C83D2FFAD}"/>
    <cellStyle name="Comma 5 4 4 2 9" xfId="18962" xr:uid="{DFD197BD-335D-4369-97CB-D58E2DC49C05}"/>
    <cellStyle name="Comma 5 4 4 3" xfId="14651" xr:uid="{EA63F4DC-884F-475E-A36A-A6D3CB221E1B}"/>
    <cellStyle name="Comma 5 4 4 3 2" xfId="22198" xr:uid="{0F96C1BC-F4BA-4362-8665-593A0C068A9C}"/>
    <cellStyle name="Comma 5 4 4 3 3" xfId="47408" xr:uid="{9C18B50D-DB1F-4250-B037-A4DF5D5F0C6A}"/>
    <cellStyle name="Comma 5 4 4 3 4" xfId="51536" xr:uid="{7DA46ED2-5A63-49AC-8C9B-B0CA1359772F}"/>
    <cellStyle name="Comma 5 4 4 3 5" xfId="54552" xr:uid="{42CA9463-2C94-49CF-B29F-F22DCDA0AABA}"/>
    <cellStyle name="Comma 5 4 4 3 6" xfId="19086" xr:uid="{BDD4DF9A-846D-48F3-B010-E4EBBBEAE8D5}"/>
    <cellStyle name="Comma 5 4 4 4" xfId="15136" xr:uid="{A3043137-2007-42A6-861A-BD2DB4F4CC48}"/>
    <cellStyle name="Comma 5 4 4 4 2" xfId="22675" xr:uid="{1F6364BD-C598-43CB-B78A-A71A61A51D4D}"/>
    <cellStyle name="Comma 5 4 4 4 3" xfId="46885" xr:uid="{E1052BD5-1127-4C36-B282-953AE39B5BB5}"/>
    <cellStyle name="Comma 5 4 4 4 4" xfId="52013" xr:uid="{619905C6-EC0D-45B0-8EDB-1A31801E9E0D}"/>
    <cellStyle name="Comma 5 4 4 4 5" xfId="55029" xr:uid="{99D17DFC-8F19-4CC9-8E63-B8514A5417A9}"/>
    <cellStyle name="Comma 5 4 4 4 6" xfId="19229" xr:uid="{24484FA9-15E8-49D7-A82D-0EBD6C6F233A}"/>
    <cellStyle name="Comma 5 4 4 5" xfId="15623" xr:uid="{4CEA48DF-FA7A-40A5-BF1B-59E0FFD36561}"/>
    <cellStyle name="Comma 5 4 4 5 2" xfId="23152" xr:uid="{68368C10-7214-4020-8815-C1CC48715687}"/>
    <cellStyle name="Comma 5 4 4 5 3" xfId="46559" xr:uid="{2FF170DB-4B5D-410F-9E6F-F62B7EAB536C}"/>
    <cellStyle name="Comma 5 4 4 5 4" xfId="52490" xr:uid="{68A14ED3-637A-412F-B70F-EF8C69A10157}"/>
    <cellStyle name="Comma 5 4 4 5 5" xfId="55506" xr:uid="{FE63A844-73FA-4A1D-AD96-DDEDD6FDDCCE}"/>
    <cellStyle name="Comma 5 4 4 5 6" xfId="19374" xr:uid="{C485F14C-7DAA-4BA7-9427-4133BFE08E05}"/>
    <cellStyle name="Comma 5 4 4 6" xfId="12597" xr:uid="{1F91F18C-5D31-4905-9E68-81D427451748}"/>
    <cellStyle name="Comma 5 4 4 6 2" xfId="48197" xr:uid="{531C3030-A31D-4EB6-8125-8E1153A0B317}"/>
    <cellStyle name="Comma 5 4 4 6 3" xfId="51059" xr:uid="{B576A19A-CFE6-486A-8671-962C24A13AEF}"/>
    <cellStyle name="Comma 5 4 4 6 4" xfId="54075" xr:uid="{E27114A1-2208-45F9-87B0-2B48AB761C8D}"/>
    <cellStyle name="Comma 5 4 4 6 5" xfId="21944" xr:uid="{096ED0D7-E056-4563-AFAD-FB6A83A0E173}"/>
    <cellStyle name="Comma 5 4 4 7" xfId="47872" xr:uid="{4AD7ACD5-BB6E-482C-B783-E0F1B2D45C08}"/>
    <cellStyle name="Comma 5 4 4 8" xfId="49953" xr:uid="{49CA20B2-B93D-4149-A104-9F2510787407}"/>
    <cellStyle name="Comma 5 4 4 9" xfId="52969" xr:uid="{EF0AF75C-6EBC-41B3-AE50-960FF9DFA155}"/>
    <cellStyle name="Comma 5 4 5" xfId="10221" xr:uid="{851CC8E1-D4EC-413D-9D61-015ECA74443F}"/>
    <cellStyle name="Comma 5 4 5 2" xfId="14704" xr:uid="{C9047ED9-C75E-44FD-A699-FA5393B9FEDE}"/>
    <cellStyle name="Comma 5 4 5 2 2" xfId="22251" xr:uid="{83C3395C-A27A-40F9-B24F-5B32712C52FE}"/>
    <cellStyle name="Comma 5 4 5 2 3" xfId="24963" xr:uid="{05507BA5-954D-4F8C-83AF-EA0BBDF9CB71}"/>
    <cellStyle name="Comma 5 4 5 2 4" xfId="51589" xr:uid="{4AAC9DC7-8A75-4287-9643-08F7638986F4}"/>
    <cellStyle name="Comma 5 4 5 2 5" xfId="54605" xr:uid="{570D784A-8BE0-47C5-A241-31A0E2EBF091}"/>
    <cellStyle name="Comma 5 4 5 2 6" xfId="19101" xr:uid="{10A35BE8-4BF6-4C2C-A054-8DECA81D9A37}"/>
    <cellStyle name="Comma 5 4 5 3" xfId="15189" xr:uid="{7D63E0C0-1D4F-438F-AE87-1801DEBBBC67}"/>
    <cellStyle name="Comma 5 4 5 3 2" xfId="22728" xr:uid="{E6235116-ECA5-4D4A-9318-8145A65E7A10}"/>
    <cellStyle name="Comma 5 4 5 3 3" xfId="46494" xr:uid="{3394FD02-3E41-4FEE-9C95-13D8BE753A3E}"/>
    <cellStyle name="Comma 5 4 5 3 4" xfId="52066" xr:uid="{E9167D8B-801A-4DBD-BB6B-46FE4A7A9D26}"/>
    <cellStyle name="Comma 5 4 5 3 5" xfId="55082" xr:uid="{3FADC1EE-9BE4-4010-8614-1815626A1C2F}"/>
    <cellStyle name="Comma 5 4 5 3 6" xfId="19244" xr:uid="{22D364A4-5DE6-46D0-A624-24AAC547E0DB}"/>
    <cellStyle name="Comma 5 4 5 4" xfId="15676" xr:uid="{F6E76BA9-CF53-461E-94D6-DF973DEFD084}"/>
    <cellStyle name="Comma 5 4 5 4 2" xfId="23205" xr:uid="{827B358B-BA37-4545-A47C-498DAD11A9D2}"/>
    <cellStyle name="Comma 5 4 5 4 3" xfId="48309" xr:uid="{49B6931B-07C7-490F-AA25-20DB7BD01446}"/>
    <cellStyle name="Comma 5 4 5 4 4" xfId="52543" xr:uid="{F42AC149-49BB-4A7E-9317-1C2607F19221}"/>
    <cellStyle name="Comma 5 4 5 4 5" xfId="55559" xr:uid="{B553ACB3-5F85-4F4F-9941-84B6309A0766}"/>
    <cellStyle name="Comma 5 4 5 4 6" xfId="19389" xr:uid="{1C125921-2A64-47B8-A074-B0BDC4917713}"/>
    <cellStyle name="Comma 5 4 5 5" xfId="12674" xr:uid="{E957D5CE-0ECE-41DC-8B65-452A9D834731}"/>
    <cellStyle name="Comma 5 4 5 5 2" xfId="32426" xr:uid="{AA11317A-9F25-435C-94E1-AFC5366F8B3A}"/>
    <cellStyle name="Comma 5 4 5 5 3" xfId="51112" xr:uid="{CEACD443-B8F1-4758-83E3-AADA7E014CC8}"/>
    <cellStyle name="Comma 5 4 5 5 4" xfId="54128" xr:uid="{03C48911-3FF4-4647-9469-7A3AA3534B06}"/>
    <cellStyle name="Comma 5 4 5 5 5" xfId="21959" xr:uid="{B8E39E8F-AEED-449B-842A-42ED1CBE3969}"/>
    <cellStyle name="Comma 5 4 5 6" xfId="46068" xr:uid="{DD6A6163-0F8E-4C61-A1EA-C04096B38FFD}"/>
    <cellStyle name="Comma 5 4 5 7" xfId="50006" xr:uid="{21AD3F5B-3A54-4976-ABB4-155294991402}"/>
    <cellStyle name="Comma 5 4 5 8" xfId="53022" xr:uid="{40BE1033-7311-4FBE-9A15-FBF4D46305FE}"/>
    <cellStyle name="Comma 5 4 5 9" xfId="18842" xr:uid="{396E5219-8FD1-497C-9918-AAFDB7B52683}"/>
    <cellStyle name="Comma 5 4 6" xfId="10535" xr:uid="{104F8EC1-4C21-4A01-AE51-B6D03E7E9DBA}"/>
    <cellStyle name="Comma 5 4 6 2" xfId="14916" xr:uid="{6CBB4536-307C-465B-9588-328C81F3F55D}"/>
    <cellStyle name="Comma 5 4 6 2 2" xfId="22463" xr:uid="{3603871C-BB43-4F09-8EB8-DDDD978861FC}"/>
    <cellStyle name="Comma 5 4 6 2 3" xfId="24933" xr:uid="{F8F7575B-27D1-4B13-82F1-151F5778E456}"/>
    <cellStyle name="Comma 5 4 6 2 4" xfId="51801" xr:uid="{1E0C9E26-0588-483F-BFAC-AF201957C2F6}"/>
    <cellStyle name="Comma 5 4 6 2 5" xfId="54817" xr:uid="{794A1A94-8DBF-42A5-90E4-095CC28E5182}"/>
    <cellStyle name="Comma 5 4 6 2 6" xfId="19161" xr:uid="{E74A22FB-305A-4FFA-AA7E-5906A9F79C08}"/>
    <cellStyle name="Comma 5 4 6 3" xfId="15401" xr:uid="{60CA9B96-FBFB-4BC8-9DEE-708C969AB973}"/>
    <cellStyle name="Comma 5 4 6 3 2" xfId="22940" xr:uid="{5A3BC653-AAAA-4870-8AF2-DC5173928B8A}"/>
    <cellStyle name="Comma 5 4 6 3 3" xfId="46529" xr:uid="{58455213-348F-4B31-8F25-8B6E9AB32D4D}"/>
    <cellStyle name="Comma 5 4 6 3 4" xfId="52278" xr:uid="{2641CF6E-0F31-4DA0-B3FC-D15887FF4457}"/>
    <cellStyle name="Comma 5 4 6 3 5" xfId="55294" xr:uid="{62A82B28-F44B-4F27-91FC-C555B952FD29}"/>
    <cellStyle name="Comma 5 4 6 3 6" xfId="19304" xr:uid="{F4244E11-E558-4493-BCFE-3091F103FAC5}"/>
    <cellStyle name="Comma 5 4 6 4" xfId="15889" xr:uid="{AFA6A597-0554-42E6-89D4-32A4FF4A537B}"/>
    <cellStyle name="Comma 5 4 6 4 2" xfId="23417" xr:uid="{995A7535-F8E1-4A73-953C-B12074062FCF}"/>
    <cellStyle name="Comma 5 4 6 4 3" xfId="32357" xr:uid="{4BAC26FB-3D14-4394-9CC3-2044683F5482}"/>
    <cellStyle name="Comma 5 4 6 4 4" xfId="52755" xr:uid="{1CC43539-7F13-4CDD-A733-2648FB624B61}"/>
    <cellStyle name="Comma 5 4 6 4 5" xfId="55771" xr:uid="{96539893-B8F6-4313-81BC-EE33D9E4C79C}"/>
    <cellStyle name="Comma 5 4 6 4 6" xfId="19450" xr:uid="{FC951C75-CAF9-4DE4-A555-220A0FF5D227}"/>
    <cellStyle name="Comma 5 4 6 5" xfId="12988" xr:uid="{94666DA3-3268-4963-B91A-2081E986F744}"/>
    <cellStyle name="Comma 5 4 6 5 2" xfId="46819" xr:uid="{17069A94-6757-4854-B15B-27C018670432}"/>
    <cellStyle name="Comma 5 4 6 5 3" xfId="51324" xr:uid="{C223CBB1-2421-42E8-A8E2-6FFB36B26550}"/>
    <cellStyle name="Comma 5 4 6 5 4" xfId="54340" xr:uid="{B989208B-8E4D-4E9B-9045-341ED875DB53}"/>
    <cellStyle name="Comma 5 4 6 5 5" xfId="22019" xr:uid="{BF795996-7BB0-4EC7-BCEB-63769C9A9CCA}"/>
    <cellStyle name="Comma 5 4 6 6" xfId="46146" xr:uid="{CC81DB0F-AAB3-4405-804D-1BB2A64D6790}"/>
    <cellStyle name="Comma 5 4 6 7" xfId="50218" xr:uid="{974E61E0-1C1B-4DC8-8007-CC3A555ABEE4}"/>
    <cellStyle name="Comma 5 4 6 8" xfId="53234" xr:uid="{7D0FA43A-E324-4DE1-8881-61FA33694839}"/>
    <cellStyle name="Comma 5 4 6 9" xfId="19004" xr:uid="{4F19E544-4B54-450F-BE36-046CC7A759CF}"/>
    <cellStyle name="Comma 5 4 7" xfId="12423" xr:uid="{BD3E7626-34D1-4719-8639-09B7A3A0E814}"/>
    <cellStyle name="Comma 5 4 7 2" xfId="21908" xr:uid="{4124F64A-00D9-4084-B5EF-936A1B113697}"/>
    <cellStyle name="Comma 5 4 7 3" xfId="46306" xr:uid="{CAB23DAF-5886-4959-A3CE-612E81AA8D95}"/>
    <cellStyle name="Comma 5 4 7 4" xfId="50946" xr:uid="{CF96C50C-F9BD-4A3F-A5E7-055672F1D0C9}"/>
    <cellStyle name="Comma 5 4 7 5" xfId="53962" xr:uid="{A8638F3D-D566-4AE4-B2C6-6C5CA1B83781}"/>
    <cellStyle name="Comma 5 4 7 6" xfId="18730" xr:uid="{CBAE68F0-F477-48EB-8A91-7AE3C9E049CA}"/>
    <cellStyle name="Comma 5 4 8" xfId="14492" xr:uid="{26DA1C1E-7193-4DDF-A0AE-4708F3945547}"/>
    <cellStyle name="Comma 5 4 8 2" xfId="22039" xr:uid="{A0BCE9D4-CE7F-4E60-9FE2-53A39481C846}"/>
    <cellStyle name="Comma 5 4 8 3" xfId="47807" xr:uid="{BCAF6644-A518-4B44-838C-FB90559DD5A9}"/>
    <cellStyle name="Comma 5 4 8 4" xfId="51377" xr:uid="{28668FCE-5E2A-4F62-BAB1-2C02DC557A7E}"/>
    <cellStyle name="Comma 5 4 8 5" xfId="54393" xr:uid="{557B07A7-7F94-4470-BFB1-5BC2C94F9974}"/>
    <cellStyle name="Comma 5 4 8 6" xfId="19041" xr:uid="{AAF3B0F7-87EC-4ED9-B761-97C73CE49382}"/>
    <cellStyle name="Comma 5 4 9" xfId="14974" xr:uid="{23C417F8-F404-4F2F-B014-DE185539339F}"/>
    <cellStyle name="Comma 5 4 9 2" xfId="22516" xr:uid="{4CE416C4-BAED-4B17-A2FA-FE9E09138BF9}"/>
    <cellStyle name="Comma 5 4 9 3" xfId="32515" xr:uid="{93C7752B-7C91-493E-A9CB-E6B53A20C108}"/>
    <cellStyle name="Comma 5 4 9 4" xfId="51854" xr:uid="{EB735B00-0BF8-430E-9D50-26610755DBCB}"/>
    <cellStyle name="Comma 5 4 9 5" xfId="54870" xr:uid="{EBC73BDF-8E9E-472C-8E24-EE078B89B072}"/>
    <cellStyle name="Comma 5 4 9 6" xfId="19181" xr:uid="{8E4A5523-CB2C-46BB-8896-5D3B25D6264D}"/>
    <cellStyle name="Comma 5 5" xfId="9599" xr:uid="{107A845A-AF3A-4D6B-A58F-A150F3873C23}"/>
    <cellStyle name="Comma 5 5 2" xfId="23789" xr:uid="{BA76B635-7620-4E24-9632-C892411EE2B0}"/>
    <cellStyle name="Comma 5 5 3" xfId="48663" xr:uid="{122E04E5-FD0C-4C01-A5D2-48CE5CEE16A2}"/>
    <cellStyle name="Comma 5 5 4" xfId="49571" xr:uid="{83026679-ED28-46A4-9EF9-DA5574FD3BF3}"/>
    <cellStyle name="Comma 5 6" xfId="11231" xr:uid="{A61CE31F-3CBA-4126-9566-F16BB2DF3E26}"/>
    <cellStyle name="Comma 5 6 2" xfId="23790" xr:uid="{2211462F-53FE-418C-B327-D99726D3FA39}"/>
    <cellStyle name="Comma 5 7" xfId="10603" xr:uid="{6D298FF1-E647-4571-ADCB-DFE66D72FB21}"/>
    <cellStyle name="Comma 5 7 2" xfId="21248" xr:uid="{18D47275-7C89-450A-A7C2-A761196E9AEA}"/>
    <cellStyle name="Comma 5 7 3" xfId="48526" xr:uid="{F673B3BC-BD1E-440B-9897-53D0C719C748}"/>
    <cellStyle name="Comma 5 7 4" xfId="50266" xr:uid="{2AE18948-AF20-43E8-9BF7-82CCFCD355E0}"/>
    <cellStyle name="Comma 5 7 5" xfId="53282" xr:uid="{592B1F56-CD54-4BCF-9A30-CF21FDF5E1B6}"/>
    <cellStyle name="Comma 5 7 6" xfId="17716" xr:uid="{2058C3CB-9E07-43F0-A819-021A382E47D0}"/>
    <cellStyle name="Comma 5 8" xfId="19491" xr:uid="{4E4E9628-A34E-48DF-A978-782B7966B13D}"/>
    <cellStyle name="Comma 5 9" xfId="23778" xr:uid="{5EB670F5-3F44-4A30-A3F1-EBE4A1A6EC11}"/>
    <cellStyle name="Comma 6" xfId="1294" xr:uid="{00000000-0005-0000-0000-00005A000000}"/>
    <cellStyle name="Comma 6 10" xfId="49572" xr:uid="{8127ABCB-557C-45CA-A075-2FB82C288093}"/>
    <cellStyle name="Comma 6 11" xfId="7236" xr:uid="{6A5B3F6E-F134-46FE-894C-44AA5BBFA986}"/>
    <cellStyle name="Comma 6 2" xfId="4546" xr:uid="{8C8B61CA-89AE-47E9-946C-1D93A61ADF60}"/>
    <cellStyle name="Comma 6 2 10" xfId="15006" xr:uid="{89DE08FB-4C6D-4A07-98B0-8FAF44434698}"/>
    <cellStyle name="Comma 6 2 10 2" xfId="22546" xr:uid="{7DB502FC-303B-4CC2-9BC7-EA1B690B6501}"/>
    <cellStyle name="Comma 6 2 10 3" xfId="48211" xr:uid="{2214236F-D6CE-4EE9-9C2F-8A124812F106}"/>
    <cellStyle name="Comma 6 2 10 4" xfId="51884" xr:uid="{07CE6266-F98C-4440-A6DD-319BDE2A6061}"/>
    <cellStyle name="Comma 6 2 10 5" xfId="54900" xr:uid="{68C41F3C-A076-449C-B666-FF173452CDF8}"/>
    <cellStyle name="Comma 6 2 11" xfId="15493" xr:uid="{3719AF01-1C30-4D74-A531-DECC5ED9A25F}"/>
    <cellStyle name="Comma 6 2 11 2" xfId="23023" xr:uid="{E2EF10CF-26DF-4148-88DA-231F6EC546E4}"/>
    <cellStyle name="Comma 6 2 11 3" xfId="24170" xr:uid="{4B3F839E-22CC-4A63-BF5C-98A4E70ACFBE}"/>
    <cellStyle name="Comma 6 2 11 4" xfId="52361" xr:uid="{A44D119E-431F-4945-BB36-791FF115F3D8}"/>
    <cellStyle name="Comma 6 2 11 5" xfId="55377" xr:uid="{A67FC5FB-45CE-48DA-8009-4ECCD718E747}"/>
    <cellStyle name="Comma 6 2 12" xfId="11589" xr:uid="{0C8E2EE4-ADC1-40FB-A210-BE811822A16C}"/>
    <cellStyle name="Comma 6 2 12 2" xfId="21712" xr:uid="{FCEFCA9D-B2DD-4A73-B823-786DEBA856B4}"/>
    <cellStyle name="Comma 6 2 12 3" xfId="47563" xr:uid="{AD3FBD81-2A79-4869-AECB-B97E4905F222}"/>
    <cellStyle name="Comma 6 2 12 4" xfId="50736" xr:uid="{CF8C591B-92EB-4BD9-9016-5C6237F88E06}"/>
    <cellStyle name="Comma 6 2 12 5" xfId="53752" xr:uid="{3854EE7B-EB41-4FCD-B44D-F22E059DA87A}"/>
    <cellStyle name="Comma 6 2 13" xfId="23792" xr:uid="{3BA3C483-A6E3-410D-8EAB-2518A007D6D0}"/>
    <cellStyle name="Comma 6 2 14" xfId="48665" xr:uid="{397A8029-2302-411D-B45D-3D2E976F8BBB}"/>
    <cellStyle name="Comma 6 2 15" xfId="49573" xr:uid="{9AD50B25-0B54-427E-B8BF-46E7A2FA38C5}"/>
    <cellStyle name="Comma 6 2 16" xfId="49824" xr:uid="{909F81DC-8B60-4E6C-B713-3762616920D3}"/>
    <cellStyle name="Comma 6 2 17" xfId="52839" xr:uid="{5075C377-EF3A-4259-85DD-62D7EA251CB5}"/>
    <cellStyle name="Comma 6 2 18" xfId="8947" xr:uid="{682A5BD1-6000-405D-8AA1-90213AF4F32F}"/>
    <cellStyle name="Comma 6 2 2" xfId="8948" xr:uid="{4153133B-0400-47B8-AE5E-2471B4E27524}"/>
    <cellStyle name="Comma 6 2 2 10" xfId="11498" xr:uid="{CB62FE1A-6073-45AC-A0AA-C4C9E4A20DB8}"/>
    <cellStyle name="Comma 6 2 2 10 2" xfId="48531" xr:uid="{08BFBE83-98CC-47DB-B8EB-E00250859FA9}"/>
    <cellStyle name="Comma 6 2 2 10 3" xfId="50722" xr:uid="{CE4B551D-2693-47A6-A3CA-0EFD65D3762A}"/>
    <cellStyle name="Comma 6 2 2 10 4" xfId="53738" xr:uid="{D9461384-1056-441F-8245-F5846931E690}"/>
    <cellStyle name="Comma 6 2 2 11" xfId="23793" xr:uid="{1C884F41-6FDF-45E4-972D-D1FBBB0EA2A8}"/>
    <cellStyle name="Comma 6 2 2 12" xfId="48666" xr:uid="{32B43F81-A783-458F-9F2C-BBED9C209DEF}"/>
    <cellStyle name="Comma 6 2 2 13" xfId="49574" xr:uid="{902A4F2D-6874-4D66-ACA3-7608D463E1AC}"/>
    <cellStyle name="Comma 6 2 2 14" xfId="49825" xr:uid="{797E6DCC-5E57-4117-951D-590B245B5D92}"/>
    <cellStyle name="Comma 6 2 2 15" xfId="52840" xr:uid="{F6C275E9-5666-46A7-AEEF-200126345C88}"/>
    <cellStyle name="Comma 6 2 2 2" xfId="10035" xr:uid="{26540004-0194-48D1-82D5-F2EB4CF3E7DA}"/>
    <cellStyle name="Comma 6 2 2 2 2" xfId="10343" xr:uid="{D68F6E5F-5318-4497-9ADD-F372B43CF2B9}"/>
    <cellStyle name="Comma 6 2 2 2 2 2" xfId="14788" xr:uid="{15B7292D-4156-4BE3-9BD3-CC9C32E38EF1}"/>
    <cellStyle name="Comma 6 2 2 2 2 2 2" xfId="22335" xr:uid="{920B492F-7F7B-4021-AEAC-63AE9D0142E7}"/>
    <cellStyle name="Comma 6 2 2 2 2 2 3" xfId="47483" xr:uid="{3609A67B-466E-4332-B13A-74F6AF44D82B}"/>
    <cellStyle name="Comma 6 2 2 2 2 2 4" xfId="51673" xr:uid="{854CDF3D-6481-40A3-B9C8-8F88C233F8BC}"/>
    <cellStyle name="Comma 6 2 2 2 2 2 5" xfId="54689" xr:uid="{B7856A4C-F749-48C1-8CF3-671F2E19C5DE}"/>
    <cellStyle name="Comma 6 2 2 2 2 3" xfId="15273" xr:uid="{79FA8A2F-83BE-4FB4-9D05-604E6B5005EC}"/>
    <cellStyle name="Comma 6 2 2 2 2 3 2" xfId="22812" xr:uid="{87DC2FC1-8476-43A2-92F2-E1603AF5E0FC}"/>
    <cellStyle name="Comma 6 2 2 2 2 3 3" xfId="48072" xr:uid="{C93B29FA-E0B8-4C9D-85D8-477ADBAA90B5}"/>
    <cellStyle name="Comma 6 2 2 2 2 3 4" xfId="52150" xr:uid="{11DD4D54-09EB-4D70-9353-9CAB4420E5C6}"/>
    <cellStyle name="Comma 6 2 2 2 2 3 5" xfId="55166" xr:uid="{50484264-D3F6-4CD4-8EA4-68A052422322}"/>
    <cellStyle name="Comma 6 2 2 2 2 4" xfId="15760" xr:uid="{C2FEDAF2-E1E9-471A-A9E1-481A1A8E6E03}"/>
    <cellStyle name="Comma 6 2 2 2 2 4 2" xfId="23289" xr:uid="{C31FF788-2F79-4BB1-8872-7C23C5EA1711}"/>
    <cellStyle name="Comma 6 2 2 2 2 4 3" xfId="47672" xr:uid="{18155191-C062-4A9F-A506-C7CA9B1AA7D2}"/>
    <cellStyle name="Comma 6 2 2 2 2 4 4" xfId="52627" xr:uid="{ECB495FC-CAF0-404D-AB07-6A40DBC9027E}"/>
    <cellStyle name="Comma 6 2 2 2 2 4 5" xfId="55643" xr:uid="{876F8774-AFBE-444E-AB89-08E0FEC3ED78}"/>
    <cellStyle name="Comma 6 2 2 2 2 5" xfId="12796" xr:uid="{444615C5-0A83-4525-919F-5D25C4008ADD}"/>
    <cellStyle name="Comma 6 2 2 2 2 5 2" xfId="48495" xr:uid="{0C1B8E88-B4A7-41F4-9F8E-3AA8A1B69FC3}"/>
    <cellStyle name="Comma 6 2 2 2 2 5 3" xfId="51196" xr:uid="{F36C4CA1-73E0-403C-8DE1-EEED7A111D62}"/>
    <cellStyle name="Comma 6 2 2 2 2 5 4" xfId="54212" xr:uid="{FE4B0183-C00D-4AAA-B9A5-D71B4C9B2545}"/>
    <cellStyle name="Comma 6 2 2 2 2 6" xfId="46092" xr:uid="{4AC4E3D9-768C-491B-BCA3-FF5E3356E896}"/>
    <cellStyle name="Comma 6 2 2 2 2 7" xfId="50090" xr:uid="{0DE61224-5709-47D0-929A-29D7FD17BD4B}"/>
    <cellStyle name="Comma 6 2 2 2 2 8" xfId="53106" xr:uid="{C12430A7-6DB8-4E28-BF1E-34FD58EE2C4F}"/>
    <cellStyle name="Comma 6 2 2 2 3" xfId="14576" xr:uid="{80549A33-E7F7-4908-B567-B899EFA5BC7A}"/>
    <cellStyle name="Comma 6 2 2 2 3 2" xfId="22123" xr:uid="{8771D7AC-138E-4843-91EF-1D6ACF054B84}"/>
    <cellStyle name="Comma 6 2 2 2 3 3" xfId="46837" xr:uid="{DFDEBA08-5ABC-40A2-8D4A-84970B031E46}"/>
    <cellStyle name="Comma 6 2 2 2 3 4" xfId="51461" xr:uid="{E56E870F-B610-47F2-871D-A7BBD2CF192F}"/>
    <cellStyle name="Comma 6 2 2 2 3 5" xfId="54477" xr:uid="{2ACDD5CE-B66E-4C3F-96D3-3C7D79650910}"/>
    <cellStyle name="Comma 6 2 2 2 4" xfId="15060" xr:uid="{EF06B8FB-3EB9-42DF-834B-55E8CDDEB8F2}"/>
    <cellStyle name="Comma 6 2 2 2 4 2" xfId="22600" xr:uid="{AEDC0D66-B056-4260-80E9-F38643D18391}"/>
    <cellStyle name="Comma 6 2 2 2 4 3" xfId="47246" xr:uid="{6A5FC85D-B2AA-4F23-A2F7-B959882CA389}"/>
    <cellStyle name="Comma 6 2 2 2 4 4" xfId="51938" xr:uid="{2B93C7D0-A464-4AEC-ABEB-35931EEF3D10}"/>
    <cellStyle name="Comma 6 2 2 2 4 5" xfId="54954" xr:uid="{C7ED8A9F-7831-413C-AD7B-4AAECF182A7D}"/>
    <cellStyle name="Comma 6 2 2 2 5" xfId="15547" xr:uid="{56C4453B-570F-452C-8FE6-CD5C5562D5D6}"/>
    <cellStyle name="Comma 6 2 2 2 5 2" xfId="23077" xr:uid="{37851281-3A75-43DD-8AFF-089E4A1E9FC9}"/>
    <cellStyle name="Comma 6 2 2 2 5 3" xfId="47497" xr:uid="{A1A2A621-4579-4099-86C1-3B95938782C7}"/>
    <cellStyle name="Comma 6 2 2 2 5 4" xfId="52415" xr:uid="{AE2FF3EF-D89A-4DD5-AE81-8D631A238779}"/>
    <cellStyle name="Comma 6 2 2 2 5 5" xfId="55431" xr:uid="{97454570-2894-48BA-AA18-D636175106FA}"/>
    <cellStyle name="Comma 6 2 2 2 6" xfId="12495" xr:uid="{412C21B4-B50E-4E11-8E19-EABB69D94254}"/>
    <cellStyle name="Comma 6 2 2 2 6 2" xfId="46760" xr:uid="{AA47F975-36AA-4935-9865-6A2C9FFE489B}"/>
    <cellStyle name="Comma 6 2 2 2 6 3" xfId="50984" xr:uid="{F162CF50-3889-4745-B7DB-DEBF05DFB069}"/>
    <cellStyle name="Comma 6 2 2 2 6 4" xfId="54000" xr:uid="{7F7C302C-806B-40BA-BF0D-351E83ED51B6}"/>
    <cellStyle name="Comma 6 2 2 2 7" xfId="47274" xr:uid="{9FE69E4E-0C00-4624-8535-ED9DB306484F}"/>
    <cellStyle name="Comma 6 2 2 2 8" xfId="49878" xr:uid="{4391E8DE-46F8-465D-92E3-E6B33F94CDC5}"/>
    <cellStyle name="Comma 6 2 2 2 9" xfId="52894" xr:uid="{2A6BE79A-64BB-4968-B9F4-7D60C623EC9B}"/>
    <cellStyle name="Comma 6 2 2 3" xfId="10109" xr:uid="{066C76DE-87AB-428D-81D7-7EEED0F6C790}"/>
    <cellStyle name="Comma 6 2 2 3 2" xfId="10422" xr:uid="{EC7098A0-14B2-447B-B6D5-CC5B9CD253C7}"/>
    <cellStyle name="Comma 6 2 2 3 2 2" xfId="14841" xr:uid="{14F8F509-0990-460D-BEFE-07E8E6E8C138}"/>
    <cellStyle name="Comma 6 2 2 3 2 2 2" xfId="22388" xr:uid="{F4E6D632-99DC-48EC-8A78-BC4DAA61CA03}"/>
    <cellStyle name="Comma 6 2 2 3 2 2 3" xfId="46868" xr:uid="{0F094F67-6397-4EEA-AE62-4115CB678D0A}"/>
    <cellStyle name="Comma 6 2 2 3 2 2 4" xfId="51726" xr:uid="{95D2FD83-1E6C-405B-8DA8-D14BEC87355D}"/>
    <cellStyle name="Comma 6 2 2 3 2 2 5" xfId="54742" xr:uid="{EE719F12-13BC-4923-90EF-9C3A35A07093}"/>
    <cellStyle name="Comma 6 2 2 3 2 3" xfId="15326" xr:uid="{83B5264D-CD5D-4C03-B0AC-21ACE6DD2A82}"/>
    <cellStyle name="Comma 6 2 2 3 2 3 2" xfId="22865" xr:uid="{F429AC74-EC26-4EC3-880E-56F2DF2DB2E6}"/>
    <cellStyle name="Comma 6 2 2 3 2 3 3" xfId="47686" xr:uid="{F4583437-A145-42DE-9A2C-15B2B3897C87}"/>
    <cellStyle name="Comma 6 2 2 3 2 3 4" xfId="52203" xr:uid="{5AFEB69B-AB92-47A2-9122-73F773045137}"/>
    <cellStyle name="Comma 6 2 2 3 2 3 5" xfId="55219" xr:uid="{BA4400B4-9271-4B98-AECE-CDF2856B1AB3}"/>
    <cellStyle name="Comma 6 2 2 3 2 4" xfId="15813" xr:uid="{F9985FDB-D444-4D4C-9870-750F3F7215FC}"/>
    <cellStyle name="Comma 6 2 2 3 2 4 2" xfId="23342" xr:uid="{D1EDC624-C1A6-4A29-9B2B-85F4A8CA349D}"/>
    <cellStyle name="Comma 6 2 2 3 2 4 3" xfId="48425" xr:uid="{5F28055B-A1E2-44AC-A4DB-6B8522593511}"/>
    <cellStyle name="Comma 6 2 2 3 2 4 4" xfId="52680" xr:uid="{26A267BD-4161-465E-97A1-25387E1C68FE}"/>
    <cellStyle name="Comma 6 2 2 3 2 4 5" xfId="55696" xr:uid="{2DD8C94F-F917-4A06-99D0-759ECA1357FE}"/>
    <cellStyle name="Comma 6 2 2 3 2 5" xfId="12875" xr:uid="{A7C4E4C7-6B29-49A2-B546-05649C59BA9A}"/>
    <cellStyle name="Comma 6 2 2 3 2 5 2" xfId="47765" xr:uid="{0AEF66FD-8142-437F-9363-52D52A9DD6CA}"/>
    <cellStyle name="Comma 6 2 2 3 2 5 3" xfId="51249" xr:uid="{79EF0B6A-7433-45E0-9D0D-28EA7C6EA8A8}"/>
    <cellStyle name="Comma 6 2 2 3 2 5 4" xfId="54265" xr:uid="{F1088DC2-800F-4715-8DB6-4CF0B4C1C91D}"/>
    <cellStyle name="Comma 6 2 2 3 2 6" xfId="48458" xr:uid="{CACEA727-AA68-4959-914A-10F32B2647F7}"/>
    <cellStyle name="Comma 6 2 2 3 2 7" xfId="50143" xr:uid="{334D3C62-E878-496B-9279-35F38114412F}"/>
    <cellStyle name="Comma 6 2 2 3 2 8" xfId="53159" xr:uid="{C1447B1F-0223-4550-894A-5F5DFA7B2AF5}"/>
    <cellStyle name="Comma 6 2 2 3 3" xfId="14629" xr:uid="{3D1AC2D0-62DC-476C-9C22-25C3BF5AFAD5}"/>
    <cellStyle name="Comma 6 2 2 3 3 2" xfId="22176" xr:uid="{AA1D4F85-998F-4292-A617-F3D8C9258BC2}"/>
    <cellStyle name="Comma 6 2 2 3 3 3" xfId="46411" xr:uid="{A9C9F992-ADED-4AB8-80FC-5CD64F55CA5F}"/>
    <cellStyle name="Comma 6 2 2 3 3 4" xfId="51514" xr:uid="{2250E9CA-40BE-4321-8631-92989B10A761}"/>
    <cellStyle name="Comma 6 2 2 3 3 5" xfId="54530" xr:uid="{1BB98D8E-83DF-4780-93D7-8F95909C79A3}"/>
    <cellStyle name="Comma 6 2 2 3 4" xfId="15114" xr:uid="{A533F2F6-F89C-4B0E-878C-B4BE01FB7E95}"/>
    <cellStyle name="Comma 6 2 2 3 4 2" xfId="22653" xr:uid="{F718E6F9-2676-4DB3-A782-1B43185102A5}"/>
    <cellStyle name="Comma 6 2 2 3 4 3" xfId="24449" xr:uid="{2F89A5E4-2179-4F9C-AEBF-E571881C3AB5}"/>
    <cellStyle name="Comma 6 2 2 3 4 4" xfId="51991" xr:uid="{E8C81944-97CB-48B0-BE01-C34A7FF5F1E0}"/>
    <cellStyle name="Comma 6 2 2 3 4 5" xfId="55007" xr:uid="{7F719917-0167-4A6D-A9D6-A7FEEBA4949D}"/>
    <cellStyle name="Comma 6 2 2 3 5" xfId="15601" xr:uid="{8A048F2D-0D67-4F47-9D0C-5C6C9EAA19CC}"/>
    <cellStyle name="Comma 6 2 2 3 5 2" xfId="23130" xr:uid="{BF745B36-238C-4DB6-B785-BEEAAC62AE76}"/>
    <cellStyle name="Comma 6 2 2 3 5 3" xfId="46697" xr:uid="{84933863-4380-4670-ABBC-30E8F4CD81CE}"/>
    <cellStyle name="Comma 6 2 2 3 5 4" xfId="52468" xr:uid="{20BC0988-3793-4A79-9785-62CD897B22B3}"/>
    <cellStyle name="Comma 6 2 2 3 5 5" xfId="55484" xr:uid="{2D046427-E68F-46D7-8422-E25446FB3DC8}"/>
    <cellStyle name="Comma 6 2 2 3 6" xfId="12566" xr:uid="{7B6F4E15-3DC1-4468-B684-AEB1521CACD8}"/>
    <cellStyle name="Comma 6 2 2 3 6 2" xfId="47614" xr:uid="{EFE98CAF-DF44-44BD-B937-99B1A4603C0C}"/>
    <cellStyle name="Comma 6 2 2 3 6 3" xfId="51037" xr:uid="{CE27558B-D1A5-4086-8013-9B1A59CC62A1}"/>
    <cellStyle name="Comma 6 2 2 3 6 4" xfId="54053" xr:uid="{26221CA5-91CE-43A3-82F0-ABB4D0210746}"/>
    <cellStyle name="Comma 6 2 2 3 7" xfId="46050" xr:uid="{8F6A7536-72CC-479A-9649-0893287C7062}"/>
    <cellStyle name="Comma 6 2 2 3 8" xfId="49931" xr:uid="{0C10E487-80BC-4539-BE35-F4A7676D52C5}"/>
    <cellStyle name="Comma 6 2 2 3 9" xfId="52947" xr:uid="{90A59CC9-6E90-489A-AFE7-58686FAC1DD9}"/>
    <cellStyle name="Comma 6 2 2 4" xfId="10188" xr:uid="{094BB0DB-B659-4860-AC4C-18EAFE98A0B0}"/>
    <cellStyle name="Comma 6 2 2 4 2" xfId="10502" xr:uid="{758E5778-A228-4F68-AE2C-0D04284FBE10}"/>
    <cellStyle name="Comma 6 2 2 4 2 2" xfId="14894" xr:uid="{C796A771-D648-42B6-92A3-BA4C3B2AC3E2}"/>
    <cellStyle name="Comma 6 2 2 4 2 2 2" xfId="22441" xr:uid="{1F47EB6C-DF69-4672-BF8D-F20F372E3359}"/>
    <cellStyle name="Comma 6 2 2 4 2 2 3" xfId="32525" xr:uid="{CD82BE43-B9B1-4E75-81FB-C17A2BB0D1B0}"/>
    <cellStyle name="Comma 6 2 2 4 2 2 4" xfId="51779" xr:uid="{F095B887-49C7-4E90-AEF2-E43F727E461E}"/>
    <cellStyle name="Comma 6 2 2 4 2 2 5" xfId="54795" xr:uid="{38E454D6-7978-4307-AED9-FD60CD755C93}"/>
    <cellStyle name="Comma 6 2 2 4 2 3" xfId="15379" xr:uid="{8C4C8E08-F008-4871-BB75-7A8BDE7099C1}"/>
    <cellStyle name="Comma 6 2 2 4 2 3 2" xfId="22918" xr:uid="{AC0351F4-7734-4701-94D2-BC97C54AB7A8}"/>
    <cellStyle name="Comma 6 2 2 4 2 3 3" xfId="48221" xr:uid="{33CFBCBB-1AEF-49F4-A694-9D2F72A4C1C6}"/>
    <cellStyle name="Comma 6 2 2 4 2 3 4" xfId="52256" xr:uid="{69475893-B561-49E6-A100-380136345681}"/>
    <cellStyle name="Comma 6 2 2 4 2 3 5" xfId="55272" xr:uid="{D36EA8D8-E8A9-4715-806C-6D15DDCA28DF}"/>
    <cellStyle name="Comma 6 2 2 4 2 4" xfId="15866" xr:uid="{9EF60511-6235-4994-915A-49C2750C748D}"/>
    <cellStyle name="Comma 6 2 2 4 2 4 2" xfId="23395" xr:uid="{0B6FAF3A-0C1C-45F2-A207-5EDEA1E6B618}"/>
    <cellStyle name="Comma 6 2 2 4 2 4 3" xfId="23834" xr:uid="{FCDA61E3-93C9-4FB2-A5E9-56DBF57038A5}"/>
    <cellStyle name="Comma 6 2 2 4 2 4 4" xfId="52733" xr:uid="{5625F013-3F81-4BBC-B0AD-4A05B2E72BEA}"/>
    <cellStyle name="Comma 6 2 2 4 2 4 5" xfId="55749" xr:uid="{176F2F50-DBAE-425E-843E-333CE1876F72}"/>
    <cellStyle name="Comma 6 2 2 4 2 5" xfId="12955" xr:uid="{23209A6E-DB31-4142-926B-B3050F7C12DD}"/>
    <cellStyle name="Comma 6 2 2 4 2 5 2" xfId="46672" xr:uid="{95388FF1-AC1B-4BBE-9C92-D5E2731F30DD}"/>
    <cellStyle name="Comma 6 2 2 4 2 5 3" xfId="51302" xr:uid="{39920120-0DF0-4A9D-B2FA-E5B29166FE51}"/>
    <cellStyle name="Comma 6 2 2 4 2 5 4" xfId="54318" xr:uid="{6ACFD716-85BA-4DDF-91B1-C2628102FA7F}"/>
    <cellStyle name="Comma 6 2 2 4 2 6" xfId="47887" xr:uid="{DA3670EA-5556-45D4-A883-E2E7E5B4DD27}"/>
    <cellStyle name="Comma 6 2 2 4 2 7" xfId="50196" xr:uid="{7E15E0AA-79BA-48F1-BF52-8514FEF9AD97}"/>
    <cellStyle name="Comma 6 2 2 4 2 8" xfId="53212" xr:uid="{58C8B37F-ACA1-40F1-97B2-08622F1F6172}"/>
    <cellStyle name="Comma 6 2 2 4 3" xfId="14682" xr:uid="{7254D318-0377-41BE-BC50-6AC57B1ED52D}"/>
    <cellStyle name="Comma 6 2 2 4 3 2" xfId="22229" xr:uid="{6DC4496F-63B3-419C-A348-680E5C8F9793}"/>
    <cellStyle name="Comma 6 2 2 4 3 3" xfId="48349" xr:uid="{009B8330-33E5-449A-96CF-F2FA1E6B792E}"/>
    <cellStyle name="Comma 6 2 2 4 3 4" xfId="51567" xr:uid="{3D4E28F7-08D7-471B-87E1-53A48EDA1687}"/>
    <cellStyle name="Comma 6 2 2 4 3 5" xfId="54583" xr:uid="{FF85B62F-BAFB-4E89-9B28-BBC62AD9DF08}"/>
    <cellStyle name="Comma 6 2 2 4 4" xfId="15167" xr:uid="{7C3EF161-903E-4522-9B65-900F6E329520}"/>
    <cellStyle name="Comma 6 2 2 4 4 2" xfId="22706" xr:uid="{3F3F3B30-92ED-4CAA-AD4D-42DA8848FEBB}"/>
    <cellStyle name="Comma 6 2 2 4 4 3" xfId="48276" xr:uid="{66AD5701-D52B-4C2F-A719-3C8B57B7A53D}"/>
    <cellStyle name="Comma 6 2 2 4 4 4" xfId="52044" xr:uid="{2D26027C-050E-418D-87A3-29304BD83EAD}"/>
    <cellStyle name="Comma 6 2 2 4 4 5" xfId="55060" xr:uid="{FC47CE63-1BF4-4E64-8396-6767055256C5}"/>
    <cellStyle name="Comma 6 2 2 4 5" xfId="15654" xr:uid="{1438DF10-4347-4F57-9AAA-F82979DEB9F5}"/>
    <cellStyle name="Comma 6 2 2 4 5 2" xfId="23183" xr:uid="{AFDA3E29-3F85-4D3D-BEA2-1FAE39952451}"/>
    <cellStyle name="Comma 6 2 2 4 5 3" xfId="46565" xr:uid="{E868ECD8-1F56-417A-BC06-CB06C721BA0F}"/>
    <cellStyle name="Comma 6 2 2 4 5 4" xfId="52521" xr:uid="{23CC96D9-3F05-4F88-9DD3-3EE608B907F4}"/>
    <cellStyle name="Comma 6 2 2 4 5 5" xfId="55537" xr:uid="{C2122DD4-D889-4D32-AECD-3A3195545F6E}"/>
    <cellStyle name="Comma 6 2 2 4 6" xfId="12642" xr:uid="{B0DA8E79-45BB-4F08-80EF-A64F3C515135}"/>
    <cellStyle name="Comma 6 2 2 4 6 2" xfId="48559" xr:uid="{AE00A707-C619-4E2A-8CC2-31695DE28AA8}"/>
    <cellStyle name="Comma 6 2 2 4 6 3" xfId="51090" xr:uid="{6B42C2ED-E8AF-49CF-BF1F-4A0F259BAA27}"/>
    <cellStyle name="Comma 6 2 2 4 6 4" xfId="54106" xr:uid="{A52F1DE3-73C6-4301-967A-66938EDE2A7E}"/>
    <cellStyle name="Comma 6 2 2 4 7" xfId="46619" xr:uid="{B363C56B-75D5-45A0-9C0F-D7E90EACABD4}"/>
    <cellStyle name="Comma 6 2 2 4 8" xfId="49984" xr:uid="{DCAB4C93-CA38-4FCC-A79C-5AF34AACC478}"/>
    <cellStyle name="Comma 6 2 2 4 9" xfId="53000" xr:uid="{60FA5B0D-0182-4351-AA93-28413B4C17CD}"/>
    <cellStyle name="Comma 6 2 2 5" xfId="10268" xr:uid="{DE2E4EBF-830D-4163-BA35-AB6D3D8EF611}"/>
    <cellStyle name="Comma 6 2 2 5 2" xfId="14735" xr:uid="{99CF2CD3-CE50-4325-9E1C-FDB84CAF0027}"/>
    <cellStyle name="Comma 6 2 2 5 2 2" xfId="22282" xr:uid="{997C209C-AFCD-45EC-85CE-B95A75E74131}"/>
    <cellStyle name="Comma 6 2 2 5 2 3" xfId="47536" xr:uid="{B9B08B84-F8A9-4A3C-954F-4F730EC25BE1}"/>
    <cellStyle name="Comma 6 2 2 5 2 4" xfId="51620" xr:uid="{2542D3CE-5E4E-4111-A004-24F8E5D16988}"/>
    <cellStyle name="Comma 6 2 2 5 2 5" xfId="54636" xr:uid="{41A2F521-BCEB-4955-B24A-11C308074D1E}"/>
    <cellStyle name="Comma 6 2 2 5 3" xfId="15220" xr:uid="{0A7444B4-0681-4CE1-B65D-8B284E02AB80}"/>
    <cellStyle name="Comma 6 2 2 5 3 2" xfId="22759" xr:uid="{911B121B-2519-42B2-B94D-64C94636A298}"/>
    <cellStyle name="Comma 6 2 2 5 3 3" xfId="46497" xr:uid="{0F35E51D-6176-45B3-B743-088632A5C73F}"/>
    <cellStyle name="Comma 6 2 2 5 3 4" xfId="52097" xr:uid="{C7BCBA53-CF06-4491-A0B4-DC4021B5A1E2}"/>
    <cellStyle name="Comma 6 2 2 5 3 5" xfId="55113" xr:uid="{953297CD-4B03-4441-8A3B-34379698F5B0}"/>
    <cellStyle name="Comma 6 2 2 5 4" xfId="15707" xr:uid="{EBCFC1C7-42A5-4A2E-9FF4-E28BBE2A84FD}"/>
    <cellStyle name="Comma 6 2 2 5 4 2" xfId="23236" xr:uid="{25498AB1-D42E-4C29-A6E1-73C525281F34}"/>
    <cellStyle name="Comma 6 2 2 5 4 3" xfId="47255" xr:uid="{C2CA9EB3-B889-4B25-80B9-127F515D1D55}"/>
    <cellStyle name="Comma 6 2 2 5 4 4" xfId="52574" xr:uid="{8D39E03C-FEDF-4CF4-BAB8-8AEEBCD6BBDB}"/>
    <cellStyle name="Comma 6 2 2 5 4 5" xfId="55590" xr:uid="{AF3F3C51-FF0B-4AFD-9891-1A0F4D41753E}"/>
    <cellStyle name="Comma 6 2 2 5 5" xfId="12721" xr:uid="{22DE45D5-51CC-46F4-A147-42FEDD25EA11}"/>
    <cellStyle name="Comma 6 2 2 5 5 2" xfId="47267" xr:uid="{238DE556-EC98-41F6-AFB3-F11C1EAFE830}"/>
    <cellStyle name="Comma 6 2 2 5 5 3" xfId="51143" xr:uid="{428EC610-AA89-435A-8C88-0EECAF95C643}"/>
    <cellStyle name="Comma 6 2 2 5 5 4" xfId="54159" xr:uid="{24A6FE84-5046-40FE-AD99-D179D3AFA6DD}"/>
    <cellStyle name="Comma 6 2 2 5 6" xfId="46077" xr:uid="{98FC0238-E8AE-4F2E-9C6A-C1F1149F2989}"/>
    <cellStyle name="Comma 6 2 2 5 7" xfId="50037" xr:uid="{1E6A6D9A-6C5C-4FF1-9AC3-54E132C5D758}"/>
    <cellStyle name="Comma 6 2 2 5 8" xfId="53053" xr:uid="{EAD25454-6FE1-417F-893A-7F6E57EDFB73}"/>
    <cellStyle name="Comma 6 2 2 6" xfId="10582" xr:uid="{4501AD30-FC77-4B5E-8F53-54EB364BD348}"/>
    <cellStyle name="Comma 6 2 2 6 2" xfId="14947" xr:uid="{AC3EAD4E-4518-4E59-BF0C-555999B1AED0}"/>
    <cellStyle name="Comma 6 2 2 6 2 2" xfId="22494" xr:uid="{9FE63004-DC3A-408B-BAB2-F603A37B1346}"/>
    <cellStyle name="Comma 6 2 2 6 2 3" xfId="24927" xr:uid="{0002E01A-8A5A-476C-88F2-32A2A9EE6EB3}"/>
    <cellStyle name="Comma 6 2 2 6 2 4" xfId="51832" xr:uid="{0D802386-B443-4814-A312-7613D0BC51B2}"/>
    <cellStyle name="Comma 6 2 2 6 2 5" xfId="54848" xr:uid="{996BF237-0728-4217-815A-4C4B60D5BBF0}"/>
    <cellStyle name="Comma 6 2 2 6 3" xfId="15432" xr:uid="{758654EC-E35D-4711-8687-0F7F0FC829BA}"/>
    <cellStyle name="Comma 6 2 2 6 3 2" xfId="22971" xr:uid="{71A866EA-70F5-4A79-8F18-F41211A5A413}"/>
    <cellStyle name="Comma 6 2 2 6 3 3" xfId="47132" xr:uid="{3262890D-6EB6-48E1-932E-18CD888A2E5B}"/>
    <cellStyle name="Comma 6 2 2 6 3 4" xfId="52309" xr:uid="{20D6303F-314D-491C-957D-179716DD0DCE}"/>
    <cellStyle name="Comma 6 2 2 6 3 5" xfId="55325" xr:uid="{87159156-E4F6-49FC-9478-C44B27FA978D}"/>
    <cellStyle name="Comma 6 2 2 6 4" xfId="15920" xr:uid="{B0AA5848-35E4-4B3E-B23E-709DAF7FC375}"/>
    <cellStyle name="Comma 6 2 2 6 4 2" xfId="23448" xr:uid="{6938B668-193F-44BB-986C-82C3F16FAE2E}"/>
    <cellStyle name="Comma 6 2 2 6 4 3" xfId="24644" xr:uid="{14FC5179-79D7-410C-BD78-ABBF98CF803F}"/>
    <cellStyle name="Comma 6 2 2 6 4 4" xfId="52786" xr:uid="{45EF3C57-B405-4630-9E7D-789A96A42020}"/>
    <cellStyle name="Comma 6 2 2 6 4 5" xfId="55802" xr:uid="{B35C2CC7-57CE-47BB-A55E-A0029E7714C9}"/>
    <cellStyle name="Comma 6 2 2 6 5" xfId="13035" xr:uid="{D77DF31B-165A-4055-A84B-70F6B47C6D7E}"/>
    <cellStyle name="Comma 6 2 2 6 5 2" xfId="47026" xr:uid="{76765DF8-00E1-41A2-A928-58AA190B4B8C}"/>
    <cellStyle name="Comma 6 2 2 6 5 3" xfId="51355" xr:uid="{F3F0E648-D0B2-4DD6-93C0-C204A8A99AED}"/>
    <cellStyle name="Comma 6 2 2 6 5 4" xfId="54371" xr:uid="{716CCB7E-684A-464E-A9F5-D3EB85F701CD}"/>
    <cellStyle name="Comma 6 2 2 6 6" xfId="32472" xr:uid="{FD646080-69BB-47A6-B119-7F99FA643B47}"/>
    <cellStyle name="Comma 6 2 2 6 7" xfId="50249" xr:uid="{5F66E010-8176-48F5-85D8-A20F84B7AFEE}"/>
    <cellStyle name="Comma 6 2 2 6 8" xfId="53265" xr:uid="{4C7DD9DF-6C8A-4D8C-9A49-443278C9DEE5}"/>
    <cellStyle name="Comma 6 2 2 7" xfId="14523" xr:uid="{540A452E-40B4-4BF9-BC50-82189EA4D389}"/>
    <cellStyle name="Comma 6 2 2 7 2" xfId="22070" xr:uid="{AC15665B-638D-4A6B-BF41-2887ECB9E817}"/>
    <cellStyle name="Comma 6 2 2 7 3" xfId="47531" xr:uid="{B4AA1232-8C1F-479E-80D9-C99834F58802}"/>
    <cellStyle name="Comma 6 2 2 7 4" xfId="51408" xr:uid="{4FADF4B0-EB8C-4727-919E-5FD58C06B6F0}"/>
    <cellStyle name="Comma 6 2 2 7 5" xfId="54424" xr:uid="{80B5FCFB-0162-4572-ACA0-5800FD34B9BF}"/>
    <cellStyle name="Comma 6 2 2 8" xfId="15007" xr:uid="{EFA742C8-8D6F-4D7C-B44C-C488FE66EA91}"/>
    <cellStyle name="Comma 6 2 2 8 2" xfId="22547" xr:uid="{622F6D80-6796-4426-9D68-D00E6BFE2ECA}"/>
    <cellStyle name="Comma 6 2 2 8 3" xfId="46465" xr:uid="{E0C17D83-96CD-460A-B5B1-B9E157121045}"/>
    <cellStyle name="Comma 6 2 2 8 4" xfId="51885" xr:uid="{65CB4CF3-4630-4BFA-8E2F-7D253BEC4626}"/>
    <cellStyle name="Comma 6 2 2 8 5" xfId="54901" xr:uid="{36B38460-E02C-4FAC-8778-781E67366120}"/>
    <cellStyle name="Comma 6 2 2 9" xfId="15494" xr:uid="{4BD39FC7-67A7-4D7B-9B8F-D50153BA0CB8}"/>
    <cellStyle name="Comma 6 2 2 9 2" xfId="23024" xr:uid="{0AC82804-5251-4C5E-BCD5-18C3B2EF5504}"/>
    <cellStyle name="Comma 6 2 2 9 3" xfId="46540" xr:uid="{9E34EC9A-D2C1-4AF5-89FE-27F42E165421}"/>
    <cellStyle name="Comma 6 2 2 9 4" xfId="52362" xr:uid="{E2767B82-4976-4B7F-86E4-95D6071C8BDB}"/>
    <cellStyle name="Comma 6 2 2 9 5" xfId="55378" xr:uid="{D4170CB2-05AF-4794-A4BE-DEB624B4293E}"/>
    <cellStyle name="Comma 6 2 3" xfId="10034" xr:uid="{2EAD63AA-DE62-4E0C-94D9-A955AD9F9033}"/>
    <cellStyle name="Comma 6 2 3 10" xfId="49575" xr:uid="{6DB7507B-94D3-439D-A14C-EFF74E52400B}"/>
    <cellStyle name="Comma 6 2 3 11" xfId="49877" xr:uid="{7A069C7A-8AF1-4E47-9D27-F55DEE35CAD8}"/>
    <cellStyle name="Comma 6 2 3 12" xfId="52893" xr:uid="{04B02749-9870-4BD2-893D-5D96DB25AB2C}"/>
    <cellStyle name="Comma 6 2 3 2" xfId="10342" xr:uid="{869FEA02-29E4-427B-9435-E20AC4C4115F}"/>
    <cellStyle name="Comma 6 2 3 2 2" xfId="14787" xr:uid="{47EA1B99-2B8C-4EE6-AAE0-F390FDE1848F}"/>
    <cellStyle name="Comma 6 2 3 2 2 2" xfId="22334" xr:uid="{2106CC8A-6CA6-4104-A3BC-703A4D2DA1C1}"/>
    <cellStyle name="Comma 6 2 3 2 2 3" xfId="46864" xr:uid="{C062F17A-2427-4E6D-B481-9F3224B7994D}"/>
    <cellStyle name="Comma 6 2 3 2 2 4" xfId="51672" xr:uid="{AFD77B1D-4E07-422B-B6E3-8048C0C7E2E8}"/>
    <cellStyle name="Comma 6 2 3 2 2 5" xfId="54688" xr:uid="{DB0E5F3F-AA59-480C-8BF0-E63BB5D96DA5}"/>
    <cellStyle name="Comma 6 2 3 2 3" xfId="15272" xr:uid="{9A19800E-CF8C-43B4-A78E-AA64043D90C1}"/>
    <cellStyle name="Comma 6 2 3 2 3 2" xfId="22811" xr:uid="{53E1107B-28E7-4BB6-A473-EEA49D148917}"/>
    <cellStyle name="Comma 6 2 3 2 3 3" xfId="46900" xr:uid="{41BA8409-10E5-4AB7-B4C2-1446B5A7A9D9}"/>
    <cellStyle name="Comma 6 2 3 2 3 4" xfId="52149" xr:uid="{81671D8C-D046-4027-BF43-6BF28370778F}"/>
    <cellStyle name="Comma 6 2 3 2 3 5" xfId="55165" xr:uid="{831A8D9F-1509-469E-AB30-ECE3AA2BBC71}"/>
    <cellStyle name="Comma 6 2 3 2 4" xfId="15759" xr:uid="{B7C3CC5E-5B2C-446F-B914-74ACBB3374F0}"/>
    <cellStyle name="Comma 6 2 3 2 4 2" xfId="23288" xr:uid="{F8F94F0B-23F7-4DFA-964A-17F9A74B9B31}"/>
    <cellStyle name="Comma 6 2 3 2 4 3" xfId="24309" xr:uid="{10E8238A-B022-49EB-8D43-6E38A3860ADD}"/>
    <cellStyle name="Comma 6 2 3 2 4 4" xfId="52626" xr:uid="{4DB00429-04A4-46AA-B744-472212A15B9E}"/>
    <cellStyle name="Comma 6 2 3 2 4 5" xfId="55642" xr:uid="{EDC418B3-6EA2-47C1-9225-1B89800B94F0}"/>
    <cellStyle name="Comma 6 2 3 2 5" xfId="12795" xr:uid="{F3FF0371-B3E8-4126-AFF8-0DB5C5A791F4}"/>
    <cellStyle name="Comma 6 2 3 2 5 2" xfId="48052" xr:uid="{FC1805FF-A6A7-4A3D-A6AC-E7281620B25A}"/>
    <cellStyle name="Comma 6 2 3 2 5 3" xfId="51195" xr:uid="{65381E61-B4B9-4170-9776-A206133E8937}"/>
    <cellStyle name="Comma 6 2 3 2 5 4" xfId="54211" xr:uid="{447123A5-ED85-4AFC-A47C-FF7CC8D7E25F}"/>
    <cellStyle name="Comma 6 2 3 2 6" xfId="47284" xr:uid="{CBF41568-7173-4804-9DA5-49D2DBFE42DE}"/>
    <cellStyle name="Comma 6 2 3 2 7" xfId="50089" xr:uid="{7189BDFF-0B71-4248-9732-A2581782C881}"/>
    <cellStyle name="Comma 6 2 3 2 8" xfId="53105" xr:uid="{0F233287-D644-47A3-8E41-A2CAB1CF364A}"/>
    <cellStyle name="Comma 6 2 3 3" xfId="14575" xr:uid="{5BB8E2D1-C38D-4634-BD58-36592737FE27}"/>
    <cellStyle name="Comma 6 2 3 3 2" xfId="22122" xr:uid="{76777662-EC22-4AD6-A523-BCCE40A68AB0}"/>
    <cellStyle name="Comma 6 2 3 3 3" xfId="47236" xr:uid="{3C1826CB-D734-4926-AA5A-FBB4F9FE01DF}"/>
    <cellStyle name="Comma 6 2 3 3 4" xfId="51460" xr:uid="{D97338F4-32E7-4CAC-84A9-5D94F72EED92}"/>
    <cellStyle name="Comma 6 2 3 3 5" xfId="54476" xr:uid="{DE0AE3BF-CAEB-40F0-9DD3-E693B57ECDF6}"/>
    <cellStyle name="Comma 6 2 3 4" xfId="15059" xr:uid="{5CA202A8-4E09-438B-8E39-2630C1823DED}"/>
    <cellStyle name="Comma 6 2 3 4 2" xfId="22599" xr:uid="{31CCD920-D011-4122-9266-DFE421FA33C7}"/>
    <cellStyle name="Comma 6 2 3 4 3" xfId="24914" xr:uid="{7E772A1D-1085-46AC-A3AE-5D2ECD64A80E}"/>
    <cellStyle name="Comma 6 2 3 4 4" xfId="51937" xr:uid="{37E0B2EC-07EC-490F-9783-52BDD80654AC}"/>
    <cellStyle name="Comma 6 2 3 4 5" xfId="54953" xr:uid="{8E0756A6-793D-4D72-A058-B8C810BE025E}"/>
    <cellStyle name="Comma 6 2 3 5" xfId="15546" xr:uid="{802E1E2E-77A6-4A8D-93B2-4C7A1351CC06}"/>
    <cellStyle name="Comma 6 2 3 5 2" xfId="23076" xr:uid="{E140FB98-B445-49D3-8AC7-27DD287BB425}"/>
    <cellStyle name="Comma 6 2 3 5 3" xfId="46933" xr:uid="{DD41EB31-2877-4E12-91C9-AE8E3F7FC904}"/>
    <cellStyle name="Comma 6 2 3 5 4" xfId="52414" xr:uid="{CE2CB63A-B806-44A4-A53D-7990CA3DF819}"/>
    <cellStyle name="Comma 6 2 3 5 5" xfId="55430" xr:uid="{2F0E2574-3DCD-48B6-BBBB-F0EA09B5DAFA}"/>
    <cellStyle name="Comma 6 2 3 6" xfId="12494" xr:uid="{5F6DC586-DAB1-474E-AF09-E96D95282713}"/>
    <cellStyle name="Comma 6 2 3 6 2" xfId="47226" xr:uid="{8DE9A816-01C1-469B-A306-B55D69E6E8FC}"/>
    <cellStyle name="Comma 6 2 3 6 3" xfId="50983" xr:uid="{91F5C2C5-2A41-47C1-B728-5E3DF0A0303A}"/>
    <cellStyle name="Comma 6 2 3 6 4" xfId="53999" xr:uid="{B0380C9B-30E8-4999-B794-441116EE3B9D}"/>
    <cellStyle name="Comma 6 2 3 7" xfId="23794" xr:uid="{33A1308E-10EA-4F2C-80DA-A4B21DC3B56C}"/>
    <cellStyle name="Comma 6 2 3 8" xfId="46033" xr:uid="{F7BDEF38-6AB9-4A1E-B694-3E2EA32D4B4D}"/>
    <cellStyle name="Comma 6 2 3 9" xfId="48667" xr:uid="{20EA3C27-F3C5-433F-927C-7B553FA01008}"/>
    <cellStyle name="Comma 6 2 4" xfId="10108" xr:uid="{7A36C5B6-BD26-4BA8-9EC8-632AF6D26AD0}"/>
    <cellStyle name="Comma 6 2 4 10" xfId="49930" xr:uid="{44339727-69AD-48F6-9027-79C6151763A0}"/>
    <cellStyle name="Comma 6 2 4 11" xfId="52946" xr:uid="{FC1E60F9-4E7F-4555-928D-9DA072CD2926}"/>
    <cellStyle name="Comma 6 2 4 2" xfId="10421" xr:uid="{8E946AB5-551B-41B4-8B41-D8C96488D667}"/>
    <cellStyle name="Comma 6 2 4 2 2" xfId="14840" xr:uid="{F4C3C92F-D3D9-4041-B78E-1112922D04C4}"/>
    <cellStyle name="Comma 6 2 4 2 2 2" xfId="22387" xr:uid="{850F0D8D-88B0-408D-A60D-2ABF86DE17FE}"/>
    <cellStyle name="Comma 6 2 4 2 2 3" xfId="24455" xr:uid="{7DE6B360-80CC-44D3-AC9E-3AB60DFBE92E}"/>
    <cellStyle name="Comma 6 2 4 2 2 4" xfId="51725" xr:uid="{F31623F7-B3F3-4C2F-9A71-18C0A97149A9}"/>
    <cellStyle name="Comma 6 2 4 2 2 5" xfId="54741" xr:uid="{8A308FAE-7776-41EB-9C35-A3B2FDB19EF0}"/>
    <cellStyle name="Comma 6 2 4 2 3" xfId="15325" xr:uid="{F08391A6-484B-49C8-BBBC-8F2F9023546E}"/>
    <cellStyle name="Comma 6 2 4 2 3 2" xfId="22864" xr:uid="{44C8033D-486F-49EA-AB4F-B59C22A67ADC}"/>
    <cellStyle name="Comma 6 2 4 2 3 3" xfId="34475" xr:uid="{17036A6F-6D41-447C-A103-6D7DC1F7789A}"/>
    <cellStyle name="Comma 6 2 4 2 3 4" xfId="52202" xr:uid="{D4C45BB5-C526-4BD8-9158-E04E8E24D27D}"/>
    <cellStyle name="Comma 6 2 4 2 3 5" xfId="55218" xr:uid="{B0A3F910-68E4-477D-8867-6F1E6F03D1A4}"/>
    <cellStyle name="Comma 6 2 4 2 4" xfId="15812" xr:uid="{E7FEF4AE-7E2D-404C-ACA4-6B6973CF6DFC}"/>
    <cellStyle name="Comma 6 2 4 2 4 2" xfId="23341" xr:uid="{5C8C18DB-3EC8-4510-BDA9-5B00EEBF0C46}"/>
    <cellStyle name="Comma 6 2 4 2 4 3" xfId="47138" xr:uid="{78D27CE2-60B4-4098-8871-379220E880DD}"/>
    <cellStyle name="Comma 6 2 4 2 4 4" xfId="52679" xr:uid="{559D5671-66C4-41ED-AA66-FB14D6BC7CB0}"/>
    <cellStyle name="Comma 6 2 4 2 4 5" xfId="55695" xr:uid="{15166E53-8DEF-47B2-8518-7A1D60A99E3A}"/>
    <cellStyle name="Comma 6 2 4 2 5" xfId="12874" xr:uid="{F4FD209A-96DE-487A-98B0-E1FD29C909E4}"/>
    <cellStyle name="Comma 6 2 4 2 5 2" xfId="46803" xr:uid="{C7C448D1-937A-49BF-8583-EBCF27AFDF55}"/>
    <cellStyle name="Comma 6 2 4 2 5 3" xfId="51248" xr:uid="{534EFC4E-64A3-4C82-ABDB-550CAA3512B3}"/>
    <cellStyle name="Comma 6 2 4 2 5 4" xfId="54264" xr:uid="{D03AF6A3-D105-4350-8A51-26233CCCD2D4}"/>
    <cellStyle name="Comma 6 2 4 2 6" xfId="46119" xr:uid="{6A38FAB9-1F96-4581-A47F-F78045FB4920}"/>
    <cellStyle name="Comma 6 2 4 2 7" xfId="50142" xr:uid="{D0B2F815-8C08-4B8C-8962-C4E63C8D73B3}"/>
    <cellStyle name="Comma 6 2 4 2 8" xfId="53158" xr:uid="{108E5D77-C490-4620-A5A7-C5889C35A863}"/>
    <cellStyle name="Comma 6 2 4 3" xfId="14628" xr:uid="{131B2F84-8326-4C86-BD04-69E0D1A20826}"/>
    <cellStyle name="Comma 6 2 4 3 2" xfId="22175" xr:uid="{30E50982-B8D1-4B15-A515-5BFF6B327789}"/>
    <cellStyle name="Comma 6 2 4 3 3" xfId="47926" xr:uid="{55BCA85A-E36D-46D4-9837-6DBF459913AB}"/>
    <cellStyle name="Comma 6 2 4 3 4" xfId="51513" xr:uid="{0E4C3583-F146-49C2-874E-69212A01E95F}"/>
    <cellStyle name="Comma 6 2 4 3 5" xfId="54529" xr:uid="{D05B9B11-0604-44D3-9365-483056728710}"/>
    <cellStyle name="Comma 6 2 4 4" xfId="15113" xr:uid="{5D38D2E5-0AE2-49AF-81F7-7352A5B2D670}"/>
    <cellStyle name="Comma 6 2 4 4 2" xfId="22652" xr:uid="{64B5A7D4-F06A-49B8-9000-41D80B743A91}"/>
    <cellStyle name="Comma 6 2 4 4 3" xfId="48016" xr:uid="{331BBBCF-1DF2-42FC-8A8F-6E1FBC262941}"/>
    <cellStyle name="Comma 6 2 4 4 4" xfId="51990" xr:uid="{E6116562-1A0C-43E4-9F3A-8AB7D86DDF35}"/>
    <cellStyle name="Comma 6 2 4 4 5" xfId="55006" xr:uid="{210EC92C-F98C-4468-A6E4-54D0C3511ADE}"/>
    <cellStyle name="Comma 6 2 4 5" xfId="15600" xr:uid="{A6C83F58-6DB0-46B5-A547-33BCC6ACE30D}"/>
    <cellStyle name="Comma 6 2 4 5 2" xfId="23129" xr:uid="{9F32FCB8-9840-4640-9DAE-36BF964365FC}"/>
    <cellStyle name="Comma 6 2 4 5 3" xfId="24527" xr:uid="{B22C00ED-F4F6-455C-BE73-BC4F720DED46}"/>
    <cellStyle name="Comma 6 2 4 5 4" xfId="52467" xr:uid="{70716B38-C99D-4E10-9C34-C5AE9F6F2E86}"/>
    <cellStyle name="Comma 6 2 4 5 5" xfId="55483" xr:uid="{D772393C-B6B1-43CF-89D5-2763753BB150}"/>
    <cellStyle name="Comma 6 2 4 6" xfId="12565" xr:uid="{C459E7D5-FDC9-427B-927E-A9150F697A2B}"/>
    <cellStyle name="Comma 6 2 4 6 2" xfId="32367" xr:uid="{6ACA542D-06AB-4E7B-B983-B127602820A2}"/>
    <cellStyle name="Comma 6 2 4 6 3" xfId="51036" xr:uid="{B809D9D8-41F0-400D-8FC7-43F654820FC9}"/>
    <cellStyle name="Comma 6 2 4 6 4" xfId="54052" xr:uid="{D6F573B0-ED6F-46A7-BF1E-D7656EB75F30}"/>
    <cellStyle name="Comma 6 2 4 7" xfId="23795" xr:uid="{2D542BB0-8199-4A45-8D0D-420C682C7F98}"/>
    <cellStyle name="Comma 6 2 4 8" xfId="48668" xr:uid="{8A0071EA-59D0-4B75-B885-32B9C0A4E14E}"/>
    <cellStyle name="Comma 6 2 4 9" xfId="49576" xr:uid="{59576940-83E9-47D9-89E7-5D45CBB1EAB3}"/>
    <cellStyle name="Comma 6 2 5" xfId="10187" xr:uid="{D9230281-CAEB-464A-8A15-9127CFFA6EA1}"/>
    <cellStyle name="Comma 6 2 5 2" xfId="10501" xr:uid="{5CC684D0-8919-4F28-B345-1559E6AAD0CC}"/>
    <cellStyle name="Comma 6 2 5 2 2" xfId="14893" xr:uid="{2CFBBA57-C3FE-49F3-9F2A-6B93D1A51A8D}"/>
    <cellStyle name="Comma 6 2 5 2 2 2" xfId="22440" xr:uid="{78E93A60-546D-42AE-A333-627289249B25}"/>
    <cellStyle name="Comma 6 2 5 2 2 3" xfId="32327" xr:uid="{3ABD710E-5A41-4B31-82C1-A2B3F18C7479}"/>
    <cellStyle name="Comma 6 2 5 2 2 4" xfId="51778" xr:uid="{4EBB9DA4-2066-409B-98D6-EDDB1C54F3E2}"/>
    <cellStyle name="Comma 6 2 5 2 2 5" xfId="54794" xr:uid="{84E29753-DA07-4ADC-AD3E-E9FF79B2F995}"/>
    <cellStyle name="Comma 6 2 5 2 3" xfId="15378" xr:uid="{C5375E44-B46A-4A26-B46B-073B930ED1AA}"/>
    <cellStyle name="Comma 6 2 5 2 3 2" xfId="22917" xr:uid="{D2876C40-590C-4C88-A1E5-918D7DEB31B1}"/>
    <cellStyle name="Comma 6 2 5 2 3 3" xfId="33646" xr:uid="{179956E7-BC69-4E07-AF39-68BC837B80FD}"/>
    <cellStyle name="Comma 6 2 5 2 3 4" xfId="52255" xr:uid="{48A3996E-2FE3-4009-8139-59B7C1C4F144}"/>
    <cellStyle name="Comma 6 2 5 2 3 5" xfId="55271" xr:uid="{C96C7EA8-5EC3-4FF7-BDD9-EAEAA73A4676}"/>
    <cellStyle name="Comma 6 2 5 2 4" xfId="15865" xr:uid="{A4AF7097-CD00-4C59-9FD4-E3B7E7D48E59}"/>
    <cellStyle name="Comma 6 2 5 2 4 2" xfId="23394" xr:uid="{B82AA14E-F6A0-4A24-A016-D8CC6E470AE0}"/>
    <cellStyle name="Comma 6 2 5 2 4 3" xfId="36058" xr:uid="{97E36FEA-8A10-4938-B7A8-9A9DAE64B7AE}"/>
    <cellStyle name="Comma 6 2 5 2 4 4" xfId="52732" xr:uid="{0938B288-87B4-4BDB-B7B0-618A26B5D449}"/>
    <cellStyle name="Comma 6 2 5 2 4 5" xfId="55748" xr:uid="{60A3329F-C815-4E29-804D-70E97E49CC45}"/>
    <cellStyle name="Comma 6 2 5 2 5" xfId="12954" xr:uid="{79405FF8-F4D6-4A26-984F-37E5E6F1C871}"/>
    <cellStyle name="Comma 6 2 5 2 5 2" xfId="48094" xr:uid="{319854FB-9473-4F23-95D2-6DD1073ECA44}"/>
    <cellStyle name="Comma 6 2 5 2 5 3" xfId="51301" xr:uid="{C155EACF-C609-4836-BE62-2DA5BCCE632B}"/>
    <cellStyle name="Comma 6 2 5 2 5 4" xfId="54317" xr:uid="{03E457C0-6F27-48E6-B47D-A8A28D0FF225}"/>
    <cellStyle name="Comma 6 2 5 2 6" xfId="46139" xr:uid="{26E3F85F-A1D9-4A48-B139-0A99C7B6288B}"/>
    <cellStyle name="Comma 6 2 5 2 7" xfId="50195" xr:uid="{4B64815F-906C-45F6-9811-F9E81E7282F7}"/>
    <cellStyle name="Comma 6 2 5 2 8" xfId="53211" xr:uid="{C33ABDE9-E399-40B7-9885-AD254772CC44}"/>
    <cellStyle name="Comma 6 2 5 3" xfId="14681" xr:uid="{873AB36B-383F-46A1-B42F-93DA39040B76}"/>
    <cellStyle name="Comma 6 2 5 3 2" xfId="22228" xr:uid="{153AC2EB-1106-498C-99FE-02BF7AB9DAAF}"/>
    <cellStyle name="Comma 6 2 5 3 3" xfId="46847" xr:uid="{10B7B41A-5873-4ABB-9C7F-46C884BA727D}"/>
    <cellStyle name="Comma 6 2 5 3 4" xfId="51566" xr:uid="{FFAA0DD7-9654-4AA3-8132-D45E49C3616B}"/>
    <cellStyle name="Comma 6 2 5 3 5" xfId="54582" xr:uid="{45F58C1E-2112-4BB7-9002-C48FADDAA0F8}"/>
    <cellStyle name="Comma 6 2 5 4" xfId="15166" xr:uid="{78397968-5412-4D58-ADC9-2105C92F3A92}"/>
    <cellStyle name="Comma 6 2 5 4 2" xfId="22705" xr:uid="{268DF42B-0A77-40A5-9C33-C65A0F0DCD6D}"/>
    <cellStyle name="Comma 6 2 5 4 3" xfId="47434" xr:uid="{2BF843F9-AC6D-4945-BEC7-5C20F6E81338}"/>
    <cellStyle name="Comma 6 2 5 4 4" xfId="52043" xr:uid="{9B0AC3ED-EE59-41ED-9620-A2525EA97F11}"/>
    <cellStyle name="Comma 6 2 5 4 5" xfId="55059" xr:uid="{CA80A2E3-97BC-4DB8-8A1D-E912FB7F12C5}"/>
    <cellStyle name="Comma 6 2 5 5" xfId="15653" xr:uid="{C7FDA95F-C79A-4FC0-9F43-CAD9348C3977}"/>
    <cellStyle name="Comma 6 2 5 5 2" xfId="23182" xr:uid="{49A616BC-8977-4C0A-A0C9-9316A98C0FB9}"/>
    <cellStyle name="Comma 6 2 5 5 3" xfId="32281" xr:uid="{B9BFB1B8-7DEB-46DA-93FD-DD93BF8C72D9}"/>
    <cellStyle name="Comma 6 2 5 5 4" xfId="52520" xr:uid="{8D615DAE-2A32-495C-B6AE-AF4106D84ADE}"/>
    <cellStyle name="Comma 6 2 5 5 5" xfId="55536" xr:uid="{914DBC66-B882-4632-A6D1-515FB1C6A9BA}"/>
    <cellStyle name="Comma 6 2 5 6" xfId="12641" xr:uid="{58D8CC43-F993-4EFA-B8D5-A291960D96A0}"/>
    <cellStyle name="Comma 6 2 5 6 2" xfId="47017" xr:uid="{2BB9BDC8-BC59-4DE8-9F07-B70305899E74}"/>
    <cellStyle name="Comma 6 2 5 6 3" xfId="51089" xr:uid="{2D860C49-510D-4522-B178-A4BAF9C2A7CF}"/>
    <cellStyle name="Comma 6 2 5 6 4" xfId="54105" xr:uid="{298D7DDA-CE13-4BCF-9A46-B9F647417238}"/>
    <cellStyle name="Comma 6 2 5 7" xfId="47206" xr:uid="{5BA93C24-86D8-48E0-A4EC-B0F0398B12D1}"/>
    <cellStyle name="Comma 6 2 5 8" xfId="49983" xr:uid="{0FA1FD36-CC6C-4922-9E5D-6376482F555A}"/>
    <cellStyle name="Comma 6 2 5 9" xfId="52999" xr:uid="{32B82065-9656-4289-8E65-765D8067BC3E}"/>
    <cellStyle name="Comma 6 2 6" xfId="10267" xr:uid="{9226981C-2D9C-4AE7-B206-D292380A1BC3}"/>
    <cellStyle name="Comma 6 2 6 2" xfId="14734" xr:uid="{34C6A82C-08CB-4995-96EF-F11D3E670119}"/>
    <cellStyle name="Comma 6 2 6 2 2" xfId="22281" xr:uid="{CD02F664-A5B3-4B75-A66E-A77FCD0D43E1}"/>
    <cellStyle name="Comma 6 2 6 2 3" xfId="24957" xr:uid="{C4A95601-4BA2-40A5-98AD-59C808A0ABFE}"/>
    <cellStyle name="Comma 6 2 6 2 4" xfId="51619" xr:uid="{8BD137FF-C3AE-446C-B74D-869A26F6F8D2}"/>
    <cellStyle name="Comma 6 2 6 2 5" xfId="54635" xr:uid="{535AD1BC-F810-4380-B1AE-CC1C231ACCB2}"/>
    <cellStyle name="Comma 6 2 6 3" xfId="15219" xr:uid="{6BBC6D75-CBF4-48EB-91CC-CA1A166FB157}"/>
    <cellStyle name="Comma 6 2 6 3 2" xfId="22758" xr:uid="{322314B4-AB32-44BF-AA84-255FAD76B64B}"/>
    <cellStyle name="Comma 6 2 6 3 3" xfId="47341" xr:uid="{9D47FB9C-7FE1-46E9-9B75-67988DAF3658}"/>
    <cellStyle name="Comma 6 2 6 3 4" xfId="52096" xr:uid="{CD5B62B1-2309-41FA-8CAF-C16BDB5BF364}"/>
    <cellStyle name="Comma 6 2 6 3 5" xfId="55112" xr:uid="{B6A470A0-8F9E-478C-ADB3-9F0222DEC592}"/>
    <cellStyle name="Comma 6 2 6 4" xfId="15706" xr:uid="{D10A0A70-E94E-40D3-B942-D8682ACD6F5C}"/>
    <cellStyle name="Comma 6 2 6 4 2" xfId="23235" xr:uid="{B7AC338E-A913-4709-AA65-2CC3884D468B}"/>
    <cellStyle name="Comma 6 2 6 4 3" xfId="33994" xr:uid="{46061889-BEFD-4587-BFB8-17E6A31D4BA6}"/>
    <cellStyle name="Comma 6 2 6 4 4" xfId="52573" xr:uid="{886FFCF2-BB63-4B72-91B6-422E4E5E745E}"/>
    <cellStyle name="Comma 6 2 6 4 5" xfId="55589" xr:uid="{3ADC2164-F4D0-4931-90A6-C661BD2654D6}"/>
    <cellStyle name="Comma 6 2 6 5" xfId="12720" xr:uid="{591A2DE2-4A75-4807-88DB-38656CAE308C}"/>
    <cellStyle name="Comma 6 2 6 5 2" xfId="47146" xr:uid="{D4BB77EC-2331-4203-AD41-43EC9375BAAD}"/>
    <cellStyle name="Comma 6 2 6 5 3" xfId="51142" xr:uid="{471305C9-3FAA-41CA-88AD-756BB99E946F}"/>
    <cellStyle name="Comma 6 2 6 5 4" xfId="54158" xr:uid="{C99A16FA-347C-4ACC-9F95-E28FE4C234F3}"/>
    <cellStyle name="Comma 6 2 6 6" xfId="48284" xr:uid="{97D7EA04-B6E6-4D29-911F-49D00C4D0838}"/>
    <cellStyle name="Comma 6 2 6 7" xfId="50036" xr:uid="{8D2FE0E3-95F7-4B76-8487-A29880F5B0C2}"/>
    <cellStyle name="Comma 6 2 6 8" xfId="53052" xr:uid="{7564C89B-834B-4B9A-841E-B5DC39A64EC9}"/>
    <cellStyle name="Comma 6 2 7" xfId="10581" xr:uid="{D140E726-87F1-4ECF-B97D-90C91856B1BF}"/>
    <cellStyle name="Comma 6 2 7 2" xfId="14946" xr:uid="{BFC811A7-78A0-49EB-9828-7DB2562FF415}"/>
    <cellStyle name="Comma 6 2 7 2 2" xfId="22493" xr:uid="{A2ECCB89-8B8B-421C-9069-21D6C0ED707A}"/>
    <cellStyle name="Comma 6 2 7 2 3" xfId="46458" xr:uid="{0CC9E493-2B3B-4445-B235-E71DC2DA6D0C}"/>
    <cellStyle name="Comma 6 2 7 2 4" xfId="51831" xr:uid="{234CB331-3344-43F6-A7AC-F20494B7DC9C}"/>
    <cellStyle name="Comma 6 2 7 2 5" xfId="54847" xr:uid="{B5BBAFCB-9CBC-49FD-A972-408C7E9320B1}"/>
    <cellStyle name="Comma 6 2 7 3" xfId="15431" xr:uid="{80A3C374-8329-473F-B13A-3E5AC3162B57}"/>
    <cellStyle name="Comma 6 2 7 3 2" xfId="22970" xr:uid="{42E6CCB2-3ED4-45FF-89AE-E1DE5D3EAD0B}"/>
    <cellStyle name="Comma 6 2 7 3 3" xfId="48247" xr:uid="{B8CD665C-219E-4363-986F-EDC8623F8EA4}"/>
    <cellStyle name="Comma 6 2 7 3 4" xfId="52308" xr:uid="{78E0CE9B-C8F8-49AD-8B9B-A92A235F5442}"/>
    <cellStyle name="Comma 6 2 7 3 5" xfId="55324" xr:uid="{F6CA8832-1ACA-4376-B5E1-79CD7A0EBDA1}"/>
    <cellStyle name="Comma 6 2 7 4" xfId="15919" xr:uid="{F7017CD9-4095-4A08-A914-67E3BBA709DC}"/>
    <cellStyle name="Comma 6 2 7 4 2" xfId="23447" xr:uid="{F71E757A-16E3-4B4B-9C42-31136F2A5B1A}"/>
    <cellStyle name="Comma 6 2 7 4 3" xfId="32499" xr:uid="{2B5A39B2-B426-4CB9-AF0E-CCAAF7159B6A}"/>
    <cellStyle name="Comma 6 2 7 4 4" xfId="52785" xr:uid="{FA497C8D-8967-4E91-A451-240E9907C070}"/>
    <cellStyle name="Comma 6 2 7 4 5" xfId="55801" xr:uid="{71EE9E76-D5E3-4DBF-9C8E-EB811BEFD68A}"/>
    <cellStyle name="Comma 6 2 7 5" xfId="13034" xr:uid="{79D2630E-C616-4741-901C-A3C773ADA7D9}"/>
    <cellStyle name="Comma 6 2 7 5 2" xfId="47104" xr:uid="{19BE0F5A-7D36-4303-BA1D-90E57795F00B}"/>
    <cellStyle name="Comma 6 2 7 5 3" xfId="51354" xr:uid="{07A41075-1D5B-43B1-801A-6B9E17E1D526}"/>
    <cellStyle name="Comma 6 2 7 5 4" xfId="54370" xr:uid="{4CE612FC-BD19-4027-8B1A-CA93C04FE3B8}"/>
    <cellStyle name="Comma 6 2 7 6" xfId="24258" xr:uid="{2F648397-3B69-4168-8028-614F04E4B810}"/>
    <cellStyle name="Comma 6 2 7 7" xfId="50248" xr:uid="{C93E296B-1E3E-4299-9DEF-370126944A23}"/>
    <cellStyle name="Comma 6 2 7 8" xfId="53264" xr:uid="{4579390B-3389-44CF-AEAD-E4AB56E5F0C1}"/>
    <cellStyle name="Comma 6 2 8" xfId="11172" xr:uid="{B5846EC0-3128-407D-B8F4-4C6ED442B0FA}"/>
    <cellStyle name="Comma 6 2 9" xfId="14522" xr:uid="{B4CC3282-1ADB-408D-A0E3-B75D9D792894}"/>
    <cellStyle name="Comma 6 2 9 2" xfId="22069" xr:uid="{B98D8669-B16C-4060-B2A1-7DF99862ED1F}"/>
    <cellStyle name="Comma 6 2 9 3" xfId="37017" xr:uid="{C4D58834-21C6-481F-8A8F-79FC6E63412E}"/>
    <cellStyle name="Comma 6 2 9 4" xfId="51407" xr:uid="{173EEE99-08F2-4682-8F66-E0297F3E84C3}"/>
    <cellStyle name="Comma 6 2 9 5" xfId="54423" xr:uid="{6DB2FA37-2D8A-4474-A5B2-5A96FA73DDCE}"/>
    <cellStyle name="Comma 6 3" xfId="5827" xr:uid="{22EDCFFB-AE1F-4CBB-8ABD-74FAF2F53C5B}"/>
    <cellStyle name="Comma 6 3 10" xfId="15495" xr:uid="{7F1E04E6-4674-486F-99B7-12E430A8D8E0}"/>
    <cellStyle name="Comma 6 3 10 2" xfId="23025" xr:uid="{37ED2557-2934-4267-8FFF-84B8DE3E6774}"/>
    <cellStyle name="Comma 6 3 10 3" xfId="47384" xr:uid="{77D8021D-6A16-4D5F-ABC6-EB0AFC8C9637}"/>
    <cellStyle name="Comma 6 3 10 4" xfId="52363" xr:uid="{0F00D431-5E85-4283-8C1B-BB5888553CA8}"/>
    <cellStyle name="Comma 6 3 10 5" xfId="55379" xr:uid="{9ABB77E1-EAB4-49C9-B298-2C7182B202AB}"/>
    <cellStyle name="Comma 6 3 11" xfId="11702" xr:uid="{7B173847-51BF-40B4-A3D0-D35A9A45B411}"/>
    <cellStyle name="Comma 6 3 11 2" xfId="46283" xr:uid="{023D71B5-6C7A-4629-A8AF-81DFCA1DE966}"/>
    <cellStyle name="Comma 6 3 11 3" xfId="50749" xr:uid="{E9464976-17DA-4D86-8B22-B00E4606A0E5}"/>
    <cellStyle name="Comma 6 3 11 4" xfId="53765" xr:uid="{2973CB90-BD29-485E-9039-139990BAC7E5}"/>
    <cellStyle name="Comma 6 3 12" xfId="23796" xr:uid="{AFCBF18E-0F16-4409-9985-18344B9A0880}"/>
    <cellStyle name="Comma 6 3 13" xfId="48669" xr:uid="{727D447D-F09B-4913-878E-8B1CC43AB2AC}"/>
    <cellStyle name="Comma 6 3 14" xfId="49577" xr:uid="{D83F4716-4617-4CC0-8AF4-CD7702A67EA4}"/>
    <cellStyle name="Comma 6 3 15" xfId="49826" xr:uid="{ED79B4DB-99C3-42B0-9BE7-5C9556045A9F}"/>
    <cellStyle name="Comma 6 3 16" xfId="52841" xr:uid="{A4D43DCC-E66A-47DA-B85A-7EA5E3303330}"/>
    <cellStyle name="Comma 6 3 17" xfId="8949" xr:uid="{C54FF863-76AF-4812-B95E-F5879419A24E}"/>
    <cellStyle name="Comma 6 3 2" xfId="10036" xr:uid="{8EF3D2B8-30E0-4362-909E-8A5AF0576CB5}"/>
    <cellStyle name="Comma 6 3 2 2" xfId="10344" xr:uid="{5CBD6FBA-241A-4AE4-8CCF-D3C79A3CA61D}"/>
    <cellStyle name="Comma 6 3 2 2 2" xfId="14789" xr:uid="{5F6FD1FC-AD57-4A41-88F4-F59744F63FF2}"/>
    <cellStyle name="Comma 6 3 2 2 2 2" xfId="22336" xr:uid="{E24A10E6-2D7C-49CA-A7F2-92BAB65DEE36}"/>
    <cellStyle name="Comma 6 3 2 2 2 3" xfId="47931" xr:uid="{A8FF389F-2B50-49CD-8AD0-E8E4978CA679}"/>
    <cellStyle name="Comma 6 3 2 2 2 4" xfId="51674" xr:uid="{064CD963-C642-43EB-8948-65282B18BE5D}"/>
    <cellStyle name="Comma 6 3 2 2 2 5" xfId="54690" xr:uid="{FFA0FDD5-D2A6-4C35-9376-CEE5FEB7683B}"/>
    <cellStyle name="Comma 6 3 2 2 3" xfId="15274" xr:uid="{4A439BCE-E56C-4D20-9940-10199B7DB205}"/>
    <cellStyle name="Comma 6 3 2 2 3 2" xfId="22813" xr:uid="{603CF4FE-98EC-447E-B0E5-8F6656702993}"/>
    <cellStyle name="Comma 6 3 2 2 3 3" xfId="47637" xr:uid="{ED6D9D9F-749B-49EB-92C3-99531DF6482B}"/>
    <cellStyle name="Comma 6 3 2 2 3 4" xfId="52151" xr:uid="{7A5B4E6D-D7AC-4671-934A-5F1B97AD5183}"/>
    <cellStyle name="Comma 6 3 2 2 3 5" xfId="55167" xr:uid="{D75D561A-1313-4922-BA65-F284CFC8D9D8}"/>
    <cellStyle name="Comma 6 3 2 2 4" xfId="15761" xr:uid="{8EC2BE60-23D0-416C-9AAD-3E1ED6D541CE}"/>
    <cellStyle name="Comma 6 3 2 2 4 2" xfId="23290" xr:uid="{D2F83990-05E8-4AB8-ABC9-5389497256B3}"/>
    <cellStyle name="Comma 6 3 2 2 4 3" xfId="48249" xr:uid="{27C5D6C2-81F9-4BF8-8B4F-25183AC05CDA}"/>
    <cellStyle name="Comma 6 3 2 2 4 4" xfId="52628" xr:uid="{B634CA94-9560-417F-97B4-945D119EDA9C}"/>
    <cellStyle name="Comma 6 3 2 2 4 5" xfId="55644" xr:uid="{9CBB3F96-3982-4FA9-9F64-76D2A42A23EF}"/>
    <cellStyle name="Comma 6 3 2 2 5" xfId="12797" xr:uid="{57DDFE2B-4661-4F9D-A6DF-DE6FCC5B3160}"/>
    <cellStyle name="Comma 6 3 2 2 5 2" xfId="46354" xr:uid="{6D340C55-F6B5-4685-836B-29E997B3C496}"/>
    <cellStyle name="Comma 6 3 2 2 5 3" xfId="51197" xr:uid="{B9E45685-F33C-41C8-9C44-A3DC88287021}"/>
    <cellStyle name="Comma 6 3 2 2 5 4" xfId="54213" xr:uid="{1F6B4AC0-CAE7-42F6-8204-26C5FE73A57D}"/>
    <cellStyle name="Comma 6 3 2 2 6" xfId="47878" xr:uid="{6CF7F27E-9B1E-45F8-8EB8-AF75E555E3C4}"/>
    <cellStyle name="Comma 6 3 2 2 7" xfId="50091" xr:uid="{235D971E-5048-4D7D-8E45-7C8EA5221136}"/>
    <cellStyle name="Comma 6 3 2 2 8" xfId="53107" xr:uid="{04EE3858-3E33-4FEB-9789-E88521A5779B}"/>
    <cellStyle name="Comma 6 3 2 3" xfId="14577" xr:uid="{9CC8F345-8B0E-4263-A2DD-DE05C1716CCC}"/>
    <cellStyle name="Comma 6 3 2 3 2" xfId="22124" xr:uid="{FD5710F5-D2AB-4377-8044-5B206BA0F930}"/>
    <cellStyle name="Comma 6 3 2 3 3" xfId="36590" xr:uid="{B71C5C11-F308-42AD-B928-A36BB829D3E0}"/>
    <cellStyle name="Comma 6 3 2 3 4" xfId="51462" xr:uid="{038C1618-A5AB-4B9F-A843-45442AD2F5D9}"/>
    <cellStyle name="Comma 6 3 2 3 5" xfId="54478" xr:uid="{84D7CA6C-0BE5-46C3-8902-62537BBA3E45}"/>
    <cellStyle name="Comma 6 3 2 4" xfId="15061" xr:uid="{62D7A3BA-A008-4DD4-A864-5C992A54CD9B}"/>
    <cellStyle name="Comma 6 3 2 4 2" xfId="22601" xr:uid="{95110663-28C1-423F-8101-8621BD80BC29}"/>
    <cellStyle name="Comma 6 3 2 4 3" xfId="46879" xr:uid="{21233434-B09D-4908-AC80-34434EC7297B}"/>
    <cellStyle name="Comma 6 3 2 4 4" xfId="51939" xr:uid="{5337E7E0-9594-4002-B0FC-929A0E00EE47}"/>
    <cellStyle name="Comma 6 3 2 4 5" xfId="54955" xr:uid="{94888262-D965-4A6A-9BFB-2FA318431E42}"/>
    <cellStyle name="Comma 6 3 2 5" xfId="15548" xr:uid="{AE13899B-641F-4A0B-A20E-90C817B22733}"/>
    <cellStyle name="Comma 6 3 2 5 2" xfId="23078" xr:uid="{7729BEF0-B8DC-4666-973C-0088F9CD725D}"/>
    <cellStyle name="Comma 6 3 2 5 3" xfId="48517" xr:uid="{EA47D9B6-7E12-4282-B40A-46E9BDF5B140}"/>
    <cellStyle name="Comma 6 3 2 5 4" xfId="52416" xr:uid="{5002D267-399F-4DCE-B59F-6E7EE75B49BF}"/>
    <cellStyle name="Comma 6 3 2 5 5" xfId="55432" xr:uid="{321145E1-3C50-42B5-8D1D-B2F7364CA44C}"/>
    <cellStyle name="Comma 6 3 2 6" xfId="12496" xr:uid="{59FC0F13-E919-47CA-BC3A-609B8D107A56}"/>
    <cellStyle name="Comma 6 3 2 6 2" xfId="48334" xr:uid="{7AA077A4-7AA6-47D1-A9F8-C26C9E8C902E}"/>
    <cellStyle name="Comma 6 3 2 6 3" xfId="50985" xr:uid="{B4FD141B-A665-48FA-947C-12AC5A721FD4}"/>
    <cellStyle name="Comma 6 3 2 6 4" xfId="54001" xr:uid="{A7DD7570-DC97-4158-ABF6-345914D6EBB4}"/>
    <cellStyle name="Comma 6 3 2 7" xfId="46611" xr:uid="{B92F4B13-C3F0-47F4-9BE0-CEC1A85AFAEB}"/>
    <cellStyle name="Comma 6 3 2 8" xfId="49879" xr:uid="{7C95586D-A9BB-42DA-93F5-5BC71C395CB1}"/>
    <cellStyle name="Comma 6 3 2 9" xfId="52895" xr:uid="{74215A83-4CC1-473E-B7F9-59655B1E0B07}"/>
    <cellStyle name="Comma 6 3 3" xfId="10110" xr:uid="{EAA5D285-678C-442D-BC56-30328AB2C835}"/>
    <cellStyle name="Comma 6 3 3 2" xfId="10423" xr:uid="{9567F27D-4A0B-4FFC-AC34-7DF44C72F6B9}"/>
    <cellStyle name="Comma 6 3 3 2 2" xfId="14842" xr:uid="{69B4A8C4-6B18-4C14-9033-F70701B0D3A2}"/>
    <cellStyle name="Comma 6 3 3 2 2 2" xfId="22389" xr:uid="{71F762E1-1C4B-4684-9117-D4E1E02CB401}"/>
    <cellStyle name="Comma 6 3 3 2 2 3" xfId="47776" xr:uid="{0E39588A-62BF-49BC-8F6A-7B1732BB6D8D}"/>
    <cellStyle name="Comma 6 3 3 2 2 4" xfId="51727" xr:uid="{046AC602-29C0-4A25-A939-0384F458ACBF}"/>
    <cellStyle name="Comma 6 3 3 2 2 5" xfId="54743" xr:uid="{34DD6625-F2D4-4A31-BD9F-BADB5EC9E1EC}"/>
    <cellStyle name="Comma 6 3 3 2 3" xfId="15327" xr:uid="{DBE6B652-6FED-45B8-A8E3-574054B4E5D7}"/>
    <cellStyle name="Comma 6 3 3 2 3 2" xfId="22866" xr:uid="{5FD96E19-50F9-489C-908F-64A7EB478EAE}"/>
    <cellStyle name="Comma 6 3 3 2 3 3" xfId="32544" xr:uid="{3E1BCD8B-0265-420E-ACCF-4F671925ED43}"/>
    <cellStyle name="Comma 6 3 3 2 3 4" xfId="52204" xr:uid="{A925C59F-1D4D-4984-BAB1-B129A12EDDF2}"/>
    <cellStyle name="Comma 6 3 3 2 3 5" xfId="55220" xr:uid="{491898EA-12A6-4DDE-8010-3979C44D96FB}"/>
    <cellStyle name="Comma 6 3 3 2 4" xfId="15814" xr:uid="{FDA83136-3522-4166-BF20-8275C62F6F5A}"/>
    <cellStyle name="Comma 6 3 3 2 4 2" xfId="23343" xr:uid="{4B2C7512-48BB-4533-9CC7-8CAD60687AE5}"/>
    <cellStyle name="Comma 6 3 3 2 4 3" xfId="46969" xr:uid="{4C092636-2D5F-4AD9-9D1B-BB9D2075C59B}"/>
    <cellStyle name="Comma 6 3 3 2 4 4" xfId="52681" xr:uid="{E3367182-05E9-4F09-AE76-71E7B2BE44CE}"/>
    <cellStyle name="Comma 6 3 3 2 4 5" xfId="55697" xr:uid="{2A9ADA7B-23E0-40C2-B4AC-8B14BBBBDD3A}"/>
    <cellStyle name="Comma 6 3 3 2 5" xfId="12876" xr:uid="{6FD34222-7C80-4EAA-A45C-7D92712E97FC}"/>
    <cellStyle name="Comma 6 3 3 2 5 2" xfId="47325" xr:uid="{578DFF46-B9C8-479E-9F30-9C04D3F45300}"/>
    <cellStyle name="Comma 6 3 3 2 5 3" xfId="51250" xr:uid="{FA8416FE-6F23-4AAF-90FC-AD39E0C8F9F4}"/>
    <cellStyle name="Comma 6 3 3 2 5 4" xfId="54266" xr:uid="{252BE5CB-89AC-4C36-ACE2-6636091137EC}"/>
    <cellStyle name="Comma 6 3 3 2 6" xfId="46120" xr:uid="{6917EE62-4856-4328-8643-DB6865F291D8}"/>
    <cellStyle name="Comma 6 3 3 2 7" xfId="50144" xr:uid="{D62E6F2F-F368-4EC5-ABAB-AB93A9EF0B56}"/>
    <cellStyle name="Comma 6 3 3 2 8" xfId="53160" xr:uid="{E5952964-77B1-4A5E-80F1-5AF70381C79D}"/>
    <cellStyle name="Comma 6 3 3 3" xfId="14630" xr:uid="{7BF40F0E-3C85-4464-AA66-38C3995C187C}"/>
    <cellStyle name="Comma 6 3 3 3 2" xfId="22177" xr:uid="{10B0FFC2-D154-46A2-8543-E95630C16675}"/>
    <cellStyle name="Comma 6 3 3 3 3" xfId="32411" xr:uid="{776D61E1-33A7-4DF1-8930-586E97D51419}"/>
    <cellStyle name="Comma 6 3 3 3 4" xfId="51515" xr:uid="{6E4B745E-40B9-4812-A7BE-C57C2E97DBE9}"/>
    <cellStyle name="Comma 6 3 3 3 5" xfId="54531" xr:uid="{AC633AC8-91E8-4737-A61A-805A5B636D1E}"/>
    <cellStyle name="Comma 6 3 3 4" xfId="15115" xr:uid="{D5CA8DBC-5B26-48F7-9AD0-4BB4D09E37B1}"/>
    <cellStyle name="Comma 6 3 3 4 2" xfId="22654" xr:uid="{F1AB9054-FD31-41F2-86BC-CF58A231542D}"/>
    <cellStyle name="Comma 6 3 3 4 3" xfId="46882" xr:uid="{DC96C5AE-7CD3-41F9-B24F-BD64185CDC02}"/>
    <cellStyle name="Comma 6 3 3 4 4" xfId="51992" xr:uid="{7AD94D98-0477-48B6-AA76-1B7AA09DCF27}"/>
    <cellStyle name="Comma 6 3 3 4 5" xfId="55008" xr:uid="{54F8D069-1FD5-4182-B275-3B9B0C159282}"/>
    <cellStyle name="Comma 6 3 3 5" xfId="15602" xr:uid="{7E199B5C-DAEB-4182-B095-26E1BF93DA5E}"/>
    <cellStyle name="Comma 6 3 3 5 2" xfId="23131" xr:uid="{C51AC97C-10AC-4294-8BB0-DC768B4A946C}"/>
    <cellStyle name="Comma 6 3 3 5 3" xfId="47746" xr:uid="{8320A4B2-EB95-4B7B-9814-C5306CDE9916}"/>
    <cellStyle name="Comma 6 3 3 5 4" xfId="52469" xr:uid="{CF6E0D35-34A0-43BD-A692-8C2CD56DBD6C}"/>
    <cellStyle name="Comma 6 3 3 5 5" xfId="55485" xr:uid="{EE28A2AC-E48B-464C-BDB2-DF3338F3C80F}"/>
    <cellStyle name="Comma 6 3 3 6" xfId="12567" xr:uid="{A2E8F284-B42D-4B12-B2D1-7DF0DE271685}"/>
    <cellStyle name="Comma 6 3 3 6 2" xfId="46325" xr:uid="{C6A0F0E6-16BB-43D5-BCA0-D30227C5BC8B}"/>
    <cellStyle name="Comma 6 3 3 6 3" xfId="51038" xr:uid="{00663AE1-FBBE-4239-A5EA-A140C4E14DAC}"/>
    <cellStyle name="Comma 6 3 3 6 4" xfId="54054" xr:uid="{732A7B7E-34AF-4C82-A279-3EF1E9991078}"/>
    <cellStyle name="Comma 6 3 3 7" xfId="48152" xr:uid="{A1A947F8-D0BB-4155-BDA1-5231F6392FE7}"/>
    <cellStyle name="Comma 6 3 3 8" xfId="49932" xr:uid="{6D75B862-4A2C-4DB1-8BD7-8B185684321E}"/>
    <cellStyle name="Comma 6 3 3 9" xfId="52948" xr:uid="{777C2CCE-4FD5-4BB1-9A00-47DAE5CFCB36}"/>
    <cellStyle name="Comma 6 3 4" xfId="10189" xr:uid="{127FF367-8CCE-4811-B95D-82E4A22E1525}"/>
    <cellStyle name="Comma 6 3 4 2" xfId="10503" xr:uid="{1F9502F6-F902-42D6-B9C7-965B384F207C}"/>
    <cellStyle name="Comma 6 3 4 2 2" xfId="14895" xr:uid="{DAC33C18-6711-495C-8A04-B1A815539961}"/>
    <cellStyle name="Comma 6 3 4 2 2 2" xfId="22442" xr:uid="{68665052-0D3D-459B-8BA1-BA3CFD2ACE9E}"/>
    <cellStyle name="Comma 6 3 4 2 2 3" xfId="47777" xr:uid="{CAFD85BE-EBAE-42E2-83B2-FABEFC1A9EFA}"/>
    <cellStyle name="Comma 6 3 4 2 2 4" xfId="51780" xr:uid="{D54C715A-7343-4216-B8DB-66D6510F0975}"/>
    <cellStyle name="Comma 6 3 4 2 2 5" xfId="54796" xr:uid="{996D70B4-3115-44D2-9ACD-CE13645F121A}"/>
    <cellStyle name="Comma 6 3 4 2 3" xfId="15380" xr:uid="{96885F1D-E090-430B-8D32-CCE37016120E}"/>
    <cellStyle name="Comma 6 3 4 2 3 2" xfId="22919" xr:uid="{4E3257E0-10CD-4655-A08F-12E3E0E7BFE6}"/>
    <cellStyle name="Comma 6 3 4 2 3 3" xfId="46523" xr:uid="{7554A1B7-8CBE-4248-ABC9-F162442BC501}"/>
    <cellStyle name="Comma 6 3 4 2 3 4" xfId="52257" xr:uid="{85384EA7-D98D-4410-BE58-41728011C424}"/>
    <cellStyle name="Comma 6 3 4 2 3 5" xfId="55273" xr:uid="{34157C31-A7B2-4DBE-B61A-EE77EA594C70}"/>
    <cellStyle name="Comma 6 3 4 2 4" xfId="15867" xr:uid="{99C7B072-17A5-4040-A09D-F61937911EFF}"/>
    <cellStyle name="Comma 6 3 4 2 4 2" xfId="23396" xr:uid="{F1E1B26C-E53D-4160-81E4-2BE989CA6250}"/>
    <cellStyle name="Comma 6 3 4 2 4 3" xfId="46599" xr:uid="{11FA9925-D85A-445D-9120-F83C240675A4}"/>
    <cellStyle name="Comma 6 3 4 2 4 4" xfId="52734" xr:uid="{6D4FA593-2263-49F2-8C4D-AFF821F20325}"/>
    <cellStyle name="Comma 6 3 4 2 4 5" xfId="55750" xr:uid="{A415D22E-4B98-4629-BECC-B154B7B8C2DA}"/>
    <cellStyle name="Comma 6 3 4 2 5" xfId="12956" xr:uid="{79072A40-8E60-462F-A316-192C0D9E4DF6}"/>
    <cellStyle name="Comma 6 3 4 2 5 2" xfId="36708" xr:uid="{FEB3ACB4-F3E2-42A7-A806-352336EB745B}"/>
    <cellStyle name="Comma 6 3 4 2 5 3" xfId="51303" xr:uid="{38D40AF4-671B-4884-8539-38E3250984A0}"/>
    <cellStyle name="Comma 6 3 4 2 5 4" xfId="54319" xr:uid="{99FB8C47-79F4-430B-A255-4F951821C299}"/>
    <cellStyle name="Comma 6 3 4 2 6" xfId="48462" xr:uid="{8E6875E5-5EA9-4D4E-A7C3-8B6453209857}"/>
    <cellStyle name="Comma 6 3 4 2 7" xfId="50197" xr:uid="{2DB865F2-4C4A-44DB-BFF8-C14B1B32AD0A}"/>
    <cellStyle name="Comma 6 3 4 2 8" xfId="53213" xr:uid="{FBECD067-C503-4AE6-ABAF-B2803168E618}"/>
    <cellStyle name="Comma 6 3 4 3" xfId="14683" xr:uid="{92FBE27D-75E2-4BF9-BC29-C5B0D5E254BB}"/>
    <cellStyle name="Comma 6 3 4 3 2" xfId="22230" xr:uid="{4760BC6A-3287-41C1-9E2C-564442985DDF}"/>
    <cellStyle name="Comma 6 3 4 3 3" xfId="47927" xr:uid="{29B01361-9741-44B7-9370-D95AAE6A81B6}"/>
    <cellStyle name="Comma 6 3 4 3 4" xfId="51568" xr:uid="{79AD5063-1E75-41D7-A186-0EB45940DE0C}"/>
    <cellStyle name="Comma 6 3 4 3 5" xfId="54584" xr:uid="{E5AC0BB7-28F2-4105-8145-70EC12D29501}"/>
    <cellStyle name="Comma 6 3 4 4" xfId="15168" xr:uid="{B1426FBA-04A2-4A3B-BFEA-F5E5238595E4}"/>
    <cellStyle name="Comma 6 3 4 4 2" xfId="22707" xr:uid="{F6DF7629-0435-452A-B9E7-A988C7FA4380}"/>
    <cellStyle name="Comma 6 3 4 4 3" xfId="46888" xr:uid="{502907A5-8043-4710-AE47-B658888BEF1E}"/>
    <cellStyle name="Comma 6 3 4 4 4" xfId="52045" xr:uid="{B341B57C-FE45-42ED-A4C4-2E6EF2FEF472}"/>
    <cellStyle name="Comma 6 3 4 4 5" xfId="55061" xr:uid="{8BC40E9E-244C-40BF-BC04-5BCF005FCFC9}"/>
    <cellStyle name="Comma 6 3 4 5" xfId="15655" xr:uid="{404942CD-770E-4CFC-B65A-17D8109B4E0C}"/>
    <cellStyle name="Comma 6 3 4 5 2" xfId="23184" xr:uid="{20AADB35-B2EF-4D7C-9117-9EEA65304B78}"/>
    <cellStyle name="Comma 6 3 4 5 3" xfId="36943" xr:uid="{BCE72A93-4B8C-4288-BD7C-500CF817A422}"/>
    <cellStyle name="Comma 6 3 4 5 4" xfId="52522" xr:uid="{A3578DA9-1655-4F07-B3A4-345FE7647FDB}"/>
    <cellStyle name="Comma 6 3 4 5 5" xfId="55538" xr:uid="{6787D588-119C-4CBB-BBB4-53079173D74A}"/>
    <cellStyle name="Comma 6 3 4 6" xfId="12643" xr:uid="{0CC5B8D1-F896-497D-9F20-6AAF559F8F2A}"/>
    <cellStyle name="Comma 6 3 4 6 2" xfId="46779" xr:uid="{36717015-BF7D-4846-8AA3-F44E8AC9D1FE}"/>
    <cellStyle name="Comma 6 3 4 6 3" xfId="51091" xr:uid="{DB7E2000-5170-4348-B5DD-2F85A39C6B86}"/>
    <cellStyle name="Comma 6 3 4 6 4" xfId="54107" xr:uid="{33FA5B89-A7C9-488D-8E0A-D092F9F527A8}"/>
    <cellStyle name="Comma 6 3 4 7" xfId="47676" xr:uid="{BA68C64A-D9CA-4CCA-96F0-2443BE1686D5}"/>
    <cellStyle name="Comma 6 3 4 8" xfId="49985" xr:uid="{81C77EDE-C385-4D2C-B1CD-911E128B4FC4}"/>
    <cellStyle name="Comma 6 3 4 9" xfId="53001" xr:uid="{6D2B7A67-9F38-4975-9AA9-A7BC41E1184F}"/>
    <cellStyle name="Comma 6 3 5" xfId="10269" xr:uid="{B0F7DC79-F524-43AA-A544-D786F7364E30}"/>
    <cellStyle name="Comma 6 3 5 2" xfId="14736" xr:uid="{4C10287F-135C-4F0E-AA07-23CA9845A2E7}"/>
    <cellStyle name="Comma 6 3 5 2 2" xfId="22283" xr:uid="{85A0C741-CF7F-4017-BD41-83A119A3E236}"/>
    <cellStyle name="Comma 6 3 5 2 3" xfId="46856" xr:uid="{6F5686AB-08F7-448C-B791-B5F497F06D96}"/>
    <cellStyle name="Comma 6 3 5 2 4" xfId="51621" xr:uid="{18A157F4-F56C-4310-88D0-42ECC0FA94AB}"/>
    <cellStyle name="Comma 6 3 5 2 5" xfId="54637" xr:uid="{7197F1CF-C005-47A9-82A9-27D62BCFEEFD}"/>
    <cellStyle name="Comma 6 3 5 3" xfId="15221" xr:uid="{EF29370B-6AB3-46CF-ABB6-8331FD7738F9}"/>
    <cellStyle name="Comma 6 3 5 3 2" xfId="22760" xr:uid="{1A8286A2-1EC3-473C-85BF-22760100E250}"/>
    <cellStyle name="Comma 6 3 5 3 3" xfId="48542" xr:uid="{608A341F-CF66-4D07-8E4E-64D0D274D206}"/>
    <cellStyle name="Comma 6 3 5 3 4" xfId="52098" xr:uid="{49DFA0AB-41B8-46A8-95A5-B019246D2968}"/>
    <cellStyle name="Comma 6 3 5 3 5" xfId="55114" xr:uid="{10DA570E-EC79-4691-8894-090700D2F7FA}"/>
    <cellStyle name="Comma 6 3 5 4" xfId="15708" xr:uid="{856CE060-3683-41A2-B160-E15277194502}"/>
    <cellStyle name="Comma 6 3 5 4 2" xfId="23237" xr:uid="{1B8659DB-2727-4A07-8B2C-4F9EE502C6EA}"/>
    <cellStyle name="Comma 6 3 5 4 3" xfId="46955" xr:uid="{880201C7-A937-446E-915F-EC6819A63EDD}"/>
    <cellStyle name="Comma 6 3 5 4 4" xfId="52575" xr:uid="{D98598C1-4930-4619-AD68-E2CEFA0FC88A}"/>
    <cellStyle name="Comma 6 3 5 4 5" xfId="55591" xr:uid="{C53F1CAE-DDD6-4499-B8B5-CA2A0717B8E7}"/>
    <cellStyle name="Comma 6 3 5 5" xfId="12722" xr:uid="{D27746FB-94AD-49A3-8846-970C6AA9E5CE}"/>
    <cellStyle name="Comma 6 3 5 5 2" xfId="48240" xr:uid="{52B52CEF-0A34-4D64-9F91-F9B70AADF65C}"/>
    <cellStyle name="Comma 6 3 5 5 3" xfId="51144" xr:uid="{79024F86-0EB2-4353-B04B-AB6C185E1B75}"/>
    <cellStyle name="Comma 6 3 5 5 4" xfId="54160" xr:uid="{E1184591-43D3-4DF1-B3E5-8760357284FD}"/>
    <cellStyle name="Comma 6 3 5 6" xfId="47282" xr:uid="{780A1532-3503-4741-B2F5-3F691720FD2E}"/>
    <cellStyle name="Comma 6 3 5 7" xfId="50038" xr:uid="{0AA85395-6917-46F9-AB82-A3CE66AE4B98}"/>
    <cellStyle name="Comma 6 3 5 8" xfId="53054" xr:uid="{7DE67FC9-F001-4B81-9BA2-41241FD82C60}"/>
    <cellStyle name="Comma 6 3 6" xfId="10583" xr:uid="{954C2AA9-2ECD-4C1B-B0B5-DD85D671A710}"/>
    <cellStyle name="Comma 6 3 6 2" xfId="14948" xr:uid="{B73D6C76-6F37-410D-A947-ED8847403899}"/>
    <cellStyle name="Comma 6 3 6 2 2" xfId="22495" xr:uid="{47437564-0EC0-4716-9693-41C8B14509D8}"/>
    <cellStyle name="Comma 6 3 6 2 3" xfId="24454" xr:uid="{4B5A39FB-17E0-487C-9D54-1C0EE108029E}"/>
    <cellStyle name="Comma 6 3 6 2 4" xfId="51833" xr:uid="{305FD375-36B6-4776-A50E-D1256A2EC8B6}"/>
    <cellStyle name="Comma 6 3 6 2 5" xfId="54849" xr:uid="{C4AE743B-C658-403C-9E33-73A9F05A25F8}"/>
    <cellStyle name="Comma 6 3 6 3" xfId="15433" xr:uid="{9120C151-44B8-4006-87F4-51427A494655}"/>
    <cellStyle name="Comma 6 3 6 3 2" xfId="22972" xr:uid="{52AE7161-CA52-4C65-BD08-DEE142E57B18}"/>
    <cellStyle name="Comma 6 3 6 3 3" xfId="48565" xr:uid="{F17E37C6-D6A6-4263-A884-7B1D4E1BCD4C}"/>
    <cellStyle name="Comma 6 3 6 3 4" xfId="52310" xr:uid="{02808B91-94EB-4E32-9BD3-FDE55B1D8340}"/>
    <cellStyle name="Comma 6 3 6 3 5" xfId="55326" xr:uid="{1CA68D01-1246-4B91-A7F2-1B506F3EA67E}"/>
    <cellStyle name="Comma 6 3 6 4" xfId="15921" xr:uid="{13DC207C-5170-4480-B067-6FB24D667663}"/>
    <cellStyle name="Comma 6 3 6 4 2" xfId="23449" xr:uid="{F7E60C4E-E392-42F9-B6EE-F5F1ACB0699A}"/>
    <cellStyle name="Comma 6 3 6 4 3" xfId="48582" xr:uid="{930940B7-65AC-422C-80B9-FA585DA425CA}"/>
    <cellStyle name="Comma 6 3 6 4 4" xfId="52787" xr:uid="{3D36E41E-7407-4FFE-A1AE-FA1059B34670}"/>
    <cellStyle name="Comma 6 3 6 4 5" xfId="55803" xr:uid="{8B3FDEB4-9F91-46C9-B571-6866F25DD55C}"/>
    <cellStyle name="Comma 6 3 6 5" xfId="13036" xr:uid="{71AABA3A-E7B2-49C1-907E-745382B19CDB}"/>
    <cellStyle name="Comma 6 3 6 5 2" xfId="47530" xr:uid="{A00A146E-E6C2-4C0F-9CBE-B441DC39F83D}"/>
    <cellStyle name="Comma 6 3 6 5 3" xfId="51356" xr:uid="{D7E6D52B-82F8-4DC9-B7E0-619C51CDAC54}"/>
    <cellStyle name="Comma 6 3 6 5 4" xfId="54372" xr:uid="{F034A13F-F738-4B7C-8210-B75A78DAE134}"/>
    <cellStyle name="Comma 6 3 6 6" xfId="48088" xr:uid="{B8ACB2FA-C2E9-46B8-9A50-FD7DDD56A61B}"/>
    <cellStyle name="Comma 6 3 6 7" xfId="50250" xr:uid="{8FA8E80E-838A-4488-A259-2F82A7A1E70B}"/>
    <cellStyle name="Comma 6 3 6 8" xfId="53266" xr:uid="{5F4C3D2B-C1A0-44CA-A9B7-DB6BE12109A5}"/>
    <cellStyle name="Comma 6 3 7" xfId="13376" xr:uid="{15D12331-7F7F-4967-88D7-5EC8F93B8E2C}"/>
    <cellStyle name="Comma 6 3 8" xfId="14524" xr:uid="{91BA8B81-0B16-430A-8D86-3867320B9B91}"/>
    <cellStyle name="Comma 6 3 8 2" xfId="22071" xr:uid="{F4E68240-34A9-4EFD-8E3E-391DF08C8953}"/>
    <cellStyle name="Comma 6 3 8 3" xfId="32533" xr:uid="{425EA413-D024-463D-B94E-5D8E4C2B0863}"/>
    <cellStyle name="Comma 6 3 8 4" xfId="51409" xr:uid="{5E4B8051-5927-4EC9-BE38-FFED94161960}"/>
    <cellStyle name="Comma 6 3 8 5" xfId="54425" xr:uid="{62C0FA1B-503D-4552-8DAF-FAFF8881C62C}"/>
    <cellStyle name="Comma 6 3 9" xfId="15008" xr:uid="{8B9FC8D0-AAEA-4B1C-BEC3-34A77FBFB77E}"/>
    <cellStyle name="Comma 6 3 9 2" xfId="22548" xr:uid="{6F9F4B91-E6DA-4ECA-A8B9-5A44A3B82C25}"/>
    <cellStyle name="Comma 6 3 9 3" xfId="24922" xr:uid="{F2D35C27-4C33-44CA-844D-B168E0DCDF51}"/>
    <cellStyle name="Comma 6 3 9 4" xfId="51886" xr:uid="{87B79008-3B3A-4523-A16C-EFB11711C9BA}"/>
    <cellStyle name="Comma 6 3 9 5" xfId="54902" xr:uid="{1AB45968-1AE2-4C4C-8647-3346C7BBF6AD}"/>
    <cellStyle name="Comma 6 4" xfId="2630" xr:uid="{B3775D92-7E98-436A-A203-3F9DEDE40BCB}"/>
    <cellStyle name="Comma 6 4 2" xfId="21695" xr:uid="{3299A523-11F7-4F28-AE8F-1AC47BCFF73D}"/>
    <cellStyle name="Comma 6 4 3" xfId="23797" xr:uid="{EB73BDA7-3567-42E5-BDF3-CE3FA1A77449}"/>
    <cellStyle name="Comma 6 4 4" xfId="48670" xr:uid="{16385199-DB28-4AC4-BE2C-A08ADED5537F}"/>
    <cellStyle name="Comma 6 4 5" xfId="49578" xr:uid="{8ACF534A-7863-448F-B56E-D352770B47DD}"/>
    <cellStyle name="Comma 6 4 6" xfId="50712" xr:uid="{4DAAEDAE-5A8E-442D-A913-20B43CC0E91A}"/>
    <cellStyle name="Comma 6 4 7" xfId="53728" xr:uid="{1C2F3622-404D-4BCB-B1E2-9C1C798F07B3}"/>
    <cellStyle name="Comma 6 4 8" xfId="11199" xr:uid="{8C8B2FF2-D3D7-45F3-8C1F-EFC6B3E8E360}"/>
    <cellStyle name="Comma 6 5" xfId="12268" xr:uid="{768D6845-00BB-4FDB-AE27-CE730920F681}"/>
    <cellStyle name="Comma 6 5 2" xfId="23798" xr:uid="{F6E5CEB8-AAEB-4CBB-8196-463E41CC60AC}"/>
    <cellStyle name="Comma 6 6" xfId="17744" xr:uid="{C6A5C53B-727E-43A2-9F57-AADB648EEE39}"/>
    <cellStyle name="Comma 6 6 2" xfId="21252" xr:uid="{AE4D16C7-9C1B-41B2-A792-EC299DAFFA6F}"/>
    <cellStyle name="Comma 6 7" xfId="19495" xr:uid="{B5551F86-91FB-4431-A429-E423790738C3}"/>
    <cellStyle name="Comma 6 8" xfId="23791" xr:uid="{F9F41E68-603D-46CD-A2B5-29A72C7973E6}"/>
    <cellStyle name="Comma 6 9" xfId="48664" xr:uid="{0B8B5E86-1426-4D2F-8680-0B0FC60BA89D}"/>
    <cellStyle name="Comma 7" xfId="2631" xr:uid="{3D91D855-D38D-4FA3-9771-C444BDFA2F69}"/>
    <cellStyle name="Comma 7 2" xfId="4547" xr:uid="{9CD68069-D787-45BC-BC32-B236893F674D}"/>
    <cellStyle name="Comma 7 2 10" xfId="15009" xr:uid="{F4C69349-3887-49C2-B038-C85D002C6F90}"/>
    <cellStyle name="Comma 7 2 10 2" xfId="22549" xr:uid="{F071F8FA-B942-4656-B4B9-AC9A896F7FF9}"/>
    <cellStyle name="Comma 7 2 10 3" xfId="47542" xr:uid="{D6006AD4-96E2-4A0C-BF36-2F283685ED0A}"/>
    <cellStyle name="Comma 7 2 10 4" xfId="51887" xr:uid="{EF596B4B-1559-4FF1-92B0-A3AD012866FB}"/>
    <cellStyle name="Comma 7 2 10 5" xfId="54903" xr:uid="{4B95AC8E-40AC-438F-A32D-40886FB5797E}"/>
    <cellStyle name="Comma 7 2 10 6" xfId="19190" xr:uid="{9609135E-6467-4DF7-AF9B-C3DA805070B4}"/>
    <cellStyle name="Comma 7 2 11" xfId="15496" xr:uid="{644C052A-94A8-4E44-B523-7F4164B9B249}"/>
    <cellStyle name="Comma 7 2 11 2" xfId="23026" xr:uid="{D8CA7039-7E0E-4651-95C2-D62071E21722}"/>
    <cellStyle name="Comma 7 2 11 3" xfId="48566" xr:uid="{508B8682-FE15-4DD5-85CB-AD0DBC86FC7E}"/>
    <cellStyle name="Comma 7 2 11 4" xfId="52364" xr:uid="{6238E041-2F04-49EE-8D11-CA527FCC7870}"/>
    <cellStyle name="Comma 7 2 11 5" xfId="55380" xr:uid="{5A1E8C2B-A786-449F-B5B8-7D48D2AFA3AD}"/>
    <cellStyle name="Comma 7 2 11 6" xfId="19335" xr:uid="{64D98708-0EF7-4180-9C47-2064D32057BC}"/>
    <cellStyle name="Comma 7 2 12" xfId="11677" xr:uid="{2219630E-6D0F-413F-A706-5B83E4A0C4FC}"/>
    <cellStyle name="Comma 7 2 12 2" xfId="21714" xr:uid="{32EBE75A-143D-4C9A-B225-561A4BC2F007}"/>
    <cellStyle name="Comma 7 2 12 3" xfId="47907" xr:uid="{4CF0323B-23E8-4824-B500-F1238A7901F2}"/>
    <cellStyle name="Comma 7 2 12 4" xfId="50739" xr:uid="{E2EA3B48-CC71-4BF4-B45B-B5C84E8E794B}"/>
    <cellStyle name="Comma 7 2 12 5" xfId="53755" xr:uid="{13BF962F-EDEC-4FEA-BEFA-30664B12B7CF}"/>
    <cellStyle name="Comma 7 2 12 6" xfId="18298" xr:uid="{2AD55D44-30B2-4C89-AB52-72103077F2C5}"/>
    <cellStyle name="Comma 7 2 13" xfId="23800" xr:uid="{4558FF0E-6916-40B9-B404-06E1E494190C}"/>
    <cellStyle name="Comma 7 2 14" xfId="48014" xr:uid="{247C17D3-3054-4D6D-87CF-6CB4F127B377}"/>
    <cellStyle name="Comma 7 2 15" xfId="48671" xr:uid="{D9BA4743-2EDA-42D7-BF1E-6E760915F730}"/>
    <cellStyle name="Comma 7 2 16" xfId="49579" xr:uid="{F25A21BE-C442-4C44-A6D2-80031614D2AC}"/>
    <cellStyle name="Comma 7 2 17" xfId="49827" xr:uid="{7DEC20B8-6269-4ADC-A2AF-E6E77322753B}"/>
    <cellStyle name="Comma 7 2 18" xfId="52842" xr:uid="{6F1B47B1-BE1F-4732-A577-2CA2DBCF79F6}"/>
    <cellStyle name="Comma 7 2 19" xfId="8950" xr:uid="{6211325B-E326-4216-8218-35CD10148FA1}"/>
    <cellStyle name="Comma 7 2 2" xfId="8951" xr:uid="{F952F884-F861-4C2A-94FE-A0D55467DC97}"/>
    <cellStyle name="Comma 7 2 2 10" xfId="11515" xr:uid="{7EF01E4A-CBB1-4700-B839-AB7C81C181C8}"/>
    <cellStyle name="Comma 7 2 2 10 2" xfId="48186" xr:uid="{C2F5A7E0-8C59-4533-930F-F9D61EB5C687}"/>
    <cellStyle name="Comma 7 2 2 10 3" xfId="50725" xr:uid="{39810216-3F6A-4C88-BD04-8108C3720E8C}"/>
    <cellStyle name="Comma 7 2 2 10 4" xfId="53741" xr:uid="{4B5BBAA4-AAF4-49CC-A5D4-45BC32897833}"/>
    <cellStyle name="Comma 7 2 2 10 5" xfId="21702" xr:uid="{E2913F90-DFB6-44F6-90A8-92ABB42A7660}"/>
    <cellStyle name="Comma 7 2 2 11" xfId="23801" xr:uid="{F3A11060-31B5-4D2F-AFE2-855525C4A151}"/>
    <cellStyle name="Comma 7 2 2 12" xfId="48429" xr:uid="{EB61C776-5E95-4A3B-9564-B92396150AB3}"/>
    <cellStyle name="Comma 7 2 2 13" xfId="48672" xr:uid="{C7C7D979-FA5B-4508-AB0B-29A071EB0ABF}"/>
    <cellStyle name="Comma 7 2 2 14" xfId="49580" xr:uid="{F4DFCB13-989D-4BDC-8533-44376A989922}"/>
    <cellStyle name="Comma 7 2 2 15" xfId="49828" xr:uid="{60FD49B2-9D5E-456F-9FBD-9FDC38A19A4C}"/>
    <cellStyle name="Comma 7 2 2 16" xfId="52843" xr:uid="{E097504B-209F-4EA3-94C8-A9E73F08F7EF}"/>
    <cellStyle name="Comma 7 2 2 17" xfId="18148" xr:uid="{09EFBCBA-410E-4BE5-A8F2-E46814AA4A73}"/>
    <cellStyle name="Comma 7 2 2 2" xfId="10038" xr:uid="{C9FC4E4A-E73E-448C-BFA4-887161072AD9}"/>
    <cellStyle name="Comma 7 2 2 2 10" xfId="18754" xr:uid="{D62E43AD-48B5-4DA0-913C-7F306105C47E}"/>
    <cellStyle name="Comma 7 2 2 2 2" xfId="10346" xr:uid="{8DDC4F5A-D04B-4964-85FA-A59851163D6F}"/>
    <cellStyle name="Comma 7 2 2 2 2 2" xfId="14791" xr:uid="{5C54871B-550A-4713-B423-61916B018DE9}"/>
    <cellStyle name="Comma 7 2 2 2 2 2 2" xfId="22338" xr:uid="{D88AD29B-4525-4AEB-8B5B-18E081715A69}"/>
    <cellStyle name="Comma 7 2 2 2 2 2 3" xfId="47537" xr:uid="{983D58AB-2CCF-45B1-8AE8-8FEE2D05A4B8}"/>
    <cellStyle name="Comma 7 2 2 2 2 2 4" xfId="51676" xr:uid="{029F0282-C8BE-4E35-99BA-DD1F21CE2175}"/>
    <cellStyle name="Comma 7 2 2 2 2 2 5" xfId="54692" xr:uid="{3F2BE771-AF41-497A-9DAA-255240FF5940}"/>
    <cellStyle name="Comma 7 2 2 2 2 2 6" xfId="19124" xr:uid="{4DCE433F-7A1F-4D8F-BD16-305C9336573B}"/>
    <cellStyle name="Comma 7 2 2 2 2 3" xfId="15276" xr:uid="{CE41780F-7DA2-44FD-95C5-59C059B9DFB6}"/>
    <cellStyle name="Comma 7 2 2 2 2 3 2" xfId="22815" xr:uid="{73E937A9-D980-4217-AFA1-92DE300AA506}"/>
    <cellStyle name="Comma 7 2 2 2 2 3 3" xfId="47129" xr:uid="{58DF7445-C129-448C-8BC3-61EF29B11C22}"/>
    <cellStyle name="Comma 7 2 2 2 2 3 4" xfId="52153" xr:uid="{5F53E3FA-8D0A-4C30-A0EC-A4647914ED52}"/>
    <cellStyle name="Comma 7 2 2 2 2 3 5" xfId="55169" xr:uid="{E5981CBE-5FDE-49D9-B894-57C10457413F}"/>
    <cellStyle name="Comma 7 2 2 2 2 3 6" xfId="19267" xr:uid="{7A34A27C-002E-4FC8-A243-EBBA95312C58}"/>
    <cellStyle name="Comma 7 2 2 2 2 4" xfId="15763" xr:uid="{93F4A782-FC8E-47EC-A025-AB75CC075BD2}"/>
    <cellStyle name="Comma 7 2 2 2 2 4 2" xfId="23292" xr:uid="{5563BB34-5091-4A7F-94DF-1AC65C81B001}"/>
    <cellStyle name="Comma 7 2 2 2 2 4 3" xfId="48026" xr:uid="{507C8EC1-72CC-4B9D-B4B1-F44A1904C0E0}"/>
    <cellStyle name="Comma 7 2 2 2 2 4 4" xfId="52630" xr:uid="{496AD550-0AC6-4CBD-85E8-396226595B0E}"/>
    <cellStyle name="Comma 7 2 2 2 2 4 5" xfId="55646" xr:uid="{94660E6B-278B-4EF4-BB44-488AC0E1B9C5}"/>
    <cellStyle name="Comma 7 2 2 2 2 4 6" xfId="19412" xr:uid="{3847BA4C-F520-4D77-AF7F-DEF923C83986}"/>
    <cellStyle name="Comma 7 2 2 2 2 5" xfId="12799" xr:uid="{4BEE70F6-CE93-410D-B1A8-509A56686EE3}"/>
    <cellStyle name="Comma 7 2 2 2 2 5 2" xfId="24480" xr:uid="{1FC42926-3A9A-4FC0-BAA8-1868DFEE26CE}"/>
    <cellStyle name="Comma 7 2 2 2 2 5 3" xfId="51199" xr:uid="{A71A5A54-9187-4F88-8B3A-C8296495306E}"/>
    <cellStyle name="Comma 7 2 2 2 2 5 4" xfId="54215" xr:uid="{9B69FA4D-9901-4C5F-8A32-1861BEA6F70D}"/>
    <cellStyle name="Comma 7 2 2 2 2 5 5" xfId="21982" xr:uid="{D9CD3F5A-6AB2-42EB-B3C9-5C57DBB4BC99}"/>
    <cellStyle name="Comma 7 2 2 2 2 6" xfId="48454" xr:uid="{B335E223-F4BB-42E1-BFDF-E0A294BCC715}"/>
    <cellStyle name="Comma 7 2 2 2 2 7" xfId="50093" xr:uid="{7144C7B7-623F-4B0D-8356-8FADE8456471}"/>
    <cellStyle name="Comma 7 2 2 2 2 8" xfId="53109" xr:uid="{5827DC8B-D369-4FF4-85F9-5A772B6A54B5}"/>
    <cellStyle name="Comma 7 2 2 2 2 9" xfId="18903" xr:uid="{30FA9742-224A-4791-9D87-9A80B0D9D2EC}"/>
    <cellStyle name="Comma 7 2 2 2 3" xfId="14579" xr:uid="{29592475-FB6B-4073-BE2A-2F953D9AD67A}"/>
    <cellStyle name="Comma 7 2 2 2 3 2" xfId="22126" xr:uid="{7C10E016-910C-4D70-8C75-E5D02F20086E}"/>
    <cellStyle name="Comma 7 2 2 2 3 3" xfId="46403" xr:uid="{386295C0-EE31-4452-8AFD-BFD3B44BD970}"/>
    <cellStyle name="Comma 7 2 2 2 3 4" xfId="51464" xr:uid="{9108ADFB-B88A-4E02-BFF5-B8F24A50ECFA}"/>
    <cellStyle name="Comma 7 2 2 2 3 5" xfId="54480" xr:uid="{F2D1F107-2B30-4010-8868-036D2AAAA7EF}"/>
    <cellStyle name="Comma 7 2 2 2 3 6" xfId="19064" xr:uid="{4655A8F7-5939-4E11-980F-5BB37BA5D139}"/>
    <cellStyle name="Comma 7 2 2 2 4" xfId="15063" xr:uid="{380B014F-1EDC-424F-984D-FABE60732AA7}"/>
    <cellStyle name="Comma 7 2 2 2 4 2" xfId="22603" xr:uid="{C44147C4-9E57-4FB7-8FA0-190F8513DB4F}"/>
    <cellStyle name="Comma 7 2 2 2 4 3" xfId="48509" xr:uid="{2EAABC8D-4C50-4C91-9839-C47D813DF87E}"/>
    <cellStyle name="Comma 7 2 2 2 4 4" xfId="51941" xr:uid="{42046838-FA9A-4A56-A567-F7DF57B8DEC7}"/>
    <cellStyle name="Comma 7 2 2 2 4 5" xfId="54957" xr:uid="{A28CDE20-ED51-450F-871D-310953156749}"/>
    <cellStyle name="Comma 7 2 2 2 4 6" xfId="19206" xr:uid="{5DD38D74-74A1-4D7B-A03A-870C4E641BC1}"/>
    <cellStyle name="Comma 7 2 2 2 5" xfId="15550" xr:uid="{0DC89503-8A14-4C9E-836A-C2D0DCE8B6B7}"/>
    <cellStyle name="Comma 7 2 2 2 5 2" xfId="23080" xr:uid="{8903176D-2B19-4CC3-A071-F2D0FDA6D158}"/>
    <cellStyle name="Comma 7 2 2 2 5 3" xfId="48022" xr:uid="{4DBD1DBB-A74E-4772-A6BF-0EF10F13E461}"/>
    <cellStyle name="Comma 7 2 2 2 5 4" xfId="52418" xr:uid="{C2B63287-1CED-4234-A6FB-A90DCD3872CC}"/>
    <cellStyle name="Comma 7 2 2 2 5 5" xfId="55434" xr:uid="{6E52D284-19B6-4BD3-9168-9D1B33AD3B5F}"/>
    <cellStyle name="Comma 7 2 2 2 5 6" xfId="19351" xr:uid="{11D0FDA6-B433-447E-B4C7-E17689F5E5AD}"/>
    <cellStyle name="Comma 7 2 2 2 6" xfId="12498" xr:uid="{2A143B18-FC75-4159-94DE-2EBB35EF9F86}"/>
    <cellStyle name="Comma 7 2 2 2 6 2" xfId="46314" xr:uid="{6A761578-5ACD-4922-BA81-1CE01AA44267}"/>
    <cellStyle name="Comma 7 2 2 2 6 3" xfId="50987" xr:uid="{4E6FBE34-2CDA-4A8C-8D02-8E23AF8375F7}"/>
    <cellStyle name="Comma 7 2 2 2 6 4" xfId="54003" xr:uid="{21931014-7B87-4B0D-8FC8-D4CCF376455B}"/>
    <cellStyle name="Comma 7 2 2 2 6 5" xfId="21921" xr:uid="{DB4A0725-A2DC-48EF-8294-0D4DD4D55662}"/>
    <cellStyle name="Comma 7 2 2 2 7" xfId="46614" xr:uid="{57DB6DD4-5601-4149-AA2A-E2572D1B2EAD}"/>
    <cellStyle name="Comma 7 2 2 2 8" xfId="49881" xr:uid="{E6EA5DDB-71C7-47DE-A888-9F36935A1B2A}"/>
    <cellStyle name="Comma 7 2 2 2 9" xfId="52897" xr:uid="{AB510987-7415-4028-B776-342DA4CFA7C3}"/>
    <cellStyle name="Comma 7 2 2 3" xfId="10112" xr:uid="{61C809ED-6BCE-449C-A7F4-A5BA9F97ED8E}"/>
    <cellStyle name="Comma 7 2 2 3 10" xfId="18787" xr:uid="{7EC7D5C1-DDD0-46B2-B92C-896B164A92EE}"/>
    <cellStyle name="Comma 7 2 2 3 2" xfId="10425" xr:uid="{59E6471C-C0D0-45F3-B39F-A835B1079648}"/>
    <cellStyle name="Comma 7 2 2 3 2 2" xfId="14844" xr:uid="{BD81CE75-DD9B-4179-A3F7-90776C3C7FF1}"/>
    <cellStyle name="Comma 7 2 2 3 2 2 2" xfId="22391" xr:uid="{E4E621B4-BAFF-4CB0-9EEA-5B71F4ABF317}"/>
    <cellStyle name="Comma 7 2 2 3 2 2 3" xfId="46443" xr:uid="{5DE0C6DC-AA6C-44AA-885E-A6F1B835469E}"/>
    <cellStyle name="Comma 7 2 2 3 2 2 4" xfId="51729" xr:uid="{2546C6AE-31D9-4C9F-9AA9-3D01A0322817}"/>
    <cellStyle name="Comma 7 2 2 3 2 2 5" xfId="54745" xr:uid="{64911CEA-EFD0-4782-BE84-C26F232B97DD}"/>
    <cellStyle name="Comma 7 2 2 3 2 2 6" xfId="19139" xr:uid="{0080E859-B9B6-4C75-B577-101CA347E4E5}"/>
    <cellStyle name="Comma 7 2 2 3 2 3" xfId="15329" xr:uid="{07E403D3-B8E3-4265-9E25-4937914BC605}"/>
    <cellStyle name="Comma 7 2 2 3 2 3 2" xfId="22868" xr:uid="{AB418327-1726-4DE6-9EC4-0E1B612763DC}"/>
    <cellStyle name="Comma 7 2 2 3 2 3 3" xfId="47270" xr:uid="{172BCEB5-9A3A-443C-A5B7-E898EADB9838}"/>
    <cellStyle name="Comma 7 2 2 3 2 3 4" xfId="52206" xr:uid="{3DCE5AF0-5437-4A63-9AB4-973A82E7B7D1}"/>
    <cellStyle name="Comma 7 2 2 3 2 3 5" xfId="55222" xr:uid="{3D07B516-A567-48BA-AB5D-E0B91CC2F970}"/>
    <cellStyle name="Comma 7 2 2 3 2 3 6" xfId="19282" xr:uid="{AC16728E-F155-4789-968C-E47F995AC1DC}"/>
    <cellStyle name="Comma 7 2 2 3 2 4" xfId="15816" xr:uid="{75EE0EAF-8FA3-485B-A296-989270EA8E27}"/>
    <cellStyle name="Comma 7 2 2 3 2 4 2" xfId="23345" xr:uid="{D2E68DD7-9365-4922-B6CC-F28DF0B54F49}"/>
    <cellStyle name="Comma 7 2 2 3 2 4 3" xfId="47949" xr:uid="{75A0479B-ABA3-4BE5-992E-E9218C8CD937}"/>
    <cellStyle name="Comma 7 2 2 3 2 4 4" xfId="52683" xr:uid="{771DC76A-5ED7-40C0-B981-2B3B89F49757}"/>
    <cellStyle name="Comma 7 2 2 3 2 4 5" xfId="55699" xr:uid="{81ECD015-0F2E-4C4A-8AED-387F46C065CE}"/>
    <cellStyle name="Comma 7 2 2 3 2 4 6" xfId="19427" xr:uid="{472FDD8A-D0A9-4F95-AB06-2919B0B11C52}"/>
    <cellStyle name="Comma 7 2 2 3 2 5" xfId="12878" xr:uid="{4386C6C9-A84D-4674-9B4A-368FF8F5B67F}"/>
    <cellStyle name="Comma 7 2 2 3 2 5 2" xfId="37106" xr:uid="{7FD2391C-C6DC-424B-B73F-3807A2268DD9}"/>
    <cellStyle name="Comma 7 2 2 3 2 5 3" xfId="51252" xr:uid="{C1191A73-9170-44AF-83A1-B5C3AFC54DA2}"/>
    <cellStyle name="Comma 7 2 2 3 2 5 4" xfId="54268" xr:uid="{85972959-0C2F-44F3-8680-4F47BA371643}"/>
    <cellStyle name="Comma 7 2 2 3 2 5 5" xfId="21997" xr:uid="{05D34DD7-3282-48CC-8F9C-68287422BE59}"/>
    <cellStyle name="Comma 7 2 2 3 2 6" xfId="34567" xr:uid="{5AEDC72F-9D69-4A3C-A1FD-89BA8F4E81AD}"/>
    <cellStyle name="Comma 7 2 2 3 2 7" xfId="50146" xr:uid="{519B0593-2E75-4D4D-A3B3-D2F9281C83D6}"/>
    <cellStyle name="Comma 7 2 2 3 2 8" xfId="53162" xr:uid="{22C965DF-5167-4939-8FF3-3161CD075156}"/>
    <cellStyle name="Comma 7 2 2 3 2 9" xfId="18944" xr:uid="{D5D43B0F-87BE-4D87-A199-1D33F0D9516B}"/>
    <cellStyle name="Comma 7 2 2 3 3" xfId="14632" xr:uid="{4DCB4090-7F18-4A44-85D5-F6F1C9CAFE49}"/>
    <cellStyle name="Comma 7 2 2 3 3 2" xfId="22179" xr:uid="{3CD5CCB5-1358-4FA3-BF99-CDA854ACCD37}"/>
    <cellStyle name="Comma 7 2 2 3 3 3" xfId="46844" xr:uid="{E411B307-C5FB-4BBE-9081-F12FD354D962}"/>
    <cellStyle name="Comma 7 2 2 3 3 4" xfId="51517" xr:uid="{F0F68A77-9DCD-420D-91A5-29FDEE373BAE}"/>
    <cellStyle name="Comma 7 2 2 3 3 5" xfId="54533" xr:uid="{670205D3-D44F-4B20-8F3C-B03090D35EDC}"/>
    <cellStyle name="Comma 7 2 2 3 3 6" xfId="19079" xr:uid="{7C735DFC-3381-4116-9B05-30CA23553E73}"/>
    <cellStyle name="Comma 7 2 2 3 4" xfId="15117" xr:uid="{FC0DFFA2-160A-4B18-9EA4-7169E8F41641}"/>
    <cellStyle name="Comma 7 2 2 3 4 2" xfId="22656" xr:uid="{9EDB32D8-92B1-4A8C-A897-A0C2ED4A14D1}"/>
    <cellStyle name="Comma 7 2 2 3 4 3" xfId="47418" xr:uid="{CB516ED5-A7B5-46A5-9DB8-64ED3B1FC2C7}"/>
    <cellStyle name="Comma 7 2 2 3 4 4" xfId="51994" xr:uid="{4FB386C4-1F32-48E5-9B54-08F4FF474728}"/>
    <cellStyle name="Comma 7 2 2 3 4 5" xfId="55010" xr:uid="{3E5A4069-6DF4-43B6-AA11-E2B6BE52B288}"/>
    <cellStyle name="Comma 7 2 2 3 4 6" xfId="19222" xr:uid="{BD86C47A-1F06-4E52-BE17-C30EC03A5362}"/>
    <cellStyle name="Comma 7 2 2 3 5" xfId="15604" xr:uid="{6B2D30BE-8ED8-489D-A9AD-4A5096082BBF}"/>
    <cellStyle name="Comma 7 2 2 3 5 2" xfId="23133" xr:uid="{CC412ECB-B25B-4783-9CBA-6BD7A4B30B46}"/>
    <cellStyle name="Comma 7 2 2 3 5 3" xfId="47671" xr:uid="{56815691-3C56-4043-BDB2-C282A7CFA6F2}"/>
    <cellStyle name="Comma 7 2 2 3 5 4" xfId="52471" xr:uid="{F2C740EA-A1B9-4FF3-AAFB-2B303267F74E}"/>
    <cellStyle name="Comma 7 2 2 3 5 5" xfId="55487" xr:uid="{3A34DD1D-020F-4BA7-B623-A9692153ABA0}"/>
    <cellStyle name="Comma 7 2 2 3 5 6" xfId="19367" xr:uid="{35F0548D-D35D-4207-A4E0-8BD1747CE6CA}"/>
    <cellStyle name="Comma 7 2 2 3 6" xfId="12569" xr:uid="{FE266579-CBDD-4A15-80B7-0ACED1B7F625}"/>
    <cellStyle name="Comma 7 2 2 3 6 2" xfId="48271" xr:uid="{5B82FEF7-EAE0-42C0-94ED-3BBEFABD9E36}"/>
    <cellStyle name="Comma 7 2 2 3 6 3" xfId="51040" xr:uid="{D60FEC65-B7B1-4C9A-83BA-2190FA8F8A21}"/>
    <cellStyle name="Comma 7 2 2 3 6 4" xfId="54056" xr:uid="{5D04A63F-6BB4-42AE-B5A7-0B6A5E3A6228}"/>
    <cellStyle name="Comma 7 2 2 3 6 5" xfId="21937" xr:uid="{6C909A52-B35C-46C1-8FBC-E555678B50F6}"/>
    <cellStyle name="Comma 7 2 2 3 7" xfId="32304" xr:uid="{3135245A-F8F1-4794-9EF6-E0A3BF98F02E}"/>
    <cellStyle name="Comma 7 2 2 3 8" xfId="49934" xr:uid="{C6DA1858-D2F0-4DBF-A8E0-4008BB52F593}"/>
    <cellStyle name="Comma 7 2 2 3 9" xfId="52950" xr:uid="{61CB4AB7-C2EB-4369-AF08-EBAF63C3AB70}"/>
    <cellStyle name="Comma 7 2 2 4" xfId="10191" xr:uid="{F53494FF-E6AF-4A27-949A-DA46B1225F28}"/>
    <cellStyle name="Comma 7 2 2 4 10" xfId="18825" xr:uid="{46B2E7D1-93CE-4638-AE4B-869F3BE5DF4E}"/>
    <cellStyle name="Comma 7 2 2 4 2" xfId="10505" xr:uid="{DB887A6D-31CB-498A-9C04-D515E40F5A74}"/>
    <cellStyle name="Comma 7 2 2 4 2 2" xfId="14897" xr:uid="{7CE7BBFE-30DA-4D6E-8B21-A97CB4474547}"/>
    <cellStyle name="Comma 7 2 2 4 2 2 2" xfId="22444" xr:uid="{672EF867-D198-483B-8047-5861E3AE9559}"/>
    <cellStyle name="Comma 7 2 2 4 2 2 3" xfId="46453" xr:uid="{49075AEA-A572-413E-8604-79879882735A}"/>
    <cellStyle name="Comma 7 2 2 4 2 2 4" xfId="51782" xr:uid="{1DC76FBC-68EF-4254-8DBC-A4FE91E2D1FE}"/>
    <cellStyle name="Comma 7 2 2 4 2 2 5" xfId="54798" xr:uid="{CC941ABE-7650-46D3-8FDC-3AA5FE4E26FA}"/>
    <cellStyle name="Comma 7 2 2 4 2 2 6" xfId="19154" xr:uid="{F0858E1E-BD4B-4166-8EF2-CDD77D9F94DD}"/>
    <cellStyle name="Comma 7 2 2 4 2 3" xfId="15382" xr:uid="{5204B2B7-73EC-4696-9E22-41279AD9F87F}"/>
    <cellStyle name="Comma 7 2 2 4 2 3 2" xfId="22921" xr:uid="{F37E4B8A-F65E-457F-A7C5-2842BB520899}"/>
    <cellStyle name="Comma 7 2 2 4 2 3 3" xfId="48418" xr:uid="{52A44A71-9297-48CB-8B90-300F1AEB5294}"/>
    <cellStyle name="Comma 7 2 2 4 2 3 4" xfId="52259" xr:uid="{8037959C-95D3-49D9-82AB-AED916FE9BF3}"/>
    <cellStyle name="Comma 7 2 2 4 2 3 5" xfId="55275" xr:uid="{C39A3D3E-A986-482E-9B2A-543F5F0C2A13}"/>
    <cellStyle name="Comma 7 2 2 4 2 3 6" xfId="19297" xr:uid="{47BB5705-2A8C-4911-A78A-36470A33C53E}"/>
    <cellStyle name="Comma 7 2 2 4 2 4" xfId="15869" xr:uid="{78977903-7D69-45CA-81F4-C2B0632BA9AC}"/>
    <cellStyle name="Comma 7 2 2 4 2 4 2" xfId="23398" xr:uid="{38A63F25-8AEF-455E-B71A-08CDBF1B35F6}"/>
    <cellStyle name="Comma 7 2 2 4 2 4 3" xfId="48136" xr:uid="{03CBB31B-1081-4749-AC5F-9568E01D6341}"/>
    <cellStyle name="Comma 7 2 2 4 2 4 4" xfId="52736" xr:uid="{1C984B23-9A9A-4F7B-98BF-93D24D5E62DB}"/>
    <cellStyle name="Comma 7 2 2 4 2 4 5" xfId="55752" xr:uid="{FAD65C36-A722-4839-B3DA-14FDE6B91585}"/>
    <cellStyle name="Comma 7 2 2 4 2 4 6" xfId="19442" xr:uid="{893823BF-271D-4EC7-90B6-2EE86ED8BE65}"/>
    <cellStyle name="Comma 7 2 2 4 2 5" xfId="12958" xr:uid="{3E0553EB-3C71-4793-AA8C-534EC8B80CF1}"/>
    <cellStyle name="Comma 7 2 2 4 2 5 2" xfId="23987" xr:uid="{2016AB62-DB97-4944-B2C9-C660A2A0FFCD}"/>
    <cellStyle name="Comma 7 2 2 4 2 5 3" xfId="51305" xr:uid="{E05DFFF9-CE3D-4A17-9AE6-21211A232CB6}"/>
    <cellStyle name="Comma 7 2 2 4 2 5 4" xfId="54321" xr:uid="{8DCC58A3-0C26-4DF2-BD79-A0D2964FF094}"/>
    <cellStyle name="Comma 7 2 2 4 2 5 5" xfId="22012" xr:uid="{0FC32D90-C770-4E8D-9529-442AF0857CC7}"/>
    <cellStyle name="Comma 7 2 2 4 2 6" xfId="47589" xr:uid="{FA4F1773-8CDF-4340-A3B7-D4596227F773}"/>
    <cellStyle name="Comma 7 2 2 4 2 7" xfId="50199" xr:uid="{8A3C9982-B4BA-41A8-908B-821B6EB0B34C}"/>
    <cellStyle name="Comma 7 2 2 4 2 8" xfId="53215" xr:uid="{E44E80F1-FF31-495F-AE80-B2D324984290}"/>
    <cellStyle name="Comma 7 2 2 4 2 9" xfId="18986" xr:uid="{88FD0AD6-428A-4637-892A-A00791F04CA0}"/>
    <cellStyle name="Comma 7 2 2 4 3" xfId="14685" xr:uid="{71B4C223-7CDF-4729-8CB5-7902CF2335AE}"/>
    <cellStyle name="Comma 7 2 2 4 3 2" xfId="22232" xr:uid="{AE96A74A-B94A-42C9-8B07-0E67E5622427}"/>
    <cellStyle name="Comma 7 2 2 4 3 3" xfId="32410" xr:uid="{0898D412-CD26-49C8-A09A-11BF9942EE3E}"/>
    <cellStyle name="Comma 7 2 2 4 3 4" xfId="51570" xr:uid="{5C5D3C49-2851-473B-879F-CC55C3DE697B}"/>
    <cellStyle name="Comma 7 2 2 4 3 5" xfId="54586" xr:uid="{B226D4D6-BDEC-46B5-8B4A-4292BA041677}"/>
    <cellStyle name="Comma 7 2 2 4 3 6" xfId="19094" xr:uid="{278A6806-ABB0-4943-A420-A04179CB4C8A}"/>
    <cellStyle name="Comma 7 2 2 4 4" xfId="15170" xr:uid="{8AAF54CB-A0EC-40FB-AAC4-43C04AD27B52}"/>
    <cellStyle name="Comma 7 2 2 4 4 2" xfId="22709" xr:uid="{DE1F4586-A069-4241-8A39-249469B2C1C2}"/>
    <cellStyle name="Comma 7 2 2 4 4 3" xfId="47936" xr:uid="{5640A8F6-E309-4EF5-BAA6-5D050A755C17}"/>
    <cellStyle name="Comma 7 2 2 4 4 4" xfId="52047" xr:uid="{76C50B14-EB5A-4D8F-B87A-40CA68DCE63F}"/>
    <cellStyle name="Comma 7 2 2 4 4 5" xfId="55063" xr:uid="{48C860C6-138F-400A-84C6-5D1CC201DB71}"/>
    <cellStyle name="Comma 7 2 2 4 4 6" xfId="19237" xr:uid="{CD513D78-EB99-4F60-BA7D-5F5124910479}"/>
    <cellStyle name="Comma 7 2 2 4 5" xfId="15657" xr:uid="{6B018D66-ECFC-4ADF-8F6F-5D811DC42C53}"/>
    <cellStyle name="Comma 7 2 2 4 5 2" xfId="23186" xr:uid="{22C1C26C-27A5-4AF7-84CD-7AFC7833D0A8}"/>
    <cellStyle name="Comma 7 2 2 4 5 3" xfId="46949" xr:uid="{C04676FA-2329-4667-AB83-FA80F648A53A}"/>
    <cellStyle name="Comma 7 2 2 4 5 4" xfId="52524" xr:uid="{B4F1F075-0BED-4B21-BE01-2CEB530B82B9}"/>
    <cellStyle name="Comma 7 2 2 4 5 5" xfId="55540" xr:uid="{2039AE46-A9A3-4513-A51D-4F077DBDA288}"/>
    <cellStyle name="Comma 7 2 2 4 5 6" xfId="19382" xr:uid="{AECA22AC-BC30-40C8-8B15-D01BF5011931}"/>
    <cellStyle name="Comma 7 2 2 4 6" xfId="12645" xr:uid="{F57388B9-B04F-4864-BC71-7954138FF75D}"/>
    <cellStyle name="Comma 7 2 2 4 6 2" xfId="48491" xr:uid="{E9467D5B-D778-4410-B6BF-A4C7A0992345}"/>
    <cellStyle name="Comma 7 2 2 4 6 3" xfId="51093" xr:uid="{A530520D-B83B-42C8-9039-733E38BD52F1}"/>
    <cellStyle name="Comma 7 2 2 4 6 4" xfId="54109" xr:uid="{3EC86D9F-1473-497C-AB4B-CA1C9AD43FF8}"/>
    <cellStyle name="Comma 7 2 2 4 6 5" xfId="21952" xr:uid="{AD614F3C-BF91-4E06-BD32-D7EED53C2F80}"/>
    <cellStyle name="Comma 7 2 2 4 7" xfId="24004" xr:uid="{8D9549F4-97BE-42F6-8FFA-F15A06AA8870}"/>
    <cellStyle name="Comma 7 2 2 4 8" xfId="49987" xr:uid="{E1E6B275-A7FD-41D6-8A5F-80D50728DBC0}"/>
    <cellStyle name="Comma 7 2 2 4 9" xfId="53003" xr:uid="{8333268B-9B0F-429B-A310-61E97A3ABE25}"/>
    <cellStyle name="Comma 7 2 2 5" xfId="10271" xr:uid="{0759457F-E7A0-45ED-A7EF-B6AAAFE8F5DC}"/>
    <cellStyle name="Comma 7 2 2 5 2" xfId="14738" xr:uid="{E2987464-AAFB-48CE-A07B-F8651DB5DD27}"/>
    <cellStyle name="Comma 7 2 2 5 2 2" xfId="22285" xr:uid="{7623261A-AAFC-470F-B5A8-F6CF2A8CAA3E}"/>
    <cellStyle name="Comma 7 2 2 5 2 3" xfId="48209" xr:uid="{A057A7F4-1699-4D4B-949F-023F042D31DD}"/>
    <cellStyle name="Comma 7 2 2 5 2 4" xfId="51623" xr:uid="{59590D8B-1345-423A-8CF1-71EF55EC7D08}"/>
    <cellStyle name="Comma 7 2 2 5 2 5" xfId="54639" xr:uid="{7B4EA619-F7EC-4765-B3D1-A1928E9B6AD9}"/>
    <cellStyle name="Comma 7 2 2 5 2 6" xfId="19109" xr:uid="{3628C936-C999-4169-A1B0-A12C126A0C11}"/>
    <cellStyle name="Comma 7 2 2 5 3" xfId="15223" xr:uid="{14F59E36-79D1-42A9-A79B-5BF31220AF6E}"/>
    <cellStyle name="Comma 7 2 2 5 3 2" xfId="22762" xr:uid="{63E9C4AA-3142-46ED-8017-0233F419E403}"/>
    <cellStyle name="Comma 7 2 2 5 3 3" xfId="46894" xr:uid="{903410A2-00E0-4CFA-84F8-23253BB2B547}"/>
    <cellStyle name="Comma 7 2 2 5 3 4" xfId="52100" xr:uid="{93178E53-085C-4B86-BFE0-32F1DC4CCDC8}"/>
    <cellStyle name="Comma 7 2 2 5 3 5" xfId="55116" xr:uid="{F70F054A-8444-4AC6-9443-3BED83CD8AFC}"/>
    <cellStyle name="Comma 7 2 2 5 3 6" xfId="19252" xr:uid="{D8C2763D-314D-4A7B-BD9A-CBCCB12F6891}"/>
    <cellStyle name="Comma 7 2 2 5 4" xfId="15710" xr:uid="{B68AD23D-72B5-44A0-8F31-B346B5F6D721}"/>
    <cellStyle name="Comma 7 2 2 5 4 2" xfId="23239" xr:uid="{C4E81523-F47F-46E6-90E8-9309E0DD6626}"/>
    <cellStyle name="Comma 7 2 2 5 4 3" xfId="24162" xr:uid="{87578AE5-E42E-40B3-80F6-AFEB6A5BE5C4}"/>
    <cellStyle name="Comma 7 2 2 5 4 4" xfId="52577" xr:uid="{C615EEA3-9881-4E97-96B8-0E4A5D9EA71B}"/>
    <cellStyle name="Comma 7 2 2 5 4 5" xfId="55593" xr:uid="{96DA100E-FE31-4969-B2E2-22C96C88D596}"/>
    <cellStyle name="Comma 7 2 2 5 4 6" xfId="19397" xr:uid="{B9215473-BF23-458C-8222-F21D761593D8}"/>
    <cellStyle name="Comma 7 2 2 5 5" xfId="12724" xr:uid="{64D2E433-F328-49B9-AC79-D5ED086D2DD8}"/>
    <cellStyle name="Comma 7 2 2 5 5 2" xfId="47019" xr:uid="{700CED4C-4C1A-4419-9278-2A7DB52712BE}"/>
    <cellStyle name="Comma 7 2 2 5 5 3" xfId="51146" xr:uid="{613C1966-A2D0-4F98-B75A-275ACE8E1A06}"/>
    <cellStyle name="Comma 7 2 2 5 5 4" xfId="54162" xr:uid="{0001BD39-5679-43E9-B920-0E42F98F7A0B}"/>
    <cellStyle name="Comma 7 2 2 5 5 5" xfId="21967" xr:uid="{075DCDA5-93F6-48F0-9996-DAE0700F4EDC}"/>
    <cellStyle name="Comma 7 2 2 5 6" xfId="47877" xr:uid="{5FB8120B-F828-4589-8E85-34CB0A64349D}"/>
    <cellStyle name="Comma 7 2 2 5 7" xfId="50040" xr:uid="{AEA4DF80-C759-4F68-8CB1-421338C7BD36}"/>
    <cellStyle name="Comma 7 2 2 5 8" xfId="53056" xr:uid="{F74A0E25-837D-4089-BBF4-AA489B0951EE}"/>
    <cellStyle name="Comma 7 2 2 5 9" xfId="18866" xr:uid="{D87DC7A7-8422-4DD3-9477-DF1DE69913D6}"/>
    <cellStyle name="Comma 7 2 2 6" xfId="10585" xr:uid="{9AF22860-06DB-48F6-AFE9-38DAFCEA5358}"/>
    <cellStyle name="Comma 7 2 2 6 2" xfId="14950" xr:uid="{0ECBCCD2-1A41-4991-BEF7-C228E28B0945}"/>
    <cellStyle name="Comma 7 2 2 6 2 2" xfId="22497" xr:uid="{64E02EB6-F26B-41FE-9BFD-2235E183B5FB}"/>
    <cellStyle name="Comma 7 2 2 6 2 3" xfId="47778" xr:uid="{B677FE54-9F1F-4891-A95C-B6F7583BE4A7}"/>
    <cellStyle name="Comma 7 2 2 6 2 4" xfId="51835" xr:uid="{A9792CDF-FBE0-4E7C-9960-0BA1889C1F25}"/>
    <cellStyle name="Comma 7 2 2 6 2 5" xfId="54851" xr:uid="{A2521F4A-B00D-42E2-9657-F7F59CC46154}"/>
    <cellStyle name="Comma 7 2 2 6 2 6" xfId="19169" xr:uid="{C05DC11B-A25E-4270-91CD-DDFBC0CCB167}"/>
    <cellStyle name="Comma 7 2 2 6 3" xfId="15435" xr:uid="{2106614F-7A10-4758-9FB6-E03E513B49B0}"/>
    <cellStyle name="Comma 7 2 2 6 3 2" xfId="22974" xr:uid="{A1918C11-7391-4786-AFA6-5E96C368BE5E}"/>
    <cellStyle name="Comma 7 2 2 6 3 3" xfId="47193" xr:uid="{29950754-4237-412E-AC82-24AA46D1A11C}"/>
    <cellStyle name="Comma 7 2 2 6 3 4" xfId="52312" xr:uid="{549D9F2D-5C6F-478E-9849-B1F0BD110524}"/>
    <cellStyle name="Comma 7 2 2 6 3 5" xfId="55328" xr:uid="{DA571EA9-66C4-4E24-987F-9D76D2F88F77}"/>
    <cellStyle name="Comma 7 2 2 6 3 6" xfId="19312" xr:uid="{33041401-A2AD-47B9-8C3E-762964238F45}"/>
    <cellStyle name="Comma 7 2 2 6 4" xfId="15923" xr:uid="{91A380FE-5968-46E4-A716-473EF4FAFF5B}"/>
    <cellStyle name="Comma 7 2 2 6 4 2" xfId="23451" xr:uid="{87E89D85-DB94-4C91-96EF-41A4A5316BD3}"/>
    <cellStyle name="Comma 7 2 2 6 4 3" xfId="33990" xr:uid="{D354C1C4-4342-4887-BBBE-D62EFD07BAA7}"/>
    <cellStyle name="Comma 7 2 2 6 4 4" xfId="52789" xr:uid="{1E540848-1C8A-4C06-BCF8-15CF904ECB6D}"/>
    <cellStyle name="Comma 7 2 2 6 4 5" xfId="55805" xr:uid="{DCD14776-D206-4882-8D45-3BECEDAA04A4}"/>
    <cellStyle name="Comma 7 2 2 6 4 6" xfId="19458" xr:uid="{DABC5539-F1B8-4C47-BF4F-A3F2CB7EBBC3}"/>
    <cellStyle name="Comma 7 2 2 6 5" xfId="13038" xr:uid="{5FC2EA89-BA11-460C-B131-82AF74657E8D}"/>
    <cellStyle name="Comma 7 2 2 6 5 2" xfId="47035" xr:uid="{600EE608-8151-4654-ADF4-4D495475A1D7}"/>
    <cellStyle name="Comma 7 2 2 6 5 3" xfId="51358" xr:uid="{0496B755-A5C4-4EDC-82CB-779173A9DA95}"/>
    <cellStyle name="Comma 7 2 2 6 5 4" xfId="54374" xr:uid="{68BA7A53-4B36-4FDA-AD18-FE002695163B}"/>
    <cellStyle name="Comma 7 2 2 6 5 5" xfId="22027" xr:uid="{369F1084-90A5-48BA-AC51-7518BC2BDF80}"/>
    <cellStyle name="Comma 7 2 2 6 6" xfId="24765" xr:uid="{FDF81A1F-DFF7-4107-B372-44609C58A65D}"/>
    <cellStyle name="Comma 7 2 2 6 7" xfId="50252" xr:uid="{98BCA570-32C0-42D3-81A2-3538717BF7A3}"/>
    <cellStyle name="Comma 7 2 2 6 8" xfId="53268" xr:uid="{4A0A7274-7CC5-47BD-A35B-A1132E236993}"/>
    <cellStyle name="Comma 7 2 2 6 9" xfId="19028" xr:uid="{73829E6B-301C-4EE0-919A-EECB2D6334AD}"/>
    <cellStyle name="Comma 7 2 2 7" xfId="14526" xr:uid="{41472848-5210-4EF8-9166-3E736C0F1F1F}"/>
    <cellStyle name="Comma 7 2 2 7 2" xfId="22073" xr:uid="{DB540E07-E11C-4065-9C6C-CFA6A24C41ED}"/>
    <cellStyle name="Comma 7 2 2 7 3" xfId="47924" xr:uid="{BA46033D-567B-4D10-A501-1EB0A8B33E91}"/>
    <cellStyle name="Comma 7 2 2 7 4" xfId="51411" xr:uid="{3399B709-51A9-4AF2-84F3-5AEC06934671}"/>
    <cellStyle name="Comma 7 2 2 7 5" xfId="54427" xr:uid="{2CED8CE1-3645-4977-9AC7-9C8E8F663870}"/>
    <cellStyle name="Comma 7 2 2 7 6" xfId="19049" xr:uid="{E27D4554-5DC4-417B-B7E1-ADCB5B1941BC}"/>
    <cellStyle name="Comma 7 2 2 8" xfId="15010" xr:uid="{643C8BEC-1BA5-43C4-9E3F-3AB84FFBF31D}"/>
    <cellStyle name="Comma 7 2 2 8 2" xfId="22550" xr:uid="{99F89591-73EC-442C-9F65-000A35422410}"/>
    <cellStyle name="Comma 7 2 2 8 3" xfId="32509" xr:uid="{79EBF673-D508-4462-9C52-5941DCE78270}"/>
    <cellStyle name="Comma 7 2 2 8 4" xfId="51888" xr:uid="{D203C826-109D-40FB-814D-06B5F789EA2E}"/>
    <cellStyle name="Comma 7 2 2 8 5" xfId="54904" xr:uid="{9C4CE3FF-42E6-4CC3-A98A-84DBE0957213}"/>
    <cellStyle name="Comma 7 2 2 8 6" xfId="19191" xr:uid="{0CF7428A-497C-482E-910B-1F3BCD432BA8}"/>
    <cellStyle name="Comma 7 2 2 9" xfId="15497" xr:uid="{6C11AC9C-A2DA-4845-9935-C4E94F48D51E}"/>
    <cellStyle name="Comma 7 2 2 9 2" xfId="23027" xr:uid="{CE53FE22-6980-4F40-9415-EBE0F412904C}"/>
    <cellStyle name="Comma 7 2 2 9 3" xfId="46927" xr:uid="{50A5ADDF-8A7E-41FF-A4E9-57B5EB658088}"/>
    <cellStyle name="Comma 7 2 2 9 4" xfId="52365" xr:uid="{9F2A7A68-5460-4E41-91EC-6BFA14838C0D}"/>
    <cellStyle name="Comma 7 2 2 9 5" xfId="55381" xr:uid="{38E6F906-D7BD-4E55-85B9-E0CA2B60A3E2}"/>
    <cellStyle name="Comma 7 2 2 9 6" xfId="19336" xr:uid="{A02EEC4C-C093-48BE-A4C3-0CBFC42DACAE}"/>
    <cellStyle name="Comma 7 2 3" xfId="10037" xr:uid="{EDAC0BA2-8DF2-41E7-B564-925153BB3F59}"/>
    <cellStyle name="Comma 7 2 3 10" xfId="49581" xr:uid="{A06C92B5-D36F-486E-9C5D-8231B03826F7}"/>
    <cellStyle name="Comma 7 2 3 11" xfId="49880" xr:uid="{6313612F-8F32-4251-B498-890048072C1B}"/>
    <cellStyle name="Comma 7 2 3 12" xfId="52896" xr:uid="{312C8D52-5278-4ECC-9743-F6F666E6C080}"/>
    <cellStyle name="Comma 7 2 3 13" xfId="18753" xr:uid="{EBF106D5-9B80-44F7-A5B5-F2AEEBB2F12D}"/>
    <cellStyle name="Comma 7 2 3 2" xfId="10345" xr:uid="{AAAA12CD-3F31-4BE8-8C29-63494226D257}"/>
    <cellStyle name="Comma 7 2 3 2 2" xfId="14790" xr:uid="{19532521-7823-4E07-AD3A-C432C5BCC98D}"/>
    <cellStyle name="Comma 7 2 3 2 2 2" xfId="22337" xr:uid="{02CCF6A2-F475-46D7-ACAE-B0EDB5A2550B}"/>
    <cellStyle name="Comma 7 2 3 2 2 3" xfId="24949" xr:uid="{5995805E-440D-444D-945E-A237426FCD68}"/>
    <cellStyle name="Comma 7 2 3 2 2 4" xfId="51675" xr:uid="{631BBD58-7D82-4B52-A20A-52E510DB5BDA}"/>
    <cellStyle name="Comma 7 2 3 2 2 5" xfId="54691" xr:uid="{5EFE5C6B-F748-41A2-B730-0E73585BA8AD}"/>
    <cellStyle name="Comma 7 2 3 2 2 6" xfId="19123" xr:uid="{D79B7217-47CA-405F-B58D-23735A406719}"/>
    <cellStyle name="Comma 7 2 3 2 3" xfId="15275" xr:uid="{970D3BA8-E1E9-4C56-A8F5-CD5BC7894CC9}"/>
    <cellStyle name="Comma 7 2 3 2 3 2" xfId="22814" xr:uid="{8DC923C4-ECF1-4C05-9611-F7E293B2DC00}"/>
    <cellStyle name="Comma 7 2 3 2 3 3" xfId="46507" xr:uid="{76FEC331-7351-4996-9DE6-EEA4EA4BBBAE}"/>
    <cellStyle name="Comma 7 2 3 2 3 4" xfId="52152" xr:uid="{E598C606-E250-4D78-9EE6-325B28BE707B}"/>
    <cellStyle name="Comma 7 2 3 2 3 5" xfId="55168" xr:uid="{0963A074-75D8-48B9-BD8C-4BFA92C3A040}"/>
    <cellStyle name="Comma 7 2 3 2 3 6" xfId="19266" xr:uid="{8FB63018-DCCB-44F1-AE9F-5995E6C79DE8}"/>
    <cellStyle name="Comma 7 2 3 2 4" xfId="15762" xr:uid="{41F77561-DA3F-477A-B851-EAB64DCAE1EC}"/>
    <cellStyle name="Comma 7 2 3 2 4 2" xfId="23291" xr:uid="{F6E5DB1B-0B17-41A5-B63D-A6EF9287CB80}"/>
    <cellStyle name="Comma 7 2 3 2 4 3" xfId="46581" xr:uid="{767FC574-E1DE-414A-A5DC-79208FEAF203}"/>
    <cellStyle name="Comma 7 2 3 2 4 4" xfId="52629" xr:uid="{267D58AA-CB4B-423F-9795-77CC9D517D3B}"/>
    <cellStyle name="Comma 7 2 3 2 4 5" xfId="55645" xr:uid="{63624EF1-B99F-4A15-896D-C7EE59DE60EE}"/>
    <cellStyle name="Comma 7 2 3 2 4 6" xfId="19411" xr:uid="{E49487A0-F224-4FCD-A211-88D2E7790A67}"/>
    <cellStyle name="Comma 7 2 3 2 5" xfId="12798" xr:uid="{050E8902-A702-460C-B25E-5476CC9FE7F7}"/>
    <cellStyle name="Comma 7 2 3 2 5 2" xfId="25054" xr:uid="{9CED7D05-D7C3-4AC6-8BED-BB82846EF680}"/>
    <cellStyle name="Comma 7 2 3 2 5 3" xfId="51198" xr:uid="{FD4AACA4-FF61-4E6A-A032-1D8CFDCACA44}"/>
    <cellStyle name="Comma 7 2 3 2 5 4" xfId="54214" xr:uid="{B1FABB64-0CE3-4CA0-870B-B1E29A09583E}"/>
    <cellStyle name="Comma 7 2 3 2 5 5" xfId="21981" xr:uid="{C7B767F6-FF3B-43AD-8BC2-8621B71B0FA9}"/>
    <cellStyle name="Comma 7 2 3 2 6" xfId="46093" xr:uid="{D71FAE51-93E1-44DD-BE5F-148EAFF9C678}"/>
    <cellStyle name="Comma 7 2 3 2 7" xfId="50092" xr:uid="{6551431C-76D5-4E74-9F50-4CD75332585F}"/>
    <cellStyle name="Comma 7 2 3 2 8" xfId="53108" xr:uid="{9EF4F559-7B9E-42C2-BB4D-DDF0DB9DFBAA}"/>
    <cellStyle name="Comma 7 2 3 2 9" xfId="18902" xr:uid="{91638DDC-D99E-491B-AF68-B21A25A336A9}"/>
    <cellStyle name="Comma 7 2 3 3" xfId="14578" xr:uid="{D11492A8-BBB2-4DF6-B0BE-A9896094BA29}"/>
    <cellStyle name="Comma 7 2 3 3 2" xfId="22125" xr:uid="{DCE04429-9088-4B23-9A8D-E2F819EF4F85}"/>
    <cellStyle name="Comma 7 2 3 3 3" xfId="47925" xr:uid="{2BA41897-C4BB-433C-87C5-779D3AA24E02}"/>
    <cellStyle name="Comma 7 2 3 3 4" xfId="51463" xr:uid="{C235C18E-C893-43EC-A968-0C5142278BF8}"/>
    <cellStyle name="Comma 7 2 3 3 5" xfId="54479" xr:uid="{3AF9E28A-B119-44DD-8452-6C8C08D57A32}"/>
    <cellStyle name="Comma 7 2 3 3 6" xfId="19063" xr:uid="{89E01F2A-6D75-4B34-AB62-5B64F6CA4860}"/>
    <cellStyle name="Comma 7 2 3 4" xfId="15062" xr:uid="{97ECC998-43AC-41C8-B02A-448A3629F97D}"/>
    <cellStyle name="Comma 7 2 3 4 2" xfId="22602" xr:uid="{87C55F82-BEB8-4CCE-B6AD-C7EED05EDE23}"/>
    <cellStyle name="Comma 7 2 3 4 3" xfId="48549" xr:uid="{5663B7AF-E13E-4D72-B248-06C994E30960}"/>
    <cellStyle name="Comma 7 2 3 4 4" xfId="51940" xr:uid="{0B09B769-D794-4546-AFCC-343FA93ABD30}"/>
    <cellStyle name="Comma 7 2 3 4 5" xfId="54956" xr:uid="{E1D151A9-7660-419E-8E25-534DAF8C22EF}"/>
    <cellStyle name="Comma 7 2 3 4 6" xfId="19205" xr:uid="{DEB2B427-284B-4826-B8D3-0ACAA289A287}"/>
    <cellStyle name="Comma 7 2 3 5" xfId="15549" xr:uid="{D5790444-13F4-48F6-8BBD-7A58B9B3B5B6}"/>
    <cellStyle name="Comma 7 2 3 5 2" xfId="23079" xr:uid="{C9419385-5257-4EA5-BF2E-84A29B2DE739}"/>
    <cellStyle name="Comma 7 2 3 5 3" xfId="46549" xr:uid="{AA153663-98FB-419B-A2A4-B86A8BD29BD9}"/>
    <cellStyle name="Comma 7 2 3 5 4" xfId="52417" xr:uid="{36EBB0C9-E0B5-4A32-88A5-4AAA69E13915}"/>
    <cellStyle name="Comma 7 2 3 5 5" xfId="55433" xr:uid="{17D37487-1F3B-41FE-9080-F34C46BAEA87}"/>
    <cellStyle name="Comma 7 2 3 5 6" xfId="19350" xr:uid="{E6C7E434-735E-458A-A18A-FCFA2D806921}"/>
    <cellStyle name="Comma 7 2 3 6" xfId="12497" xr:uid="{5B4E1E8A-8234-49AB-90C5-E83F43803C1E}"/>
    <cellStyle name="Comma 7 2 3 6 2" xfId="47914" xr:uid="{6F177343-CD2C-453B-9B97-ED84DE928799}"/>
    <cellStyle name="Comma 7 2 3 6 3" xfId="50986" xr:uid="{57EB2A22-229E-4F15-9341-B6F9936A2287}"/>
    <cellStyle name="Comma 7 2 3 6 4" xfId="54002" xr:uid="{6243B62B-34E3-442E-A880-41F070091E75}"/>
    <cellStyle name="Comma 7 2 3 6 5" xfId="21920" xr:uid="{0D3A8CC8-AA8E-426A-B7E5-22996C60D068}"/>
    <cellStyle name="Comma 7 2 3 7" xfId="23802" xr:uid="{2018C2C0-D6D4-49C4-9CB1-71BA87B4117D}"/>
    <cellStyle name="Comma 7 2 3 8" xfId="48087" xr:uid="{07D14F0B-5ECD-4184-9C1D-5791AEF69018}"/>
    <cellStyle name="Comma 7 2 3 9" xfId="48673" xr:uid="{7430AFB3-095D-4B50-80EC-D3D8699A8832}"/>
    <cellStyle name="Comma 7 2 4" xfId="10111" xr:uid="{BBFC8DDB-2E2C-40D6-9268-DAA2B7E3E8B1}"/>
    <cellStyle name="Comma 7 2 4 10" xfId="18786" xr:uid="{B58A18A1-3914-4B96-A611-A6DECB62C7AD}"/>
    <cellStyle name="Comma 7 2 4 2" xfId="10424" xr:uid="{86B6E211-8A83-4853-B693-4291BABEE9E7}"/>
    <cellStyle name="Comma 7 2 4 2 2" xfId="14843" xr:uid="{15189E8A-5D03-494F-8D51-35D3C744F52C}"/>
    <cellStyle name="Comma 7 2 4 2 2 2" xfId="22390" xr:uid="{5EE9D28B-1534-462C-B9B1-41F983974DBE}"/>
    <cellStyle name="Comma 7 2 4 2 2 3" xfId="47336" xr:uid="{069B67E1-EDEA-44D8-96F8-24E3B2B43B77}"/>
    <cellStyle name="Comma 7 2 4 2 2 4" xfId="51728" xr:uid="{1C733717-0EE9-4CEB-91EE-B59CCC1A8DB3}"/>
    <cellStyle name="Comma 7 2 4 2 2 5" xfId="54744" xr:uid="{F51F206C-EB65-46F6-9446-687AEE128C63}"/>
    <cellStyle name="Comma 7 2 4 2 2 6" xfId="19138" xr:uid="{2ECC0FB9-CB98-4DF7-86F7-F2ED185AB986}"/>
    <cellStyle name="Comma 7 2 4 2 3" xfId="15328" xr:uid="{30D11ACE-69F2-4EC5-AE8A-BDE3CF3D9D67}"/>
    <cellStyle name="Comma 7 2 4 2 3 2" xfId="22867" xr:uid="{A3C7C5BF-C068-4576-A584-4B342D7FD6C2}"/>
    <cellStyle name="Comma 7 2 4 2 3 3" xfId="47153" xr:uid="{A0D11710-4FBA-4D60-AB0F-B6BC079871E4}"/>
    <cellStyle name="Comma 7 2 4 2 3 4" xfId="52205" xr:uid="{306F309F-19C3-4A3A-8F2D-C54BF9AC2F61}"/>
    <cellStyle name="Comma 7 2 4 2 3 5" xfId="55221" xr:uid="{4FB7FAAC-32EF-41BA-80F0-C5C876E041C6}"/>
    <cellStyle name="Comma 7 2 4 2 3 6" xfId="19281" xr:uid="{F1085AE0-63AD-47CD-9DD6-3E66E37337D2}"/>
    <cellStyle name="Comma 7 2 4 2 4" xfId="15815" xr:uid="{39789BD2-508C-43E7-B11F-DB8A1E4261F4}"/>
    <cellStyle name="Comma 7 2 4 2 4 2" xfId="23344" xr:uid="{62D20452-427F-4B45-92DC-D4DA87EB398D}"/>
    <cellStyle name="Comma 7 2 4 2 4 3" xfId="48371" xr:uid="{8F72E39E-AB41-431F-824D-4EE8AD437752}"/>
    <cellStyle name="Comma 7 2 4 2 4 4" xfId="52682" xr:uid="{ED85FD00-5B5E-4DB3-B269-6E057FBC998E}"/>
    <cellStyle name="Comma 7 2 4 2 4 5" xfId="55698" xr:uid="{12A5E368-7461-497F-9899-9DD26AD31DA5}"/>
    <cellStyle name="Comma 7 2 4 2 4 6" xfId="19426" xr:uid="{C7519C83-A7BE-4E1F-BF01-590229854528}"/>
    <cellStyle name="Comma 7 2 4 2 5" xfId="12877" xr:uid="{00A07775-7DAA-44F9-9EAA-A0E6520736A2}"/>
    <cellStyle name="Comma 7 2 4 2 5 2" xfId="46365" xr:uid="{2FD227F3-30E8-4128-9192-52CD36ACB6ED}"/>
    <cellStyle name="Comma 7 2 4 2 5 3" xfId="51251" xr:uid="{D33F1875-4ADC-44C7-B0F5-658C98714314}"/>
    <cellStyle name="Comma 7 2 4 2 5 4" xfId="54267" xr:uid="{7E6C9C19-6A1D-4F4B-997E-ADAAE5000F1C}"/>
    <cellStyle name="Comma 7 2 4 2 5 5" xfId="21996" xr:uid="{A1E0BA6D-4E66-4E96-BC80-0F4ABCE85792}"/>
    <cellStyle name="Comma 7 2 4 2 6" xfId="47585" xr:uid="{AD92A2E1-FCAE-46A2-A50A-91EA87E62981}"/>
    <cellStyle name="Comma 7 2 4 2 7" xfId="50145" xr:uid="{83A72E4F-E83D-4F94-A4C2-AC4C64B77EE9}"/>
    <cellStyle name="Comma 7 2 4 2 8" xfId="53161" xr:uid="{769259B2-4BF8-4FD9-AD8B-007B14E3CF58}"/>
    <cellStyle name="Comma 7 2 4 2 9" xfId="18943" xr:uid="{9E5CB217-3E7F-48F5-9084-DAE8C21A5C90}"/>
    <cellStyle name="Comma 7 2 4 3" xfId="14631" xr:uid="{4DAD2B5C-3CBF-4A57-9BC2-19FF61ECF20D}"/>
    <cellStyle name="Comma 7 2 4 3 2" xfId="22178" xr:uid="{9514C1E9-34F3-4A5D-9ACA-011171F45A1E}"/>
    <cellStyle name="Comma 7 2 4 3 3" xfId="47829" xr:uid="{D3E1CC15-07AB-4444-BB5B-09AD09163439}"/>
    <cellStyle name="Comma 7 2 4 3 4" xfId="51516" xr:uid="{2DD1FEFC-6ECB-4515-9D0C-28B1E61F5142}"/>
    <cellStyle name="Comma 7 2 4 3 5" xfId="54532" xr:uid="{BC427647-DC62-4F48-A7E9-467A1652E4DA}"/>
    <cellStyle name="Comma 7 2 4 3 6" xfId="19078" xr:uid="{47C3B390-6E4C-4225-8BC3-F40F5F45B887}"/>
    <cellStyle name="Comma 7 2 4 4" xfId="15116" xr:uid="{00731319-0643-4005-A6A1-DFFC78D5D36A}"/>
    <cellStyle name="Comma 7 2 4 4 2" xfId="22655" xr:uid="{CB99D408-FF44-4CF3-9EF5-6EC3DF9EE366}"/>
    <cellStyle name="Comma 7 2 4 4 3" xfId="48358" xr:uid="{670F9333-99E9-48A5-9BF1-00B3DAE16239}"/>
    <cellStyle name="Comma 7 2 4 4 4" xfId="51993" xr:uid="{1BC1C07D-6121-4470-AE25-1BCD6198B423}"/>
    <cellStyle name="Comma 7 2 4 4 5" xfId="55009" xr:uid="{0EA58DB9-36ED-47AD-96E0-2E9B05C38F03}"/>
    <cellStyle name="Comma 7 2 4 4 6" xfId="19221" xr:uid="{96665515-0188-4EBE-B04E-F5BDCE585A9D}"/>
    <cellStyle name="Comma 7 2 4 5" xfId="15603" xr:uid="{5D8C2111-EB3D-4E03-91DC-560C7F2A7175}"/>
    <cellStyle name="Comma 7 2 4 5 2" xfId="23132" xr:uid="{D5D4F8F4-8EFE-44AE-9AAF-516C60418479}"/>
    <cellStyle name="Comma 7 2 4 5 3" xfId="47864" xr:uid="{9F69EA9F-4D28-4A23-BC8F-374A7C58E511}"/>
    <cellStyle name="Comma 7 2 4 5 4" xfId="52470" xr:uid="{8FC9E64E-2E34-43F7-A8F0-2B06D938C8BA}"/>
    <cellStyle name="Comma 7 2 4 5 5" xfId="55486" xr:uid="{212EEC72-3C85-4DF5-BD38-F3F2A7F1577C}"/>
    <cellStyle name="Comma 7 2 4 5 6" xfId="19366" xr:uid="{251700BD-2C55-41AF-891F-9D28A3E90CD1}"/>
    <cellStyle name="Comma 7 2 4 6" xfId="12568" xr:uid="{C2E4CC96-FA9F-4747-8782-E7A211E3A76D}"/>
    <cellStyle name="Comma 7 2 4 6 2" xfId="25075" xr:uid="{AD350CE7-515B-4F77-B964-D807C9ED9E66}"/>
    <cellStyle name="Comma 7 2 4 6 3" xfId="51039" xr:uid="{25F70CFB-7620-4779-98F2-62C920A3900C}"/>
    <cellStyle name="Comma 7 2 4 6 4" xfId="54055" xr:uid="{41C9D863-3DE4-45DA-92F7-9A04EDCA7F53}"/>
    <cellStyle name="Comma 7 2 4 6 5" xfId="21936" xr:uid="{3E6A9B95-5AB7-436A-AE9B-D1DFB7267268}"/>
    <cellStyle name="Comma 7 2 4 7" xfId="46051" xr:uid="{FBDC20E3-B069-4755-B6DE-89198AF9DC79}"/>
    <cellStyle name="Comma 7 2 4 8" xfId="49933" xr:uid="{7E71BC37-7012-40DF-BAC1-D5B6F3D6DD12}"/>
    <cellStyle name="Comma 7 2 4 9" xfId="52949" xr:uid="{D4315D1A-DB4E-4DF7-B6EB-0CDAF8C1A8BE}"/>
    <cellStyle name="Comma 7 2 5" xfId="10190" xr:uid="{3C44AAB5-DD69-4C83-ADAA-4CDE08EE75FF}"/>
    <cellStyle name="Comma 7 2 5 10" xfId="18824" xr:uid="{010438F6-B6F8-4DDA-A530-B78FA973D5C4}"/>
    <cellStyle name="Comma 7 2 5 2" xfId="10504" xr:uid="{552A56BA-608D-4978-A9C3-4596351DC23B}"/>
    <cellStyle name="Comma 7 2 5 2 2" xfId="14896" xr:uid="{1BEBE06E-848D-4DFE-B8ED-6BCACDEC1FCC}"/>
    <cellStyle name="Comma 7 2 5 2 2 2" xfId="22443" xr:uid="{FC394457-C0D8-4605-A40C-483374EA0BCB}"/>
    <cellStyle name="Comma 7 2 5 2 2 3" xfId="47337" xr:uid="{018E6449-E605-466A-9D5C-6F37828415E3}"/>
    <cellStyle name="Comma 7 2 5 2 2 4" xfId="51781" xr:uid="{725A674F-C376-407A-9D49-7DFB919616F0}"/>
    <cellStyle name="Comma 7 2 5 2 2 5" xfId="54797" xr:uid="{95FE89F9-7FF7-4F8B-A194-74374940238B}"/>
    <cellStyle name="Comma 7 2 5 2 2 6" xfId="19153" xr:uid="{22782128-996F-4EDA-BF6B-B637F4EF777F}"/>
    <cellStyle name="Comma 7 2 5 2 3" xfId="15381" xr:uid="{2085037B-2071-4914-991B-3E45A37D4FA1}"/>
    <cellStyle name="Comma 7 2 5 2 3 2" xfId="22920" xr:uid="{33CE3C7D-1623-496D-B621-2DE63E5F115B}"/>
    <cellStyle name="Comma 7 2 5 2 3 3" xfId="47723" xr:uid="{10BAB97A-1A42-4E30-A347-F2EBCCAC54C2}"/>
    <cellStyle name="Comma 7 2 5 2 3 4" xfId="52258" xr:uid="{E964C97F-483F-4D9D-9455-9C93C85F83FC}"/>
    <cellStyle name="Comma 7 2 5 2 3 5" xfId="55274" xr:uid="{00F4CD77-07E7-4027-8D4F-02C929BDD524}"/>
    <cellStyle name="Comma 7 2 5 2 3 6" xfId="19296" xr:uid="{4757B92A-DAE2-4B79-BCD7-48A9F6E9D94B}"/>
    <cellStyle name="Comma 7 2 5 2 4" xfId="15868" xr:uid="{7CEE8030-CD57-49C0-91EE-B1F1E8D5FA72}"/>
    <cellStyle name="Comma 7 2 5 2 4 2" xfId="23397" xr:uid="{A5A0DC24-676C-4798-AF42-F814B338DCCA}"/>
    <cellStyle name="Comma 7 2 5 2 4 3" xfId="48312" xr:uid="{97DDC876-67A9-4AC9-83B0-74BCDDF2966B}"/>
    <cellStyle name="Comma 7 2 5 2 4 4" xfId="52735" xr:uid="{34B5FC94-78E4-4E0F-98ED-3D7887B3CD93}"/>
    <cellStyle name="Comma 7 2 5 2 4 5" xfId="55751" xr:uid="{D310C00D-37B4-4754-97CD-8CCFB580EEE8}"/>
    <cellStyle name="Comma 7 2 5 2 4 6" xfId="19441" xr:uid="{69D88397-E200-4A74-874B-0ED81E033A4E}"/>
    <cellStyle name="Comma 7 2 5 2 5" xfId="12957" xr:uid="{5DD5A2F6-4A70-4379-915C-9D0D870F9E17}"/>
    <cellStyle name="Comma 7 2 5 2 5 2" xfId="32310" xr:uid="{377285F5-6E47-460C-B3EB-2DA3655ED223}"/>
    <cellStyle name="Comma 7 2 5 2 5 3" xfId="51304" xr:uid="{11F83FF0-0FF3-4F83-961B-71B618DAA696}"/>
    <cellStyle name="Comma 7 2 5 2 5 4" xfId="54320" xr:uid="{07CD6226-2FB0-4D0D-A034-7A06824EB54A}"/>
    <cellStyle name="Comma 7 2 5 2 5 5" xfId="22011" xr:uid="{3C1256FC-BD67-44F5-B96D-D05E47567B23}"/>
    <cellStyle name="Comma 7 2 5 2 6" xfId="46140" xr:uid="{AD8BE06F-CF33-4D50-A9D8-9E107950B609}"/>
    <cellStyle name="Comma 7 2 5 2 7" xfId="50198" xr:uid="{70692415-6C70-4E82-9059-176114D64B38}"/>
    <cellStyle name="Comma 7 2 5 2 8" xfId="53214" xr:uid="{1C5C6023-8A17-4EC0-A223-160A07706DFA}"/>
    <cellStyle name="Comma 7 2 5 2 9" xfId="18985" xr:uid="{E6F05C8B-A5D7-4FBD-866D-688029963F66}"/>
    <cellStyle name="Comma 7 2 5 3" xfId="14684" xr:uid="{1A997AFD-7289-4B7B-ABC1-18B63C12E9B9}"/>
    <cellStyle name="Comma 7 2 5 3 2" xfId="22231" xr:uid="{59788F4D-7DF7-47C8-8341-64070438C2B4}"/>
    <cellStyle name="Comma 7 2 5 3 3" xfId="46417" xr:uid="{862E7DC7-821E-436B-A45B-FCC766BB8158}"/>
    <cellStyle name="Comma 7 2 5 3 4" xfId="51569" xr:uid="{A5C81BD7-ED42-4B22-BBC9-F5DC19EB7B91}"/>
    <cellStyle name="Comma 7 2 5 3 5" xfId="54585" xr:uid="{3390B2A0-E334-4C8D-B422-BC73EBC05195}"/>
    <cellStyle name="Comma 7 2 5 3 6" xfId="19093" xr:uid="{2A18B973-51FB-4757-81DF-3A4A32479D96}"/>
    <cellStyle name="Comma 7 2 5 4" xfId="15169" xr:uid="{F91838CD-839D-4BA0-8831-650AA8305900}"/>
    <cellStyle name="Comma 7 2 5 4 2" xfId="22708" xr:uid="{8C1214D5-6D2C-4FDE-A935-0B4FD87B228B}"/>
    <cellStyle name="Comma 7 2 5 4 3" xfId="47980" xr:uid="{CCFB87AB-AD71-4E16-B5F7-63DDE28B6FA2}"/>
    <cellStyle name="Comma 7 2 5 4 4" xfId="52046" xr:uid="{F45E3F67-7E63-4CBA-93A7-872DF56D9053}"/>
    <cellStyle name="Comma 7 2 5 4 5" xfId="55062" xr:uid="{2E6699B9-6580-41BC-A3F6-3CF81E1EE8BB}"/>
    <cellStyle name="Comma 7 2 5 4 6" xfId="19236" xr:uid="{EB205606-00E4-4DE5-B370-C82EC32B8B70}"/>
    <cellStyle name="Comma 7 2 5 5" xfId="15656" xr:uid="{8BDB6BC9-35C5-4B66-B961-D6AD9208FB77}"/>
    <cellStyle name="Comma 7 2 5 5 2" xfId="23185" xr:uid="{9DE8CD74-2D9A-43D4-B63D-E29A38713AAF}"/>
    <cellStyle name="Comma 7 2 5 5 3" xfId="47551" xr:uid="{88E2EFE6-BCD2-4F97-830D-D4E00C094EE9}"/>
    <cellStyle name="Comma 7 2 5 5 4" xfId="52523" xr:uid="{2F10D6F2-16D0-4E1C-847E-9D3564462A01}"/>
    <cellStyle name="Comma 7 2 5 5 5" xfId="55539" xr:uid="{B5D8215C-6605-4661-BC20-ECB6CF9A9DCA}"/>
    <cellStyle name="Comma 7 2 5 5 6" xfId="19381" xr:uid="{523EA2BF-6D0B-4E57-AE59-74B05F8E325E}"/>
    <cellStyle name="Comma 7 2 5 6" xfId="12644" xr:uid="{A5369DDA-353E-4F55-8D20-A674808BCFB1}"/>
    <cellStyle name="Comma 7 2 5 6 2" xfId="47468" xr:uid="{5CAA927F-C1C0-4D40-98D6-38D662D2A415}"/>
    <cellStyle name="Comma 7 2 5 6 3" xfId="51092" xr:uid="{987EBABC-21A4-4F3C-8997-5B6705CDA748}"/>
    <cellStyle name="Comma 7 2 5 6 4" xfId="54108" xr:uid="{F151ABB6-025C-4F8B-A344-7C65A0C52BC0}"/>
    <cellStyle name="Comma 7 2 5 6 5" xfId="21951" xr:uid="{E545EACC-8554-4A3E-B1F7-0AE9D3E5E201}"/>
    <cellStyle name="Comma 7 2 5 7" xfId="47700" xr:uid="{648A71EA-52CF-422D-8EF5-ED271027B715}"/>
    <cellStyle name="Comma 7 2 5 8" xfId="49986" xr:uid="{52DD4249-42D8-498B-B7C5-5BCBB78353ED}"/>
    <cellStyle name="Comma 7 2 5 9" xfId="53002" xr:uid="{8B75BE11-A886-42BA-BB5A-609D98D2363C}"/>
    <cellStyle name="Comma 7 2 6" xfId="10270" xr:uid="{D54AD388-9AFA-45A6-85F7-A54030927CD1}"/>
    <cellStyle name="Comma 7 2 6 2" xfId="14737" xr:uid="{1205C72F-F724-4BE6-9919-BD21878ECE8F}"/>
    <cellStyle name="Comma 7 2 6 2 2" xfId="22284" xr:uid="{9FD2E44C-9DE4-4FB6-8DAE-043242BE7160}"/>
    <cellStyle name="Comma 7 2 6 2 3" xfId="24667" xr:uid="{E9F043C2-A250-46E1-AE5D-F11963ACFA08}"/>
    <cellStyle name="Comma 7 2 6 2 4" xfId="51622" xr:uid="{A2AB2BDB-8138-435F-98FD-094BA1504B47}"/>
    <cellStyle name="Comma 7 2 6 2 5" xfId="54638" xr:uid="{72A52BC3-0829-4637-AA2B-47959163C5B1}"/>
    <cellStyle name="Comma 7 2 6 2 6" xfId="19108" xr:uid="{43CF4816-C3E5-4480-9D28-77680F26C5BD}"/>
    <cellStyle name="Comma 7 2 6 3" xfId="15222" xr:uid="{0E5FDDD0-517A-426D-AC9F-7170CC2DDB93}"/>
    <cellStyle name="Comma 7 2 6 3 2" xfId="22761" xr:uid="{E67AED7B-7AC0-4282-8D4A-FC32DD0E2C40}"/>
    <cellStyle name="Comma 7 2 6 3 3" xfId="33361" xr:uid="{B63CFA3E-A3B6-4884-BD01-805C0B5AE3FA}"/>
    <cellStyle name="Comma 7 2 6 3 4" xfId="52099" xr:uid="{0E2D9553-BDB1-49ED-A2AD-4434C31A7D66}"/>
    <cellStyle name="Comma 7 2 6 3 5" xfId="55115" xr:uid="{7D7B2C49-7457-45FE-A8BC-BFCDD51A7AB0}"/>
    <cellStyle name="Comma 7 2 6 3 6" xfId="19251" xr:uid="{BF16B985-4C8A-46A9-BBE9-49F7A97FBE08}"/>
    <cellStyle name="Comma 7 2 6 4" xfId="15709" xr:uid="{87652A2E-0AA0-445E-B772-3E302E304544}"/>
    <cellStyle name="Comma 7 2 6 4 2" xfId="23238" xr:uid="{49F51294-5717-4E81-AE4C-6B5A18936B44}"/>
    <cellStyle name="Comma 7 2 6 4 3" xfId="47199" xr:uid="{3F633BEE-C991-40FC-AA21-2170596454DD}"/>
    <cellStyle name="Comma 7 2 6 4 4" xfId="52576" xr:uid="{6C8ADBA0-D895-4776-B1FC-7C98FD0C1ADE}"/>
    <cellStyle name="Comma 7 2 6 4 5" xfId="55592" xr:uid="{80EF63D9-00A9-43FE-A31E-2F3FD4FB2090}"/>
    <cellStyle name="Comma 7 2 6 4 6" xfId="19396" xr:uid="{A2C3C8C0-7446-4A72-8ABF-B222D10AA6BB}"/>
    <cellStyle name="Comma 7 2 6 5" xfId="12723" xr:uid="{2422063C-AB25-40BF-9B92-14A52E60F310}"/>
    <cellStyle name="Comma 7 2 6 5 2" xfId="46346" xr:uid="{CFE439B9-9097-4D3F-80AF-E068863DAE9F}"/>
    <cellStyle name="Comma 7 2 6 5 3" xfId="51145" xr:uid="{173CC878-6B6E-4737-AE4C-578DA16DDFD9}"/>
    <cellStyle name="Comma 7 2 6 5 4" xfId="54161" xr:uid="{4FB4019B-5374-4400-B711-96A89B9C7041}"/>
    <cellStyle name="Comma 7 2 6 5 5" xfId="21966" xr:uid="{B2AB15BD-C737-4FE6-AD07-E51C3048E0C9}"/>
    <cellStyle name="Comma 7 2 6 6" xfId="46078" xr:uid="{10DB647B-E2FD-46B3-A14B-EC20881296A5}"/>
    <cellStyle name="Comma 7 2 6 7" xfId="50039" xr:uid="{9A85E188-58FF-4B3D-9AA7-245BD9CA0352}"/>
    <cellStyle name="Comma 7 2 6 8" xfId="53055" xr:uid="{755A05E2-5BF1-4171-8B5A-B3E3BFD42596}"/>
    <cellStyle name="Comma 7 2 6 9" xfId="18865" xr:uid="{7CA1AB62-F5C7-4550-8E22-E4C1A387D510}"/>
    <cellStyle name="Comma 7 2 7" xfId="10584" xr:uid="{34CE1AFA-F8CF-4804-A448-929C8DAA30D5}"/>
    <cellStyle name="Comma 7 2 7 2" xfId="14949" xr:uid="{609DA48B-132E-42FF-8918-7296B8C1D781}"/>
    <cellStyle name="Comma 7 2 7 2 2" xfId="22496" xr:uid="{F98C9522-E988-4A3F-A6E4-8364B4B9F296}"/>
    <cellStyle name="Comma 7 2 7 2 3" xfId="32519" xr:uid="{82690535-435E-41BD-B59B-0BFD530CCC90}"/>
    <cellStyle name="Comma 7 2 7 2 4" xfId="51834" xr:uid="{185C2D70-E480-4EBD-8431-90376A5FBEB7}"/>
    <cellStyle name="Comma 7 2 7 2 5" xfId="54850" xr:uid="{3AE55E0E-65DB-40E0-9EF6-39A5C276EE71}"/>
    <cellStyle name="Comma 7 2 7 2 6" xfId="19168" xr:uid="{5AE2D99E-D351-4856-ACB1-07E7F6CD67DE}"/>
    <cellStyle name="Comma 7 2 7 3" xfId="15434" xr:uid="{A3221ED7-BD40-4445-BB25-644BFC6F2433}"/>
    <cellStyle name="Comma 7 2 7 3 2" xfId="22973" xr:uid="{08672A7C-EAA2-4BFD-AD45-A155AC867D16}"/>
    <cellStyle name="Comma 7 2 7 3 3" xfId="46921" xr:uid="{9B3F32B8-5B2C-4804-8CA0-85F0EF1ADD28}"/>
    <cellStyle name="Comma 7 2 7 3 4" xfId="52311" xr:uid="{1B2BBDA7-5389-4041-B97E-73E37992747D}"/>
    <cellStyle name="Comma 7 2 7 3 5" xfId="55327" xr:uid="{DAFDF975-F910-40BF-B47E-DE6576BC7DDB}"/>
    <cellStyle name="Comma 7 2 7 3 6" xfId="19311" xr:uid="{5D4FBF0A-655D-4DC8-B1DC-A8550ABCA60F}"/>
    <cellStyle name="Comma 7 2 7 4" xfId="15922" xr:uid="{22067A7E-469D-452C-9BE2-BF243B33910C}"/>
    <cellStyle name="Comma 7 2 7 4 2" xfId="23450" xr:uid="{37F347F5-F260-4F19-AB03-0C72127C78FE}"/>
    <cellStyle name="Comma 7 2 7 4 3" xfId="46607" xr:uid="{31F55AE4-15D7-45D7-B452-FA61599701F9}"/>
    <cellStyle name="Comma 7 2 7 4 4" xfId="52788" xr:uid="{A085A46A-D677-433F-9FB6-60D325124AD6}"/>
    <cellStyle name="Comma 7 2 7 4 5" xfId="55804" xr:uid="{EE46033F-EBB8-4E12-99A1-21EB95A946ED}"/>
    <cellStyle name="Comma 7 2 7 4 6" xfId="19457" xr:uid="{FB0A5503-71D4-4B39-9233-F5E52CA0C8AD}"/>
    <cellStyle name="Comma 7 2 7 5" xfId="13037" xr:uid="{B11523ED-9442-457E-AFBD-C42D1AF78542}"/>
    <cellStyle name="Comma 7 2 7 5 2" xfId="46824" xr:uid="{B1AE13A0-17DA-4784-8E49-7DCE1E9D576B}"/>
    <cellStyle name="Comma 7 2 7 5 3" xfId="51357" xr:uid="{776CF8D9-4EB7-429F-8480-6B6AEA851A61}"/>
    <cellStyle name="Comma 7 2 7 5 4" xfId="54373" xr:uid="{98375056-0BB3-45FE-A837-DA718DB0CE62}"/>
    <cellStyle name="Comma 7 2 7 5 5" xfId="22026" xr:uid="{FD96A9CA-355B-430E-BA83-E617295E4231}"/>
    <cellStyle name="Comma 7 2 7 6" xfId="46632" xr:uid="{71C19419-B2FD-4E30-ADD4-EF21CC9613A7}"/>
    <cellStyle name="Comma 7 2 7 7" xfId="50251" xr:uid="{06F02CDA-343A-41EA-867A-3AA42ED45898}"/>
    <cellStyle name="Comma 7 2 7 8" xfId="53267" xr:uid="{F6793E54-E343-4334-A4B4-610060A35824}"/>
    <cellStyle name="Comma 7 2 7 9" xfId="19027" xr:uid="{E156B25C-0D6B-4DC4-BA20-07E1BCBDF99C}"/>
    <cellStyle name="Comma 7 2 8" xfId="14179" xr:uid="{DD9EC279-E3F7-4264-80A3-EFCFE25A6672}"/>
    <cellStyle name="Comma 7 2 9" xfId="14525" xr:uid="{011DE29D-21F1-4B93-8921-C06737FCF98A}"/>
    <cellStyle name="Comma 7 2 9 2" xfId="22072" xr:uid="{0A9CE401-AC73-4D52-B3F7-3530C2D34567}"/>
    <cellStyle name="Comma 7 2 9 3" xfId="48346" xr:uid="{8A6F0D92-65BC-4282-99D9-83E4B3A75348}"/>
    <cellStyle name="Comma 7 2 9 4" xfId="51410" xr:uid="{09027355-78F7-4006-91CB-527FA16429DB}"/>
    <cellStyle name="Comma 7 2 9 5" xfId="54426" xr:uid="{D5AEB9F6-0AA0-4457-A680-FE20BB7324C8}"/>
    <cellStyle name="Comma 7 2 9 6" xfId="19048" xr:uid="{BE7272FF-831E-435B-BD38-0D7DDCC830CC}"/>
    <cellStyle name="Comma 7 3" xfId="5828" xr:uid="{B0E218BA-79FA-4D7C-88C4-20821E2A9CF4}"/>
    <cellStyle name="Comma 7 3 10" xfId="12179" xr:uid="{2406A6CB-C404-47AC-9B96-06664ECFE194}"/>
    <cellStyle name="Comma 7 3 10 2" xfId="48044" xr:uid="{A7E1F10A-D2F8-4436-8326-9CE24EE3299A}"/>
    <cellStyle name="Comma 7 3 10 3" xfId="50936" xr:uid="{5EB03BA9-6C79-43B5-A3D7-F8ACED5F1232}"/>
    <cellStyle name="Comma 7 3 10 4" xfId="53952" xr:uid="{3751A2A8-33B2-4CA5-9505-21668CEEE8F3}"/>
    <cellStyle name="Comma 7 3 10 5" xfId="21904" xr:uid="{2CB26E11-E77A-4C06-9917-472A8FEBD516}"/>
    <cellStyle name="Comma 7 3 11" xfId="23803" xr:uid="{F572EF32-E8AA-4A75-A2DA-15B93A7FF375}"/>
    <cellStyle name="Comma 7 3 12" xfId="47356" xr:uid="{590C49D5-723F-4C03-87FE-6AA5E7184401}"/>
    <cellStyle name="Comma 7 3 13" xfId="48674" xr:uid="{20AD38F6-6493-448B-B55A-73B8D6DEBE8A}"/>
    <cellStyle name="Comma 7 3 14" xfId="49582" xr:uid="{216C1055-2990-42DA-9997-0846592C76BF}"/>
    <cellStyle name="Comma 7 3 15" xfId="49829" xr:uid="{CB59C9E5-14F5-412B-95D0-6DE42582EF57}"/>
    <cellStyle name="Comma 7 3 16" xfId="52844" xr:uid="{0F9A2EDE-2AA7-47AE-AD01-E237069F6834}"/>
    <cellStyle name="Comma 7 3 17" xfId="18566" xr:uid="{6A8F541C-40DA-4684-9C8E-7C0AC714AD85}"/>
    <cellStyle name="Comma 7 3 18" xfId="8952" xr:uid="{A85EECCF-4A13-455D-AFA0-6D27CBB0FB94}"/>
    <cellStyle name="Comma 7 3 2" xfId="10039" xr:uid="{6B7E6935-9244-48CC-9FC6-D81F4039CD34}"/>
    <cellStyle name="Comma 7 3 2 10" xfId="18755" xr:uid="{DC2E544F-79DC-4592-8060-7E12614F83DD}"/>
    <cellStyle name="Comma 7 3 2 2" xfId="10347" xr:uid="{04867D83-2834-43F8-9F31-9A0405F15E8B}"/>
    <cellStyle name="Comma 7 3 2 2 2" xfId="14792" xr:uid="{D565F302-FFA6-4A29-BDF8-73C81D98D488}"/>
    <cellStyle name="Comma 7 3 2 2 2 2" xfId="22339" xr:uid="{A7E92EC5-9983-4DC5-B432-73320B303964}"/>
    <cellStyle name="Comma 7 3 2 2 2 3" xfId="46862" xr:uid="{F521C4C3-7DDA-4EE2-B312-5144CB37FD02}"/>
    <cellStyle name="Comma 7 3 2 2 2 4" xfId="51677" xr:uid="{26DA1FCC-82F2-4B43-94C8-D8ED7D2C6734}"/>
    <cellStyle name="Comma 7 3 2 2 2 5" xfId="54693" xr:uid="{693899CF-D4E1-4F95-A42D-DF87FAE9B5B7}"/>
    <cellStyle name="Comma 7 3 2 2 2 6" xfId="19125" xr:uid="{0CF968E2-97BA-48FA-AA09-70CFBBE7D073}"/>
    <cellStyle name="Comma 7 3 2 2 3" xfId="15277" xr:uid="{EA3CF829-B8A2-4F87-899D-A8AF71BCBFDD}"/>
    <cellStyle name="Comma 7 3 2 2 3 2" xfId="22816" xr:uid="{11F47D1C-6C53-4413-B236-BF0E4FDB4AD7}"/>
    <cellStyle name="Comma 7 3 2 2 3 3" xfId="48416" xr:uid="{D1A46D4D-6111-4D1B-B182-59A6F22B5B93}"/>
    <cellStyle name="Comma 7 3 2 2 3 4" xfId="52154" xr:uid="{BA0907FA-3632-4257-8E58-EE1F6E38A422}"/>
    <cellStyle name="Comma 7 3 2 2 3 5" xfId="55170" xr:uid="{67BF3F6B-1A7C-4336-88C7-594F55C9706A}"/>
    <cellStyle name="Comma 7 3 2 2 3 6" xfId="19268" xr:uid="{5AECA354-601F-4683-9F53-97AA72EEA20E}"/>
    <cellStyle name="Comma 7 3 2 2 4" xfId="15764" xr:uid="{BE4A1CEA-27B0-43E7-AEC3-5414116881D1}"/>
    <cellStyle name="Comma 7 3 2 2 4 2" xfId="23293" xr:uid="{6B459495-39DC-4440-8A67-F9364CC2BD45}"/>
    <cellStyle name="Comma 7 3 2 2 4 3" xfId="47256" xr:uid="{AEB86C42-44C9-4212-AEBC-A08D99FAE9B9}"/>
    <cellStyle name="Comma 7 3 2 2 4 4" xfId="52631" xr:uid="{96274523-582D-4F7F-A076-9B8CD9669057}"/>
    <cellStyle name="Comma 7 3 2 2 4 5" xfId="55647" xr:uid="{3C1F1C62-3F3C-4EC8-AD11-11D58B93690E}"/>
    <cellStyle name="Comma 7 3 2 2 4 6" xfId="19413" xr:uid="{4284A570-DBD3-4389-A095-4C89C309B2A0}"/>
    <cellStyle name="Comma 7 3 2 2 5" xfId="12800" xr:uid="{D290806C-499B-4876-9C62-E43D282B5136}"/>
    <cellStyle name="Comma 7 3 2 2 5 2" xfId="46796" xr:uid="{F1945019-1FE7-4A9B-A4B3-D5D0C1F61FA8}"/>
    <cellStyle name="Comma 7 3 2 2 5 3" xfId="51200" xr:uid="{27303DE0-B4C9-460B-89C3-72DB9904B4D3}"/>
    <cellStyle name="Comma 7 3 2 2 5 4" xfId="54216" xr:uid="{8F3351A1-2040-40BE-987C-577A03C7CC6A}"/>
    <cellStyle name="Comma 7 3 2 2 5 5" xfId="21983" xr:uid="{3A621583-8E84-419F-BCF5-635863A369EA}"/>
    <cellStyle name="Comma 7 3 2 2 6" xfId="46094" xr:uid="{B4A68F8E-5677-4817-877B-5569C338BDDD}"/>
    <cellStyle name="Comma 7 3 2 2 7" xfId="50094" xr:uid="{F92A76CF-1B94-411B-A9A6-2E6C625D3636}"/>
    <cellStyle name="Comma 7 3 2 2 8" xfId="53110" xr:uid="{BCF8FABB-7166-4F25-B4B5-B6218B116896}"/>
    <cellStyle name="Comma 7 3 2 2 9" xfId="18904" xr:uid="{13F8E4D3-FE9F-47BD-B0FA-A42CB32DF13B}"/>
    <cellStyle name="Comma 7 3 2 3" xfId="14580" xr:uid="{0CE3F0BF-438C-481F-8FF3-14FD1042E1DB}"/>
    <cellStyle name="Comma 7 3 2 3 2" xfId="22127" xr:uid="{F79B3AAA-948A-4DCE-8119-F49BD413FF42}"/>
    <cellStyle name="Comma 7 3 2 3 3" xfId="24972" xr:uid="{771CEC82-CB01-43F9-968D-6AE9087D6075}"/>
    <cellStyle name="Comma 7 3 2 3 4" xfId="51465" xr:uid="{53361D5E-EE8D-4AF2-B6A3-437DD96586CF}"/>
    <cellStyle name="Comma 7 3 2 3 5" xfId="54481" xr:uid="{458CDE09-74E3-4C08-9A87-4DFACC9E099A}"/>
    <cellStyle name="Comma 7 3 2 3 6" xfId="19065" xr:uid="{49290E1D-7033-4FE7-8622-F1029F0B5D4A}"/>
    <cellStyle name="Comma 7 3 2 4" xfId="15064" xr:uid="{15A993D0-BFBB-4EA8-B875-B16EA2AF98F9}"/>
    <cellStyle name="Comma 7 3 2 4 2" xfId="22604" xr:uid="{7AC78722-FFC2-4C0D-A8FC-EF9AAD860E18}"/>
    <cellStyle name="Comma 7 3 2 4 3" xfId="32399" xr:uid="{ACD747AE-824E-41A7-9DEF-BA21E0224FB7}"/>
    <cellStyle name="Comma 7 3 2 4 4" xfId="51942" xr:uid="{1AA6769C-D56F-4349-A3F6-E4D12339F89C}"/>
    <cellStyle name="Comma 7 3 2 4 5" xfId="54958" xr:uid="{D287D167-410D-426E-A6BE-EE2B8EF7367A}"/>
    <cellStyle name="Comma 7 3 2 4 6" xfId="19207" xr:uid="{6AD4DC86-E89A-4C19-BAFD-9599661F4D9B}"/>
    <cellStyle name="Comma 7 3 2 5" xfId="15551" xr:uid="{8CCB5E9A-C7C5-4A65-9193-4596005DBDA4}"/>
    <cellStyle name="Comma 7 3 2 5 2" xfId="23081" xr:uid="{9454E7BF-7E3A-4788-8A26-DD4578B5DB83}"/>
    <cellStyle name="Comma 7 3 2 5 3" xfId="47252" xr:uid="{36832454-A6D9-439B-8A34-4E47CCBE9C78}"/>
    <cellStyle name="Comma 7 3 2 5 4" xfId="52419" xr:uid="{018D160F-A63B-4D28-9575-98851AB8100E}"/>
    <cellStyle name="Comma 7 3 2 5 5" xfId="55435" xr:uid="{C0015411-ED62-463B-9D34-3BBD2EBC5835}"/>
    <cellStyle name="Comma 7 3 2 5 6" xfId="19352" xr:uid="{0EE90FD2-DEFF-41E6-9096-0B2D8D507D9A}"/>
    <cellStyle name="Comma 7 3 2 6" xfId="12499" xr:uid="{2123BA3B-7C0C-4A0C-87A2-9E013FFA798B}"/>
    <cellStyle name="Comma 7 3 2 6 2" xfId="25087" xr:uid="{D38E8539-3DA1-46E9-B24E-F3921A9E3ACF}"/>
    <cellStyle name="Comma 7 3 2 6 3" xfId="50988" xr:uid="{1384F662-4187-438E-AFA4-1D9286409050}"/>
    <cellStyle name="Comma 7 3 2 6 4" xfId="54004" xr:uid="{CE8A0E11-72D2-41C5-BC9F-B335CF547979}"/>
    <cellStyle name="Comma 7 3 2 6 5" xfId="21922" xr:uid="{EA4FBF43-F5F6-486E-BA53-187298F63BAC}"/>
    <cellStyle name="Comma 7 3 2 7" xfId="47732" xr:uid="{8CB01D83-9221-4F6E-ADDC-E2A5F29E9C1B}"/>
    <cellStyle name="Comma 7 3 2 8" xfId="49882" xr:uid="{0B78D7D4-161A-4F2F-A1F3-8D09E8965FE7}"/>
    <cellStyle name="Comma 7 3 2 9" xfId="52898" xr:uid="{F27C5520-560F-4749-AC28-03886B52A49A}"/>
    <cellStyle name="Comma 7 3 3" xfId="10113" xr:uid="{3F4A9F8A-061F-4E64-A6CF-676090B2A974}"/>
    <cellStyle name="Comma 7 3 3 10" xfId="18788" xr:uid="{EC2FBD79-260C-460D-A10D-98F08670FF6B}"/>
    <cellStyle name="Comma 7 3 3 2" xfId="10426" xr:uid="{DD3F048D-1494-499D-93A9-5D1159C5DD0A}"/>
    <cellStyle name="Comma 7 3 3 2 2" xfId="14845" xr:uid="{95A318C9-2D57-4E52-9FEC-149434DC2097}"/>
    <cellStyle name="Comma 7 3 3 2 2 2" xfId="22392" xr:uid="{DB4FA15F-1D3E-4427-B649-124FEC05F37D}"/>
    <cellStyle name="Comma 7 3 3 2 2 3" xfId="46444" xr:uid="{431D0FF8-71BB-4380-8166-4D745B9539C7}"/>
    <cellStyle name="Comma 7 3 3 2 2 4" xfId="51730" xr:uid="{1A7C313D-2AED-446D-9481-E78B87EA827F}"/>
    <cellStyle name="Comma 7 3 3 2 2 5" xfId="54746" xr:uid="{94A478E7-8348-4F1E-A694-9B8F0AA504AA}"/>
    <cellStyle name="Comma 7 3 3 2 2 6" xfId="19140" xr:uid="{46201CA2-3B35-435C-A160-F3379E60408E}"/>
    <cellStyle name="Comma 7 3 3 2 3" xfId="15330" xr:uid="{AC394F15-308C-45F6-A9BC-F01DB90F5887}"/>
    <cellStyle name="Comma 7 3 3 2 3 2" xfId="22869" xr:uid="{F48BA5A3-BDD6-4670-9756-9868D150AD56}"/>
    <cellStyle name="Comma 7 3 3 2 3 3" xfId="47968" xr:uid="{A8148442-0425-4D8D-BE3E-96B2378F395E}"/>
    <cellStyle name="Comma 7 3 3 2 3 4" xfId="52207" xr:uid="{432F955A-AD99-4EA1-8E07-F82CDA18AB23}"/>
    <cellStyle name="Comma 7 3 3 2 3 5" xfId="55223" xr:uid="{DABBF9AA-45C3-40BD-96DB-DBB53008174C}"/>
    <cellStyle name="Comma 7 3 3 2 3 6" xfId="19283" xr:uid="{CEFC90C6-C3EA-4376-99F1-9029EF9E036D}"/>
    <cellStyle name="Comma 7 3 3 2 4" xfId="15817" xr:uid="{18BC2AC2-54B3-43A8-B492-36C4990D59CB}"/>
    <cellStyle name="Comma 7 3 3 2 4 2" xfId="23346" xr:uid="{B1D691FC-0B38-4619-8E21-C89B8BD445A4}"/>
    <cellStyle name="Comma 7 3 3 2 4 3" xfId="46591" xr:uid="{00DB3225-B51B-4EA8-A21D-D8BC4F0F7BCB}"/>
    <cellStyle name="Comma 7 3 3 2 4 4" xfId="52684" xr:uid="{DF210D44-3244-4C8E-B494-23107A1A29D5}"/>
    <cellStyle name="Comma 7 3 3 2 4 5" xfId="55700" xr:uid="{3332C0BD-F495-4051-B427-5101F21C254C}"/>
    <cellStyle name="Comma 7 3 3 2 4 6" xfId="19428" xr:uid="{DA8378BD-AAF9-4DB4-A9AF-F90BEFCCBD78}"/>
    <cellStyle name="Comma 7 3 3 2 5" xfId="12879" xr:uid="{8B3E0128-DA34-4E50-B7BB-4B0EF89A9B10}"/>
    <cellStyle name="Comma 7 3 3 2 5 2" xfId="48400" xr:uid="{2732223A-0FB6-4F27-A82C-CF5A76342F4E}"/>
    <cellStyle name="Comma 7 3 3 2 5 3" xfId="51253" xr:uid="{B0F229D4-1196-4131-BB3F-2EF8BC0E753E}"/>
    <cellStyle name="Comma 7 3 3 2 5 4" xfId="54269" xr:uid="{3B5CB64B-CCE6-4A97-B599-14869B31FD60}"/>
    <cellStyle name="Comma 7 3 3 2 5 5" xfId="21998" xr:uid="{B706D0E9-075A-49B5-8F92-DAC9DD15C5E6}"/>
    <cellStyle name="Comma 7 3 3 2 6" xfId="47207" xr:uid="{16F91C5F-235F-4866-89CD-A9B783D4AB1A}"/>
    <cellStyle name="Comma 7 3 3 2 7" xfId="50147" xr:uid="{57F4F8BE-BF95-46C5-97FE-5CC31158C5BD}"/>
    <cellStyle name="Comma 7 3 3 2 8" xfId="53163" xr:uid="{4F22E093-7A64-43C7-85A0-0682F9F1DB24}"/>
    <cellStyle name="Comma 7 3 3 2 9" xfId="18945" xr:uid="{64D0974A-B9D5-41E3-AD00-074541D11E05}"/>
    <cellStyle name="Comma 7 3 3 3" xfId="14633" xr:uid="{7418D741-9A15-49E8-822F-DF63BBFEBCA1}"/>
    <cellStyle name="Comma 7 3 3 3 2" xfId="22180" xr:uid="{26E0B7BD-7864-4A4A-88BF-8C0695A80620}"/>
    <cellStyle name="Comma 7 3 3 3 3" xfId="47479" xr:uid="{A5705FF8-B2A7-4F5C-86EB-EE27C8993DF3}"/>
    <cellStyle name="Comma 7 3 3 3 4" xfId="51518" xr:uid="{C88E4D7F-DF5D-4670-A328-7649A579CB5F}"/>
    <cellStyle name="Comma 7 3 3 3 5" xfId="54534" xr:uid="{C2B62783-EA99-495A-BF74-4B83D329B07F}"/>
    <cellStyle name="Comma 7 3 3 3 6" xfId="19080" xr:uid="{3A7B74FF-3712-4900-91C8-787728517B9B}"/>
    <cellStyle name="Comma 7 3 3 4" xfId="15118" xr:uid="{66B86B76-965E-4299-8856-87BAF49B4B64}"/>
    <cellStyle name="Comma 7 3 3 4 2" xfId="22657" xr:uid="{B068A44D-79A5-47FF-BA10-D43A22C21175}"/>
    <cellStyle name="Comma 7 3 3 4 3" xfId="46482" xr:uid="{26B9BFE2-B656-4412-95E0-17C56B815997}"/>
    <cellStyle name="Comma 7 3 3 4 4" xfId="51995" xr:uid="{80DAD098-B475-444C-A585-42B0D8F5AC37}"/>
    <cellStyle name="Comma 7 3 3 4 5" xfId="55011" xr:uid="{6ECEB9F1-9B5C-4AFA-BA71-A49459851653}"/>
    <cellStyle name="Comma 7 3 3 4 6" xfId="19223" xr:uid="{945E824C-64ED-41D4-94AB-7AE70125AD28}"/>
    <cellStyle name="Comma 7 3 3 5" xfId="15605" xr:uid="{2A64E529-793B-4D8D-841C-09A9A474732B}"/>
    <cellStyle name="Comma 7 3 3 5 2" xfId="23134" xr:uid="{E1367338-4093-459B-B917-E2D7A5044BE9}"/>
    <cellStyle name="Comma 7 3 3 5 3" xfId="48248" xr:uid="{31861EB5-BEA8-4071-AAD8-16524A4BB125}"/>
    <cellStyle name="Comma 7 3 3 5 4" xfId="52472" xr:uid="{CE987DE5-27E6-405D-94A2-DA938E2B71D2}"/>
    <cellStyle name="Comma 7 3 3 5 5" xfId="55488" xr:uid="{888C5C0C-F8C8-4F3A-B59A-A2A8769037A6}"/>
    <cellStyle name="Comma 7 3 3 5 6" xfId="19368" xr:uid="{32E2ADF3-D3F9-4C74-A2EC-8BD609CF8CD7}"/>
    <cellStyle name="Comma 7 3 3 6" xfId="12570" xr:uid="{F7190F3B-8E5A-4897-828E-0A4BB6746600}"/>
    <cellStyle name="Comma 7 3 3 6 2" xfId="46769" xr:uid="{79AFC94B-065B-418F-82D5-9CB152242180}"/>
    <cellStyle name="Comma 7 3 3 6 3" xfId="51041" xr:uid="{7952980F-35A0-463B-9479-9BFCB1EB4030}"/>
    <cellStyle name="Comma 7 3 3 6 4" xfId="54057" xr:uid="{AAE4CC46-0B72-4B9E-BD7E-063EF2CE466B}"/>
    <cellStyle name="Comma 7 3 3 6 5" xfId="21938" xr:uid="{53C567B6-A056-4FEA-B545-7D772335A62D}"/>
    <cellStyle name="Comma 7 3 3 7" xfId="46052" xr:uid="{47011C97-D4D1-4E99-871A-B4E6A2D8F885}"/>
    <cellStyle name="Comma 7 3 3 8" xfId="49935" xr:uid="{4CD721C8-5227-4E4D-945D-530D56F2E407}"/>
    <cellStyle name="Comma 7 3 3 9" xfId="52951" xr:uid="{6152E665-4A4C-4E12-8F6D-7079C78014F2}"/>
    <cellStyle name="Comma 7 3 4" xfId="10192" xr:uid="{B73DDA61-AF85-4E3D-B847-7CEB558A71B1}"/>
    <cellStyle name="Comma 7 3 4 10" xfId="18826" xr:uid="{5376D5BB-2028-429C-9B36-BF0E5ABB3552}"/>
    <cellStyle name="Comma 7 3 4 2" xfId="10506" xr:uid="{37C7A027-87B3-4CE1-806D-1E3C2856123F}"/>
    <cellStyle name="Comma 7 3 4 2 2" xfId="14898" xr:uid="{DDE7CA53-6C84-42F1-B107-E83A14369C09}"/>
    <cellStyle name="Comma 7 3 4 2 2 2" xfId="22445" xr:uid="{5458C053-B2CB-46D6-84CD-4EC50DDD34E5}"/>
    <cellStyle name="Comma 7 3 4 2 2 3" xfId="24934" xr:uid="{D303E3FE-272B-42B6-84B3-AA600A6CDAC1}"/>
    <cellStyle name="Comma 7 3 4 2 2 4" xfId="51783" xr:uid="{AC00CA06-2D67-426F-8FDE-109E33478741}"/>
    <cellStyle name="Comma 7 3 4 2 2 5" xfId="54799" xr:uid="{31B30D12-E5E0-41B0-9BB4-E9D743919396}"/>
    <cellStyle name="Comma 7 3 4 2 2 6" xfId="19155" xr:uid="{0B17A422-703A-4A3E-B386-4009A055ACA4}"/>
    <cellStyle name="Comma 7 3 4 2 3" xfId="15383" xr:uid="{BE07C320-B562-4614-82AA-FE9FA3DD8B4F}"/>
    <cellStyle name="Comma 7 3 4 2 3 2" xfId="22922" xr:uid="{0F3C2379-4EAB-409A-ABEB-5B291C76801A}"/>
    <cellStyle name="Comma 7 3 4 2 3 3" xfId="46915" xr:uid="{C7579A8D-9591-44C9-A6DF-E9A6F0930C5E}"/>
    <cellStyle name="Comma 7 3 4 2 3 4" xfId="52260" xr:uid="{A3E6752A-F11F-405E-8585-FC92C099E556}"/>
    <cellStyle name="Comma 7 3 4 2 3 5" xfId="55276" xr:uid="{152E9E4E-E5EE-4757-B9FA-9817BC45F449}"/>
    <cellStyle name="Comma 7 3 4 2 3 6" xfId="19298" xr:uid="{29EB98DD-955C-45F8-B011-22C8F68D5925}"/>
    <cellStyle name="Comma 7 3 4 2 4" xfId="15870" xr:uid="{7872B8C5-3E7D-4EB3-A64D-CD76530E7111}"/>
    <cellStyle name="Comma 7 3 4 2 4 2" xfId="23399" xr:uid="{CB0A0A18-55AE-482C-98E5-2BDBAC293225}"/>
    <cellStyle name="Comma 7 3 4 2 4 3" xfId="46977" xr:uid="{67EC1D99-CBF1-4999-B4E7-78AC35D67962}"/>
    <cellStyle name="Comma 7 3 4 2 4 4" xfId="52737" xr:uid="{AE0E4113-2117-433B-86B6-ABC1DD09533E}"/>
    <cellStyle name="Comma 7 3 4 2 4 5" xfId="55753" xr:uid="{CB7A0F3E-37E3-4C4A-81C5-FFA1835A4669}"/>
    <cellStyle name="Comma 7 3 4 2 4 6" xfId="19443" xr:uid="{3D2C22CE-D9BB-49F0-9442-D95AFBDD511D}"/>
    <cellStyle name="Comma 7 3 4 2 5" xfId="12959" xr:uid="{5180D069-CBE0-45E1-8260-5F68E66743AD}"/>
    <cellStyle name="Comma 7 3 4 2 5 2" xfId="46377" xr:uid="{0E823F0D-DD07-4142-971E-EDB2095F5EB4}"/>
    <cellStyle name="Comma 7 3 4 2 5 3" xfId="51306" xr:uid="{36F727D0-8E7F-40EF-8E88-8D8C2FEB726B}"/>
    <cellStyle name="Comma 7 3 4 2 5 4" xfId="54322" xr:uid="{58284FB6-89B7-468D-A11C-2D54640B7198}"/>
    <cellStyle name="Comma 7 3 4 2 5 5" xfId="22013" xr:uid="{8F5BA2E7-FD6A-4146-B68B-D72533A6D651}"/>
    <cellStyle name="Comma 7 3 4 2 6" xfId="46141" xr:uid="{81CF83F7-D828-4C3C-8722-6FE85C97E395}"/>
    <cellStyle name="Comma 7 3 4 2 7" xfId="50200" xr:uid="{C9152958-1778-4F37-82FD-59A40C915A09}"/>
    <cellStyle name="Comma 7 3 4 2 8" xfId="53216" xr:uid="{671F72FF-CC4B-4EC5-B125-1E854980A1A9}"/>
    <cellStyle name="Comma 7 3 4 2 9" xfId="18987" xr:uid="{0D2D6979-676B-4A47-B5D1-2058C5A54643}"/>
    <cellStyle name="Comma 7 3 4 3" xfId="14686" xr:uid="{A626D952-2F1B-44E9-A80D-42682FDBF2ED}"/>
    <cellStyle name="Comma 7 3 4 3 2" xfId="22233" xr:uid="{D557134D-93D6-4B80-A818-D5B4A1786F01}"/>
    <cellStyle name="Comma 7 3 4 3 3" xfId="47830" xr:uid="{F6154101-72DD-4605-8840-E417CCA040C2}"/>
    <cellStyle name="Comma 7 3 4 3 4" xfId="51571" xr:uid="{DEF75CEB-8640-4C6F-AFE9-E9EF397EDEC3}"/>
    <cellStyle name="Comma 7 3 4 3 5" xfId="54587" xr:uid="{5D465569-855C-4C80-9AEB-B8B9D13914EB}"/>
    <cellStyle name="Comma 7 3 4 3 6" xfId="19095" xr:uid="{ADECAB1E-1FA6-4E38-89AB-6DB84C74559F}"/>
    <cellStyle name="Comma 7 3 4 4" xfId="15171" xr:uid="{33FA8452-34B7-4A74-A36D-1EC56E093110}"/>
    <cellStyle name="Comma 7 3 4 4 2" xfId="22710" xr:uid="{BFEABAC6-1B0D-4033-8E6A-E9DF3C18928C}"/>
    <cellStyle name="Comma 7 3 4 4 3" xfId="46493" xr:uid="{3D600115-D6D6-4093-8C26-C82DE3281042}"/>
    <cellStyle name="Comma 7 3 4 4 4" xfId="52048" xr:uid="{64705E13-FFE6-45FD-BC6E-4F47235D6522}"/>
    <cellStyle name="Comma 7 3 4 4 5" xfId="55064" xr:uid="{B55FD0EF-A624-49AA-9C7A-B3FABAEAD96C}"/>
    <cellStyle name="Comma 7 3 4 4 6" xfId="19238" xr:uid="{0BA52BAC-0368-4270-AB28-3BED039AF32C}"/>
    <cellStyle name="Comma 7 3 4 5" xfId="15658" xr:uid="{14ED8010-B7C9-4E1B-8EBF-D9859B06656D}"/>
    <cellStyle name="Comma 7 3 4 5 2" xfId="23187" xr:uid="{7B659469-E232-47CF-89B4-84577D44B628}"/>
    <cellStyle name="Comma 7 3 4 5 3" xfId="47791" xr:uid="{91EFAC93-B268-4FB6-A71C-CC753D6523D6}"/>
    <cellStyle name="Comma 7 3 4 5 4" xfId="52525" xr:uid="{98DB3477-F79B-44CA-8FF3-A423C1E09458}"/>
    <cellStyle name="Comma 7 3 4 5 5" xfId="55541" xr:uid="{7526D2DA-E16A-47AD-9FE0-6FAC1C23553B}"/>
    <cellStyle name="Comma 7 3 4 5 6" xfId="19383" xr:uid="{5ECC17CD-5A09-47B9-90E1-3DDA4CF41048}"/>
    <cellStyle name="Comma 7 3 4 6" xfId="12646" xr:uid="{ED8E4ECF-FDD3-4A99-8FCC-C953944FF345}"/>
    <cellStyle name="Comma 7 3 4 6 2" xfId="46335" xr:uid="{B7BC556B-D2FF-40C4-8BE3-F39C9EE6B335}"/>
    <cellStyle name="Comma 7 3 4 6 3" xfId="51094" xr:uid="{AD0471CD-DBD2-484F-A281-CF48C972A7A2}"/>
    <cellStyle name="Comma 7 3 4 6 4" xfId="54110" xr:uid="{2F9BAD3C-02F0-4D2D-AC84-3CD1FDCB392E}"/>
    <cellStyle name="Comma 7 3 4 6 5" xfId="21953" xr:uid="{3917972D-23F9-4FCF-B9CB-1EADC4B732D8}"/>
    <cellStyle name="Comma 7 3 4 7" xfId="46064" xr:uid="{DA2761EF-6FEA-4FD4-BCA5-682DF893C63F}"/>
    <cellStyle name="Comma 7 3 4 8" xfId="49988" xr:uid="{E1A18308-380D-405B-BDE1-AB118D4D982D}"/>
    <cellStyle name="Comma 7 3 4 9" xfId="53004" xr:uid="{008312A4-8E37-4624-8E9C-946EDC90EAD4}"/>
    <cellStyle name="Comma 7 3 5" xfId="10272" xr:uid="{444052EB-248D-41C2-AB3B-04CACA8A9965}"/>
    <cellStyle name="Comma 7 3 5 2" xfId="14739" xr:uid="{3DFAF113-EC0C-4D4C-B3B6-B26EBC015568}"/>
    <cellStyle name="Comma 7 3 5 2 2" xfId="22286" xr:uid="{875D0535-5B01-4BB5-A179-A4F902693791}"/>
    <cellStyle name="Comma 7 3 5 2 3" xfId="46426" xr:uid="{80F40843-80C8-4EFA-A8AA-32EA90AFBA96}"/>
    <cellStyle name="Comma 7 3 5 2 4" xfId="51624" xr:uid="{70253789-E04C-4AF4-BB61-D224153BD790}"/>
    <cellStyle name="Comma 7 3 5 2 5" xfId="54640" xr:uid="{9AD2D4B0-FB05-4AD6-9B79-75308331C0BC}"/>
    <cellStyle name="Comma 7 3 5 2 6" xfId="19110" xr:uid="{3F4AADE9-B323-43E8-9ACB-B759FA4F9229}"/>
    <cellStyle name="Comma 7 3 5 3" xfId="15224" xr:uid="{049F1472-5269-4C3C-B370-5A4AF3116927}"/>
    <cellStyle name="Comma 7 3 5 3 2" xfId="22763" xr:uid="{B4A85126-3966-4A46-A0E2-1FD52485DB31}"/>
    <cellStyle name="Comma 7 3 5 3 3" xfId="48359" xr:uid="{EE7797AC-108E-489F-9C0C-3EDA33A69024}"/>
    <cellStyle name="Comma 7 3 5 3 4" xfId="52101" xr:uid="{322A9E4A-C43D-45EA-932B-2D035F232BC5}"/>
    <cellStyle name="Comma 7 3 5 3 5" xfId="55117" xr:uid="{C95AB598-E407-448E-A63A-65BA4BE864F4}"/>
    <cellStyle name="Comma 7 3 5 3 6" xfId="19253" xr:uid="{63DCE7D6-DE27-41B6-A521-8A32A49A8C6F}"/>
    <cellStyle name="Comma 7 3 5 4" xfId="15711" xr:uid="{E17CC8B9-AFF6-4DAF-AE5A-7F21424EF188}"/>
    <cellStyle name="Comma 7 3 5 4 2" xfId="23240" xr:uid="{9417309B-66DE-4CB9-B78F-4EA84C4DD28A}"/>
    <cellStyle name="Comma 7 3 5 4 3" xfId="46574" xr:uid="{22F9C5A4-B17B-4268-82D4-2AB2693E64A2}"/>
    <cellStyle name="Comma 7 3 5 4 4" xfId="52578" xr:uid="{AD1F8864-C7DB-4F55-9213-EB68FA838D57}"/>
    <cellStyle name="Comma 7 3 5 4 5" xfId="55594" xr:uid="{113393EA-21B2-4517-A4D9-E3640D4F1874}"/>
    <cellStyle name="Comma 7 3 5 4 6" xfId="19398" xr:uid="{B413F311-5DB7-4851-8F49-FCB597DAEE50}"/>
    <cellStyle name="Comma 7 3 5 5" xfId="12725" xr:uid="{3E9E78E6-D01F-4075-9B61-4B2E1460958D}"/>
    <cellStyle name="Comma 7 3 5 5 2" xfId="47399" xr:uid="{2025D20F-D6C7-42E5-9E79-C0DA756E6E7B}"/>
    <cellStyle name="Comma 7 3 5 5 3" xfId="51147" xr:uid="{AD0B8661-9798-4EF4-BE34-299CFC2E361C}"/>
    <cellStyle name="Comma 7 3 5 5 4" xfId="54163" xr:uid="{DC392E9B-7B71-45CC-AE42-4196EA03AD6F}"/>
    <cellStyle name="Comma 7 3 5 5 5" xfId="21968" xr:uid="{70AA4BE1-63BB-4EA6-8050-E1394FA6826B}"/>
    <cellStyle name="Comma 7 3 5 6" xfId="46079" xr:uid="{C3D6EC25-E98B-407C-92D9-5786567CE036}"/>
    <cellStyle name="Comma 7 3 5 7" xfId="50041" xr:uid="{64F589B8-B5C6-496F-A0B8-626A25126137}"/>
    <cellStyle name="Comma 7 3 5 8" xfId="53057" xr:uid="{1B290A4C-3E03-4979-AA34-CF43898082B1}"/>
    <cellStyle name="Comma 7 3 5 9" xfId="18867" xr:uid="{903968B2-4A12-450C-AED9-15FEB3727738}"/>
    <cellStyle name="Comma 7 3 6" xfId="10586" xr:uid="{405EC696-40AE-4C0B-805C-5B1A052F4FA0}"/>
    <cellStyle name="Comma 7 3 6 2" xfId="14951" xr:uid="{CDA1703F-2333-49DA-9162-50A043A4DB4B}"/>
    <cellStyle name="Comma 7 3 6 2 2" xfId="22498" xr:uid="{33B61EFE-F25A-4ADA-B2D7-DF3EF257F22D}"/>
    <cellStyle name="Comma 7 3 6 2 3" xfId="47338" xr:uid="{D2DEEA88-030B-4B00-AD14-BCFE8F631F11}"/>
    <cellStyle name="Comma 7 3 6 2 4" xfId="51836" xr:uid="{C0897DDC-525C-4E9F-B1C3-8608ADB779E2}"/>
    <cellStyle name="Comma 7 3 6 2 5" xfId="54852" xr:uid="{74FA5192-4E90-4595-BD80-8760AE396F95}"/>
    <cellStyle name="Comma 7 3 6 2 6" xfId="19170" xr:uid="{8A5F7151-533C-432F-B566-2D10EF8C31B1}"/>
    <cellStyle name="Comma 7 3 6 3" xfId="15436" xr:uid="{A0E250B7-7A89-4BD8-A892-E356A13E828B}"/>
    <cellStyle name="Comma 7 3 6 3 2" xfId="22975" xr:uid="{2DAA7ACE-F391-4E96-A8AB-4908BAF02302}"/>
    <cellStyle name="Comma 7 3 6 3 3" xfId="24171" xr:uid="{6D4300EF-E2DD-40BF-9EC2-835AD93EE0EF}"/>
    <cellStyle name="Comma 7 3 6 3 4" xfId="52313" xr:uid="{FA7896DD-2E3C-4018-8B60-6B4A6FDC1FFE}"/>
    <cellStyle name="Comma 7 3 6 3 5" xfId="55329" xr:uid="{B2E8F202-E537-4345-A2BD-AC182D4065F8}"/>
    <cellStyle name="Comma 7 3 6 3 6" xfId="19313" xr:uid="{76AF7329-972F-422A-800C-AF44301965EF}"/>
    <cellStyle name="Comma 7 3 6 4" xfId="15924" xr:uid="{37B523F7-40A6-4118-9A24-EE1BECB34C6D}"/>
    <cellStyle name="Comma 7 3 6 4 2" xfId="23452" xr:uid="{598CAFD9-1810-4F71-99C1-763463FC5C24}"/>
    <cellStyle name="Comma 7 3 6 4 3" xfId="24429" xr:uid="{1FFDBC31-385B-42BE-95B3-FAC7A8AB29C4}"/>
    <cellStyle name="Comma 7 3 6 4 4" xfId="52790" xr:uid="{D7D89351-1A1F-4141-A3EA-BAA93768517C}"/>
    <cellStyle name="Comma 7 3 6 4 5" xfId="55806" xr:uid="{69E2FADF-6D35-4FBE-96A4-03516E0C3DAD}"/>
    <cellStyle name="Comma 7 3 6 4 6" xfId="19459" xr:uid="{12D37B64-295D-4282-8027-313974CEB045}"/>
    <cellStyle name="Comma 7 3 6 5" xfId="13039" xr:uid="{A9515636-18CA-4009-AD9C-7AC43B1EAE6D}"/>
    <cellStyle name="Comma 7 3 6 5 2" xfId="47711" xr:uid="{B488E225-D76C-42D1-B6C3-2AB703097E36}"/>
    <cellStyle name="Comma 7 3 6 5 3" xfId="51359" xr:uid="{DF4E28EB-2CC5-4913-B006-A6D06F4622D6}"/>
    <cellStyle name="Comma 7 3 6 5 4" xfId="54375" xr:uid="{B54F4EEB-FFBF-450D-92A8-76A8F686B943}"/>
    <cellStyle name="Comma 7 3 6 5 5" xfId="22028" xr:uid="{95263EAF-E79E-4056-8377-31A37CBEE998}"/>
    <cellStyle name="Comma 7 3 6 6" xfId="24327" xr:uid="{06B72689-5C97-43BC-B634-A22D9DB9B5C2}"/>
    <cellStyle name="Comma 7 3 6 7" xfId="50253" xr:uid="{CE453338-3573-47A3-A2B0-90EEBE1BF3F6}"/>
    <cellStyle name="Comma 7 3 6 8" xfId="53269" xr:uid="{E9483B30-4951-4581-855F-217E4496FDA7}"/>
    <cellStyle name="Comma 7 3 6 9" xfId="19029" xr:uid="{74843F52-53FA-43FA-A266-550AFA1F62C7}"/>
    <cellStyle name="Comma 7 3 7" xfId="14527" xr:uid="{750F2E63-9CEF-4B2D-A81C-18DF6C9CB5E6}"/>
    <cellStyle name="Comma 7 3 7 2" xfId="22074" xr:uid="{1E8FB7CB-0444-40E4-AB18-0AC482C1B297}"/>
    <cellStyle name="Comma 7 3 7 3" xfId="46392" xr:uid="{530003A5-DF04-4FC3-80DF-2DB37B2069F3}"/>
    <cellStyle name="Comma 7 3 7 4" xfId="51412" xr:uid="{7630DF80-739F-46C3-8776-77F8A5D4EF20}"/>
    <cellStyle name="Comma 7 3 7 5" xfId="54428" xr:uid="{A8446917-0E3F-44CC-81DA-E916A6BA0C63}"/>
    <cellStyle name="Comma 7 3 7 6" xfId="19050" xr:uid="{9EAAB9FD-F672-469F-AE0B-C0A7E1E0DEBF}"/>
    <cellStyle name="Comma 7 3 8" xfId="15011" xr:uid="{155978DD-6871-4EBC-8728-34C6727774F0}"/>
    <cellStyle name="Comma 7 3 8 2" xfId="22551" xr:uid="{37430751-A2AA-41BA-B345-6F8A60EEC3E2}"/>
    <cellStyle name="Comma 7 3 8 3" xfId="47182" xr:uid="{154E1ECF-3454-4742-9102-15951BB977FB}"/>
    <cellStyle name="Comma 7 3 8 4" xfId="51889" xr:uid="{CA6DFB7E-5089-4D89-AE0B-4C82DDFF1202}"/>
    <cellStyle name="Comma 7 3 8 5" xfId="54905" xr:uid="{888DC96E-F683-4230-A846-847846FAE7B9}"/>
    <cellStyle name="Comma 7 3 8 6" xfId="19192" xr:uid="{AE8E5BBE-CC7F-4791-AD9D-8B88E5107CF2}"/>
    <cellStyle name="Comma 7 3 9" xfId="15498" xr:uid="{17AF0A9F-23AD-4777-91C3-5BC8B0659FFE}"/>
    <cellStyle name="Comma 7 3 9 2" xfId="23028" xr:uid="{323B1D77-0E8A-4CE4-9098-15C5FC7DC578}"/>
    <cellStyle name="Comma 7 3 9 3" xfId="47787" xr:uid="{91940990-89D7-4312-AA64-A1A49EBF6A73}"/>
    <cellStyle name="Comma 7 3 9 4" xfId="52366" xr:uid="{91D81068-C873-4A7C-8EDD-BFF001CCC2D7}"/>
    <cellStyle name="Comma 7 3 9 5" xfId="55382" xr:uid="{B5FCFF7A-5BB8-4D10-9FCC-BC2F33CC49B6}"/>
    <cellStyle name="Comma 7 3 9 6" xfId="19337" xr:uid="{ADEDA3F4-EDFB-4179-83ED-5023E43A75D5}"/>
    <cellStyle name="Comma 7 4" xfId="11663" xr:uid="{2730F853-E187-4795-9EFD-83D940C084D3}"/>
    <cellStyle name="Comma 7 4 2" xfId="23804" xr:uid="{E962FEDA-3957-40D8-BA1C-27D3CCC756D3}"/>
    <cellStyle name="Comma 7 4 3" xfId="48675" xr:uid="{D3FDB70B-C3CA-4C59-9841-AC56E2FEDC8D}"/>
    <cellStyle name="Comma 7 4 4" xfId="49583" xr:uid="{C5BB3E8A-0C44-412D-B5A6-B4CEEA3D46CD}"/>
    <cellStyle name="Comma 7 5" xfId="11579" xr:uid="{4B21A595-2106-46E5-AAA7-A1EA452E3665}"/>
    <cellStyle name="Comma 7 5 2" xfId="21703" xr:uid="{8A169108-7D7B-42E5-BA4E-40E30BDBADF2}"/>
    <cellStyle name="Comma 7 5 3" xfId="23805" xr:uid="{C597DF74-C931-4844-9AF3-070E2D9A82FD}"/>
    <cellStyle name="Comma 7 5 4" xfId="46280" xr:uid="{4DD58827-F79F-4B18-B89C-E10D8032C89D}"/>
    <cellStyle name="Comma 7 5 5" xfId="48676" xr:uid="{9996AFA6-BA48-40B9-BD76-90B18187D1E3}"/>
    <cellStyle name="Comma 7 5 6" xfId="49584" xr:uid="{EC743FF3-0008-4C92-B218-FEDD69809A9A}"/>
    <cellStyle name="Comma 7 5 7" xfId="50726" xr:uid="{97163EC0-3B0D-4D66-9A05-E3BE692070BB}"/>
    <cellStyle name="Comma 7 5 8" xfId="53742" xr:uid="{42B74358-A2FD-41D9-A351-3AB3C0DD1CFE}"/>
    <cellStyle name="Comma 7 5 9" xfId="18159" xr:uid="{A8BC11E3-38B7-40E3-9795-82E72AFAA1FB}"/>
    <cellStyle name="Comma 7 6" xfId="19496" xr:uid="{85F90779-45BD-40C5-BFC2-955841FE4F71}"/>
    <cellStyle name="Comma 7 7" xfId="23799" xr:uid="{3C49F4F9-9E47-4CF8-9494-274C3942F345}"/>
    <cellStyle name="Comma 7 8" xfId="15947" xr:uid="{BB5D0B64-6EAD-475D-A4FB-EE732809AB3C}"/>
    <cellStyle name="Comma 7 9" xfId="8180" xr:uid="{9E7C87B0-66AD-4C79-A04B-83DE02C97E28}"/>
    <cellStyle name="Comma 8" xfId="2632" xr:uid="{CA941864-E587-4009-9E67-7E6C77ABA12A}"/>
    <cellStyle name="Comma 8 10" xfId="11103" xr:uid="{F61900B1-7A1A-457A-94A7-39D580C1055A}"/>
    <cellStyle name="Comma 8 10 2" xfId="21673" xr:uid="{27167396-82A7-4D7C-9D42-D3969118A3C6}"/>
    <cellStyle name="Comma 8 10 3" xfId="46653" xr:uid="{E4F9BA82-26BB-4B08-8823-B1D2F7332D9D}"/>
    <cellStyle name="Comma 8 10 4" xfId="50688" xr:uid="{CE052616-A4C0-4B2B-92D8-F194FD263CE4}"/>
    <cellStyle name="Comma 8 10 5" xfId="53704" xr:uid="{EB81D338-3A85-4F4B-8CF1-9781A2042DDE}"/>
    <cellStyle name="Comma 8 10 6" xfId="18011" xr:uid="{E4A9FD09-253C-418D-B22A-C235ABE08C8F}"/>
    <cellStyle name="Comma 8 11" xfId="19497" xr:uid="{3F6DFBF3-92CE-4EA9-A4B4-2CA973868239}"/>
    <cellStyle name="Comma 8 12" xfId="23806" xr:uid="{F0519B5E-3697-4217-BBDC-4E7B331BE04A}"/>
    <cellStyle name="Comma 8 13" xfId="48252" xr:uid="{978C4A0B-4B1A-48E4-B658-1F7D3CB57357}"/>
    <cellStyle name="Comma 8 14" xfId="48677" xr:uid="{D2B0765C-32FD-4706-BE2C-6858AA302D75}"/>
    <cellStyle name="Comma 8 15" xfId="49585" xr:uid="{036DCB45-DA3B-496A-A49F-58EEC279E832}"/>
    <cellStyle name="Comma 8 16" xfId="49793" xr:uid="{AC864AD5-F0E4-4561-8E52-68D4CF047F90}"/>
    <cellStyle name="Comma 8 17" xfId="52808" xr:uid="{5EC63FF5-B33A-4312-8C0A-81A363F4F0C4}"/>
    <cellStyle name="Comma 8 18" xfId="15948" xr:uid="{6D9BE269-1CB5-411B-98BD-A5E104B71F54}"/>
    <cellStyle name="Comma 8 2" xfId="9876" xr:uid="{A0B055E7-D252-4D7C-955C-DCEF324591D9}"/>
    <cellStyle name="Comma 8 2 10" xfId="49586" xr:uid="{627311AC-B29F-449E-9910-69A59ED3FE00}"/>
    <cellStyle name="Comma 8 2 11" xfId="49846" xr:uid="{FEABB341-5D7A-4C0B-B8FB-B160F3CB9DE6}"/>
    <cellStyle name="Comma 8 2 12" xfId="52862" xr:uid="{0C27B7C4-3CCA-4814-BCA8-150CFA46B748}"/>
    <cellStyle name="Comma 8 2 13" xfId="18737" xr:uid="{AA4F1B00-796B-422C-B310-DFC1A2D9AF93}"/>
    <cellStyle name="Comma 8 2 2" xfId="10299" xr:uid="{93D7797A-9177-492C-B316-A0B218767E03}"/>
    <cellStyle name="Comma 8 2 2 2" xfId="14756" xr:uid="{F1E884C8-D4AB-4180-9792-FED71891A19A}"/>
    <cellStyle name="Comma 8 2 2 2 2" xfId="22303" xr:uid="{4ED1E0DE-B985-42EE-A061-4868BD8C6773}"/>
    <cellStyle name="Comma 8 2 2 2 3" xfId="46859" xr:uid="{A435E356-CEBA-498F-A5D0-7C5BC22959AB}"/>
    <cellStyle name="Comma 8 2 2 2 4" xfId="51641" xr:uid="{5748C147-EC2E-4BFD-82FC-2B8505A9FFAC}"/>
    <cellStyle name="Comma 8 2 2 2 5" xfId="54657" xr:uid="{EED06023-E439-4BB6-A8F6-D485FB36556D}"/>
    <cellStyle name="Comma 8 2 2 2 6" xfId="19115" xr:uid="{97F1BCB0-5A39-48F8-9B1E-4A2E42E75BC1}"/>
    <cellStyle name="Comma 8 2 2 3" xfId="15241" xr:uid="{68B5CBE7-4785-4B7A-8875-035FC3604F2B}"/>
    <cellStyle name="Comma 8 2 2 3 2" xfId="22780" xr:uid="{B9A51773-15C0-4A7C-96C7-79F7C383E0F1}"/>
    <cellStyle name="Comma 8 2 2 3 3" xfId="32504" xr:uid="{6C4B6E3A-4B16-454C-9431-CFB21920FD01}"/>
    <cellStyle name="Comma 8 2 2 3 4" xfId="52118" xr:uid="{F25F2E2B-A1E3-416B-A485-BB4EF94BEC7F}"/>
    <cellStyle name="Comma 8 2 2 3 5" xfId="55134" xr:uid="{F1FEB2A6-A3AF-4C3F-A882-0E269C3EF605}"/>
    <cellStyle name="Comma 8 2 2 3 6" xfId="19258" xr:uid="{D3104422-3AC6-438C-9885-D75AC27BD6A6}"/>
    <cellStyle name="Comma 8 2 2 4" xfId="15728" xr:uid="{08404703-2508-44CE-907B-D8B88693D33A}"/>
    <cellStyle name="Comma 8 2 2 4 2" xfId="23257" xr:uid="{68415199-B18D-4225-A76A-D96A53F6F283}"/>
    <cellStyle name="Comma 8 2 2 4 3" xfId="46958" xr:uid="{14DD86C6-EAED-4940-B0EA-94A77CC96B3E}"/>
    <cellStyle name="Comma 8 2 2 4 4" xfId="52595" xr:uid="{E47570AB-1AD3-4094-9C68-89CEF1A96D10}"/>
    <cellStyle name="Comma 8 2 2 4 5" xfId="55611" xr:uid="{9C7C6CD9-E5F9-4682-A74E-04E1475C1881}"/>
    <cellStyle name="Comma 8 2 2 4 6" xfId="19403" xr:uid="{EC72A659-DF99-4928-B58B-F2FBC11B15B6}"/>
    <cellStyle name="Comma 8 2 2 5" xfId="12752" xr:uid="{4FC2B933-C49A-4A68-847E-0400DE90EC25}"/>
    <cellStyle name="Comma 8 2 2 5 2" xfId="47470" xr:uid="{E896E4F9-EA16-4FBF-83B0-472F79841EF9}"/>
    <cellStyle name="Comma 8 2 2 5 3" xfId="51164" xr:uid="{A490B0D6-6736-4FDD-AD73-F7CE8FB3EC6B}"/>
    <cellStyle name="Comma 8 2 2 5 4" xfId="54180" xr:uid="{293333B2-6CA4-4BC3-A1ED-286B13FEA9F5}"/>
    <cellStyle name="Comma 8 2 2 5 5" xfId="21973" xr:uid="{ED725F02-1919-463D-A8B8-D8FA46DE58EA}"/>
    <cellStyle name="Comma 8 2 2 6" xfId="47446" xr:uid="{6E49124A-8A22-4294-B617-F0904446B726}"/>
    <cellStyle name="Comma 8 2 2 7" xfId="50058" xr:uid="{3D841D7A-5FC6-4F9A-A92E-E5A053208641}"/>
    <cellStyle name="Comma 8 2 2 8" xfId="53074" xr:uid="{C5698EAC-36CE-4CFA-95A6-4C8FB02DE802}"/>
    <cellStyle name="Comma 8 2 2 9" xfId="18882" xr:uid="{7B56AEA1-34A1-4F31-8367-F64901C38B1D}"/>
    <cellStyle name="Comma 8 2 3" xfId="14544" xr:uid="{63C92691-AB95-470D-8C38-086709F40049}"/>
    <cellStyle name="Comma 8 2 3 2" xfId="22091" xr:uid="{81CF48A3-77D3-4495-99FA-D2E2F8CA71E8}"/>
    <cellStyle name="Comma 8 2 3 3" xfId="47176" xr:uid="{D7F8F6D7-0D98-4C28-A0F9-A33FBEB52484}"/>
    <cellStyle name="Comma 8 2 3 4" xfId="51429" xr:uid="{E26AB7AC-C90F-413B-A782-AC942B3F829B}"/>
    <cellStyle name="Comma 8 2 3 5" xfId="54445" xr:uid="{5309804E-E663-4745-A8DB-110F76077731}"/>
    <cellStyle name="Comma 8 2 3 6" xfId="19055" xr:uid="{3A3C184F-2665-47DB-9FCD-25B1226D20E3}"/>
    <cellStyle name="Comma 8 2 4" xfId="15028" xr:uid="{6921632D-DFCB-4C7F-AF5C-36C4B7DD13CF}"/>
    <cellStyle name="Comma 8 2 4 2" xfId="22568" xr:uid="{BEBD2C4A-427E-45CA-91F7-645AFE7278FB}"/>
    <cellStyle name="Comma 8 2 4 3" xfId="24920" xr:uid="{71B01345-93F3-4CCE-9864-34F73B77C897}"/>
    <cellStyle name="Comma 8 2 4 4" xfId="51906" xr:uid="{1AAD507B-C353-43A6-B9AB-A281A5EBCC6A}"/>
    <cellStyle name="Comma 8 2 4 5" xfId="54922" xr:uid="{E3ABBFA9-FC06-418B-8D8C-94A2074A289F}"/>
    <cellStyle name="Comma 8 2 4 6" xfId="19197" xr:uid="{467BD41B-8609-4558-A240-6A21E62DC47D}"/>
    <cellStyle name="Comma 8 2 5" xfId="15515" xr:uid="{1DAC85C0-0D8D-4ABC-B694-27D0A3952A06}"/>
    <cellStyle name="Comma 8 2 5 2" xfId="23045" xr:uid="{685F0A1C-6F06-4FFB-A9D0-A208A67CB4AF}"/>
    <cellStyle name="Comma 8 2 5 3" xfId="46929" xr:uid="{952F4CAF-D686-4205-B237-101A6D44A1BC}"/>
    <cellStyle name="Comma 8 2 5 4" xfId="52383" xr:uid="{C89FF225-D855-4CA4-ABA6-ADB945469878}"/>
    <cellStyle name="Comma 8 2 5 5" xfId="55399" xr:uid="{50A6411E-AFAA-46B9-9400-40320A3B7744}"/>
    <cellStyle name="Comma 8 2 5 6" xfId="19342" xr:uid="{35F566F0-D3E6-45D3-831C-BB53A14CDF72}"/>
    <cellStyle name="Comma 8 2 6" xfId="12455" xr:uid="{110E987E-7246-4865-A364-3E3F4AD6DBF7}"/>
    <cellStyle name="Comma 8 2 6 2" xfId="46994" xr:uid="{9800CFEE-A2A1-4841-9AD3-3E2BCFC503C6}"/>
    <cellStyle name="Comma 8 2 6 3" xfId="50952" xr:uid="{6A1852B5-9A3E-46D0-8621-B79D2B53EC5E}"/>
    <cellStyle name="Comma 8 2 6 4" xfId="53968" xr:uid="{0490B171-357E-4CCB-948C-715816CAE041}"/>
    <cellStyle name="Comma 8 2 6 5" xfId="21911" xr:uid="{769663D1-6FC7-4CD0-BEBB-83E4E07B8927}"/>
    <cellStyle name="Comma 8 2 7" xfId="23807" xr:uid="{00DD756C-FE94-4A98-B8F2-C343B4E2AA20}"/>
    <cellStyle name="Comma 8 2 8" xfId="36083" xr:uid="{F7D388EB-33E7-4DB8-930F-C6681B1DED0A}"/>
    <cellStyle name="Comma 8 2 9" xfId="48678" xr:uid="{75C0257F-8D9E-4FA0-B62F-D65FB6A6D40E}"/>
    <cellStyle name="Comma 8 3" xfId="10065" xr:uid="{3BE5021D-542C-4F39-8B14-2584A92CCDD8}"/>
    <cellStyle name="Comma 8 3 10" xfId="18768" xr:uid="{A22770F8-0840-4DFC-A1F3-5ABDCB275D52}"/>
    <cellStyle name="Comma 8 3 2" xfId="10374" xr:uid="{E4410200-B868-4C90-B86B-05C985DA596F}"/>
    <cellStyle name="Comma 8 3 2 2" xfId="14809" xr:uid="{4DDAF9F4-895A-4459-A107-B3A8F24B3759}"/>
    <cellStyle name="Comma 8 3 2 2 2" xfId="22356" xr:uid="{1D3EB208-26C1-4CD7-BEC5-32F1FA652221}"/>
    <cellStyle name="Comma 8 3 2 2 3" xfId="32328" xr:uid="{F087E7C2-FC15-4E68-87CD-F183D1115C56}"/>
    <cellStyle name="Comma 8 3 2 2 4" xfId="51694" xr:uid="{C8CD3013-AA63-4001-988E-BDA0D38C6C9A}"/>
    <cellStyle name="Comma 8 3 2 2 5" xfId="54710" xr:uid="{75ABA7F8-C487-47FC-830D-3310B929BE26}"/>
    <cellStyle name="Comma 8 3 2 2 6" xfId="19130" xr:uid="{E03D31B6-7E45-43BB-8200-02E6C4B9CD79}"/>
    <cellStyle name="Comma 8 3 2 3" xfId="15294" xr:uid="{3D807D41-EA24-4DC3-A92C-DAE5D5358DB0}"/>
    <cellStyle name="Comma 8 3 2 3 2" xfId="22833" xr:uid="{CABB2500-2598-42CE-8ABE-1526AAA46E49}"/>
    <cellStyle name="Comma 8 3 2 3 3" xfId="47343" xr:uid="{F5C07042-8767-4A91-BBB7-9691657D1634}"/>
    <cellStyle name="Comma 8 3 2 3 4" xfId="52171" xr:uid="{321EB500-902A-4902-99DC-7169411740A9}"/>
    <cellStyle name="Comma 8 3 2 3 5" xfId="55187" xr:uid="{24977C76-4255-468A-AEDB-5199FF6D58D9}"/>
    <cellStyle name="Comma 8 3 2 3 6" xfId="19273" xr:uid="{4D8E70F1-60FC-463E-84FE-828E7E36BA51}"/>
    <cellStyle name="Comma 8 3 2 4" xfId="15781" xr:uid="{C4F01FF0-C60E-474D-B0DD-DA5795AA7696}"/>
    <cellStyle name="Comma 8 3 2 4 2" xfId="23310" xr:uid="{624E2006-E653-4878-8DB9-401EE94E7BFB}"/>
    <cellStyle name="Comma 8 3 2 4 3" xfId="47385" xr:uid="{5F69AD2C-6F0F-4B3C-AE69-3CD1ECED60F6}"/>
    <cellStyle name="Comma 8 3 2 4 4" xfId="52648" xr:uid="{F8714754-BF5F-413B-84C1-031F2D88ABC9}"/>
    <cellStyle name="Comma 8 3 2 4 5" xfId="55664" xr:uid="{06F45624-FEEF-411A-BB67-F31CA4AF9949}"/>
    <cellStyle name="Comma 8 3 2 4 6" xfId="19418" xr:uid="{18F27E42-3F49-4296-9F5C-DD346B213B72}"/>
    <cellStyle name="Comma 8 3 2 5" xfId="12827" xr:uid="{082FB0C0-8FC0-485E-80B9-2D48277E0FB9}"/>
    <cellStyle name="Comma 8 3 2 5 2" xfId="48342" xr:uid="{F1FE0B01-D99E-42C3-8AA3-219DB33D39E4}"/>
    <cellStyle name="Comma 8 3 2 5 3" xfId="51217" xr:uid="{FFD7E0E6-E8ED-4AA0-84A3-959409231F7E}"/>
    <cellStyle name="Comma 8 3 2 5 4" xfId="54233" xr:uid="{87169C70-CED2-4566-8A87-8C651C1A8265}"/>
    <cellStyle name="Comma 8 3 2 5 5" xfId="21988" xr:uid="{CE3BCFEB-4063-432A-8B41-74D9A7CD430A}"/>
    <cellStyle name="Comma 8 3 2 6" xfId="46104" xr:uid="{DEEF3169-35CD-45F9-981D-00B3269F2410}"/>
    <cellStyle name="Comma 8 3 2 7" xfId="50111" xr:uid="{0D26AD31-84B9-43DC-A25C-CAAB5DB605C6}"/>
    <cellStyle name="Comma 8 3 2 8" xfId="53127" xr:uid="{B0FB67F3-8437-49B5-9957-990F0AB5E2D7}"/>
    <cellStyle name="Comma 8 3 2 9" xfId="18919" xr:uid="{F7E73E22-1479-4EC1-B8B7-4D9C930E88EB}"/>
    <cellStyle name="Comma 8 3 3" xfId="14597" xr:uid="{26433D8F-03FD-46C4-A984-15E7E32CCC2E}"/>
    <cellStyle name="Comma 8 3 3 2" xfId="22144" xr:uid="{05851E48-1541-4DD6-B01F-7F669662C31E}"/>
    <cellStyle name="Comma 8 3 3 3" xfId="25308" xr:uid="{3C354481-35FE-48FB-B6FE-58015EEA4C77}"/>
    <cellStyle name="Comma 8 3 3 4" xfId="51482" xr:uid="{C56E230D-DCFC-4186-AB52-44DA5774E0E8}"/>
    <cellStyle name="Comma 8 3 3 5" xfId="54498" xr:uid="{2F5A1539-79CB-48E9-9763-8F9C27EAF00F}"/>
    <cellStyle name="Comma 8 3 3 6" xfId="19070" xr:uid="{2D399C1B-69F2-4DF4-B963-B3F4422041A3}"/>
    <cellStyle name="Comma 8 3 4" xfId="15082" xr:uid="{EBA5551E-E7B0-4156-9F22-204737A80AF7}"/>
    <cellStyle name="Comma 8 3 4 2" xfId="22621" xr:uid="{BC57471D-5E28-4A81-B1F5-30D09CB63E6A}"/>
    <cellStyle name="Comma 8 3 4 3" xfId="34010" xr:uid="{0A0E0723-C723-43DD-98DD-3079E85F6DD6}"/>
    <cellStyle name="Comma 8 3 4 4" xfId="51959" xr:uid="{C0D4D20E-11C8-4885-B7C6-C8C19E903F0D}"/>
    <cellStyle name="Comma 8 3 4 5" xfId="54975" xr:uid="{7D5690A1-711E-4FC3-B96B-A2CF266B801D}"/>
    <cellStyle name="Comma 8 3 4 6" xfId="19213" xr:uid="{445B7C03-6084-4793-96EE-AE51121E4494}"/>
    <cellStyle name="Comma 8 3 5" xfId="15569" xr:uid="{B3046262-16E8-4BD0-B213-BA5F415266B2}"/>
    <cellStyle name="Comma 8 3 5 2" xfId="23098" xr:uid="{CDA284BA-7A42-4BAA-A414-8D0B218D1932}"/>
    <cellStyle name="Comma 8 3 5 3" xfId="46553" xr:uid="{31802B3B-2D0E-4343-82A4-954498CD35DF}"/>
    <cellStyle name="Comma 8 3 5 4" xfId="52436" xr:uid="{1B8421F8-E0E9-4A72-BFE9-DC57F0D3B6E7}"/>
    <cellStyle name="Comma 8 3 5 5" xfId="55452" xr:uid="{C306CA31-1981-4661-8E15-7AA64B606A5A}"/>
    <cellStyle name="Comma 8 3 5 6" xfId="19358" xr:uid="{55BC4E94-824A-4CCF-A80D-04742FA83BFC}"/>
    <cellStyle name="Comma 8 3 6" xfId="12524" xr:uid="{5585E08D-DA3C-4278-B9E1-8CFCB519E38B}"/>
    <cellStyle name="Comma 8 3 6 2" xfId="47014" xr:uid="{1AFE0375-26E3-46BD-B87A-5E9AC16081C8}"/>
    <cellStyle name="Comma 8 3 6 3" xfId="51005" xr:uid="{A5E7B7C7-5A88-4044-8F93-610F6C92BD7F}"/>
    <cellStyle name="Comma 8 3 6 4" xfId="54021" xr:uid="{5A9B30C5-33A1-4429-8302-9D7842170540}"/>
    <cellStyle name="Comma 8 3 6 5" xfId="21928" xr:uid="{F6B1769C-D104-4B98-940E-34990CBA1AE4}"/>
    <cellStyle name="Comma 8 3 7" xfId="25382" xr:uid="{BBFB25A7-3C75-4877-835A-419A9B2B86D1}"/>
    <cellStyle name="Comma 8 3 8" xfId="49899" xr:uid="{F27618AF-556E-42F4-9430-BD8B1E72DBC2}"/>
    <cellStyle name="Comma 8 3 9" xfId="52915" xr:uid="{9F1E236A-A1BA-4811-A5ED-9D6734EF82FE}"/>
    <cellStyle name="Comma 8 4" xfId="10140" xr:uid="{52400443-9850-48A2-91F8-CDC49FDB082C}"/>
    <cellStyle name="Comma 8 4 10" xfId="18802" xr:uid="{C6512311-4AC7-43A8-9AEE-8804257C9DD6}"/>
    <cellStyle name="Comma 8 4 2" xfId="10454" xr:uid="{023ECBBD-0A67-4984-8B1B-99D2D1E2AC48}"/>
    <cellStyle name="Comma 8 4 2 2" xfId="14862" xr:uid="{4E58FAB1-48E1-4204-98D9-0D0B83823A57}"/>
    <cellStyle name="Comma 8 4 2 2 2" xfId="22409" xr:uid="{1D7D42F9-53DD-47F3-A8E0-6C6D1ADA3B91}"/>
    <cellStyle name="Comma 8 4 2 2 3" xfId="46871" xr:uid="{163DA368-3977-4B6B-B8AC-D3C253E9FBB4}"/>
    <cellStyle name="Comma 8 4 2 2 4" xfId="51747" xr:uid="{1D907ADC-441A-4B81-9944-BB1BF1CE2FAF}"/>
    <cellStyle name="Comma 8 4 2 2 5" xfId="54763" xr:uid="{38870117-17DC-4742-B1ED-F8CB4F04BE3C}"/>
    <cellStyle name="Comma 8 4 2 2 6" xfId="19145" xr:uid="{7BFF9432-9F39-41C3-B569-CCD1CA792AAF}"/>
    <cellStyle name="Comma 8 4 2 3" xfId="15347" xr:uid="{409037BB-D890-431F-B613-00C4E3721506}"/>
    <cellStyle name="Comma 8 4 2 3 2" xfId="22886" xr:uid="{BDD6AFAD-A0CD-46AB-ACD2-EB480F2FB89A}"/>
    <cellStyle name="Comma 8 4 2 3 3" xfId="47784" xr:uid="{16DB4B35-C738-4B2C-B424-AD30EC0D3701}"/>
    <cellStyle name="Comma 8 4 2 3 4" xfId="52224" xr:uid="{56F14442-4FCA-4922-9666-34F9D64F606D}"/>
    <cellStyle name="Comma 8 4 2 3 5" xfId="55240" xr:uid="{17E385BD-AECC-43DC-89AA-BB55544D56AB}"/>
    <cellStyle name="Comma 8 4 2 3 6" xfId="19288" xr:uid="{FEBAE823-090F-4EC9-8E85-A2D4A6E64B52}"/>
    <cellStyle name="Comma 8 4 2 4" xfId="15834" xr:uid="{FADA8FAB-E3E0-4740-9FCE-D58A41904C85}"/>
    <cellStyle name="Comma 8 4 2 4 2" xfId="23363" xr:uid="{B383901A-20C8-4663-9C87-D838F47925F1}"/>
    <cellStyle name="Comma 8 4 2 4 3" xfId="48231" xr:uid="{4D845664-2DF2-45F3-B2A4-B02EADDFDC33}"/>
    <cellStyle name="Comma 8 4 2 4 4" xfId="52701" xr:uid="{051083C9-1D40-48CF-B8A4-8822F7344E4C}"/>
    <cellStyle name="Comma 8 4 2 4 5" xfId="55717" xr:uid="{513D57F9-091E-47B2-A3D7-68025511FAC1}"/>
    <cellStyle name="Comma 8 4 2 4 6" xfId="19433" xr:uid="{A3EFDE3B-86D1-4614-BED5-C6C61762D0F7}"/>
    <cellStyle name="Comma 8 4 2 5" xfId="12907" xr:uid="{C54702D2-9823-46C1-82CD-304C620C33CE}"/>
    <cellStyle name="Comma 8 4 2 5 2" xfId="47326" xr:uid="{0E75689B-E249-4B53-A53E-589CAF9BC7AA}"/>
    <cellStyle name="Comma 8 4 2 5 3" xfId="51270" xr:uid="{C1EA4933-34B8-4279-A600-0DAE31807659}"/>
    <cellStyle name="Comma 8 4 2 5 4" xfId="54286" xr:uid="{898AECF7-67EF-4687-99C1-85A5D615EEFF}"/>
    <cellStyle name="Comma 8 4 2 5 5" xfId="22003" xr:uid="{AA7E1051-354D-4566-BFFD-E249D4800B83}"/>
    <cellStyle name="Comma 8 4 2 6" xfId="46124" xr:uid="{CFE1DD8E-D800-4CF8-ADF2-1BD576103489}"/>
    <cellStyle name="Comma 8 4 2 7" xfId="50164" xr:uid="{2802178B-6E8F-4874-9D45-7C01E6B96074}"/>
    <cellStyle name="Comma 8 4 2 8" xfId="53180" xr:uid="{729BE883-ADE9-4AE7-B8C6-CFBADF50722A}"/>
    <cellStyle name="Comma 8 4 2 9" xfId="18961" xr:uid="{1704B28C-5EF3-4055-8EAF-DF97887F9357}"/>
    <cellStyle name="Comma 8 4 3" xfId="14650" xr:uid="{E402A3E0-C3E1-46A4-9DC4-8529BEC5BAFC}"/>
    <cellStyle name="Comma 8 4 3 2" xfId="22197" xr:uid="{A61C2395-BA92-40FF-8F2D-D68EEBE1BEA2}"/>
    <cellStyle name="Comma 8 4 3 3" xfId="48322" xr:uid="{734A9B44-775F-4266-8192-3D0186198052}"/>
    <cellStyle name="Comma 8 4 3 4" xfId="51535" xr:uid="{DCAD1DB8-922F-4D23-805B-D606A19A4D14}"/>
    <cellStyle name="Comma 8 4 3 5" xfId="54551" xr:uid="{E3233B77-91A4-4934-ACCF-86CE8E9F1C80}"/>
    <cellStyle name="Comma 8 4 3 6" xfId="19085" xr:uid="{A761A14C-AE21-48D0-BC93-AA06C2A9581F}"/>
    <cellStyle name="Comma 8 4 4" xfId="15135" xr:uid="{376FB9D1-9CE8-4743-92FF-C743B48B5D96}"/>
    <cellStyle name="Comma 8 4 4 2" xfId="22674" xr:uid="{9EED9CA1-7F64-4184-8A57-A8296722E57A}"/>
    <cellStyle name="Comma 8 4 4 3" xfId="47992" xr:uid="{41F751C3-FAD9-475D-857B-F80B5AF5D46E}"/>
    <cellStyle name="Comma 8 4 4 4" xfId="52012" xr:uid="{3A62E311-BC7F-460A-920A-ABD1C7F56539}"/>
    <cellStyle name="Comma 8 4 4 5" xfId="55028" xr:uid="{4D7A8672-9D30-4D29-94F5-C90C3D4B35BD}"/>
    <cellStyle name="Comma 8 4 4 6" xfId="19228" xr:uid="{A22BF3FF-B230-4555-A72C-76731C457FEE}"/>
    <cellStyle name="Comma 8 4 5" xfId="15622" xr:uid="{915A2DC9-2B08-4F5E-AE92-98E490C225FE}"/>
    <cellStyle name="Comma 8 4 5 2" xfId="23151" xr:uid="{ADD936E3-EB76-495E-85C2-91E2AF9258CB}"/>
    <cellStyle name="Comma 8 4 5 3" xfId="24164" xr:uid="{1DE7924A-0D5E-4EC5-8F46-3E526DB8FD6E}"/>
    <cellStyle name="Comma 8 4 5 4" xfId="52489" xr:uid="{3411AF9E-B939-4588-9676-C0577284F750}"/>
    <cellStyle name="Comma 8 4 5 5" xfId="55505" xr:uid="{A793FFEC-FACA-42AA-BB18-41ECE16EF4C7}"/>
    <cellStyle name="Comma 8 4 5 6" xfId="19373" xr:uid="{174CF407-48CD-4648-A2AA-D48B5B1B81D5}"/>
    <cellStyle name="Comma 8 4 6" xfId="12596" xr:uid="{3B63A4CD-D799-4CBE-9065-EF24041FDFF9}"/>
    <cellStyle name="Comma 8 4 6 2" xfId="32366" xr:uid="{E12CD811-0A9C-4672-B8B9-6EE82ABE3D98}"/>
    <cellStyle name="Comma 8 4 6 3" xfId="51058" xr:uid="{CD211157-79C2-4DD7-B501-BE53A3A7B3CA}"/>
    <cellStyle name="Comma 8 4 6 4" xfId="54074" xr:uid="{90856758-2866-4F63-9B91-AE64F94B919A}"/>
    <cellStyle name="Comma 8 4 6 5" xfId="21943" xr:uid="{63C8C75E-DBD7-411C-823F-DC866562E654}"/>
    <cellStyle name="Comma 8 4 7" xfId="47279" xr:uid="{1FDB9475-AA54-47BB-B7EA-183C59A06287}"/>
    <cellStyle name="Comma 8 4 8" xfId="49952" xr:uid="{E525F9AC-6BA5-44CA-BBD3-285F3FE78F1C}"/>
    <cellStyle name="Comma 8 4 9" xfId="52968" xr:uid="{93618FF1-BEE4-43E2-991C-1EAA65ED9516}"/>
    <cellStyle name="Comma 8 5" xfId="10220" xr:uid="{71C3C589-83BE-4A69-891A-BB575887E26E}"/>
    <cellStyle name="Comma 8 5 2" xfId="14703" xr:uid="{36AD933D-9E66-463B-B111-DD04528BB833}"/>
    <cellStyle name="Comma 8 5 2 2" xfId="22250" xr:uid="{CE3DA3E9-2159-40B5-963F-1F4B1168F30B}"/>
    <cellStyle name="Comma 8 5 2 3" xfId="46420" xr:uid="{55AD0EB0-590F-4824-A55E-59ED6FB62D23}"/>
    <cellStyle name="Comma 8 5 2 4" xfId="51588" xr:uid="{476473F9-E131-46E0-AEBC-17E6FB8F3CD5}"/>
    <cellStyle name="Comma 8 5 2 5" xfId="54604" xr:uid="{B7AC04E7-A504-414C-9583-A320C6412A5B}"/>
    <cellStyle name="Comma 8 5 2 6" xfId="19100" xr:uid="{FC6A0EE9-867E-4DA6-8AE7-A7FBAF3D4267}"/>
    <cellStyle name="Comma 8 5 3" xfId="15188" xr:uid="{507FDBFC-401B-4533-ACF6-A1647B7DF887}"/>
    <cellStyle name="Comma 8 5 3 2" xfId="22727" xr:uid="{4BA105FB-F49E-4691-91A3-C9B4B81C13F9}"/>
    <cellStyle name="Comma 8 5 3 3" xfId="48538" xr:uid="{457F0073-EDBF-4797-84EC-9A6E9EA75DBB}"/>
    <cellStyle name="Comma 8 5 3 4" xfId="52065" xr:uid="{80B244B9-BC46-46CE-B34A-561D70FE31AB}"/>
    <cellStyle name="Comma 8 5 3 5" xfId="55081" xr:uid="{1696367B-9863-497C-835F-130E9F16CB4F}"/>
    <cellStyle name="Comma 8 5 3 6" xfId="19243" xr:uid="{F709762D-B3CE-400B-A650-D0995C6B215B}"/>
    <cellStyle name="Comma 8 5 4" xfId="15675" xr:uid="{747D998E-A446-4DEC-A258-2C6E4D9F9057}"/>
    <cellStyle name="Comma 8 5 4 2" xfId="23204" xr:uid="{30B6F0B5-3E68-458A-9671-BE0D15397B29}"/>
    <cellStyle name="Comma 8 5 4 3" xfId="46570" xr:uid="{2F465D93-6043-463C-BC64-A52EA935BA5D}"/>
    <cellStyle name="Comma 8 5 4 4" xfId="52542" xr:uid="{499374B1-D860-4993-9701-84BCE242A5EF}"/>
    <cellStyle name="Comma 8 5 4 5" xfId="55558" xr:uid="{29CC9044-1038-4C3A-BEA5-569DB2B5B43D}"/>
    <cellStyle name="Comma 8 5 4 6" xfId="19388" xr:uid="{AC410484-83ED-46C2-ABC4-326C035D13F7}"/>
    <cellStyle name="Comma 8 5 5" xfId="12673" xr:uid="{6B952A5D-EAF9-4800-A161-4EE249D48D42}"/>
    <cellStyle name="Comma 8 5 5 2" xfId="46340" xr:uid="{3AB97123-B713-4630-8ED3-4B7A604FB4CC}"/>
    <cellStyle name="Comma 8 5 5 3" xfId="51111" xr:uid="{4344C6FB-130A-4BDB-BBCD-6CDF590BAC81}"/>
    <cellStyle name="Comma 8 5 5 4" xfId="54127" xr:uid="{F2FE91B3-7B6C-4DF9-A525-10FDDBAB7DFE}"/>
    <cellStyle name="Comma 8 5 5 5" xfId="21958" xr:uid="{FC03F113-E711-4BE0-9689-8E1B76D7B425}"/>
    <cellStyle name="Comma 8 5 6" xfId="46067" xr:uid="{099A5151-DFC7-4F8A-B050-D5255678C315}"/>
    <cellStyle name="Comma 8 5 7" xfId="50005" xr:uid="{E252A3B8-77AF-4BFF-B8A2-F038DEE7CE82}"/>
    <cellStyle name="Comma 8 5 8" xfId="53021" xr:uid="{06564194-1190-4448-8BCE-F84EDCD1E312}"/>
    <cellStyle name="Comma 8 5 9" xfId="18841" xr:uid="{742F669C-9D1A-4AF9-AE37-0B1BFE029CC5}"/>
    <cellStyle name="Comma 8 6" xfId="10534" xr:uid="{DC813086-0899-498F-8B98-99CD775D137F}"/>
    <cellStyle name="Comma 8 6 2" xfId="14915" xr:uid="{F4176D5A-775C-46F8-B0CE-82160200A516}"/>
    <cellStyle name="Comma 8 6 2 2" xfId="22462" xr:uid="{AB0A488A-3D1A-4B5C-BCC9-1930705BA2DA}"/>
    <cellStyle name="Comma 8 6 2 3" xfId="46455" xr:uid="{042CD2DA-00C1-4170-BEE5-E678CF6A106A}"/>
    <cellStyle name="Comma 8 6 2 4" xfId="51800" xr:uid="{2BCFD39B-2157-416E-9D4D-C367A63D241D}"/>
    <cellStyle name="Comma 8 6 2 5" xfId="54816" xr:uid="{B7BEA063-7EF9-416A-A419-E2A823D72AC8}"/>
    <cellStyle name="Comma 8 6 2 6" xfId="19160" xr:uid="{6FFE4D4A-598B-41AC-84A6-374B95C5D36C}"/>
    <cellStyle name="Comma 8 6 3" xfId="15400" xr:uid="{ACD0C409-2732-4B86-B03B-3EAFB8733EEA}"/>
    <cellStyle name="Comma 8 6 3 2" xfId="22939" xr:uid="{4BDF829A-4638-48AA-BEE9-0039237B7C83}"/>
    <cellStyle name="Comma 8 6 3 3" xfId="47941" xr:uid="{334DCD7E-66B6-4631-A49A-FF01B15B38D9}"/>
    <cellStyle name="Comma 8 6 3 4" xfId="52277" xr:uid="{AFACEA37-E108-4E78-8F4D-7CC05DC541FC}"/>
    <cellStyle name="Comma 8 6 3 5" xfId="55293" xr:uid="{04012255-0960-40F5-B3A5-30DBB2EADAD0}"/>
    <cellStyle name="Comma 8 6 3 6" xfId="19303" xr:uid="{86FDD25E-ABF2-46F4-BC05-258296855E77}"/>
    <cellStyle name="Comma 8 6 4" xfId="15888" xr:uid="{D33F1D3C-E7DA-4810-8F4A-CB829EC71CD6}"/>
    <cellStyle name="Comma 8 6 4 2" xfId="23416" xr:uid="{BA1A66A2-8E25-4A77-956A-045BF5736CE9}"/>
    <cellStyle name="Comma 8 6 4 3" xfId="46978" xr:uid="{5961CDD8-FECC-4A98-AAC5-3B8EBBB0F1F6}"/>
    <cellStyle name="Comma 8 6 4 4" xfId="52754" xr:uid="{FF75E087-15FF-4DA7-87E0-282A4A33EA4E}"/>
    <cellStyle name="Comma 8 6 4 5" xfId="55770" xr:uid="{56314FBA-67DC-4EEC-BE1D-12CFC341FC60}"/>
    <cellStyle name="Comma 8 6 4 6" xfId="19449" xr:uid="{344523F7-203A-40C1-9820-45FD28D9CB93}"/>
    <cellStyle name="Comma 8 6 5" xfId="12987" xr:uid="{B350F8EE-B06F-42EA-B4D7-C305AD7141DF}"/>
    <cellStyle name="Comma 8 6 5 2" xfId="48274" xr:uid="{D2920ECD-3FBD-41B5-8B84-8B5F47C74C19}"/>
    <cellStyle name="Comma 8 6 5 3" xfId="51323" xr:uid="{676CD0F7-FC01-45D2-A2E0-22F1E45BAF6A}"/>
    <cellStyle name="Comma 8 6 5 4" xfId="54339" xr:uid="{3E07EF84-373F-4BBB-A247-023167AB1B94}"/>
    <cellStyle name="Comma 8 6 5 5" xfId="22018" xr:uid="{B72C7282-0551-4379-A15B-CF9DD9A1EFD7}"/>
    <cellStyle name="Comma 8 6 6" xfId="46145" xr:uid="{664C2A6D-273E-4E71-80D9-1731532DEBD3}"/>
    <cellStyle name="Comma 8 6 7" xfId="50217" xr:uid="{37B1821F-5263-48CF-BFAF-87D0C0C2EDD4}"/>
    <cellStyle name="Comma 8 6 8" xfId="53233" xr:uid="{78D776EE-445E-46D5-A356-099764764C04}"/>
    <cellStyle name="Comma 8 6 9" xfId="19003" xr:uid="{4AD5F62E-C48A-44C3-A3C5-558F18BF0E0D}"/>
    <cellStyle name="Comma 8 7" xfId="14491" xr:uid="{3D45938D-02E5-4919-8B36-5DCD93643B6A}"/>
    <cellStyle name="Comma 8 7 2" xfId="22038" xr:uid="{4B500A46-F9FA-433F-9BBA-13784736A6D4}"/>
    <cellStyle name="Comma 8 7 3" xfId="46997" xr:uid="{DD9C5EC3-EEDC-4651-8FD0-615CDE902808}"/>
    <cellStyle name="Comma 8 7 4" xfId="51376" xr:uid="{BC95BCB2-8119-4C97-A871-7F77C426F763}"/>
    <cellStyle name="Comma 8 7 5" xfId="54392" xr:uid="{ACCD1BD9-8E96-4706-B223-BFA72B89CF82}"/>
    <cellStyle name="Comma 8 7 6" xfId="19040" xr:uid="{216193F7-CE4A-439B-ADAF-D2C90FB47332}"/>
    <cellStyle name="Comma 8 8" xfId="14973" xr:uid="{AAE290E6-3FAD-4163-8A91-44E04448E5A1}"/>
    <cellStyle name="Comma 8 8 2" xfId="22515" xr:uid="{BE618030-DACD-4CE1-963B-066A8865F02A}"/>
    <cellStyle name="Comma 8 8 3" xfId="47541" xr:uid="{C0964C64-F48A-4797-BEA2-7A649A3E0EC6}"/>
    <cellStyle name="Comma 8 8 4" xfId="51853" xr:uid="{FC56CE94-800B-4211-9AF7-355FFEF0C7F4}"/>
    <cellStyle name="Comma 8 8 5" xfId="54869" xr:uid="{B7FA611A-02D0-4CE4-B864-E42FE8CD51D1}"/>
    <cellStyle name="Comma 8 8 6" xfId="19180" xr:uid="{873ACA17-44B1-4B8F-8AF4-AE0E95ED0D33}"/>
    <cellStyle name="Comma 8 9" xfId="15460" xr:uid="{48FB888E-D541-496F-99AD-5570D66AAA7F}"/>
    <cellStyle name="Comma 8 9 2" xfId="22992" xr:uid="{01870DAB-B451-45A2-BE07-2CE24820C9E2}"/>
    <cellStyle name="Comma 8 9 3" xfId="47455" xr:uid="{32B4FF69-8A72-4EE5-A0A6-8224B988596F}"/>
    <cellStyle name="Comma 8 9 4" xfId="52330" xr:uid="{C94A2435-FDA5-4071-81BF-D5FB79C4034D}"/>
    <cellStyle name="Comma 8 9 5" xfId="55346" xr:uid="{2BE22C74-64AC-48F3-AA72-4E376EDD4614}"/>
    <cellStyle name="Comma 8 9 6" xfId="19325" xr:uid="{F75F0D8C-A3B3-461C-A124-091FE4373A76}"/>
    <cellStyle name="Comma 9" xfId="12231" xr:uid="{191C6732-291E-408C-A127-2EDF80A5707D}"/>
    <cellStyle name="Comma 9 10" xfId="48679" xr:uid="{E8B645AA-5F31-4EA8-8CF8-E51BDB34DC20}"/>
    <cellStyle name="Comma 9 11" xfId="49587" xr:uid="{62C09281-7A3B-4451-B087-FA1DD9891981}"/>
    <cellStyle name="Comma 9 12" xfId="15949" xr:uid="{DC5919F1-FCA9-4279-89AC-B3ADEE2ABF17}"/>
    <cellStyle name="Comma 9 2" xfId="18623" xr:uid="{E82D6BA1-3B8F-46E1-99F0-D71369F25BAA}"/>
    <cellStyle name="Comma 9 2 2" xfId="23810" xr:uid="{D4596FE3-98A3-401B-8A20-E5F7D4A69BDB}"/>
    <cellStyle name="Comma 9 2 2 2" xfId="23811" xr:uid="{477D2967-4EDD-46E0-89F9-0952D3B18FFE}"/>
    <cellStyle name="Comma 9 2 2 2 2" xfId="48682" xr:uid="{A8D50B0E-5A5B-4FE6-9DB0-12157AAB36BE}"/>
    <cellStyle name="Comma 9 2 2 2 3" xfId="49590" xr:uid="{6B2B559D-20BF-4480-884A-7CEFB7A9007C}"/>
    <cellStyle name="Comma 9 2 2 3" xfId="48681" xr:uid="{D5219CF1-A289-430A-BEB5-C268FB597A71}"/>
    <cellStyle name="Comma 9 2 2 4" xfId="49589" xr:uid="{27088813-4FB4-450E-A0B9-E8E3A0630254}"/>
    <cellStyle name="Comma 9 2 3" xfId="23812" xr:uid="{27FE0A95-3D63-429F-992E-F3EE73A7A8F4}"/>
    <cellStyle name="Comma 9 2 3 2" xfId="23813" xr:uid="{E9106F25-6E16-4BC5-806A-F33E18542D00}"/>
    <cellStyle name="Comma 9 2 3 2 2" xfId="48684" xr:uid="{5F1D3E75-2C68-4A5D-9034-8CCF8554E09E}"/>
    <cellStyle name="Comma 9 2 3 2 3" xfId="49592" xr:uid="{3F10411B-F683-44CD-8909-E0E15D868F0B}"/>
    <cellStyle name="Comma 9 2 3 3" xfId="48683" xr:uid="{3DEF60E8-B379-44B8-9062-B052216BA731}"/>
    <cellStyle name="Comma 9 2 3 4" xfId="49591" xr:uid="{983B997A-E1B8-4B31-A9C3-A7F556D371C0}"/>
    <cellStyle name="Comma 9 2 4" xfId="23814" xr:uid="{A7EACD55-8805-403E-B1FE-449DB0D813F5}"/>
    <cellStyle name="Comma 9 2 4 2" xfId="48685" xr:uid="{6E0FD435-91C6-4237-8F59-61239CD7F2D4}"/>
    <cellStyle name="Comma 9 2 4 3" xfId="49593" xr:uid="{C50426A3-E5E2-4604-B146-1F07F1D0C22D}"/>
    <cellStyle name="Comma 9 2 5" xfId="23809" xr:uid="{3F7DE144-CCD7-497D-BD61-511147344703}"/>
    <cellStyle name="Comma 9 2 6" xfId="48680" xr:uid="{01FDAA3D-0AD1-425E-BC34-A3555F7ABFE7}"/>
    <cellStyle name="Comma 9 2 7" xfId="49588" xr:uid="{ECEACFC7-08B8-4963-975D-5A359F8EEED9}"/>
    <cellStyle name="Comma 9 3" xfId="19498" xr:uid="{9265027B-BDE1-49BB-B23A-A139429DA367}"/>
    <cellStyle name="Comma 9 3 2" xfId="23816" xr:uid="{6F32D601-A7AA-4066-9428-277BF4241D11}"/>
    <cellStyle name="Comma 9 3 2 2" xfId="48687" xr:uid="{182F8C38-0FE1-496A-9334-7186E86A126F}"/>
    <cellStyle name="Comma 9 3 2 3" xfId="49595" xr:uid="{0961E3E1-CDDA-4640-A4D4-58348E376C2F}"/>
    <cellStyle name="Comma 9 3 3" xfId="23815" xr:uid="{D337D3B3-EE3F-4EA1-8C4C-6D6C1EAA2FBE}"/>
    <cellStyle name="Comma 9 3 4" xfId="48686" xr:uid="{05FB58B2-32A7-4FE4-AE8E-3E6D86A406F5}"/>
    <cellStyle name="Comma 9 3 5" xfId="49594" xr:uid="{DDF47412-203F-4FF6-8D34-26EB8DDAE39B}"/>
    <cellStyle name="Comma 9 4" xfId="23817" xr:uid="{3925C2AD-839F-468D-B082-CE69DC37763E}"/>
    <cellStyle name="Comma 9 4 2" xfId="23818" xr:uid="{C41D3863-3D1C-4BA7-A46A-D4132F5531E5}"/>
    <cellStyle name="Comma 9 4 2 2" xfId="48689" xr:uid="{11D70145-C2F4-4C07-AFC1-9542858BFC82}"/>
    <cellStyle name="Comma 9 4 2 3" xfId="49597" xr:uid="{20FE2BF5-4E08-47C0-BBB7-A0CA528E0C87}"/>
    <cellStyle name="Comma 9 4 3" xfId="48688" xr:uid="{C0AF3D2B-E8FC-4C64-8A68-33D9D4395245}"/>
    <cellStyle name="Comma 9 4 4" xfId="49596" xr:uid="{CC33915C-5541-4D4A-B54C-E2C2C3BC7849}"/>
    <cellStyle name="Comma 9 5" xfId="23819" xr:uid="{72B21F1B-62AF-46F0-9021-38619B61AD06}"/>
    <cellStyle name="Comma 9 5 2" xfId="23820" xr:uid="{12DCE16B-2EE6-4FC0-A6B8-C5771F26DCD4}"/>
    <cellStyle name="Comma 9 5 2 2" xfId="48691" xr:uid="{39E2FC6D-D3F6-41CC-AE43-1BF224E67693}"/>
    <cellStyle name="Comma 9 5 2 3" xfId="49599" xr:uid="{3780480E-ABB3-4F09-9EF7-6BDD5664DC70}"/>
    <cellStyle name="Comma 9 5 3" xfId="48690" xr:uid="{44AEAF13-20B1-4EF3-A956-DBBECB66A74E}"/>
    <cellStyle name="Comma 9 5 4" xfId="49598" xr:uid="{DE4A3083-EBBC-49BF-84CD-5839B0AED769}"/>
    <cellStyle name="Comma 9 6" xfId="23821" xr:uid="{7FE59EF3-E3D2-4912-B7C4-7A25FBD82D2B}"/>
    <cellStyle name="Comma 9 6 2" xfId="48692" xr:uid="{A0097E1B-BAE8-49F7-B563-1B01BF14DE07}"/>
    <cellStyle name="Comma 9 6 3" xfId="49600" xr:uid="{74634EAE-D774-47C0-A968-BE5AD568B5EF}"/>
    <cellStyle name="Comma 9 7" xfId="23822" xr:uid="{6020BFC7-FA6A-479E-A4F8-6631C23FA854}"/>
    <cellStyle name="Comma 9 7 2" xfId="48693" xr:uid="{69B694D4-D057-42D9-8398-83F94B1FF598}"/>
    <cellStyle name="Comma 9 7 3" xfId="49601" xr:uid="{AF2F913A-6618-4569-88C9-EC72AE68D4DF}"/>
    <cellStyle name="Comma 9 8" xfId="23823" xr:uid="{516CA0E2-48CF-4862-AEE8-E950ADA6BA29}"/>
    <cellStyle name="Comma 9 8 2" xfId="32701" xr:uid="{FB836316-530A-44F9-8533-14F10C9FE981}"/>
    <cellStyle name="Comma 9 8 3" xfId="48694" xr:uid="{A629F561-819D-4E20-9B90-D8BCCDD45490}"/>
    <cellStyle name="Comma 9 8 4" xfId="49602" xr:uid="{3EF529CB-10F3-46A6-A90D-02DAE9E5A49C}"/>
    <cellStyle name="Comma 9 9" xfId="23808" xr:uid="{7FB30C84-A9D6-4047-8441-911E39C5BEA7}"/>
    <cellStyle name="Comma0" xfId="32263" xr:uid="{19F99CA8-8CCE-406B-8636-C3E514F185C5}"/>
    <cellStyle name="Comma0 - Type3" xfId="55" xr:uid="{00000000-0005-0000-0000-00005B000000}"/>
    <cellStyle name="Comma0 - Typografi1" xfId="32264" xr:uid="{4B045405-7C34-49C0-8A07-150231FA0BA8}"/>
    <cellStyle name="Comma0 - Typografi1 2" xfId="32265" xr:uid="{531AC95C-D3FF-44CB-9625-230491217C7E}"/>
    <cellStyle name="Comma0 - Typografi1 2 2" xfId="32266" xr:uid="{630935BA-1E30-4C9B-AC0A-76CDEB139CB5}"/>
    <cellStyle name="Comma0 - Typografi1 3" xfId="32267" xr:uid="{5FDA2D66-6C34-4427-B602-2DBB0D69FD2C}"/>
    <cellStyle name="Comma0 - Typografi1 4" xfId="32268" xr:uid="{2E1AB264-C9A4-417C-B41B-EEC8E89A777B}"/>
    <cellStyle name="Comma1 - Typografi1" xfId="32269" xr:uid="{F9D1E7F4-9E4F-465F-B437-D07210519202}"/>
    <cellStyle name="Constants" xfId="30233" xr:uid="{F0F961A8-89A9-4B4D-BDC8-6FBA60A3B298}"/>
    <cellStyle name="Currency0" xfId="32270" xr:uid="{CE452AD4-E5D9-4C57-B561-D18C292DF963}"/>
    <cellStyle name="CustomizationCells" xfId="56" xr:uid="{00000000-0005-0000-0000-00005C000000}"/>
    <cellStyle name="CustomizationCells 2" xfId="57" xr:uid="{00000000-0005-0000-0000-00005D000000}"/>
    <cellStyle name="CustomizationCells 2 2" xfId="17480" xr:uid="{E8700639-7ED7-4486-B26F-7BF447BAAFE3}"/>
    <cellStyle name="CustomizationCells 2 2 2" xfId="21244" xr:uid="{C962E7F3-AE09-479B-8642-8EAD84312A65}"/>
    <cellStyle name="CustomizationCells 2 3" xfId="17702" xr:uid="{C749AE0A-6FC3-4921-9B2E-3A4F930EA1A3}"/>
    <cellStyle name="CustomizationCells 2 3 2" xfId="35067" xr:uid="{E75185DE-DE41-4A66-9908-2B015AC82A36}"/>
    <cellStyle name="CustomizationCells 2 4" xfId="32703" xr:uid="{915E5650-600D-4195-949E-3C3B82EE7F56}"/>
    <cellStyle name="CustomizationCells 3" xfId="2633" xr:uid="{146D01EB-6F1B-4F18-8F69-CC4AF91F5D02}"/>
    <cellStyle name="CustomizationCells 3 2" xfId="17708" xr:uid="{DDC4A8AB-E393-4383-8DCC-91624502DD4F}"/>
    <cellStyle name="CustomizationCells 3 2 2" xfId="35068" xr:uid="{E64303B3-FFA5-4346-926A-8645B19EB83E}"/>
    <cellStyle name="CustomizationCells 3 3" xfId="32704" xr:uid="{D68C32D4-1E50-4BE1-95A8-6A59D7421A01}"/>
    <cellStyle name="CustomizationCells 4" xfId="8953" xr:uid="{15C16EAE-A2BD-4D04-99D3-6A11E0EA3C1C}"/>
    <cellStyle name="CustomizationCells 4 2" xfId="32619" xr:uid="{1C0EBD78-D768-4005-AF8A-5208EE9DAB1A}"/>
    <cellStyle name="CustomizationCells 4 2 2" xfId="35568" xr:uid="{4BA62B6F-AAB0-429D-B12B-61B32CF58FD1}"/>
    <cellStyle name="CustomizationCells 4 3" xfId="32705" xr:uid="{A4B4484D-4F98-47EC-8DF9-F6B142148D6C}"/>
    <cellStyle name="CustomizationCells 5" xfId="8954" xr:uid="{011FBF54-4632-4406-9CD7-FC09ADF61145}"/>
    <cellStyle name="CustomizationCells 5 2" xfId="32620" xr:uid="{398E82CA-9BDA-4C59-B0BF-6F308EA85E24}"/>
    <cellStyle name="CustomizationCells 5 2 2" xfId="35569" xr:uid="{8ED9CB0C-0AD6-4E7C-8C25-54445163CA49}"/>
    <cellStyle name="CustomizationCells 5 3" xfId="32706" xr:uid="{31FE5F15-C5CC-4BE4-830D-A664A9949791}"/>
    <cellStyle name="CustomizationCells 6" xfId="8955" xr:uid="{FD542DBE-47F8-41BC-B97B-5AE3104C1435}"/>
    <cellStyle name="CustomizationCells 6 2" xfId="32621" xr:uid="{CE10CFE0-871C-4589-9447-5096DA8B3500}"/>
    <cellStyle name="CustomizationCells 6 2 2" xfId="35570" xr:uid="{B79825D8-0A36-4F3F-811D-B965D1D8A5DB}"/>
    <cellStyle name="CustomizationCells 6 3" xfId="32707" xr:uid="{6912C1FC-9F3D-441F-8E8D-B17A0FC0CB8C}"/>
    <cellStyle name="CustomizationCells 7" xfId="32622" xr:uid="{23F6CA4E-B36B-4A0D-9F1A-8D4190869B82}"/>
    <cellStyle name="CustomizationCells 7 2" xfId="35571" xr:uid="{3FCADD36-E34F-4361-AA3D-EEEFC4426B84}"/>
    <cellStyle name="CustomizationCells 8" xfId="32702" xr:uid="{4A49FCBD-049D-4924-8B15-C2ADCCA0C150}"/>
    <cellStyle name="Date" xfId="32271" xr:uid="{41F48BA8-655D-4406-B953-D87B59B24B04}"/>
    <cellStyle name="Date - Typografi3" xfId="32272" xr:uid="{5D941885-C177-4AAB-9552-B4D2B72889D9}"/>
    <cellStyle name="DocBox_EmptyRow" xfId="30234" xr:uid="{EF6A2F0F-9ADD-49AA-A186-5AF99912625A}"/>
    <cellStyle name="Empty_B_border" xfId="30235" xr:uid="{BCA60B99-43F2-4210-8B8D-F5F22D13ABB3}"/>
    <cellStyle name="Euro" xfId="58" xr:uid="{00000000-0005-0000-0000-00005E000000}"/>
    <cellStyle name="Euro 10" xfId="59" xr:uid="{00000000-0005-0000-0000-00005F000000}"/>
    <cellStyle name="Euro 10 2" xfId="60" xr:uid="{00000000-0005-0000-0000-000060000000}"/>
    <cellStyle name="Euro 10 2 2" xfId="2634" xr:uid="{1EDEA218-6934-4CF5-A2E3-7C8FC104EB45}"/>
    <cellStyle name="Euro 10 2 2 2" xfId="13378" xr:uid="{CBD6504B-D4BC-4B5F-A836-34FAA5A86924}"/>
    <cellStyle name="Euro 10 2 3" xfId="13058" xr:uid="{291D0FE2-6FAF-435C-BE54-82B38A5E5E51}"/>
    <cellStyle name="Euro 10 3" xfId="61" xr:uid="{00000000-0005-0000-0000-000061000000}"/>
    <cellStyle name="Euro 10 3 2" xfId="62" xr:uid="{00000000-0005-0000-0000-000062000000}"/>
    <cellStyle name="Euro 10 3 2 2" xfId="1295" xr:uid="{00000000-0005-0000-0000-000063000000}"/>
    <cellStyle name="Euro 10 3 2 3" xfId="7720" xr:uid="{381505E0-497F-4A3D-9B42-BC26202A1630}"/>
    <cellStyle name="Euro 10 3 2 3 2" xfId="13840" xr:uid="{C77F51C1-A7BA-4562-AE7A-34BCFC877C76}"/>
    <cellStyle name="Euro 10 3 3" xfId="2635" xr:uid="{C828FBB5-3AD2-41BF-9ACD-064A6D11F400}"/>
    <cellStyle name="Euro 10 3 3 2" xfId="8956" xr:uid="{67FB978E-4124-4993-B861-FAFE7D0AD038}"/>
    <cellStyle name="Euro 10 3 4" xfId="2636" xr:uid="{E7B3121A-8F02-42CA-B0FE-2FF50EF7B100}"/>
    <cellStyle name="Euro 10 3 4 2" xfId="13372" xr:uid="{AD0E0AC7-302C-44DE-B50A-D09916C40854}"/>
    <cellStyle name="Euro 10 3 5" xfId="12157" xr:uid="{1A9B4E58-87CB-4CF7-B0BF-F46619B0F377}"/>
    <cellStyle name="Euro 10 4" xfId="1296" xr:uid="{00000000-0005-0000-0000-000064000000}"/>
    <cellStyle name="Euro 10 4 2" xfId="1297" xr:uid="{00000000-0005-0000-0000-000065000000}"/>
    <cellStyle name="Euro 10 4 2 2" xfId="8957" xr:uid="{5F7290A8-911A-4D0D-88DC-8F848EF1A741}"/>
    <cellStyle name="Euro 10 4 2 3" xfId="17745" xr:uid="{EB08DE78-3479-4ADE-88C2-D2E742CA48C6}"/>
    <cellStyle name="Euro 10 4 2 4" xfId="17476" xr:uid="{1076346C-A676-47C9-916E-3C5E0A3213AF}"/>
    <cellStyle name="Euro 10 4 3" xfId="8958" xr:uid="{53FF7FF5-1043-48C1-B74F-9A86DF0D4F91}"/>
    <cellStyle name="Euro 10 5" xfId="1298" xr:uid="{00000000-0005-0000-0000-000066000000}"/>
    <cellStyle name="Euro 10 6" xfId="2637" xr:uid="{DFDC68DE-66EF-4A3A-8273-D936E0F346FA}"/>
    <cellStyle name="Euro 10 6 2" xfId="9603" xr:uid="{A54670A6-47C9-425D-9302-E6B0F8848218}"/>
    <cellStyle name="Euro 11" xfId="63" xr:uid="{00000000-0005-0000-0000-000067000000}"/>
    <cellStyle name="Euro 11 2" xfId="64" xr:uid="{00000000-0005-0000-0000-000068000000}"/>
    <cellStyle name="Euro 11 2 2" xfId="2638" xr:uid="{331925C2-6CAE-4C5F-B6DC-A8C8721A51B7}"/>
    <cellStyle name="Euro 11 2 2 2" xfId="13379" xr:uid="{F122CD09-7982-4192-867D-F727A39B8472}"/>
    <cellStyle name="Euro 11 2 3" xfId="13059" xr:uid="{B7C53E86-E0E0-4659-AE84-59A2E9B5A51E}"/>
    <cellStyle name="Euro 11 3" xfId="65" xr:uid="{00000000-0005-0000-0000-000069000000}"/>
    <cellStyle name="Euro 11 3 2" xfId="66" xr:uid="{00000000-0005-0000-0000-00006A000000}"/>
    <cellStyle name="Euro 11 3 2 2" xfId="1299" xr:uid="{00000000-0005-0000-0000-00006B000000}"/>
    <cellStyle name="Euro 11 3 2 3" xfId="7721" xr:uid="{7F611391-1F7D-478B-9728-62496F847196}"/>
    <cellStyle name="Euro 11 3 2 3 2" xfId="13841" xr:uid="{7378873B-3CE4-4AF2-80F0-DDCAE7E995BB}"/>
    <cellStyle name="Euro 11 3 3" xfId="2639" xr:uid="{9F1C7BCA-893D-465D-B2F8-B8886B3AF40D}"/>
    <cellStyle name="Euro 11 3 3 2" xfId="8959" xr:uid="{563EAFB4-A044-4E2E-9539-709B120B9441}"/>
    <cellStyle name="Euro 11 3 4" xfId="2640" xr:uid="{220F82BE-8871-4B76-BA7E-09F0EC9348BF}"/>
    <cellStyle name="Euro 11 3 4 2" xfId="13370" xr:uid="{41ABF63B-7E4C-4FA5-A18E-7FDE8D599BB4}"/>
    <cellStyle name="Euro 11 3 5" xfId="11503" xr:uid="{1FD53367-DEC6-4268-A699-309B3BFDB7DD}"/>
    <cellStyle name="Euro 11 4" xfId="1300" xr:uid="{00000000-0005-0000-0000-00006C000000}"/>
    <cellStyle name="Euro 11 4 2" xfId="1301" xr:uid="{00000000-0005-0000-0000-00006D000000}"/>
    <cellStyle name="Euro 11 4 2 2" xfId="8960" xr:uid="{0713F582-80D1-4731-B0EE-283EB38CC3AD}"/>
    <cellStyle name="Euro 11 4 2 3" xfId="17746" xr:uid="{81795266-44C9-488F-8ACE-76CE33866FE8}"/>
    <cellStyle name="Euro 11 4 2 4" xfId="17475" xr:uid="{E04F53A3-9B42-4002-892D-3963CFDC0C8A}"/>
    <cellStyle name="Euro 11 4 3" xfId="8961" xr:uid="{C8F4566C-9FE7-47B9-A1B2-10447E5C2C99}"/>
    <cellStyle name="Euro 11 5" xfId="1302" xr:uid="{00000000-0005-0000-0000-00006E000000}"/>
    <cellStyle name="Euro 11 6" xfId="2641" xr:uid="{8D2FD16C-1E65-4DA3-928C-91F79A8EE1F1}"/>
    <cellStyle name="Euro 11 6 2" xfId="9604" xr:uid="{8B36E616-D5CA-4C8F-A5F7-531374CCDF6E}"/>
    <cellStyle name="Euro 12" xfId="67" xr:uid="{00000000-0005-0000-0000-00006F000000}"/>
    <cellStyle name="Euro 12 2" xfId="68" xr:uid="{00000000-0005-0000-0000-000070000000}"/>
    <cellStyle name="Euro 12 2 2" xfId="2642" xr:uid="{E1DB87D4-09AA-40E0-AF5D-B5EF2EC94131}"/>
    <cellStyle name="Euro 12 2 2 2" xfId="13380" xr:uid="{4AD26069-9FE2-4B2D-B016-4A142A549551}"/>
    <cellStyle name="Euro 12 2 3" xfId="13060" xr:uid="{8F4887B6-5C30-4D94-AAAC-FFDF2EA748A9}"/>
    <cellStyle name="Euro 12 3" xfId="69" xr:uid="{00000000-0005-0000-0000-000071000000}"/>
    <cellStyle name="Euro 12 3 2" xfId="70" xr:uid="{00000000-0005-0000-0000-000072000000}"/>
    <cellStyle name="Euro 12 3 2 2" xfId="1303" xr:uid="{00000000-0005-0000-0000-000073000000}"/>
    <cellStyle name="Euro 12 3 2 3" xfId="7722" xr:uid="{662D0E2B-6430-4C2C-A6C0-74A846B72B89}"/>
    <cellStyle name="Euro 12 3 2 3 2" xfId="13842" xr:uid="{CC04CA3B-3B91-4BD5-A14C-C97C7DB142F4}"/>
    <cellStyle name="Euro 12 3 3" xfId="2643" xr:uid="{8201B9F2-DA16-4705-A1B2-772E2805E52C}"/>
    <cellStyle name="Euro 12 3 3 2" xfId="8962" xr:uid="{67A8FBB4-A489-47C4-9A22-EF6B25EED43F}"/>
    <cellStyle name="Euro 12 3 4" xfId="2644" xr:uid="{BEBB773B-6963-4C25-9DF1-114B7DCAC88B}"/>
    <cellStyle name="Euro 12 3 4 2" xfId="13369" xr:uid="{9EB0184C-22BC-4590-9BAC-56AD74A5A98E}"/>
    <cellStyle name="Euro 12 3 5" xfId="12169" xr:uid="{E784C573-6118-4991-B5D2-C8A3270EB475}"/>
    <cellStyle name="Euro 12 4" xfId="1304" xr:uid="{00000000-0005-0000-0000-000074000000}"/>
    <cellStyle name="Euro 12 4 2" xfId="1305" xr:uid="{00000000-0005-0000-0000-000075000000}"/>
    <cellStyle name="Euro 12 4 2 2" xfId="8963" xr:uid="{6E0FA135-60CA-46E4-B36D-08BDBC45EDB0}"/>
    <cellStyle name="Euro 12 4 2 3" xfId="17747" xr:uid="{88693ABB-983F-446B-BFAF-E986D9A3714A}"/>
    <cellStyle name="Euro 12 4 2 4" xfId="17474" xr:uid="{F448DCBB-2D92-45DD-AD5C-DB8586D3F649}"/>
    <cellStyle name="Euro 12 4 3" xfId="8964" xr:uid="{F666E61D-7955-4435-B8DC-EEB88467E895}"/>
    <cellStyle name="Euro 12 5" xfId="1306" xr:uid="{00000000-0005-0000-0000-000076000000}"/>
    <cellStyle name="Euro 12 6" xfId="2645" xr:uid="{3473EA4D-3D37-4829-9E57-6152F0314504}"/>
    <cellStyle name="Euro 12 6 2" xfId="9605" xr:uid="{CF9876AB-1907-45FB-89BF-52D482D1445B}"/>
    <cellStyle name="Euro 13" xfId="71" xr:uid="{00000000-0005-0000-0000-000077000000}"/>
    <cellStyle name="Euro 13 2" xfId="72" xr:uid="{00000000-0005-0000-0000-000078000000}"/>
    <cellStyle name="Euro 13 2 2" xfId="2646" xr:uid="{680A9CAA-9020-4B94-AE95-89D403E71CEF}"/>
    <cellStyle name="Euro 13 2 2 2" xfId="13381" xr:uid="{8BC405D5-C020-4B60-A437-E0EA74A30E75}"/>
    <cellStyle name="Euro 13 2 3" xfId="13061" xr:uid="{34B1766E-8BCE-4F7D-8113-DCE09B755CEF}"/>
    <cellStyle name="Euro 13 3" xfId="73" xr:uid="{00000000-0005-0000-0000-000079000000}"/>
    <cellStyle name="Euro 13 3 2" xfId="74" xr:uid="{00000000-0005-0000-0000-00007A000000}"/>
    <cellStyle name="Euro 13 3 2 2" xfId="1307" xr:uid="{00000000-0005-0000-0000-00007B000000}"/>
    <cellStyle name="Euro 13 3 2 3" xfId="7723" xr:uid="{3F0B475B-4AD3-4305-B7C3-DC9915492A8B}"/>
    <cellStyle name="Euro 13 3 2 3 2" xfId="13843" xr:uid="{82F4AFA9-92BE-4504-88BC-17F8DF6C7417}"/>
    <cellStyle name="Euro 13 3 3" xfId="2647" xr:uid="{CC55402C-95D2-440D-8FE6-8172EDE9172F}"/>
    <cellStyle name="Euro 13 3 3 2" xfId="8965" xr:uid="{1509F91B-A769-497E-A2F0-558935BC282F}"/>
    <cellStyle name="Euro 13 3 4" xfId="2648" xr:uid="{73C0E437-9AB2-424A-9939-E6B2D5E3D54B}"/>
    <cellStyle name="Euro 13 3 4 2" xfId="13631" xr:uid="{396B5E79-116C-4FAC-B5AB-9C4FADADE325}"/>
    <cellStyle name="Euro 13 3 5" xfId="12425" xr:uid="{93071657-0CD6-4F84-88B9-3419C6824768}"/>
    <cellStyle name="Euro 13 4" xfId="1308" xr:uid="{00000000-0005-0000-0000-00007C000000}"/>
    <cellStyle name="Euro 13 4 2" xfId="1309" xr:uid="{00000000-0005-0000-0000-00007D000000}"/>
    <cellStyle name="Euro 13 4 2 2" xfId="8966" xr:uid="{B38437D7-F67B-4C39-B2DD-D2F3428F1348}"/>
    <cellStyle name="Euro 13 4 2 3" xfId="17748" xr:uid="{B754459F-ABC3-4116-B837-FC035E75964B}"/>
    <cellStyle name="Euro 13 4 2 4" xfId="17473" xr:uid="{797C66EA-21E6-4DA9-A0F5-03832E6415B1}"/>
    <cellStyle name="Euro 13 4 3" xfId="8967" xr:uid="{AD480366-C4D4-4D78-8B4B-46B1C7ED1E70}"/>
    <cellStyle name="Euro 13 5" xfId="1310" xr:uid="{00000000-0005-0000-0000-00007E000000}"/>
    <cellStyle name="Euro 13 6" xfId="2649" xr:uid="{D2518D39-A69F-4A55-9B00-B5EE0CD816B6}"/>
    <cellStyle name="Euro 13 6 2" xfId="9606" xr:uid="{EBBCD008-F274-48C8-9CD9-72922F056063}"/>
    <cellStyle name="Euro 14" xfId="75" xr:uid="{00000000-0005-0000-0000-00007F000000}"/>
    <cellStyle name="Euro 14 2" xfId="76" xr:uid="{00000000-0005-0000-0000-000080000000}"/>
    <cellStyle name="Euro 14 2 2" xfId="2650" xr:uid="{EE797687-1F32-42C6-8F11-E3ED55DE2706}"/>
    <cellStyle name="Euro 14 2 2 2" xfId="13382" xr:uid="{D1E83B99-B35B-46BC-A938-50E000D506BB}"/>
    <cellStyle name="Euro 14 2 3" xfId="13062" xr:uid="{CA2B2627-F050-45AE-9F01-B6C1DD2C5AD7}"/>
    <cellStyle name="Euro 14 3" xfId="77" xr:uid="{00000000-0005-0000-0000-000081000000}"/>
    <cellStyle name="Euro 14 3 2" xfId="78" xr:uid="{00000000-0005-0000-0000-000082000000}"/>
    <cellStyle name="Euro 14 3 2 2" xfId="1311" xr:uid="{00000000-0005-0000-0000-000083000000}"/>
    <cellStyle name="Euro 14 3 2 3" xfId="7724" xr:uid="{3776CF11-9490-4602-85AF-3A49F2C4B26A}"/>
    <cellStyle name="Euro 14 3 2 3 2" xfId="13844" xr:uid="{90406BCD-FF18-4ED3-9BA5-351BF54E5009}"/>
    <cellStyle name="Euro 14 3 3" xfId="2651" xr:uid="{05A7F513-95F6-47C1-938A-53BD109AC640}"/>
    <cellStyle name="Euro 14 3 3 2" xfId="8968" xr:uid="{58FF3C3A-172F-4F43-ABA7-F6B7A841ADAD}"/>
    <cellStyle name="Euro 14 3 4" xfId="2652" xr:uid="{A7DCC8A8-53B6-4611-9828-277C1CD2DA0C}"/>
    <cellStyle name="Euro 14 3 4 2" xfId="13632" xr:uid="{71C2A52B-E6B7-4F37-9FF2-7FED6F40A80D}"/>
    <cellStyle name="Euro 14 3 5" xfId="11502" xr:uid="{6C7D4066-8C56-45F7-914F-EA7928F887D3}"/>
    <cellStyle name="Euro 14 4" xfId="1312" xr:uid="{00000000-0005-0000-0000-000084000000}"/>
    <cellStyle name="Euro 14 4 2" xfId="1313" xr:uid="{00000000-0005-0000-0000-000085000000}"/>
    <cellStyle name="Euro 14 4 2 2" xfId="8969" xr:uid="{31DF38FB-EE5A-494E-847A-E54FE8931A61}"/>
    <cellStyle name="Euro 14 4 2 3" xfId="17749" xr:uid="{7E30DA46-0087-45E4-8056-A2CFE66F29C3}"/>
    <cellStyle name="Euro 14 4 2 4" xfId="17472" xr:uid="{DAC937FC-CC2B-4DEC-85EE-E19128DECCB1}"/>
    <cellStyle name="Euro 14 4 3" xfId="8970" xr:uid="{F393D52E-DAF0-478D-9EFA-113E7E15F833}"/>
    <cellStyle name="Euro 14 5" xfId="1314" xr:uid="{00000000-0005-0000-0000-000086000000}"/>
    <cellStyle name="Euro 14 6" xfId="2653" xr:uid="{9CCA283E-AB64-49A5-B3E7-5442BE444A2C}"/>
    <cellStyle name="Euro 14 6 2" xfId="9607" xr:uid="{162A14FE-FCD8-4383-9FB6-C14EC6B1CEEF}"/>
    <cellStyle name="Euro 15" xfId="79" xr:uid="{00000000-0005-0000-0000-000087000000}"/>
    <cellStyle name="Euro 15 2" xfId="80" xr:uid="{00000000-0005-0000-0000-000088000000}"/>
    <cellStyle name="Euro 15 2 2" xfId="2654" xr:uid="{5E5702C8-6CE0-4949-A91E-AF89A080D9FE}"/>
    <cellStyle name="Euro 15 2 2 2" xfId="13383" xr:uid="{F193E444-5DE4-483B-8AEA-936D66476529}"/>
    <cellStyle name="Euro 15 2 3" xfId="13063" xr:uid="{E26D53A5-3B8E-4546-8ABF-249985D5603C}"/>
    <cellStyle name="Euro 15 3" xfId="81" xr:uid="{00000000-0005-0000-0000-000089000000}"/>
    <cellStyle name="Euro 15 3 2" xfId="82" xr:uid="{00000000-0005-0000-0000-00008A000000}"/>
    <cellStyle name="Euro 15 3 2 2" xfId="1315" xr:uid="{00000000-0005-0000-0000-00008B000000}"/>
    <cellStyle name="Euro 15 3 2 3" xfId="7725" xr:uid="{7F1FEC3B-980A-4675-AD78-AC31381862F6}"/>
    <cellStyle name="Euro 15 3 2 3 2" xfId="13845" xr:uid="{200E2726-D5E7-46FD-B99E-2CEB76C2FCAB}"/>
    <cellStyle name="Euro 15 3 3" xfId="2655" xr:uid="{B83CC740-E139-42C0-8BA1-57FAE3C5229F}"/>
    <cellStyle name="Euro 15 3 3 2" xfId="8971" xr:uid="{16DB75B1-80AD-48BB-A71E-6A0D717332F9}"/>
    <cellStyle name="Euro 15 3 4" xfId="2656" xr:uid="{A0740F92-99B8-4233-A480-AD3345542EEE}"/>
    <cellStyle name="Euro 15 3 4 2" xfId="13633" xr:uid="{83BA2FD3-6086-4539-9527-A5972B18A437}"/>
    <cellStyle name="Euro 15 3 5" xfId="11541" xr:uid="{2520387D-CBC1-446F-BFC6-E3D2219848E3}"/>
    <cellStyle name="Euro 15 4" xfId="1316" xr:uid="{00000000-0005-0000-0000-00008C000000}"/>
    <cellStyle name="Euro 15 4 2" xfId="1317" xr:uid="{00000000-0005-0000-0000-00008D000000}"/>
    <cellStyle name="Euro 15 4 2 2" xfId="8972" xr:uid="{9A26239E-0357-4252-B3DA-55DADA112EFA}"/>
    <cellStyle name="Euro 15 4 2 3" xfId="17750" xr:uid="{3AEBFBA4-D983-4E53-9169-8502D52F7505}"/>
    <cellStyle name="Euro 15 4 2 4" xfId="17471" xr:uid="{6E015974-D8EE-4187-90E5-2265499BFE8E}"/>
    <cellStyle name="Euro 15 4 3" xfId="8973" xr:uid="{7F3A27BE-8CE7-4AD9-A3B5-AC441062BCC5}"/>
    <cellStyle name="Euro 15 5" xfId="1318" xr:uid="{00000000-0005-0000-0000-00008E000000}"/>
    <cellStyle name="Euro 15 6" xfId="2657" xr:uid="{5FDB20AF-A1BC-4AAA-B4F4-5567D2F2E219}"/>
    <cellStyle name="Euro 15 6 2" xfId="9608" xr:uid="{CD1B803E-1D32-47E6-87BD-AE8DF0965C3C}"/>
    <cellStyle name="Euro 16" xfId="83" xr:uid="{00000000-0005-0000-0000-00008F000000}"/>
    <cellStyle name="Euro 16 2" xfId="84" xr:uid="{00000000-0005-0000-0000-000090000000}"/>
    <cellStyle name="Euro 16 2 2" xfId="2658" xr:uid="{F49E82B6-DE35-4F24-85DC-B38CDE23003B}"/>
    <cellStyle name="Euro 16 2 2 2" xfId="13384" xr:uid="{E45D09E3-40E9-4C84-893F-E20FAFB0A148}"/>
    <cellStyle name="Euro 16 2 3" xfId="13064" xr:uid="{69BC91D7-6CA0-4173-8092-2A0EAE034A3C}"/>
    <cellStyle name="Euro 16 3" xfId="85" xr:uid="{00000000-0005-0000-0000-000091000000}"/>
    <cellStyle name="Euro 16 3 2" xfId="86" xr:uid="{00000000-0005-0000-0000-000092000000}"/>
    <cellStyle name="Euro 16 3 2 2" xfId="1319" xr:uid="{00000000-0005-0000-0000-000093000000}"/>
    <cellStyle name="Euro 16 3 2 3" xfId="7726" xr:uid="{2307D866-22A4-495E-9E0B-AA54729D2222}"/>
    <cellStyle name="Euro 16 3 2 3 2" xfId="13846" xr:uid="{236C6348-27C1-4F68-A5A7-7F6B0E024B95}"/>
    <cellStyle name="Euro 16 3 3" xfId="2659" xr:uid="{8A3C2048-4A6A-4D62-A337-77C0D3D9F33C}"/>
    <cellStyle name="Euro 16 3 3 2" xfId="8974" xr:uid="{83AD4C86-8983-40E3-AA1C-CEF990790D0F}"/>
    <cellStyle name="Euro 16 3 4" xfId="2660" xr:uid="{E873FE57-590D-4331-B576-ABD032879413}"/>
    <cellStyle name="Euro 16 3 4 2" xfId="13634" xr:uid="{18CE9A62-70C2-4642-86CB-1636042397BB}"/>
    <cellStyle name="Euro 16 3 5" xfId="11126" xr:uid="{C71D0D57-D657-4ED0-968F-59FF0FD0E75D}"/>
    <cellStyle name="Euro 16 4" xfId="1320" xr:uid="{00000000-0005-0000-0000-000094000000}"/>
    <cellStyle name="Euro 16 4 2" xfId="1321" xr:uid="{00000000-0005-0000-0000-000095000000}"/>
    <cellStyle name="Euro 16 4 2 2" xfId="8975" xr:uid="{43361E87-3425-4FD6-88F9-E2DD0691E788}"/>
    <cellStyle name="Euro 16 4 2 3" xfId="17751" xr:uid="{A1D6D2DD-DA65-4A69-AF65-5AD691C98B8F}"/>
    <cellStyle name="Euro 16 4 2 4" xfId="17470" xr:uid="{C29556FE-BBC2-451C-8A77-2804F707E88E}"/>
    <cellStyle name="Euro 16 4 3" xfId="8976" xr:uid="{CACA097E-2A90-497D-AF10-B811ED0D07CB}"/>
    <cellStyle name="Euro 16 5" xfId="1322" xr:uid="{00000000-0005-0000-0000-000096000000}"/>
    <cellStyle name="Euro 16 6" xfId="2661" xr:uid="{E1516FBE-F6C8-4946-BCA8-08FA79ADFE19}"/>
    <cellStyle name="Euro 16 6 2" xfId="9609" xr:uid="{DEB7A759-1494-4690-A16D-E1EC67CCF73D}"/>
    <cellStyle name="Euro 17" xfId="87" xr:uid="{00000000-0005-0000-0000-000097000000}"/>
    <cellStyle name="Euro 17 2" xfId="88" xr:uid="{00000000-0005-0000-0000-000098000000}"/>
    <cellStyle name="Euro 17 2 2" xfId="2662" xr:uid="{0A5D3732-C88C-4EDA-A018-4EA80FD69FC7}"/>
    <cellStyle name="Euro 17 2 2 2" xfId="13385" xr:uid="{306B8DE1-74DC-45DB-9415-84FE489D12AD}"/>
    <cellStyle name="Euro 17 2 3" xfId="13065" xr:uid="{76A757E3-B4EE-43F3-9F4C-9F6BA4F306B3}"/>
    <cellStyle name="Euro 17 3" xfId="89" xr:uid="{00000000-0005-0000-0000-000099000000}"/>
    <cellStyle name="Euro 17 3 2" xfId="90" xr:uid="{00000000-0005-0000-0000-00009A000000}"/>
    <cellStyle name="Euro 17 3 2 2" xfId="1323" xr:uid="{00000000-0005-0000-0000-00009B000000}"/>
    <cellStyle name="Euro 17 3 2 3" xfId="7727" xr:uid="{08986EFB-ADFB-4F4B-9C8B-8F1CA11A98CF}"/>
    <cellStyle name="Euro 17 3 2 3 2" xfId="13847" xr:uid="{CDBAA141-11A0-43FE-B456-5524BB01FDDC}"/>
    <cellStyle name="Euro 17 3 3" xfId="2663" xr:uid="{A8648A47-2CCF-4FCF-8309-74F052EAAF7A}"/>
    <cellStyle name="Euro 17 3 3 2" xfId="8977" xr:uid="{E5C0E140-E546-47E9-BB5D-1A2E76081806}"/>
    <cellStyle name="Euro 17 3 4" xfId="2664" xr:uid="{2B5F9414-3BAD-409A-B6A9-8142BA3C80DC}"/>
    <cellStyle name="Euro 17 3 4 2" xfId="13635" xr:uid="{23A07F43-DC65-4251-B81E-8EA770E56E07}"/>
    <cellStyle name="Euro 17 3 5" xfId="12232" xr:uid="{15961703-510E-4393-AD46-4EF01DB308C9}"/>
    <cellStyle name="Euro 17 4" xfId="1324" xr:uid="{00000000-0005-0000-0000-00009C000000}"/>
    <cellStyle name="Euro 17 4 2" xfId="1325" xr:uid="{00000000-0005-0000-0000-00009D000000}"/>
    <cellStyle name="Euro 17 4 2 2" xfId="8978" xr:uid="{78D5E8D3-F1BC-45BA-B8E4-0613869272A7}"/>
    <cellStyle name="Euro 17 4 2 3" xfId="17752" xr:uid="{FE0447C8-B3D7-4FD4-B8AB-8572457C699A}"/>
    <cellStyle name="Euro 17 4 2 4" xfId="17469" xr:uid="{7A378CBC-A1A1-4CF0-BA3A-0D8446FA16AC}"/>
    <cellStyle name="Euro 17 4 3" xfId="8979" xr:uid="{2BBE8F38-E9A3-40FE-B8BE-F6FE9DD4C7AA}"/>
    <cellStyle name="Euro 17 5" xfId="1326" xr:uid="{00000000-0005-0000-0000-00009E000000}"/>
    <cellStyle name="Euro 17 6" xfId="2665" xr:uid="{B0C92C5E-DD11-4102-8032-ADE2BA48EF4B}"/>
    <cellStyle name="Euro 17 6 2" xfId="9610" xr:uid="{775B13BD-EF34-4028-B8F1-9F9CC8D0AA04}"/>
    <cellStyle name="Euro 18" xfId="91" xr:uid="{00000000-0005-0000-0000-00009F000000}"/>
    <cellStyle name="Euro 18 2" xfId="92" xr:uid="{00000000-0005-0000-0000-0000A0000000}"/>
    <cellStyle name="Euro 18 2 2" xfId="2666" xr:uid="{170EC77F-3FBB-4CED-A07E-2FD3B613E388}"/>
    <cellStyle name="Euro 18 2 2 2" xfId="13386" xr:uid="{9C4EF99A-DC8A-4687-8C62-A6DFB76D021B}"/>
    <cellStyle name="Euro 18 2 3" xfId="13066" xr:uid="{E28D4C6E-8294-4236-968A-90149D0E70CD}"/>
    <cellStyle name="Euro 18 3" xfId="93" xr:uid="{00000000-0005-0000-0000-0000A1000000}"/>
    <cellStyle name="Euro 18 3 2" xfId="94" xr:uid="{00000000-0005-0000-0000-0000A2000000}"/>
    <cellStyle name="Euro 18 3 2 2" xfId="1327" xr:uid="{00000000-0005-0000-0000-0000A3000000}"/>
    <cellStyle name="Euro 18 3 2 3" xfId="7728" xr:uid="{F166163C-4332-44ED-8F2F-8D4E5D05FD13}"/>
    <cellStyle name="Euro 18 3 2 3 2" xfId="13848" xr:uid="{50252487-5FCA-4B82-8FD9-CCE855CAC6B7}"/>
    <cellStyle name="Euro 18 3 3" xfId="2667" xr:uid="{291A26A0-E010-4D40-AACF-128993C94151}"/>
    <cellStyle name="Euro 18 3 3 2" xfId="8980" xr:uid="{547EA8C8-F099-46B7-83B4-59B826325790}"/>
    <cellStyle name="Euro 18 3 4" xfId="2668" xr:uid="{F6314749-1347-4A19-BAEC-00EADEAA6F4B}"/>
    <cellStyle name="Euro 18 3 4 2" xfId="13636" xr:uid="{E7478272-0883-4A8E-BE86-1F8F7D25EE05}"/>
    <cellStyle name="Euro 18 3 5" xfId="12272" xr:uid="{ECC32074-CD53-45A0-81A8-CB3A751BA570}"/>
    <cellStyle name="Euro 18 4" xfId="1328" xr:uid="{00000000-0005-0000-0000-0000A4000000}"/>
    <cellStyle name="Euro 18 4 2" xfId="1329" xr:uid="{00000000-0005-0000-0000-0000A5000000}"/>
    <cellStyle name="Euro 18 4 2 2" xfId="8981" xr:uid="{2505784C-6EEB-48C4-A5CB-8679E782D5CE}"/>
    <cellStyle name="Euro 18 4 2 3" xfId="17753" xr:uid="{C61B4DD3-4BF4-42E4-B230-635B309654CE}"/>
    <cellStyle name="Euro 18 4 2 4" xfId="17467" xr:uid="{10FEE159-9A04-43B3-AADA-6DA5D95CDFF3}"/>
    <cellStyle name="Euro 18 4 3" xfId="8982" xr:uid="{9C56152F-5C95-4878-A2F8-5C43EB5AC8AF}"/>
    <cellStyle name="Euro 18 5" xfId="1330" xr:uid="{00000000-0005-0000-0000-0000A6000000}"/>
    <cellStyle name="Euro 18 6" xfId="2669" xr:uid="{E4A462D4-8C57-4E28-8EB6-79E01CBC064F}"/>
    <cellStyle name="Euro 18 6 2" xfId="9611" xr:uid="{B8BFDBD3-CEA9-4E02-817E-206E15279F3B}"/>
    <cellStyle name="Euro 19" xfId="95" xr:uid="{00000000-0005-0000-0000-0000A7000000}"/>
    <cellStyle name="Euro 19 2" xfId="96" xr:uid="{00000000-0005-0000-0000-0000A8000000}"/>
    <cellStyle name="Euro 19 2 2" xfId="2670" xr:uid="{90E03497-86E7-499C-8618-AE9BB6581498}"/>
    <cellStyle name="Euro 19 2 2 2" xfId="13387" xr:uid="{CA1956BD-4E85-4A76-8739-65BBBB1BF1F1}"/>
    <cellStyle name="Euro 19 2 3" xfId="13067" xr:uid="{EEFC9FCB-F3E3-4A70-869C-3C73F0E4B661}"/>
    <cellStyle name="Euro 19 3" xfId="97" xr:uid="{00000000-0005-0000-0000-0000A9000000}"/>
    <cellStyle name="Euro 19 3 2" xfId="98" xr:uid="{00000000-0005-0000-0000-0000AA000000}"/>
    <cellStyle name="Euro 19 3 2 2" xfId="1331" xr:uid="{00000000-0005-0000-0000-0000AB000000}"/>
    <cellStyle name="Euro 19 3 2 3" xfId="7729" xr:uid="{9D3C6A87-E1C0-4BAB-8567-690418C691AE}"/>
    <cellStyle name="Euro 19 3 2 3 2" xfId="13849" xr:uid="{0FA8119F-D38D-41D3-BFDA-4EDA5EB5F413}"/>
    <cellStyle name="Euro 19 3 3" xfId="2671" xr:uid="{7F3427F6-1472-46E9-94A9-635F8F6F7CA8}"/>
    <cellStyle name="Euro 19 3 3 2" xfId="8983" xr:uid="{07EE67F9-1E79-432A-A4DF-3CE742AADCCA}"/>
    <cellStyle name="Euro 19 3 4" xfId="2672" xr:uid="{F7B1939E-0A03-40E8-954B-33BD11B02C9A}"/>
    <cellStyle name="Euro 19 3 4 2" xfId="13637" xr:uid="{07F00BD2-6493-416C-8051-2B38054820A5}"/>
    <cellStyle name="Euro 19 3 5" xfId="12233" xr:uid="{4F0434CD-2868-4F45-AB35-CFF3522D3B8B}"/>
    <cellStyle name="Euro 19 4" xfId="1332" xr:uid="{00000000-0005-0000-0000-0000AC000000}"/>
    <cellStyle name="Euro 19 4 2" xfId="1333" xr:uid="{00000000-0005-0000-0000-0000AD000000}"/>
    <cellStyle name="Euro 19 4 2 2" xfId="8984" xr:uid="{8FF8B24D-EBE8-4C88-9659-397E779C0E61}"/>
    <cellStyle name="Euro 19 4 2 3" xfId="17754" xr:uid="{C7F193D7-CD80-4A3E-AE0E-F9618E150B59}"/>
    <cellStyle name="Euro 19 4 2 4" xfId="17466" xr:uid="{117F0345-34AD-49D4-BC84-853355558400}"/>
    <cellStyle name="Euro 19 4 3" xfId="8985" xr:uid="{4B9DB130-6D35-4A05-A576-C1CFE9DF71DA}"/>
    <cellStyle name="Euro 19 5" xfId="1334" xr:uid="{00000000-0005-0000-0000-0000AE000000}"/>
    <cellStyle name="Euro 19 6" xfId="2673" xr:uid="{39E6090D-7D34-436A-A546-E8DE96CE574A}"/>
    <cellStyle name="Euro 19 6 2" xfId="9612" xr:uid="{A9E75766-3143-429B-B3B2-7E1768FEC0FC}"/>
    <cellStyle name="Euro 2" xfId="99" xr:uid="{00000000-0005-0000-0000-0000AF000000}"/>
    <cellStyle name="Euro 2 2" xfId="100" xr:uid="{00000000-0005-0000-0000-0000B0000000}"/>
    <cellStyle name="Euro 2 2 2" xfId="2674" xr:uid="{0E18AF62-9E79-42C6-8CC9-6470CB952FDC}"/>
    <cellStyle name="Euro 2 2 2 2" xfId="13388" xr:uid="{60F26FDC-F9FD-4AE9-AAB6-B178A4411759}"/>
    <cellStyle name="Euro 2 2 3" xfId="13068" xr:uid="{E8609C30-2590-4F79-9A57-CBD1B535C473}"/>
    <cellStyle name="Euro 2 3" xfId="101" xr:uid="{00000000-0005-0000-0000-0000B1000000}"/>
    <cellStyle name="Euro 2 3 2" xfId="102" xr:uid="{00000000-0005-0000-0000-0000B2000000}"/>
    <cellStyle name="Euro 2 3 2 2" xfId="1335" xr:uid="{00000000-0005-0000-0000-0000B3000000}"/>
    <cellStyle name="Euro 2 3 2 3" xfId="7730" xr:uid="{667AEDEE-E632-49DD-85A7-C83AA0B9DBA3}"/>
    <cellStyle name="Euro 2 3 2 3 2" xfId="13850" xr:uid="{B63957B8-B4F3-4BB1-8FF2-C8A509C88D9F}"/>
    <cellStyle name="Euro 2 3 3" xfId="2675" xr:uid="{87448957-AA65-4C29-B29B-6D4156D7EE85}"/>
    <cellStyle name="Euro 2 3 3 2" xfId="8986" xr:uid="{426BF751-9C0C-4DB9-8C43-5C73A55DF4F5}"/>
    <cellStyle name="Euro 2 3 4" xfId="2676" xr:uid="{BA144953-A22B-4C5E-9E99-CC3E8AD8551C}"/>
    <cellStyle name="Euro 2 3 4 2" xfId="13638" xr:uid="{78A765A7-6511-4915-92DF-57DE1FFBB432}"/>
    <cellStyle name="Euro 2 3 5" xfId="12271" xr:uid="{42CF0AA2-A7DE-442C-8D8A-8667493D28E3}"/>
    <cellStyle name="Euro 2 4" xfId="1336" xr:uid="{00000000-0005-0000-0000-0000B4000000}"/>
    <cellStyle name="Euro 2 4 2" xfId="1337" xr:uid="{00000000-0005-0000-0000-0000B5000000}"/>
    <cellStyle name="Euro 2 4 2 2" xfId="8987" xr:uid="{0A314D0B-28B1-4901-AFDC-403746EECD41}"/>
    <cellStyle name="Euro 2 4 2 3" xfId="17755" xr:uid="{5F07F70D-F834-4482-838F-67B267BAC456}"/>
    <cellStyle name="Euro 2 4 2 4" xfId="17465" xr:uid="{614029A6-5A18-4D67-BD76-D431EA6B4D27}"/>
    <cellStyle name="Euro 2 4 3" xfId="8988" xr:uid="{E0035C38-305E-49FE-B9FA-35ACFB417070}"/>
    <cellStyle name="Euro 2 5" xfId="1338" xr:uid="{00000000-0005-0000-0000-0000B6000000}"/>
    <cellStyle name="Euro 2 6" xfId="2677" xr:uid="{7F215AB3-C351-4CE4-B8CC-C1B0D27FD038}"/>
    <cellStyle name="Euro 2 6 2" xfId="9613" xr:uid="{CE6239AA-A5B8-44E6-A188-C65CF8AA6978}"/>
    <cellStyle name="Euro 20" xfId="103" xr:uid="{00000000-0005-0000-0000-0000B7000000}"/>
    <cellStyle name="Euro 20 2" xfId="104" xr:uid="{00000000-0005-0000-0000-0000B8000000}"/>
    <cellStyle name="Euro 20 2 2" xfId="2678" xr:uid="{FBA05471-7C11-4AC9-80EE-84F0B5EF0054}"/>
    <cellStyle name="Euro 20 2 2 2" xfId="13389" xr:uid="{52288046-0EEC-4F2E-BB56-80747569798E}"/>
    <cellStyle name="Euro 20 2 3" xfId="13069" xr:uid="{27370BBC-35E3-458E-9EA0-1BCD24B278C8}"/>
    <cellStyle name="Euro 20 3" xfId="105" xr:uid="{00000000-0005-0000-0000-0000B9000000}"/>
    <cellStyle name="Euro 20 3 2" xfId="106" xr:uid="{00000000-0005-0000-0000-0000BA000000}"/>
    <cellStyle name="Euro 20 3 2 2" xfId="1339" xr:uid="{00000000-0005-0000-0000-0000BB000000}"/>
    <cellStyle name="Euro 20 3 2 3" xfId="7731" xr:uid="{721626D3-E044-43B7-8587-047AC6BA2E8A}"/>
    <cellStyle name="Euro 20 3 2 3 2" xfId="13851" xr:uid="{0C2C3471-CC39-4799-A2E4-4976CB507936}"/>
    <cellStyle name="Euro 20 3 3" xfId="2679" xr:uid="{CF3097BD-D466-4F64-9A16-E78FCE6E0F1F}"/>
    <cellStyle name="Euro 20 3 3 2" xfId="8989" xr:uid="{39FC48D5-7DED-4895-8C08-49D0B960FA6C}"/>
    <cellStyle name="Euro 20 3 4" xfId="2680" xr:uid="{7F88354C-CFF2-4BA3-96EB-54AA16EFE55A}"/>
    <cellStyle name="Euro 20 3 4 2" xfId="13639" xr:uid="{35624CE8-7727-4253-BDB1-9778C2749A8A}"/>
    <cellStyle name="Euro 20 3 5" xfId="11154" xr:uid="{818F3B70-04D8-47ED-A7AB-9E5C93EA7DDB}"/>
    <cellStyle name="Euro 20 4" xfId="1340" xr:uid="{00000000-0005-0000-0000-0000BC000000}"/>
    <cellStyle name="Euro 20 4 2" xfId="1341" xr:uid="{00000000-0005-0000-0000-0000BD000000}"/>
    <cellStyle name="Euro 20 4 2 2" xfId="8990" xr:uid="{282FA0E2-83E7-457F-A7DB-3178E38463D7}"/>
    <cellStyle name="Euro 20 4 2 3" xfId="17756" xr:uid="{8087F2B6-81C8-4977-B7E3-C520564B015D}"/>
    <cellStyle name="Euro 20 4 2 4" xfId="17464" xr:uid="{DA3E9680-3981-42AF-9F35-AB1BA04269BA}"/>
    <cellStyle name="Euro 20 4 3" xfId="8991" xr:uid="{E2CCB520-03C1-4309-94B7-8E8C588417EE}"/>
    <cellStyle name="Euro 20 5" xfId="1342" xr:uid="{00000000-0005-0000-0000-0000BE000000}"/>
    <cellStyle name="Euro 20 6" xfId="2681" xr:uid="{B2120D1B-40EB-42F5-9F7D-5BF72FDFC8B3}"/>
    <cellStyle name="Euro 20 6 2" xfId="9614" xr:uid="{77A1494C-5BE6-4A9A-B8B3-BEEF98254F20}"/>
    <cellStyle name="Euro 21" xfId="107" xr:uid="{00000000-0005-0000-0000-0000BF000000}"/>
    <cellStyle name="Euro 21 2" xfId="108" xr:uid="{00000000-0005-0000-0000-0000C0000000}"/>
    <cellStyle name="Euro 21 2 2" xfId="2682" xr:uid="{58F7FCB7-54EA-49C3-82A3-A0B842E39078}"/>
    <cellStyle name="Euro 21 2 2 2" xfId="13390" xr:uid="{D3D1AEB7-F000-4185-B19E-26D9271A73B8}"/>
    <cellStyle name="Euro 21 2 3" xfId="13070" xr:uid="{8A3F4A7D-ED07-4248-9EA9-61FCCF12590A}"/>
    <cellStyle name="Euro 21 3" xfId="109" xr:uid="{00000000-0005-0000-0000-0000C1000000}"/>
    <cellStyle name="Euro 21 3 2" xfId="110" xr:uid="{00000000-0005-0000-0000-0000C2000000}"/>
    <cellStyle name="Euro 21 3 2 2" xfId="1343" xr:uid="{00000000-0005-0000-0000-0000C3000000}"/>
    <cellStyle name="Euro 21 3 2 3" xfId="7732" xr:uid="{DB0F4D53-B983-4D70-AD24-9CE12D2BB81E}"/>
    <cellStyle name="Euro 21 3 2 3 2" xfId="13852" xr:uid="{D67767F1-163F-40E0-BCC3-AF1CC06E6B6A}"/>
    <cellStyle name="Euro 21 3 3" xfId="2683" xr:uid="{E0E03CBA-DA8D-4AEC-83F9-88AD427C3C50}"/>
    <cellStyle name="Euro 21 3 3 2" xfId="8992" xr:uid="{E43F24F3-CDAA-4924-908A-8D8EAD3FD26C}"/>
    <cellStyle name="Euro 21 3 4" xfId="2684" xr:uid="{384B87F9-49EF-4A33-9B92-3422E3C414B6}"/>
    <cellStyle name="Euro 21 3 4 2" xfId="13640" xr:uid="{C7B14DAA-4D50-45EE-B302-9EF4E0B1C056}"/>
    <cellStyle name="Euro 21 3 5" xfId="11096" xr:uid="{72CFDF9D-C3D2-4AB8-B1C2-E40F13B764C3}"/>
    <cellStyle name="Euro 21 4" xfId="1344" xr:uid="{00000000-0005-0000-0000-0000C4000000}"/>
    <cellStyle name="Euro 21 4 2" xfId="1345" xr:uid="{00000000-0005-0000-0000-0000C5000000}"/>
    <cellStyle name="Euro 21 4 2 2" xfId="8993" xr:uid="{3C0B0944-9F62-4870-B659-F0A65D3E9B53}"/>
    <cellStyle name="Euro 21 4 2 3" xfId="17757" xr:uid="{DE3723D6-D21E-4839-BF3C-02E1831130D7}"/>
    <cellStyle name="Euro 21 4 2 4" xfId="17463" xr:uid="{2F41656E-2304-4AE0-8D5C-CB2C72C7D5B1}"/>
    <cellStyle name="Euro 21 4 3" xfId="8994" xr:uid="{53D92748-826B-44DD-959C-FF6E1F5742DD}"/>
    <cellStyle name="Euro 21 5" xfId="1346" xr:uid="{00000000-0005-0000-0000-0000C6000000}"/>
    <cellStyle name="Euro 21 6" xfId="2685" xr:uid="{F76F4CDE-361A-4965-9436-12F2A306F611}"/>
    <cellStyle name="Euro 21 6 2" xfId="9615" xr:uid="{A7A59F01-F393-4EC2-9C7B-82A1B9D1F7D0}"/>
    <cellStyle name="Euro 22" xfId="111" xr:uid="{00000000-0005-0000-0000-0000C7000000}"/>
    <cellStyle name="Euro 22 2" xfId="112" xr:uid="{00000000-0005-0000-0000-0000C8000000}"/>
    <cellStyle name="Euro 22 2 2" xfId="2686" xr:uid="{42A1A8EC-9210-4BE0-BF2E-F255F17C295A}"/>
    <cellStyle name="Euro 22 2 2 2" xfId="13391" xr:uid="{2FDB9627-3F97-4D1A-B783-9BC3DBD60FA2}"/>
    <cellStyle name="Euro 22 2 3" xfId="13071" xr:uid="{A8EDB673-653A-4320-B3F2-6869F40886CA}"/>
    <cellStyle name="Euro 22 3" xfId="113" xr:uid="{00000000-0005-0000-0000-0000C9000000}"/>
    <cellStyle name="Euro 22 3 2" xfId="114" xr:uid="{00000000-0005-0000-0000-0000CA000000}"/>
    <cellStyle name="Euro 22 3 2 2" xfId="1347" xr:uid="{00000000-0005-0000-0000-0000CB000000}"/>
    <cellStyle name="Euro 22 3 2 3" xfId="7733" xr:uid="{76E71B3C-9378-4558-9EFA-AF4F62E0624A}"/>
    <cellStyle name="Euro 22 3 2 3 2" xfId="13853" xr:uid="{B288664C-AC8F-48B4-8FAE-FAE4C4427C41}"/>
    <cellStyle name="Euro 22 3 3" xfId="2687" xr:uid="{598F09EA-8CC2-4872-8D15-6747F9563DD5}"/>
    <cellStyle name="Euro 22 3 3 2" xfId="8995" xr:uid="{35E07C60-0ED4-4A7E-B5EC-BEB540AD49F6}"/>
    <cellStyle name="Euro 22 3 4" xfId="2688" xr:uid="{CF638226-B2D2-41FB-BBB2-CBFF505F77A3}"/>
    <cellStyle name="Euro 22 3 4 2" xfId="13641" xr:uid="{111229BE-70EA-45CF-A395-89EA80157D54}"/>
    <cellStyle name="Euro 22 3 5" xfId="12236" xr:uid="{1EBBC978-CE9B-4D4B-B570-44BD4CCA4FA6}"/>
    <cellStyle name="Euro 22 4" xfId="1348" xr:uid="{00000000-0005-0000-0000-0000CC000000}"/>
    <cellStyle name="Euro 22 4 2" xfId="1349" xr:uid="{00000000-0005-0000-0000-0000CD000000}"/>
    <cellStyle name="Euro 22 4 2 2" xfId="8996" xr:uid="{CCA14DF4-ED98-4EED-81EF-7502C20CA526}"/>
    <cellStyle name="Euro 22 4 2 3" xfId="17758" xr:uid="{338BC3DC-4A59-4B33-AA92-EE4C5D9CCA4A}"/>
    <cellStyle name="Euro 22 4 2 4" xfId="17461" xr:uid="{B8BC023F-9180-4EE2-A2F9-730FD7A4E9CE}"/>
    <cellStyle name="Euro 22 4 3" xfId="8997" xr:uid="{71F449B4-A56D-4A01-B545-24AC55C1C9C1}"/>
    <cellStyle name="Euro 22 5" xfId="1350" xr:uid="{00000000-0005-0000-0000-0000CE000000}"/>
    <cellStyle name="Euro 22 6" xfId="2689" xr:uid="{AAA5F09E-FB5F-42D9-A8C3-37318C6BA195}"/>
    <cellStyle name="Euro 22 6 2" xfId="9616" xr:uid="{FCD9AC37-72C1-4433-9539-F6E104650268}"/>
    <cellStyle name="Euro 23" xfId="115" xr:uid="{00000000-0005-0000-0000-0000CF000000}"/>
    <cellStyle name="Euro 23 2" xfId="116" xr:uid="{00000000-0005-0000-0000-0000D0000000}"/>
    <cellStyle name="Euro 23 2 2" xfId="2690" xr:uid="{880AEAA4-7EA0-4158-B5E9-EDC7886BFC0D}"/>
    <cellStyle name="Euro 23 2 2 2" xfId="13392" xr:uid="{7FAF7BE2-7FA9-422C-A108-8FBC2226F7DF}"/>
    <cellStyle name="Euro 23 2 3" xfId="13072" xr:uid="{78FDF60C-4C6B-4EF0-AAC2-D609E33DFC39}"/>
    <cellStyle name="Euro 23 3" xfId="117" xr:uid="{00000000-0005-0000-0000-0000D1000000}"/>
    <cellStyle name="Euro 23 3 2" xfId="118" xr:uid="{00000000-0005-0000-0000-0000D2000000}"/>
    <cellStyle name="Euro 23 3 2 2" xfId="1351" xr:uid="{00000000-0005-0000-0000-0000D3000000}"/>
    <cellStyle name="Euro 23 3 2 3" xfId="7734" xr:uid="{0F23B326-FE33-4F23-ACCA-52FF1FA9C917}"/>
    <cellStyle name="Euro 23 3 2 3 2" xfId="13854" xr:uid="{8BFC2948-2497-4856-A259-4376F2C69AA5}"/>
    <cellStyle name="Euro 23 3 3" xfId="2691" xr:uid="{4A5B6CB2-17C5-48D3-BB52-67C166B845AB}"/>
    <cellStyle name="Euro 23 3 3 2" xfId="8998" xr:uid="{B9DAA4C5-09B4-4EA3-B0E7-06659F004A67}"/>
    <cellStyle name="Euro 23 3 4" xfId="2692" xr:uid="{AFEF329C-6B2A-474A-B4E6-1461FAC2DAFE}"/>
    <cellStyle name="Euro 23 3 4 2" xfId="13642" xr:uid="{BDB35EB6-DCC6-4EFB-824A-2743BE2FE5F3}"/>
    <cellStyle name="Euro 23 3 5" xfId="11501" xr:uid="{DE6527A6-9E09-4FE6-9ECE-5067A0A5502F}"/>
    <cellStyle name="Euro 23 4" xfId="1352" xr:uid="{00000000-0005-0000-0000-0000D4000000}"/>
    <cellStyle name="Euro 23 4 2" xfId="1353" xr:uid="{00000000-0005-0000-0000-0000D5000000}"/>
    <cellStyle name="Euro 23 4 2 2" xfId="8999" xr:uid="{5419DD35-7540-431A-A8C7-AB1CF1534A41}"/>
    <cellStyle name="Euro 23 4 2 3" xfId="17759" xr:uid="{5D378151-4C4D-41DE-8D49-8BA29D9D17D0}"/>
    <cellStyle name="Euro 23 4 2 4" xfId="17460" xr:uid="{B447BB1B-1C9A-4F49-B5E6-A65B4255E34B}"/>
    <cellStyle name="Euro 23 4 3" xfId="9000" xr:uid="{3FE16817-C3F0-420F-9E7F-3C3BF7FB4968}"/>
    <cellStyle name="Euro 23 5" xfId="1354" xr:uid="{00000000-0005-0000-0000-0000D6000000}"/>
    <cellStyle name="Euro 23 6" xfId="2693" xr:uid="{FA76A8E0-FAAF-4B31-AE2A-3D19760E009C}"/>
    <cellStyle name="Euro 23 6 2" xfId="9617" xr:uid="{FC098829-14B8-4023-BEEA-F8D623B94355}"/>
    <cellStyle name="Euro 24" xfId="119" xr:uid="{00000000-0005-0000-0000-0000D7000000}"/>
    <cellStyle name="Euro 24 2" xfId="120" xr:uid="{00000000-0005-0000-0000-0000D8000000}"/>
    <cellStyle name="Euro 24 2 2" xfId="2694" xr:uid="{FE019703-0AF5-4DE0-8FF4-69A104E028BF}"/>
    <cellStyle name="Euro 24 2 2 2" xfId="13393" xr:uid="{BCDD1B76-28F6-4E91-9419-0A2FB8E01D00}"/>
    <cellStyle name="Euro 24 2 3" xfId="13073" xr:uid="{05E9F746-CDF8-4FA0-9867-ACBFAC1D06C0}"/>
    <cellStyle name="Euro 24 3" xfId="121" xr:uid="{00000000-0005-0000-0000-0000D9000000}"/>
    <cellStyle name="Euro 24 3 2" xfId="122" xr:uid="{00000000-0005-0000-0000-0000DA000000}"/>
    <cellStyle name="Euro 24 3 2 2" xfId="1355" xr:uid="{00000000-0005-0000-0000-0000DB000000}"/>
    <cellStyle name="Euro 24 3 2 3" xfId="7735" xr:uid="{FA25EDDA-7512-4E00-A567-8E9E1253E601}"/>
    <cellStyle name="Euro 24 3 2 3 2" xfId="13855" xr:uid="{63E562AF-2860-40D6-8967-C97653A0506A}"/>
    <cellStyle name="Euro 24 3 3" xfId="2695" xr:uid="{A1C4E74E-6992-498C-8EBC-E4B4438FB842}"/>
    <cellStyle name="Euro 24 3 3 2" xfId="9001" xr:uid="{28C12F90-1802-4704-8BC3-81CB67331BB3}"/>
    <cellStyle name="Euro 24 3 4" xfId="2696" xr:uid="{2BBBCCB6-CF10-442C-AFB3-F52B2D49D461}"/>
    <cellStyle name="Euro 24 3 4 2" xfId="13643" xr:uid="{A37C6160-3693-4E5B-B3C9-0C0143438A02}"/>
    <cellStyle name="Euro 24 3 5" xfId="11171" xr:uid="{CEC578BF-63A4-436E-8EE3-97C84B06BD74}"/>
    <cellStyle name="Euro 24 4" xfId="1356" xr:uid="{00000000-0005-0000-0000-0000DC000000}"/>
    <cellStyle name="Euro 24 4 2" xfId="1357" xr:uid="{00000000-0005-0000-0000-0000DD000000}"/>
    <cellStyle name="Euro 24 4 2 2" xfId="9002" xr:uid="{88522E51-5468-4A12-88A5-B053DFF23B02}"/>
    <cellStyle name="Euro 24 4 2 3" xfId="17760" xr:uid="{3EDE217B-C112-4EF5-90FB-193EDC92582F}"/>
    <cellStyle name="Euro 24 4 2 4" xfId="17459" xr:uid="{16244C4B-3262-4AB1-A8E3-9F72A471F4E9}"/>
    <cellStyle name="Euro 24 4 3" xfId="9003" xr:uid="{65CF6504-6EEB-4650-8213-4E8F3705C79F}"/>
    <cellStyle name="Euro 24 5" xfId="1358" xr:uid="{00000000-0005-0000-0000-0000DE000000}"/>
    <cellStyle name="Euro 24 6" xfId="2697" xr:uid="{702B47EB-746B-49F9-BFAF-2BDD85CB7ADB}"/>
    <cellStyle name="Euro 24 6 2" xfId="9618" xr:uid="{620ECFD2-F30C-4B01-A77B-93E12FB42D80}"/>
    <cellStyle name="Euro 25" xfId="123" xr:uid="{00000000-0005-0000-0000-0000DF000000}"/>
    <cellStyle name="Euro 25 2" xfId="124" xr:uid="{00000000-0005-0000-0000-0000E0000000}"/>
    <cellStyle name="Euro 25 2 2" xfId="2698" xr:uid="{C75D7263-6F45-4A28-818F-C56907F398D4}"/>
    <cellStyle name="Euro 25 2 2 2" xfId="13394" xr:uid="{8C5095B9-01AC-4601-AAD0-7032128A1ED1}"/>
    <cellStyle name="Euro 25 2 3" xfId="13074" xr:uid="{35B1F6A5-EA7C-40BB-A3C6-BCD1F4D9A204}"/>
    <cellStyle name="Euro 25 3" xfId="125" xr:uid="{00000000-0005-0000-0000-0000E1000000}"/>
    <cellStyle name="Euro 25 3 2" xfId="126" xr:uid="{00000000-0005-0000-0000-0000E2000000}"/>
    <cellStyle name="Euro 25 3 2 2" xfId="1359" xr:uid="{00000000-0005-0000-0000-0000E3000000}"/>
    <cellStyle name="Euro 25 3 2 3" xfId="7736" xr:uid="{6AD97E50-D189-4C1D-9840-649E4674C506}"/>
    <cellStyle name="Euro 25 3 2 3 2" xfId="13856" xr:uid="{13A3F3AA-D377-4A88-B93B-09631A0BB32E}"/>
    <cellStyle name="Euro 25 3 3" xfId="2699" xr:uid="{AC3590E8-9D7E-49FA-818B-8AB7CA73EA8D}"/>
    <cellStyle name="Euro 25 3 3 2" xfId="9004" xr:uid="{D95A47C1-ACBE-467C-9941-F6FAE7FFADD2}"/>
    <cellStyle name="Euro 25 3 4" xfId="2700" xr:uid="{AD24C7A4-6705-4788-9A92-B4C1FF90404C}"/>
    <cellStyle name="Euro 25 3 4 2" xfId="13644" xr:uid="{B5B21D2D-3687-40AD-80FF-C95BD1398F80}"/>
    <cellStyle name="Euro 25 3 5" xfId="12190" xr:uid="{BEDA86BD-05CA-4F71-9E5F-6BF493502BB7}"/>
    <cellStyle name="Euro 25 4" xfId="1360" xr:uid="{00000000-0005-0000-0000-0000E4000000}"/>
    <cellStyle name="Euro 25 4 2" xfId="1361" xr:uid="{00000000-0005-0000-0000-0000E5000000}"/>
    <cellStyle name="Euro 25 4 2 2" xfId="9005" xr:uid="{1CF96FE6-683E-4FB4-AB00-22B741E45394}"/>
    <cellStyle name="Euro 25 4 2 3" xfId="17761" xr:uid="{5E09C8D6-7FEC-4A4A-9568-429922FE14C1}"/>
    <cellStyle name="Euro 25 4 2 4" xfId="17458" xr:uid="{388A4261-DB38-4780-A060-242535F111CF}"/>
    <cellStyle name="Euro 25 4 3" xfId="9006" xr:uid="{BD29294C-BED4-4D62-AC53-7CBE11DDC0BF}"/>
    <cellStyle name="Euro 25 5" xfId="1362" xr:uid="{00000000-0005-0000-0000-0000E6000000}"/>
    <cellStyle name="Euro 25 6" xfId="2701" xr:uid="{33F33BE8-3FD4-4570-AFAB-9EBF27F17449}"/>
    <cellStyle name="Euro 25 6 2" xfId="9619" xr:uid="{317D033A-519C-4992-98C8-5FD93B194E9F}"/>
    <cellStyle name="Euro 26" xfId="127" xr:uid="{00000000-0005-0000-0000-0000E7000000}"/>
    <cellStyle name="Euro 26 2" xfId="128" xr:uid="{00000000-0005-0000-0000-0000E8000000}"/>
    <cellStyle name="Euro 26 2 2" xfId="2702" xr:uid="{4D0D7CB8-8102-4B57-AFC8-511569225417}"/>
    <cellStyle name="Euro 26 2 2 2" xfId="13395" xr:uid="{55FC77E8-0DBB-42DD-A1C6-8F90CFC15C60}"/>
    <cellStyle name="Euro 26 2 3" xfId="13075" xr:uid="{2B7A3EF7-052B-47BB-9B00-D6FE7E231928}"/>
    <cellStyle name="Euro 26 3" xfId="129" xr:uid="{00000000-0005-0000-0000-0000E9000000}"/>
    <cellStyle name="Euro 26 3 2" xfId="130" xr:uid="{00000000-0005-0000-0000-0000EA000000}"/>
    <cellStyle name="Euro 26 3 2 2" xfId="1363" xr:uid="{00000000-0005-0000-0000-0000EB000000}"/>
    <cellStyle name="Euro 26 3 2 3" xfId="7737" xr:uid="{551CDD77-F6E5-459F-8AC6-740A011CD000}"/>
    <cellStyle name="Euro 26 3 2 3 2" xfId="13857" xr:uid="{A5184821-30F8-47CD-B9E8-57DF27CF6A54}"/>
    <cellStyle name="Euro 26 3 3" xfId="2703" xr:uid="{540FBB34-6C1B-4354-A037-2DED92BB5CED}"/>
    <cellStyle name="Euro 26 3 3 2" xfId="9007" xr:uid="{4A2774CD-7798-47C9-A0E9-BC1E168F6FEF}"/>
    <cellStyle name="Euro 26 3 4" xfId="2704" xr:uid="{E2B01B84-E1D2-4C91-8342-0E0BE9808E45}"/>
    <cellStyle name="Euro 26 3 4 2" xfId="13645" xr:uid="{E050C55C-8096-4120-B2C9-99E9D3C37C93}"/>
    <cellStyle name="Euro 26 3 5" xfId="12313" xr:uid="{CA2F5144-4AE3-4C86-8580-BF93763C5C66}"/>
    <cellStyle name="Euro 26 4" xfId="1364" xr:uid="{00000000-0005-0000-0000-0000EC000000}"/>
    <cellStyle name="Euro 26 4 2" xfId="1365" xr:uid="{00000000-0005-0000-0000-0000ED000000}"/>
    <cellStyle name="Euro 26 4 2 2" xfId="9008" xr:uid="{67308D3C-F658-4495-9873-A0A73460E262}"/>
    <cellStyle name="Euro 26 4 2 3" xfId="17762" xr:uid="{D425F5A3-C2C1-40F4-9C66-884D22D667DC}"/>
    <cellStyle name="Euro 26 4 2 4" xfId="17457" xr:uid="{3AC67336-7F3E-4200-9FCA-01D10B3F31E3}"/>
    <cellStyle name="Euro 26 4 3" xfId="9009" xr:uid="{52A36834-A978-475A-AA53-E43E2A69EF6A}"/>
    <cellStyle name="Euro 26 5" xfId="1366" xr:uid="{00000000-0005-0000-0000-0000EE000000}"/>
    <cellStyle name="Euro 26 6" xfId="2705" xr:uid="{40BF3909-6F13-49F9-A21B-77A7060E71FA}"/>
    <cellStyle name="Euro 26 6 2" xfId="9620" xr:uid="{9FCF047E-5AE5-4F0D-ADEF-CDF50E95526D}"/>
    <cellStyle name="Euro 27" xfId="131" xr:uid="{00000000-0005-0000-0000-0000EF000000}"/>
    <cellStyle name="Euro 27 2" xfId="132" xr:uid="{00000000-0005-0000-0000-0000F0000000}"/>
    <cellStyle name="Euro 27 2 2" xfId="2706" xr:uid="{4520C66C-8411-459D-9C2C-9268F54F6A07}"/>
    <cellStyle name="Euro 27 2 2 2" xfId="13396" xr:uid="{AE6EC3E7-B154-4F1C-A582-A3121CF9AC9F}"/>
    <cellStyle name="Euro 27 2 3" xfId="13076" xr:uid="{F953FDD1-ABFE-46DD-9E4A-98E0AB70ECC6}"/>
    <cellStyle name="Euro 27 3" xfId="133" xr:uid="{00000000-0005-0000-0000-0000F1000000}"/>
    <cellStyle name="Euro 27 3 2" xfId="134" xr:uid="{00000000-0005-0000-0000-0000F2000000}"/>
    <cellStyle name="Euro 27 3 2 2" xfId="1367" xr:uid="{00000000-0005-0000-0000-0000F3000000}"/>
    <cellStyle name="Euro 27 3 2 3" xfId="7738" xr:uid="{0B118C78-FEF8-493A-B3E8-63BFB176EC6F}"/>
    <cellStyle name="Euro 27 3 2 3 2" xfId="13858" xr:uid="{A33FCDC6-4393-44BB-8548-3268C4BF16C2}"/>
    <cellStyle name="Euro 27 3 3" xfId="2707" xr:uid="{B7EC0180-69BD-41A9-8860-689A797CBC24}"/>
    <cellStyle name="Euro 27 3 3 2" xfId="9010" xr:uid="{A1A05AC1-3337-4D48-82CC-7D42572B3FE0}"/>
    <cellStyle name="Euro 27 3 4" xfId="2708" xr:uid="{BC10AAC0-2B6F-42C9-8940-6D63A63EFF17}"/>
    <cellStyle name="Euro 27 3 4 2" xfId="13646" xr:uid="{7EFD5438-19A1-4743-A2A5-AF92363D2AB4}"/>
    <cellStyle name="Euro 27 3 5" xfId="11690" xr:uid="{3BDD2E60-C649-421A-97E0-8182CD9E5B0B}"/>
    <cellStyle name="Euro 27 4" xfId="1368" xr:uid="{00000000-0005-0000-0000-0000F4000000}"/>
    <cellStyle name="Euro 27 4 2" xfId="1369" xr:uid="{00000000-0005-0000-0000-0000F5000000}"/>
    <cellStyle name="Euro 27 4 2 2" xfId="9011" xr:uid="{36EEAC47-27E2-4AFC-9F91-58F4E52B3A6C}"/>
    <cellStyle name="Euro 27 4 2 3" xfId="17763" xr:uid="{4A774D8B-E42D-465B-89A6-94BF68AA6099}"/>
    <cellStyle name="Euro 27 4 2 4" xfId="17456" xr:uid="{28B21990-6C1E-441E-B62D-C69696D74E4D}"/>
    <cellStyle name="Euro 27 4 3" xfId="9012" xr:uid="{6212357C-BD60-4531-9508-7A0087D1C776}"/>
    <cellStyle name="Euro 27 5" xfId="1370" xr:uid="{00000000-0005-0000-0000-0000F6000000}"/>
    <cellStyle name="Euro 27 6" xfId="2709" xr:uid="{8272CA44-52B6-4A6D-A15C-73EDF87356AD}"/>
    <cellStyle name="Euro 27 6 2" xfId="9621" xr:uid="{52F6EC48-1E0C-497F-A256-5D5DA16EFDE8}"/>
    <cellStyle name="Euro 28" xfId="135" xr:uid="{00000000-0005-0000-0000-0000F7000000}"/>
    <cellStyle name="Euro 28 2" xfId="136" xr:uid="{00000000-0005-0000-0000-0000F8000000}"/>
    <cellStyle name="Euro 28 2 2" xfId="2710" xr:uid="{DD3268E3-FAA3-4F0D-A8F7-BBAC0C7AA4D7}"/>
    <cellStyle name="Euro 28 2 2 2" xfId="13397" xr:uid="{5BF98C05-601B-44C5-A166-01A58FDCB1FA}"/>
    <cellStyle name="Euro 28 2 3" xfId="13077" xr:uid="{E612E110-9388-4FF6-B5A4-3A107462199C}"/>
    <cellStyle name="Euro 28 3" xfId="137" xr:uid="{00000000-0005-0000-0000-0000F9000000}"/>
    <cellStyle name="Euro 28 3 2" xfId="138" xr:uid="{00000000-0005-0000-0000-0000FA000000}"/>
    <cellStyle name="Euro 28 3 2 2" xfId="1371" xr:uid="{00000000-0005-0000-0000-0000FB000000}"/>
    <cellStyle name="Euro 28 3 2 3" xfId="7739" xr:uid="{3AECD5C7-1182-445C-A638-287CC8B831E5}"/>
    <cellStyle name="Euro 28 3 2 3 2" xfId="13859" xr:uid="{BEC64FC0-4E7D-494A-AA89-0EDD24757A91}"/>
    <cellStyle name="Euro 28 3 3" xfId="2711" xr:uid="{CA019CE7-3EE7-43EA-A83E-437A87CB33EC}"/>
    <cellStyle name="Euro 28 3 3 2" xfId="9013" xr:uid="{83D226FD-2D60-4A9D-810C-9ACA874FB1C1}"/>
    <cellStyle name="Euro 28 3 4" xfId="2712" xr:uid="{E434B639-9134-4B5E-8F95-149BC2421D05}"/>
    <cellStyle name="Euro 28 3 4 2" xfId="13647" xr:uid="{9558CD03-637D-4978-82F3-D5C860C9E224}"/>
    <cellStyle name="Euro 28 3 5" xfId="12234" xr:uid="{3C922C34-4142-4D2A-812F-2EB55D6E8A3B}"/>
    <cellStyle name="Euro 28 4" xfId="1372" xr:uid="{00000000-0005-0000-0000-0000FC000000}"/>
    <cellStyle name="Euro 28 4 2" xfId="1373" xr:uid="{00000000-0005-0000-0000-0000FD000000}"/>
    <cellStyle name="Euro 28 4 2 2" xfId="9014" xr:uid="{6745AC59-B985-4D79-A8DF-3863A628A8E3}"/>
    <cellStyle name="Euro 28 4 2 3" xfId="17764" xr:uid="{54740142-2661-490C-96BB-40363D44418C}"/>
    <cellStyle name="Euro 28 4 2 4" xfId="17455" xr:uid="{C09F50A0-E081-4D0A-BAC1-C928E88EE8BF}"/>
    <cellStyle name="Euro 28 4 3" xfId="9015" xr:uid="{9C0F2C2B-5511-4E64-8503-B6426351A3F1}"/>
    <cellStyle name="Euro 28 5" xfId="1374" xr:uid="{00000000-0005-0000-0000-0000FE000000}"/>
    <cellStyle name="Euro 28 6" xfId="2713" xr:uid="{EAD2B4C3-CAA7-43BC-9CE0-EE04E10C7481}"/>
    <cellStyle name="Euro 28 6 2" xfId="9622" xr:uid="{19AA8CBF-E369-4CF3-A326-260E5AE8E065}"/>
    <cellStyle name="Euro 29" xfId="139" xr:uid="{00000000-0005-0000-0000-0000FF000000}"/>
    <cellStyle name="Euro 29 2" xfId="140" xr:uid="{00000000-0005-0000-0000-000000010000}"/>
    <cellStyle name="Euro 29 2 2" xfId="2714" xr:uid="{582D9CDA-A8E0-43AC-8BBD-894105C28170}"/>
    <cellStyle name="Euro 29 2 2 2" xfId="13398" xr:uid="{82DFB296-C8CB-4E02-9DA5-8238F49EB14D}"/>
    <cellStyle name="Euro 29 2 3" xfId="13078" xr:uid="{70B9577F-DB68-410E-9EAD-50D6DDB73B64}"/>
    <cellStyle name="Euro 29 3" xfId="141" xr:uid="{00000000-0005-0000-0000-000001010000}"/>
    <cellStyle name="Euro 29 3 2" xfId="142" xr:uid="{00000000-0005-0000-0000-000002010000}"/>
    <cellStyle name="Euro 29 3 2 2" xfId="1375" xr:uid="{00000000-0005-0000-0000-000003010000}"/>
    <cellStyle name="Euro 29 3 2 3" xfId="7740" xr:uid="{8C7DCA82-5771-4114-B0EB-32063614A29D}"/>
    <cellStyle name="Euro 29 3 2 3 2" xfId="13860" xr:uid="{04B27711-F7C5-4D7A-AC2E-3D81CC5047CB}"/>
    <cellStyle name="Euro 29 3 3" xfId="2715" xr:uid="{E0DEC5B4-CD53-4246-8688-D0E1074888FA}"/>
    <cellStyle name="Euro 29 3 3 2" xfId="9016" xr:uid="{3D2F52B9-C00A-4F7E-8A5D-9025ED1FB38D}"/>
    <cellStyle name="Euro 29 3 4" xfId="2716" xr:uid="{0510A841-8B04-4D7C-918E-B75C81C6E396}"/>
    <cellStyle name="Euro 29 3 4 2" xfId="13648" xr:uid="{884D7E41-E2BF-4FCC-B168-11D9E45B0BDA}"/>
    <cellStyle name="Euro 29 3 5" xfId="11543" xr:uid="{6DDBE86D-B4CA-4222-8AEB-E3B1FCFBA376}"/>
    <cellStyle name="Euro 29 4" xfId="1376" xr:uid="{00000000-0005-0000-0000-000004010000}"/>
    <cellStyle name="Euro 29 4 2" xfId="1377" xr:uid="{00000000-0005-0000-0000-000005010000}"/>
    <cellStyle name="Euro 29 4 2 2" xfId="9017" xr:uid="{0FF334D1-F6FA-47FE-8171-45B8C82F58F0}"/>
    <cellStyle name="Euro 29 4 2 3" xfId="17765" xr:uid="{FF53EF00-566A-4184-9086-5FEF26B8629E}"/>
    <cellStyle name="Euro 29 4 2 4" xfId="17454" xr:uid="{79540C27-C968-445D-BEE1-21853B482F5C}"/>
    <cellStyle name="Euro 29 4 3" xfId="9018" xr:uid="{3B197BD8-BB9F-49D8-9702-FE486A209EE0}"/>
    <cellStyle name="Euro 29 5" xfId="1378" xr:uid="{00000000-0005-0000-0000-000006010000}"/>
    <cellStyle name="Euro 29 6" xfId="2717" xr:uid="{7CFA3418-25AA-49AD-A875-C650174521FF}"/>
    <cellStyle name="Euro 29 6 2" xfId="9623" xr:uid="{0CFAA3AB-CD93-4F89-938C-89CDA00FA986}"/>
    <cellStyle name="Euro 3" xfId="143" xr:uid="{00000000-0005-0000-0000-000007010000}"/>
    <cellStyle name="Euro 3 2" xfId="144" xr:uid="{00000000-0005-0000-0000-000008010000}"/>
    <cellStyle name="Euro 3 2 2" xfId="2718" xr:uid="{7842479A-6192-4A05-A076-3F99CB6A2C1B}"/>
    <cellStyle name="Euro 3 2 2 2" xfId="13399" xr:uid="{58F9B56A-A861-4BE8-9C2C-010CD6BFA22F}"/>
    <cellStyle name="Euro 3 2 3" xfId="13079" xr:uid="{78824466-C1EE-46EE-802F-21266CB9B19E}"/>
    <cellStyle name="Euro 3 3" xfId="145" xr:uid="{00000000-0005-0000-0000-000009010000}"/>
    <cellStyle name="Euro 3 3 2" xfId="146" xr:uid="{00000000-0005-0000-0000-00000A010000}"/>
    <cellStyle name="Euro 3 3 2 2" xfId="1379" xr:uid="{00000000-0005-0000-0000-00000B010000}"/>
    <cellStyle name="Euro 3 3 2 3" xfId="7741" xr:uid="{8646EFF2-ADAF-4DB9-AB42-C0C472CF9214}"/>
    <cellStyle name="Euro 3 3 2 3 2" xfId="13861" xr:uid="{34664AA9-EA93-4982-B742-38FE4F7F9E62}"/>
    <cellStyle name="Euro 3 3 3" xfId="2719" xr:uid="{E2BC4866-779A-4CBA-B602-FF25D795FE98}"/>
    <cellStyle name="Euro 3 3 3 2" xfId="9019" xr:uid="{D13F69C4-2A90-496D-879C-E18DD13138D8}"/>
    <cellStyle name="Euro 3 3 4" xfId="2720" xr:uid="{0380DA26-A941-406D-A874-6ECB9BA2B621}"/>
    <cellStyle name="Euro 3 3 4 2" xfId="13649" xr:uid="{F00D1690-B85C-4D1A-B6C3-C75936E2CE39}"/>
    <cellStyle name="Euro 3 3 5" xfId="12314" xr:uid="{8EDE0D64-EF73-4DE5-AD25-5282E775C1A5}"/>
    <cellStyle name="Euro 3 4" xfId="1380" xr:uid="{00000000-0005-0000-0000-00000C010000}"/>
    <cellStyle name="Euro 3 4 2" xfId="1381" xr:uid="{00000000-0005-0000-0000-00000D010000}"/>
    <cellStyle name="Euro 3 4 2 2" xfId="9020" xr:uid="{9D622E24-C772-4826-B26E-078BD2358644}"/>
    <cellStyle name="Euro 3 4 2 3" xfId="17766" xr:uid="{804E236F-23AE-4DE9-9560-12E154685557}"/>
    <cellStyle name="Euro 3 4 2 4" xfId="17453" xr:uid="{8944CDAB-2BB3-4BAC-90AF-2767E1883DB1}"/>
    <cellStyle name="Euro 3 4 3" xfId="9021" xr:uid="{581FF8D1-186A-41DF-A161-AE322BA0356A}"/>
    <cellStyle name="Euro 3 5" xfId="1382" xr:uid="{00000000-0005-0000-0000-00000E010000}"/>
    <cellStyle name="Euro 3 6" xfId="2721" xr:uid="{F2C1D668-F89B-4B89-B4AE-ADB3F2017056}"/>
    <cellStyle name="Euro 3 6 2" xfId="9624" xr:uid="{0B876D59-537C-43E6-8152-7158F0D49949}"/>
    <cellStyle name="Euro 30" xfId="147" xr:uid="{00000000-0005-0000-0000-00000F010000}"/>
    <cellStyle name="Euro 30 2" xfId="148" xr:uid="{00000000-0005-0000-0000-000010010000}"/>
    <cellStyle name="Euro 30 2 2" xfId="2722" xr:uid="{32CD2FED-26DF-4E91-8164-1EFDA740E819}"/>
    <cellStyle name="Euro 30 2 2 2" xfId="13400" xr:uid="{ED588BBD-7E49-4C78-958E-931CFED30BC2}"/>
    <cellStyle name="Euro 30 2 3" xfId="13080" xr:uid="{20243734-62C4-4A0C-A216-73E53581EA39}"/>
    <cellStyle name="Euro 30 3" xfId="149" xr:uid="{00000000-0005-0000-0000-000011010000}"/>
    <cellStyle name="Euro 30 3 2" xfId="150" xr:uid="{00000000-0005-0000-0000-000012010000}"/>
    <cellStyle name="Euro 30 3 2 2" xfId="1383" xr:uid="{00000000-0005-0000-0000-000013010000}"/>
    <cellStyle name="Euro 30 3 2 3" xfId="7742" xr:uid="{5A4A3FA1-FEED-4167-B483-22C116BC5A75}"/>
    <cellStyle name="Euro 30 3 2 3 2" xfId="13862" xr:uid="{BFFA4E3D-39FF-4287-8B06-00CAAFD07411}"/>
    <cellStyle name="Euro 30 3 3" xfId="2723" xr:uid="{C1069973-7C3B-4E50-8069-C512C20CF5F5}"/>
    <cellStyle name="Euro 30 3 3 2" xfId="9022" xr:uid="{21F3EA85-84CE-4CBC-B6D1-FBAFB0941F7C}"/>
    <cellStyle name="Euro 30 3 4" xfId="2724" xr:uid="{91FAD84C-3C15-4073-A180-6273190039FF}"/>
    <cellStyle name="Euro 30 3 4 2" xfId="13650" xr:uid="{1B1CD2F9-7E56-4729-8E4E-575BC001282D}"/>
    <cellStyle name="Euro 30 3 5" xfId="12235" xr:uid="{30C4F26B-EDAE-492D-AB8A-8F85A22A6769}"/>
    <cellStyle name="Euro 30 4" xfId="1384" xr:uid="{00000000-0005-0000-0000-000014010000}"/>
    <cellStyle name="Euro 30 4 2" xfId="1385" xr:uid="{00000000-0005-0000-0000-000015010000}"/>
    <cellStyle name="Euro 30 4 2 2" xfId="9023" xr:uid="{4BEE630D-618D-4BB2-8FB8-ECE8D0F4F827}"/>
    <cellStyle name="Euro 30 4 2 3" xfId="17767" xr:uid="{4753FFCF-1A8B-468C-BF58-F95798097DA2}"/>
    <cellStyle name="Euro 30 4 2 4" xfId="17452" xr:uid="{573FD7F2-2924-44E3-83B7-8375AA44ED5D}"/>
    <cellStyle name="Euro 30 4 3" xfId="9024" xr:uid="{447BB661-4660-421E-928D-DA33365AFC8D}"/>
    <cellStyle name="Euro 30 5" xfId="1386" xr:uid="{00000000-0005-0000-0000-000016010000}"/>
    <cellStyle name="Euro 30 6" xfId="2725" xr:uid="{B990D8D1-F729-421B-A0AC-9D0DBBE58806}"/>
    <cellStyle name="Euro 30 6 2" xfId="9625" xr:uid="{1991F453-D277-4CBB-937C-244B87AD5ACA}"/>
    <cellStyle name="Euro 31" xfId="151" xr:uid="{00000000-0005-0000-0000-000017010000}"/>
    <cellStyle name="Euro 31 2" xfId="152" xr:uid="{00000000-0005-0000-0000-000018010000}"/>
    <cellStyle name="Euro 31 2 2" xfId="2726" xr:uid="{703387C0-C48D-4B43-8840-32C11040AEAC}"/>
    <cellStyle name="Euro 31 2 2 2" xfId="13401" xr:uid="{255A3A06-0E83-494E-90E0-90F15AA4C751}"/>
    <cellStyle name="Euro 31 2 3" xfId="13081" xr:uid="{9B1B0B5D-E92D-4584-8A7C-C5424C380ABA}"/>
    <cellStyle name="Euro 31 3" xfId="153" xr:uid="{00000000-0005-0000-0000-000019010000}"/>
    <cellStyle name="Euro 31 3 2" xfId="154" xr:uid="{00000000-0005-0000-0000-00001A010000}"/>
    <cellStyle name="Euro 31 3 2 2" xfId="1387" xr:uid="{00000000-0005-0000-0000-00001B010000}"/>
    <cellStyle name="Euro 31 3 2 3" xfId="7743" xr:uid="{90A6C802-9143-4F9A-A2AF-A0B8BCB184CE}"/>
    <cellStyle name="Euro 31 3 2 3 2" xfId="13863" xr:uid="{9573C9BB-B81E-46DB-9EBF-800A38BC82EF}"/>
    <cellStyle name="Euro 31 3 3" xfId="2727" xr:uid="{1A4F0AA8-E15D-465A-9CD0-AFD3B519C456}"/>
    <cellStyle name="Euro 31 3 3 2" xfId="9025" xr:uid="{B30C3681-B56F-45D7-B665-5B3B5531D81A}"/>
    <cellStyle name="Euro 31 3 4" xfId="2728" xr:uid="{2285BFDC-3494-4492-8F52-03C195897CBD}"/>
    <cellStyle name="Euro 31 3 4 2" xfId="13651" xr:uid="{B2027239-542D-4C1A-B1FE-AF850275C38C}"/>
    <cellStyle name="Euro 31 3 5" xfId="11111" xr:uid="{2AD36901-EEED-4592-8EC7-2CE973ADCAE6}"/>
    <cellStyle name="Euro 31 4" xfId="1388" xr:uid="{00000000-0005-0000-0000-00001C010000}"/>
    <cellStyle name="Euro 31 4 2" xfId="1389" xr:uid="{00000000-0005-0000-0000-00001D010000}"/>
    <cellStyle name="Euro 31 4 2 2" xfId="9026" xr:uid="{7F3183FE-B7C9-4DF3-9C91-6138D98E59B4}"/>
    <cellStyle name="Euro 31 4 2 3" xfId="17768" xr:uid="{21E22636-711E-4159-8B55-45F497FCD17E}"/>
    <cellStyle name="Euro 31 4 2 4" xfId="17451" xr:uid="{3D2EEE54-78EE-494E-97AF-288F36EB107B}"/>
    <cellStyle name="Euro 31 4 3" xfId="9027" xr:uid="{0597A8BA-A48E-4417-9648-236F1DC37141}"/>
    <cellStyle name="Euro 31 5" xfId="1390" xr:uid="{00000000-0005-0000-0000-00001E010000}"/>
    <cellStyle name="Euro 31 6" xfId="2729" xr:uid="{4E3EFAA0-846A-4C22-A0C7-58DC8870394E}"/>
    <cellStyle name="Euro 31 6 2" xfId="9626" xr:uid="{FDE9C6BE-A317-4596-B481-FBDC7E16FB33}"/>
    <cellStyle name="Euro 32" xfId="155" xr:uid="{00000000-0005-0000-0000-00001F010000}"/>
    <cellStyle name="Euro 32 2" xfId="156" xr:uid="{00000000-0005-0000-0000-000020010000}"/>
    <cellStyle name="Euro 32 2 2" xfId="2730" xr:uid="{B14ED377-514D-40F7-92DE-F67FDC3E21B5}"/>
    <cellStyle name="Euro 32 2 2 2" xfId="13402" xr:uid="{1FD1C9EF-31E4-45EE-9613-D8C0C3B20CE4}"/>
    <cellStyle name="Euro 32 2 3" xfId="13082" xr:uid="{CB9A9B55-898D-4E07-A577-15C97965B7CB}"/>
    <cellStyle name="Euro 32 3" xfId="157" xr:uid="{00000000-0005-0000-0000-000021010000}"/>
    <cellStyle name="Euro 32 3 2" xfId="158" xr:uid="{00000000-0005-0000-0000-000022010000}"/>
    <cellStyle name="Euro 32 3 2 2" xfId="1391" xr:uid="{00000000-0005-0000-0000-000023010000}"/>
    <cellStyle name="Euro 32 3 2 3" xfId="7744" xr:uid="{E1363617-BCFB-48D5-B4F0-E119331460D9}"/>
    <cellStyle name="Euro 32 3 2 3 2" xfId="13864" xr:uid="{F0126CBA-4884-4FBE-A8E0-3986E669B438}"/>
    <cellStyle name="Euro 32 3 3" xfId="2731" xr:uid="{6A290810-16DE-4AD3-B01F-D0644D605390}"/>
    <cellStyle name="Euro 32 3 3 2" xfId="9028" xr:uid="{0A0EA427-F563-478F-A1A5-A0B88DC9A18C}"/>
    <cellStyle name="Euro 32 3 4" xfId="2732" xr:uid="{9F3403EF-684C-4A21-B1E7-37D702DDF410}"/>
    <cellStyle name="Euro 32 3 4 2" xfId="13652" xr:uid="{08A6DA29-F444-46B4-B637-EEBD46CDFAEB}"/>
    <cellStyle name="Euro 32 3 5" xfId="12200" xr:uid="{58501936-5127-46F7-B2E5-40B20F6637E7}"/>
    <cellStyle name="Euro 32 4" xfId="1392" xr:uid="{00000000-0005-0000-0000-000024010000}"/>
    <cellStyle name="Euro 32 4 2" xfId="1393" xr:uid="{00000000-0005-0000-0000-000025010000}"/>
    <cellStyle name="Euro 32 4 2 2" xfId="9029" xr:uid="{651538AA-7883-4EA0-89F9-CA21ECD1B172}"/>
    <cellStyle name="Euro 32 4 2 3" xfId="17769" xr:uid="{13372584-7092-4BC3-86E9-46FDCFB99146}"/>
    <cellStyle name="Euro 32 4 2 4" xfId="17450" xr:uid="{F2232309-5C8B-4D6A-AFED-B89D9E614B20}"/>
    <cellStyle name="Euro 32 4 3" xfId="9030" xr:uid="{9962509C-2F33-4FBC-B505-8AEF2E7EDFF0}"/>
    <cellStyle name="Euro 32 5" xfId="1394" xr:uid="{00000000-0005-0000-0000-000026010000}"/>
    <cellStyle name="Euro 32 6" xfId="2733" xr:uid="{F4568375-EE0C-4897-981B-D61D8965453A}"/>
    <cellStyle name="Euro 32 6 2" xfId="9627" xr:uid="{6A5A2A7D-099F-45AC-8EE3-131AF0ECCB87}"/>
    <cellStyle name="Euro 33" xfId="159" xr:uid="{00000000-0005-0000-0000-000027010000}"/>
    <cellStyle name="Euro 33 2" xfId="160" xr:uid="{00000000-0005-0000-0000-000028010000}"/>
    <cellStyle name="Euro 33 2 2" xfId="2734" xr:uid="{F8E392CF-5595-46E0-BC24-2CE6C61869A0}"/>
    <cellStyle name="Euro 33 2 2 2" xfId="13403" xr:uid="{6320BCFE-CF0F-484A-8A9B-8D71EADCE3EA}"/>
    <cellStyle name="Euro 33 2 3" xfId="13083" xr:uid="{CE6D326F-4E57-48E9-B516-A881E6226784}"/>
    <cellStyle name="Euro 33 3" xfId="161" xr:uid="{00000000-0005-0000-0000-000029010000}"/>
    <cellStyle name="Euro 33 3 2" xfId="162" xr:uid="{00000000-0005-0000-0000-00002A010000}"/>
    <cellStyle name="Euro 33 3 2 2" xfId="1395" xr:uid="{00000000-0005-0000-0000-00002B010000}"/>
    <cellStyle name="Euro 33 3 2 3" xfId="7745" xr:uid="{1125FB1A-D373-49D3-BB8B-38AF26FFBAB5}"/>
    <cellStyle name="Euro 33 3 2 3 2" xfId="13865" xr:uid="{BE6F0D6B-706D-488D-BF40-0B65E546C04E}"/>
    <cellStyle name="Euro 33 3 3" xfId="2735" xr:uid="{ABB5720B-388D-45ED-9E91-6A6D62BCCE9E}"/>
    <cellStyle name="Euro 33 3 3 2" xfId="9031" xr:uid="{494F5E1A-6D85-43A1-A338-BAD0C49BF688}"/>
    <cellStyle name="Euro 33 3 4" xfId="2736" xr:uid="{03BCC889-9EB4-4E25-80DD-E9635791F2AA}"/>
    <cellStyle name="Euro 33 3 4 2" xfId="13653" xr:uid="{72CF3EB3-EE8A-48C5-A0D9-EB22EE884D9E}"/>
    <cellStyle name="Euro 33 3 5" xfId="11130" xr:uid="{336E3014-BF79-4830-AD8E-E98FAF9D6C47}"/>
    <cellStyle name="Euro 33 4" xfId="1396" xr:uid="{00000000-0005-0000-0000-00002C010000}"/>
    <cellStyle name="Euro 33 4 2" xfId="1397" xr:uid="{00000000-0005-0000-0000-00002D010000}"/>
    <cellStyle name="Euro 33 4 2 2" xfId="9032" xr:uid="{0501F22F-4E39-4262-9A34-417D3D63D0C1}"/>
    <cellStyle name="Euro 33 4 2 3" xfId="17770" xr:uid="{046B2451-2FAC-4819-8088-FE84521F53EA}"/>
    <cellStyle name="Euro 33 4 2 4" xfId="17449" xr:uid="{A8636EDA-4501-46B2-97AB-7A6B6E6E64C7}"/>
    <cellStyle name="Euro 33 4 3" xfId="9033" xr:uid="{EFAD4521-D038-464C-A6C6-29600DDC3B8E}"/>
    <cellStyle name="Euro 33 5" xfId="1398" xr:uid="{00000000-0005-0000-0000-00002E010000}"/>
    <cellStyle name="Euro 33 6" xfId="2737" xr:uid="{CDB4F35D-6F29-493B-82B7-C3AB16514BD7}"/>
    <cellStyle name="Euro 33 6 2" xfId="9628" xr:uid="{1A0B7A89-7D52-41D4-B8A2-1325A3C4637C}"/>
    <cellStyle name="Euro 34" xfId="163" xr:uid="{00000000-0005-0000-0000-00002F010000}"/>
    <cellStyle name="Euro 34 2" xfId="164" xr:uid="{00000000-0005-0000-0000-000030010000}"/>
    <cellStyle name="Euro 34 2 2" xfId="2738" xr:uid="{C4CE7A7B-5507-4854-9A7F-77AA5EEDADDA}"/>
    <cellStyle name="Euro 34 2 2 2" xfId="13404" xr:uid="{45D0CFD0-2189-46AB-BA70-81868657FB83}"/>
    <cellStyle name="Euro 34 2 3" xfId="13084" xr:uid="{A9E8A642-8497-4CAF-A164-EAE7CDB07AF7}"/>
    <cellStyle name="Euro 34 3" xfId="165" xr:uid="{00000000-0005-0000-0000-000031010000}"/>
    <cellStyle name="Euro 34 3 2" xfId="166" xr:uid="{00000000-0005-0000-0000-000032010000}"/>
    <cellStyle name="Euro 34 3 2 2" xfId="1399" xr:uid="{00000000-0005-0000-0000-000033010000}"/>
    <cellStyle name="Euro 34 3 2 3" xfId="7746" xr:uid="{07BFB06F-5AAB-4833-9D79-A79FE7D49C81}"/>
    <cellStyle name="Euro 34 3 2 3 2" xfId="13866" xr:uid="{76BA87C7-DC6D-4D75-B016-2E0455A3F3AA}"/>
    <cellStyle name="Euro 34 3 3" xfId="2739" xr:uid="{0C6029EB-E2A2-4B6E-A443-4666D7C7EDA2}"/>
    <cellStyle name="Euro 34 3 3 2" xfId="9034" xr:uid="{4D944345-9166-4181-A214-A7BD524191D9}"/>
    <cellStyle name="Euro 34 3 4" xfId="2740" xr:uid="{A752ED59-8DFE-4AE3-98FC-32F3AA5E3B86}"/>
    <cellStyle name="Euro 34 3 4 2" xfId="13654" xr:uid="{DC6D5127-FD07-4678-BE10-367B01119105}"/>
    <cellStyle name="Euro 34 3 5" xfId="12274" xr:uid="{BE9A5554-A26C-4BE7-B64E-1D208E1FEAF0}"/>
    <cellStyle name="Euro 34 4" xfId="1400" xr:uid="{00000000-0005-0000-0000-000034010000}"/>
    <cellStyle name="Euro 34 4 2" xfId="1401" xr:uid="{00000000-0005-0000-0000-000035010000}"/>
    <cellStyle name="Euro 34 4 2 2" xfId="9035" xr:uid="{5148D283-42D0-4A5C-9E40-D5042FEFFFF4}"/>
    <cellStyle name="Euro 34 4 2 3" xfId="17771" xr:uid="{9B77D00F-648E-4E7C-9797-21AD94633B2F}"/>
    <cellStyle name="Euro 34 4 2 4" xfId="17447" xr:uid="{BC3484E5-58E3-44A9-BB49-AE438C62A620}"/>
    <cellStyle name="Euro 34 4 3" xfId="9036" xr:uid="{502E5F9D-E9FE-444B-988F-D28D78F0D4FF}"/>
    <cellStyle name="Euro 34 5" xfId="1402" xr:uid="{00000000-0005-0000-0000-000036010000}"/>
    <cellStyle name="Euro 34 6" xfId="2741" xr:uid="{55A9E201-F218-4B57-BA59-0A3065C9D442}"/>
    <cellStyle name="Euro 34 6 2" xfId="9629" xr:uid="{9191992E-042E-4599-904A-E41D0252210F}"/>
    <cellStyle name="Euro 35" xfId="167" xr:uid="{00000000-0005-0000-0000-000037010000}"/>
    <cellStyle name="Euro 35 2" xfId="168" xr:uid="{00000000-0005-0000-0000-000038010000}"/>
    <cellStyle name="Euro 35 2 2" xfId="2742" xr:uid="{F0B4A86B-26D5-4D2B-87C6-D94914D4B03F}"/>
    <cellStyle name="Euro 35 2 2 2" xfId="13405" xr:uid="{5C58D123-E88C-4B0F-92EB-6167CA7EE80C}"/>
    <cellStyle name="Euro 35 2 3" xfId="13085" xr:uid="{FD4B7FF8-6762-4028-934A-4503DCBCDE22}"/>
    <cellStyle name="Euro 35 3" xfId="169" xr:uid="{00000000-0005-0000-0000-000039010000}"/>
    <cellStyle name="Euro 35 3 2" xfId="170" xr:uid="{00000000-0005-0000-0000-00003A010000}"/>
    <cellStyle name="Euro 35 3 2 2" xfId="1403" xr:uid="{00000000-0005-0000-0000-00003B010000}"/>
    <cellStyle name="Euro 35 3 2 3" xfId="7747" xr:uid="{32F016B1-DF13-48A1-8C7C-22D080C6C708}"/>
    <cellStyle name="Euro 35 3 2 3 2" xfId="13867" xr:uid="{6E337E4C-C185-47B5-ABF7-E107B160A51E}"/>
    <cellStyle name="Euro 35 3 3" xfId="2743" xr:uid="{2000A90D-8912-41B3-A6AD-B05ADFD8FD1A}"/>
    <cellStyle name="Euro 35 3 3 2" xfId="9037" xr:uid="{087B24B4-1960-4226-9B3F-677CE81F36E8}"/>
    <cellStyle name="Euro 35 3 4" xfId="2744" xr:uid="{7A83A180-7A43-48B0-99E9-0C9E7E75A693}"/>
    <cellStyle name="Euro 35 3 4 2" xfId="13655" xr:uid="{35377454-ED12-460A-8F1B-C4DBA6A75B12}"/>
    <cellStyle name="Euro 35 3 5" xfId="11540" xr:uid="{FE50A477-33E1-497F-9F44-FB6976EEBCEE}"/>
    <cellStyle name="Euro 35 4" xfId="1404" xr:uid="{00000000-0005-0000-0000-00003C010000}"/>
    <cellStyle name="Euro 35 4 2" xfId="1405" xr:uid="{00000000-0005-0000-0000-00003D010000}"/>
    <cellStyle name="Euro 35 4 2 2" xfId="9038" xr:uid="{46F4FBF4-A33F-40C8-9E34-60F9416B0B1A}"/>
    <cellStyle name="Euro 35 4 2 3" xfId="17772" xr:uid="{A7BBEEE1-38BA-4531-B1C6-F459AEDA4AFC}"/>
    <cellStyle name="Euro 35 4 2 4" xfId="17444" xr:uid="{F16714C2-7026-406A-89BE-95AD8E4FED99}"/>
    <cellStyle name="Euro 35 4 3" xfId="9039" xr:uid="{03D26B11-F158-4DEF-8797-BE4F1C18684C}"/>
    <cellStyle name="Euro 35 5" xfId="1406" xr:uid="{00000000-0005-0000-0000-00003E010000}"/>
    <cellStyle name="Euro 35 6" xfId="2745" xr:uid="{53521B25-13C8-4C1E-AF1E-26A90BA7AE5C}"/>
    <cellStyle name="Euro 35 6 2" xfId="9630" xr:uid="{D12A5F14-27E3-4F64-8BDF-21373260FBE4}"/>
    <cellStyle name="Euro 36" xfId="171" xr:uid="{00000000-0005-0000-0000-00003F010000}"/>
    <cellStyle name="Euro 36 2" xfId="172" xr:uid="{00000000-0005-0000-0000-000040010000}"/>
    <cellStyle name="Euro 36 2 2" xfId="2746" xr:uid="{B9584DE4-8A71-45A4-A229-333313AC54A9}"/>
    <cellStyle name="Euro 36 2 2 2" xfId="13406" xr:uid="{45CFF8C3-D0D9-42AA-860D-FD7B70780BA0}"/>
    <cellStyle name="Euro 36 2 3" xfId="13086" xr:uid="{E63D0BC8-FC9F-48BC-A41D-E38F37F35CC1}"/>
    <cellStyle name="Euro 36 3" xfId="173" xr:uid="{00000000-0005-0000-0000-000041010000}"/>
    <cellStyle name="Euro 36 3 2" xfId="174" xr:uid="{00000000-0005-0000-0000-000042010000}"/>
    <cellStyle name="Euro 36 3 2 2" xfId="1407" xr:uid="{00000000-0005-0000-0000-000043010000}"/>
    <cellStyle name="Euro 36 3 2 3" xfId="7748" xr:uid="{BCC89AFB-6C03-4B23-8FBE-2712D5372B6E}"/>
    <cellStyle name="Euro 36 3 2 3 2" xfId="13868" xr:uid="{E4D70D99-5F47-4C46-9A0F-8BB7512E8672}"/>
    <cellStyle name="Euro 36 3 3" xfId="2747" xr:uid="{30887B0A-BF65-4BB9-8C5B-FF885973C679}"/>
    <cellStyle name="Euro 36 3 3 2" xfId="9040" xr:uid="{A42C4D31-55AC-4B4E-908A-BF9625198C2F}"/>
    <cellStyle name="Euro 36 3 4" xfId="2748" xr:uid="{02DDE347-B7A0-4595-9C23-F699A0BC904A}"/>
    <cellStyle name="Euro 36 3 4 2" xfId="13656" xr:uid="{2AA58EE2-9370-4BA1-ADF3-FD58463422CC}"/>
    <cellStyle name="Euro 36 3 5" xfId="12273" xr:uid="{8EB27C54-F17F-4CA5-94EC-74FEF03251F9}"/>
    <cellStyle name="Euro 36 4" xfId="1408" xr:uid="{00000000-0005-0000-0000-000044010000}"/>
    <cellStyle name="Euro 36 4 2" xfId="1409" xr:uid="{00000000-0005-0000-0000-000045010000}"/>
    <cellStyle name="Euro 36 4 2 2" xfId="9041" xr:uid="{F9F51EF6-6EA9-404E-91CC-36CBD31B9920}"/>
    <cellStyle name="Euro 36 4 2 3" xfId="17773" xr:uid="{0F3250EA-4778-4EA4-9734-6C694A5B2037}"/>
    <cellStyle name="Euro 36 4 2 4" xfId="17443" xr:uid="{CF5EB8AE-C73A-4657-9546-3752D98F7AF3}"/>
    <cellStyle name="Euro 36 4 3" xfId="9042" xr:uid="{A0AA8BB2-825F-4319-B6FA-CC9FB05BE4F9}"/>
    <cellStyle name="Euro 36 5" xfId="1410" xr:uid="{00000000-0005-0000-0000-000046010000}"/>
    <cellStyle name="Euro 36 6" xfId="2749" xr:uid="{81FCC6A1-61F8-43FE-8165-B4F7B4DB2CE5}"/>
    <cellStyle name="Euro 36 6 2" xfId="9631" xr:uid="{87F864B2-3625-40F1-8994-4FE2E508CDBC}"/>
    <cellStyle name="Euro 37" xfId="175" xr:uid="{00000000-0005-0000-0000-000047010000}"/>
    <cellStyle name="Euro 37 2" xfId="176" xr:uid="{00000000-0005-0000-0000-000048010000}"/>
    <cellStyle name="Euro 37 2 2" xfId="2750" xr:uid="{E04E70E3-A6B6-4C9E-9A24-34AC3E435677}"/>
    <cellStyle name="Euro 37 2 2 2" xfId="13407" xr:uid="{7BD7DC8D-8122-49C4-8598-A0E5C9BB16A5}"/>
    <cellStyle name="Euro 37 2 3" xfId="13087" xr:uid="{2AF3F411-65DD-4E12-9854-8DC26827EC3D}"/>
    <cellStyle name="Euro 37 3" xfId="177" xr:uid="{00000000-0005-0000-0000-000049010000}"/>
    <cellStyle name="Euro 37 3 2" xfId="178" xr:uid="{00000000-0005-0000-0000-00004A010000}"/>
    <cellStyle name="Euro 37 3 2 2" xfId="1411" xr:uid="{00000000-0005-0000-0000-00004B010000}"/>
    <cellStyle name="Euro 37 3 2 3" xfId="7749" xr:uid="{237E32C4-0F69-4C17-A859-447DAA536D5C}"/>
    <cellStyle name="Euro 37 3 2 3 2" xfId="13869" xr:uid="{C8C134EC-0429-4FA6-8892-6F96618C4E79}"/>
    <cellStyle name="Euro 37 3 3" xfId="2751" xr:uid="{A6F22637-26EE-4071-B06F-9A77816F49B0}"/>
    <cellStyle name="Euro 37 3 3 2" xfId="9043" xr:uid="{77B75B29-0B34-4FA9-B7AC-B5151F554694}"/>
    <cellStyle name="Euro 37 3 4" xfId="2752" xr:uid="{590A254F-E152-49F6-B86E-FB2ABDAF27C6}"/>
    <cellStyle name="Euro 37 3 4 2" xfId="13657" xr:uid="{4A4EAF02-0753-479C-931F-AC5D2FD309D1}"/>
    <cellStyle name="Euro 37 3 5" xfId="11226" xr:uid="{4D20B028-21B9-4306-9F0F-BAC77D006F38}"/>
    <cellStyle name="Euro 37 4" xfId="1412" xr:uid="{00000000-0005-0000-0000-00004C010000}"/>
    <cellStyle name="Euro 37 4 2" xfId="1413" xr:uid="{00000000-0005-0000-0000-00004D010000}"/>
    <cellStyle name="Euro 37 4 2 2" xfId="9044" xr:uid="{EC103EBC-8B13-4025-8A88-641B9F5D1D07}"/>
    <cellStyle name="Euro 37 4 2 3" xfId="17774" xr:uid="{82289B0C-2F97-4713-B8B3-3D8B8A6A7D0D}"/>
    <cellStyle name="Euro 37 4 2 4" xfId="17442" xr:uid="{B2D02E51-2DE6-4E8E-B40B-F1F27249580A}"/>
    <cellStyle name="Euro 37 4 3" xfId="9045" xr:uid="{266D11AE-089B-49D6-8767-1052BCCD6F99}"/>
    <cellStyle name="Euro 37 5" xfId="1414" xr:uid="{00000000-0005-0000-0000-00004E010000}"/>
    <cellStyle name="Euro 37 6" xfId="2753" xr:uid="{457C010B-FF35-4DA0-BD44-564D4177A3E2}"/>
    <cellStyle name="Euro 37 6 2" xfId="9632" xr:uid="{B3D70F7B-EB04-4816-AA77-3B09971F1CE9}"/>
    <cellStyle name="Euro 38" xfId="179" xr:uid="{00000000-0005-0000-0000-00004F010000}"/>
    <cellStyle name="Euro 38 2" xfId="180" xr:uid="{00000000-0005-0000-0000-000050010000}"/>
    <cellStyle name="Euro 38 2 2" xfId="2754" xr:uid="{AEBF3F9D-7647-43CF-A5C2-F78ABE523F0D}"/>
    <cellStyle name="Euro 38 2 2 2" xfId="13408" xr:uid="{F0BC6312-E13C-4394-B45E-6BC0E7A97D33}"/>
    <cellStyle name="Euro 38 2 3" xfId="13088" xr:uid="{3CEAAFB1-C5D8-4EE5-8F44-3FE44270DFBE}"/>
    <cellStyle name="Euro 38 3" xfId="181" xr:uid="{00000000-0005-0000-0000-000051010000}"/>
    <cellStyle name="Euro 38 3 2" xfId="182" xr:uid="{00000000-0005-0000-0000-000052010000}"/>
    <cellStyle name="Euro 38 3 2 2" xfId="1415" xr:uid="{00000000-0005-0000-0000-000053010000}"/>
    <cellStyle name="Euro 38 3 2 3" xfId="7750" xr:uid="{B4065625-3F44-4112-B12C-8E6377B30592}"/>
    <cellStyle name="Euro 38 3 2 3 2" xfId="13870" xr:uid="{9B50877A-FE87-4097-B4D5-3BB7A49EFB22}"/>
    <cellStyle name="Euro 38 3 3" xfId="2755" xr:uid="{08DB3719-4E57-4C41-BBEA-2BB1D5E1D312}"/>
    <cellStyle name="Euro 38 3 3 2" xfId="9046" xr:uid="{358C0CBA-AD94-4269-B39C-9EE7B144F388}"/>
    <cellStyle name="Euro 38 3 4" xfId="2756" xr:uid="{7F6BB06B-11EC-499C-A7D4-9B95D9C53BE9}"/>
    <cellStyle name="Euro 38 3 4 2" xfId="13658" xr:uid="{976DB2AD-5EC0-4ADE-B7EB-789E5F3E23E8}"/>
    <cellStyle name="Euro 38 3 5" xfId="11520" xr:uid="{106E0B21-B5F5-4074-9D55-21900018470C}"/>
    <cellStyle name="Euro 38 4" xfId="1416" xr:uid="{00000000-0005-0000-0000-000054010000}"/>
    <cellStyle name="Euro 38 4 2" xfId="1417" xr:uid="{00000000-0005-0000-0000-000055010000}"/>
    <cellStyle name="Euro 38 4 2 2" xfId="9047" xr:uid="{F5643C78-35D3-4826-85AB-065062516B7E}"/>
    <cellStyle name="Euro 38 4 2 3" xfId="17775" xr:uid="{66798258-7BDB-47D1-8CFC-84C8DC3A2A4B}"/>
    <cellStyle name="Euro 38 4 2 4" xfId="17441" xr:uid="{B4B1389C-BDAB-43E3-AD6B-9330E3FDDA72}"/>
    <cellStyle name="Euro 38 4 3" xfId="9048" xr:uid="{7D8278C6-F483-4524-A9F1-58FEB25DED55}"/>
    <cellStyle name="Euro 38 5" xfId="1418" xr:uid="{00000000-0005-0000-0000-000056010000}"/>
    <cellStyle name="Euro 38 6" xfId="2757" xr:uid="{BE8D73F1-14AB-4158-B91A-3FD62EC6FCD4}"/>
    <cellStyle name="Euro 38 6 2" xfId="9633" xr:uid="{F721972A-D64B-433E-966D-A89BD27FE6EF}"/>
    <cellStyle name="Euro 39" xfId="183" xr:uid="{00000000-0005-0000-0000-000057010000}"/>
    <cellStyle name="Euro 39 2" xfId="184" xr:uid="{00000000-0005-0000-0000-000058010000}"/>
    <cellStyle name="Euro 39 2 2" xfId="2758" xr:uid="{D9057C53-7D7E-4F22-8607-B7DABF636F34}"/>
    <cellStyle name="Euro 39 2 2 2" xfId="13409" xr:uid="{FC82C8A7-59FE-4973-AD8A-F2AB73D4680F}"/>
    <cellStyle name="Euro 39 2 3" xfId="13089" xr:uid="{44474754-F341-41C9-A5A2-742ACCD3AB28}"/>
    <cellStyle name="Euro 39 3" xfId="185" xr:uid="{00000000-0005-0000-0000-000059010000}"/>
    <cellStyle name="Euro 39 3 2" xfId="186" xr:uid="{00000000-0005-0000-0000-00005A010000}"/>
    <cellStyle name="Euro 39 3 2 2" xfId="1419" xr:uid="{00000000-0005-0000-0000-00005B010000}"/>
    <cellStyle name="Euro 39 3 2 3" xfId="7751" xr:uid="{AD0968A3-9894-421A-917C-BD2E8E1DB978}"/>
    <cellStyle name="Euro 39 3 2 3 2" xfId="13871" xr:uid="{C329EACF-7D1B-4C77-A9D1-07DFCCC3D04A}"/>
    <cellStyle name="Euro 39 3 3" xfId="2759" xr:uid="{57D9087A-1D30-48FD-BB65-8C09DFD442E5}"/>
    <cellStyle name="Euro 39 3 3 2" xfId="9049" xr:uid="{0D1C1060-828E-46B7-90E9-63DE42E03249}"/>
    <cellStyle name="Euro 39 3 4" xfId="2760" xr:uid="{995C539C-7F7D-47D8-90DA-226CB2422EF3}"/>
    <cellStyle name="Euro 39 3 4 2" xfId="13659" xr:uid="{3FD5A229-8D3E-4AE2-9952-540A6F3BF617}"/>
    <cellStyle name="Euro 39 3 5" xfId="11508" xr:uid="{72257588-B14E-42E1-80D3-78E89C85F1DD}"/>
    <cellStyle name="Euro 39 4" xfId="1420" xr:uid="{00000000-0005-0000-0000-00005C010000}"/>
    <cellStyle name="Euro 39 4 2" xfId="1421" xr:uid="{00000000-0005-0000-0000-00005D010000}"/>
    <cellStyle name="Euro 39 4 2 2" xfId="9050" xr:uid="{076DB321-3C5C-46C1-A267-A3705E5747BA}"/>
    <cellStyle name="Euro 39 4 2 3" xfId="17776" xr:uid="{DF995862-856A-420C-A7E3-58AD9A4B91BB}"/>
    <cellStyle name="Euro 39 4 2 4" xfId="17440" xr:uid="{AED7C4A5-78BF-4D5A-8B81-445E16715E43}"/>
    <cellStyle name="Euro 39 4 3" xfId="9051" xr:uid="{18874FE5-49B0-458C-BD0B-70B22359E0E6}"/>
    <cellStyle name="Euro 39 5" xfId="1422" xr:uid="{00000000-0005-0000-0000-00005E010000}"/>
    <cellStyle name="Euro 39 6" xfId="2761" xr:uid="{96BEC250-9C31-4C49-857B-968E840864E9}"/>
    <cellStyle name="Euro 39 6 2" xfId="9634" xr:uid="{E13404EB-CDCD-481C-8777-FB337AE207A9}"/>
    <cellStyle name="Euro 4" xfId="187" xr:uid="{00000000-0005-0000-0000-00005F010000}"/>
    <cellStyle name="Euro 4 2" xfId="188" xr:uid="{00000000-0005-0000-0000-000060010000}"/>
    <cellStyle name="Euro 4 2 2" xfId="2762" xr:uid="{A3482B85-0F02-43C0-A434-FE690A8CD09F}"/>
    <cellStyle name="Euro 4 2 2 2" xfId="13410" xr:uid="{0B5F4722-C432-42F4-9757-1D17942E02B7}"/>
    <cellStyle name="Euro 4 2 3" xfId="13090" xr:uid="{EDC1562F-945B-41D5-9D0D-43E3A82FA0BB}"/>
    <cellStyle name="Euro 4 3" xfId="189" xr:uid="{00000000-0005-0000-0000-000061010000}"/>
    <cellStyle name="Euro 4 3 2" xfId="190" xr:uid="{00000000-0005-0000-0000-000062010000}"/>
    <cellStyle name="Euro 4 3 2 2" xfId="1423" xr:uid="{00000000-0005-0000-0000-000063010000}"/>
    <cellStyle name="Euro 4 3 2 3" xfId="7752" xr:uid="{51B914DC-028F-450E-B73C-B19AA0DEC3CE}"/>
    <cellStyle name="Euro 4 3 2 3 2" xfId="13872" xr:uid="{5FC3FA2B-ED37-42A9-8203-DDD3BD6AB7D0}"/>
    <cellStyle name="Euro 4 3 3" xfId="2763" xr:uid="{3BD4257B-C9E3-4A88-8108-0DE78A87560E}"/>
    <cellStyle name="Euro 4 3 3 2" xfId="9052" xr:uid="{35C40E93-1041-4559-875F-E888713A9EDB}"/>
    <cellStyle name="Euro 4 3 4" xfId="2764" xr:uid="{BC93E2D0-9AAF-4A54-B97B-B1809099C469}"/>
    <cellStyle name="Euro 4 3 4 2" xfId="13660" xr:uid="{0632A5D6-3983-4F17-9B49-168980D4B0EA}"/>
    <cellStyle name="Euro 4 3 5" xfId="11538" xr:uid="{4618DAB9-B9C6-4784-934F-2FE18B04E245}"/>
    <cellStyle name="Euro 4 4" xfId="1424" xr:uid="{00000000-0005-0000-0000-000064010000}"/>
    <cellStyle name="Euro 4 4 2" xfId="1425" xr:uid="{00000000-0005-0000-0000-000065010000}"/>
    <cellStyle name="Euro 4 4 2 2" xfId="9053" xr:uid="{07AA1854-AC11-4B17-B185-9836CB05574F}"/>
    <cellStyle name="Euro 4 4 2 3" xfId="17777" xr:uid="{E2A8FCC6-66FA-4A85-B047-B13EFE9D07F3}"/>
    <cellStyle name="Euro 4 4 2 4" xfId="17439" xr:uid="{38B27B04-CC98-4E67-8F8E-81E2E05DA591}"/>
    <cellStyle name="Euro 4 4 3" xfId="9054" xr:uid="{1A494FF2-78DD-4894-BAFD-D4B34FEF7DCD}"/>
    <cellStyle name="Euro 4 5" xfId="1426" xr:uid="{00000000-0005-0000-0000-000066010000}"/>
    <cellStyle name="Euro 4 6" xfId="2765" xr:uid="{D2B3C8F7-E7A5-4ECF-9F74-C564C6A51716}"/>
    <cellStyle name="Euro 4 6 2" xfId="9635" xr:uid="{367612B7-B5A3-48F0-9FB1-650E6A194FEC}"/>
    <cellStyle name="Euro 40" xfId="191" xr:uid="{00000000-0005-0000-0000-000067010000}"/>
    <cellStyle name="Euro 40 2" xfId="192" xr:uid="{00000000-0005-0000-0000-000068010000}"/>
    <cellStyle name="Euro 40 2 2" xfId="2766" xr:uid="{DC3492BA-6EA2-49E6-BB10-CD9BA4593D3D}"/>
    <cellStyle name="Euro 40 2 2 2" xfId="13411" xr:uid="{09972E95-F5FA-4B54-A9C1-4B52B69C6E07}"/>
    <cellStyle name="Euro 40 2 3" xfId="13091" xr:uid="{0905A938-A187-46F7-AB9E-02DFED935AB8}"/>
    <cellStyle name="Euro 40 3" xfId="193" xr:uid="{00000000-0005-0000-0000-000069010000}"/>
    <cellStyle name="Euro 40 3 2" xfId="194" xr:uid="{00000000-0005-0000-0000-00006A010000}"/>
    <cellStyle name="Euro 40 3 2 2" xfId="1427" xr:uid="{00000000-0005-0000-0000-00006B010000}"/>
    <cellStyle name="Euro 40 3 2 3" xfId="7753" xr:uid="{598CAC36-86AE-4256-B415-3756119C8D07}"/>
    <cellStyle name="Euro 40 3 2 3 2" xfId="13873" xr:uid="{19BEE157-EDF6-4584-A6D6-3CD0AA6CC8DB}"/>
    <cellStyle name="Euro 40 3 3" xfId="2767" xr:uid="{9B3908D0-8E9D-46FD-A78C-5FDC3ADDB1FC}"/>
    <cellStyle name="Euro 40 3 3 2" xfId="9055" xr:uid="{C03A9D0D-C666-421F-BE9C-D92029017FD9}"/>
    <cellStyle name="Euro 40 3 4" xfId="2768" xr:uid="{CBCBC6FA-B88E-4D61-8CC7-15CCA14E5581}"/>
    <cellStyle name="Euro 40 3 4 2" xfId="13661" xr:uid="{36E998B9-1796-4D90-931D-F088606EBCAE}"/>
    <cellStyle name="Euro 40 3 5" xfId="11539" xr:uid="{3AC50155-A6FC-498C-B310-A64FCB90E484}"/>
    <cellStyle name="Euro 40 4" xfId="1428" xr:uid="{00000000-0005-0000-0000-00006C010000}"/>
    <cellStyle name="Euro 40 4 2" xfId="1429" xr:uid="{00000000-0005-0000-0000-00006D010000}"/>
    <cellStyle name="Euro 40 4 2 2" xfId="9056" xr:uid="{8BDDC46E-6D5D-419F-A55A-088BAB92F15D}"/>
    <cellStyle name="Euro 40 4 2 3" xfId="17778" xr:uid="{734D3CA1-7F14-47CE-AE92-7B94D3896404}"/>
    <cellStyle name="Euro 40 4 2 4" xfId="17438" xr:uid="{57C1DD9C-C2E7-4603-9BED-6FED29BE5860}"/>
    <cellStyle name="Euro 40 4 3" xfId="9057" xr:uid="{68030D1C-B706-49F6-847D-81D8CF5443A7}"/>
    <cellStyle name="Euro 40 5" xfId="1430" xr:uid="{00000000-0005-0000-0000-00006E010000}"/>
    <cellStyle name="Euro 40 6" xfId="2769" xr:uid="{96EF9291-FF9D-4E63-B4DB-CE7995090597}"/>
    <cellStyle name="Euro 40 6 2" xfId="9636" xr:uid="{07F33BE3-A840-4ECD-A352-50EE64581E65}"/>
    <cellStyle name="Euro 41" xfId="195" xr:uid="{00000000-0005-0000-0000-00006F010000}"/>
    <cellStyle name="Euro 41 2" xfId="196" xr:uid="{00000000-0005-0000-0000-000070010000}"/>
    <cellStyle name="Euro 41 2 2" xfId="2770" xr:uid="{C97650D4-752D-4E55-956E-7B208AF13EE7}"/>
    <cellStyle name="Euro 41 2 2 2" xfId="13412" xr:uid="{02F097E9-A955-4BB3-8882-11ECADF86874}"/>
    <cellStyle name="Euro 41 2 3" xfId="13092" xr:uid="{BCBAF8C7-3367-4C0F-8F87-2C9AC34024FE}"/>
    <cellStyle name="Euro 41 3" xfId="197" xr:uid="{00000000-0005-0000-0000-000071010000}"/>
    <cellStyle name="Euro 41 3 2" xfId="198" xr:uid="{00000000-0005-0000-0000-000072010000}"/>
    <cellStyle name="Euro 41 3 2 2" xfId="1431" xr:uid="{00000000-0005-0000-0000-000073010000}"/>
    <cellStyle name="Euro 41 3 2 3" xfId="7754" xr:uid="{47AA4BA4-8ED9-4D42-B185-D5156A4D072F}"/>
    <cellStyle name="Euro 41 3 2 3 2" xfId="13874" xr:uid="{0AEF13C9-A5B2-4E91-835E-A8B0FD1BA8C3}"/>
    <cellStyle name="Euro 41 3 3" xfId="2771" xr:uid="{2557ADB5-E29D-4646-89FB-BD4C6110D934}"/>
    <cellStyle name="Euro 41 3 3 2" xfId="9058" xr:uid="{76991EB2-DCF2-485B-983B-ED3533FB1E21}"/>
    <cellStyle name="Euro 41 3 4" xfId="2772" xr:uid="{B1404088-A954-4710-A7AA-96266A2639BD}"/>
    <cellStyle name="Euro 41 3 4 2" xfId="13662" xr:uid="{32DFD588-A475-4682-B5AD-7AE8DA9030B8}"/>
    <cellStyle name="Euro 41 3 5" xfId="12275" xr:uid="{DB80E547-FE94-4AC5-B658-D8E03E0D3CEF}"/>
    <cellStyle name="Euro 41 4" xfId="1432" xr:uid="{00000000-0005-0000-0000-000074010000}"/>
    <cellStyle name="Euro 41 4 2" xfId="1433" xr:uid="{00000000-0005-0000-0000-000075010000}"/>
    <cellStyle name="Euro 41 4 2 2" xfId="9059" xr:uid="{3BD39EE9-5CB8-4A27-9A3A-87E177C6CE90}"/>
    <cellStyle name="Euro 41 4 2 3" xfId="17779" xr:uid="{3E025108-D25B-4C93-9A57-9E9F54A740CF}"/>
    <cellStyle name="Euro 41 4 2 4" xfId="17437" xr:uid="{3EEB89BE-0151-4FD3-ACA8-D972364A5EEF}"/>
    <cellStyle name="Euro 41 4 3" xfId="9060" xr:uid="{50D63496-F61F-4EBE-AA7C-DE9D9C7919BC}"/>
    <cellStyle name="Euro 41 5" xfId="1434" xr:uid="{00000000-0005-0000-0000-000076010000}"/>
    <cellStyle name="Euro 41 6" xfId="2773" xr:uid="{5E1BB319-D45F-4C84-AC87-6E351EF4F86F}"/>
    <cellStyle name="Euro 41 6 2" xfId="9637" xr:uid="{7E9CC084-27EB-46D5-A19E-63A063FFE85B}"/>
    <cellStyle name="Euro 42" xfId="199" xr:uid="{00000000-0005-0000-0000-000077010000}"/>
    <cellStyle name="Euro 42 2" xfId="200" xr:uid="{00000000-0005-0000-0000-000078010000}"/>
    <cellStyle name="Euro 42 2 2" xfId="2774" xr:uid="{D32EC4B1-0FF1-4A30-8429-17524946B732}"/>
    <cellStyle name="Euro 42 2 2 2" xfId="13413" xr:uid="{20FC44AF-C3FB-441C-A52F-FBB1F0BA4DA9}"/>
    <cellStyle name="Euro 42 2 3" xfId="13093" xr:uid="{A53262C1-00FE-4032-B04B-94AF1FAFA311}"/>
    <cellStyle name="Euro 42 3" xfId="201" xr:uid="{00000000-0005-0000-0000-000079010000}"/>
    <cellStyle name="Euro 42 3 2" xfId="202" xr:uid="{00000000-0005-0000-0000-00007A010000}"/>
    <cellStyle name="Euro 42 3 2 2" xfId="1435" xr:uid="{00000000-0005-0000-0000-00007B010000}"/>
    <cellStyle name="Euro 42 3 2 3" xfId="7755" xr:uid="{371F0057-61D2-4A6B-8FB3-7AADE82E9119}"/>
    <cellStyle name="Euro 42 3 2 3 2" xfId="13875" xr:uid="{947525FC-5BA4-40ED-A681-AC660B8C5B0C}"/>
    <cellStyle name="Euro 42 3 3" xfId="2775" xr:uid="{F012731B-4967-46AB-A7F7-2B4726A8670B}"/>
    <cellStyle name="Euro 42 3 3 2" xfId="9061" xr:uid="{FFBC5C3B-894D-4229-809D-7BDBFA0E446F}"/>
    <cellStyle name="Euro 42 3 4" xfId="2776" xr:uid="{4F3FE6A1-3053-4916-9913-33CD7EAD6365}"/>
    <cellStyle name="Euro 42 3 4 2" xfId="13663" xr:uid="{F806B68B-4A2C-43B7-8DBA-B5C7B1C824B1}"/>
    <cellStyle name="Euro 42 3 5" xfId="12237" xr:uid="{688D92A6-8B58-4825-A962-A9C163621D29}"/>
    <cellStyle name="Euro 42 4" xfId="1436" xr:uid="{00000000-0005-0000-0000-00007C010000}"/>
    <cellStyle name="Euro 42 4 2" xfId="1437" xr:uid="{00000000-0005-0000-0000-00007D010000}"/>
    <cellStyle name="Euro 42 4 2 2" xfId="9062" xr:uid="{C3C869CF-518B-457F-9A2A-D7A664FD99C0}"/>
    <cellStyle name="Euro 42 4 2 3" xfId="17780" xr:uid="{03EA794D-31C7-470B-BFB0-0D0C9F507C73}"/>
    <cellStyle name="Euro 42 4 2 4" xfId="17436" xr:uid="{7C9615EA-7E88-4170-8803-3302BF1E8BC6}"/>
    <cellStyle name="Euro 42 4 3" xfId="9063" xr:uid="{1699FBAC-ABA0-4E6A-953B-0100C4387555}"/>
    <cellStyle name="Euro 42 5" xfId="1438" xr:uid="{00000000-0005-0000-0000-00007E010000}"/>
    <cellStyle name="Euro 42 6" xfId="2777" xr:uid="{7EB66470-5D1D-41E2-A21C-074E1D426E16}"/>
    <cellStyle name="Euro 42 6 2" xfId="9638" xr:uid="{C15BBDD7-3619-4B91-8C4A-7251FD2C69A0}"/>
    <cellStyle name="Euro 43" xfId="203" xr:uid="{00000000-0005-0000-0000-00007F010000}"/>
    <cellStyle name="Euro 43 2" xfId="204" xr:uid="{00000000-0005-0000-0000-000080010000}"/>
    <cellStyle name="Euro 43 2 2" xfId="2778" xr:uid="{2CEE256B-2478-4FA5-904B-F9EC08CE3B55}"/>
    <cellStyle name="Euro 43 2 2 2" xfId="13414" xr:uid="{4A5BCAA1-03FB-4F1A-A7E0-8A005E6624BB}"/>
    <cellStyle name="Euro 43 2 3" xfId="13094" xr:uid="{F5B30EF4-9A5A-4FB0-B71E-6AAE4E4E8BF7}"/>
    <cellStyle name="Euro 43 3" xfId="205" xr:uid="{00000000-0005-0000-0000-000081010000}"/>
    <cellStyle name="Euro 43 3 2" xfId="206" xr:uid="{00000000-0005-0000-0000-000082010000}"/>
    <cellStyle name="Euro 43 3 2 2" xfId="1439" xr:uid="{00000000-0005-0000-0000-000083010000}"/>
    <cellStyle name="Euro 43 3 2 3" xfId="7756" xr:uid="{E179D5C3-741A-439C-9B5C-C8456DD80B36}"/>
    <cellStyle name="Euro 43 3 2 3 2" xfId="13876" xr:uid="{58726FF5-5AD8-45C1-992D-0A3DA61179B4}"/>
    <cellStyle name="Euro 43 3 3" xfId="2779" xr:uid="{FF869E05-9B77-441F-979C-BDFCF7BDDF11}"/>
    <cellStyle name="Euro 43 3 3 2" xfId="9064" xr:uid="{C382DC5E-0955-42F4-A8CF-8E2B07AAF1C1}"/>
    <cellStyle name="Euro 43 3 4" xfId="2780" xr:uid="{C925B9E8-48C2-428A-BFCF-5E2D71A7516B}"/>
    <cellStyle name="Euro 43 3 4 2" xfId="13664" xr:uid="{036767EB-443D-4436-B44A-F24763C1920E}"/>
    <cellStyle name="Euro 43 3 5" xfId="11225" xr:uid="{D874F628-6066-438A-9A10-DC8BC7698A4B}"/>
    <cellStyle name="Euro 43 4" xfId="1440" xr:uid="{00000000-0005-0000-0000-000084010000}"/>
    <cellStyle name="Euro 43 4 2" xfId="1441" xr:uid="{00000000-0005-0000-0000-000085010000}"/>
    <cellStyle name="Euro 43 4 2 2" xfId="9065" xr:uid="{5CABC535-01CF-4347-BF01-E12BF479E10C}"/>
    <cellStyle name="Euro 43 4 2 3" xfId="17781" xr:uid="{6BED0B78-4BD0-4750-96B1-48EE6E83E131}"/>
    <cellStyle name="Euro 43 4 2 4" xfId="17435" xr:uid="{911CF1AE-63B3-47EF-A729-8BC0DE36FAC6}"/>
    <cellStyle name="Euro 43 4 3" xfId="9066" xr:uid="{53E12142-B043-41BD-B0DB-7734D3B4422A}"/>
    <cellStyle name="Euro 43 5" xfId="1442" xr:uid="{00000000-0005-0000-0000-000086010000}"/>
    <cellStyle name="Euro 43 6" xfId="2781" xr:uid="{6A7A5863-F133-4EEF-8E2E-E7D986BF8635}"/>
    <cellStyle name="Euro 43 6 2" xfId="9639" xr:uid="{2BECFEA7-23AB-4B79-8E74-A5A2DF3417EC}"/>
    <cellStyle name="Euro 44" xfId="207" xr:uid="{00000000-0005-0000-0000-000087010000}"/>
    <cellStyle name="Euro 44 2" xfId="208" xr:uid="{00000000-0005-0000-0000-000088010000}"/>
    <cellStyle name="Euro 44 2 2" xfId="2782" xr:uid="{EB62E236-BAB2-417E-933D-71DC3CBC12B0}"/>
    <cellStyle name="Euro 44 2 2 2" xfId="13415" xr:uid="{CD596E45-C8D6-4C0A-9F76-831C1D4DC85E}"/>
    <cellStyle name="Euro 44 2 3" xfId="13095" xr:uid="{8F8E5E43-3433-4F22-9135-13D0B64424A0}"/>
    <cellStyle name="Euro 44 3" xfId="209" xr:uid="{00000000-0005-0000-0000-000089010000}"/>
    <cellStyle name="Euro 44 3 2" xfId="210" xr:uid="{00000000-0005-0000-0000-00008A010000}"/>
    <cellStyle name="Euro 44 3 2 2" xfId="1443" xr:uid="{00000000-0005-0000-0000-00008B010000}"/>
    <cellStyle name="Euro 44 3 2 3" xfId="7757" xr:uid="{F681CC20-8948-43C0-9165-B7E51AD9E383}"/>
    <cellStyle name="Euro 44 3 2 3 2" xfId="13877" xr:uid="{4B8923FC-F3AB-4E60-9B25-A55F4E6E638E}"/>
    <cellStyle name="Euro 44 3 3" xfId="2783" xr:uid="{D82C0626-F081-4427-B078-739EEDCEEF35}"/>
    <cellStyle name="Euro 44 3 3 2" xfId="9067" xr:uid="{F081D97A-A4F8-4E62-8158-E3EB0BF8577E}"/>
    <cellStyle name="Euro 44 3 4" xfId="2784" xr:uid="{0AEF48BD-DD17-44C6-BBE6-0F16FDC661BB}"/>
    <cellStyle name="Euro 44 3 4 2" xfId="13665" xr:uid="{FC9F55D8-4B49-4F55-97FC-1E273394E240}"/>
    <cellStyle name="Euro 44 3 5" xfId="11224" xr:uid="{E86D00BD-FB23-47F6-93EF-DAED140D2DA1}"/>
    <cellStyle name="Euro 44 4" xfId="1444" xr:uid="{00000000-0005-0000-0000-00008C010000}"/>
    <cellStyle name="Euro 44 4 2" xfId="1445" xr:uid="{00000000-0005-0000-0000-00008D010000}"/>
    <cellStyle name="Euro 44 4 2 2" xfId="9068" xr:uid="{D9889E26-3DC4-4056-9F55-1156AD7B1445}"/>
    <cellStyle name="Euro 44 4 2 3" xfId="17782" xr:uid="{CE4AF6B2-9532-4A7B-9ACB-B9CA55E1B4A5}"/>
    <cellStyle name="Euro 44 4 2 4" xfId="17434" xr:uid="{0BAE2BAA-CF70-466F-A95F-98D37F03E489}"/>
    <cellStyle name="Euro 44 4 3" xfId="9069" xr:uid="{74839028-77C0-4890-9DA6-02059526F61A}"/>
    <cellStyle name="Euro 44 5" xfId="1446" xr:uid="{00000000-0005-0000-0000-00008E010000}"/>
    <cellStyle name="Euro 44 6" xfId="2785" xr:uid="{BDF4F773-6D67-438F-84CA-F2916CB7326D}"/>
    <cellStyle name="Euro 44 6 2" xfId="9640" xr:uid="{8C8F27DF-F330-4BCF-89DD-18B042F10FB3}"/>
    <cellStyle name="Euro 45" xfId="211" xr:uid="{00000000-0005-0000-0000-00008F010000}"/>
    <cellStyle name="Euro 45 2" xfId="212" xr:uid="{00000000-0005-0000-0000-000090010000}"/>
    <cellStyle name="Euro 45 2 2" xfId="9070" xr:uid="{C7FB60F1-629E-4025-80F8-83B5E4DCCE6A}"/>
    <cellStyle name="Euro 45 2 2 2" xfId="13416" xr:uid="{FED80493-14A5-48E8-BD4D-E61E5FF182F5}"/>
    <cellStyle name="Euro 45 2 3" xfId="11708" xr:uid="{49F16A09-4BF6-400F-B5F6-92D402E9840D}"/>
    <cellStyle name="Euro 45 2 4" xfId="11229" xr:uid="{D42B178B-EF4A-4F8E-AA6D-6A73787CC04D}"/>
    <cellStyle name="Euro 45 3" xfId="2787" xr:uid="{1C29E9DF-CB16-4C99-907F-3A203DA31AA9}"/>
    <cellStyle name="Euro 45 4" xfId="2786" xr:uid="{3B7C3440-34CB-42FB-A379-1FA90B9C90BC}"/>
    <cellStyle name="Euro 45 4 2" xfId="18054" xr:uid="{1A339584-B6F1-4AAD-8EB3-8AEE7058727E}"/>
    <cellStyle name="Euro 45 4 3" xfId="17564" xr:uid="{A92C5ABD-4975-4D0E-BFB5-6FFB5DF0B6D0}"/>
    <cellStyle name="Euro 45 4 4" xfId="11228" xr:uid="{44D4948E-A97C-4A5A-BB42-751A813EC9ED}"/>
    <cellStyle name="Euro 45 5" xfId="11709" xr:uid="{1FA585E2-0DD2-4496-9BAD-E30DAC526D72}"/>
    <cellStyle name="Euro 45 6" xfId="11147" xr:uid="{6F20C8F8-6012-4415-B593-8DD3EEB92EB7}"/>
    <cellStyle name="Euro 45 7" xfId="23824" xr:uid="{7B31380D-D870-4975-AF13-C6BCA8A65B92}"/>
    <cellStyle name="Euro 46" xfId="213" xr:uid="{00000000-0005-0000-0000-000091010000}"/>
    <cellStyle name="Euro 46 2" xfId="214" xr:uid="{00000000-0005-0000-0000-000092010000}"/>
    <cellStyle name="Euro 46 2 2" xfId="13417" xr:uid="{85532EFD-9D3A-4D84-837C-FEE16FD728F0}"/>
    <cellStyle name="Euro 46 3" xfId="13096" xr:uid="{03DBB346-0109-44E5-8E24-791ED7A971B5}"/>
    <cellStyle name="Euro 47" xfId="215" xr:uid="{00000000-0005-0000-0000-000093010000}"/>
    <cellStyle name="Euro 47 2" xfId="216" xr:uid="{00000000-0005-0000-0000-000094010000}"/>
    <cellStyle name="Euro 47 2 2" xfId="1447" xr:uid="{00000000-0005-0000-0000-000095010000}"/>
    <cellStyle name="Euro 47 2 3" xfId="7758" xr:uid="{5DF12432-3814-467A-9515-63E706D2461A}"/>
    <cellStyle name="Euro 47 2 3 2" xfId="13878" xr:uid="{50B39EB8-CA15-431D-B8D2-AA6A1DEFBC1D}"/>
    <cellStyle name="Euro 47 3" xfId="2788" xr:uid="{2D373E04-786B-437F-B74E-9CD65F822A7A}"/>
    <cellStyle name="Euro 47 3 2" xfId="9071" xr:uid="{FA7B224A-B192-4B82-8F2E-86370A4B6151}"/>
    <cellStyle name="Euro 47 4" xfId="2789" xr:uid="{041FD63F-E2F3-43B4-B998-9533EB526FF8}"/>
    <cellStyle name="Euro 47 4 2" xfId="13666" xr:uid="{D33C01EB-2AA9-4FA0-9DD1-F54BADDD193C}"/>
    <cellStyle name="Euro 47 5" xfId="12438" xr:uid="{A3E65754-8BCC-43DB-9324-9999E258ADE5}"/>
    <cellStyle name="Euro 48" xfId="217" xr:uid="{00000000-0005-0000-0000-000096010000}"/>
    <cellStyle name="Euro 48 2" xfId="2790" xr:uid="{3B2C8E0C-850F-4944-87BB-E0864CBE5FCD}"/>
    <cellStyle name="Euro 48 2 2" xfId="13418" xr:uid="{9EDFAD3D-B7F6-40E2-B913-33F9850D257F}"/>
    <cellStyle name="Euro 48 3" xfId="13097" xr:uid="{9AC38BCC-0A92-4C92-9A7C-BB8993726E26}"/>
    <cellStyle name="Euro 49" xfId="1448" xr:uid="{00000000-0005-0000-0000-000097010000}"/>
    <cellStyle name="Euro 49 2" xfId="1449" xr:uid="{00000000-0005-0000-0000-000098010000}"/>
    <cellStyle name="Euro 49 2 2" xfId="9072" xr:uid="{1BD0BFED-A625-455B-919E-A1CC1AA92817}"/>
    <cellStyle name="Euro 49 2 3" xfId="17783" xr:uid="{15C85AD7-056D-483A-8F47-73E5230EC6CC}"/>
    <cellStyle name="Euro 49 2 4" xfId="17433" xr:uid="{05A23142-3A4B-4C1C-90B0-2445DC494AFF}"/>
    <cellStyle name="Euro 49 3" xfId="9073" xr:uid="{DC82413E-1991-4F99-94CF-29DB060E171F}"/>
    <cellStyle name="Euro 5" xfId="218" xr:uid="{00000000-0005-0000-0000-000099010000}"/>
    <cellStyle name="Euro 5 2" xfId="219" xr:uid="{00000000-0005-0000-0000-00009A010000}"/>
    <cellStyle name="Euro 5 2 2" xfId="2791" xr:uid="{9AAED175-3C19-4561-B62E-CA396A36D3DB}"/>
    <cellStyle name="Euro 5 2 2 2" xfId="13419" xr:uid="{7836D486-A69E-435D-9880-739DCA8BF6A4}"/>
    <cellStyle name="Euro 5 2 3" xfId="13098" xr:uid="{8546964F-4D2C-42A1-8211-2CC286ED586F}"/>
    <cellStyle name="Euro 5 3" xfId="220" xr:uid="{00000000-0005-0000-0000-00009B010000}"/>
    <cellStyle name="Euro 5 3 2" xfId="221" xr:uid="{00000000-0005-0000-0000-00009C010000}"/>
    <cellStyle name="Euro 5 3 2 2" xfId="1450" xr:uid="{00000000-0005-0000-0000-00009D010000}"/>
    <cellStyle name="Euro 5 3 2 3" xfId="7759" xr:uid="{4171F243-9E9E-4BD3-AF88-5EBFE4C579DF}"/>
    <cellStyle name="Euro 5 3 2 3 2" xfId="13879" xr:uid="{5B21F382-E803-43ED-930A-3EBB612E8A94}"/>
    <cellStyle name="Euro 5 3 3" xfId="2792" xr:uid="{75DF7CAC-087A-4374-A763-8282155D222A}"/>
    <cellStyle name="Euro 5 3 3 2" xfId="9074" xr:uid="{B0E82183-CF61-4C94-BEE9-129F529D344C}"/>
    <cellStyle name="Euro 5 3 4" xfId="2793" xr:uid="{EC43CB9C-0685-4992-96F3-89230F8CC3FC}"/>
    <cellStyle name="Euro 5 3 4 2" xfId="13667" xr:uid="{6EAA4B76-D3D8-4A72-A185-423696818698}"/>
    <cellStyle name="Euro 5 3 5" xfId="12239" xr:uid="{F464185C-2C85-4B8A-88D7-491828ECE33A}"/>
    <cellStyle name="Euro 5 4" xfId="1451" xr:uid="{00000000-0005-0000-0000-00009E010000}"/>
    <cellStyle name="Euro 5 4 2" xfId="1452" xr:uid="{00000000-0005-0000-0000-00009F010000}"/>
    <cellStyle name="Euro 5 4 2 2" xfId="9075" xr:uid="{4FC5E85C-2E0A-4599-8A88-4ABE09AB9607}"/>
    <cellStyle name="Euro 5 4 2 3" xfId="17784" xr:uid="{D1246FA5-20FD-41CB-8528-D90266574894}"/>
    <cellStyle name="Euro 5 4 2 4" xfId="17432" xr:uid="{83B36503-428D-4F33-81F9-5EDF7E3B9EA0}"/>
    <cellStyle name="Euro 5 4 3" xfId="9076" xr:uid="{73A9275B-6F65-40F4-A760-F251BF5AA0AA}"/>
    <cellStyle name="Euro 5 5" xfId="1453" xr:uid="{00000000-0005-0000-0000-0000A0010000}"/>
    <cellStyle name="Euro 5 6" xfId="2794" xr:uid="{C3883014-11A2-4879-947D-D664061B6402}"/>
    <cellStyle name="Euro 5 6 2" xfId="9641" xr:uid="{4B6CEFF0-8362-4A05-A6C1-5321FB7D1861}"/>
    <cellStyle name="Euro 50" xfId="1454" xr:uid="{00000000-0005-0000-0000-0000A1010000}"/>
    <cellStyle name="Euro 51" xfId="2795" xr:uid="{5CD19968-DF78-42F1-B008-0E0FD898890A}"/>
    <cellStyle name="Euro 51 2" xfId="9077" xr:uid="{C81C8E6E-89D5-4640-844C-0F90AE824461}"/>
    <cellStyle name="Euro 51 2 2" xfId="13377" xr:uid="{F637DB30-7134-4B10-9FE2-8278561F106D}"/>
    <cellStyle name="Euro 51 2 3" xfId="18162" xr:uid="{1DBD5060-9857-4A6B-ACB5-8FC5E309184F}"/>
    <cellStyle name="Euro 51 3" xfId="9602" xr:uid="{48783788-82ED-4F2D-B18F-03BD8F17DB7F}"/>
    <cellStyle name="Euro 51 4" xfId="11232" xr:uid="{5D8E77C8-1CF2-4D5D-93A4-CD2C9D53FA66}"/>
    <cellStyle name="Euro 51 5" xfId="18055" xr:uid="{EE22C441-5DA7-4795-AAD3-4B7DA930D43C}"/>
    <cellStyle name="Euro 6" xfId="222" xr:uid="{00000000-0005-0000-0000-0000A2010000}"/>
    <cellStyle name="Euro 6 2" xfId="223" xr:uid="{00000000-0005-0000-0000-0000A3010000}"/>
    <cellStyle name="Euro 6 2 2" xfId="2796" xr:uid="{EAA83E63-2EC4-431E-A3E3-FD65E9AE501F}"/>
    <cellStyle name="Euro 6 2 2 2" xfId="13420" xr:uid="{841B1187-3203-4BEE-BDA7-970ECE9633A2}"/>
    <cellStyle name="Euro 6 2 3" xfId="13099" xr:uid="{D8E4F83C-883C-4EF5-9C66-718BCF7900B4}"/>
    <cellStyle name="Euro 6 3" xfId="224" xr:uid="{00000000-0005-0000-0000-0000A4010000}"/>
    <cellStyle name="Euro 6 3 2" xfId="225" xr:uid="{00000000-0005-0000-0000-0000A5010000}"/>
    <cellStyle name="Euro 6 3 2 2" xfId="1455" xr:uid="{00000000-0005-0000-0000-0000A6010000}"/>
    <cellStyle name="Euro 6 3 2 3" xfId="7760" xr:uid="{C6BE2BBF-C0B0-4D94-A74A-0B06508EA967}"/>
    <cellStyle name="Euro 6 3 2 3 2" xfId="13880" xr:uid="{FF822028-6507-474B-8519-FECC04C13091}"/>
    <cellStyle name="Euro 6 3 3" xfId="2797" xr:uid="{E0B013FC-7BBE-42DE-BC33-7AF187AE6ED3}"/>
    <cellStyle name="Euro 6 3 3 2" xfId="9078" xr:uid="{11252954-28DA-4CCA-AE3D-0516BEDA5810}"/>
    <cellStyle name="Euro 6 3 4" xfId="2798" xr:uid="{C998797A-1F5B-4715-B4C0-1BA4CC778D4A}"/>
    <cellStyle name="Euro 6 3 4 2" xfId="13668" xr:uid="{CE31641C-32C9-448F-BA76-80FA2CB615EA}"/>
    <cellStyle name="Euro 6 3 5" xfId="12238" xr:uid="{6A65ECB3-6159-4920-BB12-2DA3423D923E}"/>
    <cellStyle name="Euro 6 4" xfId="1456" xr:uid="{00000000-0005-0000-0000-0000A7010000}"/>
    <cellStyle name="Euro 6 4 2" xfId="1457" xr:uid="{00000000-0005-0000-0000-0000A8010000}"/>
    <cellStyle name="Euro 6 4 2 2" xfId="9079" xr:uid="{63B52224-52EE-48F8-A059-912567C49646}"/>
    <cellStyle name="Euro 6 4 2 3" xfId="17785" xr:uid="{EDBD69A2-878A-4E0A-9DF1-F7FE5E18735A}"/>
    <cellStyle name="Euro 6 4 2 4" xfId="17431" xr:uid="{1C2CE145-E0CE-4041-A46B-122B393CCB47}"/>
    <cellStyle name="Euro 6 4 3" xfId="9080" xr:uid="{B32FB0B5-6562-46EB-9689-98F3795C04F9}"/>
    <cellStyle name="Euro 6 5" xfId="1458" xr:uid="{00000000-0005-0000-0000-0000A9010000}"/>
    <cellStyle name="Euro 6 6" xfId="2799" xr:uid="{DDC6D7BB-7C13-44AE-80B9-4209F77B16F4}"/>
    <cellStyle name="Euro 6 6 2" xfId="9642" xr:uid="{E9AEE392-452D-4D21-98AE-7AE8D824F21A}"/>
    <cellStyle name="Euro 7" xfId="226" xr:uid="{00000000-0005-0000-0000-0000AA010000}"/>
    <cellStyle name="Euro 7 2" xfId="227" xr:uid="{00000000-0005-0000-0000-0000AB010000}"/>
    <cellStyle name="Euro 7 2 2" xfId="2800" xr:uid="{CC454D83-CD78-4CAD-B372-0706F963DFFA}"/>
    <cellStyle name="Euro 7 2 2 2" xfId="13421" xr:uid="{5EA578F7-F6E9-4620-8EAC-E118586C8A20}"/>
    <cellStyle name="Euro 7 2 3" xfId="13100" xr:uid="{C313982F-DE11-4692-BE89-01D1AA37E103}"/>
    <cellStyle name="Euro 7 3" xfId="228" xr:uid="{00000000-0005-0000-0000-0000AC010000}"/>
    <cellStyle name="Euro 7 3 2" xfId="229" xr:uid="{00000000-0005-0000-0000-0000AD010000}"/>
    <cellStyle name="Euro 7 3 2 2" xfId="1459" xr:uid="{00000000-0005-0000-0000-0000AE010000}"/>
    <cellStyle name="Euro 7 3 2 3" xfId="7761" xr:uid="{C36354D4-0429-4799-A155-2516B6F38BA0}"/>
    <cellStyle name="Euro 7 3 2 3 2" xfId="13881" xr:uid="{8173A1F5-93F7-47D2-9F98-D14799A20D58}"/>
    <cellStyle name="Euro 7 3 3" xfId="2801" xr:uid="{BF10C45E-0E6B-4DBC-A46D-699F2601D1C8}"/>
    <cellStyle name="Euro 7 3 3 2" xfId="9081" xr:uid="{70A9E195-9259-4A5F-9ED0-1E9C474FE85F}"/>
    <cellStyle name="Euro 7 3 4" xfId="2802" xr:uid="{584E6976-125C-48CD-AAFE-FBE4CAE3C356}"/>
    <cellStyle name="Euro 7 3 4 2" xfId="13669" xr:uid="{6F005D91-267F-4927-B077-86407CFDF430}"/>
    <cellStyle name="Euro 7 3 5" xfId="11707" xr:uid="{61D31B28-5287-4250-996C-CC17E9DE366E}"/>
    <cellStyle name="Euro 7 4" xfId="1460" xr:uid="{00000000-0005-0000-0000-0000AF010000}"/>
    <cellStyle name="Euro 7 4 2" xfId="1461" xr:uid="{00000000-0005-0000-0000-0000B0010000}"/>
    <cellStyle name="Euro 7 4 2 2" xfId="9082" xr:uid="{E65AB352-DC2E-4646-9E33-61753AD1268A}"/>
    <cellStyle name="Euro 7 4 2 3" xfId="17786" xr:uid="{47C54A38-2368-45E1-90D2-1334E514F2D1}"/>
    <cellStyle name="Euro 7 4 2 4" xfId="17430" xr:uid="{CD0BB12E-5A3D-4D68-8060-CB1EA9F0593E}"/>
    <cellStyle name="Euro 7 4 3" xfId="9083" xr:uid="{DBFEDDD4-E4A4-4B4A-8630-0C6ADF37D62D}"/>
    <cellStyle name="Euro 7 5" xfId="1462" xr:uid="{00000000-0005-0000-0000-0000B1010000}"/>
    <cellStyle name="Euro 7 6" xfId="2803" xr:uid="{A2FDC9C4-D79D-4E8D-A66F-5DD100B06AB1}"/>
    <cellStyle name="Euro 7 6 2" xfId="9643" xr:uid="{02CCC245-BF44-4B66-8DA1-B611D17ACF0C}"/>
    <cellStyle name="Euro 8" xfId="230" xr:uid="{00000000-0005-0000-0000-0000B2010000}"/>
    <cellStyle name="Euro 8 2" xfId="231" xr:uid="{00000000-0005-0000-0000-0000B3010000}"/>
    <cellStyle name="Euro 8 2 2" xfId="2804" xr:uid="{3F3E1FB7-8983-41DB-BCA2-279AE1E5490B}"/>
    <cellStyle name="Euro 8 2 2 2" xfId="13422" xr:uid="{2B2DC066-F8EA-46F5-9457-C6C40FD9A2D7}"/>
    <cellStyle name="Euro 8 2 3" xfId="13101" xr:uid="{1DA852B3-05A5-4CFF-AB67-1A471D0C0B88}"/>
    <cellStyle name="Euro 8 3" xfId="232" xr:uid="{00000000-0005-0000-0000-0000B4010000}"/>
    <cellStyle name="Euro 8 3 2" xfId="233" xr:uid="{00000000-0005-0000-0000-0000B5010000}"/>
    <cellStyle name="Euro 8 3 2 2" xfId="1463" xr:uid="{00000000-0005-0000-0000-0000B6010000}"/>
    <cellStyle name="Euro 8 3 2 3" xfId="7762" xr:uid="{DED7CF59-91CA-4BA4-A468-F93875C8D5E5}"/>
    <cellStyle name="Euro 8 3 2 3 2" xfId="13882" xr:uid="{D50C9790-2142-4183-A403-4229BE304D1F}"/>
    <cellStyle name="Euro 8 3 3" xfId="2805" xr:uid="{0774113B-D4CD-4E75-A7A6-14263932FD40}"/>
    <cellStyle name="Euro 8 3 3 2" xfId="9084" xr:uid="{10F4C8B1-1B42-49B6-9BFE-B24EF90E9B82}"/>
    <cellStyle name="Euro 8 3 4" xfId="2806" xr:uid="{98042DA7-A808-4894-BD7F-67CE9B680396}"/>
    <cellStyle name="Euro 8 3 4 2" xfId="13670" xr:uid="{6CCF93ED-399B-4224-8C8C-F79F858FCE09}"/>
    <cellStyle name="Euro 8 3 5" xfId="12168" xr:uid="{12203702-E672-4FF9-A2D3-05B1A13B28DE}"/>
    <cellStyle name="Euro 8 4" xfId="1464" xr:uid="{00000000-0005-0000-0000-0000B7010000}"/>
    <cellStyle name="Euro 8 4 2" xfId="1465" xr:uid="{00000000-0005-0000-0000-0000B8010000}"/>
    <cellStyle name="Euro 8 4 2 2" xfId="9085" xr:uid="{63B66D20-A868-48C0-9BCF-6C00C8CB2ADA}"/>
    <cellStyle name="Euro 8 4 2 3" xfId="17787" xr:uid="{BFA1C69D-7ED8-4560-87A5-48CE050854E2}"/>
    <cellStyle name="Euro 8 4 2 4" xfId="17429" xr:uid="{60915237-9F7A-4610-B9C9-EE00581567E9}"/>
    <cellStyle name="Euro 8 4 3" xfId="9086" xr:uid="{3D301C84-19EA-44B4-8FB2-D62FF3BFD916}"/>
    <cellStyle name="Euro 8 5" xfId="1466" xr:uid="{00000000-0005-0000-0000-0000B9010000}"/>
    <cellStyle name="Euro 8 6" xfId="2807" xr:uid="{F0A6F14F-DB48-403B-B5A7-DD529AD7368B}"/>
    <cellStyle name="Euro 8 6 2" xfId="9644" xr:uid="{ED393FA8-9621-4FDD-91CB-454D4F15B5AF}"/>
    <cellStyle name="Euro 9" xfId="234" xr:uid="{00000000-0005-0000-0000-0000BA010000}"/>
    <cellStyle name="Euro 9 2" xfId="235" xr:uid="{00000000-0005-0000-0000-0000BB010000}"/>
    <cellStyle name="Euro 9 2 2" xfId="2808" xr:uid="{883CFC32-AF9F-4156-B184-D2E8CC2A726B}"/>
    <cellStyle name="Euro 9 2 2 2" xfId="13423" xr:uid="{3FCD1F98-8279-42CB-97FF-93D45E4587B1}"/>
    <cellStyle name="Euro 9 2 3" xfId="13102" xr:uid="{9923ED03-DF20-47DC-B700-878BC3188377}"/>
    <cellStyle name="Euro 9 3" xfId="236" xr:uid="{00000000-0005-0000-0000-0000BC010000}"/>
    <cellStyle name="Euro 9 3 2" xfId="237" xr:uid="{00000000-0005-0000-0000-0000BD010000}"/>
    <cellStyle name="Euro 9 3 2 2" xfId="1467" xr:uid="{00000000-0005-0000-0000-0000BE010000}"/>
    <cellStyle name="Euro 9 3 2 3" xfId="7763" xr:uid="{98B68C2D-4CF8-4162-A72C-BE544D66256B}"/>
    <cellStyle name="Euro 9 3 2 3 2" xfId="13883" xr:uid="{C9699F19-D175-4A81-BD69-98BB9B4BE7C8}"/>
    <cellStyle name="Euro 9 3 3" xfId="2809" xr:uid="{8D99E67A-5527-4696-9534-C18DB320C3A5}"/>
    <cellStyle name="Euro 9 3 3 2" xfId="9087" xr:uid="{7C5ECF63-C302-4D78-9610-BEE2567B63DD}"/>
    <cellStyle name="Euro 9 3 4" xfId="2810" xr:uid="{36FFD0E8-7D5E-4D70-8C8B-7DF530B645C2}"/>
    <cellStyle name="Euro 9 3 4 2" xfId="13671" xr:uid="{FA699BC5-D64C-4278-B3D8-155E12518492}"/>
    <cellStyle name="Euro 9 3 5" xfId="12277" xr:uid="{CEE00C91-C7C3-45C2-8EB5-1ED1816F19E2}"/>
    <cellStyle name="Euro 9 4" xfId="1468" xr:uid="{00000000-0005-0000-0000-0000BF010000}"/>
    <cellStyle name="Euro 9 4 2" xfId="1469" xr:uid="{00000000-0005-0000-0000-0000C0010000}"/>
    <cellStyle name="Euro 9 4 2 2" xfId="9088" xr:uid="{6DBB9F09-4075-4273-996A-5BB5AD9A91A4}"/>
    <cellStyle name="Euro 9 4 2 3" xfId="17788" xr:uid="{9274C356-E27E-48F3-92C6-B6F497D86BBA}"/>
    <cellStyle name="Euro 9 4 2 4" xfId="17428" xr:uid="{3022F5E8-44C8-49A2-97C8-43FDEE9D4DC5}"/>
    <cellStyle name="Euro 9 4 3" xfId="9089" xr:uid="{F3B125C2-FCE2-440D-8139-2DEBC7FE70FB}"/>
    <cellStyle name="Euro 9 5" xfId="1470" xr:uid="{00000000-0005-0000-0000-0000C1010000}"/>
    <cellStyle name="Euro 9 6" xfId="2811" xr:uid="{21BC70AD-71F4-4186-AF5E-A6C6D4637D6C}"/>
    <cellStyle name="Euro 9 6 2" xfId="9645" xr:uid="{F7D012B1-2E2C-4486-9689-CEF6A806171C}"/>
    <cellStyle name="Explanatory Text 2" xfId="1253" xr:uid="{00000000-0005-0000-0000-0000C2010000}"/>
    <cellStyle name="Explanatory Text 2 2" xfId="23825" xr:uid="{BFE34264-3946-4BDD-A813-CF18472F6E53}"/>
    <cellStyle name="Fixed" xfId="32273" xr:uid="{39826939-4703-4FD0-A551-840E1E9EEC4E}"/>
    <cellStyle name="Fixed2 - Type2" xfId="238" xr:uid="{00000000-0005-0000-0000-0000C3010000}"/>
    <cellStyle name="Good 2" xfId="1471" xr:uid="{00000000-0005-0000-0000-0000C4010000}"/>
    <cellStyle name="Good 2 2" xfId="23826" xr:uid="{B8E24522-BA63-41D9-B3A2-92CBEB2D6747}"/>
    <cellStyle name="Heading 1 2" xfId="1254" xr:uid="{00000000-0005-0000-0000-0000C5010000}"/>
    <cellStyle name="Heading 1 2 2" xfId="23827" xr:uid="{474ED899-1DA8-4AF7-9DEE-2671709E01E3}"/>
    <cellStyle name="Heading 1 3" xfId="1255" xr:uid="{00000000-0005-0000-0000-0000C6010000}"/>
    <cellStyle name="Heading 2 2" xfId="1256" xr:uid="{00000000-0005-0000-0000-0000C7010000}"/>
    <cellStyle name="Heading 2 2 2" xfId="23828" xr:uid="{ACC1E28D-B92F-4701-B16C-888087F42E99}"/>
    <cellStyle name="Heading 3 2" xfId="23829" xr:uid="{4B4F4F95-358E-4A97-8A18-ED215D9CBF8C}"/>
    <cellStyle name="Heading 4 2" xfId="23830" xr:uid="{2892199B-1DED-4E05-8B5D-C7D5C26A341D}"/>
    <cellStyle name="Headline" xfId="30236" xr:uid="{C9C11F8A-0143-49B0-BE1F-C94A2D40534C}"/>
    <cellStyle name="Hyperlink" xfId="1257" builtinId="8"/>
    <cellStyle name="Hyperlink 2" xfId="1472" xr:uid="{00000000-0005-0000-0000-0000C9010000}"/>
    <cellStyle name="Hyperlink 2 2" xfId="11710" xr:uid="{D870EF83-0527-4625-9F50-DABC2963ECC8}"/>
    <cellStyle name="Hyperlink 2 2 2" xfId="23831" xr:uid="{8F85E33E-3DA4-4BC8-AF7B-8660EDFE2D21}"/>
    <cellStyle name="Hyperlink 2 3" xfId="11233" xr:uid="{06386FD7-70BA-41A2-A891-461D20006B33}"/>
    <cellStyle name="Hyperlink 2 4" xfId="12193" xr:uid="{2042FE49-CA64-4E4D-B7B8-E7E945F76D32}"/>
    <cellStyle name="Hyperlink 2 5" xfId="10616" xr:uid="{39CF92D8-0B57-448B-9409-1BDDABF0035A}"/>
    <cellStyle name="Hyperlink 2 6" xfId="9090" xr:uid="{FFD2F9AB-A4BD-459B-9FE5-F506D9844EFB}"/>
    <cellStyle name="Hyperlink 3" xfId="6978" xr:uid="{6D9180E0-72F8-4B64-9472-57AAB153B8FC}"/>
    <cellStyle name="Hyperlink 3 2" xfId="23832" xr:uid="{E6AE486F-0079-4C85-9BE9-7312FDF02E9F}"/>
    <cellStyle name="Input 2" xfId="239" xr:uid="{00000000-0005-0000-0000-0000CA010000}"/>
    <cellStyle name="Input 2 10" xfId="32708" xr:uid="{7F71A6A0-CFC6-45FD-8E5C-3DEDF33B50B5}"/>
    <cellStyle name="Input 2 2" xfId="240" xr:uid="{00000000-0005-0000-0000-0000CB010000}"/>
    <cellStyle name="Input 2 2 2" xfId="1473" xr:uid="{00000000-0005-0000-0000-0000CC010000}"/>
    <cellStyle name="Input 2 2 2 2" xfId="17789" xr:uid="{A8FFBA0C-5AA8-4AB8-B5E3-9A277F663F1F}"/>
    <cellStyle name="Input 2 2 2 2 2" xfId="35572" xr:uid="{A7E68ADA-FD70-4237-8715-E7E447B8BE54}"/>
    <cellStyle name="Input 2 2 2 3" xfId="32710" xr:uid="{E2D4152E-736F-4DE6-92C4-566BB9200F6F}"/>
    <cellStyle name="Input 2 2 3" xfId="17707" xr:uid="{77C48FEA-D388-41CE-B7FA-FB91F0F99C6C}"/>
    <cellStyle name="Input 2 2 3 2" xfId="35057" xr:uid="{6213A8DF-60FF-4D5F-8D12-AF0F731DF361}"/>
    <cellStyle name="Input 2 2 4" xfId="30244" xr:uid="{B1DA42C3-7A1A-4AFA-B606-77422487F0C0}"/>
    <cellStyle name="Input 2 2 4 2" xfId="35058" xr:uid="{DB79899C-E4B6-4889-A015-F90F59179454}"/>
    <cellStyle name="Input 2 2 5" xfId="30245" xr:uid="{531E4C9D-03CD-4316-AAA0-05E10A10F511}"/>
    <cellStyle name="Input 2 2 5 2" xfId="35059" xr:uid="{B21F105C-1441-4034-882C-764138A66255}"/>
    <cellStyle name="Input 2 2 6" xfId="32709" xr:uid="{EA047669-B027-4EB8-A3B9-56342A6E922E}"/>
    <cellStyle name="Input 2 3" xfId="1474" xr:uid="{00000000-0005-0000-0000-0000CD010000}"/>
    <cellStyle name="Input 2 3 2" xfId="17701" xr:uid="{4668ACC9-5A86-4824-8F2F-6339F04EC724}"/>
    <cellStyle name="Input 2 3 2 2" xfId="35069" xr:uid="{21235F4A-40E2-4D87-8171-A6239F7833EA}"/>
    <cellStyle name="Input 2 3 3" xfId="32711" xr:uid="{C840B38A-B9D2-448C-A274-6B50DFA40076}"/>
    <cellStyle name="Input 2 4" xfId="9091" xr:uid="{E15EE4A9-D3F8-4022-A507-A9B567D75E7F}"/>
    <cellStyle name="Input 2 4 2" xfId="32623" xr:uid="{5744BD8B-A866-48F0-BD30-E37EB9D6F158}"/>
    <cellStyle name="Input 2 4 2 2" xfId="35573" xr:uid="{1A5B1314-6805-4881-AAB1-E26997E095EE}"/>
    <cellStyle name="Input 2 4 3" xfId="32712" xr:uid="{421505B6-3A2E-4342-8C5A-128EF35328DB}"/>
    <cellStyle name="Input 2 5" xfId="9092" xr:uid="{90196352-EE0A-40EC-96F1-BBCFFBAB7FAB}"/>
    <cellStyle name="Input 2 5 2" xfId="32624" xr:uid="{BAF2CD1E-7C3A-42CB-A39B-9284D3DF3AC5}"/>
    <cellStyle name="Input 2 5 2 2" xfId="35574" xr:uid="{1B3E53F9-D770-4741-A883-F6BE28A259BA}"/>
    <cellStyle name="Input 2 5 3" xfId="32713" xr:uid="{429704E0-8749-4E44-9AFC-F77864AD21F1}"/>
    <cellStyle name="Input 2 6" xfId="9093" xr:uid="{7DAE3F3B-AA19-40D7-9AB0-C0014A25585F}"/>
    <cellStyle name="Input 2 6 2" xfId="32625" xr:uid="{00CBA800-1E38-4BCF-84A4-2CE7AE55755D}"/>
    <cellStyle name="Input 2 6 2 2" xfId="35575" xr:uid="{F976C1E6-EA73-4756-8F2F-854A558C16EA}"/>
    <cellStyle name="Input 2 6 3" xfId="32714" xr:uid="{CAF8437F-A8C8-439A-BA47-0D07E4535DB4}"/>
    <cellStyle name="Input 2 7" xfId="9094" xr:uid="{4BEB6259-C0E2-4FFE-A18A-3878D1D02720}"/>
    <cellStyle name="Input 2 7 2" xfId="32626" xr:uid="{B41C46F3-EB9A-4A93-879B-360C42365D93}"/>
    <cellStyle name="Input 2 7 2 2" xfId="35576" xr:uid="{81E5EFE2-B725-4A3C-B40F-F9431302A38A}"/>
    <cellStyle name="Input 2 7 3" xfId="32715" xr:uid="{F210A871-9983-4C08-BC47-2BBDCCA7DC16}"/>
    <cellStyle name="Input 2 8" xfId="23833" xr:uid="{BBFFDD57-7DEC-4B20-9C86-02D6EC60E4E2}"/>
    <cellStyle name="Input 2 8 2" xfId="32627" xr:uid="{AB2FBEF2-077A-4AE2-BAEF-B8D2DB9C13AC}"/>
    <cellStyle name="Input 2 8 2 2" xfId="35577" xr:uid="{DE38578A-EED8-4B75-A87F-A50386CDDC5A}"/>
    <cellStyle name="Input 2 8 3" xfId="32716" xr:uid="{12DD70F5-A928-479F-9480-65CE75BF0BB1}"/>
    <cellStyle name="Input 2 9" xfId="32628" xr:uid="{5FDDAA63-0559-4105-9236-B0CA03D11312}"/>
    <cellStyle name="Input 2 9 2" xfId="35578" xr:uid="{4B0C2EC9-2F87-4F30-A7D2-4D07416AF170}"/>
    <cellStyle name="Input 3" xfId="241" xr:uid="{00000000-0005-0000-0000-0000CE010000}"/>
    <cellStyle name="Input 3 2" xfId="1475" xr:uid="{00000000-0005-0000-0000-0000CF010000}"/>
    <cellStyle name="Input 3 2 2" xfId="2812" xr:uid="{EF4791D3-2837-44D6-9F1E-8B294D314839}"/>
    <cellStyle name="Input 3 2 2 2" xfId="35579" xr:uid="{C4D2D2BF-CD6F-43F8-96A2-D599A4ED2A93}"/>
    <cellStyle name="Input 3 2 2 3" xfId="32629" xr:uid="{D39187F5-6DFB-4926-8EBC-9BF49F2539B0}"/>
    <cellStyle name="Input 3 2 3" xfId="10617" xr:uid="{A23077EF-3BEE-4232-AF33-1A6648AC1356}"/>
    <cellStyle name="Input 3 3" xfId="7764" xr:uid="{F2A59D17-11E4-4075-94F0-6E5F66BC6896}"/>
    <cellStyle name="Input 3 3 2" xfId="12162" xr:uid="{A1194578-315E-4685-9B92-721F3790953B}"/>
    <cellStyle name="Input 3 3 3" xfId="11711" xr:uid="{121742E5-C038-42A5-A5D0-EA5FBEB38F27}"/>
    <cellStyle name="Input 3 4" xfId="9095" xr:uid="{C5F6B28A-5B03-4F9A-B238-DB70EB7C7E14}"/>
    <cellStyle name="Input 3 4 2" xfId="11499" xr:uid="{9FF8AD37-6AC0-49D0-950C-E5219CA68631}"/>
    <cellStyle name="Input 3 4 2 2" xfId="35580" xr:uid="{E80339B2-3C73-4BA6-BB85-213D5D4544A6}"/>
    <cellStyle name="Input 3 4 3" xfId="11234" xr:uid="{507B8995-EF7F-4AFF-8352-E9901E78AE36}"/>
    <cellStyle name="Input 3 4 3 2" xfId="32718" xr:uid="{C41F4BFE-3DB6-474A-878A-D69D8314DF8E}"/>
    <cellStyle name="Input 3 5" xfId="9096" xr:uid="{599FAAD2-D003-458E-A78E-B3C2B7368166}"/>
    <cellStyle name="Input 3 5 2" xfId="32630" xr:uid="{873B1056-FF0F-43D7-B74F-98BC29925DEF}"/>
    <cellStyle name="Input 3 5 2 2" xfId="35581" xr:uid="{2E749988-948C-4564-B2DF-DF91E27DA1A3}"/>
    <cellStyle name="Input 3 5 3" xfId="32719" xr:uid="{B7F72FEE-762D-4C17-9B19-0DA6B28073DC}"/>
    <cellStyle name="Input 3 6" xfId="9097" xr:uid="{ECA7494D-C346-4FF2-BEB7-67BEECD405EE}"/>
    <cellStyle name="Input 3 6 2" xfId="32631" xr:uid="{AF5FF29A-2998-46A5-9A48-3CDC24EDA7F6}"/>
    <cellStyle name="Input 3 6 2 2" xfId="35582" xr:uid="{FC63643E-06EC-4BBE-9FD4-A601A7CFB634}"/>
    <cellStyle name="Input 3 6 3" xfId="32720" xr:uid="{3CFB08FC-5A37-4F55-9766-33759B513E69}"/>
    <cellStyle name="Input 3 7" xfId="23836" xr:uid="{93F7E831-2301-4B90-9085-A4D2CE167662}"/>
    <cellStyle name="Input 3 8" xfId="32632" xr:uid="{FD8E3543-81A5-4D88-9CAD-59F7FE41FECC}"/>
    <cellStyle name="Input 3 8 2" xfId="35583" xr:uid="{71184BEC-FD0C-4BD8-AF3E-D4826CD69E7E}"/>
    <cellStyle name="Input 3 9" xfId="32717" xr:uid="{09F6595D-FB0F-403E-9F39-00524E394964}"/>
    <cellStyle name="Input 4" xfId="9098" xr:uid="{ABD91A54-7A61-46BE-A44E-6ACE74D143F0}"/>
    <cellStyle name="Input 4 2" xfId="18036" xr:uid="{BBDAF0C3-A143-4D9B-92D8-3F6094F79B0A}"/>
    <cellStyle name="Input 4 2 2" xfId="35584" xr:uid="{B6714024-053A-4AC0-A8BC-F947B112C266}"/>
    <cellStyle name="Input 4 3" xfId="32721" xr:uid="{3BC45B3B-4F07-4946-99F7-C0C5448B649A}"/>
    <cellStyle name="InputCells" xfId="242" xr:uid="{00000000-0005-0000-0000-0000D0010000}"/>
    <cellStyle name="InputCells12_BBorder" xfId="30237" xr:uid="{B31086C5-C159-4D21-8A3C-D44DCE9812C4}"/>
    <cellStyle name="Komma 10" xfId="23839" xr:uid="{9EFBF389-645F-495A-A1EF-FF108DA4534B}"/>
    <cellStyle name="Komma 10 2" xfId="23840" xr:uid="{4ADC485A-6071-4A78-BD8E-C8977CAF1F9C}"/>
    <cellStyle name="Komma 10 2 2" xfId="48696" xr:uid="{1CF62CA9-AC7E-41B5-A487-DC84A804C516}"/>
    <cellStyle name="Komma 10 2 3" xfId="49604" xr:uid="{C1FDC9C1-C8A6-44EF-B26A-1870F8864DC3}"/>
    <cellStyle name="Komma 10 3" xfId="48695" xr:uid="{CEFFC0E7-05C2-4AB4-A444-279BE66547F0}"/>
    <cellStyle name="Komma 10 4" xfId="49603" xr:uid="{6AF6965B-7B6D-4587-BB28-7BEF5211C6A4}"/>
    <cellStyle name="Komma 11" xfId="23841" xr:uid="{969D2678-BAA2-4F80-BE4B-3D5D3AE5F07F}"/>
    <cellStyle name="Komma 11 2" xfId="48697" xr:uid="{F0A70F9C-01FE-43DA-AD06-3C42B411A00B}"/>
    <cellStyle name="Komma 11 3" xfId="49605" xr:uid="{21D36CDE-F8B1-4FF3-9519-B4262E7D9A10}"/>
    <cellStyle name="Komma 2" xfId="1476" xr:uid="{00000000-0005-0000-0000-0000D1010000}"/>
    <cellStyle name="Komma 2 10" xfId="14972" xr:uid="{223AF3EC-D5B1-4CED-9D26-08F3EA6ABFB0}"/>
    <cellStyle name="Komma 2 10 2" xfId="22514" xr:uid="{F761B4F7-DCE2-46F9-9C03-6890EEAAACF5}"/>
    <cellStyle name="Komma 2 10 3" xfId="32403" xr:uid="{C74C2BFE-B08C-4883-A6A9-43CE85A286F4}"/>
    <cellStyle name="Komma 2 10 4" xfId="51852" xr:uid="{CB2B434F-BEF8-488C-9964-7BC8C281A355}"/>
    <cellStyle name="Komma 2 10 5" xfId="54868" xr:uid="{5E1AF604-665F-46D6-9E1D-36DE3BF6A2A9}"/>
    <cellStyle name="Komma 2 11" xfId="15459" xr:uid="{343F928E-8D94-4F5C-9077-414B81907A9A}"/>
    <cellStyle name="Komma 2 11 2" xfId="22991" xr:uid="{6DD5BD2D-1770-4CC9-94D6-A2B03DDC3B76}"/>
    <cellStyle name="Komma 2 11 3" xfId="46693" xr:uid="{9D267C0C-3EAB-435C-9E6B-CE185C4ACBA6}"/>
    <cellStyle name="Komma 2 11 4" xfId="52329" xr:uid="{8428FAE6-2E48-4D07-8C83-AED18E314DE8}"/>
    <cellStyle name="Komma 2 11 5" xfId="55345" xr:uid="{61CD7D4C-DAC3-4812-A38C-AFA9B3539CA1}"/>
    <cellStyle name="Komma 2 12" xfId="10618" xr:uid="{3789FCAA-2E2B-4507-B866-B8E081BC0776}"/>
    <cellStyle name="Komma 2 12 2" xfId="21253" xr:uid="{F8AB18BC-B79C-40EC-9E20-D9B0C515DA69}"/>
    <cellStyle name="Komma 2 12 3" xfId="47560" xr:uid="{0CD46DA6-EF3F-484A-9419-F830FB15BDDF}"/>
    <cellStyle name="Komma 2 12 4" xfId="50268" xr:uid="{5F25B996-8558-42FF-ABEB-765CDDD6A99C}"/>
    <cellStyle name="Komma 2 12 5" xfId="53284" xr:uid="{9337ABF7-8DE5-48B0-BD13-8160FCDA7119}"/>
    <cellStyle name="Komma 2 13" xfId="19499" xr:uid="{567797AA-8618-482B-886C-D4601FFDC79A}"/>
    <cellStyle name="Komma 2 14" xfId="23842" xr:uid="{93670982-3F1D-4B68-80E0-D7411E52BEBF}"/>
    <cellStyle name="Komma 2 15" xfId="48698" xr:uid="{C9E66FA2-8CAB-4DBD-9F0F-50DD1C6F768B}"/>
    <cellStyle name="Komma 2 16" xfId="49606" xr:uid="{8431C1E4-5A7F-4EE5-86BE-86CED4D5A828}"/>
    <cellStyle name="Komma 2 17" xfId="49792" xr:uid="{DF7B4766-EDA5-42C3-BC4A-4029ECC45DE1}"/>
    <cellStyle name="Komma 2 18" xfId="52807" xr:uid="{DAD08A32-A16A-43D0-A6CC-6091D5C4D518}"/>
    <cellStyle name="Komma 2 2" xfId="2813" xr:uid="{3B8F8072-1FFC-430B-A0F4-6C721347CCFC}"/>
    <cellStyle name="Komma 2 2 10" xfId="15499" xr:uid="{F52EB95A-D6D1-4577-A45C-A38EF6588B04}"/>
    <cellStyle name="Komma 2 2 10 2" xfId="23029" xr:uid="{AED60F6E-0897-4DE9-8222-5324B5C11C86}"/>
    <cellStyle name="Komma 2 2 10 3" xfId="47347" xr:uid="{1D13422C-A540-4D9E-8C53-A672B727FC04}"/>
    <cellStyle name="Komma 2 2 10 4" xfId="52367" xr:uid="{1123ECA9-EC12-4317-9614-9D5D35C7A273}"/>
    <cellStyle name="Komma 2 2 10 5" xfId="55383" xr:uid="{8B5F09C8-9791-4D0C-812C-E77C7FE8DD77}"/>
    <cellStyle name="Komma 2 2 11" xfId="11236" xr:uid="{08CF095F-8A29-4B09-9A25-9D5139973957}"/>
    <cellStyle name="Komma 2 2 11 2" xfId="46279" xr:uid="{4554A073-F04B-43B0-B653-FCC0BB8ADA89}"/>
    <cellStyle name="Komma 2 2 11 3" xfId="50715" xr:uid="{FBE5DFD4-1A1D-428A-9B9D-C729AD85616A}"/>
    <cellStyle name="Komma 2 2 11 4" xfId="53731" xr:uid="{BF01F49E-9822-492E-8392-568C99E69BE1}"/>
    <cellStyle name="Komma 2 2 12" xfId="23843" xr:uid="{0873259C-D48D-4786-A1C5-004B190AF251}"/>
    <cellStyle name="Komma 2 2 13" xfId="48699" xr:uid="{1FB19D9C-4620-4FD9-9D39-4F2B18E66FBE}"/>
    <cellStyle name="Komma 2 2 14" xfId="49607" xr:uid="{B6D9A2A2-ACA2-40D8-A0DB-33E891B41E60}"/>
    <cellStyle name="Komma 2 2 15" xfId="49830" xr:uid="{BCA4E409-908D-4395-BE63-B754A9EDDB6A}"/>
    <cellStyle name="Komma 2 2 16" xfId="52845" xr:uid="{7552C780-88D5-4572-8680-D6872410E41B}"/>
    <cellStyle name="Komma 2 2 2" xfId="9099" xr:uid="{EE308707-EA12-481B-B003-BE62B3CA39F0}"/>
    <cellStyle name="Komma 2 2 2 10" xfId="12164" xr:uid="{9D312770-AE5C-42E5-AD9D-FF03C9C632AC}"/>
    <cellStyle name="Komma 2 2 2 10 2" xfId="46305" xr:uid="{05FF3C81-8C4D-41FD-B1E9-E556EA65BBDE}"/>
    <cellStyle name="Komma 2 2 2 10 3" xfId="50933" xr:uid="{A63E7EB2-6AA0-4781-9024-15BFFE4C87F6}"/>
    <cellStyle name="Komma 2 2 2 10 4" xfId="53949" xr:uid="{A6B575A2-B669-41A4-B959-9158EA61265C}"/>
    <cellStyle name="Komma 2 2 2 11" xfId="23844" xr:uid="{C25FD3F9-374E-4E11-A560-5024DF7A17C9}"/>
    <cellStyle name="Komma 2 2 2 12" xfId="48700" xr:uid="{A1B34CD7-F8AE-4FC5-B343-1ACFDC8516D7}"/>
    <cellStyle name="Komma 2 2 2 13" xfId="49608" xr:uid="{98F3FFC3-8E0F-4037-9AC9-D15B2F03C300}"/>
    <cellStyle name="Komma 2 2 2 14" xfId="49831" xr:uid="{87B2CA32-8DC6-43FD-8DB4-9CEA39B215D2}"/>
    <cellStyle name="Komma 2 2 2 15" xfId="52846" xr:uid="{73C39D2A-D8D2-4857-85D9-FA85F4AEC2B8}"/>
    <cellStyle name="Komma 2 2 2 2" xfId="10041" xr:uid="{C42621ED-86B9-43D6-AEC8-4E19157CBB86}"/>
    <cellStyle name="Komma 2 2 2 2 2" xfId="10349" xr:uid="{B9298C12-E32B-42A1-BC7F-70588CD382B7}"/>
    <cellStyle name="Komma 2 2 2 2 2 2" xfId="14794" xr:uid="{3C71AD2E-8A44-4C32-B08B-705347F08834}"/>
    <cellStyle name="Komma 2 2 2 2 2 2 2" xfId="22341" xr:uid="{4A5FBD4D-1D30-405A-8186-AE6586D3413F}"/>
    <cellStyle name="Komma 2 2 2 2 2 2 3" xfId="48210" xr:uid="{3C5B128D-5A66-442A-BF4D-36FA896CCE2F}"/>
    <cellStyle name="Komma 2 2 2 2 2 2 4" xfId="51679" xr:uid="{60647824-2B39-44C2-91C2-2BDB333016CC}"/>
    <cellStyle name="Komma 2 2 2 2 2 2 5" xfId="54695" xr:uid="{467BC4BD-2105-4BDE-939A-D2F9BB13CB69}"/>
    <cellStyle name="Komma 2 2 2 2 2 3" xfId="15279" xr:uid="{9C877B93-DD3E-4822-99FB-258FE1BCAF77}"/>
    <cellStyle name="Komma 2 2 2 2 2 3 2" xfId="22818" xr:uid="{522F90A6-1E5B-4D7E-8843-1F7EB21C34B7}"/>
    <cellStyle name="Komma 2 2 2 2 2 3 3" xfId="24659" xr:uid="{09AEA0F5-DDFF-4387-BB83-D72670496713}"/>
    <cellStyle name="Komma 2 2 2 2 2 3 4" xfId="52156" xr:uid="{3650644D-6074-40DC-9C84-5B5AFD9C3973}"/>
    <cellStyle name="Komma 2 2 2 2 2 3 5" xfId="55172" xr:uid="{9FFA5082-B807-4A6F-9DC9-DD956F7A0DF5}"/>
    <cellStyle name="Komma 2 2 2 2 2 4" xfId="15766" xr:uid="{873B1ADA-2EC2-4A90-A920-56A3E3341C96}"/>
    <cellStyle name="Komma 2 2 2 2 2 4 2" xfId="23295" xr:uid="{EF77F576-3F91-4D8E-B20E-AD56DCCAEE2C}"/>
    <cellStyle name="Komma 2 2 2 2 2 4 3" xfId="47200" xr:uid="{D859862D-3833-4248-A7C5-191AD83DBE5E}"/>
    <cellStyle name="Komma 2 2 2 2 2 4 4" xfId="52633" xr:uid="{D457E49F-C657-429D-9F6F-13C6E67910CF}"/>
    <cellStyle name="Komma 2 2 2 2 2 4 5" xfId="55649" xr:uid="{B14534E5-7420-484B-B24E-61CF62A51FA7}"/>
    <cellStyle name="Komma 2 2 2 2 2 5" xfId="12802" xr:uid="{8B1F90EE-6071-4FAD-A217-DA04B5CEBA7D}"/>
    <cellStyle name="Komma 2 2 2 2 2 5 2" xfId="47620" xr:uid="{2B955B14-649A-4413-B514-BC5B54400C26}"/>
    <cellStyle name="Komma 2 2 2 2 2 5 3" xfId="51202" xr:uid="{51474FB9-734D-4F24-9D47-79590B3A0996}"/>
    <cellStyle name="Komma 2 2 2 2 2 5 4" xfId="54218" xr:uid="{BC992FF6-795C-4E2F-9487-D901AFA487F2}"/>
    <cellStyle name="Komma 2 2 2 2 2 6" xfId="46095" xr:uid="{DA28C31E-A713-4097-A35E-895D042619A5}"/>
    <cellStyle name="Komma 2 2 2 2 2 7" xfId="50096" xr:uid="{F2E5199C-1BF1-45BD-8DE7-BB6090C3A632}"/>
    <cellStyle name="Komma 2 2 2 2 2 8" xfId="53112" xr:uid="{8246009A-34CA-43CD-B373-D216ED02DFEE}"/>
    <cellStyle name="Komma 2 2 2 2 3" xfId="14582" xr:uid="{446A2608-DA03-4A7B-B8C8-617C79E829E0}"/>
    <cellStyle name="Komma 2 2 2 2 3 2" xfId="22129" xr:uid="{2BB87012-3706-4081-A984-B605FBD4E612}"/>
    <cellStyle name="Komma 2 2 2 2 3 3" xfId="46838" xr:uid="{92083FB2-EBBE-4B70-9FF5-3023EE80F199}"/>
    <cellStyle name="Komma 2 2 2 2 3 4" xfId="51467" xr:uid="{251D83D4-B3F8-4709-A22F-83DB8F65B9A9}"/>
    <cellStyle name="Komma 2 2 2 2 3 5" xfId="54483" xr:uid="{87258AA4-3933-406E-8B3E-4F0E09241513}"/>
    <cellStyle name="Komma 2 2 2 2 4" xfId="15066" xr:uid="{F9160C92-016E-44D3-8664-F4D3D04F3919}"/>
    <cellStyle name="Komma 2 2 2 2 4 2" xfId="22606" xr:uid="{1D9706B8-2485-4F04-A2F4-6A73CFF6D481}"/>
    <cellStyle name="Komma 2 2 2 2 4 3" xfId="46876" xr:uid="{79E13506-8EF3-4BA4-9E00-E22B74F22CD6}"/>
    <cellStyle name="Komma 2 2 2 2 4 4" xfId="51944" xr:uid="{34CF4ADF-66C9-4D5E-B73F-1966544AE25E}"/>
    <cellStyle name="Komma 2 2 2 2 4 5" xfId="54960" xr:uid="{30C046F0-5442-42B0-8E4F-20B3317CE165}"/>
    <cellStyle name="Komma 2 2 2 2 5" xfId="15553" xr:uid="{B5C7E075-DD38-4284-85A2-1D874C7C50E2}"/>
    <cellStyle name="Komma 2 2 2 2 5 2" xfId="23083" xr:uid="{BFF3A105-8339-4987-8602-446A972EE617}"/>
    <cellStyle name="Komma 2 2 2 2 5 3" xfId="48078" xr:uid="{C8A65F5A-FE30-41A2-891E-50058B780239}"/>
    <cellStyle name="Komma 2 2 2 2 5 4" xfId="52421" xr:uid="{4C314DCA-AFDB-40A1-8980-34A048D1894B}"/>
    <cellStyle name="Komma 2 2 2 2 5 5" xfId="55437" xr:uid="{8460DADA-F5B1-4055-BFBF-09F586277C4B}"/>
    <cellStyle name="Komma 2 2 2 2 6" xfId="12501" xr:uid="{6B871243-A0AF-4B8E-A819-22EC808869A2}"/>
    <cellStyle name="Komma 2 2 2 2 6 2" xfId="46761" xr:uid="{CD1C8880-3F96-464D-9C51-F44C0B0CA203}"/>
    <cellStyle name="Komma 2 2 2 2 6 3" xfId="50990" xr:uid="{9251FD13-E824-4A6E-B10B-F29E7A8E028D}"/>
    <cellStyle name="Komma 2 2 2 2 6 4" xfId="54006" xr:uid="{EBA014DE-3B6C-4354-960A-E2B4216C2885}"/>
    <cellStyle name="Komma 2 2 2 2 7" xfId="47357" xr:uid="{FB9A68B7-4A82-4AA1-9D90-403BE0BDDA7A}"/>
    <cellStyle name="Komma 2 2 2 2 8" xfId="49884" xr:uid="{06441210-F1DD-4095-9FDB-B28F26D58200}"/>
    <cellStyle name="Komma 2 2 2 2 9" xfId="52900" xr:uid="{C1749CA5-8EC0-4F6F-B996-432D3C6D5CC7}"/>
    <cellStyle name="Komma 2 2 2 3" xfId="10115" xr:uid="{0BC79BD2-5C1B-4010-990A-DE46CE8D71FB}"/>
    <cellStyle name="Komma 2 2 2 3 2" xfId="10428" xr:uid="{10EB45F3-EA0A-4249-920A-FB775E61C870}"/>
    <cellStyle name="Komma 2 2 2 3 2 2" xfId="14847" xr:uid="{75B49FB3-7F80-4B16-8253-025209A7A36B}"/>
    <cellStyle name="Komma 2 2 2 3 2 2 2" xfId="22394" xr:uid="{2F8905E7-30E8-4C95-908E-128FA64D323A}"/>
    <cellStyle name="Komma 2 2 2 3 2 2 3" xfId="47107" xr:uid="{F0EF4061-4E9E-45C6-B29A-A98C53732EF7}"/>
    <cellStyle name="Komma 2 2 2 3 2 2 4" xfId="51732" xr:uid="{0FD103DA-715E-43E2-8F91-6978E53E7CEB}"/>
    <cellStyle name="Komma 2 2 2 3 2 2 5" xfId="54748" xr:uid="{2DE4904C-F1B9-43E1-A56C-377D5A0B2361}"/>
    <cellStyle name="Komma 2 2 2 3 2 3" xfId="15332" xr:uid="{30C27817-9138-42EE-A26B-EA65DA5BF167}"/>
    <cellStyle name="Komma 2 2 2 3 2 3 2" xfId="22871" xr:uid="{16C59773-9243-4733-A3FB-CB0220D5D342}"/>
    <cellStyle name="Komma 2 2 2 3 2 3 3" xfId="46516" xr:uid="{A154F279-EAA7-4DAC-8567-A335BC9F196C}"/>
    <cellStyle name="Komma 2 2 2 3 2 3 4" xfId="52209" xr:uid="{6F068C6C-CE5D-49EA-A3DC-618B403CD372}"/>
    <cellStyle name="Komma 2 2 2 3 2 3 5" xfId="55225" xr:uid="{293CDF6E-A6C8-48FC-A88D-7F0F40609E43}"/>
    <cellStyle name="Komma 2 2 2 3 2 4" xfId="15819" xr:uid="{DEF72972-1E51-413C-A92A-39B37BDAE409}"/>
    <cellStyle name="Komma 2 2 2 3 2 4 2" xfId="23348" xr:uid="{5EBABADA-E669-4640-8101-E3D55CFA599D}"/>
    <cellStyle name="Komma 2 2 2 3 2 4 3" xfId="47554" xr:uid="{7C30921E-45FF-4502-833C-3FA168D193AA}"/>
    <cellStyle name="Komma 2 2 2 3 2 4 4" xfId="52686" xr:uid="{BBEBDBEC-C22E-4451-AECF-2CAE9340A173}"/>
    <cellStyle name="Komma 2 2 2 3 2 4 5" xfId="55702" xr:uid="{62D7B3D7-9290-4171-9445-3D7DC67B410F}"/>
    <cellStyle name="Komma 2 2 2 3 2 5" xfId="12881" xr:uid="{1CA081F4-C4ED-42EE-830C-3864BEF09009}"/>
    <cellStyle name="Komma 2 2 2 3 2 5 2" xfId="48343" xr:uid="{679A5F08-DF9A-49C2-BDD2-B8849D53D899}"/>
    <cellStyle name="Komma 2 2 2 3 2 5 3" xfId="51255" xr:uid="{A2E2B1FC-3D81-456E-8C50-412EF6FF932C}"/>
    <cellStyle name="Komma 2 2 2 3 2 5 4" xfId="54271" xr:uid="{9317BF59-6D4F-46DD-8274-CF77FA5AA07C}"/>
    <cellStyle name="Komma 2 2 2 3 2 6" xfId="48030" xr:uid="{3861D9A7-32FC-4424-8759-5661D0A5AED7}"/>
    <cellStyle name="Komma 2 2 2 3 2 7" xfId="50149" xr:uid="{7F0CD24D-6318-41FC-84FE-A750198FA363}"/>
    <cellStyle name="Komma 2 2 2 3 2 8" xfId="53165" xr:uid="{8EFE6EE5-0BF3-4AF1-8BB5-437AB77D1C8D}"/>
    <cellStyle name="Komma 2 2 2 3 3" xfId="14635" xr:uid="{85034593-A872-4BDE-84B2-82D1E14291DB}"/>
    <cellStyle name="Komma 2 2 2 3 3 2" xfId="22182" xr:uid="{849059AC-A44C-45D1-BF99-022FDB6AD077}"/>
    <cellStyle name="Komma 2 2 2 3 3 3" xfId="25303" xr:uid="{31EA6A2A-AF30-41C2-88E4-8AFB89127E19}"/>
    <cellStyle name="Komma 2 2 2 3 3 4" xfId="51520" xr:uid="{4746A9EA-E230-41D8-84AA-CCBED683780B}"/>
    <cellStyle name="Komma 2 2 2 3 3 5" xfId="54536" xr:uid="{7B229813-1C95-4832-87EB-A6BA2195AF88}"/>
    <cellStyle name="Komma 2 2 2 3 4" xfId="15120" xr:uid="{B7BEB705-889B-48C5-812C-138A5565AF66}"/>
    <cellStyle name="Komma 2 2 2 3 4 2" xfId="22659" xr:uid="{5C5DE9DC-02FC-41D8-839B-ACCD2CDD34F4}"/>
    <cellStyle name="Komma 2 2 2 3 4 3" xfId="46484" xr:uid="{6606F60F-403E-40F7-BD35-D55BBAF3A0CE}"/>
    <cellStyle name="Komma 2 2 2 3 4 4" xfId="51997" xr:uid="{303D285B-BCDE-4712-901D-296A6484B542}"/>
    <cellStyle name="Komma 2 2 2 3 4 5" xfId="55013" xr:uid="{44B86FCB-D6DD-47B8-858E-6A911306185C}"/>
    <cellStyle name="Komma 2 2 2 3 5" xfId="15607" xr:uid="{DC8A3535-F964-4C93-9D86-A5F9FACAA179}"/>
    <cellStyle name="Komma 2 2 2 3 5 2" xfId="23136" xr:uid="{28508A8E-6249-4710-AC61-7B0CE674EB99}"/>
    <cellStyle name="Komma 2 2 2 3 5 3" xfId="48020" xr:uid="{464200EA-2A7C-470D-9465-9B9CAA436756}"/>
    <cellStyle name="Komma 2 2 2 3 5 4" xfId="52474" xr:uid="{32F74D68-3A30-4DCB-96C8-197062B1F1EB}"/>
    <cellStyle name="Komma 2 2 2 3 5 5" xfId="55490" xr:uid="{8D64B9B3-25D1-4F61-B4F5-D44E4B4DB7FB}"/>
    <cellStyle name="Komma 2 2 2 3 6" xfId="12572" xr:uid="{01C18950-9E34-4D8F-8197-D8D005817E5B}"/>
    <cellStyle name="Komma 2 2 2 3 6 2" xfId="48196" xr:uid="{C04A18D2-1D1A-4C72-9D1A-0DE67BCDB9A9}"/>
    <cellStyle name="Komma 2 2 2 3 6 3" xfId="51043" xr:uid="{E3BA1E47-C38F-4E36-99D3-5ACEF831CA1F}"/>
    <cellStyle name="Komma 2 2 2 3 6 4" xfId="54059" xr:uid="{EE7947FC-D433-4B22-9994-894E95033F97}"/>
    <cellStyle name="Komma 2 2 2 3 7" xfId="34574" xr:uid="{D7DF3A08-0FBB-4A3F-81D2-F84E44E2A8FE}"/>
    <cellStyle name="Komma 2 2 2 3 8" xfId="49937" xr:uid="{B8ED4905-F95D-4C8F-847E-E2DD906F0A9A}"/>
    <cellStyle name="Komma 2 2 2 3 9" xfId="52953" xr:uid="{F6C5996E-7505-43B3-A2E2-69100A6E6ADC}"/>
    <cellStyle name="Komma 2 2 2 4" xfId="10194" xr:uid="{0178CEB8-041E-48B5-A733-63AC80EC8D3D}"/>
    <cellStyle name="Komma 2 2 2 4 2" xfId="10508" xr:uid="{5C225131-E0CB-4792-8EBA-BEA1C358C697}"/>
    <cellStyle name="Komma 2 2 2 4 2 2" xfId="14900" xr:uid="{41B298A9-1698-4307-BC9A-25C98668DE60}"/>
    <cellStyle name="Komma 2 2 2 4 2 2 2" xfId="22447" xr:uid="{97840F8A-F7E9-4519-9B9F-D13410049D8E}"/>
    <cellStyle name="Komma 2 2 2 4 2 2 3" xfId="32524" xr:uid="{712D250D-6B3C-4858-80DF-1F1C6A125590}"/>
    <cellStyle name="Komma 2 2 2 4 2 2 4" xfId="51785" xr:uid="{77F93E99-60FF-4CAD-8EFD-DC15380177FD}"/>
    <cellStyle name="Komma 2 2 2 4 2 2 5" xfId="54801" xr:uid="{F8D0C82D-1AC8-40F2-92B1-7172F89297D3}"/>
    <cellStyle name="Komma 2 2 2 4 2 3" xfId="15385" xr:uid="{0542129B-C5AE-4C6A-A313-036273B1E137}"/>
    <cellStyle name="Komma 2 2 2 4 2 3 2" xfId="22924" xr:uid="{63ACF765-07FC-4D1C-BBC7-837A9E7E109B}"/>
    <cellStyle name="Komma 2 2 2 4 2 3 3" xfId="32282" xr:uid="{45CFF1CB-5E0E-4E3D-A581-784EC943F79B}"/>
    <cellStyle name="Komma 2 2 2 4 2 3 4" xfId="52262" xr:uid="{6ADD74DD-98F9-47BD-A422-CB56969C1BB6}"/>
    <cellStyle name="Komma 2 2 2 4 2 3 5" xfId="55278" xr:uid="{3C61E238-9E99-4E69-AFA8-3B74FC1CD2CC}"/>
    <cellStyle name="Komma 2 2 2 4 2 4" xfId="15872" xr:uid="{2B160122-6E92-4C9C-AF3E-5148857714C0}"/>
    <cellStyle name="Komma 2 2 2 4 2 4 2" xfId="23401" xr:uid="{AF895362-A86E-4F65-8613-BB2948EFBAB1}"/>
    <cellStyle name="Komma 2 2 2 4 2 4 3" xfId="47650" xr:uid="{2F792D8F-C253-4E4C-AB84-6F38F2441741}"/>
    <cellStyle name="Komma 2 2 2 4 2 4 4" xfId="52739" xr:uid="{8E7CE04F-983A-4D3F-8CF3-893A9E93375F}"/>
    <cellStyle name="Komma 2 2 2 4 2 4 5" xfId="55755" xr:uid="{D46F1415-EE6F-4A2C-9531-FBD7F32DF47B}"/>
    <cellStyle name="Komma 2 2 2 4 2 5" xfId="12961" xr:uid="{E4C73ECF-4551-4944-ACB8-E627DBBC4E2F}"/>
    <cellStyle name="Komma 2 2 2 4 2 5 2" xfId="36379" xr:uid="{90ECB1B0-B390-4517-A86A-A1ED225EFF08}"/>
    <cellStyle name="Komma 2 2 2 4 2 5 3" xfId="51308" xr:uid="{C6B405A7-1B24-4A85-8D38-A6E06A14582B}"/>
    <cellStyle name="Komma 2 2 2 4 2 5 4" xfId="54324" xr:uid="{2DEEC442-19E1-4BC5-BBAA-B85973A602B2}"/>
    <cellStyle name="Komma 2 2 2 4 2 6" xfId="46142" xr:uid="{0ECB5588-06FA-4362-813A-CAEA5800CE12}"/>
    <cellStyle name="Komma 2 2 2 4 2 7" xfId="50202" xr:uid="{279A796C-BDA1-47DF-B1F7-174EE63A677A}"/>
    <cellStyle name="Komma 2 2 2 4 2 8" xfId="53218" xr:uid="{41401243-EBE7-4466-A2B8-679EBEF9965E}"/>
    <cellStyle name="Komma 2 2 2 4 3" xfId="14688" xr:uid="{FF17A2F1-67B9-46FB-9B2B-66F555E5C38F}"/>
    <cellStyle name="Komma 2 2 2 4 3 2" xfId="22235" xr:uid="{198D20D6-E1AB-41AF-8FBE-192AA6DB20C8}"/>
    <cellStyle name="Komma 2 2 2 4 3 3" xfId="47480" xr:uid="{7697212A-A961-4DAE-8BD1-3629DE4635F4}"/>
    <cellStyle name="Komma 2 2 2 4 3 4" xfId="51573" xr:uid="{72D8D9CA-3C33-460A-BFB2-E9673222C2EE}"/>
    <cellStyle name="Komma 2 2 2 4 3 5" xfId="54589" xr:uid="{834C0330-5C5C-4C96-A274-C34FA4ABA0A6}"/>
    <cellStyle name="Komma 2 2 2 4 4" xfId="15173" xr:uid="{2497557A-8DFE-47A6-AFF1-66ACE2EF426F}"/>
    <cellStyle name="Komma 2 2 2 4 4 2" xfId="22712" xr:uid="{BC057868-F69C-484C-B198-8BD2676F3F39}"/>
    <cellStyle name="Komma 2 2 2 4 4 3" xfId="47247" xr:uid="{0C60555F-0322-41DA-BF65-FA38911AFE12}"/>
    <cellStyle name="Komma 2 2 2 4 4 4" xfId="52050" xr:uid="{E934793E-4069-48BF-9D8A-643303EF4123}"/>
    <cellStyle name="Komma 2 2 2 4 4 5" xfId="55066" xr:uid="{D72651A7-16F1-41DA-9BA1-4CD1851E253A}"/>
    <cellStyle name="Komma 2 2 2 4 5" xfId="15660" xr:uid="{39487EDD-20BC-48FF-A63A-48595F937525}"/>
    <cellStyle name="Komma 2 2 2 4 5 2" xfId="23189" xr:uid="{6401BDC9-9EBC-4472-8206-8424CEDC2466}"/>
    <cellStyle name="Komma 2 2 2 4 5 3" xfId="46566" xr:uid="{A4C302FD-7237-4E39-B9A0-84E625E12FD3}"/>
    <cellStyle name="Komma 2 2 2 4 5 4" xfId="52527" xr:uid="{E856F1AC-6F0B-49C7-859A-443AE4B4A95A}"/>
    <cellStyle name="Komma 2 2 2 4 5 5" xfId="55543" xr:uid="{87580844-DD54-4963-9ECC-D6902C0A9C32}"/>
    <cellStyle name="Komma 2 2 2 4 6" xfId="12648" xr:uid="{C05E0767-0695-49A3-8113-87E71BDDA594}"/>
    <cellStyle name="Komma 2 2 2 4 6 2" xfId="47693" xr:uid="{00A7406D-3C6C-4866-B65D-31FF90536878}"/>
    <cellStyle name="Komma 2 2 2 4 6 3" xfId="51096" xr:uid="{6DE696F2-6186-4A3D-A33F-9873236D5B41}"/>
    <cellStyle name="Komma 2 2 2 4 6 4" xfId="54112" xr:uid="{7CBD9D7E-4E5A-4A5D-9AD3-8AB0F5998CCB}"/>
    <cellStyle name="Komma 2 2 2 4 7" xfId="25378" xr:uid="{798366C3-B273-4D8E-B37C-57B7908B76B2}"/>
    <cellStyle name="Komma 2 2 2 4 8" xfId="49990" xr:uid="{F126A1B1-647C-4B8B-98A5-211558415863}"/>
    <cellStyle name="Komma 2 2 2 4 9" xfId="53006" xr:uid="{0DDE7203-18E5-4B18-ACD4-D9BF527BB485}"/>
    <cellStyle name="Komma 2 2 2 5" xfId="10274" xr:uid="{BE451B64-6065-4F1B-817B-C3757E1A06EF}"/>
    <cellStyle name="Komma 2 2 2 5 2" xfId="14741" xr:uid="{269FB44E-2A8B-4222-B07C-F05D39607DD3}"/>
    <cellStyle name="Komma 2 2 2 5 2 2" xfId="22288" xr:uid="{D355E02D-2D11-48D4-A705-6F58F7DBD88A}"/>
    <cellStyle name="Komma 2 2 2 5 2 3" xfId="46428" xr:uid="{5884F47E-98D9-4637-8BF9-E3A8D18DDC96}"/>
    <cellStyle name="Komma 2 2 2 5 2 4" xfId="51626" xr:uid="{C3BD4CB4-64C9-4B2F-AA34-0F3DEEE4497D}"/>
    <cellStyle name="Komma 2 2 2 5 2 5" xfId="54642" xr:uid="{01F40301-2360-47D8-9EF1-E86AD854A856}"/>
    <cellStyle name="Komma 2 2 2 5 3" xfId="15226" xr:uid="{3CA71284-B23E-47EF-98A1-E8811C2F2917}"/>
    <cellStyle name="Komma 2 2 2 5 3 2" xfId="22765" xr:uid="{876C7F95-1F2F-4715-A5F7-C4A7B91F9F4E}"/>
    <cellStyle name="Komma 2 2 2 5 3 3" xfId="46498" xr:uid="{67EBE3FD-D1F9-4821-B083-FA106E4EF870}"/>
    <cellStyle name="Komma 2 2 2 5 3 4" xfId="52103" xr:uid="{15272327-8A1C-4E86-B3DE-C16D2DBB1179}"/>
    <cellStyle name="Komma 2 2 2 5 3 5" xfId="55119" xr:uid="{6739D6D8-148B-46F0-BF08-5534E71A54A7}"/>
    <cellStyle name="Komma 2 2 2 5 4" xfId="15713" xr:uid="{641E76D0-604C-444F-9435-DA71A2A8DEE5}"/>
    <cellStyle name="Komma 2 2 2 5 4 2" xfId="23242" xr:uid="{68986F66-8A58-4D7D-AD48-F881823AF5EC}"/>
    <cellStyle name="Komma 2 2 2 5 4 3" xfId="46576" xr:uid="{4982A4A5-1C53-42D7-B491-2F2EA355A505}"/>
    <cellStyle name="Komma 2 2 2 5 4 4" xfId="52580" xr:uid="{EAF6BE03-60C2-4704-8889-003B925AC837}"/>
    <cellStyle name="Komma 2 2 2 5 4 5" xfId="55596" xr:uid="{437E48FE-E5FC-4FA3-8291-B4C2B3113FE4}"/>
    <cellStyle name="Komma 2 2 2 5 5" xfId="12727" xr:uid="{DFF9D5F6-E2C6-4CBE-B79D-F44C57583430}"/>
    <cellStyle name="Komma 2 2 2 5 5 2" xfId="47761" xr:uid="{376862D4-D5D2-4469-B9E3-DB7D665BD123}"/>
    <cellStyle name="Komma 2 2 2 5 5 3" xfId="51149" xr:uid="{647B8626-3769-4BA5-946F-BFFC7F9FAC36}"/>
    <cellStyle name="Komma 2 2 2 5 5 4" xfId="54165" xr:uid="{7626B5A0-706B-449E-938C-B9226EC14D59}"/>
    <cellStyle name="Komma 2 2 2 5 6" xfId="48572" xr:uid="{928E9001-0B12-4611-AC34-93857C41B448}"/>
    <cellStyle name="Komma 2 2 2 5 7" xfId="50043" xr:uid="{8C6B88BD-3448-4915-80BD-5BB4160F886E}"/>
    <cellStyle name="Komma 2 2 2 5 8" xfId="53059" xr:uid="{F89DE091-A3A0-4457-9E27-68E6B34A8B30}"/>
    <cellStyle name="Komma 2 2 2 6" xfId="10588" xr:uid="{E4FA0DD9-D36F-4CBD-A20D-AE6E92AA00AF}"/>
    <cellStyle name="Komma 2 2 2 6 2" xfId="14953" xr:uid="{323071FC-D40B-4E97-8805-78160F70A126}"/>
    <cellStyle name="Komma 2 2 2 6 2 2" xfId="22500" xr:uid="{EA7D941D-8DDC-418F-A7BB-D8DC53596AA0}"/>
    <cellStyle name="Komma 2 2 2 6 2 3" xfId="36971" xr:uid="{5BD0E645-ED19-45D1-855E-65CD48381549}"/>
    <cellStyle name="Komma 2 2 2 6 2 4" xfId="51838" xr:uid="{91276FDD-DB3D-4233-A5C4-5BAE9C714964}"/>
    <cellStyle name="Komma 2 2 2 6 2 5" xfId="54854" xr:uid="{3004D0BA-CE66-43BD-8C3B-5FE0D8982A12}"/>
    <cellStyle name="Komma 2 2 2 6 3" xfId="15438" xr:uid="{8DDC864F-2910-47DC-9602-50340133BDE1}"/>
    <cellStyle name="Komma 2 2 2 6 3 2" xfId="22977" xr:uid="{C0D76E69-8351-457B-931F-E1A911B67FB2}"/>
    <cellStyle name="Komma 2 2 2 6 3 3" xfId="46534" xr:uid="{F56E2044-FE1C-475C-AA93-8270ED237062}"/>
    <cellStyle name="Komma 2 2 2 6 3 4" xfId="52315" xr:uid="{6D59C060-79CD-475D-9742-AB661C1AD93E}"/>
    <cellStyle name="Komma 2 2 2 6 3 5" xfId="55331" xr:uid="{7A848AD9-202B-47C1-9DD0-742D62225A57}"/>
    <cellStyle name="Komma 2 2 2 6 4" xfId="15926" xr:uid="{FFD02A2D-60AB-463A-B5E1-5483C8967A20}"/>
    <cellStyle name="Komma 2 2 2 6 4 2" xfId="23454" xr:uid="{E7DB907F-FB88-44F5-AEB2-4397BD255A95}"/>
    <cellStyle name="Komma 2 2 2 6 4 3" xfId="47040" xr:uid="{68D9FD1F-4CC3-4265-868E-2BE219E44625}"/>
    <cellStyle name="Komma 2 2 2 6 4 4" xfId="52792" xr:uid="{FF5E7A43-829F-4EE1-8CDE-D9AD9E30E0F0}"/>
    <cellStyle name="Komma 2 2 2 6 4 5" xfId="55808" xr:uid="{74997ADF-75C0-4910-A14C-72FD032F7DBA}"/>
    <cellStyle name="Komma 2 2 2 6 5" xfId="13041" xr:uid="{61208090-FE87-4164-ABDE-56196FC19432}"/>
    <cellStyle name="Komma 2 2 2 6 5 2" xfId="25028" xr:uid="{CF6FE368-74E1-4323-9B20-B21A848A324B}"/>
    <cellStyle name="Komma 2 2 2 6 5 3" xfId="51361" xr:uid="{91701FC5-209B-4F29-9C2A-DDCC77364D42}"/>
    <cellStyle name="Komma 2 2 2 6 5 4" xfId="54377" xr:uid="{0FEA5A84-1EFC-4A3E-B9F4-405AFA6C2239}"/>
    <cellStyle name="Komma 2 2 2 6 6" xfId="46156" xr:uid="{A3E5139C-D232-4876-81A0-9489B8ABBDD0}"/>
    <cellStyle name="Komma 2 2 2 6 7" xfId="50255" xr:uid="{63EA43AC-8473-4433-AE23-F36FBF2E2887}"/>
    <cellStyle name="Komma 2 2 2 6 8" xfId="53271" xr:uid="{6B5C2F70-93A0-4DE1-99DD-8392774CE22B}"/>
    <cellStyle name="Komma 2 2 2 7" xfId="14529" xr:uid="{F468D129-4D29-40EA-A478-F7A629F61A7F}"/>
    <cellStyle name="Komma 2 2 2 7 2" xfId="22076" xr:uid="{90434C5D-F21F-425D-9228-955CF91EC397}"/>
    <cellStyle name="Komma 2 2 2 7 3" xfId="48112" xr:uid="{FBC84301-2563-4065-B976-96FBBFD7A531}"/>
    <cellStyle name="Komma 2 2 2 7 4" xfId="51414" xr:uid="{2B6F2A03-5A56-453F-90E9-EF0B5B1DE4DB}"/>
    <cellStyle name="Komma 2 2 2 7 5" xfId="54430" xr:uid="{9044F474-0D32-4C12-BA1C-91B60BDFED86}"/>
    <cellStyle name="Komma 2 2 2 8" xfId="15013" xr:uid="{1FEC5BAC-D9EC-4A9D-9D03-40E40E1CBC8D}"/>
    <cellStyle name="Komma 2 2 2 8 2" xfId="22553" xr:uid="{B75FA44A-D547-47D6-8731-C11EF029F919}"/>
    <cellStyle name="Komma 2 2 2 8 3" xfId="46466" xr:uid="{211D7D5D-D47F-46FD-B2FD-E552AAC612EA}"/>
    <cellStyle name="Komma 2 2 2 8 4" xfId="51891" xr:uid="{069ED766-9CEB-49FE-986E-A5F3353C4A41}"/>
    <cellStyle name="Komma 2 2 2 8 5" xfId="54907" xr:uid="{630468CD-1AE2-4E96-B059-ED3F316E1D66}"/>
    <cellStyle name="Komma 2 2 2 9" xfId="15500" xr:uid="{311D89ED-5079-4DEC-8AA9-8E6BF48CB238}"/>
    <cellStyle name="Komma 2 2 2 9 2" xfId="23030" xr:uid="{7C4FC4E0-941E-4825-B357-A0459B6CA89C}"/>
    <cellStyle name="Komma 2 2 2 9 3" xfId="46541" xr:uid="{F500C213-DC49-4F2D-BBB7-ECCEDDF82D96}"/>
    <cellStyle name="Komma 2 2 2 9 4" xfId="52368" xr:uid="{45B73F36-0106-41D1-92DB-745CC6DA5516}"/>
    <cellStyle name="Komma 2 2 2 9 5" xfId="55384" xr:uid="{E50C8C55-3C55-4547-9871-DD35D3ECE591}"/>
    <cellStyle name="Komma 2 2 3" xfId="10040" xr:uid="{EF8A8F4B-66BE-4F43-945F-3306E44A1592}"/>
    <cellStyle name="Komma 2 2 3 10" xfId="49609" xr:uid="{ABD2C343-E0A1-4047-961F-2C826DB97798}"/>
    <cellStyle name="Komma 2 2 3 11" xfId="49883" xr:uid="{E382FEDC-DFA7-4A75-86ED-11D08249126D}"/>
    <cellStyle name="Komma 2 2 3 12" xfId="52899" xr:uid="{F8F4D89C-9C94-48C8-A823-2B73736BD2DE}"/>
    <cellStyle name="Komma 2 2 3 2" xfId="10348" xr:uid="{4C8C9210-1873-4E8E-AAB1-63CEA510133F}"/>
    <cellStyle name="Komma 2 2 3 2 2" xfId="14793" xr:uid="{00B1E579-3D7D-44AA-8541-8A5ABDC5F72A}"/>
    <cellStyle name="Komma 2 2 3 2 2 2" xfId="22340" xr:uid="{17F35780-C26F-4D26-B898-08E5B8276289}"/>
    <cellStyle name="Komma 2 2 3 2 2 3" xfId="24664" xr:uid="{A9533F0C-5E97-4FC7-90A9-6CA4ACA4344A}"/>
    <cellStyle name="Komma 2 2 3 2 2 4" xfId="51678" xr:uid="{CEF3C4F4-1657-409F-A3A5-BDE781799A20}"/>
    <cellStyle name="Komma 2 2 3 2 2 5" xfId="54694" xr:uid="{2A49C6D0-3C20-426A-89BF-3CAC0FD1ADD4}"/>
    <cellStyle name="Komma 2 2 3 2 3" xfId="15278" xr:uid="{58B728CF-D801-4044-90B5-056F8305E677}"/>
    <cellStyle name="Komma 2 2 3 2 3 2" xfId="22817" xr:uid="{FF2C14E4-7377-4AE0-AF20-7CD0D7A42D44}"/>
    <cellStyle name="Komma 2 2 3 2 3 3" xfId="46901" xr:uid="{1D013420-5135-4C99-9194-5F1E49D8D02B}"/>
    <cellStyle name="Komma 2 2 3 2 3 4" xfId="52155" xr:uid="{6357774F-8485-44A1-878C-837E0D7484E9}"/>
    <cellStyle name="Komma 2 2 3 2 3 5" xfId="55171" xr:uid="{DAF19BE2-4A51-41F2-B78A-476E83CF64D1}"/>
    <cellStyle name="Komma 2 2 3 2 4" xfId="15765" xr:uid="{68F14199-2596-4E7B-8BBE-81C814966E04}"/>
    <cellStyle name="Komma 2 2 3 2 4 2" xfId="23294" xr:uid="{A53BE87F-E208-4AE7-976B-21898513EBE1}"/>
    <cellStyle name="Komma 2 2 3 2 4 3" xfId="46961" xr:uid="{FE423595-DF9B-4AF8-BBD9-E9AE320A16BB}"/>
    <cellStyle name="Komma 2 2 3 2 4 4" xfId="52632" xr:uid="{099FD788-FA8B-420C-8E4F-27167A05C846}"/>
    <cellStyle name="Komma 2 2 3 2 4 5" xfId="55648" xr:uid="{49B3FAC7-4917-45E2-83ED-D44BD9BF1C7D}"/>
    <cellStyle name="Komma 2 2 3 2 5" xfId="12801" xr:uid="{76F6D1C3-2E44-4CB4-89C5-5C9958447AEF}"/>
    <cellStyle name="Komma 2 2 3 2 5 2" xfId="33688" xr:uid="{1B3792BF-61A3-4D36-93AB-3E0A088A9A68}"/>
    <cellStyle name="Komma 2 2 3 2 5 3" xfId="51201" xr:uid="{ABEA8280-5D5E-47E1-A70E-9768DFAF8427}"/>
    <cellStyle name="Komma 2 2 3 2 5 4" xfId="54217" xr:uid="{4ACEE88E-AD8C-4742-85D3-9458267ACBFB}"/>
    <cellStyle name="Komma 2 2 3 2 6" xfId="47582" xr:uid="{DBB83A85-2C1A-4344-9126-FE37BD81BC0B}"/>
    <cellStyle name="Komma 2 2 3 2 7" xfId="50095" xr:uid="{5CC38AA9-31D4-4814-8385-203F3C469DB9}"/>
    <cellStyle name="Komma 2 2 3 2 8" xfId="53111" xr:uid="{110366F6-0177-4790-BBD2-F97C31DC2670}"/>
    <cellStyle name="Komma 2 2 3 3" xfId="14581" xr:uid="{0CB8962D-3A85-4BF1-8852-91FAF9EB68DC}"/>
    <cellStyle name="Komma 2 2 3 3 2" xfId="22128" xr:uid="{5A5F83E4-58C5-4B61-B05E-9DE62FF079DE}"/>
    <cellStyle name="Komma 2 2 3 3 3" xfId="47828" xr:uid="{55B06378-AE5F-45E8-8957-370DB266BC92}"/>
    <cellStyle name="Komma 2 2 3 3 4" xfId="51466" xr:uid="{2B2D909E-555C-4CDC-B114-ED555AFA3CD8}"/>
    <cellStyle name="Komma 2 2 3 3 5" xfId="54482" xr:uid="{394C0208-4768-4645-A021-77B848711402}"/>
    <cellStyle name="Komma 2 2 3 4" xfId="15065" xr:uid="{A8082900-F10A-499F-BDE6-7EC2F334B855}"/>
    <cellStyle name="Komma 2 2 3 4 2" xfId="22605" xr:uid="{B23AD9E2-540E-4DBE-BDDB-B9459D4CC084}"/>
    <cellStyle name="Komma 2 2 3 4 3" xfId="47991" xr:uid="{0BFED373-2A53-46F6-B1F7-41668B92812C}"/>
    <cellStyle name="Komma 2 2 3 4 4" xfId="51943" xr:uid="{EAB5FD7A-3AF9-43D4-943D-2E5198C33CA3}"/>
    <cellStyle name="Komma 2 2 3 4 5" xfId="54959" xr:uid="{530458A4-E223-4006-A352-DAA581B9F7C7}"/>
    <cellStyle name="Komma 2 2 3 5" xfId="15552" xr:uid="{2E049960-24CF-43D7-B49B-1A2370EB97A7}"/>
    <cellStyle name="Komma 2 2 3 5 2" xfId="23082" xr:uid="{2AF9E8EB-A70C-4ACF-BC0E-354206A4EBE6}"/>
    <cellStyle name="Komma 2 2 3 5 3" xfId="46934" xr:uid="{B729D01E-44C1-400C-9DE3-FB9D40900A6A}"/>
    <cellStyle name="Komma 2 2 3 5 4" xfId="52420" xr:uid="{2180B97A-F154-4ED7-8646-0405C4D4A04E}"/>
    <cellStyle name="Komma 2 2 3 5 5" xfId="55436" xr:uid="{9CE39A9B-C86B-41FD-8447-46202DFEBFC4}"/>
    <cellStyle name="Komma 2 2 3 6" xfId="12500" xr:uid="{82FD309F-E463-4D9D-A365-D5AAD2521982}"/>
    <cellStyle name="Komma 2 2 3 6 2" xfId="47819" xr:uid="{30860B87-0063-47C7-AF9D-F8C933305773}"/>
    <cellStyle name="Komma 2 2 3 6 3" xfId="50989" xr:uid="{AEA41A33-0DDE-48B5-A8E7-D5A462D8F158}"/>
    <cellStyle name="Komma 2 2 3 6 4" xfId="54005" xr:uid="{604B4927-E078-4FA5-994A-C1080FB86433}"/>
    <cellStyle name="Komma 2 2 3 7" xfId="23845" xr:uid="{7237D534-D9CD-4C32-AD6E-21722CD6FE59}"/>
    <cellStyle name="Komma 2 2 3 8" xfId="47852" xr:uid="{50EAD75B-EC47-4A6E-A900-A783DA7EF552}"/>
    <cellStyle name="Komma 2 2 3 9" xfId="48701" xr:uid="{C0D577F3-5949-445E-8594-31646E257243}"/>
    <cellStyle name="Komma 2 2 4" xfId="10114" xr:uid="{910D93FE-CA20-4067-90E4-269B80687180}"/>
    <cellStyle name="Komma 2 2 4 2" xfId="10427" xr:uid="{B308DB8B-E7DF-4F17-9EEB-ED0DBFB93F00}"/>
    <cellStyle name="Komma 2 2 4 2 2" xfId="14846" xr:uid="{DCF24804-3A90-43B0-A135-3213F5A001FB}"/>
    <cellStyle name="Komma 2 2 4 2 2 2" xfId="22393" xr:uid="{8E7AEBD1-82A7-4BCC-9B68-DCCF0DE809FC}"/>
    <cellStyle name="Komma 2 2 4 2 2 3" xfId="46445" xr:uid="{70D618E3-D8F6-4D6A-985F-3D17BCFFFBA3}"/>
    <cellStyle name="Komma 2 2 4 2 2 4" xfId="51731" xr:uid="{7F3A3E87-C994-482B-8C98-C90FEA4BA50F}"/>
    <cellStyle name="Komma 2 2 4 2 2 5" xfId="54747" xr:uid="{9BB8DB48-B0D8-4C21-807A-F8D81E883D17}"/>
    <cellStyle name="Komma 2 2 4 2 3" xfId="15331" xr:uid="{B6086826-FD36-4949-8534-BF553DBC8B31}"/>
    <cellStyle name="Komma 2 2 4 2 3 2" xfId="22870" xr:uid="{748ACA32-5AE4-440B-A06C-173A506A7149}"/>
    <cellStyle name="Komma 2 2 4 2 3 3" xfId="48539" xr:uid="{378F2CFA-84F3-4401-91F1-9B210122C05B}"/>
    <cellStyle name="Komma 2 2 4 2 3 4" xfId="52208" xr:uid="{41B9125C-A7CC-4058-AF3A-026E35F5235C}"/>
    <cellStyle name="Komma 2 2 4 2 3 5" xfId="55224" xr:uid="{73912AB8-BF49-45A2-A0E4-266E93884AB2}"/>
    <cellStyle name="Komma 2 2 4 2 4" xfId="15818" xr:uid="{74FFC370-16AA-4C53-A927-959EF422B09C}"/>
    <cellStyle name="Komma 2 2 4 2 4 2" xfId="23347" xr:uid="{91D80F57-1CF1-484A-8EFE-BA1941A9950A}"/>
    <cellStyle name="Komma 2 2 4 2 4 3" xfId="47730" xr:uid="{9F980992-3D46-4755-9A21-DCB1EFAADC89}"/>
    <cellStyle name="Komma 2 2 4 2 4 4" xfId="52685" xr:uid="{BA6F50B1-38A3-4603-98C4-1F09D590BCD5}"/>
    <cellStyle name="Komma 2 2 4 2 4 5" xfId="55701" xr:uid="{37CAD7B5-4136-4EF6-9879-363EBCD664B9}"/>
    <cellStyle name="Komma 2 2 4 2 5" xfId="12880" xr:uid="{8D9DB73A-778F-42A9-8F23-B3011E9A8DEE}"/>
    <cellStyle name="Komma 2 2 4 2 5 2" xfId="46804" xr:uid="{D97450B7-8910-4D27-9457-8FC244FDE892}"/>
    <cellStyle name="Komma 2 2 4 2 5 3" xfId="51254" xr:uid="{F4B3362C-6031-4449-A310-1ED651E2AB5C}"/>
    <cellStyle name="Komma 2 2 4 2 5 4" xfId="54270" xr:uid="{5E77A661-2F68-47B9-B6A3-00BB39AF0E39}"/>
    <cellStyle name="Komma 2 2 4 2 6" xfId="46626" xr:uid="{FC147540-F6A3-43EC-A098-2ACFC5EE3113}"/>
    <cellStyle name="Komma 2 2 4 2 7" xfId="50148" xr:uid="{C58B63EA-67FC-456B-82AE-B7F4E87F4A71}"/>
    <cellStyle name="Komma 2 2 4 2 8" xfId="53164" xr:uid="{40F4A7AF-3C6F-48E2-A8F5-6645FFA073F5}"/>
    <cellStyle name="Komma 2 2 4 3" xfId="14634" xr:uid="{469EC101-415F-47DE-8B88-8021C6D03A0A}"/>
    <cellStyle name="Komma 2 2 4 3 2" xfId="22181" xr:uid="{DCAC8E90-52FC-4AAD-AB18-6D15DE818B37}"/>
    <cellStyle name="Komma 2 2 4 3 3" xfId="48501" xr:uid="{BFAF4B27-95FE-4C04-B25E-2A00E62FBEC9}"/>
    <cellStyle name="Komma 2 2 4 3 4" xfId="51519" xr:uid="{4102C30A-C7AB-48F5-839D-D59EAD071935}"/>
    <cellStyle name="Komma 2 2 4 3 5" xfId="54535" xr:uid="{7A6ACFB3-590E-43B3-B884-FD5B1DF652FB}"/>
    <cellStyle name="Komma 2 2 4 4" xfId="15119" xr:uid="{5067F8F2-669F-4ECF-85BE-48E22018920F}"/>
    <cellStyle name="Komma 2 2 4 4 2" xfId="22658" xr:uid="{C526F57A-7420-45FF-AF79-D83737687751}"/>
    <cellStyle name="Komma 2 2 4 4 3" xfId="46483" xr:uid="{B1E7E1AC-7EC2-4460-A621-53ECBD713999}"/>
    <cellStyle name="Komma 2 2 4 4 4" xfId="51996" xr:uid="{D7E5C2D2-BD52-4B83-B166-CB08977A6AA7}"/>
    <cellStyle name="Komma 2 2 4 4 5" xfId="55012" xr:uid="{497EEA6D-C2A3-4AB2-A33D-9A734E4E2F69}"/>
    <cellStyle name="Komma 2 2 4 5" xfId="15606" xr:uid="{5D79DF45-7E5D-4FC4-A9B1-5A7ABF37907E}"/>
    <cellStyle name="Komma 2 2 4 5 2" xfId="23135" xr:uid="{EE469527-2B57-4287-992A-4B260E96FDEC}"/>
    <cellStyle name="Komma 2 2 4 5 3" xfId="46557" xr:uid="{AAC283DB-0361-48CF-A453-5BAF6A6BB551}"/>
    <cellStyle name="Komma 2 2 4 5 4" xfId="52473" xr:uid="{CC79853E-9C0C-471B-B429-0A39B0089B02}"/>
    <cellStyle name="Komma 2 2 4 5 5" xfId="55489" xr:uid="{4216965B-4583-46F8-AC17-2BC18E86A33D}"/>
    <cellStyle name="Komma 2 2 4 6" xfId="12571" xr:uid="{8BB2AADD-70CF-4B6C-A4AD-FDF5B3226E16}"/>
    <cellStyle name="Komma 2 2 4 6 2" xfId="24696" xr:uid="{3A963C44-3500-4D76-8858-D6B86F92C99D}"/>
    <cellStyle name="Komma 2 2 4 6 3" xfId="51042" xr:uid="{F530509D-1336-423F-A4E8-6A318B6A2D2F}"/>
    <cellStyle name="Komma 2 2 4 6 4" xfId="54058" xr:uid="{3EBDF250-38CF-4EAD-A027-BBB53163CC43}"/>
    <cellStyle name="Komma 2 2 4 7" xfId="47277" xr:uid="{F93A9FF6-7D40-46D1-87D5-01818CAF7A00}"/>
    <cellStyle name="Komma 2 2 4 8" xfId="49936" xr:uid="{B8689959-2055-4400-A1C8-2A46F0D40BBE}"/>
    <cellStyle name="Komma 2 2 4 9" xfId="52952" xr:uid="{0A3C7463-E653-4B53-9799-D6AE1532307D}"/>
    <cellStyle name="Komma 2 2 5" xfId="10193" xr:uid="{43601A1A-D948-4254-BF16-7C945AC269C2}"/>
    <cellStyle name="Komma 2 2 5 2" xfId="10507" xr:uid="{7B057934-16DD-4337-8D2D-80564AA3C8E7}"/>
    <cellStyle name="Komma 2 2 5 2 2" xfId="14899" xr:uid="{7AE6C7FE-4CC9-449B-8BE1-782FBD3AAB7A}"/>
    <cellStyle name="Komma 2 2 5 2 2 2" xfId="22446" xr:uid="{CFCF651A-16C5-4BB5-B85D-24634073E7B5}"/>
    <cellStyle name="Komma 2 2 5 2 2 3" xfId="47243" xr:uid="{C9C59A57-C4D7-443F-B53E-2B0641C1D281}"/>
    <cellStyle name="Komma 2 2 5 2 2 4" xfId="51784" xr:uid="{A8CACC7A-43D4-4D20-88F4-2C1E23C860EB}"/>
    <cellStyle name="Komma 2 2 5 2 2 5" xfId="54800" xr:uid="{CC90DFE2-C2B7-4D40-812B-04ECBA6B1F23}"/>
    <cellStyle name="Komma 2 2 5 2 3" xfId="15384" xr:uid="{61C2295D-F804-4D49-9A4C-6C60F5833F43}"/>
    <cellStyle name="Komma 2 2 5 2 3 2" xfId="22923" xr:uid="{3829BAB3-B0D3-482E-BDA4-D1EF3BFD1258}"/>
    <cellStyle name="Komma 2 2 5 2 3 3" xfId="47192" xr:uid="{654253CA-23AD-4A3B-B0D7-55F828C6CDC8}"/>
    <cellStyle name="Komma 2 2 5 2 3 4" xfId="52261" xr:uid="{9866CBA6-2F62-4912-BC00-8ECD6042E895}"/>
    <cellStyle name="Komma 2 2 5 2 3 5" xfId="55277" xr:uid="{547DFFFD-E23D-48A8-A476-678FD24370C5}"/>
    <cellStyle name="Komma 2 2 5 2 4" xfId="15871" xr:uid="{1E2ADB32-D5F0-4392-A7F7-FA1C1982D1BB}"/>
    <cellStyle name="Komma 2 2 5 2 4 2" xfId="23400" xr:uid="{BB20025D-2559-45B8-A4E6-20519A1FFA5D}"/>
    <cellStyle name="Komma 2 2 5 2 4 3" xfId="48085" xr:uid="{23D2EBAE-8CDD-4A00-B2A3-6C93B1CCD3D4}"/>
    <cellStyle name="Komma 2 2 5 2 4 4" xfId="52738" xr:uid="{7562CCF1-DECF-4013-B9D6-BFE5D9E62C9E}"/>
    <cellStyle name="Komma 2 2 5 2 4 5" xfId="55754" xr:uid="{85A51188-FC48-499D-BE5A-410886198D67}"/>
    <cellStyle name="Komma 2 2 5 2 5" xfId="12960" xr:uid="{8D96FF7F-4166-46B7-B8AF-E058A274CC6B}"/>
    <cellStyle name="Komma 2 2 5 2 5 2" xfId="25323" xr:uid="{874712A1-775A-45C9-B668-0D81F806295D}"/>
    <cellStyle name="Komma 2 2 5 2 5 3" xfId="51307" xr:uid="{09D7673C-6B8D-48E4-BDE2-8B12C5FA908C}"/>
    <cellStyle name="Komma 2 2 5 2 5 4" xfId="54323" xr:uid="{D8F9E15D-7E0A-41F0-A872-D9CF28C18EBA}"/>
    <cellStyle name="Komma 2 2 5 2 6" xfId="48163" xr:uid="{8A191121-67EB-4EAD-AF6A-085666C901CC}"/>
    <cellStyle name="Komma 2 2 5 2 7" xfId="50201" xr:uid="{E4C3A2C1-D6D6-4F9D-9F19-A167B5BD9A3A}"/>
    <cellStyle name="Komma 2 2 5 2 8" xfId="53217" xr:uid="{5140859A-73FC-4C48-88DC-BC490D71F5CC}"/>
    <cellStyle name="Komma 2 2 5 3" xfId="14687" xr:uid="{5E0F9D77-3AEF-4D62-9FDE-C3D1C5466A1B}"/>
    <cellStyle name="Komma 2 2 5 3 2" xfId="22234" xr:uid="{53A222A9-5869-426D-84C9-CBDDFF6BF25C}"/>
    <cellStyle name="Komma 2 2 5 3 3" xfId="46848" xr:uid="{54D3B3B2-DAB0-4DA6-9540-DDBF0AC71A49}"/>
    <cellStyle name="Komma 2 2 5 3 4" xfId="51572" xr:uid="{BB8278CA-E666-4D5E-9861-B5350906F13B}"/>
    <cellStyle name="Komma 2 2 5 3 5" xfId="54588" xr:uid="{1489D118-C453-4960-98BF-47073C59292B}"/>
    <cellStyle name="Komma 2 2 5 4" xfId="15172" xr:uid="{7A51D7A5-CDF2-4EBF-88E1-47BB9317F729}"/>
    <cellStyle name="Komma 2 2 5 4 2" xfId="22711" xr:uid="{FFB8AFEB-71DB-4444-8A78-B45B0D32B174}"/>
    <cellStyle name="Komma 2 2 5 4 3" xfId="48017" xr:uid="{A9993713-E6D0-41EC-8466-6C0FAC9F2F38}"/>
    <cellStyle name="Komma 2 2 5 4 4" xfId="52049" xr:uid="{6C6C6D04-2442-4456-A635-7321B74E0203}"/>
    <cellStyle name="Komma 2 2 5 4 5" xfId="55065" xr:uid="{18EE357A-860E-44B7-9D85-7E7EEBB86D2F}"/>
    <cellStyle name="Komma 2 2 5 5" xfId="15659" xr:uid="{455A5067-3048-4268-8A45-B066CB3074F7}"/>
    <cellStyle name="Komma 2 2 5 5 2" xfId="23188" xr:uid="{498E8CC5-94A9-4ABB-B50D-F175599AB932}"/>
    <cellStyle name="Komma 2 2 5 5 3" xfId="24163" xr:uid="{FD81376C-2DA9-4CFC-A585-B6AEC523DB29}"/>
    <cellStyle name="Komma 2 2 5 5 4" xfId="52526" xr:uid="{E33A3A9E-B403-435F-81BA-A7D28C199ED3}"/>
    <cellStyle name="Komma 2 2 5 5 5" xfId="55542" xr:uid="{E264FBE9-68FF-46C1-9B07-B13808FF1402}"/>
    <cellStyle name="Komma 2 2 5 6" xfId="12647" xr:uid="{1A7CECE8-0235-459D-BED0-D608E346FE60}"/>
    <cellStyle name="Komma 2 2 5 6 2" xfId="34169" xr:uid="{D9855B27-2FF5-48B8-8D6E-82C5D7970A21}"/>
    <cellStyle name="Komma 2 2 5 6 3" xfId="51095" xr:uid="{74FD97E0-536E-48B5-96A1-4F5F90C48CB6}"/>
    <cellStyle name="Komma 2 2 5 6 4" xfId="54111" xr:uid="{8B1480CF-2215-4509-BF55-813701D32227}"/>
    <cellStyle name="Komma 2 2 5 7" xfId="47281" xr:uid="{B88766DC-965C-4572-AA96-5F08135218B1}"/>
    <cellStyle name="Komma 2 2 5 8" xfId="49989" xr:uid="{0EE01640-712C-4571-869A-5CE805B43BF3}"/>
    <cellStyle name="Komma 2 2 5 9" xfId="53005" xr:uid="{F92C9A10-53C7-4590-8894-5461FDDC8CB8}"/>
    <cellStyle name="Komma 2 2 6" xfId="10273" xr:uid="{DFA38F3D-93F1-4F51-8A29-3FE96ECDF2FE}"/>
    <cellStyle name="Komma 2 2 6 2" xfId="14740" xr:uid="{B5E71092-B62D-4F77-B0A1-19F52664CEDB}"/>
    <cellStyle name="Komma 2 2 6 2 2" xfId="22287" xr:uid="{B4B25430-F327-4FE0-B48A-9DEB2FD4279B}"/>
    <cellStyle name="Komma 2 2 6 2 3" xfId="46427" xr:uid="{1104C605-0EEB-4EC3-9313-AEB1991097B8}"/>
    <cellStyle name="Komma 2 2 6 2 4" xfId="51625" xr:uid="{E9C23FC0-291E-4AB5-8CFE-FB501292F805}"/>
    <cellStyle name="Komma 2 2 6 2 5" xfId="54641" xr:uid="{FDDC5BA8-5D6A-4259-A4B2-B0150D4D874F}"/>
    <cellStyle name="Komma 2 2 6 3" xfId="15225" xr:uid="{2894ECB1-59B7-432B-8AEB-652D73E80B75}"/>
    <cellStyle name="Komma 2 2 6 3 2" xfId="22764" xr:uid="{40E4E1DE-4079-47CA-9939-E9F9F34C8326}"/>
    <cellStyle name="Komma 2 2 6 3 3" xfId="47937" xr:uid="{6A5218C5-D64A-407C-A0DF-4CDBA57B1045}"/>
    <cellStyle name="Komma 2 2 6 3 4" xfId="52102" xr:uid="{A9B91AC0-2943-44FB-9AAD-FD5569F53919}"/>
    <cellStyle name="Komma 2 2 6 3 5" xfId="55118" xr:uid="{64EC38F4-FD76-4D15-B059-65CF3E525F75}"/>
    <cellStyle name="Komma 2 2 6 4" xfId="15712" xr:uid="{728A81F7-01AB-4422-B86C-57775F43CF9F}"/>
    <cellStyle name="Komma 2 2 6 4 2" xfId="23241" xr:uid="{9B6C4EEE-F99C-4739-BACF-6C21660C7544}"/>
    <cellStyle name="Komma 2 2 6 4 3" xfId="46575" xr:uid="{3C626441-E281-43B9-8C8C-44C079591D70}"/>
    <cellStyle name="Komma 2 2 6 4 4" xfId="52579" xr:uid="{DABFC73D-EFD6-44E5-8748-1218FF588832}"/>
    <cellStyle name="Komma 2 2 6 4 5" xfId="55595" xr:uid="{13B0D221-E41C-4A99-9D1B-255BE41752D4}"/>
    <cellStyle name="Komma 2 2 6 5" xfId="12726" xr:uid="{DC78E3A3-00F4-428C-B0B6-3409577FC40B}"/>
    <cellStyle name="Komma 2 2 6 5 2" xfId="46786" xr:uid="{396528C8-32BA-469B-9F65-51D6BA7E784C}"/>
    <cellStyle name="Komma 2 2 6 5 3" xfId="51148" xr:uid="{03D0FA96-B1EE-447C-9A43-2ADE6429DE13}"/>
    <cellStyle name="Komma 2 2 6 5 4" xfId="54164" xr:uid="{668E80C7-11EE-4136-95E4-45349AF04825}"/>
    <cellStyle name="Komma 2 2 6 6" xfId="46080" xr:uid="{B23AF19F-53C7-423E-84DC-63DE3124589B}"/>
    <cellStyle name="Komma 2 2 6 7" xfId="50042" xr:uid="{4F6F3188-5557-4FBD-85A7-8CD60B7FA62F}"/>
    <cellStyle name="Komma 2 2 6 8" xfId="53058" xr:uid="{FF9CE6F1-F6B1-42C8-BC7C-D3638A5D2B81}"/>
    <cellStyle name="Komma 2 2 7" xfId="10587" xr:uid="{AB14A700-6DE1-4E90-91B1-5456A6B13CC6}"/>
    <cellStyle name="Komma 2 2 7 2" xfId="14952" xr:uid="{83E1B0E4-4ADA-43D0-A672-D7E15BA6324A}"/>
    <cellStyle name="Komma 2 2 7 2 2" xfId="22499" xr:uid="{0DABC6CF-E93A-45BE-8E1E-A2D629A6B9E3}"/>
    <cellStyle name="Komma 2 2 7 2 3" xfId="46459" xr:uid="{452E8F6E-3D93-4B10-99C2-61D5FB4BC645}"/>
    <cellStyle name="Komma 2 2 7 2 4" xfId="51837" xr:uid="{A1787FFE-8A81-4A14-9D9E-ED9E69F5BA99}"/>
    <cellStyle name="Komma 2 2 7 2 5" xfId="54853" xr:uid="{A58736FA-4A45-4244-8931-CB5E3E932D58}"/>
    <cellStyle name="Komma 2 2 7 3" xfId="15437" xr:uid="{F1170597-6920-4F28-9AD3-0663C565FBBD}"/>
    <cellStyle name="Komma 2 2 7 3 2" xfId="22976" xr:uid="{E356CC0F-40D7-46AF-A6B8-AFE381D8DF81}"/>
    <cellStyle name="Komma 2 2 7 3 3" xfId="46533" xr:uid="{3241C76E-B79A-491E-8DB8-ED34143D4F88}"/>
    <cellStyle name="Komma 2 2 7 3 4" xfId="52314" xr:uid="{63CB3420-EF19-44F6-9DA7-232A89FF4021}"/>
    <cellStyle name="Komma 2 2 7 3 5" xfId="55330" xr:uid="{A7148ED0-825F-4BEF-94A2-5CDBEA897959}"/>
    <cellStyle name="Komma 2 2 7 4" xfId="15925" xr:uid="{F09203EC-FA0D-4057-8957-C79C4E01E2CA}"/>
    <cellStyle name="Komma 2 2 7 4 2" xfId="23453" xr:uid="{5A3B769F-ECE9-4A30-87F0-509A0299CF35}"/>
    <cellStyle name="Komma 2 2 7 4 3" xfId="32498" xr:uid="{328F381A-7B5B-4643-8626-459B1945746A}"/>
    <cellStyle name="Komma 2 2 7 4 4" xfId="52791" xr:uid="{6C8D2CFA-22FA-4CC3-AC4F-A8A9355272C3}"/>
    <cellStyle name="Komma 2 2 7 4 5" xfId="55807" xr:uid="{72BFC2E6-6B85-4270-86F8-B474860F08E1}"/>
    <cellStyle name="Komma 2 2 7 5" xfId="13040" xr:uid="{D129619E-18E9-48DC-A638-51CA1B270393}"/>
    <cellStyle name="Komma 2 2 7 5 2" xfId="46385" xr:uid="{C3D4CB2A-42D4-422A-9129-7A08D6C7F73A}"/>
    <cellStyle name="Komma 2 2 7 5 3" xfId="51360" xr:uid="{1F80FAE0-D657-4787-9120-AEBF6A40E08C}"/>
    <cellStyle name="Komma 2 2 7 5 4" xfId="54376" xr:uid="{700597E4-4FF6-4883-97D1-5B63D8D2CA7C}"/>
    <cellStyle name="Komma 2 2 7 6" xfId="47361" xr:uid="{39FF4F6F-F6EE-497C-8537-101589762380}"/>
    <cellStyle name="Komma 2 2 7 7" xfId="50254" xr:uid="{FFBE77EB-165D-4C3F-A39C-239DCE695A6A}"/>
    <cellStyle name="Komma 2 2 7 8" xfId="53270" xr:uid="{8B01B3A7-9143-46C2-930A-CFB427790CF8}"/>
    <cellStyle name="Komma 2 2 8" xfId="14528" xr:uid="{D07A6EBF-22F6-4CB2-A447-98537B2747E9}"/>
    <cellStyle name="Komma 2 2 8 2" xfId="22075" xr:uid="{3820A587-27E4-4FB7-A4E7-C026A5685B47}"/>
    <cellStyle name="Komma 2 2 8 3" xfId="34068" xr:uid="{D61CFC31-BE5E-48A3-8A28-8EB0ABBB1853}"/>
    <cellStyle name="Komma 2 2 8 4" xfId="51413" xr:uid="{4E77AE01-C817-4F3A-AA18-5BFD0742AD87}"/>
    <cellStyle name="Komma 2 2 8 5" xfId="54429" xr:uid="{A44CC12C-7FF4-4A0B-84E5-8E24DF4A7A9E}"/>
    <cellStyle name="Komma 2 2 9" xfId="15012" xr:uid="{EA312A85-55E6-43C9-BF8B-344B0E862881}"/>
    <cellStyle name="Komma 2 2 9 2" xfId="22552" xr:uid="{A4491E2B-37D4-4791-B43E-2712F10A4E33}"/>
    <cellStyle name="Komma 2 2 9 3" xfId="24181" xr:uid="{F23FB679-7969-408C-94A8-BB6CA591DD6B}"/>
    <cellStyle name="Komma 2 2 9 4" xfId="51890" xr:uid="{B4EE75D6-172B-4174-BE8C-DA5E69C5E3FA}"/>
    <cellStyle name="Komma 2 2 9 5" xfId="54906" xr:uid="{638C6D76-0E96-48B5-97B6-833ABA2E123E}"/>
    <cellStyle name="Komma 2 3" xfId="9100" xr:uid="{4EDF592C-B92F-45BE-850F-E4B80958CA36}"/>
    <cellStyle name="Komma 2 3 10" xfId="11235" xr:uid="{581144AC-8765-4F69-93BA-774914DBF6D4}"/>
    <cellStyle name="Komma 2 3 10 2" xfId="48185" xr:uid="{348756EE-697C-40BB-9747-DAD66F67B521}"/>
    <cellStyle name="Komma 2 3 10 3" xfId="50714" xr:uid="{A3A49A9A-5F67-4673-B65E-6827CEEA706C}"/>
    <cellStyle name="Komma 2 3 10 4" xfId="53730" xr:uid="{EFAB5A30-53EF-4B9A-BCBF-C3677E03AC21}"/>
    <cellStyle name="Komma 2 3 11" xfId="23846" xr:uid="{556E82C1-9634-47C3-802D-7BEB0F1462F4}"/>
    <cellStyle name="Komma 2 3 12" xfId="46013" xr:uid="{572B05C6-3307-45E3-BFB7-F4BD1A151EC2}"/>
    <cellStyle name="Komma 2 3 13" xfId="49832" xr:uid="{17688DD8-85C7-4653-A6E7-17B5B0BCE4F6}"/>
    <cellStyle name="Komma 2 3 14" xfId="52847" xr:uid="{55D4FDEC-D716-4DCD-B2C7-8A95D008D2FF}"/>
    <cellStyle name="Komma 2 3 2" xfId="10042" xr:uid="{90EBD008-FEFC-40C5-B235-09AE872E8BEF}"/>
    <cellStyle name="Komma 2 3 2 10" xfId="49610" xr:uid="{F89C29B0-2942-4193-9905-7B6BA7BCE94E}"/>
    <cellStyle name="Komma 2 3 2 11" xfId="49885" xr:uid="{C5351914-73BA-4D70-AACB-09498D25C870}"/>
    <cellStyle name="Komma 2 3 2 12" xfId="52901" xr:uid="{656EDBF2-2A11-4C4E-8B95-F4FE78D10ECE}"/>
    <cellStyle name="Komma 2 3 2 2" xfId="10350" xr:uid="{3D91AB5E-EBA3-4DE3-9830-B09A58DFF8DC}"/>
    <cellStyle name="Komma 2 3 2 2 2" xfId="14795" xr:uid="{E494F4EA-CD55-47F0-B586-3AC5F950EAF1}"/>
    <cellStyle name="Komma 2 3 2 2 2 2" xfId="22342" xr:uid="{EB2BAD0E-B698-4F88-926B-CA12CFFA7EC5}"/>
    <cellStyle name="Komma 2 3 2 2 2 3" xfId="46434" xr:uid="{4EA71C86-2320-4D81-9A54-593285FC25F0}"/>
    <cellStyle name="Komma 2 3 2 2 2 4" xfId="51680" xr:uid="{C0AD9759-8CE0-4F26-BBDC-D024D8EFD4C6}"/>
    <cellStyle name="Komma 2 3 2 2 2 5" xfId="54696" xr:uid="{376060EB-D564-43D9-AFF2-2EFA317414E6}"/>
    <cellStyle name="Komma 2 3 2 2 3" xfId="15280" xr:uid="{6C06D7B5-E7B1-4F2D-9A40-55D075F5E11D}"/>
    <cellStyle name="Komma 2 3 2 2 3 2" xfId="22819" xr:uid="{528335A1-76AD-4BC8-9836-4A670C433D48}"/>
    <cellStyle name="Komma 2 3 2 2 3 3" xfId="48219" xr:uid="{EDD2A5E3-8D67-4A87-9DD0-C939A55C56B6}"/>
    <cellStyle name="Komma 2 3 2 2 3 4" xfId="52157" xr:uid="{953D1337-8FD8-450E-95ED-87C6E78C1DBB}"/>
    <cellStyle name="Komma 2 3 2 2 3 5" xfId="55173" xr:uid="{3CEA49AD-558F-415D-B0D8-385AE21E7098}"/>
    <cellStyle name="Komma 2 3 2 2 4" xfId="15767" xr:uid="{C8D9E99D-916B-4E00-A718-D949C9C4AA62}"/>
    <cellStyle name="Komma 2 3 2 2 4 2" xfId="23296" xr:uid="{4A54CB8D-C123-497D-A0D6-FB9DDC204AC4}"/>
    <cellStyle name="Komma 2 3 2 2 4 3" xfId="24160" xr:uid="{7E8ABF87-0C39-4C7E-B161-07704741F2C9}"/>
    <cellStyle name="Komma 2 3 2 2 4 4" xfId="52634" xr:uid="{13CB1BEB-E934-48EF-9EAA-115341DC363D}"/>
    <cellStyle name="Komma 2 3 2 2 4 5" xfId="55650" xr:uid="{215D7A1E-79CA-4422-818A-369B66D7FEE0}"/>
    <cellStyle name="Komma 2 3 2 2 5" xfId="12803" xr:uid="{0B640B8E-3C7A-47BF-BAA1-7C140A64D792}"/>
    <cellStyle name="Komma 2 3 2 2 5 2" xfId="46355" xr:uid="{77ECB97F-B412-4064-8430-4FC90E5E6521}"/>
    <cellStyle name="Komma 2 3 2 2 5 3" xfId="51203" xr:uid="{78CD0CD5-C32B-45A1-9158-8319B6920C09}"/>
    <cellStyle name="Komma 2 3 2 2 5 4" xfId="54219" xr:uid="{9DE9D51E-1A1E-4DD2-B71B-F1DF5E608C4B}"/>
    <cellStyle name="Komma 2 3 2 2 6" xfId="46096" xr:uid="{8559C7D1-3C4D-435B-93AC-C429E9F098EA}"/>
    <cellStyle name="Komma 2 3 2 2 7" xfId="50097" xr:uid="{AC16ACB6-0112-4A7B-9BD6-8B46A435D2C7}"/>
    <cellStyle name="Komma 2 3 2 2 8" xfId="53113" xr:uid="{20ABF62B-4BC7-4B02-B9D2-68A038211FE3}"/>
    <cellStyle name="Komma 2 3 2 3" xfId="14583" xr:uid="{7A91C5CF-B426-45A9-9129-8B62111DF6FC}"/>
    <cellStyle name="Komma 2 3 2 3 2" xfId="22130" xr:uid="{5B71BD22-2615-458B-9173-A8516B2A855C}"/>
    <cellStyle name="Komma 2 3 2 3 3" xfId="33661" xr:uid="{9A4B1FC1-E905-4400-BA9B-A94892555EF0}"/>
    <cellStyle name="Komma 2 3 2 3 4" xfId="51468" xr:uid="{00A763DF-89C4-4C86-998B-F00943BE49C5}"/>
    <cellStyle name="Komma 2 3 2 3 5" xfId="54484" xr:uid="{8758CEC2-4E88-4057-BE47-E46CB3A6B5EC}"/>
    <cellStyle name="Komma 2 3 2 4" xfId="15067" xr:uid="{C1486CDD-4195-4D80-A1AD-8A096025148A}"/>
    <cellStyle name="Komma 2 3 2 4 2" xfId="22607" xr:uid="{4C3A2B62-4BB4-4093-9BC9-2DFB8D4A9DDF}"/>
    <cellStyle name="Komma 2 3 2 4 3" xfId="47037" xr:uid="{DC21B1CD-889B-4E87-85A8-2D779BF1A5B6}"/>
    <cellStyle name="Komma 2 3 2 4 4" xfId="51945" xr:uid="{52FA124C-4AD2-42AC-97BF-466976F0E166}"/>
    <cellStyle name="Komma 2 3 2 4 5" xfId="54961" xr:uid="{BA92CB49-47D4-4CBF-A298-D408551D2B5E}"/>
    <cellStyle name="Komma 2 3 2 5" xfId="15554" xr:uid="{8390BCFA-2361-47F6-8A4D-53984003696A}"/>
    <cellStyle name="Komma 2 3 2 5 2" xfId="23084" xr:uid="{EEC06665-0CE9-4D62-92CF-DF503283EBA1}"/>
    <cellStyle name="Komma 2 3 2 5 3" xfId="47643" xr:uid="{A4716888-B421-4DD9-9CCF-0A5416816F70}"/>
    <cellStyle name="Komma 2 3 2 5 4" xfId="52422" xr:uid="{9B85C0E1-7981-4EC7-918C-1295DEB1C7F2}"/>
    <cellStyle name="Komma 2 3 2 5 5" xfId="55438" xr:uid="{63B7B0DF-5883-4BA4-A2F5-98134AD60A27}"/>
    <cellStyle name="Komma 2 3 2 6" xfId="12502" xr:uid="{4D87DB32-C9B0-42D6-AAD3-749F5B4092A2}"/>
    <cellStyle name="Komma 2 3 2 6 2" xfId="47465" xr:uid="{C716B1B2-91E2-4D88-9F4B-1D57DE0E6EAD}"/>
    <cellStyle name="Komma 2 3 2 6 3" xfId="50991" xr:uid="{BDA1D3ED-CD81-44FF-8F35-3F9436C332BD}"/>
    <cellStyle name="Komma 2 3 2 6 4" xfId="54007" xr:uid="{D99B4806-E01C-404D-99D1-2998A6D23F58}"/>
    <cellStyle name="Komma 2 3 2 7" xfId="23847" xr:uid="{1D63EBCC-D54C-41D6-BF4B-74AC7E44788D}"/>
    <cellStyle name="Komma 2 3 2 8" xfId="46034" xr:uid="{131E070F-72B8-4A6D-A593-2A57F58AC1DB}"/>
    <cellStyle name="Komma 2 3 2 9" xfId="48702" xr:uid="{813A957D-732F-4071-AA01-8570009CB21F}"/>
    <cellStyle name="Komma 2 3 3" xfId="10116" xr:uid="{BB908392-601A-42B4-B351-EAA6E5695D84}"/>
    <cellStyle name="Komma 2 3 3 10" xfId="52954" xr:uid="{FB3CDF17-E3D3-433D-BF62-DE482207B010}"/>
    <cellStyle name="Komma 2 3 3 2" xfId="10429" xr:uid="{CAFE75D6-0185-4685-A219-DB3DD40196D8}"/>
    <cellStyle name="Komma 2 3 3 2 2" xfId="14848" xr:uid="{7022C871-2CE5-47DC-91E7-62E1D12D83D8}"/>
    <cellStyle name="Komma 2 3 3 2 2 2" xfId="22395" xr:uid="{F7C813D8-C7EC-4354-9A9F-550BE9F71A66}"/>
    <cellStyle name="Komma 2 3 3 2 2 3" xfId="36980" xr:uid="{0B539B61-48D8-4708-A041-7A85EA42D7E3}"/>
    <cellStyle name="Komma 2 3 3 2 2 4" xfId="51733" xr:uid="{78735937-54E2-42E3-962B-B85A86D39DA8}"/>
    <cellStyle name="Komma 2 3 3 2 2 5" xfId="54749" xr:uid="{8EEEBC1A-0A41-47D1-BB40-ED9A4806BC0D}"/>
    <cellStyle name="Komma 2 3 3 2 3" xfId="15333" xr:uid="{85B2885E-C7FB-4C1E-A0A7-C8A4403AC94F}"/>
    <cellStyle name="Komma 2 3 3 2 3 2" xfId="22872" xr:uid="{5784984E-C04D-4EB1-933D-5F082004C09E}"/>
    <cellStyle name="Komma 2 3 3 2 3 3" xfId="24906" xr:uid="{6449D178-B2A2-4371-9E83-85D95D9E193B}"/>
    <cellStyle name="Komma 2 3 3 2 3 4" xfId="52210" xr:uid="{07440869-D69A-4AC2-9212-2A1B0F959687}"/>
    <cellStyle name="Komma 2 3 3 2 3 5" xfId="55226" xr:uid="{362BE9C1-4DB2-4734-A9E8-735FD990256A}"/>
    <cellStyle name="Komma 2 3 3 2 4" xfId="15820" xr:uid="{382C8A8E-AA10-47A6-87C0-D0A46AD18AB9}"/>
    <cellStyle name="Komma 2 3 3 2 4 2" xfId="23349" xr:uid="{BA232501-F247-4BD0-BBBC-E204A9B10A90}"/>
    <cellStyle name="Komma 2 3 3 2 4 3" xfId="46970" xr:uid="{D40A694D-3BBA-413C-A31C-79CCCCA747BC}"/>
    <cellStyle name="Komma 2 3 3 2 4 4" xfId="52687" xr:uid="{3E4995FF-F0A8-46FB-AA17-C5FB9A59DB50}"/>
    <cellStyle name="Komma 2 3 3 2 4 5" xfId="55703" xr:uid="{6B71775A-C9BE-427D-B096-55B6449F8681}"/>
    <cellStyle name="Komma 2 3 3 2 5" xfId="12882" xr:uid="{F21C873D-FA08-41A9-8155-3299A032522B}"/>
    <cellStyle name="Komma 2 3 3 2 5 2" xfId="47922" xr:uid="{E999B07C-4C55-423E-9675-5D6EAC5A3A8A}"/>
    <cellStyle name="Komma 2 3 3 2 5 3" xfId="51256" xr:uid="{D0B25609-B662-4405-9F06-C9EE00CF649B}"/>
    <cellStyle name="Komma 2 3 3 2 5 4" xfId="54272" xr:uid="{19C2FA27-8EDC-416A-B38B-8D4A7F0FEA12}"/>
    <cellStyle name="Komma 2 3 3 2 6" xfId="38075" xr:uid="{4B601643-2372-4AC6-B7D2-5DFE30337826}"/>
    <cellStyle name="Komma 2 3 3 2 7" xfId="48138" xr:uid="{F48C9EA8-8446-4607-A8F1-9367E6CAEC50}"/>
    <cellStyle name="Komma 2 3 3 2 8" xfId="50150" xr:uid="{E21561DE-8D0F-4DD8-8308-444C6B74DBE9}"/>
    <cellStyle name="Komma 2 3 3 2 9" xfId="53166" xr:uid="{3254F9FB-5387-4CF7-80F6-910E685B174E}"/>
    <cellStyle name="Komma 2 3 3 3" xfId="14636" xr:uid="{99D78595-0EDB-4684-A726-4FCD91AA0CE4}"/>
    <cellStyle name="Komma 2 3 3 3 2" xfId="22183" xr:uid="{0B9FA9EC-DF90-47E0-8FC8-85B9725C883D}"/>
    <cellStyle name="Komma 2 3 3 3 3" xfId="43377" xr:uid="{F885387C-AE53-4220-990D-A12A0DE286D2}"/>
    <cellStyle name="Komma 2 3 3 3 4" xfId="24531" xr:uid="{1727D2A3-1B34-4826-87BE-9E80C7D7EA8B}"/>
    <cellStyle name="Komma 2 3 3 3 5" xfId="51521" xr:uid="{A51330C1-D15D-4DAB-BD3D-CCFE6B9062C3}"/>
    <cellStyle name="Komma 2 3 3 3 6" xfId="54537" xr:uid="{E564B7C7-3E7D-4CC6-856A-71B6A65C3565}"/>
    <cellStyle name="Komma 2 3 3 4" xfId="15121" xr:uid="{758EDEFC-4B58-4250-BC44-7C43CFFF73D7}"/>
    <cellStyle name="Komma 2 3 3 4 2" xfId="22660" xr:uid="{E3C455CB-D5FC-4668-BFFD-7CDC9C39C5AF}"/>
    <cellStyle name="Komma 2 3 3 4 3" xfId="46485" xr:uid="{A9517D74-A2CA-460C-A90C-58B9EF776C5E}"/>
    <cellStyle name="Komma 2 3 3 4 4" xfId="51998" xr:uid="{91D4DE1D-BA9D-4E86-AB3D-1D6BFA325D13}"/>
    <cellStyle name="Komma 2 3 3 4 5" xfId="55014" xr:uid="{F5F0E4C6-66F0-459B-9ED9-4E6F31E0D244}"/>
    <cellStyle name="Komma 2 3 3 5" xfId="15608" xr:uid="{8880248C-B764-4ACB-8CA7-5BDECD88884D}"/>
    <cellStyle name="Komma 2 3 3 5 2" xfId="23137" xr:uid="{6AE7B11D-612C-4660-B198-3D3555F58C9C}"/>
    <cellStyle name="Komma 2 3 3 5 3" xfId="36260" xr:uid="{815173FF-4C17-4464-BA41-B8840C7F9DD0}"/>
    <cellStyle name="Komma 2 3 3 5 4" xfId="52475" xr:uid="{14EF6F44-B29B-4908-AF0B-2E1E6859F5D9}"/>
    <cellStyle name="Komma 2 3 3 5 5" xfId="55491" xr:uid="{B929F4EE-E174-4878-A6D4-C55EACB55CB9}"/>
    <cellStyle name="Komma 2 3 3 6" xfId="12573" xr:uid="{58A4BBEC-9ECB-4D28-A102-CCCC68D0139D}"/>
    <cellStyle name="Komma 2 3 3 6 2" xfId="25331" xr:uid="{30D0426B-B9C6-4D4F-B66A-7ED1B351E404}"/>
    <cellStyle name="Komma 2 3 3 6 3" xfId="51044" xr:uid="{5A7D0B0A-9AB7-46D9-B0DE-FF8E61EFA719}"/>
    <cellStyle name="Komma 2 3 3 6 4" xfId="54060" xr:uid="{15FA7D0B-A5DA-42DE-9BF6-9377FD14E0CB}"/>
    <cellStyle name="Komma 2 3 3 7" xfId="32722" xr:uid="{9063C3BA-84BD-4401-897B-1A6F1917F84A}"/>
    <cellStyle name="Komma 2 3 3 8" xfId="48375" xr:uid="{C1153A9F-A61D-401F-8B93-A5118BE3B73F}"/>
    <cellStyle name="Komma 2 3 3 9" xfId="49938" xr:uid="{D2F4B1F3-28E8-478E-AA2C-4D34C69A075E}"/>
    <cellStyle name="Komma 2 3 4" xfId="10195" xr:uid="{042A62EB-846E-49AA-BEAD-9943E8357FC0}"/>
    <cellStyle name="Komma 2 3 4 10" xfId="53007" xr:uid="{9E0967AA-75B1-490F-B56B-311494C8EDE2}"/>
    <cellStyle name="Komma 2 3 4 2" xfId="10509" xr:uid="{88F697EE-01B8-42E1-9AC9-8AF8B0C620B0}"/>
    <cellStyle name="Komma 2 3 4 2 2" xfId="14901" xr:uid="{DFC61971-D9DD-420A-A20D-FE7E2CC5B62D}"/>
    <cellStyle name="Komma 2 3 4 2 2 2" xfId="22448" xr:uid="{07EB5517-9B35-4A68-A321-65FE32283B2E}"/>
    <cellStyle name="Komma 2 3 4 2 2 3" xfId="48355" xr:uid="{D5907C83-B701-4F8A-B898-5D40E82C6E83}"/>
    <cellStyle name="Komma 2 3 4 2 2 4" xfId="51786" xr:uid="{407D2140-C8BD-4BF0-82E5-1E24B1388A47}"/>
    <cellStyle name="Komma 2 3 4 2 2 5" xfId="54802" xr:uid="{CD7C37CE-2A03-4A5F-985C-EDBB27A7E9A7}"/>
    <cellStyle name="Komma 2 3 4 2 3" xfId="15386" xr:uid="{93652026-8840-4923-9DFD-36C66718019E}"/>
    <cellStyle name="Komma 2 3 4 2 3 2" xfId="22925" xr:uid="{75271AAA-5E4E-4456-B2E1-F7DEDA38085D}"/>
    <cellStyle name="Komma 2 3 4 2 3 3" xfId="46524" xr:uid="{30B59BE1-F8AF-42EE-91FE-F040978988B7}"/>
    <cellStyle name="Komma 2 3 4 2 3 4" xfId="52263" xr:uid="{A04B96DA-77E3-4CC5-A249-A6965D0AB5AB}"/>
    <cellStyle name="Komma 2 3 4 2 3 5" xfId="55279" xr:uid="{2CA4B1E5-02CB-4679-842C-F3CE792B2D85}"/>
    <cellStyle name="Komma 2 3 4 2 4" xfId="15873" xr:uid="{F5BAE75D-1A1C-4CB1-8694-F963593207CE}"/>
    <cellStyle name="Komma 2 3 4 2 4 2" xfId="23402" xr:uid="{6ECBF6E9-9BE4-49A2-871A-77870618BE2D}"/>
    <cellStyle name="Komma 2 3 4 2 4 3" xfId="34466" xr:uid="{52A50EA1-ED97-4145-ABE7-FC8BA79AB69C}"/>
    <cellStyle name="Komma 2 3 4 2 4 4" xfId="52740" xr:uid="{E24C8B78-69D6-4860-A7C7-D023478E3CBD}"/>
    <cellStyle name="Komma 2 3 4 2 4 5" xfId="55756" xr:uid="{5DA77F89-2992-40F1-8ED3-D9B0A56B0C13}"/>
    <cellStyle name="Komma 2 3 4 2 5" xfId="12962" xr:uid="{95E2050A-1232-4B4F-A24E-C6BFB3DE4903}"/>
    <cellStyle name="Komma 2 3 4 2 5 2" xfId="46673" xr:uid="{26FD9211-B57B-4A4F-A372-861BFA1F8AAE}"/>
    <cellStyle name="Komma 2 3 4 2 5 3" xfId="51309" xr:uid="{05FF9A5A-E68C-4753-80A2-5D59145807F5}"/>
    <cellStyle name="Komma 2 3 4 2 5 4" xfId="54325" xr:uid="{59EEC905-736F-4B31-8641-FBD954055493}"/>
    <cellStyle name="Komma 2 3 4 2 6" xfId="24260" xr:uid="{4344C6CB-85A0-4CD2-8607-708841160970}"/>
    <cellStyle name="Komma 2 3 4 2 7" xfId="50203" xr:uid="{A3885C00-5F45-4673-9E75-3E1E67F1FCC4}"/>
    <cellStyle name="Komma 2 3 4 2 8" xfId="53219" xr:uid="{BB84AE07-41DE-4CD7-BBB7-239FEC0F6D2E}"/>
    <cellStyle name="Komma 2 3 4 3" xfId="14689" xr:uid="{5E5EB796-9B67-40FB-99DD-363C330280E6}"/>
    <cellStyle name="Komma 2 3 4 3 2" xfId="22236" xr:uid="{6A57A22E-88BA-4ACB-AB0B-88043820EEA9}"/>
    <cellStyle name="Komma 2 3 4 3 3" xfId="48502" xr:uid="{6F068638-85CE-463B-A284-58604E09695C}"/>
    <cellStyle name="Komma 2 3 4 3 4" xfId="51574" xr:uid="{C93DE7C7-4652-4B5E-AE4F-70A2A3325702}"/>
    <cellStyle name="Komma 2 3 4 3 5" xfId="54590" xr:uid="{3F7133E6-842A-44F1-B4C3-CBB057B652DE}"/>
    <cellStyle name="Komma 2 3 4 4" xfId="15174" xr:uid="{DC5BA5A2-2A75-489B-8DC0-50B3E92D06A0}"/>
    <cellStyle name="Komma 2 3 4 4 2" xfId="22713" xr:uid="{15199F93-A33C-4134-A093-506275E7FE80}"/>
    <cellStyle name="Komma 2 3 4 4 3" xfId="46889" xr:uid="{DBCADE43-6DE8-4FD1-91B8-78DCED728FC0}"/>
    <cellStyle name="Komma 2 3 4 4 4" xfId="52051" xr:uid="{CA3440A6-C442-4E36-AD68-8C058741D40F}"/>
    <cellStyle name="Komma 2 3 4 4 5" xfId="55067" xr:uid="{F3373482-2199-4CEA-A8E9-37216C41845A}"/>
    <cellStyle name="Komma 2 3 4 5" xfId="15661" xr:uid="{4D188056-6C30-4A54-BB09-44C722BCC45C}"/>
    <cellStyle name="Komma 2 3 4 5 2" xfId="23190" xr:uid="{CCC47464-EFC6-46C7-B99D-140437FDECDB}"/>
    <cellStyle name="Komma 2 3 4 5 3" xfId="47136" xr:uid="{585D250A-37D5-4CC4-8935-E90961CB2F56}"/>
    <cellStyle name="Komma 2 3 4 5 4" xfId="52528" xr:uid="{B93FC8A2-FB6E-4932-97E7-D26457FA7EA4}"/>
    <cellStyle name="Komma 2 3 4 5 5" xfId="55544" xr:uid="{95E715D9-F635-4E71-84E6-ACA5CC3C1908}"/>
    <cellStyle name="Komma 2 3 4 6" xfId="12649" xr:uid="{56D0A798-1899-4ED3-BB5C-6B54A91D5F6D}"/>
    <cellStyle name="Komma 2 3 4 6 2" xfId="46780" xr:uid="{452B5F3E-3CEA-4EA1-8B17-EF4548D24F55}"/>
    <cellStyle name="Komma 2 3 4 6 3" xfId="51097" xr:uid="{CE81AC21-8615-4EBD-8185-F23943105068}"/>
    <cellStyle name="Komma 2 3 4 6 4" xfId="54113" xr:uid="{69F33748-4697-4810-951D-2B6B6897C657}"/>
    <cellStyle name="Komma 2 3 4 7" xfId="35610" xr:uid="{5B6956D9-002E-4C08-A68C-EC67A250DB99}"/>
    <cellStyle name="Komma 2 3 4 8" xfId="47797" xr:uid="{F51E6FBE-CC4A-4632-8225-D07CB08EB947}"/>
    <cellStyle name="Komma 2 3 4 9" xfId="49991" xr:uid="{D94F602E-B1D5-421E-99C8-17710D6FA48E}"/>
    <cellStyle name="Komma 2 3 5" xfId="10275" xr:uid="{4BC599D3-DA8B-4A3F-9C68-C81442793E70}"/>
    <cellStyle name="Komma 2 3 5 2" xfId="14742" xr:uid="{53AB23D5-4225-40A0-A05C-24A5C9CA933A}"/>
    <cellStyle name="Komma 2 3 5 2 2" xfId="22289" xr:uid="{91C6713D-48ED-41A7-82C9-FCABFF75EEE4}"/>
    <cellStyle name="Komma 2 3 5 2 3" xfId="24953" xr:uid="{060FB549-4503-4E04-9004-5CF3F02DFDD7}"/>
    <cellStyle name="Komma 2 3 5 2 4" xfId="51627" xr:uid="{A54614A8-BBA1-4EC0-8C26-64E68BD8D5CF}"/>
    <cellStyle name="Komma 2 3 5 2 5" xfId="54643" xr:uid="{6CB1B16F-2666-4B21-996D-06798A79CBD9}"/>
    <cellStyle name="Komma 2 3 5 3" xfId="15227" xr:uid="{CDB5E46A-5766-4D5E-84E7-6F88C07BDDC9}"/>
    <cellStyle name="Komma 2 3 5 3 2" xfId="22766" xr:uid="{0D8688C1-45FD-4AD9-AA74-E0E7AC0F6DD2}"/>
    <cellStyle name="Komma 2 3 5 3 3" xfId="47673" xr:uid="{A90FE955-F200-473A-9179-6DADB3A99AFC}"/>
    <cellStyle name="Komma 2 3 5 3 4" xfId="52104" xr:uid="{F0115641-6C75-4F06-B109-1DE7ED53F084}"/>
    <cellStyle name="Komma 2 3 5 3 5" xfId="55120" xr:uid="{50036D49-993D-4B54-8B83-DE04E5A0478B}"/>
    <cellStyle name="Komma 2 3 5 4" xfId="15714" xr:uid="{E3EF93BF-AF6E-4ABB-880B-0E7B2A1B7C2E}"/>
    <cellStyle name="Komma 2 3 5 4 2" xfId="23243" xr:uid="{F95BC4BE-6792-48B2-B9C2-CAA3450E0E23}"/>
    <cellStyle name="Komma 2 3 5 4 3" xfId="24895" xr:uid="{F1F5C97A-B354-4E50-8F66-E3E32DC7A444}"/>
    <cellStyle name="Komma 2 3 5 4 4" xfId="52581" xr:uid="{CB56C7C9-F560-4669-B713-A668C946A75D}"/>
    <cellStyle name="Komma 2 3 5 4 5" xfId="55597" xr:uid="{667DABBF-868A-424E-A5A5-55E97B95FBAC}"/>
    <cellStyle name="Komma 2 3 5 5" xfId="12728" xr:uid="{69E44821-C11F-4AA2-839B-F87DB5F91EE6}"/>
    <cellStyle name="Komma 2 3 5 5 2" xfId="47321" xr:uid="{C27ED208-F9A8-4341-9397-293006B1A08F}"/>
    <cellStyle name="Komma 2 3 5 5 3" xfId="51150" xr:uid="{D9A45CDC-80B8-4BC9-B0D1-8686C04A1E9E}"/>
    <cellStyle name="Komma 2 3 5 5 4" xfId="54166" xr:uid="{44BD42BB-F494-4477-A774-6574F4D0D6C2}"/>
    <cellStyle name="Komma 2 3 5 6" xfId="40726" xr:uid="{A9ACE18A-B7BA-4332-BD55-9F3ED7D0A636}"/>
    <cellStyle name="Komma 2 3 5 7" xfId="47580" xr:uid="{E149E4C7-4E20-4863-B6EC-5B4A8C05B98B}"/>
    <cellStyle name="Komma 2 3 5 8" xfId="50044" xr:uid="{8E44DB81-79CF-4DB9-9212-87AFB6015BAB}"/>
    <cellStyle name="Komma 2 3 5 9" xfId="53060" xr:uid="{EB0E21B8-0FB9-4217-B343-815E6C23396A}"/>
    <cellStyle name="Komma 2 3 6" xfId="10589" xr:uid="{2EFFD187-8A12-43A0-9C31-711D9B5F5253}"/>
    <cellStyle name="Komma 2 3 6 2" xfId="14954" xr:uid="{528260F5-9F73-499C-B386-8E40626B349F}"/>
    <cellStyle name="Komma 2 3 6 2 2" xfId="22501" xr:uid="{A702F3F0-ED70-4E2D-A9AC-9A9E81139B4C}"/>
    <cellStyle name="Komma 2 3 6 2 3" xfId="47244" xr:uid="{E26175CB-716F-454A-9493-1373BA55D470}"/>
    <cellStyle name="Komma 2 3 6 2 4" xfId="51839" xr:uid="{C4A480EE-8BC4-42F7-B641-171B194BED44}"/>
    <cellStyle name="Komma 2 3 6 2 5" xfId="54855" xr:uid="{30FC2460-F256-42B8-B34C-604D71839E40}"/>
    <cellStyle name="Komma 2 3 6 3" xfId="15439" xr:uid="{A4560CEE-6496-45A3-AFDF-704FD14D45E5}"/>
    <cellStyle name="Komma 2 3 6 3 2" xfId="22978" xr:uid="{CB12B53E-D306-4123-9895-032DC26BE751}"/>
    <cellStyle name="Komma 2 3 6 3 3" xfId="46535" xr:uid="{0805FB4B-96EA-492A-B591-E45DEFB7D555}"/>
    <cellStyle name="Komma 2 3 6 3 4" xfId="52316" xr:uid="{DF9C80C9-48BC-4EBC-8C9A-94D6B81D3C70}"/>
    <cellStyle name="Komma 2 3 6 3 5" xfId="55332" xr:uid="{EAEF4EE6-8E45-4A43-A310-FBDE3E29EEB2}"/>
    <cellStyle name="Komma 2 3 6 4" xfId="15927" xr:uid="{0A39709D-719A-4BF3-9A4D-AF8B50301C0A}"/>
    <cellStyle name="Komma 2 3 6 4 2" xfId="23455" xr:uid="{98CBB567-4B3C-4D38-A078-5F78FA763088}"/>
    <cellStyle name="Komma 2 3 6 4 3" xfId="47714" xr:uid="{08E3474D-1E12-472E-B34B-D6D3D76C3A96}"/>
    <cellStyle name="Komma 2 3 6 4 4" xfId="52793" xr:uid="{ECAA7591-4A27-4E3D-A722-65C87A19B31C}"/>
    <cellStyle name="Komma 2 3 6 4 5" xfId="55809" xr:uid="{1496B708-8980-4823-8441-6B278D0197C2}"/>
    <cellStyle name="Komma 2 3 6 5" xfId="13042" xr:uid="{203F2E71-9D84-4584-9154-AC6FEAF37E80}"/>
    <cellStyle name="Komma 2 3 6 5 2" xfId="48111" xr:uid="{792011D6-6B13-4CAA-AFAC-E66BFD2FAD04}"/>
    <cellStyle name="Komma 2 3 6 5 3" xfId="51362" xr:uid="{E1661167-7CE8-42D8-B59C-A2716EBA47D3}"/>
    <cellStyle name="Komma 2 3 6 5 4" xfId="54378" xr:uid="{D745172D-862B-4824-9D06-FC01EBC7F20F}"/>
    <cellStyle name="Komma 2 3 6 6" xfId="47068" xr:uid="{399AACA4-D4A3-4991-9644-300DF926A0E1}"/>
    <cellStyle name="Komma 2 3 6 7" xfId="50256" xr:uid="{A6056099-3F81-4082-BB53-DE57021A394E}"/>
    <cellStyle name="Komma 2 3 6 8" xfId="53272" xr:uid="{91F2DE21-E2FE-4247-9EDE-5A80BCCEB6CB}"/>
    <cellStyle name="Komma 2 3 7" xfId="14530" xr:uid="{6C1C4F4D-8AAF-4611-9DB4-E3B73B620947}"/>
    <cellStyle name="Komma 2 3 7 2" xfId="22077" xr:uid="{6B7D59E2-4FD9-4C4E-8F5F-73666B136CF3}"/>
    <cellStyle name="Komma 2 3 7 3" xfId="32532" xr:uid="{28BACC8D-62D1-4420-9E2D-BA83559CFEDB}"/>
    <cellStyle name="Komma 2 3 7 4" xfId="51415" xr:uid="{ECEBD9EB-BDED-4601-8661-437E8B4B3D2A}"/>
    <cellStyle name="Komma 2 3 7 5" xfId="54431" xr:uid="{63899E44-5DCC-4719-BD0F-5094E075C7C3}"/>
    <cellStyle name="Komma 2 3 8" xfId="15014" xr:uid="{84EE7916-8DF3-4F2C-8E14-12DB0D775A74}"/>
    <cellStyle name="Komma 2 3 8 2" xfId="22554" xr:uid="{6647DF25-AA1C-4E0F-A1A1-9927C67E66DB}"/>
    <cellStyle name="Komma 2 3 8 3" xfId="46467" xr:uid="{9EB4DEB7-F29B-4076-8639-C80BD9F5B621}"/>
    <cellStyle name="Komma 2 3 8 4" xfId="51892" xr:uid="{80B70CBB-EDF4-4978-92B6-0D71EFE01C1B}"/>
    <cellStyle name="Komma 2 3 8 5" xfId="54908" xr:uid="{4C38AE7E-AF2B-4FB1-9126-D162D9BC334E}"/>
    <cellStyle name="Komma 2 3 9" xfId="15501" xr:uid="{754A43DA-6C06-40A2-A7BD-E3DA02FA2128}"/>
    <cellStyle name="Komma 2 3 9 2" xfId="23031" xr:uid="{CC3F032D-4C8E-48D3-B7C3-C3828D1FB350}"/>
    <cellStyle name="Komma 2 3 9 3" xfId="47973" xr:uid="{2BC0306F-CE0E-4CC3-87C8-D748C636A9B5}"/>
    <cellStyle name="Komma 2 3 9 4" xfId="52369" xr:uid="{9A646B6E-4FA8-43FF-81EB-BC8465814D1B}"/>
    <cellStyle name="Komma 2 3 9 5" xfId="55385" xr:uid="{C88121B7-9E0F-4E74-B169-1A17A2B729ED}"/>
    <cellStyle name="Komma 2 4" xfId="9874" xr:uid="{16E29590-B254-4B38-B695-EB5E226AF9E2}"/>
    <cellStyle name="Komma 2 4 10" xfId="49845" xr:uid="{B457BB06-AB4B-40FC-9457-4180FB384D9C}"/>
    <cellStyle name="Komma 2 4 11" xfId="52861" xr:uid="{AFEE2F42-648F-496E-8D2A-DAF20C881BE1}"/>
    <cellStyle name="Komma 2 4 12" xfId="18301" xr:uid="{755C740D-E023-49DC-A86E-5D3FDC9133AF}"/>
    <cellStyle name="Komma 2 4 2" xfId="10297" xr:uid="{70444F9F-04F5-4741-8C83-CB00D75DDE5B}"/>
    <cellStyle name="Komma 2 4 2 10" xfId="53073" xr:uid="{C8B68809-9572-4551-A2BB-0EDE91DDECFD}"/>
    <cellStyle name="Komma 2 4 2 2" xfId="14755" xr:uid="{EC1124BD-1B7C-4BB0-AB24-EF2379ED3A55}"/>
    <cellStyle name="Komma 2 4 2 2 2" xfId="22302" xr:uid="{08553D0E-1C3B-4569-8286-7F1D649573FE}"/>
    <cellStyle name="Komma 2 4 2 2 3" xfId="47240" xr:uid="{545586DD-0519-4452-8D05-C26D68B2E94D}"/>
    <cellStyle name="Komma 2 4 2 2 4" xfId="51640" xr:uid="{8A280D96-4006-4DCC-9FCC-375AB893E2C2}"/>
    <cellStyle name="Komma 2 4 2 2 5" xfId="54656" xr:uid="{7D7CB17A-D272-4C56-B80B-2693B22FEE29}"/>
    <cellStyle name="Komma 2 4 2 3" xfId="15240" xr:uid="{040E6768-8CC3-4373-B5F7-0563AFCD2E41}"/>
    <cellStyle name="Komma 2 4 2 3 2" xfId="22779" xr:uid="{D5FF28C5-6881-44AC-A1CC-60EB925C0857}"/>
    <cellStyle name="Komma 2 4 2 3 3" xfId="47993" xr:uid="{E11E40AA-4359-45F6-8698-AEBA50689989}"/>
    <cellStyle name="Komma 2 4 2 3 4" xfId="52117" xr:uid="{B78075EB-F5AB-4AA9-B0F2-1AB8929F1E83}"/>
    <cellStyle name="Komma 2 4 2 3 5" xfId="55133" xr:uid="{213824A6-1F8A-41DA-B0DC-87E30B178444}"/>
    <cellStyle name="Komma 2 4 2 4" xfId="15727" xr:uid="{1DADD38A-FB43-4D7F-A0B9-3F6C991CC7CE}"/>
    <cellStyle name="Komma 2 4 2 4 2" xfId="23256" xr:uid="{C3653F4E-E149-4D8B-B779-1771C90539FD}"/>
    <cellStyle name="Komma 2 4 2 4 3" xfId="47552" xr:uid="{E8D9E189-EEBA-44CC-8DD4-D86507EBAEDE}"/>
    <cellStyle name="Komma 2 4 2 4 4" xfId="52594" xr:uid="{950F52FF-1045-4338-BCFE-77F9DFB97203}"/>
    <cellStyle name="Komma 2 4 2 4 5" xfId="55610" xr:uid="{5F874E90-75CF-4F59-B0BF-C1899B0DDD1D}"/>
    <cellStyle name="Komma 2 4 2 5" xfId="12750" xr:uid="{616D5FEA-8B04-4F1F-AACD-232FA0DAB60B}"/>
    <cellStyle name="Komma 2 4 2 5 2" xfId="48560" xr:uid="{C913823A-06F8-4208-8B7E-952B839BE16B}"/>
    <cellStyle name="Komma 2 4 2 5 3" xfId="51163" xr:uid="{C341B703-EACF-4DC1-ADF9-2C958A19BB5D}"/>
    <cellStyle name="Komma 2 4 2 5 4" xfId="54179" xr:uid="{DED321B1-B17E-4576-93D6-75ADD77CA493}"/>
    <cellStyle name="Komma 2 4 2 6" xfId="23849" xr:uid="{B4C8C6D2-0197-446B-8A26-98CBA1531EB6}"/>
    <cellStyle name="Komma 2 4 2 7" xfId="48704" xr:uid="{36CAA009-6D5E-4DE0-976B-E8DA97ED7BFB}"/>
    <cellStyle name="Komma 2 4 2 8" xfId="49612" xr:uid="{4A49E392-62DD-44ED-8A1B-FC51C0898C79}"/>
    <cellStyle name="Komma 2 4 2 9" xfId="50057" xr:uid="{44BC4F97-DB4A-40E4-8321-0BD079F6F53A}"/>
    <cellStyle name="Komma 2 4 3" xfId="12453" xr:uid="{E9BD2A03-0AD2-40BF-ADC1-DDA2EB60C800}"/>
    <cellStyle name="Komma 2 4 3 2" xfId="21910" xr:uid="{15BBE580-3853-4E2F-8AE3-AA1DA1F1F4BE}"/>
    <cellStyle name="Komma 2 4 3 3" xfId="23850" xr:uid="{A0C39524-AD44-49EC-A73F-00FB97A8A354}"/>
    <cellStyle name="Komma 2 4 3 4" xfId="48705" xr:uid="{334B3C65-4B55-4010-BE48-4AF93E9640FF}"/>
    <cellStyle name="Komma 2 4 3 5" xfId="49613" xr:uid="{9203D480-F47A-4572-834A-89B69FD2B8C9}"/>
    <cellStyle name="Komma 2 4 3 6" xfId="50951" xr:uid="{24D1AF7A-D458-4A0A-B24E-D459DABE3CCC}"/>
    <cellStyle name="Komma 2 4 3 7" xfId="53967" xr:uid="{1A1CBE8E-5CE9-4624-9F97-DE4B97EFCC8E}"/>
    <cellStyle name="Komma 2 4 4" xfId="14543" xr:uid="{69D79854-261A-4AF7-8FD5-97430956B3B9}"/>
    <cellStyle name="Komma 2 4 4 2" xfId="22090" xr:uid="{C5F8416E-F429-42F1-8192-9198786C4B28}"/>
    <cellStyle name="Komma 2 4 4 3" xfId="46832" xr:uid="{B4E8F12B-83D2-4A30-B955-84AA6CC1CDE5}"/>
    <cellStyle name="Komma 2 4 4 4" xfId="51428" xr:uid="{08C901A6-A10C-4A47-A325-AAC6D5660C3D}"/>
    <cellStyle name="Komma 2 4 4 5" xfId="54444" xr:uid="{387C950D-F82A-45A7-91B8-A53E0BEFF4F7}"/>
    <cellStyle name="Komma 2 4 5" xfId="15027" xr:uid="{916E2002-A882-4794-8647-5E79DFFCE339}"/>
    <cellStyle name="Komma 2 4 5 2" xfId="22567" xr:uid="{3AEEFBB2-D03F-4D55-85BD-9D34E8D9594C}"/>
    <cellStyle name="Komma 2 4 5 3" xfId="46469" xr:uid="{95325C1F-8E84-490E-A940-B519975B0E92}"/>
    <cellStyle name="Komma 2 4 5 4" xfId="51905" xr:uid="{1290473A-D302-43C5-B810-1E13BC864BE9}"/>
    <cellStyle name="Komma 2 4 5 5" xfId="54921" xr:uid="{54F847D8-4017-467A-B6E2-956B6B47C986}"/>
    <cellStyle name="Komma 2 4 6" xfId="15514" xr:uid="{E07D220F-17A2-4312-BA14-9C2047F54A46}"/>
    <cellStyle name="Komma 2 4 6 2" xfId="23044" xr:uid="{CC398384-F62E-40C7-BF38-434B281FCE6C}"/>
    <cellStyle name="Komma 2 4 6 3" xfId="47251" xr:uid="{A1FD7A52-C0F1-44A6-BF4D-A5F5F14D67F3}"/>
    <cellStyle name="Komma 2 4 6 4" xfId="52382" xr:uid="{ECE531C3-EA0C-4EFA-92DA-4CA1DB9EB181}"/>
    <cellStyle name="Komma 2 4 6 5" xfId="55398" xr:uid="{481E4BEA-E098-4A70-AE48-7159BF00E684}"/>
    <cellStyle name="Komma 2 4 7" xfId="11712" xr:uid="{49BE37FA-CA9D-4C97-94AF-C1D1380882A4}"/>
    <cellStyle name="Komma 2 4 7 2" xfId="47461" xr:uid="{DC0D5712-28FE-4BE8-B27D-7BE1EB09BD23}"/>
    <cellStyle name="Komma 2 4 7 3" xfId="23848" xr:uid="{FA836193-7F0C-4A06-B48E-82E7573E1E72}"/>
    <cellStyle name="Komma 2 4 8" xfId="48703" xr:uid="{45335373-2FBE-4DFD-9E18-719CDF7350D5}"/>
    <cellStyle name="Komma 2 4 9" xfId="49611" xr:uid="{A8E18B87-6F8B-4532-BAFE-95A965EC4385}"/>
    <cellStyle name="Komma 2 5" xfId="10063" xr:uid="{5863C6F3-7402-455D-8CD9-11FC20D03B2F}"/>
    <cellStyle name="Komma 2 5 10" xfId="49614" xr:uid="{D3749A7D-BA27-42C3-B6F9-39CA9634CC0E}"/>
    <cellStyle name="Komma 2 5 11" xfId="49898" xr:uid="{BBD9FF5E-D50F-4850-8E64-32CC5E209876}"/>
    <cellStyle name="Komma 2 5 12" xfId="52914" xr:uid="{6E879AA6-382B-4826-8D54-E0FC0463E029}"/>
    <cellStyle name="Komma 2 5 13" xfId="18043" xr:uid="{9E68684F-78E1-400E-A87E-01A66B6726C2}"/>
    <cellStyle name="Komma 2 5 2" xfId="10372" xr:uid="{7BEC3F93-32D3-4B42-BBC3-7C4603885E4C}"/>
    <cellStyle name="Komma 2 5 2 2" xfId="14808" xr:uid="{768AC5C9-15D0-4FA1-B048-695F5A2B9B71}"/>
    <cellStyle name="Komma 2 5 2 2 2" xfId="22355" xr:uid="{C1F654D7-743B-4EFB-AE52-696122739983}"/>
    <cellStyle name="Komma 2 5 2 2 3" xfId="34037" xr:uid="{F900348B-C470-442B-A214-9E754181E98A}"/>
    <cellStyle name="Komma 2 5 2 2 4" xfId="51693" xr:uid="{678928AD-43DB-4BC5-AFE3-88340448B2E0}"/>
    <cellStyle name="Komma 2 5 2 2 5" xfId="54709" xr:uid="{9EF2397B-D6F7-4A4D-86A1-C11A932FE3A4}"/>
    <cellStyle name="Komma 2 5 2 3" xfId="15293" xr:uid="{EC3829F6-7F6D-4667-850E-B42D6ED8E9C8}"/>
    <cellStyle name="Komma 2 5 2 3 2" xfId="22832" xr:uid="{73D9DDC2-7D6B-4719-94E3-1BDE045B9A3D}"/>
    <cellStyle name="Komma 2 5 2 3 3" xfId="47783" xr:uid="{AE75F716-22F0-4A05-99FE-83181821BC0C}"/>
    <cellStyle name="Komma 2 5 2 3 4" xfId="52170" xr:uid="{F0C59905-00AC-47AC-B0F1-2FBA6D029121}"/>
    <cellStyle name="Komma 2 5 2 3 5" xfId="55186" xr:uid="{49E41C78-625B-45B9-ABBF-44A52A5C2A9A}"/>
    <cellStyle name="Komma 2 5 2 4" xfId="15780" xr:uid="{B95EC1B8-9512-462B-AD29-A25A9E4F86BD}"/>
    <cellStyle name="Komma 2 5 2 4 2" xfId="23309" xr:uid="{7E04114A-FF3D-4998-87BC-DE275D74481A}"/>
    <cellStyle name="Komma 2 5 2 4 3" xfId="46584" xr:uid="{5385E5A1-14EE-4A93-A8B9-49783DD35E4C}"/>
    <cellStyle name="Komma 2 5 2 4 4" xfId="52647" xr:uid="{017DC820-E55B-4AF8-91DA-8A3E92F11FA2}"/>
    <cellStyle name="Komma 2 5 2 4 5" xfId="55663" xr:uid="{8214E2FA-3F3C-4343-B75B-8AF3C86058D4}"/>
    <cellStyle name="Komma 2 5 2 5" xfId="12825" xr:uid="{6C48B870-F90B-4542-A2AC-993A3668520D}"/>
    <cellStyle name="Komma 2 5 2 5 2" xfId="47527" xr:uid="{D62A53C7-25F3-4C71-B789-2BB388300740}"/>
    <cellStyle name="Komma 2 5 2 5 3" xfId="51216" xr:uid="{AF099AD0-4413-4321-8680-4567FB5FCD84}"/>
    <cellStyle name="Komma 2 5 2 5 4" xfId="54232" xr:uid="{CC405F29-447A-4F5E-AD7C-61E5F5F79517}"/>
    <cellStyle name="Komma 2 5 2 6" xfId="32274" xr:uid="{E86352AD-AE3C-465E-8454-D8F65EA46ECB}"/>
    <cellStyle name="Komma 2 5 2 7" xfId="46103" xr:uid="{7AA65154-06F8-4546-A1A1-A476650DE3A0}"/>
    <cellStyle name="Komma 2 5 2 8" xfId="50110" xr:uid="{9A09B609-7F8F-4726-AB2C-53081131320B}"/>
    <cellStyle name="Komma 2 5 2 9" xfId="53126" xr:uid="{BEC411F4-3181-4139-BCF6-8617BFB96DD4}"/>
    <cellStyle name="Komma 2 5 3" xfId="12522" xr:uid="{4591F741-67C2-4B77-988E-7C8349DE2345}"/>
    <cellStyle name="Komma 2 5 3 2" xfId="21927" xr:uid="{C75B8743-D3BA-42C5-9D16-D5453AB59D2B}"/>
    <cellStyle name="Komma 2 5 3 3" xfId="32275" xr:uid="{233F2177-75FE-4845-BCCC-36F3B57B96A7}"/>
    <cellStyle name="Komma 2 5 3 4" xfId="32292" xr:uid="{D8DBA71D-1856-448A-A5F0-E809F3336691}"/>
    <cellStyle name="Komma 2 5 3 5" xfId="51004" xr:uid="{8D0E9333-4538-465C-8498-CBA71BA185F2}"/>
    <cellStyle name="Komma 2 5 3 6" xfId="54020" xr:uid="{17E7143A-A67A-4AC5-A5AD-1355505B35FF}"/>
    <cellStyle name="Komma 2 5 4" xfId="14596" xr:uid="{1047D8C0-3861-4152-80E7-7C9C10AD74F4}"/>
    <cellStyle name="Komma 2 5 4 2" xfId="22143" xr:uid="{07D3EE5C-9E4E-4A64-B9D2-414C3EA89578}"/>
    <cellStyle name="Komma 2 5 4 3" xfId="48206" xr:uid="{641B35EE-0D8B-4EDA-81FB-4F5E4AB2A252}"/>
    <cellStyle name="Komma 2 5 4 4" xfId="51481" xr:uid="{C7624E9E-DBFE-4236-B8A8-6BD750ABF849}"/>
    <cellStyle name="Komma 2 5 4 5" xfId="54497" xr:uid="{8AFC4682-E965-40D1-8EAD-B1899AA73AC3}"/>
    <cellStyle name="Komma 2 5 5" xfId="15081" xr:uid="{3BB3D005-DC1C-4503-A3FC-17F4DD77A71B}"/>
    <cellStyle name="Komma 2 5 5 2" xfId="22620" xr:uid="{3BAAAB15-8481-4D7E-873D-98F26794DF0A}"/>
    <cellStyle name="Komma 2 5 5 3" xfId="46475" xr:uid="{34E8C83F-C6E6-43E3-BB63-D6C46BC4E60E}"/>
    <cellStyle name="Komma 2 5 5 4" xfId="51958" xr:uid="{6AD95CB1-D665-43F5-A3B0-08197BDE28C5}"/>
    <cellStyle name="Komma 2 5 5 5" xfId="54974" xr:uid="{716F7ED1-8EDB-41C9-9B73-2813F42A3928}"/>
    <cellStyle name="Komma 2 5 6" xfId="15568" xr:uid="{CD3BBDA5-F6DC-4D89-858C-2ED6D32D7F1F}"/>
    <cellStyle name="Komma 2 5 6 2" xfId="23097" xr:uid="{EA86088F-4245-4ACD-9FD6-DC6907F2A894}"/>
    <cellStyle name="Komma 2 5 6 3" xfId="24165" xr:uid="{76CE44B0-FD41-4551-9971-AD8DC61A6C6A}"/>
    <cellStyle name="Komma 2 5 6 4" xfId="52435" xr:uid="{3A22D88D-D6A1-4236-81D5-8012ACB0DC8F}"/>
    <cellStyle name="Komma 2 5 6 5" xfId="55451" xr:uid="{EE0FE5D0-3A67-4616-BCCD-AD1FA32452A7}"/>
    <cellStyle name="Komma 2 5 7" xfId="11144" xr:uid="{7FC5BAA9-048B-4438-BE37-C825C524C1D4}"/>
    <cellStyle name="Komma 2 5 7 2" xfId="46273" xr:uid="{1926706F-E5D0-426E-9ED0-D4186A1B647F}"/>
    <cellStyle name="Komma 2 5 7 3" xfId="23851" xr:uid="{D9B82CFD-8599-4948-B8D5-D72417A909FD}"/>
    <cellStyle name="Komma 2 5 8" xfId="46035" xr:uid="{E1852AEB-BBDD-4ED8-9820-43F309F94AAE}"/>
    <cellStyle name="Komma 2 5 9" xfId="48706" xr:uid="{173568BE-D547-4D3D-88C5-C930315592AF}"/>
    <cellStyle name="Komma 2 6" xfId="10138" xr:uid="{827AB66F-774A-4CBE-BE6D-698173BBD2BB}"/>
    <cellStyle name="Komma 2 6 10" xfId="49951" xr:uid="{3C7E650F-046A-4CF2-961D-370C3532D6FF}"/>
    <cellStyle name="Komma 2 6 11" xfId="52967" xr:uid="{F7543BED-AF66-4D7C-B7E4-6B9C09FA4456}"/>
    <cellStyle name="Komma 2 6 2" xfId="10452" xr:uid="{8E916317-D446-4F6D-864F-80F3F600C8E5}"/>
    <cellStyle name="Komma 2 6 2 2" xfId="14861" xr:uid="{790ABCA7-6859-4551-AA55-210B3BE9E10D}"/>
    <cellStyle name="Komma 2 6 2 2 2" xfId="22408" xr:uid="{2D7F8F4F-66EB-4643-8D6C-BB3982385E10}"/>
    <cellStyle name="Komma 2 6 2 2 3" xfId="48410" xr:uid="{45B2976D-8CDB-42DB-9E7D-DC03DA138C42}"/>
    <cellStyle name="Komma 2 6 2 2 4" xfId="51746" xr:uid="{5D29C909-2EF1-464C-B8E0-2004DA2CB732}"/>
    <cellStyle name="Komma 2 6 2 2 5" xfId="54762" xr:uid="{B19C3442-4B2D-4A9C-8C10-92C2BE9E4F01}"/>
    <cellStyle name="Komma 2 6 2 3" xfId="15346" xr:uid="{8863053A-5E8A-42BB-8332-022B1B99BD8B}"/>
    <cellStyle name="Komma 2 6 2 3 2" xfId="22885" xr:uid="{5AC534A2-F691-41D8-997D-4C94E4AA2049}"/>
    <cellStyle name="Komma 2 6 2 3 3" xfId="46909" xr:uid="{D3EB03C8-5866-48A8-A367-B53C6D1D3D04}"/>
    <cellStyle name="Komma 2 6 2 3 4" xfId="52223" xr:uid="{5D7C679C-23AE-4125-BCA4-2D3ED9D9EDD4}"/>
    <cellStyle name="Komma 2 6 2 3 5" xfId="55239" xr:uid="{F2E94A1F-3507-47CF-B80B-9513228B4545}"/>
    <cellStyle name="Komma 2 6 2 4" xfId="15833" xr:uid="{D941FA85-1C81-4643-BF28-2C15C743B7A2}"/>
    <cellStyle name="Komma 2 6 2 4 2" xfId="23362" xr:uid="{83710A33-ACF5-48C6-8DA5-DCF0FBF8CC7D}"/>
    <cellStyle name="Komma 2 6 2 4 3" xfId="24645" xr:uid="{889D748B-D882-4B5E-A001-459E114D8DDD}"/>
    <cellStyle name="Komma 2 6 2 4 4" xfId="52700" xr:uid="{AEA80100-653D-4FFF-A017-EAF99171CC53}"/>
    <cellStyle name="Komma 2 6 2 4 5" xfId="55716" xr:uid="{1609E4B9-711E-49DE-A8BA-243864DEC58A}"/>
    <cellStyle name="Komma 2 6 2 5" xfId="12905" xr:uid="{4D567306-48BA-41FE-BF42-D3E8AC0242A9}"/>
    <cellStyle name="Komma 2 6 2 5 2" xfId="46809" xr:uid="{B3122795-C9BE-49EB-BE29-B018659AF41C}"/>
    <cellStyle name="Komma 2 6 2 5 3" xfId="51269" xr:uid="{7E99E300-133E-4AE4-988E-68DB2B06E467}"/>
    <cellStyle name="Komma 2 6 2 5 4" xfId="54285" xr:uid="{D60979B8-FCB0-440D-BD14-08C7228C1662}"/>
    <cellStyle name="Komma 2 6 2 6" xfId="47262" xr:uid="{26231CF8-3ED1-4F11-B140-DECBAF3055E8}"/>
    <cellStyle name="Komma 2 6 2 7" xfId="50163" xr:uid="{C7120145-A1C5-4837-BBA8-0F2A4212B3C0}"/>
    <cellStyle name="Komma 2 6 2 8" xfId="53179" xr:uid="{4CE9E5A6-5C66-426D-B71A-3F6C7AAAE3FB}"/>
    <cellStyle name="Komma 2 6 3" xfId="14649" xr:uid="{DEE27B54-A21C-40D8-9619-B47104B0B2EB}"/>
    <cellStyle name="Komma 2 6 3 2" xfId="22196" xr:uid="{98D62D4D-B960-4C9A-B6C7-0C5D4ED4B474}"/>
    <cellStyle name="Komma 2 6 3 3" xfId="46678" xr:uid="{4F43C802-7BE6-440A-BA6B-B479F5642DA3}"/>
    <cellStyle name="Komma 2 6 3 4" xfId="51534" xr:uid="{9F44BCA4-D586-4114-B122-6198B6106F98}"/>
    <cellStyle name="Komma 2 6 3 5" xfId="54550" xr:uid="{B95F7D90-BF62-4F91-A23C-8221A1D15FA1}"/>
    <cellStyle name="Komma 2 6 4" xfId="15134" xr:uid="{62C7D777-A5BB-4163-B931-79AEFE1CDC8C}"/>
    <cellStyle name="Komma 2 6 4 2" xfId="22673" xr:uid="{9A85CFCD-C464-4796-B531-02D32E1A57C2}"/>
    <cellStyle name="Komma 2 6 4 3" xfId="47127" xr:uid="{0EC00DE5-0175-403D-8D1C-81276CF22004}"/>
    <cellStyle name="Komma 2 6 4 4" xfId="52011" xr:uid="{34727BD6-5B84-4E19-8B44-D0A09C5C3578}"/>
    <cellStyle name="Komma 2 6 4 5" xfId="55027" xr:uid="{95A8DC6A-EE73-4F27-B0A6-DBB384F84BBA}"/>
    <cellStyle name="Komma 2 6 5" xfId="15621" xr:uid="{E01925A5-D0A1-4F6E-9215-8A737E384C4E}"/>
    <cellStyle name="Komma 2 6 5 2" xfId="23150" xr:uid="{9DB1D160-99CD-44BE-8F8C-F64F13997238}"/>
    <cellStyle name="Komma 2 6 5 3" xfId="47197" xr:uid="{7BC8607C-07B8-4D83-9128-B0C5CC42C423}"/>
    <cellStyle name="Komma 2 6 5 4" xfId="52488" xr:uid="{FF09E442-99B7-4E89-816F-4F9FEA154B65}"/>
    <cellStyle name="Komma 2 6 5 5" xfId="55504" xr:uid="{C19357D4-9491-44CB-995F-ED22C1CEF4A6}"/>
    <cellStyle name="Komma 2 6 6" xfId="12594" xr:uid="{A81C32CF-B473-4CF2-A33D-1A86836F093F}"/>
    <cellStyle name="Komma 2 6 6 2" xfId="33401" xr:uid="{121F76B3-20DD-4AD2-99B7-CE89555A4EEF}"/>
    <cellStyle name="Komma 2 6 6 3" xfId="51057" xr:uid="{A8D35940-490A-42B0-BBC0-B6DA2BC9CF03}"/>
    <cellStyle name="Komma 2 6 6 4" xfId="54073" xr:uid="{8EBA535C-D2F0-4C11-982C-568A715AF414}"/>
    <cellStyle name="Komma 2 6 7" xfId="23852" xr:uid="{8E183DD6-30E9-44F1-8F75-4C3D69E33F23}"/>
    <cellStyle name="Komma 2 6 8" xfId="48707" xr:uid="{A031EB6B-1633-460F-805C-BA0E83C8F8A1}"/>
    <cellStyle name="Komma 2 6 9" xfId="49615" xr:uid="{F08367E9-B5F7-49F4-AE3C-7F8442CD4213}"/>
    <cellStyle name="Komma 2 7" xfId="10218" xr:uid="{A1905E97-5B75-4E4C-8976-E59F6FBA3BD2}"/>
    <cellStyle name="Komma 2 7 10" xfId="53020" xr:uid="{D820182A-C7EE-4AE3-BCCB-AA77435CDE17}"/>
    <cellStyle name="Komma 2 7 2" xfId="14702" xr:uid="{F4BABD99-5BED-44F8-980F-501C89ABF812}"/>
    <cellStyle name="Komma 2 7 2 2" xfId="22249" xr:uid="{5E4DE7B8-B8E4-4343-8A07-64E64FD71B54}"/>
    <cellStyle name="Komma 2 7 2 3" xfId="48208" xr:uid="{47B1E204-FD5A-4591-95DE-0CD7D19F7765}"/>
    <cellStyle name="Komma 2 7 2 4" xfId="51587" xr:uid="{B6B71F77-FAD7-4BAB-807B-11982E30ADAE}"/>
    <cellStyle name="Komma 2 7 2 5" xfId="54603" xr:uid="{3FCE57E2-628C-4B75-80B7-1F107698FBB8}"/>
    <cellStyle name="Komma 2 7 3" xfId="15187" xr:uid="{702065F6-0961-4E96-B21D-52A327DEF7E5}"/>
    <cellStyle name="Komma 2 7 3 2" xfId="22726" xr:uid="{59570C6B-A4D4-4E58-B6A9-993692E4E4BE}"/>
    <cellStyle name="Komma 2 7 3 3" xfId="48442" xr:uid="{BB0E6A19-6B39-4DC7-B26B-0B71102A687E}"/>
    <cellStyle name="Komma 2 7 3 4" xfId="52064" xr:uid="{EA2923CB-1758-4149-8234-ECF584548E98}"/>
    <cellStyle name="Komma 2 7 3 5" xfId="55080" xr:uid="{827B4F7C-94C8-49D4-A00E-30CB0EC11FF8}"/>
    <cellStyle name="Komma 2 7 4" xfId="15674" xr:uid="{7A1018CB-EFA3-4AB8-8742-BC375FCE08FF}"/>
    <cellStyle name="Komma 2 7 4 2" xfId="23203" xr:uid="{0178EE8D-F182-4126-A381-D77AD1FD97DB}"/>
    <cellStyle name="Komma 2 7 4 3" xfId="47946" xr:uid="{7A75526E-AF7D-44E2-B0DE-8189C5E6C25D}"/>
    <cellStyle name="Komma 2 7 4 4" xfId="52541" xr:uid="{F6DD0DC7-54C1-43FB-813D-C272364F765D}"/>
    <cellStyle name="Komma 2 7 4 5" xfId="55557" xr:uid="{1CBC2EC0-C27C-47AA-9805-EBBFEC44B251}"/>
    <cellStyle name="Komma 2 7 5" xfId="12671" xr:uid="{36566C38-85C5-4268-A586-F8D8222CA550}"/>
    <cellStyle name="Komma 2 7 5 2" xfId="47760" xr:uid="{4F7778B5-16E7-421F-8019-8D00631F0F28}"/>
    <cellStyle name="Komma 2 7 5 3" xfId="51110" xr:uid="{BA0747E6-BC7F-4FE6-9DEA-053124623460}"/>
    <cellStyle name="Komma 2 7 5 4" xfId="54126" xr:uid="{E1809FCD-A405-47A9-9C06-AF4AA721E136}"/>
    <cellStyle name="Komma 2 7 6" xfId="23853" xr:uid="{C36C3BF7-C32C-4B46-AA5D-015BA1C63914}"/>
    <cellStyle name="Komma 2 7 7" xfId="48708" xr:uid="{04411F98-E12E-4BB1-AF4E-AC68ADDDE20C}"/>
    <cellStyle name="Komma 2 7 8" xfId="49616" xr:uid="{7B01A15C-7BC4-4302-8E2D-17B114980C7C}"/>
    <cellStyle name="Komma 2 7 9" xfId="50004" xr:uid="{43B35BB5-1F30-44FC-889E-F38E696C08DD}"/>
    <cellStyle name="Komma 2 8" xfId="10532" xr:uid="{BD4ECD5D-AFBE-4188-9ED2-180F9BF63CD9}"/>
    <cellStyle name="Komma 2 8 10" xfId="53232" xr:uid="{3CAD4A57-5DC9-4046-8F1B-5146AA50FDD6}"/>
    <cellStyle name="Komma 2 8 2" xfId="14914" xr:uid="{90F64A7C-DD9A-45E8-849F-824EFABF45DE}"/>
    <cellStyle name="Komma 2 8 2 2" xfId="22461" xr:uid="{2C9FC4DC-F4CB-46B0-98E2-87E179189B8A}"/>
    <cellStyle name="Komma 2 8 2 3" xfId="32723" xr:uid="{7E39E11F-FB29-4EE8-B198-347503C92458}"/>
    <cellStyle name="Komma 2 8 2 4" xfId="51799" xr:uid="{2CD8E949-E878-4AFA-9B9A-0222F050A131}"/>
    <cellStyle name="Komma 2 8 2 5" xfId="54815" xr:uid="{945AA853-39BC-4BDE-81DD-7CA6B7037DBA}"/>
    <cellStyle name="Komma 2 8 3" xfId="15399" xr:uid="{56F19E0D-8F29-458D-944E-1474FFF0258E}"/>
    <cellStyle name="Komma 2 8 3 2" xfId="22938" xr:uid="{A8C5BA67-4B9B-4EE6-A15E-4DE1454016ED}"/>
    <cellStyle name="Komma 2 8 3 3" xfId="48363" xr:uid="{F0D73622-1A4D-43A9-A935-84FC2B55FAEB}"/>
    <cellStyle name="Komma 2 8 3 4" xfId="52276" xr:uid="{8A1B3306-9142-4444-9FC5-A0D67B237790}"/>
    <cellStyle name="Komma 2 8 3 5" xfId="55292" xr:uid="{C7104224-F9CE-415D-B75B-7FFEE4485751}"/>
    <cellStyle name="Komma 2 8 4" xfId="15887" xr:uid="{C4953D1D-2369-4C38-89C2-9B95859AD582}"/>
    <cellStyle name="Komma 2 8 4 2" xfId="23415" xr:uid="{C33C1992-23B6-43C1-9172-81B2CAE734D3}"/>
    <cellStyle name="Komma 2 8 4 3" xfId="36254" xr:uid="{636A6932-B632-43E5-B961-BC127891201C}"/>
    <cellStyle name="Komma 2 8 4 4" xfId="52753" xr:uid="{0DC8FA2B-A67A-4698-9973-60E55E0EBA17}"/>
    <cellStyle name="Komma 2 8 4 5" xfId="55769" xr:uid="{2990B112-5368-481B-959B-CA7D7747F514}"/>
    <cellStyle name="Komma 2 8 5" xfId="12985" xr:uid="{AF3A543F-2DD5-4F2A-93C9-842904937CCA}"/>
    <cellStyle name="Komma 2 8 5 2" xfId="46380" xr:uid="{1F320973-EB17-4FB1-989B-1BB6501776C2}"/>
    <cellStyle name="Komma 2 8 5 3" xfId="51322" xr:uid="{3596A864-30F0-4B67-B036-7460C848317D}"/>
    <cellStyle name="Komma 2 8 5 4" xfId="54338" xr:uid="{F70C045C-39E1-4877-BBDD-8DC509BF9078}"/>
    <cellStyle name="Komma 2 8 6" xfId="23854" xr:uid="{25B5AE03-B0A7-44A2-9976-14F731F54075}"/>
    <cellStyle name="Komma 2 8 7" xfId="48709" xr:uid="{6FE66FAE-A152-4BAA-8A64-D606F9D45E68}"/>
    <cellStyle name="Komma 2 8 8" xfId="49617" xr:uid="{849B895F-2A3D-4BFB-8B6B-132C4FB25BF2}"/>
    <cellStyle name="Komma 2 8 9" xfId="50216" xr:uid="{0D661020-589D-4269-B1DB-AB11D19AF647}"/>
    <cellStyle name="Komma 2 9" xfId="14490" xr:uid="{92D3DC77-7AE3-445E-9C82-CA38FE73D7B7}"/>
    <cellStyle name="Komma 2 9 2" xfId="22037" xr:uid="{01108B0D-E510-4EDF-859A-FBE6FE5E7B7C}"/>
    <cellStyle name="Komma 2 9 3" xfId="23855" xr:uid="{936F42CD-6B46-44EB-9D1F-CC2915DEE619}"/>
    <cellStyle name="Komma 2 9 4" xfId="51375" xr:uid="{50251EEA-4487-4497-874D-7FEE22BF76D5}"/>
    <cellStyle name="Komma 2 9 5" xfId="54391" xr:uid="{890C1D9B-EB3B-4A2B-B228-38824DFB5028}"/>
    <cellStyle name="Komma 3" xfId="2814" xr:uid="{074034F4-947A-4275-9599-349D952D4503}"/>
    <cellStyle name="Komma 3 10" xfId="23857" xr:uid="{32FC7893-CF22-4BA7-9DA6-9C04D4099323}"/>
    <cellStyle name="Komma 3 10 2" xfId="48711" xr:uid="{CAACABAF-81B6-4D11-9D33-1DB96CEB095E}"/>
    <cellStyle name="Komma 3 10 3" xfId="49619" xr:uid="{A515E9DA-897F-4340-B8F4-3B7A314E19FD}"/>
    <cellStyle name="Komma 3 11" xfId="23858" xr:uid="{ED290BB6-3C70-4CE5-ABFC-4B56C7D6C177}"/>
    <cellStyle name="Komma 3 11 2" xfId="32724" xr:uid="{251BCA5E-D727-4CEF-8321-4EEBF8A1A481}"/>
    <cellStyle name="Komma 3 11 2 2" xfId="38076" xr:uid="{E987853B-B42E-4F34-A7B9-2DDCA60482D0}"/>
    <cellStyle name="Komma 3 11 2 3" xfId="43378" xr:uid="{DA2BAAEC-F1FF-4C98-A854-AC8E4825FE77}"/>
    <cellStyle name="Komma 3 11 3" xfId="35611" xr:uid="{EE235526-5CCF-42B5-B53C-CFD216EA1DF8}"/>
    <cellStyle name="Komma 3 11 4" xfId="40727" xr:uid="{6EE0FA59-1767-40BD-AB59-2CA5894BF65F}"/>
    <cellStyle name="Komma 3 12" xfId="23859" xr:uid="{29BD93A4-9AD0-452E-9D3B-23B334CF6E88}"/>
    <cellStyle name="Komma 3 12 2" xfId="48712" xr:uid="{970603A2-FB94-4279-874E-1300DFEE7354}"/>
    <cellStyle name="Komma 3 12 3" xfId="49620" xr:uid="{AAF511D0-FA3C-4791-9C84-B2AE1032D01C}"/>
    <cellStyle name="Komma 3 13" xfId="23860" xr:uid="{1F048BB6-AD8A-4040-A14D-A38C7964286D}"/>
    <cellStyle name="Komma 3 13 2" xfId="32725" xr:uid="{2A76261F-523E-48EC-BC39-00C0C519C738}"/>
    <cellStyle name="Komma 3 13 3" xfId="48713" xr:uid="{F751A5B2-E2A2-4312-B204-6FAFD6E6E236}"/>
    <cellStyle name="Komma 3 13 4" xfId="49621" xr:uid="{F87BE368-FB1F-4BBC-B52F-5037F629127F}"/>
    <cellStyle name="Komma 3 14" xfId="23856" xr:uid="{8FE820FE-8800-45C9-9C31-D8CA8B5BE476}"/>
    <cellStyle name="Komma 3 15" xfId="48710" xr:uid="{2EC313A2-5EBC-4C4F-9292-9D2767688CAE}"/>
    <cellStyle name="Komma 3 16" xfId="49618" xr:uid="{3534C6C2-33D2-4130-8485-1F21B3D8772E}"/>
    <cellStyle name="Komma 3 17" xfId="15950" xr:uid="{5CC7AB1A-3262-4988-82E3-4DC158C27617}"/>
    <cellStyle name="Komma 3 18" xfId="7656" xr:uid="{1D0CE5CC-6F70-4A71-81A0-378E923B23B8}"/>
    <cellStyle name="Komma 3 2" xfId="4548" xr:uid="{7A437492-B734-4BCC-8E9E-E00AA9D364D2}"/>
    <cellStyle name="Komma 3 2 10" xfId="15951" xr:uid="{45AB8D95-D048-4004-AEAF-15587184CFDF}"/>
    <cellStyle name="Komma 3 2 11" xfId="8846" xr:uid="{9C03A228-B3CC-4390-BE42-FF73468CEDE4}"/>
    <cellStyle name="Komma 3 2 2" xfId="18056" xr:uid="{BAB0C906-0D8C-4317-9E7F-FB54EC139083}"/>
    <cellStyle name="Komma 3 2 2 2" xfId="23863" xr:uid="{43A1A665-8605-42BE-800C-4A909A1073FB}"/>
    <cellStyle name="Komma 3 2 2 2 2" xfId="23864" xr:uid="{282267A5-01BF-4728-A670-D0CE5C171E93}"/>
    <cellStyle name="Komma 3 2 2 2 2 2" xfId="48716" xr:uid="{C94B831F-0530-45F0-A09C-2F2EEE5DE6FA}"/>
    <cellStyle name="Komma 3 2 2 2 2 3" xfId="49624" xr:uid="{B9EDF570-DCF4-4106-8876-8E1C56FF52BA}"/>
    <cellStyle name="Komma 3 2 2 2 3" xfId="48715" xr:uid="{C048C5FC-04C8-4EA0-9A01-89ED024B1013}"/>
    <cellStyle name="Komma 3 2 2 2 4" xfId="49623" xr:uid="{AB17039F-20B9-46B3-816F-8EFA8FC4E7F4}"/>
    <cellStyle name="Komma 3 2 2 3" xfId="23865" xr:uid="{73E1DC42-E66E-4DE0-ACE4-0F0FEA22A3C5}"/>
    <cellStyle name="Komma 3 2 2 3 2" xfId="48717" xr:uid="{8B4D3AAD-28C5-40C7-85D8-9A4B3C89234E}"/>
    <cellStyle name="Komma 3 2 2 3 3" xfId="49625" xr:uid="{54BE7934-2437-4EDA-A568-56A16A25EB33}"/>
    <cellStyle name="Komma 3 2 2 4" xfId="23862" xr:uid="{7CBC5F93-FB2F-4E02-BB29-801846A07C8A}"/>
    <cellStyle name="Komma 3 2 2 5" xfId="48714" xr:uid="{409AFD47-4E80-46AD-A5B8-D5D6335CE10F}"/>
    <cellStyle name="Komma 3 2 2 6" xfId="49622" xr:uid="{05C8F096-FB60-4802-8ED1-26C57E6F3FD1}"/>
    <cellStyle name="Komma 3 2 3" xfId="19501" xr:uid="{4C5C2F3A-C75F-4097-9829-A85380B3807F}"/>
    <cellStyle name="Komma 3 2 3 2" xfId="23867" xr:uid="{F7A868F5-1A1C-4B02-9B80-5D5D80D06148}"/>
    <cellStyle name="Komma 3 2 3 2 2" xfId="23868" xr:uid="{AB192512-2672-4749-B29C-8B9B185DBF92}"/>
    <cellStyle name="Komma 3 2 3 2 2 2" xfId="48720" xr:uid="{D16E8918-5AAD-4203-9BE5-D29FECBF91EA}"/>
    <cellStyle name="Komma 3 2 3 2 2 3" xfId="49628" xr:uid="{BAA0AF35-D7D1-4825-B1A0-C7E5094E53B9}"/>
    <cellStyle name="Komma 3 2 3 2 3" xfId="48719" xr:uid="{3AAD5F18-A484-4D58-BCDA-0CBD92760CC5}"/>
    <cellStyle name="Komma 3 2 3 2 4" xfId="49627" xr:uid="{C9B9F1B0-317B-4808-AFB8-111D1CC01C09}"/>
    <cellStyle name="Komma 3 2 3 3" xfId="23869" xr:uid="{89A9772E-DB88-42E4-8C17-7B5973FBB2FF}"/>
    <cellStyle name="Komma 3 2 3 3 2" xfId="48721" xr:uid="{8F079F7F-D0DF-4937-8DB9-E10117B49840}"/>
    <cellStyle name="Komma 3 2 3 3 3" xfId="49629" xr:uid="{DE622834-605E-4B85-8B46-EE5F04F3436B}"/>
    <cellStyle name="Komma 3 2 3 4" xfId="23866" xr:uid="{858F2108-A7FF-46C9-8104-7F1EE4D7ED30}"/>
    <cellStyle name="Komma 3 2 3 5" xfId="48718" xr:uid="{89747706-CF4C-434C-83E9-4A513C3F6EA2}"/>
    <cellStyle name="Komma 3 2 3 6" xfId="49626" xr:uid="{C3918F3F-FD1B-480C-93C0-780D07E7D959}"/>
    <cellStyle name="Komma 3 2 4" xfId="23870" xr:uid="{1146C0EC-5F4F-4C54-8346-4AB32864EDD7}"/>
    <cellStyle name="Komma 3 2 4 2" xfId="23871" xr:uid="{7631C446-B5E8-4D55-AFE8-22C91707A7EC}"/>
    <cellStyle name="Komma 3 2 4 2 2" xfId="48723" xr:uid="{72A2FC2B-9A71-42E9-8AAD-C5D95158D97E}"/>
    <cellStyle name="Komma 3 2 4 2 3" xfId="49631" xr:uid="{62816C23-4044-47EE-8F4F-9321297393E2}"/>
    <cellStyle name="Komma 3 2 4 3" xfId="48722" xr:uid="{8C3B9BB5-E98E-45D8-A972-9944FF759594}"/>
    <cellStyle name="Komma 3 2 4 4" xfId="49630" xr:uid="{9BC355C5-2B9F-4FDF-B10C-76616465B1B0}"/>
    <cellStyle name="Komma 3 2 5" xfId="23872" xr:uid="{6AAE2804-071D-4942-8CAC-F03ABBA897EA}"/>
    <cellStyle name="Komma 3 2 5 2" xfId="48724" xr:uid="{AD2504DD-4C4F-4D2F-9BC1-2183C9E9C3AD}"/>
    <cellStyle name="Komma 3 2 5 3" xfId="49632" xr:uid="{EB6EE651-CE4A-4FE7-9297-3BFF62F06A90}"/>
    <cellStyle name="Komma 3 2 6" xfId="23873" xr:uid="{B0E8CF52-FA7E-4307-A726-C078F046220A}"/>
    <cellStyle name="Komma 3 2 6 2" xfId="48725" xr:uid="{22CA20D8-1967-4A71-8513-2C93A23C8445}"/>
    <cellStyle name="Komma 3 2 6 3" xfId="49633" xr:uid="{1FB13C8E-AD04-486C-9994-BEEA66E862CE}"/>
    <cellStyle name="Komma 3 2 7" xfId="32726" xr:uid="{21FBD1BA-6531-4396-97D1-62D8CFF45099}"/>
    <cellStyle name="Komma 3 2 7 2" xfId="38077" xr:uid="{68FC7E8C-69B3-4C30-8B3F-22652E693A18}"/>
    <cellStyle name="Komma 3 2 7 3" xfId="43379" xr:uid="{FA16E089-70EF-4DF7-A3CF-D8D0C60CB050}"/>
    <cellStyle name="Komma 3 2 8" xfId="35612" xr:uid="{D81997A0-2C41-43CC-8742-67DA5EBE1CC6}"/>
    <cellStyle name="Komma 3 2 9" xfId="40728" xr:uid="{6A1E894E-A1C8-4D6B-88CC-0777BE50DC24}"/>
    <cellStyle name="Komma 3 3" xfId="5829" xr:uid="{26212406-E667-4EBB-99D9-0462CD66396B}"/>
    <cellStyle name="Komma 3 3 2" xfId="23875" xr:uid="{4409DF48-D13A-4F89-AEB0-31D7273E0FB5}"/>
    <cellStyle name="Komma 3 3 2 2" xfId="23876" xr:uid="{DCEFB652-F82E-49DC-A3A7-92AF948AF3F8}"/>
    <cellStyle name="Komma 3 3 2 2 2" xfId="48728" xr:uid="{4B7DBC9F-2AFB-4AF9-88ED-7DFA56F4B6CA}"/>
    <cellStyle name="Komma 3 3 2 2 3" xfId="49636" xr:uid="{993D3171-0AEF-4F72-81B6-EAFFE60D98BF}"/>
    <cellStyle name="Komma 3 3 2 3" xfId="48727" xr:uid="{20EE3EC7-6C4C-46D8-813F-E6F01E8D0802}"/>
    <cellStyle name="Komma 3 3 2 4" xfId="49635" xr:uid="{0666E638-FAB2-4B7E-AFFD-19F4AF3F5B95}"/>
    <cellStyle name="Komma 3 3 3" xfId="23877" xr:uid="{462FAFEE-C3E7-4536-BA0A-642E957FA5CC}"/>
    <cellStyle name="Komma 3 3 3 2" xfId="48729" xr:uid="{AE8EEAF8-1E9D-4AD2-9CB6-AD5E2C65EA22}"/>
    <cellStyle name="Komma 3 3 3 3" xfId="49637" xr:uid="{4B166F36-DFAE-45CF-9DC3-1B9494713A44}"/>
    <cellStyle name="Komma 3 3 4" xfId="23874" xr:uid="{97596E52-033D-440A-A9E6-F9E2BBDF5FDC}"/>
    <cellStyle name="Komma 3 3 5" xfId="48726" xr:uid="{83340C59-29DD-414B-94FE-EEC42534B421}"/>
    <cellStyle name="Komma 3 3 6" xfId="49634" xr:uid="{7F4EE828-7EDD-4D7E-A73B-C32E5FBB766E}"/>
    <cellStyle name="Komma 3 3 7" xfId="11237" xr:uid="{7016E711-8A53-4C5D-B4A1-52C22E4C46F7}"/>
    <cellStyle name="Komma 3 4" xfId="11230" xr:uid="{7E7902B0-FF17-4144-BC59-FF43CAED8CC9}"/>
    <cellStyle name="Komma 3 4 2" xfId="21696" xr:uid="{E237C295-F489-489C-A343-206B1015C5B0}"/>
    <cellStyle name="Komma 3 4 2 2" xfId="23880" xr:uid="{5276BDF4-AAC4-430C-A240-979C7F8E94B2}"/>
    <cellStyle name="Komma 3 4 2 2 2" xfId="48732" xr:uid="{C3958131-264E-45B3-BCBC-8BACAEB2BBA3}"/>
    <cellStyle name="Komma 3 4 2 2 3" xfId="49640" xr:uid="{EC2316D6-96C7-4B0E-B569-7B40CAB192F7}"/>
    <cellStyle name="Komma 3 4 2 3" xfId="23879" xr:uid="{7C94ACFD-F212-4CA7-BEC3-FE2074858BE4}"/>
    <cellStyle name="Komma 3 4 2 4" xfId="48731" xr:uid="{A901BF80-F1B9-4CDC-988D-98E8262D8470}"/>
    <cellStyle name="Komma 3 4 2 5" xfId="49639" xr:uid="{BA287A19-6D08-4136-8572-059188AA8C3A}"/>
    <cellStyle name="Komma 3 4 3" xfId="23881" xr:uid="{B1A5DD13-BC0A-4FC1-8BB7-427071C80733}"/>
    <cellStyle name="Komma 3 4 3 2" xfId="48733" xr:uid="{C07FB210-31B9-49D3-B98B-11AA467DA31E}"/>
    <cellStyle name="Komma 3 4 3 3" xfId="49641" xr:uid="{16133D90-B461-4C2D-AAA8-37E41200A1B0}"/>
    <cellStyle name="Komma 3 4 4" xfId="23878" xr:uid="{4474965F-411C-45E9-9C7E-060F7F1EF816}"/>
    <cellStyle name="Komma 3 4 5" xfId="48481" xr:uid="{1A3FA6B0-E9E0-4C15-AF62-9BEC551991A5}"/>
    <cellStyle name="Komma 3 4 6" xfId="48730" xr:uid="{2DB92C85-C84B-4AD9-B80E-F5B7D2006133}"/>
    <cellStyle name="Komma 3 4 7" xfId="49638" xr:uid="{B1928BC9-A218-41FC-BCE4-61675E2FD8F4}"/>
    <cellStyle name="Komma 3 4 8" xfId="50713" xr:uid="{2A29A1EE-5C3E-49B3-9345-AA99471ECF4C}"/>
    <cellStyle name="Komma 3 4 9" xfId="53729" xr:uid="{A1866C5D-B632-4927-A35C-3AC1E891DC2C}"/>
    <cellStyle name="Komma 3 5" xfId="11145" xr:uid="{905823E4-FDD1-4DAD-B0EA-A0B90F62DF35}"/>
    <cellStyle name="Komma 3 5 2" xfId="21676" xr:uid="{E9E14895-1ED6-44D2-94A3-F5384624B76A}"/>
    <cellStyle name="Komma 3 5 2 2" xfId="23883" xr:uid="{26DE2568-D16C-4F54-9A9D-9181E228367E}"/>
    <cellStyle name="Komma 3 5 2 3" xfId="48735" xr:uid="{2F339283-51A2-48FD-A813-A0C86D4E9F00}"/>
    <cellStyle name="Komma 3 5 2 4" xfId="49643" xr:uid="{8F7247B9-1823-4AD6-AE86-1321F7AC1217}"/>
    <cellStyle name="Komma 3 5 3" xfId="23882" xr:uid="{0F1B1ACA-BD3C-4FD2-A39B-BA4BA8BD02D3}"/>
    <cellStyle name="Komma 3 5 4" xfId="25164" xr:uid="{E6D67CE9-2986-4A6C-AA18-00F4543D501B}"/>
    <cellStyle name="Komma 3 5 5" xfId="48734" xr:uid="{8AAA527D-A926-4143-A76E-4EE491D3EE08}"/>
    <cellStyle name="Komma 3 5 6" xfId="49642" xr:uid="{53190E26-139F-41B3-BE05-1248D648EA21}"/>
    <cellStyle name="Komma 3 5 7" xfId="50692" xr:uid="{CEE18BAF-F786-4B00-A509-C91ED83E6C7F}"/>
    <cellStyle name="Komma 3 5 8" xfId="53708" xr:uid="{ACCF71BE-8885-4DC6-9D28-B5BACD93FDC2}"/>
    <cellStyle name="Komma 3 6" xfId="19500" xr:uid="{088F8F0E-A9C0-415A-B545-1D6DBCAF8106}"/>
    <cellStyle name="Komma 3 6 2" xfId="23884" xr:uid="{C5DFF40C-E043-4C37-9D9A-68FA7075DDBB}"/>
    <cellStyle name="Komma 3 6 3" xfId="48736" xr:uid="{6D11E5BD-95C1-4C23-86B9-D43A491CA4D2}"/>
    <cellStyle name="Komma 3 6 4" xfId="49644" xr:uid="{BD0302FF-E805-4740-859D-2FADC96C9921}"/>
    <cellStyle name="Komma 3 7" xfId="23885" xr:uid="{182B9160-E819-441A-B70C-1EFF04118978}"/>
    <cellStyle name="Komma 3 7 2" xfId="23886" xr:uid="{7091862F-FF19-4FD1-8D86-93E028E38BAF}"/>
    <cellStyle name="Komma 3 7 2 2" xfId="48738" xr:uid="{0AD14F11-7612-4524-B71F-C95C36B0973B}"/>
    <cellStyle name="Komma 3 7 2 3" xfId="49646" xr:uid="{908BDCEF-52B0-4E9E-9E5D-E1D4925CAEB1}"/>
    <cellStyle name="Komma 3 7 3" xfId="48737" xr:uid="{B86B7A89-C6F8-49CF-A5F3-93B0BEF71AA9}"/>
    <cellStyle name="Komma 3 7 4" xfId="49645" xr:uid="{66641A38-FCC8-4286-95AA-3495D195488D}"/>
    <cellStyle name="Komma 3 8" xfId="23887" xr:uid="{782FADF0-F3C8-42D3-852E-8145FC9D8B2C}"/>
    <cellStyle name="Komma 3 8 2" xfId="48739" xr:uid="{CD5F222B-D696-4875-802E-54D27D951204}"/>
    <cellStyle name="Komma 3 8 3" xfId="49647" xr:uid="{BD2B1008-DFC7-4EFF-9538-C1DB21B4B7E1}"/>
    <cellStyle name="Komma 3 9" xfId="23888" xr:uid="{3B83DC17-B6C3-438F-9E92-B546B9AD4F8C}"/>
    <cellStyle name="Komma 3 9 2" xfId="48740" xr:uid="{46DE425F-B00E-4CD7-AA87-4AA6CE3EF44C}"/>
    <cellStyle name="Komma 3 9 3" xfId="49648" xr:uid="{11BA9FF9-0F1D-456E-99FF-E04AA8D47698}"/>
    <cellStyle name="Komma 4" xfId="9101" xr:uid="{86B1E8B3-C1EC-48FC-BEE1-741B5F182423}"/>
    <cellStyle name="Komma 4 10" xfId="14531" xr:uid="{B26EFA05-7B09-48E7-AE3B-26ED7D0455DA}"/>
    <cellStyle name="Komma 4 10 2" xfId="22078" xr:uid="{F1DB1085-9863-4E55-AFBE-27ED3BAC1F7A}"/>
    <cellStyle name="Komma 4 10 2 2" xfId="38079" xr:uid="{A275C082-1F04-4A64-B689-D4F6B907A26C}"/>
    <cellStyle name="Komma 4 10 2 3" xfId="43381" xr:uid="{732D9DEE-A9DC-4BD2-9EBD-A07CBDB601FA}"/>
    <cellStyle name="Komma 4 10 2 4" xfId="32728" xr:uid="{D78C76D1-90E5-4E79-8129-125E12C8A09D}"/>
    <cellStyle name="Komma 4 10 3" xfId="35614" xr:uid="{A4CB3DE0-1972-42E9-B509-9F70445E36C7}"/>
    <cellStyle name="Komma 4 10 4" xfId="40730" xr:uid="{880C9506-CBD4-4486-8A15-93D31195C795}"/>
    <cellStyle name="Komma 4 10 5" xfId="23890" xr:uid="{A1720C58-DD08-4D0E-B331-A521156597A7}"/>
    <cellStyle name="Komma 4 10 6" xfId="47477" xr:uid="{9095F25F-98B5-4888-AA31-45B4C770454B}"/>
    <cellStyle name="Komma 4 10 7" xfId="51416" xr:uid="{32E82426-E6CA-407A-A052-C2F92A9C5BCA}"/>
    <cellStyle name="Komma 4 10 8" xfId="54432" xr:uid="{A5A71035-9A4C-4CC7-B49F-73E53EA69D65}"/>
    <cellStyle name="Komma 4 10 9" xfId="19051" xr:uid="{B52EA358-1222-4492-9C3E-2D9129E3A101}"/>
    <cellStyle name="Komma 4 11" xfId="15015" xr:uid="{2CF2C115-2DF2-4733-80A6-85FB2AE3E136}"/>
    <cellStyle name="Komma 4 11 10" xfId="19193" xr:uid="{1B20B051-1CC6-48D6-BAAD-D4124C3CC422}"/>
    <cellStyle name="Komma 4 11 2" xfId="22555" xr:uid="{59096435-B55D-4E0A-B4F9-B6BB428FF259}"/>
    <cellStyle name="Komma 4 11 2 2" xfId="38080" xr:uid="{44F3C86D-F263-410B-9B68-E8436F349E8C}"/>
    <cellStyle name="Komma 4 11 2 3" xfId="43382" xr:uid="{96BA76C2-61B2-4487-8717-5EE1CA46017D}"/>
    <cellStyle name="Komma 4 11 2 4" xfId="32729" xr:uid="{B4985440-9760-4339-B5D9-4DB3C96FC85F}"/>
    <cellStyle name="Komma 4 11 3" xfId="35615" xr:uid="{A84B3E26-C45F-4799-9D1E-CCB611195FEE}"/>
    <cellStyle name="Komma 4 11 4" xfId="40731" xr:uid="{E43048A4-6496-4E66-B79F-35C4E99D193A}"/>
    <cellStyle name="Komma 4 11 5" xfId="23891" xr:uid="{39088389-1863-4889-AC45-B2E2EBABD588}"/>
    <cellStyle name="Komma 4 11 6" xfId="47108" xr:uid="{29F39222-9AD9-41E9-B853-8890ED410F96}"/>
    <cellStyle name="Komma 4 11 7" xfId="48741" xr:uid="{815C91A4-C022-47B9-8D35-9F6696A03BF9}"/>
    <cellStyle name="Komma 4 11 8" xfId="51893" xr:uid="{B4C42CEC-FC52-4E55-AED1-3DBB99E5CBDC}"/>
    <cellStyle name="Komma 4 11 9" xfId="54909" xr:uid="{0EA68C5C-2A31-44CF-B0FB-836959EFC835}"/>
    <cellStyle name="Komma 4 12" xfId="15502" xr:uid="{887CD785-1B45-4CFB-A018-AC5898261E23}"/>
    <cellStyle name="Komma 4 12 10" xfId="19338" xr:uid="{BF24620F-B318-4EF2-8B9E-7527F98D1DE2}"/>
    <cellStyle name="Komma 4 12 2" xfId="23032" xr:uid="{15B59A4D-2B02-40AE-A1BE-F4E8FF9B27DC}"/>
    <cellStyle name="Komma 4 12 2 2" xfId="38081" xr:uid="{A3D769D4-31AE-416C-B01D-6039B112AECD}"/>
    <cellStyle name="Komma 4 12 2 3" xfId="43383" xr:uid="{9F6B67C1-EF88-484F-B0C3-F3FF6E10DE93}"/>
    <cellStyle name="Komma 4 12 2 4" xfId="32730" xr:uid="{75FB4715-2E1A-44D5-8434-B24832FF2C63}"/>
    <cellStyle name="Komma 4 12 3" xfId="35616" xr:uid="{38412AC5-5D89-4590-9FE2-EFB047B8DAF2}"/>
    <cellStyle name="Komma 4 12 4" xfId="40732" xr:uid="{23CCC7CD-6071-41B8-87E8-7198D4A1F4B8}"/>
    <cellStyle name="Komma 4 12 5" xfId="23892" xr:uid="{3A308067-7216-4E55-A200-1C1B0BA6CC1C}"/>
    <cellStyle name="Komma 4 12 6" xfId="47699" xr:uid="{F3719C40-441A-4ACA-8003-21F1EA26287D}"/>
    <cellStyle name="Komma 4 12 7" xfId="48742" xr:uid="{8B36086D-D3F9-4667-B630-EF50F725A18C}"/>
    <cellStyle name="Komma 4 12 8" xfId="52370" xr:uid="{8B58C70D-38B8-4E13-AE80-28CF47166FB0}"/>
    <cellStyle name="Komma 4 12 9" xfId="55386" xr:uid="{7F4A4C0A-3740-4937-A20C-3FE67A0A7227}"/>
    <cellStyle name="Komma 4 13" xfId="11238" xr:uid="{1922DAE1-D5F7-4577-84A9-583175F20B52}"/>
    <cellStyle name="Komma 4 13 2" xfId="38078" xr:uid="{4E161BB3-BED8-45AC-BDFF-2BCB46C306C6}"/>
    <cellStyle name="Komma 4 13 3" xfId="43380" xr:uid="{02CCA4D3-6472-4677-B55A-54FA96B524A9}"/>
    <cellStyle name="Komma 4 13 4" xfId="32727" xr:uid="{7474F113-AFE6-430D-8037-7C7B43ADAD50}"/>
    <cellStyle name="Komma 4 13 5" xfId="48389" xr:uid="{9934A49C-E080-4EA3-974B-409970F895EC}"/>
    <cellStyle name="Komma 4 13 6" xfId="50716" xr:uid="{37442507-C37F-4D6A-81F7-4F8CFB718C8E}"/>
    <cellStyle name="Komma 4 13 7" xfId="53732" xr:uid="{FF9BF814-9BD3-4377-AD09-FD1265B23AA6}"/>
    <cellStyle name="Komma 4 13 8" xfId="21697" xr:uid="{D2398773-788C-4CBF-A424-EC79922A02A6}"/>
    <cellStyle name="Komma 4 14" xfId="35613" xr:uid="{81F4E023-DDB1-4D66-8260-B29802CFF19C}"/>
    <cellStyle name="Komma 4 15" xfId="40729" xr:uid="{105219C4-5E7B-42F0-9568-7F403E9DBBFB}"/>
    <cellStyle name="Komma 4 16" xfId="23889" xr:uid="{5E6933FF-D5F8-4222-AFC0-088EFE1C1D8D}"/>
    <cellStyle name="Komma 4 17" xfId="47381" xr:uid="{501C4E31-A28C-46AC-A0BA-736953805912}"/>
    <cellStyle name="Komma 4 18" xfId="49833" xr:uid="{5A9FEF6A-3C45-4FDB-B5DA-509BD561550B}"/>
    <cellStyle name="Komma 4 19" xfId="52848" xr:uid="{CA28FF2D-F625-420F-B002-21F641968789}"/>
    <cellStyle name="Komma 4 2" xfId="9102" xr:uid="{9D7C5FAF-43F6-4833-B9DE-554A541B2B74}"/>
    <cellStyle name="Komma 4 2 10" xfId="15503" xr:uid="{2091A211-4A76-4D3D-83A0-F9BF31BF5688}"/>
    <cellStyle name="Komma 4 2 10 2" xfId="23033" xr:uid="{6CF6C3D2-9FD4-4FEA-B7CE-6ED194792851}"/>
    <cellStyle name="Komma 4 2 10 3" xfId="40733" xr:uid="{AA98A723-D51C-4168-B295-FEEAF220032C}"/>
    <cellStyle name="Komma 4 2 10 4" xfId="46928" xr:uid="{BAF2320F-6C12-4907-818F-0E0A7F8D2FBB}"/>
    <cellStyle name="Komma 4 2 10 5" xfId="52371" xr:uid="{5CC98739-CCEB-4ACF-9A80-8AC203A78B4B}"/>
    <cellStyle name="Komma 4 2 10 6" xfId="55387" xr:uid="{167937CC-B456-45BC-B120-C7C83B1F82C9}"/>
    <cellStyle name="Komma 4 2 10 7" xfId="19339" xr:uid="{E2F10D88-4F81-406D-9064-EF14C6CD4E0E}"/>
    <cellStyle name="Komma 4 2 11" xfId="11590" xr:uid="{40205128-2D6C-4DFD-9320-0CA4EB16EB70}"/>
    <cellStyle name="Komma 4 2 11 2" xfId="47661" xr:uid="{5A615E12-2254-43E5-8AAD-1556EF3F1E27}"/>
    <cellStyle name="Komma 4 2 11 3" xfId="50737" xr:uid="{A41385D5-B6F8-41C7-9637-3E04EDA90E4E}"/>
    <cellStyle name="Komma 4 2 11 4" xfId="53753" xr:uid="{64D2F9F1-8B16-4FE4-B80A-42EBE79DFA6B}"/>
    <cellStyle name="Komma 4 2 11 5" xfId="21713" xr:uid="{2191CF44-D682-4C62-B770-14A4C5AEA856}"/>
    <cellStyle name="Komma 4 2 12" xfId="23893" xr:uid="{F07CDCE4-B0E0-4633-925E-0DF9FD6FA63D}"/>
    <cellStyle name="Komma 4 2 13" xfId="46014" xr:uid="{4C3542AF-A124-44BC-B524-B4A430063499}"/>
    <cellStyle name="Komma 4 2 14" xfId="49834" xr:uid="{4CD99F51-CEA3-4FBC-8244-1134A953B233}"/>
    <cellStyle name="Komma 4 2 15" xfId="52849" xr:uid="{9AD12557-4FAC-4267-B676-0AEAA5CC5209}"/>
    <cellStyle name="Komma 4 2 16" xfId="18163" xr:uid="{B7A6B9EC-CDDE-4DB9-97A4-1B7FA7DEEE2B}"/>
    <cellStyle name="Komma 4 2 2" xfId="9103" xr:uid="{5C438930-DC72-47CA-BD69-E93357557F76}"/>
    <cellStyle name="Komma 4 2 2 10" xfId="12192" xr:uid="{6323C86E-57FF-4D3F-886A-ADFBE2682B10}"/>
    <cellStyle name="Komma 4 2 2 10 2" xfId="48193" xr:uid="{AB00C84D-A19D-4AAF-B8C4-D4C9E951DB8C}"/>
    <cellStyle name="Komma 4 2 2 10 3" xfId="50938" xr:uid="{4ACF20A0-678B-45DF-A8A4-ABF3694B98C2}"/>
    <cellStyle name="Komma 4 2 2 10 4" xfId="53954" xr:uid="{72EAAD83-6BC6-4FE6-AF80-D6188D5E0B44}"/>
    <cellStyle name="Komma 4 2 2 10 5" xfId="21905" xr:uid="{10E4B5CB-3659-49E7-BDB9-DD6642D97ECB}"/>
    <cellStyle name="Komma 4 2 2 11" xfId="23894" xr:uid="{5091BFBB-1D92-4129-9F07-8673B314E8CF}"/>
    <cellStyle name="Komma 4 2 2 12" xfId="47382" xr:uid="{8819F630-CC90-4395-AAC7-A36AA1724346}"/>
    <cellStyle name="Komma 4 2 2 13" xfId="48743" xr:uid="{E52F0058-5CF8-49F6-9949-7D3A31FB76F1}"/>
    <cellStyle name="Komma 4 2 2 14" xfId="49649" xr:uid="{A604C170-FE12-45A6-A0AE-8A4A740CE22D}"/>
    <cellStyle name="Komma 4 2 2 15" xfId="49835" xr:uid="{9FADC81C-41C6-4BD8-8F2A-A50DA35998A6}"/>
    <cellStyle name="Komma 4 2 2 16" xfId="52850" xr:uid="{F4AE5C05-323E-473A-9A5D-F3014C1EB054}"/>
    <cellStyle name="Komma 4 2 2 17" xfId="18569" xr:uid="{85A31FC4-6878-4F0A-BD21-1FACAE27DD1B}"/>
    <cellStyle name="Komma 4 2 2 2" xfId="10045" xr:uid="{E025266D-A543-437F-AE7D-5FEBCDD36D25}"/>
    <cellStyle name="Komma 4 2 2 2 10" xfId="49650" xr:uid="{7EEEAD7C-5D57-4EC7-BED9-867E4791A3CF}"/>
    <cellStyle name="Komma 4 2 2 2 11" xfId="49888" xr:uid="{6E554822-F108-41AF-88A6-13535591FFD5}"/>
    <cellStyle name="Komma 4 2 2 2 12" xfId="52904" xr:uid="{15CE8A8D-98EC-4B33-9E8D-97FCFBAB6571}"/>
    <cellStyle name="Komma 4 2 2 2 13" xfId="18758" xr:uid="{FD135C74-43BC-475F-9228-15E55D169390}"/>
    <cellStyle name="Komma 4 2 2 2 2" xfId="10353" xr:uid="{0E75F555-8090-485B-89D4-7E0ED3EB8F30}"/>
    <cellStyle name="Komma 4 2 2 2 2 2" xfId="14798" xr:uid="{ACC16F9B-96D9-4052-81E0-7940F3FB367F}"/>
    <cellStyle name="Komma 4 2 2 2 2 2 2" xfId="22345" xr:uid="{CAAF9404-FB2D-47F8-B55F-DAB701E20613}"/>
    <cellStyle name="Komma 4 2 2 2 2 2 3" xfId="46863" xr:uid="{94A10677-9F97-4862-89F7-C4F36B883DCF}"/>
    <cellStyle name="Komma 4 2 2 2 2 2 4" xfId="51683" xr:uid="{393D48AA-B919-467E-8313-7E2FDB8CF03D}"/>
    <cellStyle name="Komma 4 2 2 2 2 2 5" xfId="54699" xr:uid="{9F055F33-1431-4A15-BDE6-9F456C5EE737}"/>
    <cellStyle name="Komma 4 2 2 2 2 2 6" xfId="19128" xr:uid="{38BB8E62-C017-499B-AFFE-06C90A77923C}"/>
    <cellStyle name="Komma 4 2 2 2 2 3" xfId="15283" xr:uid="{E250AE92-1424-4068-A19A-FD0DC1EB5EDF}"/>
    <cellStyle name="Komma 4 2 2 2 2 3 2" xfId="22822" xr:uid="{D26277F8-CC8E-4159-A0D6-09CB81F5F50A}"/>
    <cellStyle name="Komma 4 2 2 2 2 3 3" xfId="47545" xr:uid="{DA288D80-D7A8-4E44-AB58-FA14BFB0DF49}"/>
    <cellStyle name="Komma 4 2 2 2 2 3 4" xfId="52160" xr:uid="{CFE3FBA7-16D9-4C9A-A6B0-95479D1089EE}"/>
    <cellStyle name="Komma 4 2 2 2 2 3 5" xfId="55176" xr:uid="{1B5F177D-AE00-4FEF-B8B9-AB7BED19302E}"/>
    <cellStyle name="Komma 4 2 2 2 2 3 6" xfId="19271" xr:uid="{FB3D7EA8-B5A4-4495-B7A8-7BAA1D0FA51F}"/>
    <cellStyle name="Komma 4 2 2 2 2 4" xfId="15770" xr:uid="{823D7C9F-75CA-4652-AB4F-3244E201828C}"/>
    <cellStyle name="Komma 4 2 2 2 2 4 2" xfId="23299" xr:uid="{3C5E928C-DF30-4842-908D-C39FF02A1850}"/>
    <cellStyle name="Komma 4 2 2 2 2 4 3" xfId="47848" xr:uid="{C0DF9AA4-672F-4395-BF05-F9BB6DE7BBD0}"/>
    <cellStyle name="Komma 4 2 2 2 2 4 4" xfId="52637" xr:uid="{9241C50A-9007-4BE0-8374-A40A8934A435}"/>
    <cellStyle name="Komma 4 2 2 2 2 4 5" xfId="55653" xr:uid="{631846FA-3899-4184-8BA2-0BFC8EF17423}"/>
    <cellStyle name="Komma 4 2 2 2 2 4 6" xfId="19416" xr:uid="{9FCC9DA7-9F59-4D52-880A-BDD024CD2C48}"/>
    <cellStyle name="Komma 4 2 2 2 2 5" xfId="12806" xr:uid="{C1FBFC6D-074B-4B06-989D-265D688CA103}"/>
    <cellStyle name="Komma 4 2 2 2 2 5 2" xfId="46797" xr:uid="{2C943A16-A26A-4C3D-B5D5-2B88FB930B8D}"/>
    <cellStyle name="Komma 4 2 2 2 2 5 3" xfId="51206" xr:uid="{6433C79F-6018-48AB-B18A-6E23E4F29487}"/>
    <cellStyle name="Komma 4 2 2 2 2 5 4" xfId="54222" xr:uid="{0C3CAE51-AE2D-4408-B4B0-FF727BC8925B}"/>
    <cellStyle name="Komma 4 2 2 2 2 5 5" xfId="21986" xr:uid="{E02733F8-C24C-44F2-9510-16870BD68208}"/>
    <cellStyle name="Komma 4 2 2 2 2 6" xfId="46097" xr:uid="{2E42ADB1-C510-4CFE-AD06-D72A9802BB2A}"/>
    <cellStyle name="Komma 4 2 2 2 2 7" xfId="50100" xr:uid="{814E79FE-2E7F-4204-9B18-F6F79BAC2BB8}"/>
    <cellStyle name="Komma 4 2 2 2 2 8" xfId="53116" xr:uid="{0806D236-F422-487C-BA48-F6DD546D53F5}"/>
    <cellStyle name="Komma 4 2 2 2 2 9" xfId="18907" xr:uid="{B319F6A6-0757-4AC4-A3B5-E7CF7A10703C}"/>
    <cellStyle name="Komma 4 2 2 2 3" xfId="14586" xr:uid="{A3E3AA3F-106E-42BC-95D9-F88EADF8D0E4}"/>
    <cellStyle name="Komma 4 2 2 2 3 2" xfId="22133" xr:uid="{A006879E-E75C-4201-AEB6-D2666A9F0463}"/>
    <cellStyle name="Komma 4 2 2 2 3 3" xfId="37008" xr:uid="{ADB063DC-F307-4708-8703-070C6F2ECFAF}"/>
    <cellStyle name="Komma 4 2 2 2 3 4" xfId="51471" xr:uid="{185074B3-2648-4D47-9709-A3AD0869270A}"/>
    <cellStyle name="Komma 4 2 2 2 3 5" xfId="54487" xr:uid="{524D9769-C512-4CC6-B4D8-F2DA17DB749D}"/>
    <cellStyle name="Komma 4 2 2 2 3 6" xfId="19068" xr:uid="{A43E9113-147E-45D4-9910-88BCA8C02616}"/>
    <cellStyle name="Komma 4 2 2 2 4" xfId="15070" xr:uid="{FA40348A-C47D-43E7-B8E6-3BF4E7E0500B}"/>
    <cellStyle name="Komma 4 2 2 2 4 2" xfId="22610" xr:uid="{E476A8A8-90C7-481B-BEBB-1B512C6C3C24}"/>
    <cellStyle name="Komma 4 2 2 2 4 3" xfId="24918" xr:uid="{7B875593-0406-4621-8373-EF50F1971B97}"/>
    <cellStyle name="Komma 4 2 2 2 4 4" xfId="51948" xr:uid="{53EE9BBA-9580-4860-9149-41BDB98F8EFA}"/>
    <cellStyle name="Komma 4 2 2 2 4 5" xfId="54964" xr:uid="{692C2204-86A0-466D-851D-2EBA0938BAF9}"/>
    <cellStyle name="Komma 4 2 2 2 4 6" xfId="19210" xr:uid="{9BF2286B-898B-4882-A5DF-258A43A8B94D}"/>
    <cellStyle name="Komma 4 2 2 2 5" xfId="15557" xr:uid="{ADF1454A-7906-4737-87FE-06DE54E7C8B6}"/>
    <cellStyle name="Komma 4 2 2 2 5 2" xfId="23087" xr:uid="{38F4D87D-B4CB-4D0C-B5D4-BA12C955E11C}"/>
    <cellStyle name="Komma 4 2 2 2 5 3" xfId="47844" xr:uid="{5D4908A1-8B97-4936-BE5C-5500CA4FE7B3}"/>
    <cellStyle name="Komma 4 2 2 2 5 4" xfId="52425" xr:uid="{848E714D-C15D-46FA-BF37-D4C8A28ECEC1}"/>
    <cellStyle name="Komma 4 2 2 2 5 5" xfId="55441" xr:uid="{6A3A7593-8FAA-4E6A-A5E3-0DC031DBF26F}"/>
    <cellStyle name="Komma 4 2 2 2 5 6" xfId="19355" xr:uid="{0A36A592-3E30-4A63-8767-2F04C414BD63}"/>
    <cellStyle name="Komma 4 2 2 2 6" xfId="12505" xr:uid="{6AF0BBE1-C1B3-40E9-ABB8-5D332820634F}"/>
    <cellStyle name="Komma 4 2 2 2 6 2" xfId="46316" xr:uid="{3CBE04F8-1AC0-40C8-A753-08B739534E68}"/>
    <cellStyle name="Komma 4 2 2 2 6 3" xfId="50994" xr:uid="{7FAB4F55-F781-445C-BA70-DD2D00E48482}"/>
    <cellStyle name="Komma 4 2 2 2 6 4" xfId="54010" xr:uid="{7CB7FB9C-BE4B-4227-9420-19A5ED34907A}"/>
    <cellStyle name="Komma 4 2 2 2 6 5" xfId="21925" xr:uid="{7A3C449E-B529-4AE8-83DB-7D32CB13206A}"/>
    <cellStyle name="Komma 4 2 2 2 7" xfId="23895" xr:uid="{D1D69809-653E-4F78-B3C7-2494A103F460}"/>
    <cellStyle name="Komma 4 2 2 2 8" xfId="24544" xr:uid="{555C9FE1-B237-44C0-939F-B09B98995DCB}"/>
    <cellStyle name="Komma 4 2 2 2 9" xfId="48744" xr:uid="{57C50B22-C1CA-4CE7-A73B-A4EFC94E7A99}"/>
    <cellStyle name="Komma 4 2 2 3" xfId="10119" xr:uid="{B83AB449-A158-4602-BC2C-E64BABB76E1D}"/>
    <cellStyle name="Komma 4 2 2 3 10" xfId="49651" xr:uid="{E0BDFE58-DE6A-4C26-AD58-D461F7A40D4B}"/>
    <cellStyle name="Komma 4 2 2 3 11" xfId="49941" xr:uid="{9C09F62B-B11E-4AF9-9367-78631BB70FFA}"/>
    <cellStyle name="Komma 4 2 2 3 12" xfId="52957" xr:uid="{8C927D10-E63D-4991-B700-2E14251007F3}"/>
    <cellStyle name="Komma 4 2 2 3 13" xfId="18791" xr:uid="{9CDF3EF3-1A1B-4EC0-80EA-FA36DDAF36DA}"/>
    <cellStyle name="Komma 4 2 2 3 2" xfId="10432" xr:uid="{050699B7-8B19-49A1-A367-215A0F926514}"/>
    <cellStyle name="Komma 4 2 2 3 2 2" xfId="14851" xr:uid="{2BE4874F-915D-4B80-9270-EC57B47985B6}"/>
    <cellStyle name="Komma 4 2 2 3 2 2 2" xfId="22398" xr:uid="{943973BA-7620-4728-9E0D-56D63286EA68}"/>
    <cellStyle name="Komma 4 2 2 3 2 2 3" xfId="48354" xr:uid="{15CAA261-4631-439D-AEAB-F64F78955771}"/>
    <cellStyle name="Komma 4 2 2 3 2 2 4" xfId="51736" xr:uid="{896AEA85-A69F-4056-BFF0-DA2A6AF00404}"/>
    <cellStyle name="Komma 4 2 2 3 2 2 5" xfId="54752" xr:uid="{5C421038-BF8B-46C4-8649-2127B05CD2B6}"/>
    <cellStyle name="Komma 4 2 2 3 2 2 6" xfId="19143" xr:uid="{81317202-915F-4AFE-A3FF-A49E79E0E174}"/>
    <cellStyle name="Komma 4 2 2 3 2 3" xfId="15336" xr:uid="{9232483C-1826-47E5-A6F3-0897A46600B1}"/>
    <cellStyle name="Komma 4 2 2 3 2 3 2" xfId="22875" xr:uid="{D800438B-E6A2-427A-BC49-3A0D015D17A2}"/>
    <cellStyle name="Komma 4 2 2 3 2 3 3" xfId="48074" xr:uid="{B54AAE2F-93F2-4DCD-8BA5-5D3281E87E36}"/>
    <cellStyle name="Komma 4 2 2 3 2 3 4" xfId="52213" xr:uid="{D96782D4-0A5F-4683-B525-A3D09ABACC06}"/>
    <cellStyle name="Komma 4 2 2 3 2 3 5" xfId="55229" xr:uid="{4912D403-87A8-43C0-AA9B-BCB1BF77543C}"/>
    <cellStyle name="Komma 4 2 2 3 2 3 6" xfId="19286" xr:uid="{07AE8826-20C5-4E35-8475-9A37086116A8}"/>
    <cellStyle name="Komma 4 2 2 3 2 4" xfId="15823" xr:uid="{923C0849-58EE-4310-8BEA-4B6FB45C3A0A}"/>
    <cellStyle name="Komma 4 2 2 3 2 4 2" xfId="23352" xr:uid="{6F30AF43-FFF3-44AE-8254-F11CB6F280BE}"/>
    <cellStyle name="Komma 4 2 2 3 2 4 3" xfId="46592" xr:uid="{12C894EF-1EAA-4202-A79D-A7D8CF6BBA8B}"/>
    <cellStyle name="Komma 4 2 2 3 2 4 4" xfId="52690" xr:uid="{168CDE21-590A-4CB7-A66D-202736E2F327}"/>
    <cellStyle name="Komma 4 2 2 3 2 4 5" xfId="55706" xr:uid="{DA86CDAC-2881-474B-877A-45758C7BFB40}"/>
    <cellStyle name="Komma 4 2 2 3 2 4 6" xfId="19431" xr:uid="{FCAFE731-9FC9-4EE8-AA4C-6E459AC6397D}"/>
    <cellStyle name="Komma 4 2 2 3 2 5" xfId="12885" xr:uid="{4F3D1856-9F16-4F11-835F-0488204763A8}"/>
    <cellStyle name="Komma 4 2 2 3 2 5 2" xfId="47529" xr:uid="{4148FB68-B22E-4D92-B0CB-120AA1A3BA92}"/>
    <cellStyle name="Komma 4 2 2 3 2 5 3" xfId="51259" xr:uid="{18DFFD8E-F509-4311-B268-85155F01A5CF}"/>
    <cellStyle name="Komma 4 2 2 3 2 5 4" xfId="54275" xr:uid="{7BD630C9-197B-4AB8-AABA-31C867699DAA}"/>
    <cellStyle name="Komma 4 2 2 3 2 5 5" xfId="22001" xr:uid="{774BAE59-6B5F-414A-8584-89F36CFE8C7E}"/>
    <cellStyle name="Komma 4 2 2 3 2 6" xfId="24264" xr:uid="{EE774EEF-714B-47BD-B379-B45DE3C7314B}"/>
    <cellStyle name="Komma 4 2 2 3 2 7" xfId="50153" xr:uid="{BC496FE0-3E79-465D-A015-268BB000F838}"/>
    <cellStyle name="Komma 4 2 2 3 2 8" xfId="53169" xr:uid="{6AD33D11-DBDF-42B1-A89B-78760539249B}"/>
    <cellStyle name="Komma 4 2 2 3 2 9" xfId="18948" xr:uid="{0FA1A102-EC6E-43F7-A976-F5B3A71A45A0}"/>
    <cellStyle name="Komma 4 2 2 3 3" xfId="14639" xr:uid="{4C4E5AC3-B2E1-4DC6-A4FE-504D3EB91231}"/>
    <cellStyle name="Komma 4 2 2 3 3 2" xfId="22186" xr:uid="{6A59A314-DAE0-40A8-88AC-145485082053}"/>
    <cellStyle name="Komma 4 2 2 3 3 3" xfId="47064" xr:uid="{2D6542C0-3F0F-4446-AAF1-22E1F54D8F1A}"/>
    <cellStyle name="Komma 4 2 2 3 3 4" xfId="51524" xr:uid="{0D8CF1D2-E50C-4C5D-90C8-4F341113BAF3}"/>
    <cellStyle name="Komma 4 2 2 3 3 5" xfId="54540" xr:uid="{EB07D09D-893A-47A2-865A-FCD9837F323F}"/>
    <cellStyle name="Komma 4 2 2 3 3 6" xfId="19083" xr:uid="{A3F1D9BF-0892-44DD-AFD9-70A4B3B09441}"/>
    <cellStyle name="Komma 4 2 2 3 4" xfId="15124" xr:uid="{B18993E8-44E2-48D0-8C80-F5CAC619DE03}"/>
    <cellStyle name="Komma 4 2 2 3 4 2" xfId="22663" xr:uid="{06E390E4-0937-4B6C-8677-06B8DA70FD0A}"/>
    <cellStyle name="Komma 4 2 2 3 4 3" xfId="46883" xr:uid="{39DC5EFB-314A-4387-B22E-257BD03C4617}"/>
    <cellStyle name="Komma 4 2 2 3 4 4" xfId="52001" xr:uid="{E656CB6D-3599-4B38-9E73-931662080219}"/>
    <cellStyle name="Komma 4 2 2 3 4 5" xfId="55017" xr:uid="{E0747B7E-4DAB-4F45-859A-7B6C9C152C2A}"/>
    <cellStyle name="Komma 4 2 2 3 4 6" xfId="19226" xr:uid="{A283E601-8690-442D-94D4-2B2ADDD4ED26}"/>
    <cellStyle name="Komma 4 2 2 3 5" xfId="15611" xr:uid="{D8BF80CD-EE43-4930-B2DC-37F63A5C0046}"/>
    <cellStyle name="Komma 4 2 2 3 5 2" xfId="23140" xr:uid="{2EC81047-B3B2-4E43-8F2C-A3429BDC6733}"/>
    <cellStyle name="Komma 4 2 2 3 5 3" xfId="48519" xr:uid="{4479E34C-3741-4227-BFD1-4F3F8B1E4279}"/>
    <cellStyle name="Komma 4 2 2 3 5 4" xfId="52478" xr:uid="{82C86504-220F-49CD-862B-01D0D594CBB9}"/>
    <cellStyle name="Komma 4 2 2 3 5 5" xfId="55494" xr:uid="{61330A8B-4A1C-42CD-BF6A-A19B4D1A94BC}"/>
    <cellStyle name="Komma 4 2 2 3 5 6" xfId="19371" xr:uid="{65270745-E0C8-4629-BD74-233AEF6B8407}"/>
    <cellStyle name="Komma 4 2 2 3 6" xfId="12576" xr:uid="{837280C6-A664-45FF-8D09-05D57FBADD80}"/>
    <cellStyle name="Komma 4 2 2 3 6 2" xfId="47741" xr:uid="{3B225F7A-207A-4344-ACC7-29366DF68BE0}"/>
    <cellStyle name="Komma 4 2 2 3 6 3" xfId="51047" xr:uid="{F3CDD8FD-3DF9-43BA-AC1D-8DC83F776CD0}"/>
    <cellStyle name="Komma 4 2 2 3 6 4" xfId="54063" xr:uid="{D2CACC4C-182B-416F-9612-3B5C9AA590B5}"/>
    <cellStyle name="Komma 4 2 2 3 6 5" xfId="21941" xr:uid="{E6BEB5A7-73C5-4069-A4C6-0721C8242646}"/>
    <cellStyle name="Komma 4 2 2 3 7" xfId="23896" xr:uid="{7264F1C1-7BF3-4678-AC92-1A74CF6C1BCE}"/>
    <cellStyle name="Komma 4 2 2 3 8" xfId="47061" xr:uid="{C2FD2787-A2B3-46BC-827C-7B5C189DE6D2}"/>
    <cellStyle name="Komma 4 2 2 3 9" xfId="48745" xr:uid="{65DFD3E3-6FFF-4667-A706-E3DA2BE3A639}"/>
    <cellStyle name="Komma 4 2 2 4" xfId="10198" xr:uid="{A90FEC32-65D7-407E-9E16-2E4139C68205}"/>
    <cellStyle name="Komma 4 2 2 4 10" xfId="18829" xr:uid="{E31D4E6D-FF11-4A30-AFBE-4F40326A8469}"/>
    <cellStyle name="Komma 4 2 2 4 2" xfId="10512" xr:uid="{40FC1F6D-BF49-4E93-B9EF-874BC3AC0F24}"/>
    <cellStyle name="Komma 4 2 2 4 2 2" xfId="14904" xr:uid="{E95B78D6-5834-4087-BC4F-B4A3C74FA6C7}"/>
    <cellStyle name="Komma 4 2 2 4 2 2 2" xfId="22451" xr:uid="{880232F6-3F45-47CD-B022-8A0F688CD502}"/>
    <cellStyle name="Komma 4 2 2 4 2 2 3" xfId="36975" xr:uid="{F57C4BCC-9CFC-458C-8142-D37166F5FEAE}"/>
    <cellStyle name="Komma 4 2 2 4 2 2 4" xfId="51789" xr:uid="{8F03DD1A-DD67-4F31-82BD-A3C0EBE19B49}"/>
    <cellStyle name="Komma 4 2 2 4 2 2 5" xfId="54805" xr:uid="{C3876A65-27D0-4272-B01C-921909FC4D53}"/>
    <cellStyle name="Komma 4 2 2 4 2 2 6" xfId="19158" xr:uid="{BF6D5F04-E100-48C2-8859-5BE25E422647}"/>
    <cellStyle name="Komma 4 2 2 4 2 3" xfId="15389" xr:uid="{CFF5B9A2-FD6D-4E29-869B-3B9912E4BFDE}"/>
    <cellStyle name="Komma 4 2 2 4 2 3 2" xfId="22928" xr:uid="{A28789AF-5749-4755-99FF-F067214C09CA}"/>
    <cellStyle name="Komma 4 2 2 4 2 3 3" xfId="46916" xr:uid="{72BB6382-60B7-4FAD-8495-E06E2561E3F3}"/>
    <cellStyle name="Komma 4 2 2 4 2 3 4" xfId="52266" xr:uid="{7ACB61C8-2758-4E17-9E17-0C5A0A741DBF}"/>
    <cellStyle name="Komma 4 2 2 4 2 3 5" xfId="55282" xr:uid="{8337228F-C1CA-48BC-9775-CFECD8332E05}"/>
    <cellStyle name="Komma 4 2 2 4 2 3 6" xfId="19301" xr:uid="{07E072FD-623F-469B-88B0-AFDADD5B8559}"/>
    <cellStyle name="Komma 4 2 2 4 2 4" xfId="15876" xr:uid="{5D9FC967-812D-4909-9534-8FE980739B2A}"/>
    <cellStyle name="Komma 4 2 2 4 2 4 2" xfId="23405" xr:uid="{6F1EF1A9-9CBF-4E79-8A48-E6F5920A00D9}"/>
    <cellStyle name="Komma 4 2 2 4 2 4 3" xfId="47452" xr:uid="{17512D3F-EE9C-49B8-B60B-6E3A416443B2}"/>
    <cellStyle name="Komma 4 2 2 4 2 4 4" xfId="52743" xr:uid="{DFFCBA22-1AB5-4C67-82F5-B16285A2750F}"/>
    <cellStyle name="Komma 4 2 2 4 2 4 5" xfId="55759" xr:uid="{8E64C39D-EF18-4043-9517-D2F5A84344C7}"/>
    <cellStyle name="Komma 4 2 2 4 2 4 6" xfId="19446" xr:uid="{F914682E-F759-479B-ADD3-5C17D2B2DF2E}"/>
    <cellStyle name="Komma 4 2 2 4 2 5" xfId="12965" xr:uid="{847C5820-5E33-4955-A827-11187624C850}"/>
    <cellStyle name="Komma 4 2 2 4 2 5 2" xfId="47368" xr:uid="{129EAE4E-CB41-4C5A-B0F6-925D843A4A48}"/>
    <cellStyle name="Komma 4 2 2 4 2 5 3" xfId="51312" xr:uid="{A616A121-1438-4EEE-9DBE-CB779475DDE5}"/>
    <cellStyle name="Komma 4 2 2 4 2 5 4" xfId="54328" xr:uid="{BE8504FA-B621-4FE1-97A7-E6DD15711B77}"/>
    <cellStyle name="Komma 4 2 2 4 2 5 5" xfId="22016" xr:uid="{9D4C615D-994E-40B1-9951-F64AD79E28D2}"/>
    <cellStyle name="Komma 4 2 2 4 2 6" xfId="46629" xr:uid="{102F60E1-109C-417C-ADE9-E95572777053}"/>
    <cellStyle name="Komma 4 2 2 4 2 7" xfId="50206" xr:uid="{3D144846-3C2B-4E7A-8164-7F1E04F898F8}"/>
    <cellStyle name="Komma 4 2 2 4 2 8" xfId="53222" xr:uid="{9E11BE4F-C0F8-4D75-9462-48A458A550CB}"/>
    <cellStyle name="Komma 4 2 2 4 2 9" xfId="18990" xr:uid="{B0B2E2F1-DBC1-46A0-A711-B9AB3501B709}"/>
    <cellStyle name="Komma 4 2 2 4 3" xfId="14692" xr:uid="{E4299360-664B-4AB4-8EA0-A23EF55AC364}"/>
    <cellStyle name="Komma 4 2 2 4 3 2" xfId="22239" xr:uid="{F87A7DC0-C063-4BBA-B200-FCEF149E8681}"/>
    <cellStyle name="Komma 4 2 2 4 3 3" xfId="48406" xr:uid="{A7975A96-3E7F-4E96-A323-EADBBABA366F}"/>
    <cellStyle name="Komma 4 2 2 4 3 4" xfId="51577" xr:uid="{429EF615-A12E-4A5D-96E1-4FEB1114860F}"/>
    <cellStyle name="Komma 4 2 2 4 3 5" xfId="54593" xr:uid="{4F1B48C8-9B26-4F58-8E4A-9067055A561E}"/>
    <cellStyle name="Komma 4 2 2 4 3 6" xfId="19098" xr:uid="{C4899154-6EDC-4113-8491-89DCEB4A03ED}"/>
    <cellStyle name="Komma 4 2 2 4 4" xfId="15177" xr:uid="{7E02F7C0-6918-4192-825D-49C3F8FA208E}"/>
    <cellStyle name="Komma 4 2 2 4 4 2" xfId="22716" xr:uid="{1D64B655-01C1-4345-8BD1-AF66E71ECC8E}"/>
    <cellStyle name="Komma 4 2 2 4 4 3" xfId="47109" xr:uid="{FED0EACB-720E-4AD2-B414-DB4504B51FDB}"/>
    <cellStyle name="Komma 4 2 2 4 4 4" xfId="52054" xr:uid="{BB1F783F-C1E6-4B3E-AB0E-E305BFE15165}"/>
    <cellStyle name="Komma 4 2 2 4 4 5" xfId="55070" xr:uid="{0633DFD7-9FFA-4E95-84EF-66B564DECB11}"/>
    <cellStyle name="Komma 4 2 2 4 4 6" xfId="19241" xr:uid="{3CDF3342-FDA3-4F45-B452-A56119F1E384}"/>
    <cellStyle name="Komma 4 2 2 4 5" xfId="15664" xr:uid="{64A8B6CC-54CA-4A22-9229-04225D633510}"/>
    <cellStyle name="Komma 4 2 2 4 5 2" xfId="23193" xr:uid="{7ECCC9AF-04E1-4C19-9C81-7326FEEA1CA0}"/>
    <cellStyle name="Komma 4 2 2 4 5 3" xfId="48368" xr:uid="{BB9F93E5-4E25-43BA-BAA0-A3E7374E6097}"/>
    <cellStyle name="Komma 4 2 2 4 5 4" xfId="52531" xr:uid="{0BEDDADF-278A-4888-B5A3-D09A45D2BE0F}"/>
    <cellStyle name="Komma 4 2 2 4 5 5" xfId="55547" xr:uid="{7C787140-5B93-4F05-91CB-B15044D8A4B5}"/>
    <cellStyle name="Komma 4 2 2 4 5 6" xfId="19386" xr:uid="{5181D14C-4C05-46C6-B3D0-BAEB83F9FC47}"/>
    <cellStyle name="Komma 4 2 2 4 6" xfId="12652" xr:uid="{330982EF-0C98-4435-8C89-3807D0FEAAB0}"/>
    <cellStyle name="Komma 4 2 2 4 6 2" xfId="46336" xr:uid="{188F8C10-5E46-44CE-AC18-0635FA29CD50}"/>
    <cellStyle name="Komma 4 2 2 4 6 3" xfId="51100" xr:uid="{D158E6CF-A08B-4BB2-AA80-4AD46FB61009}"/>
    <cellStyle name="Komma 4 2 2 4 6 4" xfId="54116" xr:uid="{42A847E4-1DA5-4D63-BFFE-316298F9F311}"/>
    <cellStyle name="Komma 4 2 2 4 6 5" xfId="21956" xr:uid="{2BF07CA0-7360-4CDF-91CA-B0C33B824FD7}"/>
    <cellStyle name="Komma 4 2 2 4 7" xfId="48280" xr:uid="{5979F6A7-3B2B-4C3B-8C7A-A9020C38853E}"/>
    <cellStyle name="Komma 4 2 2 4 8" xfId="49994" xr:uid="{C26BAFE7-6AB2-473A-B60C-F2357E10EEEC}"/>
    <cellStyle name="Komma 4 2 2 4 9" xfId="53010" xr:uid="{A6EC0803-B219-4863-9A1B-56C84253FF3F}"/>
    <cellStyle name="Komma 4 2 2 5" xfId="10278" xr:uid="{936DD5E3-1ECA-4530-A07A-5E63FD184187}"/>
    <cellStyle name="Komma 4 2 2 5 2" xfId="14745" xr:uid="{027DAF20-F17F-4CA9-BFFE-D320D4B85BB7}"/>
    <cellStyle name="Komma 4 2 2 5 2 2" xfId="22292" xr:uid="{A2F724DC-367C-4190-9D35-D2E2851A6E95}"/>
    <cellStyle name="Komma 4 2 2 5 2 3" xfId="47180" xr:uid="{DBC6D182-E6AF-4337-AE76-5A8F0D43531B}"/>
    <cellStyle name="Komma 4 2 2 5 2 4" xfId="51630" xr:uid="{20EA3F68-1645-444B-81D9-9024D04C7FAC}"/>
    <cellStyle name="Komma 4 2 2 5 2 5" xfId="54646" xr:uid="{BD786E8E-BA3F-4C6E-90AA-6D53B7CF80C6}"/>
    <cellStyle name="Komma 4 2 2 5 2 6" xfId="19113" xr:uid="{E7647E77-52A0-40AE-9447-D214233CE454}"/>
    <cellStyle name="Komma 4 2 2 5 3" xfId="15230" xr:uid="{C1D0CA42-7EA4-419A-A781-6C12B652D812}"/>
    <cellStyle name="Komma 4 2 2 5 3 2" xfId="22769" xr:uid="{71C1961E-6E98-4513-ACC5-828F6CC62E46}"/>
    <cellStyle name="Komma 4 2 2 5 3 3" xfId="47490" xr:uid="{99365B6A-7E0B-4F6D-B1C0-DA2496CF3EAD}"/>
    <cellStyle name="Komma 4 2 2 5 3 4" xfId="52107" xr:uid="{084E8156-CDA1-4553-8C99-F379C5BA1E8F}"/>
    <cellStyle name="Komma 4 2 2 5 3 5" xfId="55123" xr:uid="{B77C7749-E4FB-4C82-851E-9DAFF0680C0B}"/>
    <cellStyle name="Komma 4 2 2 5 3 6" xfId="19256" xr:uid="{ECEB0D2B-FAFA-4D47-9CB3-44600B44B81D}"/>
    <cellStyle name="Komma 4 2 2 5 4" xfId="15717" xr:uid="{F1EA1B39-2AE5-4D03-BD61-346F812549CF}"/>
    <cellStyle name="Komma 4 2 2 5 4 2" xfId="23246" xr:uid="{757C18DC-50BC-4D42-ABCE-1CE0CDC06D17}"/>
    <cellStyle name="Komma 4 2 2 5 4 3" xfId="47792" xr:uid="{1F7A25CC-4772-4B23-BE94-46F959FB1D5C}"/>
    <cellStyle name="Komma 4 2 2 5 4 4" xfId="52584" xr:uid="{50216C1F-3E44-428B-9FD5-F35583318F1E}"/>
    <cellStyle name="Komma 4 2 2 5 4 5" xfId="55600" xr:uid="{1C6A0318-CF53-432C-B581-FDFD328C9C15}"/>
    <cellStyle name="Komma 4 2 2 5 4 6" xfId="19401" xr:uid="{F1F3410C-CA5C-4D91-B627-3129CA8A85AC}"/>
    <cellStyle name="Komma 4 2 2 5 5" xfId="12731" xr:uid="{5D384ED0-E093-4481-8B6D-0F8BBB2FB180}"/>
    <cellStyle name="Komma 4 2 2 5 5 2" xfId="46668" xr:uid="{3B61D1A0-CB33-413B-B2D9-4F39ABB1051D}"/>
    <cellStyle name="Komma 4 2 2 5 5 3" xfId="51153" xr:uid="{9BFB6D00-B42E-4875-843D-479896686E6E}"/>
    <cellStyle name="Komma 4 2 2 5 5 4" xfId="54169" xr:uid="{3399EE2F-2844-4832-8A77-38A08D8777AF}"/>
    <cellStyle name="Komma 4 2 2 5 5 5" xfId="21971" xr:uid="{6E526598-6168-4D21-81BA-12E2088727D2}"/>
    <cellStyle name="Komma 4 2 2 5 6" xfId="46082" xr:uid="{EA3741A2-8221-431D-8D29-03A2BC995E9B}"/>
    <cellStyle name="Komma 4 2 2 5 7" xfId="50047" xr:uid="{4B372D3F-C31A-4D8B-B5E0-6E3659F2E1E1}"/>
    <cellStyle name="Komma 4 2 2 5 8" xfId="53063" xr:uid="{0065398B-4D8B-4B96-9822-C98B74301231}"/>
    <cellStyle name="Komma 4 2 2 5 9" xfId="18870" xr:uid="{5C9E358E-CC3A-430E-994F-8C0E72024FCF}"/>
    <cellStyle name="Komma 4 2 2 6" xfId="10592" xr:uid="{14221603-AB71-421B-AEFC-845C9AAFD93F}"/>
    <cellStyle name="Komma 4 2 2 6 2" xfId="14957" xr:uid="{463267CF-6B1F-41B2-8AEE-CAF7E651FF54}"/>
    <cellStyle name="Komma 4 2 2 6 2 2" xfId="22504" xr:uid="{AD3DCA0D-FBCA-430A-9FFE-2C93CD663C1E}"/>
    <cellStyle name="Komma 4 2 2 6 2 3" xfId="47934" xr:uid="{3FBD9BC5-5B2B-4B3B-ACCC-B638B5571A04}"/>
    <cellStyle name="Komma 4 2 2 6 2 4" xfId="51842" xr:uid="{16171123-2421-480A-9101-DBFCABB163B4}"/>
    <cellStyle name="Komma 4 2 2 6 2 5" xfId="54858" xr:uid="{DAB1707A-5752-44BC-AF41-E165BECFA2E5}"/>
    <cellStyle name="Komma 4 2 2 6 2 6" xfId="19173" xr:uid="{A7D4C9A5-135D-4155-98A5-3368A3C8F2CB}"/>
    <cellStyle name="Komma 4 2 2 6 3" xfId="15442" xr:uid="{A649DAA8-0F2D-49AB-A944-4D7BD8CE32CF}"/>
    <cellStyle name="Komma 4 2 2 6 3 2" xfId="22981" xr:uid="{A073EA67-5699-40AE-A063-AD1F71BE53FF}"/>
    <cellStyle name="Komma 4 2 2 6 3 3" xfId="46922" xr:uid="{C860DDC0-6B8F-4A55-B404-DC5DE8A7AB2B}"/>
    <cellStyle name="Komma 4 2 2 6 3 4" xfId="52319" xr:uid="{2E62B359-82D7-461F-BEFD-ABF20FE86179}"/>
    <cellStyle name="Komma 4 2 2 6 3 5" xfId="55335" xr:uid="{2E0F4CC3-B42E-4239-964A-6C591690018E}"/>
    <cellStyle name="Komma 4 2 2 6 3 6" xfId="19316" xr:uid="{A2FDD912-28D3-43D6-8F4E-B45CD36B0585}"/>
    <cellStyle name="Komma 4 2 2 6 4" xfId="15930" xr:uid="{2A0B606C-47C6-41D9-A33A-C28E82A01568}"/>
    <cellStyle name="Komma 4 2 2 6 4 2" xfId="23458" xr:uid="{0A7FCE64-14C5-4399-A6B9-21CB5938EBBE}"/>
    <cellStyle name="Komma 4 2 2 6 4 3" xfId="47260" xr:uid="{F5A0EE49-30A2-47B1-ADE7-EAF176176667}"/>
    <cellStyle name="Komma 4 2 2 6 4 4" xfId="52796" xr:uid="{B2F8F6B1-D830-41F6-BF2A-CE97AD0A3FAF}"/>
    <cellStyle name="Komma 4 2 2 6 4 5" xfId="55812" xr:uid="{BF1FAEF9-D75F-4409-8EF1-1CD4DF0B992C}"/>
    <cellStyle name="Komma 4 2 2 6 4 6" xfId="19462" xr:uid="{7579B31F-4151-456D-B261-668CFFE2691D}"/>
    <cellStyle name="Komma 4 2 2 6 5" xfId="13045" xr:uid="{F32889A1-79C2-4AE4-A87F-10DF180C7DC3}"/>
    <cellStyle name="Komma 4 2 2 6 5 2" xfId="48292" xr:uid="{97D65E3E-0693-43AD-A9EE-CE4FB729AF85}"/>
    <cellStyle name="Komma 4 2 2 6 5 3" xfId="51365" xr:uid="{0E31FE1B-88A8-4FDF-BFBB-252143A28C4A}"/>
    <cellStyle name="Komma 4 2 2 6 5 4" xfId="54381" xr:uid="{F6BBC0C2-F7F1-4F74-AC5C-CE6C4B3A26E7}"/>
    <cellStyle name="Komma 4 2 2 6 5 5" xfId="22031" xr:uid="{7F6B63BA-C79E-455D-9CE5-770AE83BEE1C}"/>
    <cellStyle name="Komma 4 2 2 6 6" xfId="46633" xr:uid="{FD102F6E-F29B-45B3-A691-08777DBFB1B2}"/>
    <cellStyle name="Komma 4 2 2 6 7" xfId="50259" xr:uid="{0343B750-3553-4F9B-A980-8A6E93A20141}"/>
    <cellStyle name="Komma 4 2 2 6 8" xfId="53275" xr:uid="{9D04EA68-0ED5-44CC-AB5B-4B6A9E386762}"/>
    <cellStyle name="Komma 4 2 2 6 9" xfId="19032" xr:uid="{9E6EFC73-F77E-4753-A1A5-4DA6446CBF5B}"/>
    <cellStyle name="Komma 4 2 2 7" xfId="14533" xr:uid="{FBD4E3EF-1190-4A02-9E22-55111C0F73B2}"/>
    <cellStyle name="Komma 4 2 2 7 2" xfId="22080" xr:uid="{AF1391EC-9EF9-47A3-8EB5-07ABB9F2A7D1}"/>
    <cellStyle name="Komma 4 2 2 7 3" xfId="46393" xr:uid="{7F533F6A-A173-4AC0-92DE-C2574A4843FE}"/>
    <cellStyle name="Komma 4 2 2 7 4" xfId="51418" xr:uid="{0817DFD2-4E07-4663-84AF-FB99CE03D9E5}"/>
    <cellStyle name="Komma 4 2 2 7 5" xfId="54434" xr:uid="{492E66A1-35C4-4A15-B544-A98BABBD8E22}"/>
    <cellStyle name="Komma 4 2 2 7 6" xfId="19053" xr:uid="{626549C8-F443-4D8D-9416-E6E854E67375}"/>
    <cellStyle name="Komma 4 2 2 8" xfId="15017" xr:uid="{5A056DF6-4E8C-436C-B83B-EBEC0CCA92B9}"/>
    <cellStyle name="Komma 4 2 2 8 2" xfId="22557" xr:uid="{4CCD5C4B-8CCB-4C90-BA1D-0DAF1ED8E41C}"/>
    <cellStyle name="Komma 4 2 2 8 3" xfId="48123" xr:uid="{CBFB98B7-2E2E-49BC-ABDF-4BB7D24331BB}"/>
    <cellStyle name="Komma 4 2 2 8 4" xfId="51895" xr:uid="{1AD08121-BA3E-4ED0-AB72-B7E32FC505D0}"/>
    <cellStyle name="Komma 4 2 2 8 5" xfId="54911" xr:uid="{57C2056A-334E-4764-8E67-16B078BEEB02}"/>
    <cellStyle name="Komma 4 2 2 8 6" xfId="19195" xr:uid="{0CCDAC0B-4359-4581-8F09-46A1BADBCC2E}"/>
    <cellStyle name="Komma 4 2 2 9" xfId="15504" xr:uid="{D284B5CC-CDDB-480B-AD12-3C59D6007C49}"/>
    <cellStyle name="Komma 4 2 2 9 2" xfId="23034" xr:uid="{BD28C102-CBE6-4748-803A-795223B63A99}"/>
    <cellStyle name="Komma 4 2 2 9 3" xfId="48364" xr:uid="{770569E9-E3EB-4A4F-AB39-98E06CC662BF}"/>
    <cellStyle name="Komma 4 2 2 9 4" xfId="52372" xr:uid="{02F81C7F-489B-4FA6-87BA-E775469B045E}"/>
    <cellStyle name="Komma 4 2 2 9 5" xfId="55388" xr:uid="{7DA8FEF1-39E6-4408-BFDF-30E209C44B9E}"/>
    <cellStyle name="Komma 4 2 2 9 6" xfId="19340" xr:uid="{427CA8F0-47FE-4076-BC4C-5CC70329A324}"/>
    <cellStyle name="Komma 4 2 3" xfId="10044" xr:uid="{94AC0871-DB2B-4992-B82D-52D7D22A4734}"/>
    <cellStyle name="Komma 4 2 3 10" xfId="49652" xr:uid="{1D0E8A14-A159-4B44-ACA9-589B6BC6409E}"/>
    <cellStyle name="Komma 4 2 3 11" xfId="49887" xr:uid="{A671FBA2-4D2E-4783-B6BC-C65103F24D79}"/>
    <cellStyle name="Komma 4 2 3 12" xfId="52903" xr:uid="{A4A446C4-64A0-4C87-A1DC-A2837D5F5E7F}"/>
    <cellStyle name="Komma 4 2 3 13" xfId="18757" xr:uid="{2B5E2520-B8B0-4B24-8396-2423AB81F9F3}"/>
    <cellStyle name="Komma 4 2 3 2" xfId="10352" xr:uid="{D6EAED5F-008F-4734-AD2A-B4B19B380C85}"/>
    <cellStyle name="Komma 4 2 3 2 10" xfId="50099" xr:uid="{BA194E35-D6AE-4A4B-9589-C776643F71EF}"/>
    <cellStyle name="Komma 4 2 3 2 11" xfId="53115" xr:uid="{D5316ECC-B4A9-4383-B1A4-FA012010C5EA}"/>
    <cellStyle name="Komma 4 2 3 2 12" xfId="18906" xr:uid="{CD3599C3-94E8-4312-919F-317F74D6481C}"/>
    <cellStyle name="Komma 4 2 3 2 2" xfId="14797" xr:uid="{EC8C7118-70C3-4F53-A956-AC5120767C9A}"/>
    <cellStyle name="Komma 4 2 3 2 2 2" xfId="22344" xr:uid="{CD19815F-CA30-4EB9-BFEA-0B6B3D1D5623}"/>
    <cellStyle name="Komma 4 2 3 2 2 3" xfId="48118" xr:uid="{CE626273-A7CB-49DC-B701-7C4B71FABF1B}"/>
    <cellStyle name="Komma 4 2 3 2 2 4" xfId="51682" xr:uid="{1744F30B-3C6A-4331-83DC-3E9DBE4AFB3F}"/>
    <cellStyle name="Komma 4 2 3 2 2 5" xfId="54698" xr:uid="{B49874E1-D969-4011-98F6-0DB8AAF0EA1C}"/>
    <cellStyle name="Komma 4 2 3 2 2 6" xfId="19127" xr:uid="{03668F7E-D67A-4F99-8ADD-D556F8B7108E}"/>
    <cellStyle name="Komma 4 2 3 2 3" xfId="15282" xr:uid="{BFA15ECE-88C7-4444-970D-60134C26A58C}"/>
    <cellStyle name="Komma 4 2 3 2 3 2" xfId="22821" xr:uid="{9935DD2B-2F1E-4AEC-B566-8E64AD918DE4}"/>
    <cellStyle name="Komma 4 2 3 2 3 3" xfId="47721" xr:uid="{0B5F133C-408F-4CBE-A368-C351A94E53DA}"/>
    <cellStyle name="Komma 4 2 3 2 3 4" xfId="52159" xr:uid="{FFD24BAA-A576-4E7C-A480-EAC565B31314}"/>
    <cellStyle name="Komma 4 2 3 2 3 5" xfId="55175" xr:uid="{1F351F2C-F276-428E-BDBF-C2D8DCB75787}"/>
    <cellStyle name="Komma 4 2 3 2 3 6" xfId="19270" xr:uid="{24A18476-5CD6-417D-9DE2-3DAA02EA1720}"/>
    <cellStyle name="Komma 4 2 3 2 4" xfId="15769" xr:uid="{BFF51AFF-D611-47D7-ADEC-6B3CB5E1C952}"/>
    <cellStyle name="Komma 4 2 3 2 4 2" xfId="23298" xr:uid="{71802185-E60F-4A6F-93C7-E51575C3D765}"/>
    <cellStyle name="Komma 4 2 3 2 4 3" xfId="24894" xr:uid="{65E7EFBB-B13B-4A1D-AD39-6213D697A982}"/>
    <cellStyle name="Komma 4 2 3 2 4 4" xfId="52636" xr:uid="{49C63361-0F42-4DFE-A373-5925095663C5}"/>
    <cellStyle name="Komma 4 2 3 2 4 5" xfId="55652" xr:uid="{2319EBC9-C5F0-4130-8735-1F8DEC8B781E}"/>
    <cellStyle name="Komma 4 2 3 2 4 6" xfId="19415" xr:uid="{225BE565-CBCF-48F7-9B06-691F04EDEE41}"/>
    <cellStyle name="Komma 4 2 3 2 5" xfId="12805" xr:uid="{FACCF953-9D64-406D-B913-F77755AD169D}"/>
    <cellStyle name="Komma 4 2 3 2 5 2" xfId="47230" xr:uid="{2EE26725-065A-4565-B77F-01DA397B3ED0}"/>
    <cellStyle name="Komma 4 2 3 2 5 3" xfId="51205" xr:uid="{4C0E1D10-553C-49D7-8D1E-A106BF63038F}"/>
    <cellStyle name="Komma 4 2 3 2 5 4" xfId="54221" xr:uid="{E78BFB4D-CF91-4520-91E6-838E4009DB82}"/>
    <cellStyle name="Komma 4 2 3 2 5 5" xfId="21985" xr:uid="{A72CE8C8-3D77-44E6-8954-001A739715D5}"/>
    <cellStyle name="Komma 4 2 3 2 6" xfId="23898" xr:uid="{BC4FB9E8-455D-408B-AEDE-573F4F6A806A}"/>
    <cellStyle name="Komma 4 2 3 2 7" xfId="33107" xr:uid="{BE1751ED-C920-4EA7-8375-2ECE41CA1D96}"/>
    <cellStyle name="Komma 4 2 3 2 8" xfId="48747" xr:uid="{E87D3ADF-AAA5-4B92-ABAF-BB3DBE4142AA}"/>
    <cellStyle name="Komma 4 2 3 2 9" xfId="49653" xr:uid="{B6CEC696-760C-4EC0-9B07-AB49330CAB8A}"/>
    <cellStyle name="Komma 4 2 3 3" xfId="14585" xr:uid="{A8687689-8DBD-4972-983C-BDF378A32609}"/>
    <cellStyle name="Komma 4 2 3 3 2" xfId="22132" xr:uid="{DF62CC88-6B98-466E-9542-E9D75286A025}"/>
    <cellStyle name="Komma 4 2 3 3 3" xfId="46404" xr:uid="{FB7593AC-BF36-4C14-8ABB-C24DD7613845}"/>
    <cellStyle name="Komma 4 2 3 3 4" xfId="51470" xr:uid="{35C076AD-E09E-4F12-B152-16A146A4EE13}"/>
    <cellStyle name="Komma 4 2 3 3 5" xfId="54486" xr:uid="{4EF89035-56E6-4A9C-9F6D-FC429E61A606}"/>
    <cellStyle name="Komma 4 2 3 3 6" xfId="19067" xr:uid="{98ED3E45-4821-4CD2-A9DA-9B1BB03C1084}"/>
    <cellStyle name="Komma 4 2 3 4" xfId="15069" xr:uid="{B9EF6291-1DB8-43D8-BCC8-EF7616AE458B}"/>
    <cellStyle name="Komma 4 2 3 4 2" xfId="22609" xr:uid="{5E5CAA23-EDB0-4415-A718-0F368992EBF2}"/>
    <cellStyle name="Komma 4 2 3 4 3" xfId="46473" xr:uid="{203E811B-DE6D-4AD5-AC18-554FDD3E22FB}"/>
    <cellStyle name="Komma 4 2 3 4 4" xfId="51947" xr:uid="{5E299E5A-476D-4B69-A7F8-8089923E48D7}"/>
    <cellStyle name="Komma 4 2 3 4 5" xfId="54963" xr:uid="{6EF1AA97-D038-4D16-B96F-D59859ACEBC3}"/>
    <cellStyle name="Komma 4 2 3 4 6" xfId="19209" xr:uid="{4C566D07-48E0-42C5-87ED-7ACDD96D5EF6}"/>
    <cellStyle name="Komma 4 2 3 5" xfId="15556" xr:uid="{60EF5C1D-18AA-4C2D-A19D-4DA79DF9A327}"/>
    <cellStyle name="Komma 4 2 3 5 2" xfId="23086" xr:uid="{CC06059F-9748-403E-A241-78776D594F1F}"/>
    <cellStyle name="Komma 4 2 3 5 3" xfId="24900" xr:uid="{3D7B01DF-FC89-47AF-AA6B-FB6E6D210F3E}"/>
    <cellStyle name="Komma 4 2 3 5 4" xfId="52424" xr:uid="{B7136C02-4DD8-4B82-AF19-FFAED8BBFE76}"/>
    <cellStyle name="Komma 4 2 3 5 5" xfId="55440" xr:uid="{1BE0D621-D498-45CF-9196-AEC5F37F5C2C}"/>
    <cellStyle name="Komma 4 2 3 5 6" xfId="19354" xr:uid="{DF2048C3-AA76-4A83-A8D4-34C787811EDC}"/>
    <cellStyle name="Komma 4 2 3 6" xfId="12504" xr:uid="{1A4F888F-46C2-4DA9-8110-CAE514878C38}"/>
    <cellStyle name="Komma 4 2 3 6 2" xfId="46315" xr:uid="{52C73B90-BE06-47F7-ACC6-B882226FA1A0}"/>
    <cellStyle name="Komma 4 2 3 6 3" xfId="50993" xr:uid="{CA7146D2-5C7B-4BF0-A77E-C98D55C08704}"/>
    <cellStyle name="Komma 4 2 3 6 4" xfId="54009" xr:uid="{2CF40730-37B1-4333-802C-821ADF3B04D8}"/>
    <cellStyle name="Komma 4 2 3 6 5" xfId="21924" xr:uid="{A45F5BCA-25F1-402A-AAA9-17C9EB286F24}"/>
    <cellStyle name="Komma 4 2 3 7" xfId="23897" xr:uid="{6FD81EBA-C217-4101-91DB-853187B10E99}"/>
    <cellStyle name="Komma 4 2 3 8" xfId="46612" xr:uid="{A6EC1397-5F58-4217-9362-54D892A33D25}"/>
    <cellStyle name="Komma 4 2 3 9" xfId="48746" xr:uid="{7F81301F-DE87-4784-90F7-55C2C5142CFF}"/>
    <cellStyle name="Komma 4 2 4" xfId="10118" xr:uid="{F0CBAB73-286C-49E6-A236-0B16189B663D}"/>
    <cellStyle name="Komma 4 2 4 10" xfId="49654" xr:uid="{BC8916ED-D104-43BF-A842-74EF4DE50FF5}"/>
    <cellStyle name="Komma 4 2 4 11" xfId="49940" xr:uid="{76A0059E-3BCE-4AEB-83D1-5327F0B0A1B0}"/>
    <cellStyle name="Komma 4 2 4 12" xfId="52956" xr:uid="{927AB4AE-16ED-4457-9D46-A06DBA953C8D}"/>
    <cellStyle name="Komma 4 2 4 13" xfId="18790" xr:uid="{C66402BF-C86E-44C4-A4BA-414D7D1941EF}"/>
    <cellStyle name="Komma 4 2 4 2" xfId="10431" xr:uid="{77ED9F5A-ECF9-4AD6-9BFB-B79A73BE001F}"/>
    <cellStyle name="Komma 4 2 4 2 10" xfId="50152" xr:uid="{7088A3C4-F3C6-44EE-9C86-7329F22BD432}"/>
    <cellStyle name="Komma 4 2 4 2 11" xfId="53168" xr:uid="{E0167E7F-A6BB-4858-BFCF-18BEEC1609C3}"/>
    <cellStyle name="Komma 4 2 4 2 12" xfId="18947" xr:uid="{1897EBDF-695C-4C46-9099-7476A84D7060}"/>
    <cellStyle name="Komma 4 2 4 2 2" xfId="14850" xr:uid="{048D4994-A345-4F76-B859-FD04A454B871}"/>
    <cellStyle name="Komma 4 2 4 2 2 2" xfId="22397" xr:uid="{537F0A51-DAA5-438B-9FD3-A4D3A30EBABA}"/>
    <cellStyle name="Komma 4 2 4 2 2 3" xfId="46869" xr:uid="{42960CD7-D530-4CB1-81B0-F22997ED09D6}"/>
    <cellStyle name="Komma 4 2 4 2 2 4" xfId="51735" xr:uid="{387DAB37-8602-4F2C-9406-617DFF8426D0}"/>
    <cellStyle name="Komma 4 2 4 2 2 5" xfId="54751" xr:uid="{D8B74F1C-F31A-4EA6-A73A-A73E95EE165A}"/>
    <cellStyle name="Komma 4 2 4 2 2 6" xfId="19142" xr:uid="{D2EF4453-2075-464B-A006-CEA66EA5EC22}"/>
    <cellStyle name="Komma 4 2 4 2 3" xfId="15335" xr:uid="{6258F26B-87D1-469D-B34E-4829148CF41F}"/>
    <cellStyle name="Komma 4 2 4 2 3 2" xfId="22874" xr:uid="{21ADCEA9-BBE1-4187-AAAF-DD4F69B45474}"/>
    <cellStyle name="Komma 4 2 4 2 3 3" xfId="46912" xr:uid="{59974CF7-9BB4-495C-90F8-4B44E016EAA0}"/>
    <cellStyle name="Komma 4 2 4 2 3 4" xfId="52212" xr:uid="{440E1D2F-E454-4A20-9DC9-5C27AE9588A8}"/>
    <cellStyle name="Komma 4 2 4 2 3 5" xfId="55228" xr:uid="{14879705-FCCB-443C-BC7F-081216C9ED05}"/>
    <cellStyle name="Komma 4 2 4 2 3 6" xfId="19285" xr:uid="{542FE232-27CF-47D5-B0F1-50C61D6FC4D3}"/>
    <cellStyle name="Komma 4 2 4 2 4" xfId="15822" xr:uid="{71AB4860-D0AC-418D-A9F2-A2255AE0BDE8}"/>
    <cellStyle name="Komma 4 2 4 2 4 2" xfId="23351" xr:uid="{316B28A1-E9A1-4B1A-A9BB-BE1BCBBB48EE}"/>
    <cellStyle name="Komma 4 2 4 2 4 3" xfId="48523" xr:uid="{373B88D2-89CD-4B83-92CE-2B567DD68DD0}"/>
    <cellStyle name="Komma 4 2 4 2 4 4" xfId="52689" xr:uid="{DD292F30-2F90-4B29-AD78-9BB88A3FF2E2}"/>
    <cellStyle name="Komma 4 2 4 2 4 5" xfId="55705" xr:uid="{9765331A-E7E5-4617-9CA3-CFC0E5636881}"/>
    <cellStyle name="Komma 4 2 4 2 4 6" xfId="19430" xr:uid="{07BB9549-B9A2-4D86-81B4-5489839742CB}"/>
    <cellStyle name="Komma 4 2 4 2 5" xfId="12884" xr:uid="{51FBF195-8F43-4251-9E95-961C45D563A7}"/>
    <cellStyle name="Komma 4 2 4 2 5 2" xfId="34153" xr:uid="{D85C579C-48BB-418E-8E44-38B3966E599F}"/>
    <cellStyle name="Komma 4 2 4 2 5 3" xfId="51258" xr:uid="{5E17BB8C-4E2B-41E2-9539-F02855E20325}"/>
    <cellStyle name="Komma 4 2 4 2 5 4" xfId="54274" xr:uid="{DF78766A-F371-45A5-B4B4-ED35E0C7DBF6}"/>
    <cellStyle name="Komma 4 2 4 2 5 5" xfId="22000" xr:uid="{A84BCE5F-8480-4B4D-B812-61FEEDCE85CA}"/>
    <cellStyle name="Komma 4 2 4 2 6" xfId="23900" xr:uid="{2979E7B6-A36D-4BCF-A11C-8840EC55B943}"/>
    <cellStyle name="Komma 4 2 4 2 7" xfId="46121" xr:uid="{D93F4550-A4C4-4BAB-9F94-43FC0814C0F8}"/>
    <cellStyle name="Komma 4 2 4 2 8" xfId="48749" xr:uid="{BBABA814-E8CB-4A15-9D1F-03F2BE254930}"/>
    <cellStyle name="Komma 4 2 4 2 9" xfId="49655" xr:uid="{6E1D9CD9-3006-46A1-BF1B-4732468DCA3A}"/>
    <cellStyle name="Komma 4 2 4 3" xfId="14638" xr:uid="{371DA584-4B55-481B-A3F5-5E68BFC3AD37}"/>
    <cellStyle name="Komma 4 2 4 3 2" xfId="22185" xr:uid="{A55547EC-6893-4EC1-A6D7-3B87BA3F40A3}"/>
    <cellStyle name="Komma 4 2 4 3 3" xfId="47743" xr:uid="{FB3A288F-8858-4F41-909D-1CC4529D683E}"/>
    <cellStyle name="Komma 4 2 4 3 4" xfId="51523" xr:uid="{E00748DF-EF77-4754-A458-33F953EB407A}"/>
    <cellStyle name="Komma 4 2 4 3 5" xfId="54539" xr:uid="{D34E01A9-7142-4027-88D9-9A433F5E4689}"/>
    <cellStyle name="Komma 4 2 4 3 6" xfId="19082" xr:uid="{98CF06B3-B1F6-4F11-A1D5-ACD70C7DC70A}"/>
    <cellStyle name="Komma 4 2 4 4" xfId="15123" xr:uid="{662A190F-1F16-48F5-8938-2A4954B46F79}"/>
    <cellStyle name="Komma 4 2 4 4 2" xfId="22662" xr:uid="{682EC7AA-9C18-4399-97F9-44A973F1EC0C}"/>
    <cellStyle name="Komma 4 2 4 4 3" xfId="47056" xr:uid="{9CC43B04-E22D-434B-8277-62ECDA14A2B8}"/>
    <cellStyle name="Komma 4 2 4 4 4" xfId="52000" xr:uid="{F2916EED-DC06-46EB-BEF5-C848048AB2C3}"/>
    <cellStyle name="Komma 4 2 4 4 5" xfId="55016" xr:uid="{29EBA63B-3CC1-4497-BB3A-9244BEDE9A80}"/>
    <cellStyle name="Komma 4 2 4 4 6" xfId="19225" xr:uid="{75E98CFD-2399-4F94-AFB0-E20BC05AD368}"/>
    <cellStyle name="Komma 4 2 4 5" xfId="15610" xr:uid="{33A0DDAB-6BD7-42E0-AF02-5D011E77686E}"/>
    <cellStyle name="Komma 4 2 4 5 2" xfId="23139" xr:uid="{61FB38DF-C8DB-497F-82B4-841A1D3B1C2A}"/>
    <cellStyle name="Komma 4 2 4 5 3" xfId="47499" xr:uid="{8E1BA9A3-853A-4510-8266-F8AD519D5712}"/>
    <cellStyle name="Komma 4 2 4 5 4" xfId="52477" xr:uid="{A4F163C4-5BE7-455A-AAEE-7BC3762F668C}"/>
    <cellStyle name="Komma 4 2 4 5 5" xfId="55493" xr:uid="{B8A6C5DC-71C4-46AE-82C3-1CA4AC142791}"/>
    <cellStyle name="Komma 4 2 4 5 6" xfId="19370" xr:uid="{B4634B9E-8001-4343-B445-71A01037C080}"/>
    <cellStyle name="Komma 4 2 4 6" xfId="12575" xr:uid="{321C7BAF-548E-4E83-A466-63F3056986FB}"/>
    <cellStyle name="Komma 4 2 4 6 2" xfId="46664" xr:uid="{438EFB42-04BD-47DB-A6CD-40C12883138C}"/>
    <cellStyle name="Komma 4 2 4 6 3" xfId="51046" xr:uid="{B72FA7BE-048F-43BF-882F-C882BD7CA016}"/>
    <cellStyle name="Komma 4 2 4 6 4" xfId="54062" xr:uid="{AC3047D1-FAAB-45A4-AA98-52BABF06FE9B}"/>
    <cellStyle name="Komma 4 2 4 6 5" xfId="21940" xr:uid="{D15D37DE-8067-498A-BAB3-4804F9546C81}"/>
    <cellStyle name="Komma 4 2 4 7" xfId="23899" xr:uid="{76B62F09-C909-4A0B-9C9B-7187F7832A74}"/>
    <cellStyle name="Komma 4 2 4 8" xfId="47031" xr:uid="{8639DE01-FBF5-44E0-B4E4-644E43734BB0}"/>
    <cellStyle name="Komma 4 2 4 9" xfId="48748" xr:uid="{EF61C33E-AE1D-47E5-A64B-2F56A071612D}"/>
    <cellStyle name="Komma 4 2 5" xfId="10197" xr:uid="{0E03B00C-B14D-4F8E-998D-609A82745E54}"/>
    <cellStyle name="Komma 4 2 5 10" xfId="49656" xr:uid="{A5FDE707-8F10-4F24-8251-E104016E3426}"/>
    <cellStyle name="Komma 4 2 5 11" xfId="49993" xr:uid="{D66BC82C-4ADC-4AFA-BA7D-A2A7D58F072C}"/>
    <cellStyle name="Komma 4 2 5 12" xfId="53009" xr:uid="{0105BFEB-413F-4649-84FE-73C33AF9B38E}"/>
    <cellStyle name="Komma 4 2 5 13" xfId="18828" xr:uid="{2E296A59-DB35-437E-8A3A-67289501B705}"/>
    <cellStyle name="Komma 4 2 5 2" xfId="10511" xr:uid="{4CA71952-2039-4CF4-BC88-2EB350238D04}"/>
    <cellStyle name="Komma 4 2 5 2 2" xfId="14903" xr:uid="{2696A226-ADB3-46EC-A883-6C697408B935}"/>
    <cellStyle name="Komma 4 2 5 2 2 2" xfId="22450" xr:uid="{E476A229-2DE8-48E2-B56D-53FE1C1818D7}"/>
    <cellStyle name="Komma 4 2 5 2 2 3" xfId="46454" xr:uid="{3045F9A6-662A-49F4-B130-36C3B86376B5}"/>
    <cellStyle name="Komma 4 2 5 2 2 4" xfId="51788" xr:uid="{0139D3DE-B88B-45BD-A51F-E270ACB959D6}"/>
    <cellStyle name="Komma 4 2 5 2 2 5" xfId="54804" xr:uid="{58273586-3B60-4D2D-AD53-10675F6E493C}"/>
    <cellStyle name="Komma 4 2 5 2 2 6" xfId="19157" xr:uid="{1F43122B-5642-47BD-8322-173E40A1B97F}"/>
    <cellStyle name="Komma 4 2 5 2 3" xfId="15388" xr:uid="{4E3B8F2E-7A05-4116-8775-2CCB4D7C5C67}"/>
    <cellStyle name="Komma 4 2 5 2 3 2" xfId="22927" xr:uid="{F6D3C7A8-EEBC-4AB0-9D2B-5B0FD6C5A6F6}"/>
    <cellStyle name="Komma 4 2 5 2 3 3" xfId="47547" xr:uid="{7E52565B-ABAF-4A36-9F20-BE73F55683F2}"/>
    <cellStyle name="Komma 4 2 5 2 3 4" xfId="52265" xr:uid="{58EDC9B2-BBE8-4482-8249-CA58E00EBFF6}"/>
    <cellStyle name="Komma 4 2 5 2 3 5" xfId="55281" xr:uid="{9E2EA00F-594B-477C-8467-9543CBD5FE07}"/>
    <cellStyle name="Komma 4 2 5 2 3 6" xfId="19300" xr:uid="{B82A44FA-0262-4D76-ABD3-78992D165997}"/>
    <cellStyle name="Komma 4 2 5 2 4" xfId="15875" xr:uid="{88C018B2-B256-4E97-976A-814FB6E6771F}"/>
    <cellStyle name="Komma 4 2 5 2 4 2" xfId="23404" xr:uid="{3EAABEE1-0D7A-404E-91DB-683F3E9594F4}"/>
    <cellStyle name="Komma 4 2 5 2 4 3" xfId="46704" xr:uid="{A4B699ED-EDBC-44B5-8810-C06E0186F783}"/>
    <cellStyle name="Komma 4 2 5 2 4 4" xfId="52742" xr:uid="{B1E3EDE7-5ED8-4F65-B1FC-D8430210A872}"/>
    <cellStyle name="Komma 4 2 5 2 4 5" xfId="55758" xr:uid="{142E24FE-C681-4DF7-9C30-AF66F1183074}"/>
    <cellStyle name="Komma 4 2 5 2 4 6" xfId="19445" xr:uid="{D28ECFD1-8765-4DB1-B150-D564D72E9D02}"/>
    <cellStyle name="Komma 4 2 5 2 5" xfId="12964" xr:uid="{6D1DF2FC-80CB-4241-A6EA-A75632DA62E4}"/>
    <cellStyle name="Komma 4 2 5 2 5 2" xfId="24323" xr:uid="{2B70EDF7-D30E-40EB-B39A-3AC1DD00A3E4}"/>
    <cellStyle name="Komma 4 2 5 2 5 3" xfId="51311" xr:uid="{DA7EF3CE-B08C-4BD3-B77F-0D71B29BB0A7}"/>
    <cellStyle name="Komma 4 2 5 2 5 4" xfId="54327" xr:uid="{B0D24454-2637-4910-B6EC-4FB33C8CE404}"/>
    <cellStyle name="Komma 4 2 5 2 5 5" xfId="22015" xr:uid="{C0FA1C33-DF36-4D65-BE56-97DA78783310}"/>
    <cellStyle name="Komma 4 2 5 2 6" xfId="47204" xr:uid="{AE76C77F-ED59-4AD5-A8C5-AAC1DFA65A76}"/>
    <cellStyle name="Komma 4 2 5 2 7" xfId="50205" xr:uid="{EAEF3F62-F0DB-47F6-B35B-19DC45A4F42F}"/>
    <cellStyle name="Komma 4 2 5 2 8" xfId="53221" xr:uid="{7B30D0C4-7C94-4A6C-B5D2-BD8E9B0283CB}"/>
    <cellStyle name="Komma 4 2 5 2 9" xfId="18989" xr:uid="{FAC68C61-9162-48DE-84F0-505FEA430841}"/>
    <cellStyle name="Komma 4 2 5 3" xfId="14691" xr:uid="{FE3665BB-529B-4FBB-925A-22E03C15B3F0}"/>
    <cellStyle name="Komma 4 2 5 3 2" xfId="22238" xr:uid="{A9D039AE-3408-481F-A735-3C8B6EBCE475}"/>
    <cellStyle name="Komma 4 2 5 3 3" xfId="24964" xr:uid="{C08C5667-31FE-4665-88DA-E4EA9CCFB13C}"/>
    <cellStyle name="Komma 4 2 5 3 4" xfId="51576" xr:uid="{0A894318-22EC-4A8C-B862-3F11B8D258C9}"/>
    <cellStyle name="Komma 4 2 5 3 5" xfId="54592" xr:uid="{1A7ECE98-561F-4E25-9C81-2ADE765EDF99}"/>
    <cellStyle name="Komma 4 2 5 3 6" xfId="19097" xr:uid="{910F42BE-4AB4-4E7B-B2E9-31A3E4D9F46B}"/>
    <cellStyle name="Komma 4 2 5 4" xfId="15176" xr:uid="{E307CD23-1BAE-4C28-9281-1F859499FD71}"/>
    <cellStyle name="Komma 4 2 5 4 2" xfId="22715" xr:uid="{9A13F651-D79E-41D8-B44F-62F5FE486BE0}"/>
    <cellStyle name="Komma 4 2 5 4 3" xfId="48510" xr:uid="{15E299D7-0459-441C-8AFB-1E18FC1DFFE8}"/>
    <cellStyle name="Komma 4 2 5 4 4" xfId="52053" xr:uid="{87627076-CF1D-411F-9698-463F66CBEB9C}"/>
    <cellStyle name="Komma 4 2 5 4 5" xfId="55069" xr:uid="{35B057AD-0B14-4DFA-B395-5CB9A62FF53B}"/>
    <cellStyle name="Komma 4 2 5 4 6" xfId="19240" xr:uid="{3ADA24A8-3831-4FCA-B569-1A468CD34E38}"/>
    <cellStyle name="Komma 4 2 5 5" xfId="15663" xr:uid="{DAFC22F7-F08B-4278-A4DA-C4D4255E57E3}"/>
    <cellStyle name="Komma 4 2 5 5 2" xfId="23192" xr:uid="{4A724E45-DC08-4D62-9093-5F690F2FF647}"/>
    <cellStyle name="Komma 4 2 5 5 3" xfId="46950" xr:uid="{DF59E833-8CEB-4F24-80B6-2BE0C21F02AB}"/>
    <cellStyle name="Komma 4 2 5 5 4" xfId="52530" xr:uid="{1CE09930-97FD-498A-9C88-EB5FAF279A45}"/>
    <cellStyle name="Komma 4 2 5 5 5" xfId="55546" xr:uid="{795A9363-3C93-4EF3-8BF2-A5E1281FD846}"/>
    <cellStyle name="Komma 4 2 5 5 6" xfId="19385" xr:uid="{1F61E222-1A76-4AB4-9D93-DCC3076C1048}"/>
    <cellStyle name="Komma 4 2 5 6" xfId="12651" xr:uid="{E9107907-D8DA-424A-97DF-835FE9C5CCE2}"/>
    <cellStyle name="Komma 4 2 5 6 2" xfId="47616" xr:uid="{271662B1-ABA5-4AE9-8B2B-D126AA2EE60E}"/>
    <cellStyle name="Komma 4 2 5 6 3" xfId="51099" xr:uid="{9398058E-6F8A-4484-A1EE-2C6F905E3E64}"/>
    <cellStyle name="Komma 4 2 5 6 4" xfId="54115" xr:uid="{72CE8F54-AD5C-4DCC-959A-5C72CFDEB748}"/>
    <cellStyle name="Komma 4 2 5 6 5" xfId="21955" xr:uid="{FE26342D-CCCA-472D-BFCB-41AD5B850B7B}"/>
    <cellStyle name="Komma 4 2 5 7" xfId="23901" xr:uid="{0EC4FFB8-32D5-4369-9B58-3AB284B914E0}"/>
    <cellStyle name="Komma 4 2 5 8" xfId="48256" xr:uid="{37520CD5-6C15-4CD5-BB82-A1A36FC939F4}"/>
    <cellStyle name="Komma 4 2 5 9" xfId="48750" xr:uid="{8EE8CA23-AA98-47BC-83F9-62D89F01F618}"/>
    <cellStyle name="Komma 4 2 6" xfId="10277" xr:uid="{A332FCEA-54DD-4677-BBC0-1CC4647E72F1}"/>
    <cellStyle name="Komma 4 2 6 10" xfId="50046" xr:uid="{24E0259E-25D9-4545-AAEB-3E0CDF913750}"/>
    <cellStyle name="Komma 4 2 6 11" xfId="53062" xr:uid="{7652A476-69E3-40EE-B61F-96587F2E2338}"/>
    <cellStyle name="Komma 4 2 6 12" xfId="18869" xr:uid="{9F6B6524-F089-4889-AD5A-FFD8D38A237B}"/>
    <cellStyle name="Komma 4 2 6 2" xfId="14744" xr:uid="{DD043904-31AE-42A3-9435-E9073A74C751}"/>
    <cellStyle name="Komma 4 2 6 2 2" xfId="22291" xr:uid="{A079C73F-8A13-4F9B-A465-9C0AF34AFE5B}"/>
    <cellStyle name="Komma 4 2 6 2 3" xfId="46857" xr:uid="{33E693EC-3281-42A1-8714-ED5938F4DF10}"/>
    <cellStyle name="Komma 4 2 6 2 4" xfId="51629" xr:uid="{4650F5CC-B3DC-4A6B-BFC0-35CDA1B3E7EB}"/>
    <cellStyle name="Komma 4 2 6 2 5" xfId="54645" xr:uid="{5B622826-BAD1-4A17-8EC7-9DF6861D8F3C}"/>
    <cellStyle name="Komma 4 2 6 2 6" xfId="19112" xr:uid="{9FBA31F4-B1A5-40C2-B736-873C6E38676B}"/>
    <cellStyle name="Komma 4 2 6 3" xfId="15229" xr:uid="{F387FACD-1779-4FE4-A126-CBAF986EE306}"/>
    <cellStyle name="Komma 4 2 6 3 2" xfId="22768" xr:uid="{08D3E54D-366C-4D08-A909-087D6549AF03}"/>
    <cellStyle name="Komma 4 2 6 3 3" xfId="46895" xr:uid="{F7B239F7-28E7-415E-A4A3-99B2C7E858BE}"/>
    <cellStyle name="Komma 4 2 6 3 4" xfId="52106" xr:uid="{4AD4E2A9-073C-41C3-93E5-4AAD22B5DB74}"/>
    <cellStyle name="Komma 4 2 6 3 5" xfId="55122" xr:uid="{DE26F453-0C0F-4FC7-9529-662AB01DCA3C}"/>
    <cellStyle name="Komma 4 2 6 3 6" xfId="19255" xr:uid="{2D185CE0-CE19-4DC4-946E-C53D1C547FAA}"/>
    <cellStyle name="Komma 4 2 6 4" xfId="15716" xr:uid="{BA51AA1B-B506-40B1-9F55-B375ADE8C45F}"/>
    <cellStyle name="Komma 4 2 6 4 2" xfId="23245" xr:uid="{40B01239-83D5-4242-9320-2B42BACE41CA}"/>
    <cellStyle name="Komma 4 2 6 4 3" xfId="46956" xr:uid="{90191756-A9D6-40E4-9BDC-C098EBB188F1}"/>
    <cellStyle name="Komma 4 2 6 4 4" xfId="52583" xr:uid="{97017D2F-B47C-4D95-BD40-344767B0C640}"/>
    <cellStyle name="Komma 4 2 6 4 5" xfId="55599" xr:uid="{52F03889-8DAA-4206-B255-CD5C8848040A}"/>
    <cellStyle name="Komma 4 2 6 4 6" xfId="19400" xr:uid="{7926ADF6-8A76-49B8-8513-F120C1FD7CD7}"/>
    <cellStyle name="Komma 4 2 6 5" xfId="12730" xr:uid="{3C8C7218-323B-4929-ACFD-37760DD1D745}"/>
    <cellStyle name="Komma 4 2 6 5 2" xfId="47214" xr:uid="{02A3070D-259A-4816-8560-C9C29B75D8BC}"/>
    <cellStyle name="Komma 4 2 6 5 3" xfId="51152" xr:uid="{37148724-03EE-4EDB-84D4-EF309471D029}"/>
    <cellStyle name="Komma 4 2 6 5 4" xfId="54168" xr:uid="{8F886D91-D4D0-4D89-AFC7-4C370AD855DE}"/>
    <cellStyle name="Komma 4 2 6 5 5" xfId="21970" xr:uid="{78C1A7BE-F489-4FB1-B904-43FF706D9E31}"/>
    <cellStyle name="Komma 4 2 6 6" xfId="23902" xr:uid="{4A6E6ADF-7F6E-4DCD-9D76-16EA02E2C190}"/>
    <cellStyle name="Komma 4 2 6 7" xfId="48155" xr:uid="{3F1D64D6-B5C1-4B29-AC72-5E6EEC3AC4ED}"/>
    <cellStyle name="Komma 4 2 6 8" xfId="48751" xr:uid="{471488AC-36E7-4E08-9913-7A2016CC3A0D}"/>
    <cellStyle name="Komma 4 2 6 9" xfId="49657" xr:uid="{629AA7CE-DA45-4BDA-9F5C-207F53FE76FC}"/>
    <cellStyle name="Komma 4 2 7" xfId="10591" xr:uid="{5832A0B2-0A7E-41BE-A584-834DA86BB800}"/>
    <cellStyle name="Komma 4 2 7 10" xfId="50258" xr:uid="{B7D63B2F-3DD5-40DE-8AD4-DA1D9D2364DE}"/>
    <cellStyle name="Komma 4 2 7 11" xfId="53274" xr:uid="{C63C4D91-81E9-4E9E-AFF7-3325197DCEEF}"/>
    <cellStyle name="Komma 4 2 7 12" xfId="19031" xr:uid="{A78A4464-1888-47FF-8297-08976C1E2B86}"/>
    <cellStyle name="Komma 4 2 7 2" xfId="14956" xr:uid="{E1DB450B-495E-477D-A459-AB053F3A10A1}"/>
    <cellStyle name="Komma 4 2 7 2 2" xfId="22503" xr:uid="{5921C897-B22E-49FC-A751-8BFE544D8C80}"/>
    <cellStyle name="Komma 4 2 7 2 3" xfId="48356" xr:uid="{A4D1DE18-C04F-4800-9379-DD1D8411CB33}"/>
    <cellStyle name="Komma 4 2 7 2 4" xfId="51841" xr:uid="{F847CBA6-455B-47F1-B47C-C3B192F2124C}"/>
    <cellStyle name="Komma 4 2 7 2 5" xfId="54857" xr:uid="{5E1777B2-BD90-4F28-8197-43AF2EBEDD98}"/>
    <cellStyle name="Komma 4 2 7 2 6" xfId="19172" xr:uid="{D1966E45-77F7-4CB7-A83A-7A2557DF1650}"/>
    <cellStyle name="Komma 4 2 7 3" xfId="15441" xr:uid="{E89DC604-EA17-4B90-9F18-05708E8D68C5}"/>
    <cellStyle name="Komma 4 2 7 3 2" xfId="22980" xr:uid="{36E72E8D-8893-4A25-8DFF-09781EEB75F1}"/>
    <cellStyle name="Komma 4 2 7 3 3" xfId="47698" xr:uid="{29FD0569-D624-463B-8AFB-51FFB791CC99}"/>
    <cellStyle name="Komma 4 2 7 3 4" xfId="52318" xr:uid="{8D898DC2-D586-472D-913B-640007513A39}"/>
    <cellStyle name="Komma 4 2 7 3 5" xfId="55334" xr:uid="{360F20AC-3C3A-4536-B197-96D0287569C4}"/>
    <cellStyle name="Komma 4 2 7 3 6" xfId="19315" xr:uid="{E62869E1-9CF5-4830-89A9-5B6E83127D15}"/>
    <cellStyle name="Komma 4 2 7 4" xfId="15929" xr:uid="{1743D700-6FBC-4AEF-BD67-AE2A997586D6}"/>
    <cellStyle name="Komma 4 2 7 4 2" xfId="23457" xr:uid="{B24396B0-273B-4FD9-93EF-F95E6B27A57A}"/>
    <cellStyle name="Komma 4 2 7 4 3" xfId="24891" xr:uid="{536D0F6B-086B-4CCC-9317-67AD3111C9C0}"/>
    <cellStyle name="Komma 4 2 7 4 4" xfId="52795" xr:uid="{9D81B4C2-BD12-408B-AFF4-A72A5C75070A}"/>
    <cellStyle name="Komma 4 2 7 4 5" xfId="55811" xr:uid="{17410358-54D3-411D-AD97-9713AA4713FB}"/>
    <cellStyle name="Komma 4 2 7 4 6" xfId="19461" xr:uid="{D604F7C7-8EBF-4428-8A9A-A01F9DA5285B}"/>
    <cellStyle name="Komma 4 2 7 5" xfId="13044" xr:uid="{E9E6D5FB-9DD8-46B8-84B6-2468B06CE744}"/>
    <cellStyle name="Komma 4 2 7 5 2" xfId="47036" xr:uid="{C07D3B86-6041-4205-B5E2-55AF24C82721}"/>
    <cellStyle name="Komma 4 2 7 5 3" xfId="51364" xr:uid="{84A156B9-E0E6-4480-A2AA-F70EE82CE5DF}"/>
    <cellStyle name="Komma 4 2 7 5 4" xfId="54380" xr:uid="{6FEBE261-6E13-4FFB-AA75-BA1613B70C14}"/>
    <cellStyle name="Komma 4 2 7 5 5" xfId="22030" xr:uid="{8AEA28FB-9C5E-49CF-B949-32C4C708E072}"/>
    <cellStyle name="Komma 4 2 7 6" xfId="23903" xr:uid="{6CB327A4-92CA-4C9E-978E-B5A86D5E1BE0}"/>
    <cellStyle name="Komma 4 2 7 7" xfId="24540" xr:uid="{E2C50669-1A16-4371-8E55-26D545305A79}"/>
    <cellStyle name="Komma 4 2 7 8" xfId="48752" xr:uid="{21DB9EDD-CD82-4F11-9D84-8AC30FD9E3D5}"/>
    <cellStyle name="Komma 4 2 7 9" xfId="49658" xr:uid="{78F5D524-3E49-4E6D-B01A-CB299D0DFFF0}"/>
    <cellStyle name="Komma 4 2 8" xfId="14532" xr:uid="{FC14DEC7-7B2B-4953-ABAF-D655CFF30709}"/>
    <cellStyle name="Komma 4 2 8 2" xfId="22079" xr:uid="{FD1C6624-3546-4730-B361-12EAB47D2CF6}"/>
    <cellStyle name="Komma 4 2 8 2 2" xfId="38082" xr:uid="{37C5B538-F103-4185-96AD-B7529AC3C6C3}"/>
    <cellStyle name="Komma 4 2 8 3" xfId="43384" xr:uid="{D962BFFF-84E5-4897-B43F-B344F7A41A26}"/>
    <cellStyle name="Komma 4 2 8 4" xfId="32731" xr:uid="{BEEC9D3D-BB51-4B96-8BE4-FA2481C88618}"/>
    <cellStyle name="Komma 4 2 8 5" xfId="48499" xr:uid="{8B4E4C42-0840-4AD8-8BBC-640E98278E77}"/>
    <cellStyle name="Komma 4 2 8 6" xfId="51417" xr:uid="{FD25B56D-6B1E-4BE9-93DE-42AF8AF3BCF0}"/>
    <cellStyle name="Komma 4 2 8 7" xfId="54433" xr:uid="{E3C6F1D9-5600-4236-8AED-48EFB6348893}"/>
    <cellStyle name="Komma 4 2 8 8" xfId="19052" xr:uid="{F97BAE07-A8D0-47D2-85C4-D54A6B762E40}"/>
    <cellStyle name="Komma 4 2 9" xfId="15016" xr:uid="{F9E3278D-3F2F-443C-8A2E-7B16C4CE5B25}"/>
    <cellStyle name="Komma 4 2 9 2" xfId="22556" xr:uid="{50345BD3-4E25-4882-B7BD-72E1C9908CA8}"/>
    <cellStyle name="Komma 4 2 9 3" xfId="35617" xr:uid="{643F9745-605F-4F2A-8F55-AE161B111A16}"/>
    <cellStyle name="Komma 4 2 9 4" xfId="24921" xr:uid="{C64B09D2-AC5B-4BE1-91EE-0CCA39189B4A}"/>
    <cellStyle name="Komma 4 2 9 5" xfId="51894" xr:uid="{DC6EDE37-2239-44B3-8419-E93C4806C81F}"/>
    <cellStyle name="Komma 4 2 9 6" xfId="54910" xr:uid="{C0C0227A-00DA-45A2-AB10-4861CE8F2601}"/>
    <cellStyle name="Komma 4 2 9 7" xfId="19194" xr:uid="{0AE6790A-8127-484E-8376-B34474B8693C}"/>
    <cellStyle name="Komma 4 20" xfId="18057" xr:uid="{4BF998D2-8954-4638-B514-569301F01B39}"/>
    <cellStyle name="Komma 4 3" xfId="9104" xr:uid="{45F38CA5-E114-4933-AA39-CA6174507747}"/>
    <cellStyle name="Komma 4 3 10" xfId="11500" xr:uid="{7D32E9E5-E212-4763-BA11-4F53CB8B3E36}"/>
    <cellStyle name="Komma 4 3 10 2" xfId="47009" xr:uid="{8C894F10-BF74-44BB-B00D-40DDC120B15E}"/>
    <cellStyle name="Komma 4 3 10 3" xfId="50723" xr:uid="{C4384213-E9C4-42D4-B416-0003FAD10C1C}"/>
    <cellStyle name="Komma 4 3 10 4" xfId="53739" xr:uid="{D734BFDA-8E12-4C97-A930-399FB8E4A267}"/>
    <cellStyle name="Komma 4 3 10 5" xfId="21700" xr:uid="{F25B64C6-2F39-487F-A37F-D812615FF087}"/>
    <cellStyle name="Komma 4 3 11" xfId="23904" xr:uid="{5791CCC1-26FF-4338-B359-97BE2566C8BF}"/>
    <cellStyle name="Komma 4 3 12" xfId="47380" xr:uid="{9FC3E401-81CD-4CC6-B14D-D24E1966CB84}"/>
    <cellStyle name="Komma 4 3 13" xfId="48753" xr:uid="{BF44749E-6F83-486F-ABA8-CA48F54A53D4}"/>
    <cellStyle name="Komma 4 3 14" xfId="49659" xr:uid="{367E9D45-6A69-4C1F-A427-5C777A192884}"/>
    <cellStyle name="Komma 4 3 15" xfId="49836" xr:uid="{D07DF8C0-0643-415A-A561-B850F76F9BB8}"/>
    <cellStyle name="Komma 4 3 16" xfId="52851" xr:uid="{197712DD-59A5-4547-938F-57501D2A734B}"/>
    <cellStyle name="Komma 4 3 17" xfId="18140" xr:uid="{0C4F3DCD-B468-47FF-B9CD-381F670F6E4C}"/>
    <cellStyle name="Komma 4 3 2" xfId="10046" xr:uid="{30921DB6-1982-40E2-92A3-CC1186D570D6}"/>
    <cellStyle name="Komma 4 3 2 10" xfId="49660" xr:uid="{BAAB8446-78AC-4423-BC76-B062588DAF6B}"/>
    <cellStyle name="Komma 4 3 2 11" xfId="49889" xr:uid="{0994B97D-88AE-466D-8581-F83680C8DDEB}"/>
    <cellStyle name="Komma 4 3 2 12" xfId="52905" xr:uid="{3A73F912-A44A-4203-A357-F8D0DB40924F}"/>
    <cellStyle name="Komma 4 3 2 13" xfId="18759" xr:uid="{7EEA4EE3-D51B-4D1A-A631-6C18B22F1F6E}"/>
    <cellStyle name="Komma 4 3 2 2" xfId="10354" xr:uid="{AC8C635F-3674-48DC-A84D-569D286D0CF3}"/>
    <cellStyle name="Komma 4 3 2 2 10" xfId="50101" xr:uid="{0EB5DF9C-864F-4799-A824-37FBEFE698E1}"/>
    <cellStyle name="Komma 4 3 2 2 11" xfId="53117" xr:uid="{1F2255CC-318D-402B-BDBF-D29C6C8082C2}"/>
    <cellStyle name="Komma 4 3 2 2 12" xfId="18908" xr:uid="{CDA40B31-72E9-4D0C-8F87-8A1E6D6134A4}"/>
    <cellStyle name="Komma 4 3 2 2 2" xfId="14799" xr:uid="{B5AAAEBA-205E-4617-B4A0-96C64764E2DA}"/>
    <cellStyle name="Komma 4 3 2 2 2 2" xfId="22346" xr:uid="{46D853DC-EDFC-410B-9B0C-93944DB8182D}"/>
    <cellStyle name="Komma 4 3 2 2 2 3" xfId="47181" xr:uid="{4FE45C77-58C6-473D-91F0-8DF9450C20EE}"/>
    <cellStyle name="Komma 4 3 2 2 2 4" xfId="51684" xr:uid="{F8D6E9EB-3694-4132-80D7-BBCEA63AEDF1}"/>
    <cellStyle name="Komma 4 3 2 2 2 5" xfId="54700" xr:uid="{3AA3BA60-6E09-4C6A-8CD5-EC1F3C3B21F5}"/>
    <cellStyle name="Komma 4 3 2 2 2 6" xfId="19129" xr:uid="{78E76A0C-13B8-4DF4-9D42-3F718B2286A7}"/>
    <cellStyle name="Komma 4 3 2 2 3" xfId="15284" xr:uid="{89E55525-7288-443B-ACB8-B1FC7400A08E}"/>
    <cellStyle name="Komma 4 3 2 2 3 2" xfId="22823" xr:uid="{17E59625-AA91-4CE3-B6F8-E5A0BE95B642}"/>
    <cellStyle name="Komma 4 3 2 2 3 3" xfId="46902" xr:uid="{5E43DA0F-1B2A-48CC-B6F9-A8AA9FCABE03}"/>
    <cellStyle name="Komma 4 3 2 2 3 4" xfId="52161" xr:uid="{9F9BE8AF-A5E2-405C-9A50-B79889AE1967}"/>
    <cellStyle name="Komma 4 3 2 2 3 5" xfId="55177" xr:uid="{CE678731-43A0-405B-8125-23E12463D309}"/>
    <cellStyle name="Komma 4 3 2 2 3 6" xfId="19272" xr:uid="{4859B1F1-027E-4069-9438-4ECFD703CCBA}"/>
    <cellStyle name="Komma 4 3 2 2 4" xfId="15771" xr:uid="{4E00206C-C6A9-4B5E-B5C8-562DDCE7DB83}"/>
    <cellStyle name="Komma 4 3 2 2 4 2" xfId="23300" xr:uid="{99387810-FF6F-4875-B77A-54C64EF73A33}"/>
    <cellStyle name="Komma 4 3 2 2 4 3" xfId="46962" xr:uid="{995A809A-47C2-48EF-974B-7E30885F31BF}"/>
    <cellStyle name="Komma 4 3 2 2 4 4" xfId="52638" xr:uid="{499B2727-7D8E-47D5-991A-77C3DB3A6FB5}"/>
    <cellStyle name="Komma 4 3 2 2 4 5" xfId="55654" xr:uid="{57513828-1884-4281-9DD7-8F1EF6F8A77B}"/>
    <cellStyle name="Komma 4 3 2 2 4 6" xfId="19417" xr:uid="{25D3A06C-B3A2-4E85-AC79-A4421D8222DD}"/>
    <cellStyle name="Komma 4 3 2 2 5" xfId="12807" xr:uid="{C8AFDB05-73E5-4310-BE65-22EEABE2CD0B}"/>
    <cellStyle name="Komma 4 3 2 2 5 2" xfId="24691" xr:uid="{46BAC93A-5EDE-4E75-82FC-0BD41BE61479}"/>
    <cellStyle name="Komma 4 3 2 2 5 3" xfId="51207" xr:uid="{E898CB81-54E4-4527-8991-7D3D1F550980}"/>
    <cellStyle name="Komma 4 3 2 2 5 4" xfId="54223" xr:uid="{03CB2EFF-1F20-478E-B516-44B872F58FDC}"/>
    <cellStyle name="Komma 4 3 2 2 5 5" xfId="21987" xr:uid="{BE602383-12FB-418C-85FC-83BDC333C39B}"/>
    <cellStyle name="Komma 4 3 2 2 6" xfId="23906" xr:uid="{03BC613D-69BB-4A5B-B744-F43AD9BFF346}"/>
    <cellStyle name="Komma 4 3 2 2 7" xfId="47285" xr:uid="{84046B4B-B331-4B2B-B841-E9C74DA37792}"/>
    <cellStyle name="Komma 4 3 2 2 8" xfId="48755" xr:uid="{4A25C58A-645F-480A-809F-13F6AFF6D157}"/>
    <cellStyle name="Komma 4 3 2 2 9" xfId="49661" xr:uid="{74710270-B457-47C2-9F8A-0197B895D1C9}"/>
    <cellStyle name="Komma 4 3 2 3" xfId="14587" xr:uid="{AAB6D7D3-556B-4D7D-8DEC-9FB9AC5E3128}"/>
    <cellStyle name="Komma 4 3 2 3 2" xfId="22134" xr:uid="{D0AD60B4-7F44-4516-8853-35FB44090D2D}"/>
    <cellStyle name="Komma 4 3 2 3 3" xfId="48404" xr:uid="{267CDB12-D6C7-4E97-81A1-97665B5AE736}"/>
    <cellStyle name="Komma 4 3 2 3 4" xfId="51472" xr:uid="{3DF05FFE-F970-4605-A5C8-0F2353B7BEA9}"/>
    <cellStyle name="Komma 4 3 2 3 5" xfId="54488" xr:uid="{7EA369DD-AF61-4882-8BAD-057E5D43C67D}"/>
    <cellStyle name="Komma 4 3 2 3 6" xfId="19069" xr:uid="{D56F007E-8EAA-4C7A-A62F-DAEB931F1E68}"/>
    <cellStyle name="Komma 4 3 2 4" xfId="15071" xr:uid="{E124A3FE-7845-44F8-8577-B1DA59BF7980}"/>
    <cellStyle name="Komma 4 3 2 4 2" xfId="22611" xr:uid="{2C620DDC-0804-4DD4-9186-99D1F91EABF7}"/>
    <cellStyle name="Komma 4 3 2 4 3" xfId="48562" xr:uid="{913AB286-7A67-4752-A805-AF302939C243}"/>
    <cellStyle name="Komma 4 3 2 4 4" xfId="51949" xr:uid="{0AA6460E-45A4-49B0-B3C3-35DA2E19AC85}"/>
    <cellStyle name="Komma 4 3 2 4 5" xfId="54965" xr:uid="{78C23476-042C-4728-BE43-C0A9489AEC7F}"/>
    <cellStyle name="Komma 4 3 2 4 6" xfId="19211" xr:uid="{F4599760-80BF-42D7-8218-5741B862A177}"/>
    <cellStyle name="Komma 4 3 2 5" xfId="15558" xr:uid="{03226AB7-C23A-488A-BED2-D04AB2A0EF87}"/>
    <cellStyle name="Komma 4 3 2 5 2" xfId="23088" xr:uid="{3A1A5CDF-3AFB-4F4D-A2F8-0294F6D59DE8}"/>
    <cellStyle name="Komma 4 3 2 5 3" xfId="46935" xr:uid="{37DC4E01-5FA8-45C0-9DE7-8C0057F75F90}"/>
    <cellStyle name="Komma 4 3 2 5 4" xfId="52426" xr:uid="{CDF254D8-9DAD-4ECF-B021-E17A37C80A47}"/>
    <cellStyle name="Komma 4 3 2 5 5" xfId="55442" xr:uid="{AFBD0216-8B08-48FC-AA6F-1B0B08D5F314}"/>
    <cellStyle name="Komma 4 3 2 5 6" xfId="19356" xr:uid="{27E70F3E-A456-466F-9998-AD38BB15EA8C}"/>
    <cellStyle name="Komma 4 3 2 6" xfId="12506" xr:uid="{00D87EA5-CA0C-40B3-A775-B7FE4A461174}"/>
    <cellStyle name="Komma 4 3 2 6 2" xfId="32430" xr:uid="{F5D8C3A4-BE77-4F78-B60B-7D18CC21D956}"/>
    <cellStyle name="Komma 4 3 2 6 3" xfId="50995" xr:uid="{AAA07EB3-93D2-4F98-9042-EE315B09F05B}"/>
    <cellStyle name="Komma 4 3 2 6 4" xfId="54011" xr:uid="{D5A1AA3A-F348-47D0-A3CA-1DC998D73E74}"/>
    <cellStyle name="Komma 4 3 2 6 5" xfId="21926" xr:uid="{74AD859C-3D7A-4DF5-BAA4-CF3D3068DC67}"/>
    <cellStyle name="Komma 4 3 2 7" xfId="23905" xr:uid="{488E1703-90F3-4C6F-992E-0C1342D4B204}"/>
    <cellStyle name="Komma 4 3 2 8" xfId="46615" xr:uid="{8D9F79D1-855F-44CC-9447-9D744DEE12F3}"/>
    <cellStyle name="Komma 4 3 2 9" xfId="48754" xr:uid="{11134733-0982-44C5-B67F-FA029995A19C}"/>
    <cellStyle name="Komma 4 3 3" xfId="10120" xr:uid="{EC8DEA9E-9018-4B4F-81EE-C9841B9D6D0A}"/>
    <cellStyle name="Komma 4 3 3 10" xfId="49662" xr:uid="{BFF18DD6-8DC8-49FE-BEA5-1F3E5BC9C937}"/>
    <cellStyle name="Komma 4 3 3 11" xfId="49942" xr:uid="{4C6BABE0-317E-48BB-9062-4BF3D00DAEAB}"/>
    <cellStyle name="Komma 4 3 3 12" xfId="52958" xr:uid="{BA5276F8-E76C-49A0-8FDE-7A7AC11FDB1F}"/>
    <cellStyle name="Komma 4 3 3 13" xfId="18792" xr:uid="{745EA105-E34A-45F2-9762-EEC76F4497E7}"/>
    <cellStyle name="Komma 4 3 3 2" xfId="10433" xr:uid="{767CA34D-3698-4ABA-9FE8-BB052ED014D7}"/>
    <cellStyle name="Komma 4 3 3 2 10" xfId="50154" xr:uid="{BD8FAD49-EFA1-4321-9B83-AD5664056D90}"/>
    <cellStyle name="Komma 4 3 3 2 11" xfId="53170" xr:uid="{285633BF-6297-4430-A624-96E422A3DA36}"/>
    <cellStyle name="Komma 4 3 3 2 12" xfId="18949" xr:uid="{A967EF1B-A573-47FC-BF31-31794F61D98D}"/>
    <cellStyle name="Komma 4 3 3 2 2" xfId="14852" xr:uid="{F2BA651A-29CE-4BB6-B99D-82C921A8D86C}"/>
    <cellStyle name="Komma 4 3 3 2 2 2" xfId="22399" xr:uid="{184FC7A8-E93E-4902-A802-57930478EFB4}"/>
    <cellStyle name="Komma 4 3 3 2 2 3" xfId="47932" xr:uid="{DAC6EF20-8840-4482-838A-E087B93C154D}"/>
    <cellStyle name="Komma 4 3 3 2 2 4" xfId="51737" xr:uid="{BA9E00ED-92E9-435E-8FFD-FC7EA5F2B793}"/>
    <cellStyle name="Komma 4 3 3 2 2 5" xfId="54753" xr:uid="{5A724FBE-89E5-424B-9A51-E6C34C6858F9}"/>
    <cellStyle name="Komma 4 3 3 2 2 6" xfId="19144" xr:uid="{0BAF1E73-24DE-4E50-9413-D021C6180D71}"/>
    <cellStyle name="Komma 4 3 3 2 3" xfId="15337" xr:uid="{52A44BFC-532E-43FB-B925-3DA2946E1955}"/>
    <cellStyle name="Komma 4 3 3 2 3 2" xfId="22876" xr:uid="{D5662DF6-9582-46D4-9602-8EA73A72F7A7}"/>
    <cellStyle name="Komma 4 3 3 2 3 3" xfId="47940" xr:uid="{DFA8D57E-CF57-463F-BE30-93D54E0E0311}"/>
    <cellStyle name="Komma 4 3 3 2 3 4" xfId="52214" xr:uid="{E70AD4D0-58E0-4DF1-81C9-B42B2A3B13F8}"/>
    <cellStyle name="Komma 4 3 3 2 3 5" xfId="55230" xr:uid="{0AE3455C-50DE-4C0D-AA2D-01FA613EDFD8}"/>
    <cellStyle name="Komma 4 3 3 2 3 6" xfId="19287" xr:uid="{62CA6F68-3F37-451E-A96B-493FC7FFE7F7}"/>
    <cellStyle name="Komma 4 3 3 2 4" xfId="15824" xr:uid="{0835C5AA-0997-4A1A-B534-6F0EDDD1C093}"/>
    <cellStyle name="Komma 4 3 3 2 4 2" xfId="23353" xr:uid="{8F8837AE-0AA4-43B9-85E8-62F3F074DFC8}"/>
    <cellStyle name="Komma 4 3 3 2 4 3" xfId="48311" xr:uid="{195BD049-C596-4BBC-8B0E-B8DD1BF7E2B9}"/>
    <cellStyle name="Komma 4 3 3 2 4 4" xfId="52691" xr:uid="{5349AAED-A766-4D14-92D2-E103B5FBB308}"/>
    <cellStyle name="Komma 4 3 3 2 4 5" xfId="55707" xr:uid="{C58AEEF1-3BE4-4DB2-BC12-AF8DA83EF2A9}"/>
    <cellStyle name="Komma 4 3 3 2 4 6" xfId="19432" xr:uid="{C595A021-A3A6-465F-926B-9D6FA27C8F21}"/>
    <cellStyle name="Komma 4 3 3 2 5" xfId="12886" xr:uid="{B904B640-216F-4921-AB13-EA7D801EF7F2}"/>
    <cellStyle name="Komma 4 3 3 2 5 2" xfId="46805" xr:uid="{B66F10CD-D863-44FA-A7DE-6437612BBF4A}"/>
    <cellStyle name="Komma 4 3 3 2 5 3" xfId="51260" xr:uid="{8B7BE68D-6CDD-4C18-8130-F0BE733EB42A}"/>
    <cellStyle name="Komma 4 3 3 2 5 4" xfId="54276" xr:uid="{5F204EDE-09EE-41F2-A238-6C765E3BAFDE}"/>
    <cellStyle name="Komma 4 3 3 2 5 5" xfId="22002" xr:uid="{9E82607A-03D7-4184-A2F9-0C2EEE3062A9}"/>
    <cellStyle name="Komma 4 3 3 2 6" xfId="23908" xr:uid="{A2950937-A937-4729-8CB4-4AD428817D5B}"/>
    <cellStyle name="Komma 4 3 3 2 7" xfId="25371" xr:uid="{C9289F20-BCDE-4A83-9572-57949AB78246}"/>
    <cellStyle name="Komma 4 3 3 2 8" xfId="48757" xr:uid="{376F5885-E709-4670-B7AD-B1FE04A0260E}"/>
    <cellStyle name="Komma 4 3 3 2 9" xfId="49663" xr:uid="{6E0120D5-EF29-4309-9941-1A9657196A82}"/>
    <cellStyle name="Komma 4 3 3 3" xfId="14640" xr:uid="{F16CB047-2EB0-4E78-8919-E3CEE6606EDE}"/>
    <cellStyle name="Komma 4 3 3 3 2" xfId="22187" xr:uid="{8A9389EB-40E8-4736-BC98-8B0F24D8CE43}"/>
    <cellStyle name="Komma 4 3 3 3 3" xfId="48535" xr:uid="{017A8466-260C-4490-B7BF-F42B66A01343}"/>
    <cellStyle name="Komma 4 3 3 3 4" xfId="51525" xr:uid="{B912A841-743C-4C13-A562-1469F879B6FD}"/>
    <cellStyle name="Komma 4 3 3 3 5" xfId="54541" xr:uid="{20981FF3-F7D0-4AA9-8A40-7182C7F884BF}"/>
    <cellStyle name="Komma 4 3 3 3 6" xfId="19084" xr:uid="{ECCE479E-F693-4821-BCD3-4627BA3102C6}"/>
    <cellStyle name="Komma 4 3 3 4" xfId="15125" xr:uid="{75211547-66C6-4841-ACA2-93075A00C990}"/>
    <cellStyle name="Komma 4 3 3 4 2" xfId="22664" xr:uid="{10773C37-8499-4B9A-AAA1-1134E57F1705}"/>
    <cellStyle name="Komma 4 3 3 4 3" xfId="47489" xr:uid="{3E753596-46EF-42A4-94D2-3C11090FFAB2}"/>
    <cellStyle name="Komma 4 3 3 4 4" xfId="52002" xr:uid="{B10C731E-98D4-4A63-AEC6-43CDD881F61A}"/>
    <cellStyle name="Komma 4 3 3 4 5" xfId="55018" xr:uid="{089DDF7C-3689-419E-9FED-C953E9E60996}"/>
    <cellStyle name="Komma 4 3 3 4 6" xfId="19227" xr:uid="{BC7C1FF4-5B6B-4C87-8C9E-6451568F0B97}"/>
    <cellStyle name="Komma 4 3 3 5" xfId="15612" xr:uid="{BBD5C2A0-39BA-43BF-B6B7-ED806D3BF9D7}"/>
    <cellStyle name="Komma 4 3 3 5 2" xfId="23141" xr:uid="{8D91A543-86F5-492D-9379-69B6DD4CF0D5}"/>
    <cellStyle name="Komma 4 3 3 5 3" xfId="47130" xr:uid="{4167EB44-CF1E-402A-87E1-DD3DE3D5DCAC}"/>
    <cellStyle name="Komma 4 3 3 5 4" xfId="52479" xr:uid="{AC94D1D8-DA60-44F7-97B2-AD736A05EC8B}"/>
    <cellStyle name="Komma 4 3 3 5 5" xfId="55495" xr:uid="{83095687-17D4-4C27-8FFC-8A915DBDEACF}"/>
    <cellStyle name="Komma 4 3 3 5 6" xfId="19372" xr:uid="{4727A35B-AA3C-47AC-9E57-FCA0F2F876E3}"/>
    <cellStyle name="Komma 4 3 3 6" xfId="12577" xr:uid="{CF1FFC5D-A6DE-4229-B64D-5CB095FAC222}"/>
    <cellStyle name="Komma 4 3 3 6 2" xfId="48437" xr:uid="{5E010F44-DCBF-4509-8519-6DAD4E6DE24E}"/>
    <cellStyle name="Komma 4 3 3 6 3" xfId="51048" xr:uid="{267265C4-4969-45E4-A284-82E6DCD49FAA}"/>
    <cellStyle name="Komma 4 3 3 6 4" xfId="54064" xr:uid="{AF778104-BB1C-4EA5-9EBD-33B4086002A4}"/>
    <cellStyle name="Komma 4 3 3 6 5" xfId="21942" xr:uid="{5C8F8934-4D51-4E10-9B4D-A6F6801CE4A0}"/>
    <cellStyle name="Komma 4 3 3 7" xfId="23907" xr:uid="{D9644506-820D-48F5-BFC8-11879C656D13}"/>
    <cellStyle name="Komma 4 3 3 8" xfId="47358" xr:uid="{89EE4CBF-4B18-421E-9A0B-1CCBD67B83B0}"/>
    <cellStyle name="Komma 4 3 3 9" xfId="48756" xr:uid="{09802B0F-2A1E-43A0-8101-2677916A6E96}"/>
    <cellStyle name="Komma 4 3 4" xfId="10199" xr:uid="{FFE25BD8-7B8C-4433-9590-15E03D922053}"/>
    <cellStyle name="Komma 4 3 4 10" xfId="49664" xr:uid="{852BF6D0-9AA1-4C99-8810-1A2341B49EBF}"/>
    <cellStyle name="Komma 4 3 4 11" xfId="49995" xr:uid="{DE43C7E4-E4DC-47DB-849A-416720189E60}"/>
    <cellStyle name="Komma 4 3 4 12" xfId="53011" xr:uid="{97E3393A-5EE6-4D66-88F8-C44E6C0A2FCA}"/>
    <cellStyle name="Komma 4 3 4 13" xfId="18830" xr:uid="{B4ED5068-5B2D-420C-AEB8-ED0F7348C38F}"/>
    <cellStyle name="Komma 4 3 4 2" xfId="10513" xr:uid="{FD45994B-7D7A-45E2-AA1F-6850B3C82B25}"/>
    <cellStyle name="Komma 4 3 4 2 2" xfId="14905" xr:uid="{F929BA9A-E4A3-447D-9D82-E3B1195CFE6D}"/>
    <cellStyle name="Komma 4 3 4 2 2 2" xfId="22452" xr:uid="{5CF39FAC-1BB7-46BE-8DCC-09880AD705B4}"/>
    <cellStyle name="Komma 4 3 4 2 2 3" xfId="47835" xr:uid="{C19C5134-2311-48BB-B56C-2EE1A283F42E}"/>
    <cellStyle name="Komma 4 3 4 2 2 4" xfId="51790" xr:uid="{3A8CDAF6-0F8A-4300-B797-31BB1B0EA36E}"/>
    <cellStyle name="Komma 4 3 4 2 2 5" xfId="54806" xr:uid="{7D0FAFA9-2317-433F-B344-1F9DABA4D602}"/>
    <cellStyle name="Komma 4 3 4 2 2 6" xfId="19159" xr:uid="{D96C498B-D495-42E7-BD9F-012CF274CCFA}"/>
    <cellStyle name="Komma 4 3 4 2 3" xfId="15390" xr:uid="{2D0B3D37-1502-4032-B814-D79EACA77645}"/>
    <cellStyle name="Komma 4 3 4 2 3 2" xfId="22929" xr:uid="{5D6DAA95-812E-4F17-8CD0-7BFDA6A07C04}"/>
    <cellStyle name="Komma 4 3 4 2 3 3" xfId="47785" xr:uid="{2DF2CF90-CFC6-4DF3-A5E9-8BB5EECB0E4D}"/>
    <cellStyle name="Komma 4 3 4 2 3 4" xfId="52267" xr:uid="{96353291-C64D-44EF-932A-0B6196BFDF1F}"/>
    <cellStyle name="Komma 4 3 4 2 3 5" xfId="55283" xr:uid="{47CEDA92-F787-45A5-A8BD-7D6971EBDAA9}"/>
    <cellStyle name="Komma 4 3 4 2 3 6" xfId="19302" xr:uid="{F42BE17F-8D5D-401B-89C8-2121D9C52171}"/>
    <cellStyle name="Komma 4 3 4 2 4" xfId="15877" xr:uid="{110F47AE-1776-4422-9480-5A96B0FF0C3F}"/>
    <cellStyle name="Komma 4 3 4 2 4 2" xfId="23406" xr:uid="{AF192894-C751-41CF-AA5C-F61B309982B5}"/>
    <cellStyle name="Komma 4 3 4 2 4 3" xfId="47272" xr:uid="{8F7DCBFB-CB28-46C5-8B28-1F6C500DD3CB}"/>
    <cellStyle name="Komma 4 3 4 2 4 4" xfId="52744" xr:uid="{2C4ADE73-E485-4AD3-949C-B8A27B0A477F}"/>
    <cellStyle name="Komma 4 3 4 2 4 5" xfId="55760" xr:uid="{700033AD-641B-4720-A6EF-BD1939C5F426}"/>
    <cellStyle name="Komma 4 3 4 2 4 6" xfId="19447" xr:uid="{E4B897D6-4E00-41D4-A4B9-B877D860AAA7}"/>
    <cellStyle name="Komma 4 3 4 2 5" xfId="12966" xr:uid="{F27CC4DC-BA97-4442-9096-5B37889F8873}"/>
    <cellStyle name="Komma 4 3 4 2 5 2" xfId="47024" xr:uid="{6101560B-8093-447E-B29B-BD30FB014B01}"/>
    <cellStyle name="Komma 4 3 4 2 5 3" xfId="51313" xr:uid="{7C805E8F-A7F6-425F-9A25-CFC96DC0726B}"/>
    <cellStyle name="Komma 4 3 4 2 5 4" xfId="54329" xr:uid="{955178CC-6C1B-4E89-BFCC-CD3B087563E0}"/>
    <cellStyle name="Komma 4 3 4 2 5 5" xfId="22017" xr:uid="{35047775-C6FB-4580-A0AF-2CC70BC945A1}"/>
    <cellStyle name="Komma 4 3 4 2 6" xfId="48029" xr:uid="{AC7431A3-F13B-4066-8CA8-76CDC2ED1BA0}"/>
    <cellStyle name="Komma 4 3 4 2 7" xfId="50207" xr:uid="{C68862BE-DB3E-4BA9-B837-C82C15938D37}"/>
    <cellStyle name="Komma 4 3 4 2 8" xfId="53223" xr:uid="{E7A2C9B9-A731-4355-9E3E-50338FC1380A}"/>
    <cellStyle name="Komma 4 3 4 2 9" xfId="18991" xr:uid="{6675602D-C28C-46F6-953B-4397A8BA79FD}"/>
    <cellStyle name="Komma 4 3 4 3" xfId="14693" xr:uid="{1857FEC0-7838-4ACF-A57E-2C6450A0EF88}"/>
    <cellStyle name="Komma 4 3 4 3 2" xfId="22240" xr:uid="{2CA8D4B3-4987-4F66-B6AA-B10BD0230495}"/>
    <cellStyle name="Komma 4 3 4 3 3" xfId="46849" xr:uid="{3E9E52DD-8C14-4B62-938C-EFC9283D9DD4}"/>
    <cellStyle name="Komma 4 3 4 3 4" xfId="51578" xr:uid="{9F48CA27-D654-4F23-BC51-71CF8C06F44A}"/>
    <cellStyle name="Komma 4 3 4 3 5" xfId="54594" xr:uid="{D0D8BDB2-2666-442B-B3DD-6B4AA0FB9186}"/>
    <cellStyle name="Komma 4 3 4 3 6" xfId="19099" xr:uid="{1E7F0E09-710D-44C7-857F-B629B598776A}"/>
    <cellStyle name="Komma 4 3 4 4" xfId="15178" xr:uid="{9A25018C-C247-43A0-B3E5-8E98E73613B7}"/>
    <cellStyle name="Komma 4 3 4 4 2" xfId="22717" xr:uid="{4D70611F-8E7F-4AC4-AD5E-CCD0BA8FB91C}"/>
    <cellStyle name="Komma 4 3 4 4 3" xfId="34005" xr:uid="{72D342EA-4D89-43F5-9905-790C415DF0D1}"/>
    <cellStyle name="Komma 4 3 4 4 4" xfId="52055" xr:uid="{3661E6C1-A382-4B80-82DE-72379F13CD67}"/>
    <cellStyle name="Komma 4 3 4 4 5" xfId="55071" xr:uid="{14EF1C87-82C4-4169-967B-5B3B902E863A}"/>
    <cellStyle name="Komma 4 3 4 4 6" xfId="19242" xr:uid="{97D338B0-D09C-4CD2-AABD-6BA99546C21E}"/>
    <cellStyle name="Komma 4 3 4 5" xfId="15665" xr:uid="{7D8EF635-44A6-4A6C-B138-BE986F31BB3A}"/>
    <cellStyle name="Komma 4 3 4 5 2" xfId="23194" xr:uid="{C538640B-A49D-47A4-97BE-A84ADAFD31AC}"/>
    <cellStyle name="Komma 4 3 4 5 3" xfId="47351" xr:uid="{BD7F30E0-0168-4872-AE91-0A2C1713AFB0}"/>
    <cellStyle name="Komma 4 3 4 5 4" xfId="52532" xr:uid="{D3A4EBFC-F1DE-4196-8E71-5873F54531D2}"/>
    <cellStyle name="Komma 4 3 4 5 5" xfId="55548" xr:uid="{7C04D039-C38E-45E9-AF60-357EF622B694}"/>
    <cellStyle name="Komma 4 3 4 5 6" xfId="19387" xr:uid="{C9169416-E6F5-4E44-BF28-D3CBEC9F3E3D}"/>
    <cellStyle name="Komma 4 3 4 6" xfId="12653" xr:uid="{1A5B3113-331B-4344-88B8-27B2065D45CF}"/>
    <cellStyle name="Komma 4 3 4 6 2" xfId="46337" xr:uid="{C393A987-5888-41D8-B5DE-E09B91DF08BD}"/>
    <cellStyle name="Komma 4 3 4 6 3" xfId="51101" xr:uid="{4E5BE1F9-D93D-4B48-A3BA-3B0A2978B4BF}"/>
    <cellStyle name="Komma 4 3 4 6 4" xfId="54117" xr:uid="{B438298C-699F-470E-84E6-56EC83F711C2}"/>
    <cellStyle name="Komma 4 3 4 6 5" xfId="21957" xr:uid="{249D1CE9-654C-41AA-A8B4-8DCD02B77ED8}"/>
    <cellStyle name="Komma 4 3 4 7" xfId="23909" xr:uid="{CB52463B-7A9D-4680-BD19-49B5151AA7E5}"/>
    <cellStyle name="Komma 4 3 4 8" xfId="47359" xr:uid="{72D0DD26-DD12-45CA-B00A-97BB603AD8D4}"/>
    <cellStyle name="Komma 4 3 4 9" xfId="48758" xr:uid="{8D82B41E-38CE-4A36-8CFC-B7F5F0AD2E04}"/>
    <cellStyle name="Komma 4 3 5" xfId="10279" xr:uid="{3E36742E-7F3A-419C-9922-8E5EF577635E}"/>
    <cellStyle name="Komma 4 3 5 10" xfId="50048" xr:uid="{CCB3DE6B-1399-4C28-8A07-05FAF17DE0C8}"/>
    <cellStyle name="Komma 4 3 5 11" xfId="53064" xr:uid="{64FC3897-75A7-4846-A2B5-265C79BA0503}"/>
    <cellStyle name="Komma 4 3 5 12" xfId="18871" xr:uid="{45F2D56A-9997-4F75-A31B-9035BDE8B6F4}"/>
    <cellStyle name="Komma 4 3 5 2" xfId="14746" xr:uid="{DDFBB61F-8AC9-4AC2-89A0-94614619E85B}"/>
    <cellStyle name="Komma 4 3 5 2 2" xfId="22293" xr:uid="{5D7B4A54-901D-4CC0-B731-67ABEE74F3EA}"/>
    <cellStyle name="Komma 4 3 5 2 3" xfId="24189" xr:uid="{BBF3FDC8-6A15-4102-A058-7B99559CD110}"/>
    <cellStyle name="Komma 4 3 5 2 4" xfId="51631" xr:uid="{D5485A2C-4826-445C-927C-B121B7850086}"/>
    <cellStyle name="Komma 4 3 5 2 5" xfId="54647" xr:uid="{9C98B795-422F-4226-A0D3-FA0E6B7C6D7D}"/>
    <cellStyle name="Komma 4 3 5 2 6" xfId="19114" xr:uid="{F9685FCC-1726-48A8-8C86-5026AF2E4C32}"/>
    <cellStyle name="Komma 4 3 5 3" xfId="15231" xr:uid="{C778D44A-2EEF-4C12-B918-C7C2656C14B5}"/>
    <cellStyle name="Komma 4 3 5 3 2" xfId="22770" xr:uid="{A0DC2B4E-C196-43F9-8497-34E2E855CFB3}"/>
    <cellStyle name="Komma 4 3 5 3 3" xfId="48511" xr:uid="{89C937DE-1CA8-433B-92DE-FDD9F06469FC}"/>
    <cellStyle name="Komma 4 3 5 3 4" xfId="52108" xr:uid="{243CD937-9D23-445F-BE21-195CDFE58FDE}"/>
    <cellStyle name="Komma 4 3 5 3 5" xfId="55124" xr:uid="{C9237C17-E868-4D21-A6E4-5B127DAAA2DD}"/>
    <cellStyle name="Komma 4 3 5 3 6" xfId="19257" xr:uid="{CCE50BB2-8C8D-4B54-B8E1-A1CDBE2DDA58}"/>
    <cellStyle name="Komma 4 3 5 4" xfId="15718" xr:uid="{EC09A295-28BF-4196-86ED-6421FA514898}"/>
    <cellStyle name="Komma 4 3 5 4 2" xfId="23247" xr:uid="{93028018-5509-4844-A2BA-1E4C2947D27D}"/>
    <cellStyle name="Komma 4 3 5 4 3" xfId="47352" xr:uid="{B53D897B-70C7-4ADE-B3E2-F7C6D13C63BB}"/>
    <cellStyle name="Komma 4 3 5 4 4" xfId="52585" xr:uid="{307A94F4-3CAE-4806-A3CF-DFB52A2D4B2A}"/>
    <cellStyle name="Komma 4 3 5 4 5" xfId="55601" xr:uid="{0C7B67E6-0FC6-434B-BAE0-667FAFA2C057}"/>
    <cellStyle name="Komma 4 3 5 4 6" xfId="19402" xr:uid="{2166B9B5-F913-4426-8AAC-F394FA0A8B06}"/>
    <cellStyle name="Komma 4 3 5 5" xfId="12732" xr:uid="{4E0E3301-98C0-48E6-8FC7-7435BBD56ADA}"/>
    <cellStyle name="Komma 4 3 5 5 2" xfId="47739" xr:uid="{8F27A20C-CEBA-4AE0-A232-1B5415ABA0BE}"/>
    <cellStyle name="Komma 4 3 5 5 3" xfId="51154" xr:uid="{56AB2DE6-AD84-47B0-BF89-69360D5C38B7}"/>
    <cellStyle name="Komma 4 3 5 5 4" xfId="54170" xr:uid="{924970A0-2FDD-4CEA-8912-A8F81AA1A89D}"/>
    <cellStyle name="Komma 4 3 5 5 5" xfId="21972" xr:uid="{EEE1CDF7-131A-44C3-8C1D-DD06A11B0F1A}"/>
    <cellStyle name="Komma 4 3 5 6" xfId="23910" xr:uid="{B7F6F5BA-6911-4366-AFE6-E356A0691F55}"/>
    <cellStyle name="Komma 4 3 5 7" xfId="24275" xr:uid="{63796409-D15D-4B2B-AD66-D7324D682A67}"/>
    <cellStyle name="Komma 4 3 5 8" xfId="48759" xr:uid="{4CDDDCB9-009A-4082-9480-37FCADB43911}"/>
    <cellStyle name="Komma 4 3 5 9" xfId="49665" xr:uid="{E37F823D-877B-4E6D-96E8-482BCB5BE0A7}"/>
    <cellStyle name="Komma 4 3 6" xfId="10593" xr:uid="{BE229392-E876-472A-87D4-ACFEDCC2A646}"/>
    <cellStyle name="Komma 4 3 6 2" xfId="14958" xr:uid="{3C88C620-F8D8-4E91-B088-D83B0D9C2294}"/>
    <cellStyle name="Komma 4 3 6 2 2" xfId="22505" xr:uid="{A9B6E1A7-DD0A-4B7B-9241-6A2E59DB5DF4}"/>
    <cellStyle name="Komma 4 3 6 2 3" xfId="46460" xr:uid="{39F5B90F-65CB-4279-9D66-78F954095C3C}"/>
    <cellStyle name="Komma 4 3 6 2 4" xfId="51843" xr:uid="{0E44F247-F05A-4B06-993D-9FD50FB2D051}"/>
    <cellStyle name="Komma 4 3 6 2 5" xfId="54859" xr:uid="{D7E42EAF-652B-4F5E-B6E5-D590DF672040}"/>
    <cellStyle name="Komma 4 3 6 2 6" xfId="19174" xr:uid="{15590748-E9FC-419E-910C-228CB06E0F48}"/>
    <cellStyle name="Komma 4 3 6 3" xfId="15443" xr:uid="{CB48F617-95BA-4764-9CEE-6452EFEF3EB1}"/>
    <cellStyle name="Komma 4 3 6 3 2" xfId="22982" xr:uid="{C0E1D89A-D09C-48F1-B46A-91D1315E1F7A}"/>
    <cellStyle name="Komma 4 3 6 3 3" xfId="47786" xr:uid="{D3861688-7CBE-4F22-9B3A-C2991CD4ABC3}"/>
    <cellStyle name="Komma 4 3 6 3 4" xfId="52320" xr:uid="{B9E124BF-9B20-4AC6-863D-549D55324792}"/>
    <cellStyle name="Komma 4 3 6 3 5" xfId="55336" xr:uid="{6B532B1D-E7DB-49D5-8E0B-68217299C951}"/>
    <cellStyle name="Komma 4 3 6 3 6" xfId="19317" xr:uid="{E5F1B862-534F-431D-B8D5-6F7F00279497}"/>
    <cellStyle name="Komma 4 3 6 4" xfId="15931" xr:uid="{A09C287A-03B8-4EB0-AE9F-34CCEEEC0BAB}"/>
    <cellStyle name="Komma 4 3 6 4 2" xfId="23459" xr:uid="{E75AF667-F16E-4A49-84A3-2ECC322C1938}"/>
    <cellStyle name="Komma 4 3 6 4 3" xfId="46984" xr:uid="{DD44E84B-5672-4199-B398-623901C41286}"/>
    <cellStyle name="Komma 4 3 6 4 4" xfId="52797" xr:uid="{E110239D-7FEF-4D8E-B373-2E1AA1393AD5}"/>
    <cellStyle name="Komma 4 3 6 4 5" xfId="55813" xr:uid="{B4076FE6-4C4E-471B-8757-8869EFCAF06D}"/>
    <cellStyle name="Komma 4 3 6 4 6" xfId="19463" xr:uid="{4C94ACFC-1F77-4058-9AF7-F5F7E19E61A6}"/>
    <cellStyle name="Komma 4 3 6 5" xfId="13046" xr:uid="{9C7A3DAC-683C-40B3-996D-C66D44F47B7C}"/>
    <cellStyle name="Komma 4 3 6 5 2" xfId="46386" xr:uid="{B2B6FD45-18F7-4497-8CCC-5AD47EAC0A63}"/>
    <cellStyle name="Komma 4 3 6 5 3" xfId="51366" xr:uid="{CE83EA9D-5F20-4FA4-BE07-FEA279F30080}"/>
    <cellStyle name="Komma 4 3 6 5 4" xfId="54382" xr:uid="{42C9B482-78C6-45EF-843A-257D6D4A0453}"/>
    <cellStyle name="Komma 4 3 6 5 5" xfId="22032" xr:uid="{84C92574-1AF1-46E5-9E26-98CD1A9ED57E}"/>
    <cellStyle name="Komma 4 3 6 6" xfId="47142" xr:uid="{083C109A-739C-4175-84B6-0E7FC9393904}"/>
    <cellStyle name="Komma 4 3 6 7" xfId="50260" xr:uid="{BFF00D49-83F3-47D7-B528-6EBF5EDAF65D}"/>
    <cellStyle name="Komma 4 3 6 8" xfId="53276" xr:uid="{50EC8A39-D93F-4DAA-B504-AC60AC0160DF}"/>
    <cellStyle name="Komma 4 3 6 9" xfId="19033" xr:uid="{5A32F212-21A5-4C90-8665-A2670879BD13}"/>
    <cellStyle name="Komma 4 3 7" xfId="14534" xr:uid="{81DED184-4EF0-43D9-B9B3-87068C9E49DE}"/>
    <cellStyle name="Komma 4 3 7 2" xfId="22081" xr:uid="{265AA8E7-A30E-45E6-8A12-3B762B2611D3}"/>
    <cellStyle name="Komma 4 3 7 3" xfId="24983" xr:uid="{6442F5BD-8E18-47BD-93F4-04342E96977C}"/>
    <cellStyle name="Komma 4 3 7 4" xfId="51419" xr:uid="{9DBA3DA0-E8E0-48ED-ACFD-F17390321B8A}"/>
    <cellStyle name="Komma 4 3 7 5" xfId="54435" xr:uid="{C8B06FFE-7A3C-4753-AB4E-45C08F7F92F8}"/>
    <cellStyle name="Komma 4 3 7 6" xfId="19054" xr:uid="{A565F2DB-E026-43F9-97C7-423F09C20DCB}"/>
    <cellStyle name="Komma 4 3 8" xfId="15018" xr:uid="{CDD741AF-B330-4B25-A9BB-7214509EF23E}"/>
    <cellStyle name="Komma 4 3 8 2" xfId="22558" xr:uid="{FD82F886-B684-482F-B716-AE90FB319FF7}"/>
    <cellStyle name="Komma 4 3 8 3" xfId="46610" xr:uid="{6B5DF50F-D77B-4E3D-901F-181F2D072F7C}"/>
    <cellStyle name="Komma 4 3 8 4" xfId="51896" xr:uid="{7F5CED1D-1A45-4D76-8F82-F2BC18C8930B}"/>
    <cellStyle name="Komma 4 3 8 5" xfId="54912" xr:uid="{85508994-C551-44F5-AC36-98A26A04C561}"/>
    <cellStyle name="Komma 4 3 8 6" xfId="19196" xr:uid="{22C02D38-71B1-4E44-9803-12CBF1B8BD3E}"/>
    <cellStyle name="Komma 4 3 9" xfId="15505" xr:uid="{45931543-A2AA-4220-805A-DD8DD55D3AEC}"/>
    <cellStyle name="Komma 4 3 9 2" xfId="23035" xr:uid="{35CD4D99-F374-4E86-A4E5-4BD4862FCB91}"/>
    <cellStyle name="Komma 4 3 9 3" xfId="47942" xr:uid="{D7239F30-D81C-4463-B9CE-19481CAA8526}"/>
    <cellStyle name="Komma 4 3 9 4" xfId="52373" xr:uid="{847E20EA-A4D9-49A6-B53B-6AEE4E147476}"/>
    <cellStyle name="Komma 4 3 9 5" xfId="55389" xr:uid="{8440DF02-F7FF-4C44-8476-F0D82AEE50B5}"/>
    <cellStyle name="Komma 4 3 9 6" xfId="19341" xr:uid="{077936CF-C523-44D4-9D3B-2BC816E5A76B}"/>
    <cellStyle name="Komma 4 4" xfId="10043" xr:uid="{87262027-483F-4F49-8EE3-BA5D22C4BBD4}"/>
    <cellStyle name="Komma 4 4 10" xfId="49666" xr:uid="{817F06B6-4F8B-44C1-98E5-CF42E586BD5F}"/>
    <cellStyle name="Komma 4 4 11" xfId="49886" xr:uid="{69DDE406-0374-41D1-BEDB-0097788500C9}"/>
    <cellStyle name="Komma 4 4 12" xfId="52902" xr:uid="{ED8888F9-C97B-4145-AFD7-533D74F3E729}"/>
    <cellStyle name="Komma 4 4 13" xfId="18756" xr:uid="{0540400E-0F62-45D9-AFD1-582EA1081022}"/>
    <cellStyle name="Komma 4 4 2" xfId="10351" xr:uid="{A86295B5-FD0D-4C48-992B-BF99D15F50E1}"/>
    <cellStyle name="Komma 4 4 2 10" xfId="50098" xr:uid="{07C529F3-A704-4CAA-8B2F-5EE97D1107A4}"/>
    <cellStyle name="Komma 4 4 2 11" xfId="53114" xr:uid="{832F5575-D2E0-4024-8BD2-C4FD7FD05FAA}"/>
    <cellStyle name="Komma 4 4 2 12" xfId="18905" xr:uid="{4FD75F26-49FD-446E-8311-A0D9E41B71EE}"/>
    <cellStyle name="Komma 4 4 2 2" xfId="14796" xr:uid="{7A0433F5-2460-4A6E-93E1-44D356A2F9B6}"/>
    <cellStyle name="Komma 4 4 2 2 2" xfId="22343" xr:uid="{68802A1B-097E-40CC-88E0-82CFA77C1C02}"/>
    <cellStyle name="Komma 4 4 2 2 3" xfId="24945" xr:uid="{58D961A0-05D5-4DC0-A253-BD9693ECCBA6}"/>
    <cellStyle name="Komma 4 4 2 2 4" xfId="51681" xr:uid="{1DECD374-718C-4AAE-8CF9-200597901497}"/>
    <cellStyle name="Komma 4 4 2 2 5" xfId="54697" xr:uid="{22B27B55-7FDB-461E-AE2A-5325EBA95B4D}"/>
    <cellStyle name="Komma 4 4 2 2 6" xfId="19126" xr:uid="{20139CFD-CDC7-4C8A-98E4-EEAC9A7C0D37}"/>
    <cellStyle name="Komma 4 4 2 3" xfId="15281" xr:uid="{F76589A1-E35B-422D-A354-DCBA877E618F}"/>
    <cellStyle name="Komma 4 4 2 3 2" xfId="22820" xr:uid="{589A575F-64B5-46EF-97A8-875D76B70650}"/>
    <cellStyle name="Komma 4 4 2 3 3" xfId="46508" xr:uid="{FFC40B01-2D52-452E-A4A1-4FA68D628166}"/>
    <cellStyle name="Komma 4 4 2 3 4" xfId="52158" xr:uid="{F51896A4-C45E-4218-82EB-D4204521936B}"/>
    <cellStyle name="Komma 4 4 2 3 5" xfId="55174" xr:uid="{8F6CE619-D0E0-4BB4-9FD4-E2DF4DC418C5}"/>
    <cellStyle name="Komma 4 4 2 3 6" xfId="19269" xr:uid="{A5EBCD12-C9FE-42ED-9860-C43362BAE449}"/>
    <cellStyle name="Komma 4 4 2 4" xfId="15768" xr:uid="{FFA459D5-9C0F-400B-992B-55B9D3E659F6}"/>
    <cellStyle name="Komma 4 4 2 4 2" xfId="23297" xr:uid="{9D3ABB00-FDC2-49B9-9B12-023AF391978B}"/>
    <cellStyle name="Komma 4 4 2 4 3" xfId="46582" xr:uid="{86E2467D-2F9B-438E-AA40-7D0C5C561AC4}"/>
    <cellStyle name="Komma 4 4 2 4 4" xfId="52635" xr:uid="{CFE33823-DBCE-4F16-B1A9-603A58A1EB9E}"/>
    <cellStyle name="Komma 4 4 2 4 5" xfId="55651" xr:uid="{90AAE060-9197-444C-B365-64A9E2068A49}"/>
    <cellStyle name="Komma 4 4 2 4 6" xfId="19414" xr:uid="{F90D2C1B-E5FE-4621-9FD1-43212B2D2928}"/>
    <cellStyle name="Komma 4 4 2 5" xfId="12804" xr:uid="{E6FEC178-FB72-4654-88F2-F7B64B27611F}"/>
    <cellStyle name="Komma 4 4 2 5 2" xfId="25049" xr:uid="{10638C0D-DE0A-4B4A-840D-CFC1562DFCC6}"/>
    <cellStyle name="Komma 4 4 2 5 3" xfId="51204" xr:uid="{20C616EA-41C7-4887-84D6-8D9BC02D90DD}"/>
    <cellStyle name="Komma 4 4 2 5 4" xfId="54220" xr:uid="{D5AD6FFB-CD93-4D66-A057-278B60C6AFF8}"/>
    <cellStyle name="Komma 4 4 2 5 5" xfId="21984" xr:uid="{17B81D7A-8A8B-44C2-9F4E-4B6E1D6F3E10}"/>
    <cellStyle name="Komma 4 4 2 6" xfId="23912" xr:uid="{BF58AD35-2BC1-46C5-AFB3-CB176A97402F}"/>
    <cellStyle name="Komma 4 4 2 7" xfId="24269" xr:uid="{46AC928D-0839-4ADA-9DBE-9F6969C75A7E}"/>
    <cellStyle name="Komma 4 4 2 8" xfId="48761" xr:uid="{E00BF121-912C-48AB-A727-17DFE4E3B07D}"/>
    <cellStyle name="Komma 4 4 2 9" xfId="49667" xr:uid="{6C5AFB12-196B-4DCF-8D36-00B2275D213E}"/>
    <cellStyle name="Komma 4 4 3" xfId="14584" xr:uid="{B1E224FA-E8B9-4CA7-A00D-45CBECB3B536}"/>
    <cellStyle name="Komma 4 4 3 2" xfId="22131" xr:uid="{9B2E6891-E20D-428A-9962-BA9DD362AD8C}"/>
    <cellStyle name="Komma 4 4 3 3" xfId="48500" xr:uid="{106887DB-1BD6-417A-92A6-73613F3A5E25}"/>
    <cellStyle name="Komma 4 4 3 4" xfId="51469" xr:uid="{DDAD0CBE-0359-42DD-AF78-E7F682A52F2A}"/>
    <cellStyle name="Komma 4 4 3 5" xfId="54485" xr:uid="{24B24C51-3470-45B7-8659-E0EA15010E0D}"/>
    <cellStyle name="Komma 4 4 3 6" xfId="19066" xr:uid="{D0347856-7161-4763-BA52-DA215BE51C62}"/>
    <cellStyle name="Komma 4 4 4" xfId="15068" xr:uid="{F70E0E60-4268-482A-920A-0473A6CA3288}"/>
    <cellStyle name="Komma 4 4 4 2" xfId="22608" xr:uid="{336FB25E-5704-48C1-8206-8C809DD41D7F}"/>
    <cellStyle name="Komma 4 4 4 3" xfId="47712" xr:uid="{76F6FD18-1D58-4FF6-86C3-5237BB7F1961}"/>
    <cellStyle name="Komma 4 4 4 4" xfId="51946" xr:uid="{B5466475-08C6-4C65-9FA2-24FE2BCFAF6F}"/>
    <cellStyle name="Komma 4 4 4 5" xfId="54962" xr:uid="{03744B36-3E33-4728-8962-BFE26F828ABB}"/>
    <cellStyle name="Komma 4 4 4 6" xfId="19208" xr:uid="{91BBCD3C-8273-413D-A845-9059605B0B90}"/>
    <cellStyle name="Komma 4 4 5" xfId="15555" xr:uid="{BE8F02CF-E6C7-420B-AA56-643ED58CAA01}"/>
    <cellStyle name="Komma 4 4 5 2" xfId="23085" xr:uid="{3AC7E4C8-A17A-4DE4-A309-32DFCAC98D35}"/>
    <cellStyle name="Komma 4 4 5 3" xfId="46550" xr:uid="{3F840DBB-7C0A-43EC-BCD3-61F3BB1B65E6}"/>
    <cellStyle name="Komma 4 4 5 4" xfId="52423" xr:uid="{DAED7B9A-1918-42F8-A7ED-03BABD13FD66}"/>
    <cellStyle name="Komma 4 4 5 5" xfId="55439" xr:uid="{38C6FA9F-D2ED-4DA9-B902-E09B7DE8120E}"/>
    <cellStyle name="Komma 4 4 5 6" xfId="19353" xr:uid="{AFE7E760-A291-4BD8-8F14-26DD560C65FA}"/>
    <cellStyle name="Komma 4 4 6" xfId="12503" xr:uid="{DF661303-695B-43C8-B672-5CE24B2FA196}"/>
    <cellStyle name="Komma 4 4 6 2" xfId="48488" xr:uid="{5079AD63-EFB0-4DC0-B827-437F9123ED94}"/>
    <cellStyle name="Komma 4 4 6 3" xfId="50992" xr:uid="{02C15979-7F79-48E3-8C37-0CB5D03E8816}"/>
    <cellStyle name="Komma 4 4 6 4" xfId="54008" xr:uid="{DB0C037C-977B-4985-8115-46C78BF0FD76}"/>
    <cellStyle name="Komma 4 4 6 5" xfId="21923" xr:uid="{AD4F39FD-399B-4A84-9A3D-5BC8B01EACD7}"/>
    <cellStyle name="Komma 4 4 7" xfId="23911" xr:uid="{12327B67-F115-4B54-9DF3-1B85E31B8ECD}"/>
    <cellStyle name="Komma 4 4 8" xfId="48446" xr:uid="{AEE954A6-B74E-44D0-97EB-977CF1E50628}"/>
    <cellStyle name="Komma 4 4 9" xfId="48760" xr:uid="{7053E83C-E655-4D2A-B5F7-FE271C257F02}"/>
    <cellStyle name="Komma 4 5" xfId="10117" xr:uid="{447A9350-2F88-40FF-9E7C-697E2E78DCE2}"/>
    <cellStyle name="Komma 4 5 10" xfId="49668" xr:uid="{68D454BF-3CE2-4B01-8831-554B8BFC511F}"/>
    <cellStyle name="Komma 4 5 11" xfId="49939" xr:uid="{2130BAE2-5BF2-4612-BCCF-B17D3C90C032}"/>
    <cellStyle name="Komma 4 5 12" xfId="52955" xr:uid="{C6524EC5-EEF8-407B-AC03-E0184C0E6D54}"/>
    <cellStyle name="Komma 4 5 13" xfId="18789" xr:uid="{D5398701-95EB-41E5-BBEE-A53C44A91605}"/>
    <cellStyle name="Komma 4 5 2" xfId="10430" xr:uid="{004998D4-4FB5-4DB6-8181-D590EEC5413A}"/>
    <cellStyle name="Komma 4 5 2 10" xfId="50151" xr:uid="{2B404ACB-9787-4F69-9F8B-6AE22AE2BC03}"/>
    <cellStyle name="Komma 4 5 2 11" xfId="53167" xr:uid="{FD190298-03C1-4ABB-9FE8-7AEA69926BAC}"/>
    <cellStyle name="Komma 4 5 2 12" xfId="18946" xr:uid="{96DF04B5-E92E-4B5F-AFD3-91C055B1FAF8}"/>
    <cellStyle name="Komma 4 5 2 2" xfId="14849" xr:uid="{29A5FC27-82D2-42CB-A4F3-E16DBDF40655}"/>
    <cellStyle name="Komma 4 5 2 2 2" xfId="22396" xr:uid="{D0B4AF17-2356-422A-803E-807D47FB0B12}"/>
    <cellStyle name="Komma 4 5 2 2 3" xfId="47242" xr:uid="{E833DED7-AC05-4045-95F5-FE769AAC28E9}"/>
    <cellStyle name="Komma 4 5 2 2 4" xfId="51734" xr:uid="{136B4A2C-E81E-46FE-83D4-F7C59D071D77}"/>
    <cellStyle name="Komma 4 5 2 2 5" xfId="54750" xr:uid="{CBEB692E-50B3-4CFD-9B45-FAB77927FC24}"/>
    <cellStyle name="Komma 4 5 2 2 6" xfId="19141" xr:uid="{619C3C06-B85C-4F6A-A52C-CA56B5542EA4}"/>
    <cellStyle name="Komma 4 5 2 3" xfId="15334" xr:uid="{ABFB07E4-0251-4C5B-9BE4-F604120EC270}"/>
    <cellStyle name="Komma 4 5 2 3 2" xfId="22873" xr:uid="{A9383452-0E49-415B-859D-5BED205461DB}"/>
    <cellStyle name="Komma 4 5 2 3 3" xfId="33356" xr:uid="{18596629-6AC8-4C25-BDC8-D31E81D969B1}"/>
    <cellStyle name="Komma 4 5 2 3 4" xfId="52211" xr:uid="{DB12C560-9A00-4484-B898-AB960A602483}"/>
    <cellStyle name="Komma 4 5 2 3 5" xfId="55227" xr:uid="{43EB2E01-7414-4677-8E44-85F9ABDFE7AC}"/>
    <cellStyle name="Komma 4 5 2 3 6" xfId="19284" xr:uid="{8B444263-00B2-46FF-BF2D-E136968AA171}"/>
    <cellStyle name="Komma 4 5 2 4" xfId="15821" xr:uid="{9677C238-D156-453D-A6A7-205894BA5D17}"/>
    <cellStyle name="Komma 4 5 2 4 2" xfId="23350" xr:uid="{CC5D3CCD-BA0C-4E15-AB79-807B4DEA7EF6}"/>
    <cellStyle name="Komma 4 5 2 4 3" xfId="47503" xr:uid="{1F071EEE-5664-408B-B766-732BBC636FF7}"/>
    <cellStyle name="Komma 4 5 2 4 4" xfId="52688" xr:uid="{DE773B4B-B2FB-4B67-8BF7-3FCC77817640}"/>
    <cellStyle name="Komma 4 5 2 4 5" xfId="55704" xr:uid="{85911DBE-358D-4440-B6E8-4164A9FE1279}"/>
    <cellStyle name="Komma 4 5 2 4 6" xfId="19429" xr:uid="{F4DD7D48-4BC5-4A07-835B-3575EA866BFD}"/>
    <cellStyle name="Komma 4 5 2 5" xfId="12883" xr:uid="{F0CE65A6-41BD-4447-B7D5-970492299706}"/>
    <cellStyle name="Komma 4 5 2 5 2" xfId="47099" xr:uid="{4C313EE5-9566-4E7D-B204-4F2694D5C03B}"/>
    <cellStyle name="Komma 4 5 2 5 3" xfId="51257" xr:uid="{9A18A736-B915-453C-AF06-E183531EF325}"/>
    <cellStyle name="Komma 4 5 2 5 4" xfId="54273" xr:uid="{5EA08585-1FB6-495B-B38F-468C7A678418}"/>
    <cellStyle name="Komma 4 5 2 5 5" xfId="21999" xr:uid="{BE0A7778-2DEB-4BC1-BBAE-ACA00BF9768A}"/>
    <cellStyle name="Komma 4 5 2 6" xfId="23914" xr:uid="{4CF437C2-3E30-4FE1-B9FE-58BF7DD25FCE}"/>
    <cellStyle name="Komma 4 5 2 7" xfId="47953" xr:uid="{27927A36-85D0-4152-9624-FFE48C98877D}"/>
    <cellStyle name="Komma 4 5 2 8" xfId="48763" xr:uid="{2465051C-D215-4A17-A3C8-3663433FF670}"/>
    <cellStyle name="Komma 4 5 2 9" xfId="49669" xr:uid="{2A0DC26C-0873-49B2-9FA9-6D87E436E0F2}"/>
    <cellStyle name="Komma 4 5 3" xfId="14637" xr:uid="{E375E389-AC58-415B-A1ED-C3F9D1C3C8DD}"/>
    <cellStyle name="Komma 4 5 3 2" xfId="22184" xr:uid="{2996D6B7-6EBB-42DE-9DF6-C0F1836F7346}"/>
    <cellStyle name="Komma 4 5 3 3" xfId="46677" xr:uid="{8FD09C30-A71E-4C38-949E-06B57D169ADE}"/>
    <cellStyle name="Komma 4 5 3 4" xfId="51522" xr:uid="{78C67732-D8D1-4803-9AD9-FC91010A14E9}"/>
    <cellStyle name="Komma 4 5 3 5" xfId="54538" xr:uid="{0852D11C-8027-4CBA-AE24-A1DA3BBF2781}"/>
    <cellStyle name="Komma 4 5 3 6" xfId="19081" xr:uid="{02FA40D1-FB79-41BB-9B8B-9E677EF2B02A}"/>
    <cellStyle name="Komma 4 5 4" xfId="15122" xr:uid="{E69D6014-859F-4B45-BB59-32BBEC1D6BB7}"/>
    <cellStyle name="Komma 4 5 4 2" xfId="22661" xr:uid="{121EBCDC-5AA9-4426-B3A4-8130B7358F53}"/>
    <cellStyle name="Komma 4 5 4 3" xfId="24910" xr:uid="{EA21FDCF-60C0-4AE5-B7C2-1218CCC0C0C0}"/>
    <cellStyle name="Komma 4 5 4 4" xfId="51999" xr:uid="{8A7E0C75-5A8A-4963-855B-E0238A95CFDF}"/>
    <cellStyle name="Komma 4 5 4 5" xfId="55015" xr:uid="{83F8DDE1-D390-4AC1-80F1-6622F5AB15C2}"/>
    <cellStyle name="Komma 4 5 4 6" xfId="19224" xr:uid="{6E398B50-C10D-418D-B5CE-A7CA6821C1DB}"/>
    <cellStyle name="Komma 4 5 5" xfId="15609" xr:uid="{F8885442-48FA-4816-A8E3-25C8ED92662A}"/>
    <cellStyle name="Komma 4 5 5 2" xfId="23138" xr:uid="{461E758F-D18C-41E5-82AE-9BD17855EEF5}"/>
    <cellStyle name="Komma 4 5 5 3" xfId="46945" xr:uid="{3F29AC16-55A3-4F74-9AA8-4DDB35F539DA}"/>
    <cellStyle name="Komma 4 5 5 4" xfId="52476" xr:uid="{18B491B5-BBF2-4218-8C7E-5B7BF1C6C3D8}"/>
    <cellStyle name="Komma 4 5 5 5" xfId="55492" xr:uid="{E58F077B-9252-498B-8C6B-DA9EB7115C6D}"/>
    <cellStyle name="Komma 4 5 5 6" xfId="19369" xr:uid="{84536A48-E171-4380-BC78-3B7AFE2B9365}"/>
    <cellStyle name="Komma 4 5 6" xfId="12574" xr:uid="{48DD8075-335A-42E3-B03D-10C927565331}"/>
    <cellStyle name="Komma 4 5 6 2" xfId="47805" xr:uid="{CA6022F8-7A57-4566-8DF5-E63C2A929EEB}"/>
    <cellStyle name="Komma 4 5 6 3" xfId="51045" xr:uid="{65C14C55-91A0-4EE3-AB67-BE654EAF72E4}"/>
    <cellStyle name="Komma 4 5 6 4" xfId="54061" xr:uid="{A722CD37-0F87-4E17-911F-29A1F4E1907E}"/>
    <cellStyle name="Komma 4 5 6 5" xfId="21939" xr:uid="{1E0DBBD5-1F45-4BB1-BEDC-61E0D36A0907}"/>
    <cellStyle name="Komma 4 5 7" xfId="23913" xr:uid="{FE966144-99FF-49C0-BCDA-BD219E84010D}"/>
    <cellStyle name="Komma 4 5 8" xfId="46616" xr:uid="{822F51DA-7547-46F1-B359-2EEB1F53C42C}"/>
    <cellStyle name="Komma 4 5 9" xfId="48762" xr:uid="{8DC4B57B-9387-4A94-9B33-547D76E5B67D}"/>
    <cellStyle name="Komma 4 6" xfId="10196" xr:uid="{6998AD83-B8BD-4C93-BA48-897C9A0EB99F}"/>
    <cellStyle name="Komma 4 6 10" xfId="49670" xr:uid="{CF317293-A848-4CAC-A00F-5D04F619482C}"/>
    <cellStyle name="Komma 4 6 11" xfId="49992" xr:uid="{E7EBA5B3-9115-483D-B4B6-16A8585908DE}"/>
    <cellStyle name="Komma 4 6 12" xfId="53008" xr:uid="{1B49EDC9-F18A-4124-AC4A-07C754052E88}"/>
    <cellStyle name="Komma 4 6 13" xfId="18827" xr:uid="{F6902E4B-C21C-4F88-A596-953ED6278F5C}"/>
    <cellStyle name="Komma 4 6 2" xfId="10510" xr:uid="{5E4EF090-FCCF-4B27-9642-B53697AC994E}"/>
    <cellStyle name="Komma 4 6 2 10" xfId="50204" xr:uid="{BB7E22A5-D61C-49D3-8024-B37D701EA7E3}"/>
    <cellStyle name="Komma 4 6 2 11" xfId="53220" xr:uid="{BC904157-37C0-47F8-809A-A2276AE28CE8}"/>
    <cellStyle name="Komma 4 6 2 12" xfId="18988" xr:uid="{724B0C8D-BD05-4718-AFEF-E15C250BB13D}"/>
    <cellStyle name="Komma 4 6 2 2" xfId="14902" xr:uid="{CFFFFD3A-4585-4D34-A2FD-4136123BE0F3}"/>
    <cellStyle name="Komma 4 6 2 2 2" xfId="22449" xr:uid="{35674CE4-FC87-4D60-A9B4-F2354F9D4DD6}"/>
    <cellStyle name="Komma 4 6 2 2 3" xfId="47933" xr:uid="{CEB3CEA1-0E8F-4243-92D8-670D47E93EA8}"/>
    <cellStyle name="Komma 4 6 2 2 4" xfId="51787" xr:uid="{738C5656-1B5E-41F8-AFDC-17FFF0C68969}"/>
    <cellStyle name="Komma 4 6 2 2 5" xfId="54803" xr:uid="{15FAA147-084B-4647-B072-2D12228A1BDA}"/>
    <cellStyle name="Komma 4 6 2 2 6" xfId="19156" xr:uid="{A7568486-3395-4FC8-B161-270A717DE525}"/>
    <cellStyle name="Komma 4 6 2 3" xfId="15387" xr:uid="{123F1125-FD4F-4EC1-A5AE-00726AE0FBD3}"/>
    <cellStyle name="Komma 4 6 2 3 2" xfId="22926" xr:uid="{F5DA49CF-6512-4F91-AC88-F90F5D254BDC}"/>
    <cellStyle name="Komma 4 6 2 3 3" xfId="48304" xr:uid="{711DA11C-F83F-4821-B51A-9133F96F96EB}"/>
    <cellStyle name="Komma 4 6 2 3 4" xfId="52264" xr:uid="{913C6F81-430A-4D0C-A5DE-572BAD83E4A3}"/>
    <cellStyle name="Komma 4 6 2 3 5" xfId="55280" xr:uid="{A9D88E15-4C86-447F-A965-3E949EFA9F6A}"/>
    <cellStyle name="Komma 4 6 2 3 6" xfId="19299" xr:uid="{CAE62EC0-3FBE-455E-AA54-6B1144345087}"/>
    <cellStyle name="Komma 4 6 2 4" xfId="15874" xr:uid="{C23CBA32-5556-4050-9A67-2138FBB711A6}"/>
    <cellStyle name="Komma 4 6 2 4 2" xfId="23403" xr:uid="{A9050C95-889D-4D9F-AC59-7D357F929E65}"/>
    <cellStyle name="Komma 4 6 2 4 3" xfId="47218" xr:uid="{91B9B7EB-6F58-4D3E-8DF9-0D1B29FC47AE}"/>
    <cellStyle name="Komma 4 6 2 4 4" xfId="52741" xr:uid="{2AD24B62-5C89-4791-B2D4-625235097E44}"/>
    <cellStyle name="Komma 4 6 2 4 5" xfId="55757" xr:uid="{B1989405-6ADE-444D-AD66-EAF10339EBBE}"/>
    <cellStyle name="Komma 4 6 2 4 6" xfId="19444" xr:uid="{AB924DF2-3C22-4396-96DB-86300743D725}"/>
    <cellStyle name="Komma 4 6 2 5" xfId="12963" xr:uid="{B1DE1930-53F4-45D0-B29D-33DCCAE95DF6}"/>
    <cellStyle name="Komma 4 6 2 5 2" xfId="33774" xr:uid="{39C19D08-7207-4DEB-9B6C-FE83632CDC57}"/>
    <cellStyle name="Komma 4 6 2 5 3" xfId="51310" xr:uid="{3E6F3DBB-BD52-4040-A0DD-92D0FAEE1C03}"/>
    <cellStyle name="Komma 4 6 2 5 4" xfId="54326" xr:uid="{1DB9B57C-6D40-4523-B61C-2C0CF8662A2D}"/>
    <cellStyle name="Komma 4 6 2 5 5" xfId="22014" xr:uid="{F7E48782-87C2-41A7-B5F2-EDFDE7B2BA56}"/>
    <cellStyle name="Komma 4 6 2 6" xfId="23916" xr:uid="{9B42328C-6377-446D-961A-7CAE2F7E9E53}"/>
    <cellStyle name="Komma 4 6 2 7" xfId="46987" xr:uid="{1A3ED775-8E09-422B-BB25-03B9F6608D3F}"/>
    <cellStyle name="Komma 4 6 2 8" xfId="48765" xr:uid="{FF9FB5D6-B1B7-495E-B84A-B0593B23A4E3}"/>
    <cellStyle name="Komma 4 6 2 9" xfId="49671" xr:uid="{FB274E8D-3A81-42C6-8BD9-68B9EDD9F274}"/>
    <cellStyle name="Komma 4 6 3" xfId="14690" xr:uid="{843FFE3E-B14B-482F-AA03-D39DC7B6F046}"/>
    <cellStyle name="Komma 4 6 3 2" xfId="22237" xr:uid="{691FF77C-D498-4215-A152-284748858CC0}"/>
    <cellStyle name="Komma 4 6 3 3" xfId="46418" xr:uid="{8C9B1DCD-7DD7-45AC-BA56-3EA16A755B6F}"/>
    <cellStyle name="Komma 4 6 3 4" xfId="51575" xr:uid="{5EE5E1E3-4C23-4096-85DE-4134BFADF361}"/>
    <cellStyle name="Komma 4 6 3 5" xfId="54591" xr:uid="{4172A741-F678-4876-879A-E3657F75D22A}"/>
    <cellStyle name="Komma 4 6 3 6" xfId="19096" xr:uid="{9A134FFA-8334-4DD2-BD66-301B64AD9BE9}"/>
    <cellStyle name="Komma 4 6 4" xfId="15175" xr:uid="{74B98CA1-90A1-4A66-A60D-F8BAD5C955C7}"/>
    <cellStyle name="Komma 4 6 4 2" xfId="22714" xr:uid="{7029F230-DCF5-4C9E-893B-B9F83E02E6B2}"/>
    <cellStyle name="Komma 4 6 4 3" xfId="48550" xr:uid="{4CB3CDC2-A32E-4C53-B572-66DD5DB89A4D}"/>
    <cellStyle name="Komma 4 6 4 4" xfId="52052" xr:uid="{DB65F211-850C-4710-ACAE-9D5FFA55C297}"/>
    <cellStyle name="Komma 4 6 4 5" xfId="55068" xr:uid="{3C4C9E19-6A61-4F7C-AB56-76654C67DF2B}"/>
    <cellStyle name="Komma 4 6 4 6" xfId="19239" xr:uid="{7F85831F-571F-453D-9143-69FC87A97212}"/>
    <cellStyle name="Komma 4 6 5" xfId="15662" xr:uid="{7A96D605-8BCC-4410-A62C-D775733E2F24}"/>
    <cellStyle name="Komma 4 6 5 2" xfId="23191" xr:uid="{614D3DA1-1D82-4E63-9F75-A7896EE6DB63}"/>
    <cellStyle name="Komma 4 6 5 3" xfId="48132" xr:uid="{EC1A9A5F-3944-43FE-99D5-62DA58D3ACF9}"/>
    <cellStyle name="Komma 4 6 5 4" xfId="52529" xr:uid="{40FB92A4-F947-4246-A880-42FAEFDB8BC7}"/>
    <cellStyle name="Komma 4 6 5 5" xfId="55545" xr:uid="{C4356BC6-F3A7-4A10-B46E-57CA9B0E9AF5}"/>
    <cellStyle name="Komma 4 6 5 6" xfId="19384" xr:uid="{2B2628BB-06F2-41D7-AD1B-D71FA747DCB0}"/>
    <cellStyle name="Komma 4 6 6" xfId="12650" xr:uid="{83ECB4DF-F3D8-4DCB-BC11-2DE01FD6FE96}"/>
    <cellStyle name="Komma 4 6 6 2" xfId="48049" xr:uid="{69C4F319-0BC4-4DF8-AF1D-88649BA1609D}"/>
    <cellStyle name="Komma 4 6 6 3" xfId="51098" xr:uid="{6468CD85-B9E6-41A8-89D5-9723C88E4CFA}"/>
    <cellStyle name="Komma 4 6 6 4" xfId="54114" xr:uid="{BF48B47B-BE2A-4993-A596-D8ADBEA7D68E}"/>
    <cellStyle name="Komma 4 6 6 5" xfId="21954" xr:uid="{5CD8D9E6-C91D-4883-9FE6-47C74314B375}"/>
    <cellStyle name="Komma 4 6 7" xfId="23915" xr:uid="{7FF22E3E-EEE4-4491-9CC3-B8AE1B7170E8}"/>
    <cellStyle name="Komma 4 6 8" xfId="46620" xr:uid="{7FB9D0F2-E2CE-480A-B23C-20109E9923E9}"/>
    <cellStyle name="Komma 4 6 9" xfId="48764" xr:uid="{42DFAA78-0876-43B7-B47D-E9CC5D7F4129}"/>
    <cellStyle name="Komma 4 7" xfId="10276" xr:uid="{D4ED2092-B5C4-4F04-BA2B-E8A3B860066E}"/>
    <cellStyle name="Komma 4 7 10" xfId="50045" xr:uid="{395DF562-2D92-455B-9AD9-D4EF28AE7A2F}"/>
    <cellStyle name="Komma 4 7 11" xfId="53061" xr:uid="{BD910AD4-8029-4E12-A293-EADB31484009}"/>
    <cellStyle name="Komma 4 7 12" xfId="18868" xr:uid="{51EAC82E-CD46-4B7B-A702-D3A1D19C491E}"/>
    <cellStyle name="Komma 4 7 2" xfId="14743" xr:uid="{DD4FF581-A54F-47CA-BBA9-A59FEFF1FF76}"/>
    <cellStyle name="Komma 4 7 2 2" xfId="22290" xr:uid="{A92AB878-3C9C-40B5-8607-4BE2C5F66C37}"/>
    <cellStyle name="Komma 4 7 2 3" xfId="48117" xr:uid="{DB6F0DC7-CE9E-4F0E-AD83-BEFE16961015}"/>
    <cellStyle name="Komma 4 7 2 4" xfId="51628" xr:uid="{E3B184A7-6B9B-4FF0-9EA7-3FE34848224B}"/>
    <cellStyle name="Komma 4 7 2 5" xfId="54644" xr:uid="{F8196A5C-B20D-43B5-B9F6-A8B1F0BBB3C5}"/>
    <cellStyle name="Komma 4 7 2 6" xfId="19111" xr:uid="{FCE603CF-2E70-4A0B-9C97-E3D57FD64BA8}"/>
    <cellStyle name="Komma 4 7 3" xfId="15228" xr:uid="{01BA37F0-C460-4A34-B581-000C0F12528F}"/>
    <cellStyle name="Komma 4 7 3 2" xfId="22767" xr:uid="{F7C4BC45-99B0-4739-B118-9A38F3D904FC}"/>
    <cellStyle name="Komma 4 7 3 3" xfId="47057" xr:uid="{BACEE3A9-0C77-4D5E-9A2B-FC770BF57B56}"/>
    <cellStyle name="Komma 4 7 3 4" xfId="52105" xr:uid="{A695E3F7-9187-4B2E-9CD4-91BC132997B6}"/>
    <cellStyle name="Komma 4 7 3 5" xfId="55121" xr:uid="{BFF26A97-A448-4074-93B5-19E5B62E0F03}"/>
    <cellStyle name="Komma 4 7 3 6" xfId="19254" xr:uid="{9A4580DB-BD80-488B-8B82-9926053AF666}"/>
    <cellStyle name="Komma 4 7 4" xfId="15715" xr:uid="{EBBC189B-B22A-4D06-9085-87074CF5A403}"/>
    <cellStyle name="Komma 4 7 4 2" xfId="23244" xr:uid="{84EDA469-8049-4AF3-B3F4-C9226CF2C3F2}"/>
    <cellStyle name="Komma 4 7 4 3" xfId="47847" xr:uid="{8249DBA4-A134-4151-ACF1-A7DC7AD2B90A}"/>
    <cellStyle name="Komma 4 7 4 4" xfId="52582" xr:uid="{7643E4A4-5A01-4B82-84A6-DF04967DF624}"/>
    <cellStyle name="Komma 4 7 4 5" xfId="55598" xr:uid="{F1E07915-92AE-4479-9F82-AB0CE8D5A150}"/>
    <cellStyle name="Komma 4 7 4 6" xfId="19399" xr:uid="{3C9136A8-DC60-4ACD-9113-C59EBBF8F4A9}"/>
    <cellStyle name="Komma 4 7 5" xfId="12729" xr:uid="{8FEDE4F9-47C3-4A84-8CE3-ECB3373AD7F7}"/>
    <cellStyle name="Komma 4 7 5 2" xfId="34514" xr:uid="{C9D461C8-7956-43DD-AE83-DF28A1A6A632}"/>
    <cellStyle name="Komma 4 7 5 3" xfId="51151" xr:uid="{CFE4B12E-3E59-49E7-8A9D-49784912A3E1}"/>
    <cellStyle name="Komma 4 7 5 4" xfId="54167" xr:uid="{90337E3A-2F07-47C7-8099-065E40D5CB42}"/>
    <cellStyle name="Komma 4 7 5 5" xfId="21969" xr:uid="{589B4B16-7E2B-41E4-AFDD-C7AA60F14AB8}"/>
    <cellStyle name="Komma 4 7 6" xfId="23917" xr:uid="{70F4E5C1-2AFD-4504-B7BD-8AE41E7F76F1}"/>
    <cellStyle name="Komma 4 7 7" xfId="46081" xr:uid="{3DE71123-A175-4F78-8A07-99ED79CF459F}"/>
    <cellStyle name="Komma 4 7 8" xfId="48766" xr:uid="{DE2ACF56-4FC7-4773-B11F-0BAC5191E82B}"/>
    <cellStyle name="Komma 4 7 9" xfId="49672" xr:uid="{31F85E20-AFEC-4054-8B2F-0935434741AA}"/>
    <cellStyle name="Komma 4 8" xfId="10590" xr:uid="{3A33E737-E65D-47C0-9DA3-70ECD1D03FEA}"/>
    <cellStyle name="Komma 4 8 10" xfId="50257" xr:uid="{19AD55EB-5084-436B-A04A-1A995352830F}"/>
    <cellStyle name="Komma 4 8 11" xfId="53273" xr:uid="{F6AB5305-F5E5-4B90-817B-E4731718464A}"/>
    <cellStyle name="Komma 4 8 12" xfId="19030" xr:uid="{4825BB03-F7A6-4EBB-B4C0-753F342D532F}"/>
    <cellStyle name="Komma 4 8 2" xfId="14955" xr:uid="{A0CA0C19-A779-4F58-878D-FC30A0E8AC1F}"/>
    <cellStyle name="Komma 4 8 2 2" xfId="22502" xr:uid="{ECB1733B-EEF9-4634-9A4E-1A3BD976069B}"/>
    <cellStyle name="Komma 4 8 2 3" xfId="32518" xr:uid="{BE1A2D0A-F131-4BB5-A01C-AF4FD37D8669}"/>
    <cellStyle name="Komma 4 8 2 4" xfId="51840" xr:uid="{A170D369-1BC9-4E32-921F-875058EB0058}"/>
    <cellStyle name="Komma 4 8 2 5" xfId="54856" xr:uid="{F20D9AD5-22E2-4632-A575-A4B3EEB25DAF}"/>
    <cellStyle name="Komma 4 8 2 6" xfId="19171" xr:uid="{B1490327-0F3D-4747-843F-D73F6F470259}"/>
    <cellStyle name="Komma 4 8 3" xfId="15440" xr:uid="{115A0543-25D1-4237-8906-99474D185A5B}"/>
    <cellStyle name="Komma 4 8 3 2" xfId="22979" xr:uid="{C96EAF5F-694C-48C4-B3EE-DAE8E5FB9C9D}"/>
    <cellStyle name="Komma 4 8 3 3" xfId="47724" xr:uid="{DEC28D58-4FC4-49DA-96C7-53A0A6CCFA12}"/>
    <cellStyle name="Komma 4 8 3 4" xfId="52317" xr:uid="{A6D513AD-E658-4530-A148-F615260411B7}"/>
    <cellStyle name="Komma 4 8 3 5" xfId="55333" xr:uid="{A67CBB1E-626C-417F-B9F2-A7420FD735AA}"/>
    <cellStyle name="Komma 4 8 3 6" xfId="19314" xr:uid="{B275C24D-4CF9-49EA-B9FA-863E3B0A12CC}"/>
    <cellStyle name="Komma 4 8 4" xfId="15928" xr:uid="{E1241901-B93E-42A2-B18F-04F1F4643D77}"/>
    <cellStyle name="Komma 4 8 4 2" xfId="23456" xr:uid="{DB48A04F-55F6-4FA9-A59B-5416BF4D917A}"/>
    <cellStyle name="Komma 4 8 4 3" xfId="46608" xr:uid="{9AC50228-D6CE-41D5-B26F-398DCE553F8C}"/>
    <cellStyle name="Komma 4 8 4 4" xfId="52794" xr:uid="{C6DB4C38-927F-4759-93D6-7C31370262C0}"/>
    <cellStyle name="Komma 4 8 4 5" xfId="55810" xr:uid="{3FFC8B67-538B-496F-AE27-D1322AE5B343}"/>
    <cellStyle name="Komma 4 8 4 6" xfId="19460" xr:uid="{FC77C441-8035-453A-AABD-DFEC591A8650}"/>
    <cellStyle name="Komma 4 8 5" xfId="13043" xr:uid="{ABA2FF95-105D-4859-8541-4E61684F22EF}"/>
    <cellStyle name="Komma 4 8 5 2" xfId="46825" xr:uid="{CA8D1229-3D8F-4032-84CB-E13408E13277}"/>
    <cellStyle name="Komma 4 8 5 3" xfId="51363" xr:uid="{ECDCD074-7775-45FA-8084-7971F75901FD}"/>
    <cellStyle name="Komma 4 8 5 4" xfId="54379" xr:uid="{BF846414-4867-40E9-AD3E-F515A1CF84DA}"/>
    <cellStyle name="Komma 4 8 5 5" xfId="22029" xr:uid="{CC6DDDC0-3713-432E-A5B3-6838984F6E2A}"/>
    <cellStyle name="Komma 4 8 6" xfId="23918" xr:uid="{52CE9BA4-E53B-4311-A285-48C0125A4ED1}"/>
    <cellStyle name="Komma 4 8 7" xfId="25367" xr:uid="{CC831B7D-70CF-4F1A-AF20-8C9E4B177CBB}"/>
    <cellStyle name="Komma 4 8 8" xfId="48767" xr:uid="{1D1E6F64-653F-4E72-932A-F889AEEE2396}"/>
    <cellStyle name="Komma 4 8 9" xfId="49673" xr:uid="{C8456892-1113-451C-B49F-C109A9959C3E}"/>
    <cellStyle name="Komma 4 9" xfId="13055" xr:uid="{B17AF00F-FA9B-43B9-8D86-BB7860E3BD99}"/>
    <cellStyle name="Komma 4 9 2" xfId="23919" xr:uid="{A8FF952C-7FDE-4B7C-9FEA-5A2F84994B20}"/>
    <cellStyle name="Komma 4 9 3" xfId="48768" xr:uid="{749252F8-AB92-4122-A41B-B53069499BA5}"/>
    <cellStyle name="Komma 4 9 4" xfId="49674" xr:uid="{5E979C39-72AF-4F58-982B-68268F9D004E}"/>
    <cellStyle name="Komma 5" xfId="9105" xr:uid="{9EBAD1F2-010F-4ABA-9530-03CD8C092790}"/>
    <cellStyle name="Komma 5 10" xfId="15019" xr:uid="{EA090EBE-9F8D-4407-83DB-4839974B734A}"/>
    <cellStyle name="Komma 5 10 2" xfId="22559" xr:uid="{A28FC2FE-3B0D-4F79-B989-511ABE0E62CB}"/>
    <cellStyle name="Komma 5 10 3" xfId="47775" xr:uid="{C268085B-D446-4A09-BE7C-726B0D7A8D8E}"/>
    <cellStyle name="Komma 5 10 4" xfId="51897" xr:uid="{480E195C-B3AF-447B-876D-B55CDAF2F84F}"/>
    <cellStyle name="Komma 5 10 5" xfId="54913" xr:uid="{B987E180-FD95-421D-899A-3525828EF1C4}"/>
    <cellStyle name="Komma 5 11" xfId="15506" xr:uid="{9C317A3E-3447-4CF0-87A7-AAC9AC5C7F6A}"/>
    <cellStyle name="Komma 5 11 2" xfId="23036" xr:uid="{D574579E-FB77-4143-A730-5C5E1AE2A154}"/>
    <cellStyle name="Komma 5 11 3" xfId="46542" xr:uid="{5690B805-374B-4632-B46B-E86C293152E2}"/>
    <cellStyle name="Komma 5 11 4" xfId="52374" xr:uid="{1BFC837C-9FE7-443E-8DFB-CB291AD127B0}"/>
    <cellStyle name="Komma 5 11 5" xfId="55390" xr:uid="{AB4B9AC4-1B11-42D1-98CD-B9C279FA6F92}"/>
    <cellStyle name="Komma 5 12" xfId="11239" xr:uid="{42F113AE-0B82-49A3-B315-714EEC67F5C1}"/>
    <cellStyle name="Komma 5 12 2" xfId="46729" xr:uid="{AD544653-1505-4696-9E9D-5C1E5220801C}"/>
    <cellStyle name="Komma 5 12 3" xfId="50717" xr:uid="{9DA8107A-D907-4A54-959F-527020E00E6B}"/>
    <cellStyle name="Komma 5 12 4" xfId="53733" xr:uid="{BA9C608D-5A32-4D04-A4BF-EE6129426FEA}"/>
    <cellStyle name="Komma 5 13" xfId="23920" xr:uid="{898567B0-F80E-4087-B690-B92FAF2A651F}"/>
    <cellStyle name="Komma 5 14" xfId="48769" xr:uid="{EC77B6D1-4AF3-4557-8F2A-605DCB88C1A7}"/>
    <cellStyle name="Komma 5 15" xfId="49675" xr:uid="{C70F07CF-E821-40C1-8A80-DEA58CE8696D}"/>
    <cellStyle name="Komma 5 16" xfId="49837" xr:uid="{38C44003-D7E6-4D49-AC7E-BDFDDFAA5C6D}"/>
    <cellStyle name="Komma 5 17" xfId="52852" xr:uid="{8D812B12-9380-4D1A-8611-7AAFB3D08975}"/>
    <cellStyle name="Komma 5 2" xfId="9106" xr:uid="{F25A8F37-40E1-446F-85ED-50CD28735DB6}"/>
    <cellStyle name="Komma 5 2 10" xfId="15507" xr:uid="{AAFA82E1-B66C-4E24-8AA4-4F34202EC3E3}"/>
    <cellStyle name="Komma 5 2 10 2" xfId="23037" xr:uid="{5BDC9D4E-C516-4410-BAD5-8FD51D5E4343}"/>
    <cellStyle name="Komma 5 2 10 3" xfId="48543" xr:uid="{B49B1178-E032-4B42-A684-DE1C106B529D}"/>
    <cellStyle name="Komma 5 2 10 4" xfId="52375" xr:uid="{9E9B445F-8553-42CF-BE38-16A4EA131817}"/>
    <cellStyle name="Komma 5 2 10 5" xfId="55391" xr:uid="{F32C732A-68EF-4AF0-80F1-1194DD916AC7}"/>
    <cellStyle name="Komma 5 2 11" xfId="11591" xr:uid="{CAF38906-6004-46FF-AB2D-138A33398625}"/>
    <cellStyle name="Komma 5 2 11 2" xfId="46281" xr:uid="{9B798425-0872-4519-83A4-DE98C820CB9E}"/>
    <cellStyle name="Komma 5 2 11 3" xfId="50738" xr:uid="{D1EB331A-A809-4504-823E-26C7E7251AB8}"/>
    <cellStyle name="Komma 5 2 11 4" xfId="53754" xr:uid="{E78A58A7-D145-484D-95F7-06D126D0B7FE}"/>
    <cellStyle name="Komma 5 2 12" xfId="23921" xr:uid="{BDCE8FAD-8447-415C-9A8F-AA2884C2AFD8}"/>
    <cellStyle name="Komma 5 2 13" xfId="48770" xr:uid="{84462A12-EEF7-4C0E-ADCB-7B5C6E0AC2F3}"/>
    <cellStyle name="Komma 5 2 14" xfId="49676" xr:uid="{BDD6EB24-05A3-482E-8726-5CBAEB1203EC}"/>
    <cellStyle name="Komma 5 2 15" xfId="49838" xr:uid="{A2537381-EC6E-41C9-BDF0-5D3FE69B3249}"/>
    <cellStyle name="Komma 5 2 16" xfId="52853" xr:uid="{AEB4135D-8941-40F9-A640-A49D20E1EEE7}"/>
    <cellStyle name="Komma 5 2 2" xfId="9107" xr:uid="{CA96F8FC-AA84-4883-84B7-F562676941F1}"/>
    <cellStyle name="Komma 5 2 2 10" xfId="12191" xr:uid="{262317E9-AEB5-43C1-86E5-7C7C6137E4D7}"/>
    <cellStyle name="Komma 5 2 2 10 2" xfId="24702" xr:uid="{4C8E3BF9-7C89-4702-921B-41F25233D749}"/>
    <cellStyle name="Komma 5 2 2 10 3" xfId="50937" xr:uid="{A0528575-88D0-415E-8FA4-7AFF21F84F71}"/>
    <cellStyle name="Komma 5 2 2 10 4" xfId="53953" xr:uid="{2B5B9767-FEE1-4E70-A522-AE1FED7B15C0}"/>
    <cellStyle name="Komma 5 2 2 11" xfId="23922" xr:uid="{87DA5BB1-695D-40D8-9B8C-D3F77C70EE2A}"/>
    <cellStyle name="Komma 5 2 2 12" xfId="48771" xr:uid="{B9DA8277-68E8-4A00-843F-1E6030761F43}"/>
    <cellStyle name="Komma 5 2 2 13" xfId="49677" xr:uid="{1CC5CF14-0F94-44CD-BC63-9AF5C3D751DC}"/>
    <cellStyle name="Komma 5 2 2 14" xfId="49839" xr:uid="{26B3AF0D-6B57-4993-82D4-7CD534801B20}"/>
    <cellStyle name="Komma 5 2 2 15" xfId="52854" xr:uid="{3F55D513-C9A1-4D7E-8957-FE3DA31230D8}"/>
    <cellStyle name="Komma 5 2 2 2" xfId="10049" xr:uid="{CBBBEB96-1F26-4ABC-B477-C1450D0A1EFB}"/>
    <cellStyle name="Komma 5 2 2 2 10" xfId="49678" xr:uid="{397FD930-81DF-4FF0-9532-57B992E821FD}"/>
    <cellStyle name="Komma 5 2 2 2 11" xfId="49892" xr:uid="{6E921982-3828-497B-899D-6BD3F5C2D6C3}"/>
    <cellStyle name="Komma 5 2 2 2 12" xfId="52908" xr:uid="{FA6E7957-483B-4AF9-AF2F-3711660EBC1D}"/>
    <cellStyle name="Komma 5 2 2 2 2" xfId="10357" xr:uid="{3D5A98B5-093F-42EE-BB0F-531E1BE31982}"/>
    <cellStyle name="Komma 5 2 2 2 2 2" xfId="14802" xr:uid="{56832933-7337-47BF-9EC7-7635B9E3430A}"/>
    <cellStyle name="Komma 5 2 2 2 2 2 2" xfId="22349" xr:uid="{87D82E1C-5F63-46F1-B5B3-3C056ED55F25}"/>
    <cellStyle name="Komma 5 2 2 2 2 2 3" xfId="36986" xr:uid="{FDE99555-8306-46A1-8F60-002DC1BCB5F3}"/>
    <cellStyle name="Komma 5 2 2 2 2 2 4" xfId="51687" xr:uid="{BF8F7BA7-7C1C-4A12-A32F-9DFDB59F3A2C}"/>
    <cellStyle name="Komma 5 2 2 2 2 2 5" xfId="54703" xr:uid="{480FDEBD-A55B-4131-8E47-E0EB04C62D35}"/>
    <cellStyle name="Komma 5 2 2 2 2 3" xfId="15287" xr:uid="{26350F5B-30BE-4B53-AFFB-03088382E447}"/>
    <cellStyle name="Komma 5 2 2 2 2 3 2" xfId="22826" xr:uid="{40EFC893-B975-46B5-8A59-165FC2C8A301}"/>
    <cellStyle name="Komma 5 2 2 2 2 3 3" xfId="46509" xr:uid="{7C1DCCE7-3E68-434F-AB57-3C0071FAE4E3}"/>
    <cellStyle name="Komma 5 2 2 2 2 3 4" xfId="52164" xr:uid="{FBD2EEFF-FD02-49BE-A349-27E11A91DABA}"/>
    <cellStyle name="Komma 5 2 2 2 2 3 5" xfId="55180" xr:uid="{A1FDA5DB-9AA9-4389-A670-91EC40346983}"/>
    <cellStyle name="Komma 5 2 2 2 2 4" xfId="15774" xr:uid="{F57D3196-5688-4609-999C-57B388B792EA}"/>
    <cellStyle name="Komma 5 2 2 2 2 4 2" xfId="23303" xr:uid="{73ED45B9-3443-46CE-8FAA-61E19E628E1C}"/>
    <cellStyle name="Komma 5 2 2 2 2 4 3" xfId="46583" xr:uid="{1593DB6D-BB8E-49C5-A763-F3A41D23725F}"/>
    <cellStyle name="Komma 5 2 2 2 2 4 4" xfId="52641" xr:uid="{F8F37C28-5137-4277-ACD4-B2AF92C503BB}"/>
    <cellStyle name="Komma 5 2 2 2 2 4 5" xfId="55657" xr:uid="{4A5A3D5F-BB9E-4199-ABFF-33F19BF36AC8}"/>
    <cellStyle name="Komma 5 2 2 2 2 5" xfId="12810" xr:uid="{D69DD30F-47D0-41DD-832B-38922214DF27}"/>
    <cellStyle name="Komma 5 2 2 2 2 5 2" xfId="37108" xr:uid="{B207FF7D-4E50-43AC-8AE0-7874D8552E0D}"/>
    <cellStyle name="Komma 5 2 2 2 2 5 3" xfId="51210" xr:uid="{65CDCC3C-3A2D-460F-B8C7-8055246DC55D}"/>
    <cellStyle name="Komma 5 2 2 2 2 5 4" xfId="54226" xr:uid="{63DAC05E-E12A-4D56-84AA-7668CDAE4382}"/>
    <cellStyle name="Komma 5 2 2 2 2 6" xfId="46099" xr:uid="{23EAD587-E21D-41A2-A8B7-7A7B3CE404CC}"/>
    <cellStyle name="Komma 5 2 2 2 2 7" xfId="50104" xr:uid="{38407ECB-51ED-408D-9CBF-47403595A819}"/>
    <cellStyle name="Komma 5 2 2 2 2 8" xfId="53120" xr:uid="{793660E2-FCA4-4C50-814F-6D51DDD4F124}"/>
    <cellStyle name="Komma 5 2 2 2 3" xfId="14590" xr:uid="{3151195F-1A88-4E9C-979F-29672BAF493D}"/>
    <cellStyle name="Komma 5 2 2 2 3 2" xfId="22137" xr:uid="{19FE5E41-78DA-407F-8446-B0237C6B53C7}"/>
    <cellStyle name="Komma 5 2 2 2 3 3" xfId="47624" xr:uid="{DDD839E7-4E53-46D3-A8BD-B29F88E5425E}"/>
    <cellStyle name="Komma 5 2 2 2 3 4" xfId="51475" xr:uid="{2CB9367A-F4E4-4872-8251-9B2B2D2B147C}"/>
    <cellStyle name="Komma 5 2 2 2 3 5" xfId="54491" xr:uid="{6D6E6EA7-87ED-40A4-98E9-8B0C37D42EA8}"/>
    <cellStyle name="Komma 5 2 2 2 4" xfId="15074" xr:uid="{E0949DC3-09E4-4C4B-9BE8-2665110C050F}"/>
    <cellStyle name="Komma 5 2 2 2 4 2" xfId="22614" xr:uid="{FC3F3B3B-7407-4866-997D-13D0DB7DDDDB}"/>
    <cellStyle name="Komma 5 2 2 2 4 3" xfId="48293" xr:uid="{91FDEEC0-8F7F-4AD2-8DC9-66159FA6503F}"/>
    <cellStyle name="Komma 5 2 2 2 4 4" xfId="51952" xr:uid="{715B9849-2DA1-4F80-B13C-C2DAD3994B0E}"/>
    <cellStyle name="Komma 5 2 2 2 4 5" xfId="54968" xr:uid="{2F82227A-E997-4B7D-9B90-CC2BB23B0F82}"/>
    <cellStyle name="Komma 5 2 2 2 5" xfId="15561" xr:uid="{E88474D4-8BA3-4BE3-B6D8-448D85A5D1DF}"/>
    <cellStyle name="Komma 5 2 2 2 5 2" xfId="23091" xr:uid="{B543E97A-766D-4091-B7CC-C1E8E1407A7F}"/>
    <cellStyle name="Komma 5 2 2 2 5 3" xfId="46551" xr:uid="{840B74E0-B6F5-47AC-ABE6-B124DAA7953E}"/>
    <cellStyle name="Komma 5 2 2 2 5 4" xfId="52429" xr:uid="{1D630A26-8A63-494D-B85B-CED179D0B168}"/>
    <cellStyle name="Komma 5 2 2 2 5 5" xfId="55445" xr:uid="{81885F95-838F-43B3-8A80-0AFB1BC89545}"/>
    <cellStyle name="Komma 5 2 2 2 6" xfId="12509" xr:uid="{AC1B9B0F-F2A1-44E1-AEEE-C583916DDBB9}"/>
    <cellStyle name="Komma 5 2 2 2 6 2" xfId="48046" xr:uid="{D047CCB3-BCDA-4C1A-BE6B-8A122C1A290D}"/>
    <cellStyle name="Komma 5 2 2 2 6 3" xfId="50998" xr:uid="{F3119336-D395-449F-9837-12C8E72C273C}"/>
    <cellStyle name="Komma 5 2 2 2 6 4" xfId="54014" xr:uid="{E610570D-99E5-4974-AEC6-872DC063112F}"/>
    <cellStyle name="Komma 5 2 2 2 7" xfId="23923" xr:uid="{75840744-5537-428E-92B7-4CD07A595980}"/>
    <cellStyle name="Komma 5 2 2 2 8" xfId="47951" xr:uid="{3A8B17F3-7DFD-4274-B39A-EDAFF1017171}"/>
    <cellStyle name="Komma 5 2 2 2 9" xfId="48772" xr:uid="{5D8CBAE8-023B-40DD-8B43-69E25866AD80}"/>
    <cellStyle name="Komma 5 2 2 3" xfId="10123" xr:uid="{B64DE828-E65C-4538-9E38-938BF5F83666}"/>
    <cellStyle name="Komma 5 2 2 3 10" xfId="49679" xr:uid="{7B7E04EF-3FF8-4EDB-8DB1-C1F88430BBAB}"/>
    <cellStyle name="Komma 5 2 2 3 11" xfId="49945" xr:uid="{2B8D1183-EF4B-4311-B39E-D73ABC63D82F}"/>
    <cellStyle name="Komma 5 2 2 3 12" xfId="52961" xr:uid="{19A38644-804A-4780-BEEE-7B29F62C5809}"/>
    <cellStyle name="Komma 5 2 2 3 2" xfId="10436" xr:uid="{E816BDD7-4BF9-46B7-B79A-2AC24BC536A9}"/>
    <cellStyle name="Komma 5 2 2 3 2 2" xfId="14855" xr:uid="{2EB4C0F8-67DC-43A7-ADA2-F4D71B570E7C}"/>
    <cellStyle name="Komma 5 2 2 3 2 2 2" xfId="22402" xr:uid="{994E3B0E-5586-44E9-87D5-834070CFCC7A}"/>
    <cellStyle name="Komma 5 2 2 3 2 2 3" xfId="47834" xr:uid="{59A14A81-E153-493F-A4B7-6C2705EAE28A}"/>
    <cellStyle name="Komma 5 2 2 3 2 2 4" xfId="51740" xr:uid="{C4EECB34-42E3-4D98-9C95-0255AE7B0904}"/>
    <cellStyle name="Komma 5 2 2 3 2 2 5" xfId="54756" xr:uid="{716B1E43-2472-4E55-B582-3B03504520C5}"/>
    <cellStyle name="Komma 5 2 2 3 2 3" xfId="15340" xr:uid="{401D44DA-E25D-4267-806F-C7B46F6C06A5}"/>
    <cellStyle name="Komma 5 2 2 3 2 3 2" xfId="22879" xr:uid="{039C6608-DEBE-4959-999F-887E32828D7E}"/>
    <cellStyle name="Komma 5 2 2 3 2 3 3" xfId="46908" xr:uid="{1293D999-4F9B-45D6-925A-D71734475BC7}"/>
    <cellStyle name="Komma 5 2 2 3 2 3 4" xfId="52217" xr:uid="{7100A54C-0410-4C37-8E2F-D033D3FA1C3F}"/>
    <cellStyle name="Komma 5 2 2 3 2 3 5" xfId="55233" xr:uid="{536B3F5B-52C9-4704-A21B-0620DCB04A1C}"/>
    <cellStyle name="Komma 5 2 2 3 2 4" xfId="15827" xr:uid="{A10E71A5-C71E-4443-960D-D318F4AAE15A}"/>
    <cellStyle name="Komma 5 2 2 3 2 4 2" xfId="23356" xr:uid="{BF1718B2-789B-49CA-B02C-00D900F78B07}"/>
    <cellStyle name="Komma 5 2 2 3 2 4 3" xfId="48084" xr:uid="{D2A1B140-2059-410C-9D6C-30952D79A353}"/>
    <cellStyle name="Komma 5 2 2 3 2 4 4" xfId="52694" xr:uid="{995D7F2D-7193-4804-BBE9-1A1D258B8387}"/>
    <cellStyle name="Komma 5 2 2 3 2 4 5" xfId="55710" xr:uid="{7DB9FB56-014C-4007-BF10-6FD0DDCCCDE2}"/>
    <cellStyle name="Komma 5 2 2 3 2 5" xfId="12889" xr:uid="{A23316A8-829B-4273-8365-73A14E043C96}"/>
    <cellStyle name="Komma 5 2 2 3 2 5 2" xfId="47100" xr:uid="{0CD0F94B-5A48-46C2-A428-EAAB65064259}"/>
    <cellStyle name="Komma 5 2 2 3 2 5 3" xfId="51263" xr:uid="{0FD1A243-3EF0-45E7-85E9-CF22CE01056D}"/>
    <cellStyle name="Komma 5 2 2 3 2 5 4" xfId="54279" xr:uid="{CCB3FCE9-10F1-4BCF-82D3-4210AC4EF037}"/>
    <cellStyle name="Komma 5 2 2 3 2 6" xfId="47140" xr:uid="{D406B29A-AE07-4704-A166-C026B71C982F}"/>
    <cellStyle name="Komma 5 2 2 3 2 7" xfId="50157" xr:uid="{99969E83-02C1-4A9F-9AE0-A05B36E7A9AD}"/>
    <cellStyle name="Komma 5 2 2 3 2 8" xfId="53173" xr:uid="{842E5C43-50F8-4454-B87B-485C34C46169}"/>
    <cellStyle name="Komma 5 2 2 3 3" xfId="14643" xr:uid="{FE56E580-A052-41CF-9A9D-0240966490E7}"/>
    <cellStyle name="Komma 5 2 2 3 3 2" xfId="22190" xr:uid="{CFA53357-3CEF-4ADB-96C7-371D49C077D9}"/>
    <cellStyle name="Komma 5 2 2 3 3 3" xfId="48405" xr:uid="{7DCD8F3F-8409-4247-A88C-36A6A6D8DC4F}"/>
    <cellStyle name="Komma 5 2 2 3 3 4" xfId="51528" xr:uid="{0AD10709-3132-4FEB-A98D-E7C8F6B6F07C}"/>
    <cellStyle name="Komma 5 2 2 3 3 5" xfId="54544" xr:uid="{DDEBF28E-1FD0-4F8E-ABE9-E91EDB0395B7}"/>
    <cellStyle name="Komma 5 2 2 3 4" xfId="15128" xr:uid="{DA696BBD-4A56-40F2-9493-D4D95B830200}"/>
    <cellStyle name="Komma 5 2 2 3 4 2" xfId="22667" xr:uid="{0B582801-35E3-4AF9-A2B5-2C58BC21B154}"/>
    <cellStyle name="Komma 5 2 2 3 4 3" xfId="24909" xr:uid="{6B4F48E2-1DBB-4525-929E-F99A2B10582F}"/>
    <cellStyle name="Komma 5 2 2 3 4 4" xfId="52005" xr:uid="{BBDAA947-9AEB-4695-9644-5B132557290D}"/>
    <cellStyle name="Komma 5 2 2 3 4 5" xfId="55021" xr:uid="{F4D09C73-004E-4175-BA3A-A50E3E025CB8}"/>
    <cellStyle name="Komma 5 2 2 3 5" xfId="15615" xr:uid="{FB8A2405-2EFC-4728-B262-7C1B5B123F17}"/>
    <cellStyle name="Komma 5 2 2 3 5 2" xfId="23144" xr:uid="{5AE186D0-2292-49E2-B4B5-900CE713A49C}"/>
    <cellStyle name="Komma 5 2 2 3 5 3" xfId="36573" xr:uid="{1BA2F10D-3668-4498-9C4D-DDBB085C7487}"/>
    <cellStyle name="Komma 5 2 2 3 5 4" xfId="52482" xr:uid="{E6A03F9A-79BD-420F-A0D8-96B3F41ADE31}"/>
    <cellStyle name="Komma 5 2 2 3 5 5" xfId="55498" xr:uid="{B74B5BBC-59B5-44FD-99BA-358E96959BEA}"/>
    <cellStyle name="Komma 5 2 2 3 6" xfId="12580" xr:uid="{CDEE65F2-DA09-453A-A273-10E837C78170}"/>
    <cellStyle name="Komma 5 2 2 3 6 2" xfId="25074" xr:uid="{7B1D15C3-7B59-4EFF-A8AF-D56A07F6946E}"/>
    <cellStyle name="Komma 5 2 2 3 6 3" xfId="51051" xr:uid="{72F205D6-7040-448B-8607-1ABA22C51E2F}"/>
    <cellStyle name="Komma 5 2 2 3 6 4" xfId="54067" xr:uid="{95A35BB0-8871-4F85-B5DE-11C442E7BCCF}"/>
    <cellStyle name="Komma 5 2 2 3 7" xfId="23924" xr:uid="{3D552921-0C52-4A04-9B19-2F44D18CD3B7}"/>
    <cellStyle name="Komma 5 2 2 3 8" xfId="25380" xr:uid="{26C7B35F-F9A7-4DFF-9435-A239F497BD81}"/>
    <cellStyle name="Komma 5 2 2 3 9" xfId="48773" xr:uid="{414E35FB-B250-4D86-B3D0-2B154BB8DE36}"/>
    <cellStyle name="Komma 5 2 2 4" xfId="10202" xr:uid="{EB50A3DF-81FD-491D-AF05-1CC682A6830B}"/>
    <cellStyle name="Komma 5 2 2 4 2" xfId="10516" xr:uid="{F62D90E7-7ECC-4934-8593-94AA1FFC1737}"/>
    <cellStyle name="Komma 5 2 2 4 2 2" xfId="14908" xr:uid="{6F3DDED5-F3D5-4E60-A4BD-ACA0CD065206}"/>
    <cellStyle name="Komma 5 2 2 4 2 2 2" xfId="22455" xr:uid="{DA5B85C8-ECFC-482C-8D6F-26B82E9AE0B0}"/>
    <cellStyle name="Komma 5 2 2 4 2 2 3" xfId="48508" xr:uid="{F2C734D1-65D2-486F-941F-9ACF72E899FB}"/>
    <cellStyle name="Komma 5 2 2 4 2 2 4" xfId="51793" xr:uid="{D57FA7B3-4E5C-41C8-B46A-09965582BA11}"/>
    <cellStyle name="Komma 5 2 2 4 2 2 5" xfId="54809" xr:uid="{F146DA0F-D386-41E7-A273-280BEC8F3314}"/>
    <cellStyle name="Komma 5 2 2 4 2 3" xfId="15393" xr:uid="{9416FDF8-E66E-4E18-B4EF-6C84140B935C}"/>
    <cellStyle name="Komma 5 2 2 4 2 3 2" xfId="22932" xr:uid="{43D82C70-0601-4D28-BDF6-68163EF2CFAF}"/>
    <cellStyle name="Komma 5 2 2 4 2 3 3" xfId="46526" xr:uid="{CE53B28F-D895-46F2-B1EE-0FADA966B686}"/>
    <cellStyle name="Komma 5 2 2 4 2 3 4" xfId="52270" xr:uid="{50A31214-2762-4CDA-9621-A8E8A7EFD874}"/>
    <cellStyle name="Komma 5 2 2 4 2 3 5" xfId="55286" xr:uid="{4DA5C1A6-C3FA-4244-90F7-0D45A5445597}"/>
    <cellStyle name="Komma 5 2 2 4 2 4" xfId="15880" xr:uid="{5FA9AFE6-606B-40F1-AB83-8C5B04218610}"/>
    <cellStyle name="Komma 5 2 2 4 2 4 2" xfId="23409" xr:uid="{49B90AD2-A512-4399-9218-2495D17A8428}"/>
    <cellStyle name="Komma 5 2 2 4 2 4 3" xfId="46600" xr:uid="{894FD563-9BFF-40F6-8ADF-3AE88966C32E}"/>
    <cellStyle name="Komma 5 2 2 4 2 4 4" xfId="52747" xr:uid="{ED0E5EF9-EA71-4FA8-9BB0-06E77A40D29F}"/>
    <cellStyle name="Komma 5 2 2 4 2 4 5" xfId="55763" xr:uid="{4BEC4AB9-9AF5-4367-A6CD-AD8EDB6FDE12}"/>
    <cellStyle name="Komma 5 2 2 4 2 5" xfId="12969" xr:uid="{4850FD08-9078-4F37-BF0B-E42557991144}"/>
    <cellStyle name="Komma 5 2 2 4 2 5 2" xfId="47476" xr:uid="{4AA47BD0-722F-4F0D-BD94-068797DE22F3}"/>
    <cellStyle name="Komma 5 2 2 4 2 5 3" xfId="51316" xr:uid="{43E6CA00-386C-4AEB-9019-D5B8882FF62C}"/>
    <cellStyle name="Komma 5 2 2 4 2 5 4" xfId="54332" xr:uid="{05F54672-A154-4FDE-A650-0D4C600E649B}"/>
    <cellStyle name="Komma 5 2 2 4 2 6" xfId="46143" xr:uid="{AEE1D646-EA93-4713-BC5E-68FF04B8B393}"/>
    <cellStyle name="Komma 5 2 2 4 2 7" xfId="50210" xr:uid="{CCD33871-0FF0-432F-96C5-B53556316019}"/>
    <cellStyle name="Komma 5 2 2 4 2 8" xfId="53226" xr:uid="{2B784889-04E6-40D4-82CE-B3FB0C021EBC}"/>
    <cellStyle name="Komma 5 2 2 4 3" xfId="14696" xr:uid="{12E980D7-E33B-4EA3-A1A6-3D44078107E6}"/>
    <cellStyle name="Komma 5 2 2 4 3 2" xfId="22243" xr:uid="{61CE01AC-8413-4FA1-AC51-B4B7471282A4}"/>
    <cellStyle name="Komma 5 2 2 4 3 3" xfId="46419" xr:uid="{D1314643-8B92-4782-A12B-DE3C94A60423}"/>
    <cellStyle name="Komma 5 2 2 4 3 4" xfId="51581" xr:uid="{5619AD8C-CA5A-4DFA-85DD-5D930AA6C918}"/>
    <cellStyle name="Komma 5 2 2 4 3 5" xfId="54597" xr:uid="{06B3A02A-554C-453A-9E1E-88567CD7E675}"/>
    <cellStyle name="Komma 5 2 2 4 4" xfId="15181" xr:uid="{3C495611-7F5A-4136-8F6C-0B73D65BC620}"/>
    <cellStyle name="Komma 5 2 2 4 4 2" xfId="22720" xr:uid="{F14F3A4C-93FD-42BA-8961-9664D98BF7F4}"/>
    <cellStyle name="Komma 5 2 2 4 4 3" xfId="47682" xr:uid="{ADA41B72-BC77-4389-932E-A802183CA5E2}"/>
    <cellStyle name="Komma 5 2 2 4 4 4" xfId="52058" xr:uid="{7A51A870-3B9F-4423-9D38-35C46B2BDCB3}"/>
    <cellStyle name="Komma 5 2 2 4 4 5" xfId="55074" xr:uid="{1197548A-5745-413B-BD59-0B71CFBA9CAC}"/>
    <cellStyle name="Komma 5 2 2 4 5" xfId="15668" xr:uid="{64704DB5-0E40-4A8D-9498-F249BCBC1030}"/>
    <cellStyle name="Komma 5 2 2 4 5 2" xfId="23197" xr:uid="{26D7FC25-5580-4B27-AA0A-624403A741D4}"/>
    <cellStyle name="Komma 5 2 2 4 5 3" xfId="46569" xr:uid="{99E5D092-4A51-40D3-9511-FED9BB4A26F6}"/>
    <cellStyle name="Komma 5 2 2 4 5 4" xfId="52535" xr:uid="{568512A4-2679-46FF-A213-B564FD352E30}"/>
    <cellStyle name="Komma 5 2 2 4 5 5" xfId="55551" xr:uid="{3C3A27AB-5CEA-4505-9114-0B18709C2217}"/>
    <cellStyle name="Komma 5 2 2 4 6" xfId="12656" xr:uid="{DFE4CE31-E573-4CC2-ADBD-B8A927547AA9}"/>
    <cellStyle name="Komma 5 2 2 4 6 2" xfId="25066" xr:uid="{3B69A5E0-DB54-489D-9C6E-409463371362}"/>
    <cellStyle name="Komma 5 2 2 4 6 3" xfId="51104" xr:uid="{DC23D4CF-75B7-4351-9B78-04EA917D2DAF}"/>
    <cellStyle name="Komma 5 2 2 4 6 4" xfId="54120" xr:uid="{A6643CEB-2B4E-439F-8937-B690F0606041}"/>
    <cellStyle name="Komma 5 2 2 4 7" xfId="25373" xr:uid="{11594B74-7BDA-472C-AAFC-B7497849CFA7}"/>
    <cellStyle name="Komma 5 2 2 4 8" xfId="49998" xr:uid="{4926873A-5D75-4E60-9C35-BC3D963FC5E6}"/>
    <cellStyle name="Komma 5 2 2 4 9" xfId="53014" xr:uid="{24BC9FDC-5A46-4C1E-9501-1879EACB4D1E}"/>
    <cellStyle name="Komma 5 2 2 5" xfId="10282" xr:uid="{42AD9D73-003E-49DB-8244-C4CAFD5DAC37}"/>
    <cellStyle name="Komma 5 2 2 5 2" xfId="14749" xr:uid="{0EFF1A06-5ABC-4E24-B6F4-F1FDCD7384DC}"/>
    <cellStyle name="Komma 5 2 2 5 2 2" xfId="22296" xr:uid="{9C3FDC46-9433-4084-B5E4-16C37DC23202}"/>
    <cellStyle name="Komma 5 2 2 5 2 3" xfId="24459" xr:uid="{87AAD9AB-380F-43D4-AC0B-F5E9F5C1984D}"/>
    <cellStyle name="Komma 5 2 2 5 2 4" xfId="51634" xr:uid="{CC534C29-16E6-4096-9F31-39A6B6C1E436}"/>
    <cellStyle name="Komma 5 2 2 5 2 5" xfId="54650" xr:uid="{EBF242E9-BEDC-4907-8981-74451BDAE3B0}"/>
    <cellStyle name="Komma 5 2 2 5 3" xfId="15234" xr:uid="{7B45A723-EA28-4D88-8C19-4C28DCFA6C65}"/>
    <cellStyle name="Komma 5 2 2 5 3 2" xfId="22773" xr:uid="{405DDBD9-91BA-4D59-B997-28D5E97723A1}"/>
    <cellStyle name="Komma 5 2 2 5 3 3" xfId="47403" xr:uid="{6F1A77E5-71F9-4DD2-93AF-763175B64078}"/>
    <cellStyle name="Komma 5 2 2 5 3 4" xfId="52111" xr:uid="{8CCCC509-743F-4F90-AD8C-260E3381238A}"/>
    <cellStyle name="Komma 5 2 2 5 3 5" xfId="55127" xr:uid="{B2D13C33-CC6C-4254-8FE6-E67129C33E54}"/>
    <cellStyle name="Komma 5 2 2 5 4" xfId="15721" xr:uid="{5D11FA1C-0E10-42A9-890E-C09FF93EF672}"/>
    <cellStyle name="Komma 5 2 2 5 4 2" xfId="23250" xr:uid="{1F5D60E1-F482-4BA5-B50B-EBA2ADFBCA64}"/>
    <cellStyle name="Komma 5 2 2 5 4 3" xfId="48423" xr:uid="{7B33261B-52C9-4D07-8AB2-B586D920C7B4}"/>
    <cellStyle name="Komma 5 2 2 5 4 4" xfId="52588" xr:uid="{90BD5732-8FA3-44C2-BC98-E89D3DF82C97}"/>
    <cellStyle name="Komma 5 2 2 5 4 5" xfId="55604" xr:uid="{F3E56D27-921B-4467-87B3-C99EAF907A75}"/>
    <cellStyle name="Komma 5 2 2 5 5" xfId="12735" xr:uid="{8ED4DE4C-BF0D-4E37-9682-1D8791BD1DDE}"/>
    <cellStyle name="Komma 5 2 2 5 5 2" xfId="46347" xr:uid="{B2BDAE27-DEE1-48B8-B452-69D3298A2D68}"/>
    <cellStyle name="Komma 5 2 2 5 5 3" xfId="51157" xr:uid="{2D014EAE-42D7-49FC-94BA-BE887A0309D0}"/>
    <cellStyle name="Komma 5 2 2 5 5 4" xfId="54173" xr:uid="{70C25728-2A22-48EA-A95C-1B2AF6CEF625}"/>
    <cellStyle name="Komma 5 2 2 5 6" xfId="46084" xr:uid="{104F7E98-6334-47D4-B038-C5AE120165D1}"/>
    <cellStyle name="Komma 5 2 2 5 7" xfId="50051" xr:uid="{091C8814-AA6D-4C00-872C-C1D382E17CEE}"/>
    <cellStyle name="Komma 5 2 2 5 8" xfId="53067" xr:uid="{3C4DADB6-2378-4ED2-828B-8BDFD4C1143E}"/>
    <cellStyle name="Komma 5 2 2 6" xfId="10596" xr:uid="{DCAFB002-1BA9-4C14-BA78-E756F6CFBAA7}"/>
    <cellStyle name="Komma 5 2 2 6 2" xfId="14961" xr:uid="{DCE1CFD1-8E8E-4CBC-BC2D-2ABD261A0892}"/>
    <cellStyle name="Komma 5 2 2 6 2 2" xfId="22508" xr:uid="{45ACD1A6-177F-4290-B998-7809E6E94ACB}"/>
    <cellStyle name="Komma 5 2 2 6 2 3" xfId="32517" xr:uid="{037A1CEB-2F0F-4901-9854-954322469BA3}"/>
    <cellStyle name="Komma 5 2 2 6 2 4" xfId="51846" xr:uid="{6384145F-BB4C-43AD-8D0F-E53FB32130D5}"/>
    <cellStyle name="Komma 5 2 2 6 2 5" xfId="54862" xr:uid="{C2C8C451-758B-4FE8-B647-6B25BB1CF43D}"/>
    <cellStyle name="Komma 5 2 2 6 3" xfId="15446" xr:uid="{07FB9C30-2776-4B04-AF78-349F47CF9F47}"/>
    <cellStyle name="Komma 5 2 2 6 3 2" xfId="22985" xr:uid="{3FE95696-F3D7-4D44-9986-5438845D33C6}"/>
    <cellStyle name="Komma 5 2 2 6 3 3" xfId="48305" xr:uid="{C4E4FF9B-A620-41D7-955F-091BC8E863C5}"/>
    <cellStyle name="Komma 5 2 2 6 3 4" xfId="52323" xr:uid="{F88586D2-0F98-446B-A918-E0C72BBAD083}"/>
    <cellStyle name="Komma 5 2 2 6 3 5" xfId="55339" xr:uid="{53369100-45A6-4A8F-A7D8-1D5E4EFAB156}"/>
    <cellStyle name="Komma 5 2 2 6 4" xfId="15934" xr:uid="{B309D8F9-D730-42F8-B2FE-ACC4242C414B}"/>
    <cellStyle name="Komma 5 2 2 6 4 2" xfId="23462" xr:uid="{FB642F9B-851C-4800-9EF2-C1E4F79195CE}"/>
    <cellStyle name="Komma 5 2 2 6 4 3" xfId="46609" xr:uid="{6436D0DA-F6D2-4BC5-8DE3-6C93A07FFA9D}"/>
    <cellStyle name="Komma 5 2 2 6 4 4" xfId="52800" xr:uid="{E2FFB2D9-E8C3-4209-B653-CB2C041010C7}"/>
    <cellStyle name="Komma 5 2 2 6 4 5" xfId="55816" xr:uid="{357FAA3A-3191-42C6-9933-B189980BA05F}"/>
    <cellStyle name="Komma 5 2 2 6 5" xfId="13049" xr:uid="{3435D779-D3E3-4A3E-8A8A-E709FEC8A16B}"/>
    <cellStyle name="Komma 5 2 2 6 5 2" xfId="46826" xr:uid="{8D6C081E-6E53-4BDC-AB18-114B8ECD40BF}"/>
    <cellStyle name="Komma 5 2 2 6 5 3" xfId="51369" xr:uid="{D0B78E5A-E963-4CF9-9660-6F789811BB46}"/>
    <cellStyle name="Komma 5 2 2 6 5 4" xfId="54385" xr:uid="{9579C10E-35D7-4287-994F-665D6ECE5DF9}"/>
    <cellStyle name="Komma 5 2 2 6 6" xfId="46157" xr:uid="{355F164E-CC60-4A22-8D54-4E34FCF0BE12}"/>
    <cellStyle name="Komma 5 2 2 6 7" xfId="50263" xr:uid="{0C506546-CCBA-4A1A-A954-F6DAEF9F46D0}"/>
    <cellStyle name="Komma 5 2 2 6 8" xfId="53279" xr:uid="{E5CC1D7D-2952-462B-93FE-CB5B17C19CEF}"/>
    <cellStyle name="Komma 5 2 2 7" xfId="14537" xr:uid="{31034648-8DB6-4C1F-BE03-1FF170B1EC6C}"/>
    <cellStyle name="Komma 5 2 2 7 2" xfId="22084" xr:uid="{E574FABF-B440-4CAA-BA8D-DC2A42408865}"/>
    <cellStyle name="Komma 5 2 2 7 3" xfId="48058" xr:uid="{045A6DA6-CEEC-4CCA-B137-3828064A3E3E}"/>
    <cellStyle name="Komma 5 2 2 7 4" xfId="51422" xr:uid="{BC509813-82A4-48CC-B5C3-11F4BBEC1159}"/>
    <cellStyle name="Komma 5 2 2 7 5" xfId="54438" xr:uid="{06D126AF-A9BD-48F5-8BA3-861792ECC7D6}"/>
    <cellStyle name="Komma 5 2 2 8" xfId="15021" xr:uid="{B881F4FF-56AA-45E0-8437-827907E0783C}"/>
    <cellStyle name="Komma 5 2 2 8 2" xfId="22561" xr:uid="{A9B6B5E2-1ABF-437D-8D64-AF98A6D468E1}"/>
    <cellStyle name="Komma 5 2 2 8 3" xfId="46468" xr:uid="{CCA3E3C9-C683-4EEC-BC44-5F73DF2E97A2}"/>
    <cellStyle name="Komma 5 2 2 8 4" xfId="51899" xr:uid="{272B5C39-650F-4823-97B1-EE158564367C}"/>
    <cellStyle name="Komma 5 2 2 8 5" xfId="54915" xr:uid="{FCEF2EAC-23FE-4DCF-B1A2-B76792428CB4}"/>
    <cellStyle name="Komma 5 2 2 9" xfId="15508" xr:uid="{73C4DCFF-ED89-463B-A14D-8CBA10DA0E8B}"/>
    <cellStyle name="Komma 5 2 2 9 2" xfId="23038" xr:uid="{219D12E4-31AA-46D5-B7AD-3F3BDA764A54}"/>
    <cellStyle name="Komma 5 2 2 9 3" xfId="48279" xr:uid="{E4E23DED-E17F-4DA2-876D-E28A133A8A9B}"/>
    <cellStyle name="Komma 5 2 2 9 4" xfId="52376" xr:uid="{B8D2C6D2-659B-45E3-997B-152A1C2A45C6}"/>
    <cellStyle name="Komma 5 2 2 9 5" xfId="55392" xr:uid="{3BC95E04-A75F-48AE-AF8E-430447B5D28A}"/>
    <cellStyle name="Komma 5 2 3" xfId="10048" xr:uid="{6D26F375-A95D-4798-B3ED-8715944D7EA1}"/>
    <cellStyle name="Komma 5 2 3 10" xfId="49680" xr:uid="{C81D3187-956A-4411-8E88-37C711E24D9E}"/>
    <cellStyle name="Komma 5 2 3 11" xfId="49891" xr:uid="{549ED2E5-B057-4610-9EE3-ADB04E8BD4AC}"/>
    <cellStyle name="Komma 5 2 3 12" xfId="52907" xr:uid="{F1B01149-1653-4C0D-93A6-CEF8B108E0D6}"/>
    <cellStyle name="Komma 5 2 3 2" xfId="10356" xr:uid="{D778BFA5-A5D1-45AE-B37B-15D614793D6B}"/>
    <cellStyle name="Komma 5 2 3 2 10" xfId="50103" xr:uid="{6B69E809-3B49-47B8-BE22-18A032864E60}"/>
    <cellStyle name="Komma 5 2 3 2 11" xfId="53119" xr:uid="{AA6CFD46-249A-4CBF-8D74-E3499B3CA44C}"/>
    <cellStyle name="Komma 5 2 3 2 2" xfId="14801" xr:uid="{6B518636-F11F-4882-88C5-A5770C7E6B39}"/>
    <cellStyle name="Komma 5 2 3 2 2 2" xfId="22348" xr:uid="{0CAFE970-8F5C-4EED-97AC-276FB01B705C}"/>
    <cellStyle name="Komma 5 2 3 2 2 3" xfId="46435" xr:uid="{A4C6EFEF-1D39-4D71-9AE6-160E5C1B4F82}"/>
    <cellStyle name="Komma 5 2 3 2 2 4" xfId="51686" xr:uid="{96AC1346-2EDA-4114-8020-139F62D482F7}"/>
    <cellStyle name="Komma 5 2 3 2 2 5" xfId="54702" xr:uid="{D64162FB-BFC1-4F5B-A298-FD57AB3580F4}"/>
    <cellStyle name="Komma 5 2 3 2 3" xfId="15286" xr:uid="{B8B70CF6-EE68-4C61-BA69-DBE85873887F}"/>
    <cellStyle name="Komma 5 2 3 2 3 2" xfId="22825" xr:uid="{EFB34082-C32D-4F5A-83C6-34063B1DF50F}"/>
    <cellStyle name="Komma 5 2 3 2 3 3" xfId="24178" xr:uid="{2165B8DA-0C3B-404D-9871-7EE4320C55F6}"/>
    <cellStyle name="Komma 5 2 3 2 3 4" xfId="52163" xr:uid="{78630F49-A584-4A0B-9D96-0AF3FEF9CEB9}"/>
    <cellStyle name="Komma 5 2 3 2 3 5" xfId="55179" xr:uid="{780E4C01-0D77-49A6-87C1-16D13B7FDAA1}"/>
    <cellStyle name="Komma 5 2 3 2 4" xfId="15773" xr:uid="{87BC07D0-8A3F-4050-8800-01C109704D0B}"/>
    <cellStyle name="Komma 5 2 3 2 4 2" xfId="23302" xr:uid="{65972067-3B13-4CA7-8645-EF68F3AEAE5B}"/>
    <cellStyle name="Komma 5 2 3 2 4 3" xfId="47353" xr:uid="{CCF3273D-3522-4B6C-A8EB-9B6053C8CC1B}"/>
    <cellStyle name="Komma 5 2 3 2 4 4" xfId="52640" xr:uid="{880D297F-4FF0-4834-9CB0-10F143FF509E}"/>
    <cellStyle name="Komma 5 2 3 2 4 5" xfId="55656" xr:uid="{EB172D87-E6B8-47E5-AF70-760F44955568}"/>
    <cellStyle name="Komma 5 2 3 2 5" xfId="12809" xr:uid="{A610C2E1-A0BB-4F0B-B34E-FDA7A65DBFF0}"/>
    <cellStyle name="Komma 5 2 3 2 5 2" xfId="46356" xr:uid="{618AFA74-8EA0-4979-B6E2-96156A25A8A3}"/>
    <cellStyle name="Komma 5 2 3 2 5 3" xfId="51209" xr:uid="{A5B3573F-4DB8-4D72-92DF-E9E20463C9C3}"/>
    <cellStyle name="Komma 5 2 3 2 5 4" xfId="54225" xr:uid="{40CC33EA-0E84-4650-9A08-FE1597B65813}"/>
    <cellStyle name="Komma 5 2 3 2 6" xfId="23926" xr:uid="{4866DE52-80CE-4CE0-BBC7-CA941AFC294D}"/>
    <cellStyle name="Komma 5 2 3 2 7" xfId="47879" xr:uid="{E1950374-562C-4F33-A9DD-EE26728B49C0}"/>
    <cellStyle name="Komma 5 2 3 2 8" xfId="48775" xr:uid="{2DC3A3E4-8F42-400A-B3E1-756FB44078D4}"/>
    <cellStyle name="Komma 5 2 3 2 9" xfId="49681" xr:uid="{3EBE7CF3-B454-4CBC-83A4-7EFE3BC9151F}"/>
    <cellStyle name="Komma 5 2 3 3" xfId="14589" xr:uid="{B55AF7EA-6F84-45C7-A1E9-4D324F274AFA}"/>
    <cellStyle name="Komma 5 2 3 3 2" xfId="22136" xr:uid="{88E28F86-5892-4E50-87A6-8C2ED2FF256F}"/>
    <cellStyle name="Komma 5 2 3 3 3" xfId="24669" xr:uid="{2CB0BC7C-8762-4316-A532-7948BC0BA586}"/>
    <cellStyle name="Komma 5 2 3 3 4" xfId="51474" xr:uid="{3BD8B224-EF79-4509-83C3-95771D1EA168}"/>
    <cellStyle name="Komma 5 2 3 3 5" xfId="54490" xr:uid="{320E95F2-CB92-4A39-86B3-9A782912D163}"/>
    <cellStyle name="Komma 5 2 3 4" xfId="15073" xr:uid="{0E2A7DF2-C5BA-4B4A-A305-80791C61DEE3}"/>
    <cellStyle name="Komma 5 2 3 4 2" xfId="22613" xr:uid="{1F7ED3D9-FDAA-49B1-A1ED-1F5D809B953F}"/>
    <cellStyle name="Komma 5 2 3 4 3" xfId="47038" xr:uid="{B1432783-8F1C-45A0-B801-483289BFC42E}"/>
    <cellStyle name="Komma 5 2 3 4 4" xfId="51951" xr:uid="{1A963F20-A481-41A5-BA33-5CBE2642AED7}"/>
    <cellStyle name="Komma 5 2 3 4 5" xfId="54967" xr:uid="{4937B691-16B2-4D21-B9AB-C899B7A8AF3C}"/>
    <cellStyle name="Komma 5 2 3 5" xfId="15560" xr:uid="{B044E91B-BF2B-4E94-97B5-9F46439F7B3F}"/>
    <cellStyle name="Komma 5 2 3 5 2" xfId="23090" xr:uid="{4DE9BF88-6977-4E93-933E-D08AD5EF3B35}"/>
    <cellStyle name="Komma 5 2 3 5 3" xfId="48225" xr:uid="{BE3379FA-45DA-468E-A45B-03AB9C204664}"/>
    <cellStyle name="Komma 5 2 3 5 4" xfId="52428" xr:uid="{16875C19-F17F-4EE7-BFD2-9C3C8C7932B1}"/>
    <cellStyle name="Komma 5 2 3 5 5" xfId="55444" xr:uid="{75A379A6-C411-4DA1-9109-3C1A83637A70}"/>
    <cellStyle name="Komma 5 2 3 6" xfId="12508" xr:uid="{1D4C6A9F-64B9-451A-B98A-90CA91E87B10}"/>
    <cellStyle name="Komma 5 2 3 6 2" xfId="46762" xr:uid="{2B23F67D-E6F3-45D4-B99C-56A18AC497F2}"/>
    <cellStyle name="Komma 5 2 3 6 3" xfId="50997" xr:uid="{30E09DC3-EF70-4219-8428-9C9B66866E01}"/>
    <cellStyle name="Komma 5 2 3 6 4" xfId="54013" xr:uid="{85BFE13B-F25B-4BC8-AB94-041D30EC6916}"/>
    <cellStyle name="Komma 5 2 3 7" xfId="23925" xr:uid="{B958830D-8EB4-4F37-8AF3-BAF79E4CCC74}"/>
    <cellStyle name="Komma 5 2 3 8" xfId="48430" xr:uid="{AFE0C999-266D-4425-AB95-08CE94656DD5}"/>
    <cellStyle name="Komma 5 2 3 9" xfId="48774" xr:uid="{595A257D-51D2-4A53-A9BF-C03C726F9154}"/>
    <cellStyle name="Komma 5 2 4" xfId="10122" xr:uid="{60310247-4FD2-4E71-A61C-A14B484BAC98}"/>
    <cellStyle name="Komma 5 2 4 10" xfId="49682" xr:uid="{53ECD7FE-F13E-481C-9523-E54A2755D2DF}"/>
    <cellStyle name="Komma 5 2 4 11" xfId="49944" xr:uid="{0607862A-1CFA-468C-BCCF-3C527D48C691}"/>
    <cellStyle name="Komma 5 2 4 12" xfId="52960" xr:uid="{5195D341-8177-460F-AF98-6E2632CBDE9F}"/>
    <cellStyle name="Komma 5 2 4 2" xfId="10435" xr:uid="{5265E06D-707C-4CB8-B930-619F4EA0B32A}"/>
    <cellStyle name="Komma 5 2 4 2 2" xfId="14854" xr:uid="{03226763-D588-4284-A517-444BF4509BCF}"/>
    <cellStyle name="Komma 5 2 4 2 2 2" xfId="22401" xr:uid="{D126D79C-5B0F-4F2B-9451-F4ECF01109E4}"/>
    <cellStyle name="Komma 5 2 4 2 2 3" xfId="34031" xr:uid="{EA0AA647-E96E-4D03-BF6C-0A8F59BBA855}"/>
    <cellStyle name="Komma 5 2 4 2 2 4" xfId="51739" xr:uid="{AAC3000E-5628-4A9F-AB35-53F9D9EEA8F2}"/>
    <cellStyle name="Komma 5 2 4 2 2 5" xfId="54755" xr:uid="{BDEA32F3-4E5A-4E6C-8D73-D70B49EDCB88}"/>
    <cellStyle name="Komma 5 2 4 2 3" xfId="15339" xr:uid="{C098CF2B-50B5-4159-8867-C1BE6CBEA813}"/>
    <cellStyle name="Komma 5 2 4 2 3 2" xfId="22878" xr:uid="{26F5083E-4654-4123-A4A4-D3E5143D807E}"/>
    <cellStyle name="Komma 5 2 4 2 3 3" xfId="48417" xr:uid="{CE91B16F-04F9-4CA6-89FE-F9B6EBF95A0A}"/>
    <cellStyle name="Komma 5 2 4 2 3 4" xfId="52216" xr:uid="{B8C6B58B-E6A0-455E-B8FC-BAA5D8D490B7}"/>
    <cellStyle name="Komma 5 2 4 2 3 5" xfId="55232" xr:uid="{4EBC77DD-8F75-42DD-8C3B-D9447E7C8203}"/>
    <cellStyle name="Komma 5 2 4 2 4" xfId="15826" xr:uid="{EE948814-CCDD-4526-B339-7B70D35CAFCA}"/>
    <cellStyle name="Komma 5 2 4 2 4 2" xfId="23355" xr:uid="{FD1ECE90-5CAD-4FE5-B98B-31ED3CBA35C5}"/>
    <cellStyle name="Komma 5 2 4 2 4 3" xfId="46971" xr:uid="{F3238A9D-D889-455F-91C8-3D4549611F23}"/>
    <cellStyle name="Komma 5 2 4 2 4 4" xfId="52693" xr:uid="{2DE24DCD-28D9-4501-9BDB-128EAF6F5CB2}"/>
    <cellStyle name="Komma 5 2 4 2 4 5" xfId="55709" xr:uid="{169E7D4A-C319-40A9-ADF1-69A12414EB3B}"/>
    <cellStyle name="Komma 5 2 4 2 5" xfId="12888" xr:uid="{B7F47397-010F-40B6-8D61-88C51B5FBCB2}"/>
    <cellStyle name="Komma 5 2 4 2 5 2" xfId="48497" xr:uid="{8CE2CDAE-1EC9-4471-8746-D7B6BBAD66A5}"/>
    <cellStyle name="Komma 5 2 4 2 5 3" xfId="51262" xr:uid="{45773C63-49B5-47B1-8FBA-1A7EA18C2A86}"/>
    <cellStyle name="Komma 5 2 4 2 5 4" xfId="54278" xr:uid="{59745FFD-35BC-4F39-9919-6139EC788DA9}"/>
    <cellStyle name="Komma 5 2 4 2 6" xfId="46627" xr:uid="{62D2B8D2-2302-403F-ADC4-380FBADCED12}"/>
    <cellStyle name="Komma 5 2 4 2 7" xfId="50156" xr:uid="{28108241-C524-4128-96E4-72D33379034F}"/>
    <cellStyle name="Komma 5 2 4 2 8" xfId="53172" xr:uid="{FCC1B7BA-1F2A-45C0-9D44-56A5CFF43D7A}"/>
    <cellStyle name="Komma 5 2 4 3" xfId="14642" xr:uid="{09D88721-82CD-4E3B-897A-D3746E8EDA41}"/>
    <cellStyle name="Komma 5 2 4 3 2" xfId="22189" xr:uid="{BE5AD4A3-32F3-490F-B176-08AE3B002AD1}"/>
    <cellStyle name="Komma 5 2 4 3 3" xfId="37006" xr:uid="{8EB09CDA-69F0-4335-9789-B23C07EB285E}"/>
    <cellStyle name="Komma 5 2 4 3 4" xfId="51527" xr:uid="{F219567B-DF07-469D-81EE-EE0136776E82}"/>
    <cellStyle name="Komma 5 2 4 3 5" xfId="54543" xr:uid="{422B5C23-4B68-45B9-9B91-C484E9FF2241}"/>
    <cellStyle name="Komma 5 2 4 4" xfId="15127" xr:uid="{82ED0766-4E05-4047-BEA5-54A5317E5E04}"/>
    <cellStyle name="Komma 5 2 4 4 2" xfId="22666" xr:uid="{A3F0E36D-498A-4014-B387-8CC44958E20B}"/>
    <cellStyle name="Komma 5 2 4 4 3" xfId="46486" xr:uid="{62BBE29B-526D-4B38-A405-E8857F3525C8}"/>
    <cellStyle name="Komma 5 2 4 4 4" xfId="52004" xr:uid="{CBF4EAAC-B089-432E-9B41-96C542087D75}"/>
    <cellStyle name="Komma 5 2 4 4 5" xfId="55020" xr:uid="{4E910EAD-D380-463C-927A-65A8822A1597}"/>
    <cellStyle name="Komma 5 2 4 5" xfId="15614" xr:uid="{416F89A0-943C-4018-9A1E-3F8872E2DD7C}"/>
    <cellStyle name="Komma 5 2 4 5 2" xfId="23143" xr:uid="{0ED9C226-ACDC-4FE6-88A1-7066A69CB153}"/>
    <cellStyle name="Komma 5 2 4 5 3" xfId="46941" xr:uid="{AB13F773-CA1A-4B9E-AA26-F61920E99703}"/>
    <cellStyle name="Komma 5 2 4 5 4" xfId="52481" xr:uid="{000C4AD0-6D7C-4C2D-972E-74B831D31B15}"/>
    <cellStyle name="Komma 5 2 4 5 5" xfId="55497" xr:uid="{868F855F-B635-46ED-92B1-4A5053B6C6FF}"/>
    <cellStyle name="Komma 5 2 4 6" xfId="12579" xr:uid="{609BC24E-ECB5-4175-B097-3B2897A20C09}"/>
    <cellStyle name="Komma 5 2 4 6 2" xfId="46326" xr:uid="{10BEB181-3A70-44A6-B7FF-51F627BB7E67}"/>
    <cellStyle name="Komma 5 2 4 6 3" xfId="51050" xr:uid="{B9DA1869-A7E9-40AF-B1F3-63FC2799628F}"/>
    <cellStyle name="Komma 5 2 4 6 4" xfId="54066" xr:uid="{483552EC-1B2C-464E-9214-078BD9A689E2}"/>
    <cellStyle name="Komma 5 2 4 7" xfId="23927" xr:uid="{3F236356-F490-4323-AE84-912F17DDC18E}"/>
    <cellStyle name="Komma 5 2 4 8" xfId="47871" xr:uid="{29BE3FCB-6113-437D-9BD3-5235EC2CD489}"/>
    <cellStyle name="Komma 5 2 4 9" xfId="48776" xr:uid="{E19E33D7-2A5B-44BC-84AE-FDD10462B771}"/>
    <cellStyle name="Komma 5 2 5" xfId="10201" xr:uid="{D1CE8DEC-D5C3-44DA-A195-A57A689EBF63}"/>
    <cellStyle name="Komma 5 2 5 10" xfId="49683" xr:uid="{A037DC92-2A6F-47F0-A472-93DB8A22F55C}"/>
    <cellStyle name="Komma 5 2 5 11" xfId="49997" xr:uid="{30CA6EDB-0442-425A-A245-15C54F4EF433}"/>
    <cellStyle name="Komma 5 2 5 12" xfId="53013" xr:uid="{2940329E-B600-4E90-AD2D-FD88BBFB4A54}"/>
    <cellStyle name="Komma 5 2 5 2" xfId="10515" xr:uid="{159D91A0-F303-4B23-ABDA-1F103110D7E8}"/>
    <cellStyle name="Komma 5 2 5 2 2" xfId="14907" xr:uid="{163A1AF3-D21C-4B34-A314-781FB8C49A30}"/>
    <cellStyle name="Komma 5 2 5 2 2 2" xfId="22454" xr:uid="{D493E840-373F-47F2-9610-4FAECF761C49}"/>
    <cellStyle name="Komma 5 2 5 2 2 3" xfId="47486" xr:uid="{63396AC4-B14B-421F-94D8-5EAD6174C60F}"/>
    <cellStyle name="Komma 5 2 5 2 2 4" xfId="51792" xr:uid="{4005FF69-C738-4BED-9777-C938ABDE491B}"/>
    <cellStyle name="Komma 5 2 5 2 2 5" xfId="54808" xr:uid="{EF5CC5EA-151A-4CBC-9EDA-78FEC90FCEA6}"/>
    <cellStyle name="Komma 5 2 5 2 3" xfId="15392" xr:uid="{745D820F-A853-4876-B315-FEE214293FF0}"/>
    <cellStyle name="Komma 5 2 5 2 3 2" xfId="22931" xr:uid="{607CA071-8DDB-4FA1-9D5F-AD4A23C27F51}"/>
    <cellStyle name="Komma 5 2 5 2 3 3" xfId="46525" xr:uid="{35E86865-BACB-4E80-AD46-8B3B5AFD35CE}"/>
    <cellStyle name="Komma 5 2 5 2 3 4" xfId="52269" xr:uid="{450B0A3F-C75B-4E98-949E-5C3EABBA2B26}"/>
    <cellStyle name="Komma 5 2 5 2 3 5" xfId="55285" xr:uid="{8160690E-7570-4BEA-8C48-235D3A8830E1}"/>
    <cellStyle name="Komma 5 2 5 2 4" xfId="15879" xr:uid="{3A70F15F-C8E0-4C42-8A27-D128C52048A5}"/>
    <cellStyle name="Komma 5 2 5 2 4 2" xfId="23408" xr:uid="{65C1A83B-23BE-4AB2-A886-714E8ED30FBE}"/>
    <cellStyle name="Komma 5 2 5 2 4 3" xfId="47971" xr:uid="{0DBF6706-83A7-41BC-974C-030372D9E73D}"/>
    <cellStyle name="Komma 5 2 5 2 4 4" xfId="52746" xr:uid="{B7322458-5F0C-4F49-9FD3-9FAFAEA53DB2}"/>
    <cellStyle name="Komma 5 2 5 2 4 5" xfId="55762" xr:uid="{20FA08B6-03BA-4214-B753-D09BCB393ECE}"/>
    <cellStyle name="Komma 5 2 5 2 5" xfId="12968" xr:uid="{60854466-3D3A-4BFE-AC8E-91FCD9D790ED}"/>
    <cellStyle name="Komma 5 2 5 2 5 2" xfId="46817" xr:uid="{BEEC8084-84DF-47A0-B1C6-9524D87E1926}"/>
    <cellStyle name="Komma 5 2 5 2 5 3" xfId="51315" xr:uid="{3E8FE961-9527-42F9-94DA-F139915BA4AA}"/>
    <cellStyle name="Komma 5 2 5 2 5 4" xfId="54331" xr:uid="{95154E9F-CB0C-43E2-BB8F-1CA5575796D9}"/>
    <cellStyle name="Komma 5 2 5 2 6" xfId="47954" xr:uid="{A29B9650-A2A4-4043-B6B2-F0CC6802CF04}"/>
    <cellStyle name="Komma 5 2 5 2 7" xfId="50209" xr:uid="{DC4E99D0-F056-4FD8-982A-E29551C83A18}"/>
    <cellStyle name="Komma 5 2 5 2 8" xfId="53225" xr:uid="{F3C898DE-CA0C-454A-9647-FA797773D5D5}"/>
    <cellStyle name="Komma 5 2 5 3" xfId="14695" xr:uid="{A025FABD-00F1-4435-8A7B-3669F86AE5BE}"/>
    <cellStyle name="Komma 5 2 5 3 2" xfId="22242" xr:uid="{08C576ED-45B3-4A03-AE0C-EC991CFAD196}"/>
    <cellStyle name="Komma 5 2 5 3 3" xfId="47626" xr:uid="{A10A4918-81DA-4923-AD0B-47B371312584}"/>
    <cellStyle name="Komma 5 2 5 3 4" xfId="51580" xr:uid="{684CAFB7-8BC5-4E8D-9163-8227553F63E7}"/>
    <cellStyle name="Komma 5 2 5 3 5" xfId="54596" xr:uid="{BB5FE053-251D-4DA8-B7EF-5248D2E3B102}"/>
    <cellStyle name="Komma 5 2 5 4" xfId="15180" xr:uid="{F6997AA1-057B-4D9A-AAEB-33D8985CAB79}"/>
    <cellStyle name="Komma 5 2 5 4 2" xfId="22719" xr:uid="{20B2E187-ADF6-422B-AABA-938611A309B0}"/>
    <cellStyle name="Komma 5 2 5 4 3" xfId="46890" xr:uid="{548233B4-A266-4C89-B05F-9FA6B37C3731}"/>
    <cellStyle name="Komma 5 2 5 4 4" xfId="52057" xr:uid="{198AC1B4-108D-4DD8-B97C-D7644FF53D71}"/>
    <cellStyle name="Komma 5 2 5 4 5" xfId="55073" xr:uid="{D3C57059-5B19-4430-BC54-C671029167BC}"/>
    <cellStyle name="Komma 5 2 5 5" xfId="15667" xr:uid="{88204B4F-C353-423F-947A-D045D1AD5C01}"/>
    <cellStyle name="Komma 5 2 5 5 2" xfId="23196" xr:uid="{26CA4838-9A62-4FF5-BA64-3413A98E1B88}"/>
    <cellStyle name="Komma 5 2 5 5 3" xfId="46568" xr:uid="{79036E19-A268-4838-8150-FCCC903F5CFE}"/>
    <cellStyle name="Komma 5 2 5 5 4" xfId="52534" xr:uid="{8FEE2239-D95F-44B0-9935-1C8B0DA5A3DB}"/>
    <cellStyle name="Komma 5 2 5 5 5" xfId="55550" xr:uid="{46AA4E97-732A-4ABC-8533-07BB8226CDC7}"/>
    <cellStyle name="Komma 5 2 5 6" xfId="12655" xr:uid="{6556BE8D-C97F-4971-8FF4-D93945DDFA51}"/>
    <cellStyle name="Komma 5 2 5 6 2" xfId="47093" xr:uid="{379BAAF1-5662-4259-B02A-1A282AC4E938}"/>
    <cellStyle name="Komma 5 2 5 6 3" xfId="51103" xr:uid="{20D5E5AF-4188-4AD1-A3D7-C55D0A901322}"/>
    <cellStyle name="Komma 5 2 5 6 4" xfId="54119" xr:uid="{A01A56D7-DE3D-48B1-A0A2-615EADAEFDF8}"/>
    <cellStyle name="Komma 5 2 5 7" xfId="23928" xr:uid="{17E99C51-EDC7-4641-AA7F-401EAEE9D6C6}"/>
    <cellStyle name="Komma 5 2 5 8" xfId="47875" xr:uid="{74493FD5-CA23-4B90-BCA8-B3B149508C8E}"/>
    <cellStyle name="Komma 5 2 5 9" xfId="48777" xr:uid="{0BB7FC9E-C35F-4935-8D77-ED9315DCAFA6}"/>
    <cellStyle name="Komma 5 2 6" xfId="10281" xr:uid="{F3488F8A-DA39-4ED8-A106-C00DB30E9888}"/>
    <cellStyle name="Komma 5 2 6 2" xfId="14748" xr:uid="{09C06137-4536-45E3-8C77-C2CB233FA844}"/>
    <cellStyle name="Komma 5 2 6 2 2" xfId="22295" xr:uid="{C1A9E064-9371-406D-97DD-36BA86D1261D}"/>
    <cellStyle name="Komma 5 2 6 2 3" xfId="24952" xr:uid="{318BC09C-8207-49BE-A2B4-284320477234}"/>
    <cellStyle name="Komma 5 2 6 2 4" xfId="51633" xr:uid="{69252948-53FF-4DFA-90A0-88F6CAFFF256}"/>
    <cellStyle name="Komma 5 2 6 2 5" xfId="54649" xr:uid="{1703DF55-7837-493F-B2B5-34CE537AE435}"/>
    <cellStyle name="Komma 5 2 6 3" xfId="15233" xr:uid="{1B8089DB-DE2B-451A-9B50-0017FB90A742}"/>
    <cellStyle name="Komma 5 2 6 3 2" xfId="22772" xr:uid="{95D572FB-7CBA-499C-BB4B-E9C015D98794}"/>
    <cellStyle name="Komma 5 2 6 3 3" xfId="48253" xr:uid="{272BF97B-70E8-438F-8BF4-F1BB41C7C98C}"/>
    <cellStyle name="Komma 5 2 6 3 4" xfId="52110" xr:uid="{5779C1F5-DBAA-42C7-A04A-6E56E8AF508D}"/>
    <cellStyle name="Komma 5 2 6 3 5" xfId="55126" xr:uid="{D869A481-8609-46EF-B02A-101254082BE3}"/>
    <cellStyle name="Komma 5 2 6 4" xfId="15720" xr:uid="{3E52CCB3-C939-466C-990C-F80C2ECA79B9}"/>
    <cellStyle name="Komma 5 2 6 4 2" xfId="23249" xr:uid="{9EDBEC5C-CAB7-4D6B-B018-481311941B17}"/>
    <cellStyle name="Komma 5 2 6 4 3" xfId="47137" xr:uid="{D23F9B87-7DF4-4365-8AF6-813A0EE54BE4}"/>
    <cellStyle name="Komma 5 2 6 4 4" xfId="52587" xr:uid="{FEA607E8-97BC-4D86-A168-DC0C719975BC}"/>
    <cellStyle name="Komma 5 2 6 4 5" xfId="55603" xr:uid="{83A8F47E-73B2-4BE2-BFA1-6745DC8D0153}"/>
    <cellStyle name="Komma 5 2 6 5" xfId="12734" xr:uid="{5C15354A-E569-420D-9664-2B1DC9334169}"/>
    <cellStyle name="Komma 5 2 6 5 2" xfId="32277" xr:uid="{497516C4-6D2D-43BF-B896-EE3909FD8FF9}"/>
    <cellStyle name="Komma 5 2 6 5 3" xfId="51156" xr:uid="{CB2E8229-2087-472B-8212-19A0131823AC}"/>
    <cellStyle name="Komma 5 2 6 5 4" xfId="54172" xr:uid="{3A3803FD-00A7-4319-8BC6-1DFA79CF6D90}"/>
    <cellStyle name="Komma 5 2 6 6" xfId="47067" xr:uid="{A7D7C029-DAD4-40EB-BE85-0B00C41D2F13}"/>
    <cellStyle name="Komma 5 2 6 7" xfId="50050" xr:uid="{B9BEDF79-1A81-47BF-8778-814B5331DC8C}"/>
    <cellStyle name="Komma 5 2 6 8" xfId="53066" xr:uid="{C4156AEF-C00D-4755-81B1-D2ECC86C7677}"/>
    <cellStyle name="Komma 5 2 7" xfId="10595" xr:uid="{AE06B94D-C300-4057-97FF-96B1E625D392}"/>
    <cellStyle name="Komma 5 2 7 2" xfId="14960" xr:uid="{7B8F0738-F2FC-4574-AD4B-0D763CCF9167}"/>
    <cellStyle name="Komma 5 2 7 2 2" xfId="22507" xr:uid="{A289A0CC-B242-4DB1-908F-78D8D28BB7A4}"/>
    <cellStyle name="Komma 5 2 7 2 3" xfId="47836" xr:uid="{13A800E8-E22A-472E-9184-C32C0722C33E}"/>
    <cellStyle name="Komma 5 2 7 2 4" xfId="51845" xr:uid="{7D4E9D62-F509-4AB4-9A97-55365C5AF100}"/>
    <cellStyle name="Komma 5 2 7 2 5" xfId="54861" xr:uid="{E1683A22-805A-4F4E-A49B-9D3A6FC58FE1}"/>
    <cellStyle name="Komma 5 2 7 3" xfId="15445" xr:uid="{2261BD99-E217-44F3-87CC-E759B1C833B5}"/>
    <cellStyle name="Komma 5 2 7 3 2" xfId="22984" xr:uid="{32C1F509-599A-450E-A881-749E459DCD76}"/>
    <cellStyle name="Komma 5 2 7 3 3" xfId="46536" xr:uid="{772AAB39-8990-4A5F-9D67-7E93848827C2}"/>
    <cellStyle name="Komma 5 2 7 3 4" xfId="52322" xr:uid="{EA278920-4A2E-40D8-86B3-7F4C84AB395D}"/>
    <cellStyle name="Komma 5 2 7 3 5" xfId="55338" xr:uid="{70DC8716-40D3-4F30-A967-68F42AD6F3FE}"/>
    <cellStyle name="Komma 5 2 7 4" xfId="15933" xr:uid="{E7AC21FB-9A66-4148-A506-62C74392848D}"/>
    <cellStyle name="Komma 5 2 7 4 2" xfId="23461" xr:uid="{6380D6DF-6F70-4DCF-AAC2-717373631DA1}"/>
    <cellStyle name="Komma 5 2 7 4 3" xfId="48295" xr:uid="{C157A3D5-E2B4-4DD1-AD3F-857A647A560C}"/>
    <cellStyle name="Komma 5 2 7 4 4" xfId="52799" xr:uid="{8A88CDE7-CA23-4C11-AACC-88C85A3E9935}"/>
    <cellStyle name="Komma 5 2 7 4 5" xfId="55815" xr:uid="{022C600E-77E3-4E7D-A096-666E23E5CFF1}"/>
    <cellStyle name="Komma 5 2 7 5" xfId="13048" xr:uid="{115C733A-2A0E-4D9B-9200-FF01BA8B817B}"/>
    <cellStyle name="Komma 5 2 7 5 2" xfId="47053" xr:uid="{71134296-99E5-4FD2-929F-8A2B961BE50F}"/>
    <cellStyle name="Komma 5 2 7 5 3" xfId="51368" xr:uid="{14054DDF-C8B3-4FAA-A532-048FE4713497}"/>
    <cellStyle name="Komma 5 2 7 5 4" xfId="54384" xr:uid="{C28DFEFC-E4D1-47AF-A92C-62CE6087F773}"/>
    <cellStyle name="Komma 5 2 7 6" xfId="47955" xr:uid="{39309A10-CA71-4C4C-919B-E698A325BBA3}"/>
    <cellStyle name="Komma 5 2 7 7" xfId="50262" xr:uid="{B96628A9-5D81-44BA-A380-5F3E663E66B0}"/>
    <cellStyle name="Komma 5 2 7 8" xfId="53278" xr:uid="{F15D0319-2B94-443D-A304-D2629F576C11}"/>
    <cellStyle name="Komma 5 2 8" xfId="14536" xr:uid="{E9666176-1FA9-48D9-B134-4BFD51A3F1FA}"/>
    <cellStyle name="Komma 5 2 8 2" xfId="22083" xr:uid="{8FAAE03E-48E1-4CB8-92EF-FF203B722206}"/>
    <cellStyle name="Komma 5 2 8 3" xfId="46830" xr:uid="{C9EB6983-0DF1-4A20-BB5B-1F218356B68A}"/>
    <cellStyle name="Komma 5 2 8 4" xfId="51421" xr:uid="{E96DB36A-A37F-4B23-A620-7B044D5FEE4E}"/>
    <cellStyle name="Komma 5 2 8 5" xfId="54437" xr:uid="{ED66D3BF-9722-4999-B82E-6A3F8FBDC847}"/>
    <cellStyle name="Komma 5 2 9" xfId="15020" xr:uid="{8E811419-D889-4E92-900D-CFB687CD1247}"/>
    <cellStyle name="Komma 5 2 9 2" xfId="22560" xr:uid="{A33FCDD3-8A92-4941-A071-1C663AD319EB}"/>
    <cellStyle name="Komma 5 2 9 3" xfId="47080" xr:uid="{5BE93E47-C651-42F3-90AC-766209E3AF07}"/>
    <cellStyle name="Komma 5 2 9 4" xfId="51898" xr:uid="{E473E711-F942-41D5-9CFC-B351F2D05F89}"/>
    <cellStyle name="Komma 5 2 9 5" xfId="54914" xr:uid="{8ED3D3CD-590A-4AA4-904E-37917BECFD5D}"/>
    <cellStyle name="Komma 5 3" xfId="9108" xr:uid="{8E7D15EB-1B94-48DA-A105-BED638D42DCF}"/>
    <cellStyle name="Komma 5 3 10" xfId="12156" xr:uid="{D386ED27-FA8D-456E-95DD-91DB8019D657}"/>
    <cellStyle name="Komma 5 3 10 2" xfId="47754" xr:uid="{87BB0311-F64E-4BE0-8CC4-5D44FAE74C39}"/>
    <cellStyle name="Komma 5 3 10 3" xfId="50931" xr:uid="{018E1EB7-FE1A-4421-A126-8C4CA6C87EC0}"/>
    <cellStyle name="Komma 5 3 10 4" xfId="53947" xr:uid="{B6269EF9-2EED-41D6-8A54-6282FF049320}"/>
    <cellStyle name="Komma 5 3 11" xfId="23929" xr:uid="{8C35DA4B-F533-4F6A-B6EA-7C6BCF876BAD}"/>
    <cellStyle name="Komma 5 3 12" xfId="48778" xr:uid="{448F299C-8698-44A1-AF4C-69E58BDB937C}"/>
    <cellStyle name="Komma 5 3 13" xfId="49684" xr:uid="{0AE7695F-FB99-4B43-9F56-89D0C950A47E}"/>
    <cellStyle name="Komma 5 3 14" xfId="49840" xr:uid="{49C2939B-1964-4CA2-8061-A1609D8B61B4}"/>
    <cellStyle name="Komma 5 3 15" xfId="52855" xr:uid="{8878104E-B6DE-460F-B0AF-17A763910480}"/>
    <cellStyle name="Komma 5 3 2" xfId="10050" xr:uid="{3177E329-0A92-4D5D-A1BB-DA783898788E}"/>
    <cellStyle name="Komma 5 3 2 10" xfId="49685" xr:uid="{3AFD17BA-DBBA-4785-B519-990964385707}"/>
    <cellStyle name="Komma 5 3 2 11" xfId="49893" xr:uid="{77692B32-86E1-4544-AA87-DC72BF82B766}"/>
    <cellStyle name="Komma 5 3 2 12" xfId="52909" xr:uid="{3B0C3203-4ABE-41FD-BC04-1CB00BC2823E}"/>
    <cellStyle name="Komma 5 3 2 2" xfId="10358" xr:uid="{FC62D252-EBD7-4865-A5AC-7C3BE8046223}"/>
    <cellStyle name="Komma 5 3 2 2 2" xfId="14803" xr:uid="{A7EA6137-CDDA-4FA6-A7CB-F9F28D1F555A}"/>
    <cellStyle name="Komma 5 3 2 2 2 2" xfId="22350" xr:uid="{2491A9A0-0F47-4882-8102-AACD57D18B9E}"/>
    <cellStyle name="Komma 5 3 2 2 2 3" xfId="24456" xr:uid="{7E51AE91-EC2B-4545-AE95-B6E8D384ECD0}"/>
    <cellStyle name="Komma 5 3 2 2 2 4" xfId="51688" xr:uid="{DAF0A4C9-8A8C-4A36-AB40-565336489741}"/>
    <cellStyle name="Komma 5 3 2 2 2 5" xfId="54704" xr:uid="{8B613120-6B6D-4AA1-9A61-A8A56F71DD20}"/>
    <cellStyle name="Komma 5 3 2 2 3" xfId="15288" xr:uid="{C9CA479F-D20C-4967-B663-32E24DBD6751}"/>
    <cellStyle name="Komma 5 3 2 2 3 2" xfId="22827" xr:uid="{E2762A36-3808-4034-BC0A-57820736FD64}"/>
    <cellStyle name="Komma 5 3 2 2 3 3" xfId="46510" xr:uid="{D4928050-9450-4F43-85D4-C55C36B25F58}"/>
    <cellStyle name="Komma 5 3 2 2 3 4" xfId="52165" xr:uid="{EE042505-40D7-4615-BFC3-1B3F0A931ECD}"/>
    <cellStyle name="Komma 5 3 2 2 3 5" xfId="55181" xr:uid="{EF308958-ADE4-4CA9-A37E-290DB0FFAF91}"/>
    <cellStyle name="Komma 5 3 2 2 4" xfId="15775" xr:uid="{3C7B9724-96DD-4EE7-9253-5CEA70874EB6}"/>
    <cellStyle name="Komma 5 3 2 2 4 2" xfId="23304" xr:uid="{7DAD2B00-8A10-4CB6-A5DE-3A75AA4EE706}"/>
    <cellStyle name="Komma 5 3 2 2 4 3" xfId="47030" xr:uid="{70BCAAC7-667F-4B2A-8EBB-70F8DC7D37AB}"/>
    <cellStyle name="Komma 5 3 2 2 4 4" xfId="52642" xr:uid="{044B5EDC-F896-4B25-8564-C6A7A5B7872A}"/>
    <cellStyle name="Komma 5 3 2 2 4 5" xfId="55658" xr:uid="{DEF21040-6F23-4A8F-AF31-B1FBD8FD5E8B}"/>
    <cellStyle name="Komma 5 3 2 2 5" xfId="12811" xr:uid="{04EA31F5-2ACA-425E-BAB1-58E868207EFB}"/>
    <cellStyle name="Komma 5 3 2 2 5 2" xfId="47822" xr:uid="{0930ADBE-AAFF-4C4E-9C37-93B9B83275EE}"/>
    <cellStyle name="Komma 5 3 2 2 5 3" xfId="51211" xr:uid="{B91AD8C9-1659-47DA-BA28-33C8CA51E730}"/>
    <cellStyle name="Komma 5 3 2 2 5 4" xfId="54227" xr:uid="{5239FD68-C0AF-471C-AF29-A5552F91B648}"/>
    <cellStyle name="Komma 5 3 2 2 6" xfId="48455" xr:uid="{EEC8CE48-BC12-4406-BAFA-64496428F79A}"/>
    <cellStyle name="Komma 5 3 2 2 7" xfId="50105" xr:uid="{EC795EDE-4052-4EFA-AF22-7688F0510EC2}"/>
    <cellStyle name="Komma 5 3 2 2 8" xfId="53121" xr:uid="{8CE27D10-954A-425E-BDD5-E90CB5A8C1D7}"/>
    <cellStyle name="Komma 5 3 2 3" xfId="14591" xr:uid="{591AA9A3-8725-40F8-8079-E50EB6618686}"/>
    <cellStyle name="Komma 5 3 2 3 2" xfId="22138" xr:uid="{94FC6ECF-79A1-41CE-838C-D23031F160B9}"/>
    <cellStyle name="Komma 5 3 2 3 3" xfId="46405" xr:uid="{32491BC7-FB09-42C6-A397-33DC47043D1E}"/>
    <cellStyle name="Komma 5 3 2 3 4" xfId="51476" xr:uid="{86890B73-5A39-496B-AD24-2FC26BC18858}"/>
    <cellStyle name="Komma 5 3 2 3 5" xfId="54492" xr:uid="{E2BB5423-0C2D-46A6-A191-F1C6C0F635C0}"/>
    <cellStyle name="Komma 5 3 2 4" xfId="15075" xr:uid="{B9B9B293-0A02-4239-9760-949AFABB6B05}"/>
    <cellStyle name="Komma 5 3 2 4 2" xfId="22615" xr:uid="{92BEF4D6-900D-4C75-B8A6-EE67CDBB9478}"/>
    <cellStyle name="Komma 5 3 2 4 3" xfId="46474" xr:uid="{94DB997B-E9EC-44B5-B364-7B6BD8E02CA0}"/>
    <cellStyle name="Komma 5 3 2 4 4" xfId="51953" xr:uid="{CA48CCF1-06C8-46EB-8CEB-6CE304463F70}"/>
    <cellStyle name="Komma 5 3 2 4 5" xfId="54969" xr:uid="{9FEEC6EC-5554-4AA4-8B63-E24CD731376A}"/>
    <cellStyle name="Komma 5 3 2 5" xfId="15562" xr:uid="{4779CFB3-298C-40DE-83F5-318CA5265021}"/>
    <cellStyle name="Komma 5 3 2 5 2" xfId="23092" xr:uid="{D9ACFF1A-A715-483A-A949-56EB75E59862}"/>
    <cellStyle name="Komma 5 3 2 5 3" xfId="46552" xr:uid="{3A359C45-4B27-4D9F-B761-8291B5450D21}"/>
    <cellStyle name="Komma 5 3 2 5 4" xfId="52430" xr:uid="{1006724E-E866-4DFD-9AD5-CDC527343D5C}"/>
    <cellStyle name="Komma 5 3 2 5 5" xfId="55446" xr:uid="{6A060860-CE41-4AAF-93A5-9AFF017E194D}"/>
    <cellStyle name="Komma 5 3 2 6" xfId="12510" xr:uid="{F2827B2D-EC00-430B-BC0F-BDB4F7869D1D}"/>
    <cellStyle name="Komma 5 3 2 6 2" xfId="47613" xr:uid="{6510D9E5-B8D8-4F1D-85EC-2A64E248BE8B}"/>
    <cellStyle name="Komma 5 3 2 6 3" xfId="50999" xr:uid="{BAEF107E-4B10-4A9A-88FA-1F9408F1A3F5}"/>
    <cellStyle name="Komma 5 3 2 6 4" xfId="54015" xr:uid="{B7E5C7FB-64E5-444A-9481-E89966A3241A}"/>
    <cellStyle name="Komma 5 3 2 7" xfId="23930" xr:uid="{FEFA9A05-EAFF-47E2-AA88-FD474DF21BA2}"/>
    <cellStyle name="Komma 5 3 2 8" xfId="47867" xr:uid="{4193F3FC-1FA5-434F-83B6-0FE7F538F47F}"/>
    <cellStyle name="Komma 5 3 2 9" xfId="48779" xr:uid="{0A9E61F9-F221-4A71-8931-E07874A7B4CE}"/>
    <cellStyle name="Komma 5 3 3" xfId="10124" xr:uid="{FC363D1B-B446-40F2-A421-CE5D9E24670A}"/>
    <cellStyle name="Komma 5 3 3 10" xfId="49686" xr:uid="{A57744A3-E561-4509-9E15-4F711BD93ABF}"/>
    <cellStyle name="Komma 5 3 3 11" xfId="49946" xr:uid="{142DE25D-FD2E-4C9E-93DE-C4739E5EBC06}"/>
    <cellStyle name="Komma 5 3 3 12" xfId="52962" xr:uid="{14ADF31A-5737-4137-B792-DB466189ADD9}"/>
    <cellStyle name="Komma 5 3 3 2" xfId="10437" xr:uid="{FED3E955-B70F-4FB1-A473-974F058CE2BC}"/>
    <cellStyle name="Komma 5 3 3 2 2" xfId="14856" xr:uid="{E9E42D56-72C6-4AE3-BB80-A42F4E27958F}"/>
    <cellStyle name="Komma 5 3 3 2 2 2" xfId="22403" xr:uid="{0057F90C-1D0B-42EC-8798-9274EC253541}"/>
    <cellStyle name="Komma 5 3 3 2 2 3" xfId="46870" xr:uid="{F2B2C2EA-EEF7-4BE4-8969-3878EBC21811}"/>
    <cellStyle name="Komma 5 3 3 2 2 4" xfId="51741" xr:uid="{C89304D3-C36E-4A7F-AFC2-274E0947B464}"/>
    <cellStyle name="Komma 5 3 3 2 2 5" xfId="54757" xr:uid="{024AAFDF-A25B-4462-97D0-C429379E1CB2}"/>
    <cellStyle name="Komma 5 3 3 2 3" xfId="15341" xr:uid="{B7CA2B43-9FDA-49E4-86A4-3FF1AECF9F4C}"/>
    <cellStyle name="Komma 5 3 3 2 3 2" xfId="22880" xr:uid="{6A83B8A3-715C-4629-B303-92B49937A921}"/>
    <cellStyle name="Komma 5 3 3 2 3 3" xfId="47191" xr:uid="{C2D4B748-F154-4725-9B5E-93D9185C6917}"/>
    <cellStyle name="Komma 5 3 3 2 3 4" xfId="52218" xr:uid="{6F73B450-4188-453A-B8E4-98C893822ACE}"/>
    <cellStyle name="Komma 5 3 3 2 3 5" xfId="55234" xr:uid="{F7FB557F-BA0D-498A-B55C-321B2BB84D06}"/>
    <cellStyle name="Komma 5 3 3 2 4" xfId="15828" xr:uid="{E32186C1-2B86-4807-9F12-94D317F60C29}"/>
    <cellStyle name="Komma 5 3 3 2 4 2" xfId="23357" xr:uid="{D655054E-3BBC-4E3A-9306-CA028BEE676D}"/>
    <cellStyle name="Komma 5 3 3 2 4 3" xfId="47649" xr:uid="{D98BD519-285A-4095-AD35-8F10250D2FE7}"/>
    <cellStyle name="Komma 5 3 3 2 4 4" xfId="52695" xr:uid="{35C3DADC-48AF-4C46-B52F-1798386C4D79}"/>
    <cellStyle name="Komma 5 3 3 2 4 5" xfId="55711" xr:uid="{C5677F94-1564-41B7-A2DC-0D5E8716C062}"/>
    <cellStyle name="Komma 5 3 3 2 5" xfId="12890" xr:uid="{B8420D37-E166-4F4B-9A6A-512E81642C7A}"/>
    <cellStyle name="Komma 5 3 3 2 5 2" xfId="25046" xr:uid="{99A83176-D654-40C9-BE38-C63BD6F29310}"/>
    <cellStyle name="Komma 5 3 3 2 5 3" xfId="51264" xr:uid="{FC268953-F233-4855-84A6-9E4D6CFBCB76}"/>
    <cellStyle name="Komma 5 3 3 2 5 4" xfId="54280" xr:uid="{60FB08E5-7461-401D-B31F-79C86A9E9853}"/>
    <cellStyle name="Komma 5 3 3 2 6" xfId="24328" xr:uid="{37AA7A21-EB15-481E-9E19-C679C79AD981}"/>
    <cellStyle name="Komma 5 3 3 2 7" xfId="50158" xr:uid="{3AEBAA37-5CFB-4433-B7FD-1DE574636916}"/>
    <cellStyle name="Komma 5 3 3 2 8" xfId="53174" xr:uid="{0FBE4C1B-FD55-45F9-9673-156546B4E1EC}"/>
    <cellStyle name="Komma 5 3 3 3" xfId="14644" xr:uid="{0D48FDFA-CD56-4916-80AF-20CA54EAC94C}"/>
    <cellStyle name="Komma 5 3 3 3 2" xfId="22191" xr:uid="{BF9CC31A-12D7-498A-B147-A4CC202DDCF9}"/>
    <cellStyle name="Komma 5 3 3 3 3" xfId="46845" xr:uid="{88A27345-84B7-43C3-9A1A-1CAEE542AD3F}"/>
    <cellStyle name="Komma 5 3 3 3 4" xfId="51529" xr:uid="{462543EB-62AE-49D9-AF29-BC8EC9756CEE}"/>
    <cellStyle name="Komma 5 3 3 3 5" xfId="54545" xr:uid="{1D4D4491-9927-4229-AD7C-273DE30A56C4}"/>
    <cellStyle name="Komma 5 3 3 4" xfId="15129" xr:uid="{5859137D-E731-45DF-9FA0-863599E9242D}"/>
    <cellStyle name="Komma 5 3 3 4 2" xfId="22668" xr:uid="{776857E4-DF18-400F-95DE-075768EB7DFA}"/>
    <cellStyle name="Komma 5 3 3 4 3" xfId="47402" xr:uid="{BD4C2CCF-F76B-4790-B412-99BEB1D305D4}"/>
    <cellStyle name="Komma 5 3 3 4 4" xfId="52006" xr:uid="{F7176A4F-7606-4AE3-9064-FAABC493C5D7}"/>
    <cellStyle name="Komma 5 3 3 4 5" xfId="55022" xr:uid="{9E696842-8DDA-4D61-BAD1-F3274F58B319}"/>
    <cellStyle name="Komma 5 3 3 5" xfId="15616" xr:uid="{FAD41FFB-227C-442F-8A3B-B5B2186BF5A8}"/>
    <cellStyle name="Komma 5 3 3 5 2" xfId="23145" xr:uid="{E113CD96-4387-4819-B1E2-E79A29EDA469}"/>
    <cellStyle name="Komma 5 3 3 5 3" xfId="48226" xr:uid="{3249F323-C98E-47F1-9300-B691A7B97A2B}"/>
    <cellStyle name="Komma 5 3 3 5 4" xfId="52483" xr:uid="{0211B1D2-AF9B-42ED-ACA6-B6667A7C821E}"/>
    <cellStyle name="Komma 5 3 3 5 5" xfId="55499" xr:uid="{B0DFFACB-53EF-4D86-BA17-AB376B2332EC}"/>
    <cellStyle name="Komma 5 3 3 6" xfId="12581" xr:uid="{127A3BB8-A8CB-43F0-A500-22BD8609093B}"/>
    <cellStyle name="Komma 5 3 3 6 2" xfId="47227" xr:uid="{FBB5BD35-C33B-4836-977A-28A4C5E5E372}"/>
    <cellStyle name="Komma 5 3 3 6 3" xfId="51052" xr:uid="{0B4660B6-DAF9-46C3-977F-62D13983689A}"/>
    <cellStyle name="Komma 5 3 3 6 4" xfId="54068" xr:uid="{ACB006E4-A4A2-4829-BEC7-A066065CE340}"/>
    <cellStyle name="Komma 5 3 3 7" xfId="23931" xr:uid="{7DDDE807-792C-4843-B601-F5E57F9C5DC0}"/>
    <cellStyle name="Komma 5 3 3 8" xfId="47507" xr:uid="{A64514D3-E9E3-48FB-AEE1-BD1BA1B6863E}"/>
    <cellStyle name="Komma 5 3 3 9" xfId="48780" xr:uid="{A294071D-B605-4014-AC72-A649C96501F7}"/>
    <cellStyle name="Komma 5 3 4" xfId="10203" xr:uid="{E72A256F-803B-4926-B1EF-26394604CC69}"/>
    <cellStyle name="Komma 5 3 4 2" xfId="10517" xr:uid="{6320774E-15ED-4C09-937A-C390B59E8B95}"/>
    <cellStyle name="Komma 5 3 4 2 2" xfId="14909" xr:uid="{AEE2614C-BDB3-4F7B-8BC4-83A771454D3C}"/>
    <cellStyle name="Komma 5 3 4 2 2 2" xfId="22456" xr:uid="{674A6EB0-8B72-4541-BAB0-B3A959F977C7}"/>
    <cellStyle name="Komma 5 3 4 2 2 3" xfId="25296" xr:uid="{5DC580D7-E2F2-4088-BAE7-2D94844A63A6}"/>
    <cellStyle name="Komma 5 3 4 2 2 4" xfId="51794" xr:uid="{D05F1DA4-2E5A-4421-A268-B83D02AEF475}"/>
    <cellStyle name="Komma 5 3 4 2 2 5" xfId="54810" xr:uid="{3823A35C-83E5-4AD0-BE5B-D36828B2EEBC}"/>
    <cellStyle name="Komma 5 3 4 2 3" xfId="15394" xr:uid="{C7009931-65CF-44BD-9A3A-51A3792F4FFF}"/>
    <cellStyle name="Komma 5 3 4 2 3 2" xfId="22933" xr:uid="{D8DDB1CB-8B15-43F5-A3F6-272BAE0331F5}"/>
    <cellStyle name="Komma 5 3 4 2 3 3" xfId="46527" xr:uid="{8AF8BA32-03CD-4F64-A050-76CADC53650C}"/>
    <cellStyle name="Komma 5 3 4 2 3 4" xfId="52271" xr:uid="{6683B6BE-27A0-493C-9E1D-FECE9C7C3EE8}"/>
    <cellStyle name="Komma 5 3 4 2 3 5" xfId="55287" xr:uid="{9C923731-4903-4847-B313-D44063D10D9A}"/>
    <cellStyle name="Komma 5 3 4 2 4" xfId="15881" xr:uid="{4C0BB81E-041C-4923-9803-7FA72AED51F9}"/>
    <cellStyle name="Komma 5 3 4 2 4 2" xfId="23410" xr:uid="{B6638C40-E03E-4669-A38D-00731BEFC807}"/>
    <cellStyle name="Komma 5 3 4 2 4 3" xfId="48308" xr:uid="{C031C42B-C52D-4883-8126-1B747AF0F2E3}"/>
    <cellStyle name="Komma 5 3 4 2 4 4" xfId="52748" xr:uid="{47417DD5-86A5-4463-8AA7-E7E6E52C5E13}"/>
    <cellStyle name="Komma 5 3 4 2 4 5" xfId="55764" xr:uid="{F94165AB-DDE2-4451-8F9F-F6FA897C10C0}"/>
    <cellStyle name="Komma 5 3 4 2 5" xfId="12970" xr:uid="{25C074C0-0106-466F-BB5A-64203305F6FF}"/>
    <cellStyle name="Komma 5 3 4 2 5 2" xfId="47619" xr:uid="{4A2C3EE2-72DA-4972-8FE7-CF657B338204}"/>
    <cellStyle name="Komma 5 3 4 2 5 3" xfId="51317" xr:uid="{26F64332-08A6-4BD4-A8EF-EA070E83D5BE}"/>
    <cellStyle name="Komma 5 3 4 2 5 4" xfId="54333" xr:uid="{59F32A88-E5A6-4FAE-B118-918FC4B1F9C9}"/>
    <cellStyle name="Komma 5 3 4 2 6" xfId="47293" xr:uid="{57F49511-3DF6-471F-8BFA-AB5B8F265FD9}"/>
    <cellStyle name="Komma 5 3 4 2 7" xfId="50211" xr:uid="{C5F2DF1A-E063-46C6-8894-91271A6BDB72}"/>
    <cellStyle name="Komma 5 3 4 2 8" xfId="53227" xr:uid="{EE48D3F7-4384-4000-B63B-E1FB2333D560}"/>
    <cellStyle name="Komma 5 3 4 3" xfId="14697" xr:uid="{14EC0E4C-5BF9-43AC-A106-93216B16EE23}"/>
    <cellStyle name="Komma 5 3 4 3 2" xfId="22244" xr:uid="{07D50310-BBC4-4AA0-86E2-F69FF820F10A}"/>
    <cellStyle name="Komma 5 3 4 3 3" xfId="47106" xr:uid="{81CCFA21-B6C9-4EA2-A713-36A0C95ECF40}"/>
    <cellStyle name="Komma 5 3 4 3 4" xfId="51582" xr:uid="{CF8795EF-EC09-44DD-8782-A7A468BA2224}"/>
    <cellStyle name="Komma 5 3 4 3 5" xfId="54598" xr:uid="{69DED852-B0FE-48A2-AC64-A03112A9CBB1}"/>
    <cellStyle name="Komma 5 3 4 4" xfId="15182" xr:uid="{4EAF92B2-8C6E-4A13-8FA4-3CD3EDCB68C6}"/>
    <cellStyle name="Komma 5 3 4 4 2" xfId="22721" xr:uid="{D7FA0074-7AB0-4983-B0A1-38F1B9A628BC}"/>
    <cellStyle name="Komma 5 3 4 4 3" xfId="47635" xr:uid="{30A0113B-B77C-45A9-A949-374421423518}"/>
    <cellStyle name="Komma 5 3 4 4 4" xfId="52059" xr:uid="{5EF3F358-5211-41A5-AF0E-9F42793A9ADE}"/>
    <cellStyle name="Komma 5 3 4 4 5" xfId="55075" xr:uid="{971DE28A-D916-45B0-97EC-A58E2C38463E}"/>
    <cellStyle name="Komma 5 3 4 5" xfId="15669" xr:uid="{B00AD593-18B4-425D-983E-DC947F6A6B03}"/>
    <cellStyle name="Komma 5 3 4 5 2" xfId="23198" xr:uid="{27B43D1B-369C-4A75-9B91-8D2A97315B03}"/>
    <cellStyle name="Komma 5 3 4 5 3" xfId="47112" xr:uid="{FCF96EE9-9E54-4B9D-BA4E-80664DDEC363}"/>
    <cellStyle name="Komma 5 3 4 5 4" xfId="52536" xr:uid="{B42AC8AD-1653-4FBE-90BC-898FA29CA92E}"/>
    <cellStyle name="Komma 5 3 4 5 5" xfId="55552" xr:uid="{EC9EA70A-B28A-4DC7-BF1B-4A68AAC08113}"/>
    <cellStyle name="Komma 5 3 4 6" xfId="12657" xr:uid="{57B8C908-8B23-4750-A03B-9CCEF23428DE}"/>
    <cellStyle name="Komma 5 3 4 6 2" xfId="48272" xr:uid="{9ACEEBF6-8C6B-41C1-BBAA-1EB41755223F}"/>
    <cellStyle name="Komma 5 3 4 6 3" xfId="51105" xr:uid="{21FBF92F-9958-48B8-BD41-CC788A2DFF4C}"/>
    <cellStyle name="Komma 5 3 4 6 4" xfId="54121" xr:uid="{366188F0-73C1-4197-84C7-C6FF629D7929}"/>
    <cellStyle name="Komma 5 3 4 7" xfId="48376" xr:uid="{E7A49F90-45E5-498D-869B-F9839EA720FB}"/>
    <cellStyle name="Komma 5 3 4 8" xfId="49999" xr:uid="{2CC5A4DF-4C6D-4391-A69F-797BC455C605}"/>
    <cellStyle name="Komma 5 3 4 9" xfId="53015" xr:uid="{16AFD2E3-78F5-4532-8437-39522EDEFBCA}"/>
    <cellStyle name="Komma 5 3 5" xfId="10283" xr:uid="{4209DE3B-68DB-4DE5-A97C-483826ED2313}"/>
    <cellStyle name="Komma 5 3 5 2" xfId="14750" xr:uid="{E1C6B737-8EBC-4DEA-9C76-F4A34532A3B7}"/>
    <cellStyle name="Komma 5 3 5 2 2" xfId="22297" xr:uid="{56C59C40-3681-499A-ABE1-689D247638BA}"/>
    <cellStyle name="Komma 5 3 5 2 3" xfId="46858" xr:uid="{93C3E2C1-9070-4376-8B82-BBC3879606B7}"/>
    <cellStyle name="Komma 5 3 5 2 4" xfId="51635" xr:uid="{E0ACA9CF-98D8-43C3-9F6C-7665CD912A47}"/>
    <cellStyle name="Komma 5 3 5 2 5" xfId="54651" xr:uid="{EB9493DB-E7DF-4891-A458-D22C1FCD3D8A}"/>
    <cellStyle name="Komma 5 3 5 3" xfId="15235" xr:uid="{CB22BCA8-CCE1-40F3-8C4A-17D188045198}"/>
    <cellStyle name="Komma 5 3 5 3 2" xfId="22774" xr:uid="{B353B381-AF34-44D1-9461-BE388B81C52C}"/>
    <cellStyle name="Komma 5 3 5 3 3" xfId="46896" xr:uid="{22AADF57-D4B8-4BF3-8A83-CCF0CFDA76CB}"/>
    <cellStyle name="Komma 5 3 5 3 4" xfId="52112" xr:uid="{DF8E5211-1A35-4328-A6A7-AFBB9D2B769F}"/>
    <cellStyle name="Komma 5 3 5 3 5" xfId="55128" xr:uid="{5EE2CD2C-2942-4032-9792-79A5C663E23D}"/>
    <cellStyle name="Komma 5 3 5 4" xfId="15722" xr:uid="{129F8163-73BD-4879-A5F0-27527EE6D869}"/>
    <cellStyle name="Komma 5 3 5 4 2" xfId="23251" xr:uid="{489176B9-37DF-4D5E-AE24-8503F2BD6103}"/>
    <cellStyle name="Komma 5 3 5 4 3" xfId="46957" xr:uid="{4D274E0D-AF5D-4FDE-BE1D-1FCADE9C5C3A}"/>
    <cellStyle name="Komma 5 3 5 4 4" xfId="52589" xr:uid="{81223BD9-BE9C-43C2-B44D-629D6772A1E7}"/>
    <cellStyle name="Komma 5 3 5 4 5" xfId="55605" xr:uid="{94BA7CFB-C5BB-498F-97A0-9869F26CAD3D}"/>
    <cellStyle name="Komma 5 3 5 5" xfId="12736" xr:uid="{65045410-1E97-490F-B027-60D4C3008FB5}"/>
    <cellStyle name="Komma 5 3 5 5 2" xfId="34163" xr:uid="{C6873D8F-918A-41C8-BFF8-1DB4ECC7A3A6}"/>
    <cellStyle name="Komma 5 3 5 5 3" xfId="51158" xr:uid="{641902A4-BD86-4E47-8662-9180EB53A158}"/>
    <cellStyle name="Komma 5 3 5 5 4" xfId="54174" xr:uid="{FE64C947-9E26-46BE-9FA2-302C41EE89F5}"/>
    <cellStyle name="Komma 5 3 5 6" xfId="48001" xr:uid="{547A1D26-EFE6-415D-B133-B9564BCD3F78}"/>
    <cellStyle name="Komma 5 3 5 7" xfId="50052" xr:uid="{45A175EA-F2BA-4EEF-811B-921A59DA03E0}"/>
    <cellStyle name="Komma 5 3 5 8" xfId="53068" xr:uid="{F077485D-6157-4B59-88B2-15A89ECD3C69}"/>
    <cellStyle name="Komma 5 3 6" xfId="10597" xr:uid="{D9DAEFF0-DD5B-4851-8644-88C5E28F0A74}"/>
    <cellStyle name="Komma 5 3 6 2" xfId="14962" xr:uid="{FF2B7640-E99A-4E04-9B47-A42664B54703}"/>
    <cellStyle name="Komma 5 3 6 2 2" xfId="22509" xr:uid="{C6C03111-1849-4BAC-89BE-37569869FE44}"/>
    <cellStyle name="Komma 5 3 6 2 3" xfId="47487" xr:uid="{76989DAF-0052-4BA4-B6A6-6CC28B5E2983}"/>
    <cellStyle name="Komma 5 3 6 2 4" xfId="51847" xr:uid="{173A4432-6636-4C15-A9BD-45B8C51663F9}"/>
    <cellStyle name="Komma 5 3 6 2 5" xfId="54863" xr:uid="{86944595-2E4A-4C52-9CB0-60A1907D34D8}"/>
    <cellStyle name="Komma 5 3 6 3" xfId="15447" xr:uid="{E9EAFBA8-6964-4C09-9D0A-FA528D0088F2}"/>
    <cellStyle name="Komma 5 3 6 3 2" xfId="22986" xr:uid="{EEE84F82-83EE-4DFE-9157-12C027830D83}"/>
    <cellStyle name="Komma 5 3 6 3 3" xfId="48278" xr:uid="{84E614B5-653E-4EA6-935D-0280B5C2000B}"/>
    <cellStyle name="Komma 5 3 6 3 4" xfId="52324" xr:uid="{67291578-5846-46B8-9D6E-AC9B825FFBCB}"/>
    <cellStyle name="Komma 5 3 6 3 5" xfId="55340" xr:uid="{C2A90776-C743-4E7B-B99C-A1AC7177B18C}"/>
    <cellStyle name="Komma 5 3 6 4" xfId="15935" xr:uid="{E6F233FC-4B3A-4FB4-B22C-9F3F9CCA565B}"/>
    <cellStyle name="Komma 5 3 6 4 2" xfId="23463" xr:uid="{22919864-EB95-4304-AD1B-0DB19E96D442}"/>
    <cellStyle name="Komma 5 3 6 4 3" xfId="36938" xr:uid="{8ED38A35-F97F-4A37-A31A-47EF9FA08909}"/>
    <cellStyle name="Komma 5 3 6 4 4" xfId="52801" xr:uid="{14611A71-28BA-426E-A8DA-237AC1B6E892}"/>
    <cellStyle name="Komma 5 3 6 4 5" xfId="55817" xr:uid="{9A83F7BB-03F1-4ED4-8B20-696F8FE5F97E}"/>
    <cellStyle name="Komma 5 3 6 5" xfId="13050" xr:uid="{EEF2238B-05B4-42ED-91C6-D89D0130DB02}"/>
    <cellStyle name="Komma 5 3 6 5 2" xfId="47389" xr:uid="{D29B495A-70C9-400A-A2A6-063ACBF97BB5}"/>
    <cellStyle name="Komma 5 3 6 5 3" xfId="51370" xr:uid="{C064B3FA-AC1D-4EC3-8C2A-8CA171ADB3CC}"/>
    <cellStyle name="Komma 5 3 6 5 4" xfId="54386" xr:uid="{7D6BD9AA-3217-4A41-B8D1-27BBAC7AE906}"/>
    <cellStyle name="Komma 5 3 6 6" xfId="47069" xr:uid="{8CDBC79F-2807-4AB1-AE07-CCCBEDA56310}"/>
    <cellStyle name="Komma 5 3 6 7" xfId="50264" xr:uid="{A51DB8E2-AC2A-44B4-853D-E2C86184710C}"/>
    <cellStyle name="Komma 5 3 6 8" xfId="53280" xr:uid="{BD80D988-F8DB-4E8E-8F00-C6140B847178}"/>
    <cellStyle name="Komma 5 3 7" xfId="14538" xr:uid="{0279EE67-3B67-413B-A175-B1563451B4D1}"/>
    <cellStyle name="Komma 5 3 7 2" xfId="22085" xr:uid="{A5A741B2-C247-4904-83A5-A5E47B746DF4}"/>
    <cellStyle name="Komma 5 3 7 3" xfId="47623" xr:uid="{BB718B30-128C-4CAD-B3C6-6F973A461FFA}"/>
    <cellStyle name="Komma 5 3 7 4" xfId="51423" xr:uid="{2BDB35D0-0AD1-44DF-917F-4BFBC07F5F9D}"/>
    <cellStyle name="Komma 5 3 7 5" xfId="54439" xr:uid="{93328868-183C-45FD-A669-7A133FB3C72E}"/>
    <cellStyle name="Komma 5 3 8" xfId="15022" xr:uid="{39BC33D7-B18B-41F1-B77A-ACF85666E1FD}"/>
    <cellStyle name="Komma 5 3 8 2" xfId="22562" xr:uid="{299934D1-08E4-452C-9079-5B2B6D08D826}"/>
    <cellStyle name="Komma 5 3 8 3" xfId="32401" xr:uid="{C7B41E01-1B59-420D-8E65-6E16C2FF831E}"/>
    <cellStyle name="Komma 5 3 8 4" xfId="51900" xr:uid="{203BC3A4-893F-4ACE-8757-C393616BF5D4}"/>
    <cellStyle name="Komma 5 3 8 5" xfId="54916" xr:uid="{B5117245-3F61-426B-91CC-78F331D66642}"/>
    <cellStyle name="Komma 5 3 9" xfId="15509" xr:uid="{355C529B-20D0-4133-8CA8-E51B50D0C6F6}"/>
    <cellStyle name="Komma 5 3 9 2" xfId="23039" xr:uid="{4D16C03A-6B00-41BF-8817-584769E3D14E}"/>
    <cellStyle name="Komma 5 3 9 3" xfId="32501" xr:uid="{C70EF057-45D2-4259-A3B7-9BF77744E70F}"/>
    <cellStyle name="Komma 5 3 9 4" xfId="52377" xr:uid="{191AB6C0-109E-4C0F-BF9D-03B489E25CBA}"/>
    <cellStyle name="Komma 5 3 9 5" xfId="55393" xr:uid="{DE2AB0DD-0CCD-4BD0-B42A-249509C9CB3F}"/>
    <cellStyle name="Komma 5 4" xfId="10047" xr:uid="{F04227E0-1264-461B-BB20-4BBF587A1E18}"/>
    <cellStyle name="Komma 5 4 10" xfId="49687" xr:uid="{5CD21016-857F-4D4D-BE5E-D6611CE8AF15}"/>
    <cellStyle name="Komma 5 4 11" xfId="49890" xr:uid="{9924BA32-56E7-4328-B3A4-10A07A870DA0}"/>
    <cellStyle name="Komma 5 4 12" xfId="52906" xr:uid="{7970095D-C9CC-4313-9AC8-B521171AE794}"/>
    <cellStyle name="Komma 5 4 2" xfId="10355" xr:uid="{284943D7-0D50-4164-8E88-4141D87FD578}"/>
    <cellStyle name="Komma 5 4 2 10" xfId="50102" xr:uid="{15063D14-52CA-4A2A-8C1D-EF7B4EB0079E}"/>
    <cellStyle name="Komma 5 4 2 11" xfId="53118" xr:uid="{FC2EB5CC-DF1E-487D-ABFC-D323F318FB34}"/>
    <cellStyle name="Komma 5 4 2 2" xfId="14800" xr:uid="{8173EC42-2E94-4422-8CFF-5D9D90649DE5}"/>
    <cellStyle name="Komma 5 4 2 2 2" xfId="22347" xr:uid="{8A76CEB1-A042-442F-BB36-B8905B1BD442}"/>
    <cellStyle name="Komma 5 4 2 2 3" xfId="24188" xr:uid="{0098427B-AABF-44AA-AB0B-640BEF9AE42C}"/>
    <cellStyle name="Komma 5 4 2 2 4" xfId="51685" xr:uid="{976B66BA-0389-4FC7-A4AB-ED675EA1C254}"/>
    <cellStyle name="Komma 5 4 2 2 5" xfId="54701" xr:uid="{6C7DBB4D-EB4F-4F96-9E1B-CE770360E15D}"/>
    <cellStyle name="Komma 5 4 2 3" xfId="15285" xr:uid="{4B547553-9E85-46F5-A21A-5C61DA458263}"/>
    <cellStyle name="Komma 5 4 2 3 2" xfId="22824" xr:uid="{F42780E8-C766-412E-8A25-C262D4DB77C4}"/>
    <cellStyle name="Komma 5 4 2 3 3" xfId="47190" xr:uid="{37F1655A-5BDE-4611-86E8-03900FF26E33}"/>
    <cellStyle name="Komma 5 4 2 3 4" xfId="52162" xr:uid="{81FC696D-F8D2-4D0C-837A-DF0A19891212}"/>
    <cellStyle name="Komma 5 4 2 3 5" xfId="55178" xr:uid="{A256A51E-02AA-490A-950E-C6DAEB4434DE}"/>
    <cellStyle name="Komma 5 4 2 4" xfId="15772" xr:uid="{9FDAB156-798D-41CE-A5F1-1DA1FDE99789}"/>
    <cellStyle name="Komma 5 4 2 4 2" xfId="23301" xr:uid="{377CFF2F-FA7E-4365-84AD-85E2FADD3CDE}"/>
    <cellStyle name="Komma 5 4 2 4 3" xfId="47793" xr:uid="{1796430B-7EAF-4C20-AB85-9D138672C6B2}"/>
    <cellStyle name="Komma 5 4 2 4 4" xfId="52639" xr:uid="{15BDF047-091F-4D52-BEF5-74734F2DB74C}"/>
    <cellStyle name="Komma 5 4 2 4 5" xfId="55655" xr:uid="{6DFD0F2B-B22B-45F8-9C54-B5719011C055}"/>
    <cellStyle name="Komma 5 4 2 5" xfId="12808" xr:uid="{99A4CE20-A661-4814-B3C0-0E8BDA28B6CD}"/>
    <cellStyle name="Komma 5 4 2 5 2" xfId="48201" xr:uid="{BE089FEE-AEB4-4D48-8533-E90FE75A0F88}"/>
    <cellStyle name="Komma 5 4 2 5 3" xfId="51208" xr:uid="{AE197692-09E2-451F-901E-8C70D7F422C8}"/>
    <cellStyle name="Komma 5 4 2 5 4" xfId="54224" xr:uid="{2241693F-D1E7-4566-9F8E-14719DB24C05}"/>
    <cellStyle name="Komma 5 4 2 6" xfId="23933" xr:uid="{1EBB836B-C141-41D0-825A-52DEA20433A1}"/>
    <cellStyle name="Komma 5 4 2 7" xfId="46098" xr:uid="{F6FBF5C6-D526-499B-8A42-184397E0E37E}"/>
    <cellStyle name="Komma 5 4 2 8" xfId="48782" xr:uid="{E20CE9AE-4977-4500-B2D2-EF80C6277891}"/>
    <cellStyle name="Komma 5 4 2 9" xfId="49688" xr:uid="{74382D2A-246B-48A8-A6CB-3F9D2CBA35EF}"/>
    <cellStyle name="Komma 5 4 3" xfId="14588" xr:uid="{BBA5C5C6-346C-4C58-9CA8-22C7E2518B43}"/>
    <cellStyle name="Komma 5 4 3 2" xfId="22135" xr:uid="{FF424730-B246-44CD-BABA-9E019582D90B}"/>
    <cellStyle name="Komma 5 4 3 3" xfId="46839" xr:uid="{8E14D350-9C98-4BC4-AA98-8039C0A1E5AB}"/>
    <cellStyle name="Komma 5 4 3 4" xfId="51473" xr:uid="{F36DE1CA-45DC-4CF4-9D46-BED53C40071C}"/>
    <cellStyle name="Komma 5 4 3 5" xfId="54489" xr:uid="{0FDB79AE-B1D0-4997-B4D3-53C3D9053236}"/>
    <cellStyle name="Komma 5 4 4" xfId="15072" xr:uid="{AB749B18-A315-42F4-8C57-28024ED1B32A}"/>
    <cellStyle name="Komma 5 4 4 2" xfId="22612" xr:uid="{4B885D90-8B32-44A7-B0FF-E761083FA995}"/>
    <cellStyle name="Komma 5 4 4 3" xfId="46877" xr:uid="{6BD1536A-11FD-43B3-8DBB-DE21DA06DDF9}"/>
    <cellStyle name="Komma 5 4 4 4" xfId="51950" xr:uid="{298A1A38-1B5B-422A-A2F9-0714EDE47F67}"/>
    <cellStyle name="Komma 5 4 4 5" xfId="54966" xr:uid="{09D4E41F-4EFE-4223-A9C6-836BB6449D6C}"/>
    <cellStyle name="Komma 5 4 5" xfId="15559" xr:uid="{F4158B76-C3AF-462D-B481-ED84AE89FCA9}"/>
    <cellStyle name="Komma 5 4 5 2" xfId="23089" xr:uid="{A027C359-C7B2-4E97-852F-86C488B817EF}"/>
    <cellStyle name="Komma 5 4 5 3" xfId="32359" xr:uid="{FA8597E1-D82E-4F2E-A850-D09773FFB071}"/>
    <cellStyle name="Komma 5 4 5 4" xfId="52427" xr:uid="{4FC1136B-41FE-47EA-A3DB-414A84078048}"/>
    <cellStyle name="Komma 5 4 5 5" xfId="55443" xr:uid="{0DAD67FA-92FA-456F-9782-CB4E95404CDC}"/>
    <cellStyle name="Komma 5 4 6" xfId="12507" xr:uid="{D4BF0D12-714B-4606-ACF2-3313DC020AF2}"/>
    <cellStyle name="Komma 5 4 6 2" xfId="48394" xr:uid="{0D8C4B98-CA50-4B46-AD9A-D5DC3A1FB468}"/>
    <cellStyle name="Komma 5 4 6 3" xfId="50996" xr:uid="{47D960C4-2259-4AB0-BE6A-A7136E90AD27}"/>
    <cellStyle name="Komma 5 4 6 4" xfId="54012" xr:uid="{0506044C-EF87-456E-9345-0A779E06B9DC}"/>
    <cellStyle name="Komma 5 4 7" xfId="23932" xr:uid="{741C7683-82C1-48FA-A055-D960275DFA64}"/>
    <cellStyle name="Komma 5 4 8" xfId="48313" xr:uid="{9CCE386B-504F-4F8E-8E57-EFD69709CEC0}"/>
    <cellStyle name="Komma 5 4 9" xfId="48781" xr:uid="{1B9ADA45-B5A3-4344-A6D5-1F71F1B238D7}"/>
    <cellStyle name="Komma 5 5" xfId="10121" xr:uid="{A5B8B010-571C-4AE2-87CE-1EF131D9EBE0}"/>
    <cellStyle name="Komma 5 5 10" xfId="49689" xr:uid="{F443EF80-FD90-4159-94E6-9094AEE33504}"/>
    <cellStyle name="Komma 5 5 11" xfId="49943" xr:uid="{BB0A7300-023E-4B52-A29B-65F6F5B0B17A}"/>
    <cellStyle name="Komma 5 5 12" xfId="52959" xr:uid="{6092B67E-F619-4297-BA4E-BA12A7A887B0}"/>
    <cellStyle name="Komma 5 5 2" xfId="10434" xr:uid="{9FA2574B-E8AB-487B-B48E-A9D284A2DAEC}"/>
    <cellStyle name="Komma 5 5 2 10" xfId="50155" xr:uid="{5CA59928-858B-4CDD-8ADA-17EE80052F82}"/>
    <cellStyle name="Komma 5 5 2 11" xfId="53171" xr:uid="{DA3A1972-55D1-41D0-83CB-AF22E2C3A24E}"/>
    <cellStyle name="Komma 5 5 2 2" xfId="14853" xr:uid="{F1570E14-F93C-4C55-8057-4C0FBFC330D8}"/>
    <cellStyle name="Komma 5 5 2 2 2" xfId="22400" xr:uid="{39142C16-C07C-4579-87D1-7C09E773FF32}"/>
    <cellStyle name="Komma 5 5 2 2 3" xfId="46446" xr:uid="{3966E0A7-3DE8-4023-B032-6056C42A6B34}"/>
    <cellStyle name="Komma 5 5 2 2 4" xfId="51738" xr:uid="{4BE983AD-B96D-4742-9B3B-7FBFCB4B652B}"/>
    <cellStyle name="Komma 5 5 2 2 5" xfId="54754" xr:uid="{4D188605-CBFF-441A-9B2A-6B322ED1D51B}"/>
    <cellStyle name="Komma 5 5 2 3" xfId="15338" xr:uid="{8D70F18C-D4CA-4568-81AB-94362F6EFECD}"/>
    <cellStyle name="Komma 5 5 2 3 2" xfId="22877" xr:uid="{D88891A5-A556-4EA3-A380-33D01114F964}"/>
    <cellStyle name="Komma 5 5 2 3 3" xfId="48298" xr:uid="{4665354C-AD51-4159-9723-92EAEC468F1A}"/>
    <cellStyle name="Komma 5 5 2 3 4" xfId="52215" xr:uid="{0BFB71AD-B9E1-4D24-A7DF-7DB82EB451E2}"/>
    <cellStyle name="Komma 5 5 2 3 5" xfId="55231" xr:uid="{38DCD5F1-BA7D-418A-B32E-549B7412A145}"/>
    <cellStyle name="Komma 5 5 2 4" xfId="15825" xr:uid="{CC8020BD-CFE4-4C43-91D4-10FCB5F9DBD1}"/>
    <cellStyle name="Komma 5 5 2 4 2" xfId="23354" xr:uid="{89E840F4-9D2E-4D2A-ADEF-3A23449B6275}"/>
    <cellStyle name="Komma 5 5 2 4 3" xfId="48135" xr:uid="{25B13A13-2DD0-46D3-9D8A-2704DCCE5408}"/>
    <cellStyle name="Komma 5 5 2 4 4" xfId="52692" xr:uid="{A60AD7D1-F1A4-4238-9369-26C1ABEA93A8}"/>
    <cellStyle name="Komma 5 5 2 4 5" xfId="55708" xr:uid="{08130BB0-56DC-46AA-B010-E684FAAAB193}"/>
    <cellStyle name="Komma 5 5 2 5" xfId="12887" xr:uid="{2B23C202-2F54-4897-85A9-78027BC18D2B}"/>
    <cellStyle name="Komma 5 5 2 5 2" xfId="47474" xr:uid="{308BEAA7-5AE7-43DB-A57E-F758CE930C2D}"/>
    <cellStyle name="Komma 5 5 2 5 3" xfId="51261" xr:uid="{01303D65-C4E1-419F-9658-8C84D05E4C2B}"/>
    <cellStyle name="Komma 5 5 2 5 4" xfId="54277" xr:uid="{52F5B2C8-8A9F-4EA5-AAEC-0BDAB2C81659}"/>
    <cellStyle name="Komma 5 5 2 6" xfId="23935" xr:uid="{000527B8-5A25-430F-A745-288BCA746462}"/>
    <cellStyle name="Komma 5 5 2 7" xfId="47799" xr:uid="{D38FCD08-EECF-417B-B83E-919ABA601D3C}"/>
    <cellStyle name="Komma 5 5 2 8" xfId="48784" xr:uid="{55E7FF76-80E0-404A-ACF9-6E2354C37E9A}"/>
    <cellStyle name="Komma 5 5 2 9" xfId="49690" xr:uid="{B4DE210D-CEBF-4603-ACBA-89CD56F0C28F}"/>
    <cellStyle name="Komma 5 5 3" xfId="14641" xr:uid="{ABCCBEA7-4619-444A-9016-98F5804D6797}"/>
    <cellStyle name="Komma 5 5 3 2" xfId="22188" xr:uid="{65E94B35-2E1C-4385-8BEE-47577F1B0F4F}"/>
    <cellStyle name="Komma 5 5 3 3" xfId="46412" xr:uid="{F5301A4D-A57E-420D-8782-30F392777051}"/>
    <cellStyle name="Komma 5 5 3 4" xfId="51526" xr:uid="{46BCA193-AC30-4BE3-8CEC-619394EA2C5D}"/>
    <cellStyle name="Komma 5 5 3 5" xfId="54542" xr:uid="{7725CE4F-E6F4-464C-AAB3-6832569BB0F0}"/>
    <cellStyle name="Komma 5 5 4" xfId="15126" xr:uid="{C8CDD3AA-9CF0-49EB-A9DA-0635A5F47739}"/>
    <cellStyle name="Komma 5 5 4 2" xfId="22665" xr:uid="{56C9FF2D-7F3F-4EF1-AD30-5F9138FFF5B3}"/>
    <cellStyle name="Komma 5 5 4 3" xfId="48009" xr:uid="{ADD5E635-EFBC-459A-A954-5AF71366D16A}"/>
    <cellStyle name="Komma 5 5 4 4" xfId="52003" xr:uid="{B06FE508-3EFB-4276-BA4A-832A1B489CF6}"/>
    <cellStyle name="Komma 5 5 4 5" xfId="55019" xr:uid="{7AAEA938-89DF-4DB2-AD78-E767065DBD73}"/>
    <cellStyle name="Komma 5 5 5" xfId="15613" xr:uid="{1D2D2C25-9731-4EA1-81D6-80234DA5950D}"/>
    <cellStyle name="Komma 5 5 5 2" xfId="23142" xr:uid="{AEFE0676-91B5-40B2-8DE7-E90999FC5BB0}"/>
    <cellStyle name="Komma 5 5 5 3" xfId="47845" xr:uid="{27F9E02E-442E-4B9E-A348-06A367E3EE4D}"/>
    <cellStyle name="Komma 5 5 5 4" xfId="52480" xr:uid="{F9F75AC6-B462-4229-BF30-B14B8CB0A39E}"/>
    <cellStyle name="Komma 5 5 5 5" xfId="55496" xr:uid="{D686B99E-82BE-45AC-9F50-2330A2DA7DC2}"/>
    <cellStyle name="Komma 5 5 6" xfId="12578" xr:uid="{91A2421A-3510-41A8-B41B-7F56B49EDBE9}"/>
    <cellStyle name="Komma 5 5 6 2" xfId="48297" xr:uid="{307F045E-DAF8-4E5C-835A-6E25A2EC6BD2}"/>
    <cellStyle name="Komma 5 5 6 3" xfId="51049" xr:uid="{976A64D6-AE4B-45B7-9D31-B74AFA8C0DBF}"/>
    <cellStyle name="Komma 5 5 6 4" xfId="54065" xr:uid="{64D98E39-B32B-47CC-8BA2-F931F492E300}"/>
    <cellStyle name="Komma 5 5 7" xfId="23934" xr:uid="{B3400B56-B433-4E03-B391-039F4D92F42D}"/>
    <cellStyle name="Komma 5 5 8" xfId="46053" xr:uid="{A5381F65-6294-4395-8EFD-02F40F012D89}"/>
    <cellStyle name="Komma 5 5 9" xfId="48783" xr:uid="{3DF02474-CB5F-41F0-A022-13E54B449040}"/>
    <cellStyle name="Komma 5 6" xfId="10200" xr:uid="{9D5762E2-70A6-496C-BAE8-FDFD42BEA2D6}"/>
    <cellStyle name="Komma 5 6 10" xfId="49691" xr:uid="{AB590E32-81E6-4F18-9E42-845FF9D89EF5}"/>
    <cellStyle name="Komma 5 6 11" xfId="49996" xr:uid="{DCA54C82-E863-43EC-891D-41CB9B91E8EA}"/>
    <cellStyle name="Komma 5 6 12" xfId="53012" xr:uid="{CE66BFD0-0695-49F3-8433-4188E8BE94C7}"/>
    <cellStyle name="Komma 5 6 2" xfId="10514" xr:uid="{C355B48B-8B1F-499B-B961-92FA5469FA16}"/>
    <cellStyle name="Komma 5 6 2 2" xfId="14906" xr:uid="{3FB79611-0674-405D-A65A-07F8635E55A6}"/>
    <cellStyle name="Komma 5 6 2 2 2" xfId="22453" xr:uid="{45212148-D67D-491C-801B-537439B17AC5}"/>
    <cellStyle name="Komma 5 6 2 2 3" xfId="32523" xr:uid="{7A598F61-57C2-4C07-94E8-CBEE47BD54D9}"/>
    <cellStyle name="Komma 5 6 2 2 4" xfId="51791" xr:uid="{8340449C-FCF4-4615-A1D5-B717F9EDA9F6}"/>
    <cellStyle name="Komma 5 6 2 2 5" xfId="54807" xr:uid="{B5417020-5197-48BA-8C05-712E7FD7FC41}"/>
    <cellStyle name="Komma 5 6 2 3" xfId="15391" xr:uid="{AF7539B8-8DD4-4334-8A2E-93084E25CF4A}"/>
    <cellStyle name="Komma 5 6 2 3 2" xfId="22930" xr:uid="{7ACA2561-688D-4191-880B-BE989D9E7E89}"/>
    <cellStyle name="Komma 5 6 2 3 3" xfId="47345" xr:uid="{C184AA4B-944B-4BCA-9F11-4282E7D2C53B}"/>
    <cellStyle name="Komma 5 6 2 3 4" xfId="52268" xr:uid="{F18F0C17-AFC2-4EEB-B23E-48329ED0B198}"/>
    <cellStyle name="Komma 5 6 2 3 5" xfId="55284" xr:uid="{FF3E39FB-924A-4BF0-A395-232EA53F4183}"/>
    <cellStyle name="Komma 5 6 2 4" xfId="15878" xr:uid="{564913EB-6A66-416F-9794-876D629753AA}"/>
    <cellStyle name="Komma 5 6 2 4 2" xfId="23407" xr:uid="{80AA6ED3-C612-4B5A-985E-D3A2B22A6BAD}"/>
    <cellStyle name="Komma 5 6 2 4 3" xfId="47376" xr:uid="{DAA17A7E-F11B-4882-B1DD-B1A1E3E08650}"/>
    <cellStyle name="Komma 5 6 2 4 4" xfId="52745" xr:uid="{DD48802F-6933-4DC6-BFEB-07E06925F7ED}"/>
    <cellStyle name="Komma 5 6 2 4 5" xfId="55761" xr:uid="{0EFBAD3F-FFE5-4D1A-8E04-1DBEACBCACCE}"/>
    <cellStyle name="Komma 5 6 2 5" xfId="12967" xr:uid="{19A90983-3431-4515-B13B-6C355E79B029}"/>
    <cellStyle name="Komma 5 6 2 5 2" xfId="47990" xr:uid="{3DD8D7E5-A9FD-40AD-BE7B-B8A807A83503}"/>
    <cellStyle name="Komma 5 6 2 5 3" xfId="51314" xr:uid="{151330B4-8E74-47CE-AED3-A8287ABA8034}"/>
    <cellStyle name="Komma 5 6 2 5 4" xfId="54330" xr:uid="{840F233A-FD53-46FF-9543-5F9D4CD857DA}"/>
    <cellStyle name="Komma 5 6 2 6" xfId="47559" xr:uid="{7C74B7F6-64FB-488E-BF76-12DDA7C87305}"/>
    <cellStyle name="Komma 5 6 2 7" xfId="50208" xr:uid="{CDCF5989-ABEB-42C4-89A6-186B0F2E922D}"/>
    <cellStyle name="Komma 5 6 2 8" xfId="53224" xr:uid="{E20D6604-C083-4284-880A-9F8C2058A5D3}"/>
    <cellStyle name="Komma 5 6 3" xfId="14694" xr:uid="{1587FD37-56A6-4ED1-A1D3-CDA94244276E}"/>
    <cellStyle name="Komma 5 6 3 2" xfId="22241" xr:uid="{959E838D-52C8-4DA2-90E0-8B92B912ED66}"/>
    <cellStyle name="Komma 5 6 3 3" xfId="48061" xr:uid="{34036D0C-D76B-4EBB-8EA0-1131AEF3CB91}"/>
    <cellStyle name="Komma 5 6 3 4" xfId="51579" xr:uid="{D0B0ACDC-8316-49E5-9005-701F4C43992B}"/>
    <cellStyle name="Komma 5 6 3 5" xfId="54595" xr:uid="{0FC6184C-E4B9-40BC-8D7D-0FDF19F99AE5}"/>
    <cellStyle name="Komma 5 6 4" xfId="15179" xr:uid="{303EAB1D-2362-4468-85F6-84A7FCF647CE}"/>
    <cellStyle name="Komma 5 6 4 2" xfId="22718" xr:uid="{E0735FCC-FBF6-4B32-B966-4CDD816DE37A}"/>
    <cellStyle name="Komma 5 6 4 3" xfId="47839" xr:uid="{0FFD7891-2473-4C4C-AB28-D3257B63A2D4}"/>
    <cellStyle name="Komma 5 6 4 4" xfId="52056" xr:uid="{C8A03C8A-2969-4C45-9685-057B7A904E13}"/>
    <cellStyle name="Komma 5 6 4 5" xfId="55072" xr:uid="{F3E80113-A2B9-4802-ABF9-701B6AC9E2FE}"/>
    <cellStyle name="Komma 5 6 5" xfId="15666" xr:uid="{8AE2DA3F-5445-4A25-A13E-2664395894CF}"/>
    <cellStyle name="Komma 5 6 5 2" xfId="23195" xr:uid="{DB27CC3B-42F7-4933-9B7C-043B8A342F37}"/>
    <cellStyle name="Komma 5 6 5 3" xfId="46567" xr:uid="{F9BED371-5B59-4202-82AD-F138884F94EC}"/>
    <cellStyle name="Komma 5 6 5 4" xfId="52533" xr:uid="{418D7904-7F0F-4EE0-987B-065036F66722}"/>
    <cellStyle name="Komma 5 6 5 5" xfId="55549" xr:uid="{FA71D792-7314-4A2E-813A-D84DA061CA21}"/>
    <cellStyle name="Komma 5 6 6" xfId="12654" xr:uid="{C14B2505-805B-41EE-BDC5-3228C24A06CF}"/>
    <cellStyle name="Komma 5 6 6 2" xfId="46338" xr:uid="{144BD606-540F-4016-8DE2-2AA89E938EFF}"/>
    <cellStyle name="Komma 5 6 6 3" xfId="51102" xr:uid="{923EC674-4BE3-417C-97ED-A8804C46F13F}"/>
    <cellStyle name="Komma 5 6 6 4" xfId="54118" xr:uid="{3288D6BA-9F9C-476A-BB72-34676BD3334F}"/>
    <cellStyle name="Komma 5 6 7" xfId="23936" xr:uid="{3F3CAFED-10FF-4F0C-B536-D927F7456C69}"/>
    <cellStyle name="Komma 5 6 8" xfId="46065" xr:uid="{E7347234-1DE1-42BC-BC53-C62D31E700BA}"/>
    <cellStyle name="Komma 5 6 9" xfId="48785" xr:uid="{BA857FC1-9FE2-4C3E-BD4C-ADB608C4992F}"/>
    <cellStyle name="Komma 5 7" xfId="10280" xr:uid="{5A20BCBB-AF32-4CCC-944F-BC5E095774E1}"/>
    <cellStyle name="Komma 5 7 10" xfId="50049" xr:uid="{1F2534D8-94DF-4B50-AC86-5C8EEB446733}"/>
    <cellStyle name="Komma 5 7 11" xfId="53065" xr:uid="{F92D2E48-6480-45BA-9A32-42587A635787}"/>
    <cellStyle name="Komma 5 7 2" xfId="14747" xr:uid="{C0DD59C9-75EF-46AE-B856-1D2CFD9D757D}"/>
    <cellStyle name="Komma 5 7 2 2" xfId="22294" xr:uid="{C59DBE76-40F2-4AE4-A44F-4B71D6BA529C}"/>
    <cellStyle name="Komma 5 7 2 3" xfId="46429" xr:uid="{D3C0C3F6-BDBD-4928-B30D-54B6A27FFD4D}"/>
    <cellStyle name="Komma 5 7 2 4" xfId="51632" xr:uid="{DC268E8D-A677-45DD-8E2E-3133EE80C764}"/>
    <cellStyle name="Komma 5 7 2 5" xfId="54648" xr:uid="{F4C2857E-847E-42F0-8DB2-4F27CE5F8237}"/>
    <cellStyle name="Komma 5 7 3" xfId="15232" xr:uid="{AC953AF3-166B-43B0-B11C-6015311542DD}"/>
    <cellStyle name="Komma 5 7 3 2" xfId="22771" xr:uid="{762F35DD-B62B-4F5A-90C3-5035F1922CD1}"/>
    <cellStyle name="Komma 5 7 3 3" xfId="46499" xr:uid="{CADB0027-F1E6-4A75-A092-FA9EDAD09D8F}"/>
    <cellStyle name="Komma 5 7 3 4" xfId="52109" xr:uid="{539DF033-E383-4B9C-9171-8E8FBF87C6A2}"/>
    <cellStyle name="Komma 5 7 3 5" xfId="55125" xr:uid="{3A093D38-C3C8-492E-B321-4EE2043EF040}"/>
    <cellStyle name="Komma 5 7 4" xfId="15719" xr:uid="{3D192A92-6926-4B9E-9FE2-1D115E4B40D2}"/>
    <cellStyle name="Komma 5 7 4 2" xfId="23248" xr:uid="{DEA774C5-332E-49EF-96DC-BB659695D99C}"/>
    <cellStyle name="Komma 5 7 4 3" xfId="46577" xr:uid="{1F85C19F-E2DD-423F-9BD9-0654CE22F1AC}"/>
    <cellStyle name="Komma 5 7 4 4" xfId="52586" xr:uid="{5971DAA0-8C85-442B-B71D-C7C1051C9CCF}"/>
    <cellStyle name="Komma 5 7 4 5" xfId="55602" xr:uid="{F54B16DA-A567-4369-A958-05D67B84FC61}"/>
    <cellStyle name="Komma 5 7 5" xfId="12733" xr:uid="{21C02F16-83DA-4AB2-93FC-BDB74AD40988}"/>
    <cellStyle name="Komma 5 7 5 2" xfId="47859" xr:uid="{A0B726E3-4D9B-41AC-8F2D-686C5287EB0D}"/>
    <cellStyle name="Komma 5 7 5 3" xfId="51155" xr:uid="{CCCD03A0-556F-4D5D-8E89-F91AC151189B}"/>
    <cellStyle name="Komma 5 7 5 4" xfId="54171" xr:uid="{3AAF1F32-CD4F-4394-95F1-917680D78707}"/>
    <cellStyle name="Komma 5 7 6" xfId="23937" xr:uid="{179D1D70-52E3-4CD8-AF2A-D651EEB0A438}"/>
    <cellStyle name="Komma 5 7 7" xfId="46083" xr:uid="{FA080E1D-0915-4928-9012-A2F7BE3B2319}"/>
    <cellStyle name="Komma 5 7 8" xfId="48786" xr:uid="{568C6ED6-E8C7-4BB5-B4AC-FC32939BA806}"/>
    <cellStyle name="Komma 5 7 9" xfId="49692" xr:uid="{98F803FD-54EA-4EAF-BAF2-A63D7AF81DEB}"/>
    <cellStyle name="Komma 5 8" xfId="10594" xr:uid="{58C5FE4B-28BE-4981-9EEC-F351CE60E77D}"/>
    <cellStyle name="Komma 5 8 2" xfId="14959" xr:uid="{26071D13-49A0-4D0D-B815-7E37DF6D3A73}"/>
    <cellStyle name="Komma 5 8 2 2" xfId="22506" xr:uid="{B6CA523E-A144-4157-B670-F98326E9071E}"/>
    <cellStyle name="Komma 5 8 2 3" xfId="34022" xr:uid="{F15757A7-F5C2-41BF-B49C-C74ADE4DD1B0}"/>
    <cellStyle name="Komma 5 8 2 4" xfId="51844" xr:uid="{5A892A3F-4F06-422D-921B-6DEDAA4F2665}"/>
    <cellStyle name="Komma 5 8 2 5" xfId="54860" xr:uid="{B2B2DF44-DE13-4C19-A3BF-85132D89FCD4}"/>
    <cellStyle name="Komma 5 8 3" xfId="15444" xr:uid="{2F3CA59D-E74A-4AEE-9EEB-16FDF1EF66A0}"/>
    <cellStyle name="Komma 5 8 3 2" xfId="22983" xr:uid="{B5B1E322-83D4-4E89-A4E9-8D3570B268AA}"/>
    <cellStyle name="Komma 5 8 3 3" xfId="47346" xr:uid="{A84F0837-15EF-478F-964F-03E3D6499A9E}"/>
    <cellStyle name="Komma 5 8 3 4" xfId="52321" xr:uid="{743DD685-D42C-487A-9479-2CDE1764E007}"/>
    <cellStyle name="Komma 5 8 3 5" xfId="55337" xr:uid="{FC107AD1-A24D-4DE9-BA37-DCBC40BAB603}"/>
    <cellStyle name="Komma 5 8 4" xfId="15932" xr:uid="{22439A85-A822-430A-AB38-3E7A3CACBE7A}"/>
    <cellStyle name="Komma 5 8 4 2" xfId="23460" xr:uid="{7CF4A58E-1301-4D8D-8D53-8F3FFD8F8FCB}"/>
    <cellStyle name="Komma 5 8 4 3" xfId="47041" xr:uid="{DDE62E65-A548-47AB-AFEB-4222F367E8D1}"/>
    <cellStyle name="Komma 5 8 4 4" xfId="52798" xr:uid="{F9A05F14-FD5D-4652-97C9-25B0BCE5D14A}"/>
    <cellStyle name="Komma 5 8 4 5" xfId="55814" xr:uid="{12341F4C-70C2-4200-B453-5F894415BA7C}"/>
    <cellStyle name="Komma 5 8 5" xfId="13047" xr:uid="{AB8FF0A5-E933-47AB-9018-860A5B6820E3}"/>
    <cellStyle name="Komma 5 8 5 2" xfId="25027" xr:uid="{0AC1979C-EC12-488F-9B02-7313E90F07E5}"/>
    <cellStyle name="Komma 5 8 5 3" xfId="51367" xr:uid="{007B960E-DF37-4AC8-90FE-578BAC24B335}"/>
    <cellStyle name="Komma 5 8 5 4" xfId="54383" xr:uid="{22BC3D43-CA88-4C23-8CAD-13C182035D48}"/>
    <cellStyle name="Komma 5 8 6" xfId="47263" xr:uid="{5E38C7EE-B77B-48F5-A6C3-E6C54613EC73}"/>
    <cellStyle name="Komma 5 8 7" xfId="50261" xr:uid="{0BF92FA6-6085-4CA6-9F82-C337577C077E}"/>
    <cellStyle name="Komma 5 8 8" xfId="53277" xr:uid="{599F5F7B-0C50-4E9A-90CE-3B615DE57B5E}"/>
    <cellStyle name="Komma 5 9" xfId="14535" xr:uid="{96B68AFA-1402-4B98-A821-9642A882CAF4}"/>
    <cellStyle name="Komma 5 9 2" xfId="22082" xr:uid="{504EBFF7-3D78-42C0-AA4E-0B66A52A9A6B}"/>
    <cellStyle name="Komma 5 9 3" xfId="32330" xr:uid="{66C5E76B-C643-458A-9FDD-F297625C3B07}"/>
    <cellStyle name="Komma 5 9 4" xfId="51420" xr:uid="{FD0A19C4-D2B5-4047-B215-8FDE10F6AE07}"/>
    <cellStyle name="Komma 5 9 5" xfId="54436" xr:uid="{FD2B15BE-D6B9-4FAA-8BD1-6CBE7D4EE4B0}"/>
    <cellStyle name="Komma 6" xfId="23938" xr:uid="{915CFC3D-317E-4934-98CA-C8BE0990E8FD}"/>
    <cellStyle name="Komma 6 2" xfId="23939" xr:uid="{95CF93AE-269D-42DE-953D-2B201E944DB1}"/>
    <cellStyle name="Komma 6 2 2" xfId="23940" xr:uid="{BEB9DCAA-1565-4B70-9403-D0C6B2E794EB}"/>
    <cellStyle name="Komma 6 2 2 2" xfId="23941" xr:uid="{E6869202-790A-4892-A09C-9B0E7435F5CA}"/>
    <cellStyle name="Komma 6 2 2 2 2" xfId="48790" xr:uid="{9C602C9D-835E-4612-89F7-7F30D0584282}"/>
    <cellStyle name="Komma 6 2 2 2 3" xfId="49696" xr:uid="{8A5AE7C3-EB32-4382-A530-7938A45C2351}"/>
    <cellStyle name="Komma 6 2 2 3" xfId="48789" xr:uid="{220D5C3E-735F-482B-838F-E15DC71EF8BC}"/>
    <cellStyle name="Komma 6 2 2 4" xfId="49695" xr:uid="{19360BEF-CDC3-4AC7-83E3-1BC20631FAB5}"/>
    <cellStyle name="Komma 6 2 3" xfId="23942" xr:uid="{CC05C90A-014C-43AA-9811-A8F0D5CBA658}"/>
    <cellStyle name="Komma 6 2 3 2" xfId="23943" xr:uid="{DFAC453D-F288-47C8-B692-218C3B4E384A}"/>
    <cellStyle name="Komma 6 2 3 2 2" xfId="48792" xr:uid="{AC612A99-209C-49FA-9FA5-F226E15A4A36}"/>
    <cellStyle name="Komma 6 2 3 2 3" xfId="49698" xr:uid="{7C38E726-AFE9-4A24-ADAF-4F95A0263E34}"/>
    <cellStyle name="Komma 6 2 3 3" xfId="48791" xr:uid="{EF8BF227-13A7-4700-818B-38D13E51E5A8}"/>
    <cellStyle name="Komma 6 2 3 4" xfId="49697" xr:uid="{A2C4CB5F-4A8F-47B5-B69D-91834FD1DE0D}"/>
    <cellStyle name="Komma 6 2 4" xfId="23944" xr:uid="{B93A2606-202B-406E-BEC9-C549664F2508}"/>
    <cellStyle name="Komma 6 2 4 2" xfId="48793" xr:uid="{DF82BEDB-1B5F-4A51-8F07-338CA0633D34}"/>
    <cellStyle name="Komma 6 2 4 3" xfId="49699" xr:uid="{E063EEB4-42A0-4960-A27E-53BE8DB3B1F4}"/>
    <cellStyle name="Komma 6 2 5" xfId="48788" xr:uid="{B09EC451-E24D-4A88-BEC8-077680A8B1EE}"/>
    <cellStyle name="Komma 6 2 6" xfId="49694" xr:uid="{93CB4648-2C06-4A59-B3B9-BD3F9CEAA5BC}"/>
    <cellStyle name="Komma 6 3" xfId="23945" xr:uid="{BBB03D39-BCCA-4D45-9E3F-A476AD7D777B}"/>
    <cellStyle name="Komma 6 3 2" xfId="23946" xr:uid="{BDAAB513-C6A2-4081-8A66-0245F7A43395}"/>
    <cellStyle name="Komma 6 3 2 2" xfId="48795" xr:uid="{5A1961C7-9147-4418-B4F9-9CF84D68DFF8}"/>
    <cellStyle name="Komma 6 3 2 3" xfId="49701" xr:uid="{BF14CA1C-8DFD-4B22-A825-F8195B4A792A}"/>
    <cellStyle name="Komma 6 3 3" xfId="48794" xr:uid="{DAECF47B-EBA3-4297-A508-D10C54A3AFDA}"/>
    <cellStyle name="Komma 6 3 4" xfId="49700" xr:uid="{25BEC5BD-781D-488C-9536-01880F9D801F}"/>
    <cellStyle name="Komma 6 4" xfId="23947" xr:uid="{376AB3FC-AA81-40B3-AA3B-B9DCB7F4E828}"/>
    <cellStyle name="Komma 6 4 2" xfId="23948" xr:uid="{413153A4-6193-48EA-A18F-6EA2C30363CF}"/>
    <cellStyle name="Komma 6 4 2 2" xfId="48797" xr:uid="{B93E1182-8660-425B-809C-C6D41788A53E}"/>
    <cellStyle name="Komma 6 4 2 3" xfId="49703" xr:uid="{2746FE56-2A22-4B9A-82EA-4A1E0B70F8FD}"/>
    <cellStyle name="Komma 6 4 3" xfId="48796" xr:uid="{5A9C7E42-866E-4A07-9D83-6F59D154A200}"/>
    <cellStyle name="Komma 6 4 4" xfId="49702" xr:uid="{30F10BC7-B075-451B-AF57-8CDE5B541B1D}"/>
    <cellStyle name="Komma 6 5" xfId="23949" xr:uid="{F72276CE-43CE-48B2-A997-51EA1CC165C6}"/>
    <cellStyle name="Komma 6 5 2" xfId="23950" xr:uid="{B8976D5B-20C5-41C1-8342-91438A4B7F55}"/>
    <cellStyle name="Komma 6 5 2 2" xfId="48799" xr:uid="{DACAD481-CB50-42DF-B3E9-4CAD91EEF18C}"/>
    <cellStyle name="Komma 6 5 2 3" xfId="49705" xr:uid="{371ECFF3-B7A8-4911-82E2-5592266E6071}"/>
    <cellStyle name="Komma 6 5 3" xfId="48798" xr:uid="{861F970A-42B4-4AE4-BF38-469BC12587CF}"/>
    <cellStyle name="Komma 6 5 4" xfId="49704" xr:uid="{AF4F598C-6BC2-43D3-9CB9-376A58F0C1D7}"/>
    <cellStyle name="Komma 6 6" xfId="23951" xr:uid="{16CC6304-7884-4D43-BAB1-6099BB4F7466}"/>
    <cellStyle name="Komma 6 6 2" xfId="48800" xr:uid="{127DEE5A-3549-49B1-921A-785A3A0D191D}"/>
    <cellStyle name="Komma 6 6 3" xfId="49706" xr:uid="{CEBF468F-275A-4A15-9256-C4778E348D73}"/>
    <cellStyle name="Komma 6 7" xfId="48787" xr:uid="{110E0404-6D21-4C5D-A46B-1C3F27075DC4}"/>
    <cellStyle name="Komma 6 8" xfId="49693" xr:uid="{BE9F23B4-8382-4421-8AA6-F7459BA36434}"/>
    <cellStyle name="Komma 7" xfId="23952" xr:uid="{1D8A062A-1BCC-405D-9935-9ECE156C6CA2}"/>
    <cellStyle name="Komma 7 2" xfId="23953" xr:uid="{4E01A6ED-6106-4F9E-A101-7F67D1EFF47D}"/>
    <cellStyle name="Komma 7 2 2" xfId="23954" xr:uid="{64471E7B-B18C-4995-B81F-56F5FD037BA1}"/>
    <cellStyle name="Komma 7 2 2 2" xfId="23955" xr:uid="{8E25BE94-E841-4A39-8B05-80BBDA7D07B6}"/>
    <cellStyle name="Komma 7 2 2 2 2" xfId="48804" xr:uid="{77BE0716-3983-4761-8D3E-A381FD0EB9EA}"/>
    <cellStyle name="Komma 7 2 2 2 3" xfId="49710" xr:uid="{FC43EC45-A642-4A66-A302-429B6680BED7}"/>
    <cellStyle name="Komma 7 2 2 3" xfId="48803" xr:uid="{BA3650C2-35B8-4865-ACBA-377A80F72F64}"/>
    <cellStyle name="Komma 7 2 2 4" xfId="49709" xr:uid="{A3FB947D-C95A-4B22-A892-D547F1883FBB}"/>
    <cellStyle name="Komma 7 2 3" xfId="23956" xr:uid="{1BC373EB-19A6-44BE-BABD-4051A22621E6}"/>
    <cellStyle name="Komma 7 2 3 2" xfId="23957" xr:uid="{B39A7DD0-FB83-4221-B362-AEE7B9B33195}"/>
    <cellStyle name="Komma 7 2 3 2 2" xfId="48806" xr:uid="{571A36EB-94C2-4166-A26F-BE8B370A2750}"/>
    <cellStyle name="Komma 7 2 3 2 3" xfId="49712" xr:uid="{D09F8EBE-3E06-4A14-836C-650C124A8620}"/>
    <cellStyle name="Komma 7 2 3 3" xfId="48805" xr:uid="{1B846500-984C-4C5F-ACFD-96850CD3A7C5}"/>
    <cellStyle name="Komma 7 2 3 4" xfId="49711" xr:uid="{75F5C528-3BE4-467A-B56F-0B8B550F52AA}"/>
    <cellStyle name="Komma 7 2 4" xfId="23958" xr:uid="{C77E6C71-C93B-4B75-BB85-4973CBC6B864}"/>
    <cellStyle name="Komma 7 2 4 2" xfId="48807" xr:uid="{30259BBB-DFC6-4DD4-BA27-4F761A3A28F7}"/>
    <cellStyle name="Komma 7 2 4 3" xfId="49713" xr:uid="{C3194813-D121-4330-A378-4E87A9E1F32B}"/>
    <cellStyle name="Komma 7 2 5" xfId="48802" xr:uid="{02D274B7-B9F7-456D-8BE0-82C628AE1AEE}"/>
    <cellStyle name="Komma 7 2 6" xfId="49708" xr:uid="{A3138AF2-F1F9-4236-8658-49031BE72E22}"/>
    <cellStyle name="Komma 7 3" xfId="23959" xr:uid="{14C54A22-B256-4697-A65C-5820AE6D6E5F}"/>
    <cellStyle name="Komma 7 3 2" xfId="23960" xr:uid="{450A260C-54A5-4300-8874-1AE1EC47D759}"/>
    <cellStyle name="Komma 7 3 2 2" xfId="48809" xr:uid="{2DF1588F-CDFB-4760-81C6-C7E56DF9558F}"/>
    <cellStyle name="Komma 7 3 2 3" xfId="49715" xr:uid="{8E117AD9-17DD-4A36-8C71-E2126F98CFF5}"/>
    <cellStyle name="Komma 7 3 3" xfId="48808" xr:uid="{33E6EA07-B8A0-4495-B4CE-087ECF433AD5}"/>
    <cellStyle name="Komma 7 3 4" xfId="49714" xr:uid="{CDE3088D-6598-4A47-B322-11961631875E}"/>
    <cellStyle name="Komma 7 4" xfId="23961" xr:uid="{75C7E4BB-80D8-43D2-A97F-63DA8E84FF7B}"/>
    <cellStyle name="Komma 7 4 2" xfId="23962" xr:uid="{C2E77558-9823-494F-8EC8-513D73ED28E6}"/>
    <cellStyle name="Komma 7 4 2 2" xfId="48811" xr:uid="{F7324EDE-9E44-4C26-9959-64DAD5D62016}"/>
    <cellStyle name="Komma 7 4 2 3" xfId="49717" xr:uid="{F805735B-F673-470A-AF11-E157427D79A7}"/>
    <cellStyle name="Komma 7 4 3" xfId="48810" xr:uid="{272BB4F1-B1B9-4CBB-8446-94E862E905E8}"/>
    <cellStyle name="Komma 7 4 4" xfId="49716" xr:uid="{D3D7BAEF-5CD4-470A-92B3-CCE2499F15C2}"/>
    <cellStyle name="Komma 7 5" xfId="23963" xr:uid="{C4D49F6B-3811-4D8F-A6E8-2B0D10A3E60A}"/>
    <cellStyle name="Komma 7 5 2" xfId="48812" xr:uid="{A4B2AC08-A387-43CB-9268-E9F312049F31}"/>
    <cellStyle name="Komma 7 5 3" xfId="49718" xr:uid="{FB184FAA-7471-4C8C-BCB0-AFD56B7E6F2B}"/>
    <cellStyle name="Komma 7 6" xfId="48801" xr:uid="{06F257E0-769F-42FB-8966-CB4D02F70C73}"/>
    <cellStyle name="Komma 7 7" xfId="49707" xr:uid="{8435B76B-EA68-4DB5-8908-B1C11921B9F9}"/>
    <cellStyle name="Komma 8" xfId="23964" xr:uid="{E37648E3-635A-4375-9130-F5250E209941}"/>
    <cellStyle name="Komma 8 2" xfId="23965" xr:uid="{C28819C8-E983-4E13-8504-BAF83957BA24}"/>
    <cellStyle name="Komma 8 2 2" xfId="23966" xr:uid="{8D2C34E6-A74B-485F-93D2-16982F78AF60}"/>
    <cellStyle name="Komma 8 2 2 2" xfId="48815" xr:uid="{281D1F52-CA87-455B-A618-390AACD98072}"/>
    <cellStyle name="Komma 8 2 2 3" xfId="49721" xr:uid="{5C8F197E-5FC3-4FAB-BA56-74930F3751D1}"/>
    <cellStyle name="Komma 8 2 3" xfId="48814" xr:uid="{04B5CC8B-3AF5-4696-BEE8-AF329B68A767}"/>
    <cellStyle name="Komma 8 2 4" xfId="49720" xr:uid="{F92B3295-E16E-4CEA-94AB-E408663DBFB6}"/>
    <cellStyle name="Komma 8 3" xfId="23967" xr:uid="{FABD3982-9B0A-44A2-A175-3C66DE247244}"/>
    <cellStyle name="Komma 8 3 2" xfId="23968" xr:uid="{CB5C3BAD-A20B-4725-BF57-D303109CD75C}"/>
    <cellStyle name="Komma 8 3 2 2" xfId="48817" xr:uid="{E065ADDE-5BA4-4835-9EC4-549A07DAD424}"/>
    <cellStyle name="Komma 8 3 2 3" xfId="49723" xr:uid="{A654F653-68A3-4DC8-A382-040FBF6B0E83}"/>
    <cellStyle name="Komma 8 3 3" xfId="48816" xr:uid="{55F8611C-7CA1-4307-A272-23FECC31E705}"/>
    <cellStyle name="Komma 8 3 4" xfId="49722" xr:uid="{C12A6FEB-9EF4-49D4-B7E4-2D9D523F3319}"/>
    <cellStyle name="Komma 8 4" xfId="23969" xr:uid="{19CF459C-5E1E-42FD-B95F-86A99E39E68F}"/>
    <cellStyle name="Komma 8 4 2" xfId="48818" xr:uid="{00C030B9-4C3D-4843-A6CF-755EA092A437}"/>
    <cellStyle name="Komma 8 4 3" xfId="49724" xr:uid="{67ACB8FE-328C-46E4-B3D2-A80CD46DC853}"/>
    <cellStyle name="Komma 8 5" xfId="48813" xr:uid="{A558B3CC-95B6-41B4-A3C5-7374A76F1E36}"/>
    <cellStyle name="Komma 8 6" xfId="49719" xr:uid="{5045F1C2-5EB8-4F97-AB6B-252D5E28F3AB}"/>
    <cellStyle name="Komma 9" xfId="23970" xr:uid="{6E9586EB-9DD9-4F28-8D97-9D8FF1299F62}"/>
    <cellStyle name="Komma 9 2" xfId="23971" xr:uid="{17A9B4AA-0B3A-40E0-B99C-893C9329299B}"/>
    <cellStyle name="Komma 9 2 2" xfId="48820" xr:uid="{6A6076D8-83CC-4041-A5DB-DC4850B7F4CD}"/>
    <cellStyle name="Komma 9 2 3" xfId="49726" xr:uid="{AC3051C1-BD80-45DB-89A3-2F217D3DDB21}"/>
    <cellStyle name="Komma 9 3" xfId="48819" xr:uid="{F6AD35DC-46ED-4B69-B763-8A284E57DB6F}"/>
    <cellStyle name="Komma 9 4" xfId="49725" xr:uid="{3FDA722E-38BE-4D44-B65D-461AA63DE35E}"/>
    <cellStyle name="Kontroller celle" xfId="1477" xr:uid="{00000000-0005-0000-0000-0000D2010000}"/>
    <cellStyle name="Kontroller celle 2" xfId="2815" xr:uid="{EF563239-A846-4A75-B4EB-742116F49614}"/>
    <cellStyle name="Link" xfId="17478" xr:uid="{0A51B8DE-0901-410F-8893-396FEFADF2B1}"/>
    <cellStyle name="Link 2" xfId="2816" xr:uid="{8FE95863-50C7-473F-BFE4-6B40BE51BFA1}"/>
    <cellStyle name="Link 2 2" xfId="23973" xr:uid="{55CA0FBE-D732-4608-96F0-01594653A610}"/>
    <cellStyle name="Link 2 3" xfId="23974" xr:uid="{20E6816A-2EE0-49C1-BDC4-DB3E1F67FA71}"/>
    <cellStyle name="Link 2 4" xfId="23975" xr:uid="{6AB095B5-8742-485F-9F54-3ADC912A2BF7}"/>
    <cellStyle name="Link 2 5" xfId="23976" xr:uid="{7CEED332-9645-4B2C-A838-51F4B87DD822}"/>
    <cellStyle name="Link 3" xfId="9109" xr:uid="{4565C5C8-8D68-4DD6-BC0B-4F68054D4FC6}"/>
    <cellStyle name="Link 3 2" xfId="23978" xr:uid="{A024A1F3-5B0F-41A3-8899-2EB0507C5093}"/>
    <cellStyle name="Link 4" xfId="23979" xr:uid="{73CCA873-0132-41F6-B715-8DDF5E3FEE9B}"/>
    <cellStyle name="Link 5" xfId="23980" xr:uid="{BB4F5403-ED06-4738-B868-1F5AD9B9BDC7}"/>
    <cellStyle name="Link 6" xfId="23981" xr:uid="{F96987CA-5841-417B-A86D-A86CD4267BEB}"/>
    <cellStyle name="Linked Cell 2" xfId="23982" xr:uid="{306710AB-47A4-4DF1-8BE0-264E4217601B}"/>
    <cellStyle name="Markeringsfarve1" xfId="1478" xr:uid="{00000000-0005-0000-0000-0000D3010000}"/>
    <cellStyle name="Markeringsfarve1 2" xfId="2817" xr:uid="{9174A573-A411-4F25-8E6E-D88B7A67C871}"/>
    <cellStyle name="Markeringsfarve2" xfId="1479" xr:uid="{00000000-0005-0000-0000-0000D4010000}"/>
    <cellStyle name="Markeringsfarve2 2" xfId="2818" xr:uid="{934FF41D-523B-4BF6-8FF2-6FEEE49E8FEE}"/>
    <cellStyle name="Markeringsfarve3" xfId="1480" xr:uid="{00000000-0005-0000-0000-0000D5010000}"/>
    <cellStyle name="Markeringsfarve3 2" xfId="2819" xr:uid="{4D22709D-6B1B-4EAC-853D-701431AF4CB1}"/>
    <cellStyle name="Markeringsfarve4" xfId="1481" xr:uid="{00000000-0005-0000-0000-0000D6010000}"/>
    <cellStyle name="Markeringsfarve4 2" xfId="2820" xr:uid="{A8D99893-C516-43AF-9013-B091C9E6945F}"/>
    <cellStyle name="Markeringsfarve5" xfId="1482" xr:uid="{00000000-0005-0000-0000-0000D7010000}"/>
    <cellStyle name="Markeringsfarve5 2" xfId="2821" xr:uid="{8403B1B9-6540-4934-87AF-75FA9FD50CB9}"/>
    <cellStyle name="Markeringsfarve6" xfId="1483" xr:uid="{00000000-0005-0000-0000-0000D8010000}"/>
    <cellStyle name="Markeringsfarve6 2" xfId="2822" xr:uid="{F09F4017-0BF0-41AE-BD29-43EEE77E5D56}"/>
    <cellStyle name="Migliaia [0] 10" xfId="243" xr:uid="{00000000-0005-0000-0000-0000D9010000}"/>
    <cellStyle name="Migliaia [0] 10 2" xfId="1484" xr:uid="{00000000-0005-0000-0000-0000DA010000}"/>
    <cellStyle name="Migliaia [0] 10 2 2" xfId="1485" xr:uid="{00000000-0005-0000-0000-0000DB010000}"/>
    <cellStyle name="Migliaia [0] 10 2 2 2" xfId="4551" xr:uid="{999B3FD6-67AE-44AB-907A-C4AFA58230E8}"/>
    <cellStyle name="Migliaia [0] 10 2 2 2 2" xfId="21722" xr:uid="{88FF259B-9516-4898-9338-0F8DDAACF31B}"/>
    <cellStyle name="Migliaia [0] 10 2 2 2 3" xfId="47908" xr:uid="{14F5871B-F3CC-4038-B363-8BC00CA4B78E}"/>
    <cellStyle name="Migliaia [0] 10 2 2 2 4" xfId="50750" xr:uid="{027201AF-44DA-4A43-BF48-D3CA5DD64216}"/>
    <cellStyle name="Migliaia [0] 10 2 2 2 5" xfId="53766" xr:uid="{ABE26B7D-3EBD-4032-B940-6E31D1814680}"/>
    <cellStyle name="Migliaia [0] 10 2 2 2 6" xfId="11713" xr:uid="{6DE73F8B-FFEB-4F17-8680-2EB6F6D619FA}"/>
    <cellStyle name="Migliaia [0] 10 2 2 3" xfId="2825" xr:uid="{4A2A0D4B-26C8-409B-862C-0C1DB0D91680}"/>
    <cellStyle name="Migliaia [0] 10 2 2 3 2" xfId="12359" xr:uid="{6EFCE08E-410A-4548-87C2-57E28AEC1C0A}"/>
    <cellStyle name="Migliaia [0] 10 2 2 4" xfId="10619" xr:uid="{DA389CF1-FA40-49A7-B77A-7D7FA06BED99}"/>
    <cellStyle name="Migliaia [0] 10 2 2 4 2" xfId="21254" xr:uid="{F240B5F3-761A-4BED-A808-C918E5CBB4EC}"/>
    <cellStyle name="Migliaia [0] 10 2 2 4 3" xfId="46161" xr:uid="{BB0C014C-096D-47F9-AFFB-FCD7A10A90A0}"/>
    <cellStyle name="Migliaia [0] 10 2 2 4 4" xfId="50269" xr:uid="{6F14E0BA-12C8-4C4A-A7E4-FB28C7DA425E}"/>
    <cellStyle name="Migliaia [0] 10 2 2 4 5" xfId="53285" xr:uid="{860A1E31-EFC3-44A6-BC91-F399E74D50F9}"/>
    <cellStyle name="Migliaia [0] 10 2 2 5" xfId="19504" xr:uid="{E6FBCAB8-60F9-44DF-BA20-002F2688FE77}"/>
    <cellStyle name="Migliaia [0] 10 2 2 6" xfId="23985" xr:uid="{2D7E598C-BA38-4693-887E-5D2534003D08}"/>
    <cellStyle name="Migliaia [0] 10 2 2 7" xfId="48821" xr:uid="{75A3F66D-7CED-4889-91FC-C73299755F2B}"/>
    <cellStyle name="Migliaia [0] 10 2 2 8" xfId="49727" xr:uid="{20FF7DE4-43E4-4796-B19F-2C92EDCB15B4}"/>
    <cellStyle name="Migliaia [0] 10 2 2 9" xfId="8427" xr:uid="{C6D476F6-2F38-41B9-8B4D-59378E0177FD}"/>
    <cellStyle name="Migliaia [0] 10 2 3" xfId="4550" xr:uid="{CA0CB759-0B9A-45D6-A0AE-2F917C5081E3}"/>
    <cellStyle name="Migliaia [0] 10 2 3 2" xfId="32733" xr:uid="{5626A5AD-2B33-4E30-A09F-5F72EAC4CB3F}"/>
    <cellStyle name="Migliaia [0] 10 2 3 2 2" xfId="38084" xr:uid="{DDFDC9F7-71CF-414C-A9F4-CF3A3C22BDDF}"/>
    <cellStyle name="Migliaia [0] 10 2 3 2 3" xfId="43386" xr:uid="{5E8F5ECB-3903-4531-AAEF-94CB2F70562A}"/>
    <cellStyle name="Migliaia [0] 10 2 3 3" xfId="35619" xr:uid="{B86983FA-AD49-4B82-9F07-469C278C5AE5}"/>
    <cellStyle name="Migliaia [0] 10 2 3 4" xfId="40735" xr:uid="{50978E45-1B73-42F5-B744-E40886DA0AE0}"/>
    <cellStyle name="Migliaia [0] 10 2 3 5" xfId="11714" xr:uid="{C7F83385-28B8-4B0B-ACB0-DC1E93976AC8}"/>
    <cellStyle name="Migliaia [0] 10 2 4" xfId="5831" xr:uid="{7AEB3FF7-432E-44AA-8172-CE9C777C0198}"/>
    <cellStyle name="Migliaia [0] 10 2 4 2" xfId="19503" xr:uid="{79F0B802-2C73-4EB8-ACD4-A093828450BE}"/>
    <cellStyle name="Migliaia [0] 10 2 5" xfId="2824" xr:uid="{56BAC4E8-C04D-4429-B195-E3FD40ABE7D3}"/>
    <cellStyle name="Migliaia [0] 10 2 5 2" xfId="23984" xr:uid="{F8462D53-4F88-45F5-951D-F72629C1D8D3}"/>
    <cellStyle name="Migliaia [0] 10 2 6" xfId="7237" xr:uid="{5BF25373-2736-4137-8FFF-FC687EB30CBC}"/>
    <cellStyle name="Migliaia [0] 10 3" xfId="1486" xr:uid="{00000000-0005-0000-0000-0000DC010000}"/>
    <cellStyle name="Migliaia [0] 10 3 2" xfId="4552" xr:uid="{E030A518-07C0-487F-9BD6-245C69FE5AA8}"/>
    <cellStyle name="Migliaia [0] 10 3 2 2" xfId="18302" xr:uid="{32603424-25C0-4E7A-B124-11D6318B7E9A}"/>
    <cellStyle name="Migliaia [0] 10 3 2 2 2" xfId="21723" xr:uid="{B55E9B35-D8D5-4425-888D-FC061736927C}"/>
    <cellStyle name="Migliaia [0] 10 3 2 2 2 2" xfId="38085" xr:uid="{53CBF2D1-AF5B-4943-B4CE-B4A4FF774E89}"/>
    <cellStyle name="Migliaia [0] 10 3 2 2 3" xfId="43387" xr:uid="{A025FC7B-4049-4A56-96BB-88731E50AEA7}"/>
    <cellStyle name="Migliaia [0] 10 3 2 2 4" xfId="32734" xr:uid="{1C46630B-6798-4381-8381-D5130AEA195D}"/>
    <cellStyle name="Migliaia [0] 10 3 2 3" xfId="35620" xr:uid="{9EDC6265-693B-4332-B40D-DDB676E0F40F}"/>
    <cellStyle name="Migliaia [0] 10 3 2 4" xfId="40736" xr:uid="{B3DF3B86-EFB9-4C5B-92CD-47436DC69C6C}"/>
    <cellStyle name="Migliaia [0] 10 3 2 5" xfId="25138" xr:uid="{D77F61D1-618C-40A8-B4A6-92508FABC97C}"/>
    <cellStyle name="Migliaia [0] 10 3 2 6" xfId="50751" xr:uid="{FF83ED88-1DBC-43C2-BE46-51E60A675DF8}"/>
    <cellStyle name="Migliaia [0] 10 3 2 7" xfId="53767" xr:uid="{C6E4B7EF-3ACC-45CC-8C6B-F1CCD52A869E}"/>
    <cellStyle name="Migliaia [0] 10 3 2 8" xfId="17578" xr:uid="{EB7A93AF-C30D-41D9-BA60-1F204A59136F}"/>
    <cellStyle name="Migliaia [0] 10 3 2 9" xfId="11715" xr:uid="{8EDB09B1-09F0-4999-931E-E1783FB289F6}"/>
    <cellStyle name="Migliaia [0] 10 3 3" xfId="5832" xr:uid="{A664D942-F57E-411A-83AD-BBFC362ADD73}"/>
    <cellStyle name="Migliaia [0] 10 3 3 2" xfId="12388" xr:uid="{375ADC1E-238A-47BF-86D3-A0AD03D2FEB5}"/>
    <cellStyle name="Migliaia [0] 10 3 4" xfId="2826" xr:uid="{47FA5C3F-DCD9-4510-BDA4-730F76541B70}"/>
    <cellStyle name="Migliaia [0] 10 3 4 2" xfId="21255" xr:uid="{6E92C856-AB1D-4C88-B067-614861E62CFD}"/>
    <cellStyle name="Migliaia [0] 10 3 4 3" xfId="33094" xr:uid="{30B05481-11B5-4059-A147-A97427969A1C}"/>
    <cellStyle name="Migliaia [0] 10 3 4 4" xfId="50270" xr:uid="{728DC9DE-EAF2-4285-A5BA-20B8AA5B571E}"/>
    <cellStyle name="Migliaia [0] 10 3 4 5" xfId="53286" xr:uid="{68A4F107-607B-46AB-BCCB-D8C56ACF1D40}"/>
    <cellStyle name="Migliaia [0] 10 3 4 6" xfId="10620" xr:uid="{E3673C0C-EDD6-4400-A49A-54ECA7F226A4}"/>
    <cellStyle name="Migliaia [0] 10 3 5" xfId="19505" xr:uid="{75B72AF4-049B-497F-82FA-CBA905F7FE88}"/>
    <cellStyle name="Migliaia [0] 10 3 6" xfId="23986" xr:uid="{8EAC935D-6239-440A-924B-AD0BB9CD3FF7}"/>
    <cellStyle name="Migliaia [0] 10 3 7" xfId="8185" xr:uid="{3F69B0C8-6595-4716-AAAC-8FBDC3B88228}"/>
    <cellStyle name="Migliaia [0] 10 4" xfId="2827" xr:uid="{7CB6AC36-41A6-4376-BA12-9F99B415003A}"/>
    <cellStyle name="Migliaia [0] 10 4 2" xfId="4553" xr:uid="{42CAF7B4-D30F-4275-97DC-72D8FD76F764}"/>
    <cellStyle name="Migliaia [0] 10 4 2 2" xfId="35070" xr:uid="{0203F989-F9A5-41FB-B4F3-677823A5A27C}"/>
    <cellStyle name="Migliaia [0] 10 4 2 2 2" xfId="40228" xr:uid="{BC420652-3EA6-45BA-B0E0-D028B556FF45}"/>
    <cellStyle name="Migliaia [0] 10 4 2 2 3" xfId="45530" xr:uid="{8C2A7826-2D03-469D-A662-6FA29887FCA9}"/>
    <cellStyle name="Migliaia [0] 10 4 2 3" xfId="37577" xr:uid="{1EBE42A6-57D0-4799-8762-46104B6E3E26}"/>
    <cellStyle name="Migliaia [0] 10 4 2 4" xfId="42879" xr:uid="{F0A2A182-72B8-4050-B3DF-40E13DA82845}"/>
    <cellStyle name="Migliaia [0] 10 4 2 5" xfId="17010" xr:uid="{9B45364C-8140-4302-A772-5A7D562A9FCB}"/>
    <cellStyle name="Migliaia [0] 10 4 3" xfId="5833" xr:uid="{9D19FBA8-D655-4015-8F82-2F1261C500C5}"/>
    <cellStyle name="Migliaia [0] 10 4 3 2" xfId="38086" xr:uid="{9BF09399-8D8F-4B13-9B46-01F42D376C54}"/>
    <cellStyle name="Migliaia [0] 10 4 3 3" xfId="43388" xr:uid="{9D415892-79A2-45DB-B514-07D9B44BEE08}"/>
    <cellStyle name="Migliaia [0] 10 4 3 4" xfId="32735" xr:uid="{1B66F756-07E5-4EDF-9D85-F83675B47CEB}"/>
    <cellStyle name="Migliaia [0] 10 4 3 5" xfId="19506" xr:uid="{E4192D5D-7313-456D-A2A1-CD8FFFAE5307}"/>
    <cellStyle name="Migliaia [0] 10 4 4" xfId="35621" xr:uid="{8F5FD01F-9208-4CA4-B825-463092DB04A5}"/>
    <cellStyle name="Migliaia [0] 10 4 5" xfId="40737" xr:uid="{25D40F3C-120D-476E-8937-C49091570518}"/>
    <cellStyle name="Migliaia [0] 10 4 6" xfId="15952" xr:uid="{23E03374-7AB0-4764-A3F7-719C8C52A3EF}"/>
    <cellStyle name="Migliaia [0] 10 4 7" xfId="7765" xr:uid="{6474B145-34F5-4874-9E7D-64DD6D38D430}"/>
    <cellStyle name="Migliaia [0] 10 5" xfId="4549" xr:uid="{BCEB1AC9-0C9F-4486-8C45-0A9276028903}"/>
    <cellStyle name="Migliaia [0] 10 5 2" xfId="32736" xr:uid="{8FBD2449-E8B8-4B3B-821F-CEE83F84C65C}"/>
    <cellStyle name="Migliaia [0] 10 5 2 2" xfId="38087" xr:uid="{81CF2E92-2BBE-4950-876F-EF5DD1C8371B}"/>
    <cellStyle name="Migliaia [0] 10 5 2 3" xfId="43389" xr:uid="{3DA72E82-13BC-4717-B1BE-E5A774F18128}"/>
    <cellStyle name="Migliaia [0] 10 5 3" xfId="35622" xr:uid="{A817DF38-282D-44E1-B3C5-A38B4DCD9CA9}"/>
    <cellStyle name="Migliaia [0] 10 5 4" xfId="40738" xr:uid="{AA5237BF-EAB2-40FB-8392-1FE748E52317}"/>
    <cellStyle name="Migliaia [0] 10 5 5" xfId="17079" xr:uid="{F4A2546B-BD34-47F8-B6DA-068ABB41E019}"/>
    <cellStyle name="Migliaia [0] 10 6" xfId="5830" xr:uid="{13C84C13-B035-47AE-AFE6-38877BACBA26}"/>
    <cellStyle name="Migliaia [0] 10 6 2" xfId="38083" xr:uid="{D01AEB97-B037-4193-9858-6300C14F9137}"/>
    <cellStyle name="Migliaia [0] 10 6 3" xfId="43385" xr:uid="{6D835CC4-D0A6-45B6-8813-C8D2D6326CE7}"/>
    <cellStyle name="Migliaia [0] 10 6 4" xfId="32732" xr:uid="{984B2C36-D113-40AD-8DD8-48E32317A54F}"/>
    <cellStyle name="Migliaia [0] 10 6 5" xfId="19502" xr:uid="{81453B89-2FAE-443C-A0D8-5E180877A01E}"/>
    <cellStyle name="Migliaia [0] 10 7" xfId="2823" xr:uid="{61A91452-1E55-4A98-80FE-70069A3AE398}"/>
    <cellStyle name="Migliaia [0] 10 7 2" xfId="35618" xr:uid="{AB44F613-8D51-47F8-B25A-69BCCF9EC97F}"/>
    <cellStyle name="Migliaia [0] 10 8" xfId="40734" xr:uid="{02F87CE4-AF30-44A5-A095-E62CF7C7B86A}"/>
    <cellStyle name="Migliaia [0] 10 9" xfId="6986" xr:uid="{E08FF961-AC1F-4055-AA16-955B75A8367A}"/>
    <cellStyle name="Migliaia [0] 11" xfId="244" xr:uid="{00000000-0005-0000-0000-0000DD010000}"/>
    <cellStyle name="Migliaia [0] 11 2" xfId="1487" xr:uid="{00000000-0005-0000-0000-0000DE010000}"/>
    <cellStyle name="Migliaia [0] 11 2 2" xfId="1488" xr:uid="{00000000-0005-0000-0000-0000DF010000}"/>
    <cellStyle name="Migliaia [0] 11 2 2 2" xfId="4556" xr:uid="{23E24C56-AEA8-4643-B43E-3036F456A968}"/>
    <cellStyle name="Migliaia [0] 11 2 2 2 2" xfId="21724" xr:uid="{59264761-ABB9-483E-85AF-FDAC3FFC8BD5}"/>
    <cellStyle name="Migliaia [0] 11 2 2 2 3" xfId="47812" xr:uid="{D68201A6-9C51-4FD5-B049-A16D6B2B8BE7}"/>
    <cellStyle name="Migliaia [0] 11 2 2 2 4" xfId="50752" xr:uid="{D7E08D1A-00BF-45AD-8C37-36B9E620974C}"/>
    <cellStyle name="Migliaia [0] 11 2 2 2 5" xfId="53768" xr:uid="{62BFE074-3374-44BB-90F9-07E0D5934BF0}"/>
    <cellStyle name="Migliaia [0] 11 2 2 2 6" xfId="11716" xr:uid="{01604F2D-ABF8-4F7B-B13D-E48DE27C1B58}"/>
    <cellStyle name="Migliaia [0] 11 2 2 3" xfId="2830" xr:uid="{764840E9-B2A5-47C9-96B6-BF71D57B73E0}"/>
    <cellStyle name="Migliaia [0] 11 2 2 3 2" xfId="12187" xr:uid="{301D48AF-0F35-4158-AAB6-BC1717B77763}"/>
    <cellStyle name="Migliaia [0] 11 2 2 4" xfId="10621" xr:uid="{496B0F99-36AE-45A7-8F12-9C2E2C4B6742}"/>
    <cellStyle name="Migliaia [0] 11 2 2 4 2" xfId="21256" xr:uid="{942DFF25-3718-4F85-8AB0-501A2CE9382D}"/>
    <cellStyle name="Migliaia [0] 11 2 2 4 3" xfId="46162" xr:uid="{EA675B6C-8892-4487-8DEE-792947EEF3E6}"/>
    <cellStyle name="Migliaia [0] 11 2 2 4 4" xfId="50271" xr:uid="{40E9D9AF-D88A-4769-984D-F50D3F80260F}"/>
    <cellStyle name="Migliaia [0] 11 2 2 4 5" xfId="53287" xr:uid="{10C293B6-1E94-4D08-AA33-0DCBF81FC23A}"/>
    <cellStyle name="Migliaia [0] 11 2 2 5" xfId="19509" xr:uid="{32CAEAF4-C108-4C5E-8E47-7940C84A1D4D}"/>
    <cellStyle name="Migliaia [0] 11 2 2 6" xfId="23990" xr:uid="{862203CA-B2D6-4C82-887C-809FCC27D248}"/>
    <cellStyle name="Migliaia [0] 11 2 2 7" xfId="48822" xr:uid="{2A388936-ACF8-4A1B-9D17-E51B1BC9A319}"/>
    <cellStyle name="Migliaia [0] 11 2 2 8" xfId="49728" xr:uid="{A514DFD4-5663-445B-9F44-4730C277F543}"/>
    <cellStyle name="Migliaia [0] 11 2 2 9" xfId="8428" xr:uid="{2E4FBF28-B65A-4074-A954-4745ECF71553}"/>
    <cellStyle name="Migliaia [0] 11 2 3" xfId="4555" xr:uid="{493F877F-2E9F-4705-ACED-B510ADEFCC3A}"/>
    <cellStyle name="Migliaia [0] 11 2 3 2" xfId="32738" xr:uid="{DFC9CE0D-977F-4431-8184-ED9E96CD1E7F}"/>
    <cellStyle name="Migliaia [0] 11 2 3 2 2" xfId="38089" xr:uid="{F7217520-C4FC-4661-AB42-2EDEFBA1D975}"/>
    <cellStyle name="Migliaia [0] 11 2 3 2 3" xfId="43391" xr:uid="{45E2CC32-0E4C-46A0-9287-09321FA439E7}"/>
    <cellStyle name="Migliaia [0] 11 2 3 3" xfId="35624" xr:uid="{6EC3EFFF-3E4B-4C5E-8D75-00C218342A8F}"/>
    <cellStyle name="Migliaia [0] 11 2 3 4" xfId="40740" xr:uid="{A76DFA3D-6318-47E3-8689-43019C1015F9}"/>
    <cellStyle name="Migliaia [0] 11 2 3 5" xfId="11717" xr:uid="{E1E6FC8B-E92A-4E34-A961-521912063968}"/>
    <cellStyle name="Migliaia [0] 11 2 4" xfId="5835" xr:uid="{CE80F89E-96EC-4755-ABBD-25897286F924}"/>
    <cellStyle name="Migliaia [0] 11 2 4 2" xfId="19508" xr:uid="{EC8CD040-248E-447A-80A0-7C659D2BF32B}"/>
    <cellStyle name="Migliaia [0] 11 2 5" xfId="2829" xr:uid="{E593B6A2-C878-4D71-9452-E4317F029FF2}"/>
    <cellStyle name="Migliaia [0] 11 2 5 2" xfId="23989" xr:uid="{639FCF0F-1CCF-4593-97CF-D4749EBF89DF}"/>
    <cellStyle name="Migliaia [0] 11 2 6" xfId="7238" xr:uid="{C14CBBC9-E9FA-49AA-86EC-E2B22A0C09C1}"/>
    <cellStyle name="Migliaia [0] 11 3" xfId="1489" xr:uid="{00000000-0005-0000-0000-0000E0010000}"/>
    <cellStyle name="Migliaia [0] 11 3 2" xfId="4557" xr:uid="{4F45E4F8-7A27-4FC4-9579-672B92584CD5}"/>
    <cellStyle name="Migliaia [0] 11 3 2 2" xfId="18303" xr:uid="{09E64380-6CCA-4A63-9101-AFD1AD3B3E8E}"/>
    <cellStyle name="Migliaia [0] 11 3 2 2 2" xfId="21725" xr:uid="{E58DEF30-8078-48D5-B61B-41FDDCFBDFD3}"/>
    <cellStyle name="Migliaia [0] 11 3 2 2 2 2" xfId="38090" xr:uid="{3CBA23F5-D233-4B3B-B82F-6023AE2B1F26}"/>
    <cellStyle name="Migliaia [0] 11 3 2 2 3" xfId="43392" xr:uid="{293A6D71-350E-4377-B2DE-7C6929045628}"/>
    <cellStyle name="Migliaia [0] 11 3 2 2 4" xfId="32739" xr:uid="{6D3F1EC3-29C3-4901-AC0E-2182F0206ECE}"/>
    <cellStyle name="Migliaia [0] 11 3 2 3" xfId="35625" xr:uid="{F7AE41D5-8767-4FD6-9DFC-83022328024B}"/>
    <cellStyle name="Migliaia [0] 11 3 2 4" xfId="40741" xr:uid="{57F18934-5F7B-4EBF-924D-454182003AFD}"/>
    <cellStyle name="Migliaia [0] 11 3 2 5" xfId="48041" xr:uid="{1A8B819F-731C-45C0-82E0-F8814C0E01E1}"/>
    <cellStyle name="Migliaia [0] 11 3 2 6" xfId="50753" xr:uid="{E2D2D743-5E82-4FF1-9423-C97C93B4DE64}"/>
    <cellStyle name="Migliaia [0] 11 3 2 7" xfId="53769" xr:uid="{0C24C65F-3CF1-46AB-85A8-0C0FEAE0A30C}"/>
    <cellStyle name="Migliaia [0] 11 3 2 8" xfId="17579" xr:uid="{F37EA7CF-8F4F-4B27-A940-4AE56FEECBA5}"/>
    <cellStyle name="Migliaia [0] 11 3 2 9" xfId="11718" xr:uid="{68BB5301-97C8-4603-B742-45AF7AB019E0}"/>
    <cellStyle name="Migliaia [0] 11 3 3" xfId="5836" xr:uid="{9E6DAAAF-7D03-4C4F-A45C-FB356F2B8D6F}"/>
    <cellStyle name="Migliaia [0] 11 3 3 2" xfId="12387" xr:uid="{51E193AB-6371-411A-AEA3-A405E11BF761}"/>
    <cellStyle name="Migliaia [0] 11 3 4" xfId="2831" xr:uid="{0CA9844A-4371-4CB6-9E73-D18C81EB3EB8}"/>
    <cellStyle name="Migliaia [0] 11 3 4 2" xfId="21257" xr:uid="{EDEC153A-F870-4031-990C-4EB2B66A414D}"/>
    <cellStyle name="Migliaia [0] 11 3 4 3" xfId="47070" xr:uid="{87FD6517-FE96-42F6-B74F-6FDB8A0A0CB7}"/>
    <cellStyle name="Migliaia [0] 11 3 4 4" xfId="50272" xr:uid="{73982BB7-078A-434A-92A8-B920C018F3E3}"/>
    <cellStyle name="Migliaia [0] 11 3 4 5" xfId="53288" xr:uid="{B3B50D06-DB39-411B-AD52-7AF32E822727}"/>
    <cellStyle name="Migliaia [0] 11 3 4 6" xfId="10622" xr:uid="{592F767C-1C40-42B1-A533-E1CBD15B33FB}"/>
    <cellStyle name="Migliaia [0] 11 3 5" xfId="19510" xr:uid="{54BF0388-1414-42B4-AE44-68BE58322081}"/>
    <cellStyle name="Migliaia [0] 11 3 6" xfId="23991" xr:uid="{AD4A1204-D213-41DE-B28F-09437049005E}"/>
    <cellStyle name="Migliaia [0] 11 3 7" xfId="8186" xr:uid="{6DF17F47-207B-4838-B6C7-9006DEFAB58E}"/>
    <cellStyle name="Migliaia [0] 11 4" xfId="2832" xr:uid="{2F2731B5-BD61-4E8F-B816-BDA9DBB55759}"/>
    <cellStyle name="Migliaia [0] 11 4 2" xfId="4558" xr:uid="{8544E5B5-9610-4D5E-A25A-031A731D95BD}"/>
    <cellStyle name="Migliaia [0] 11 4 2 2" xfId="35071" xr:uid="{67DB0429-CCEE-4583-B5CD-37F905DC0E4B}"/>
    <cellStyle name="Migliaia [0] 11 4 2 2 2" xfId="40229" xr:uid="{D765A415-7CDC-4FFF-A69B-6EAFFCF4E67E}"/>
    <cellStyle name="Migliaia [0] 11 4 2 2 3" xfId="45531" xr:uid="{934C9767-4A86-4EDE-9AD5-DECDEFF71955}"/>
    <cellStyle name="Migliaia [0] 11 4 2 3" xfId="37578" xr:uid="{E18E2008-CA7E-4B04-AAA0-CC517EFA28E2}"/>
    <cellStyle name="Migliaia [0] 11 4 2 4" xfId="42880" xr:uid="{F586F849-ABAF-4A32-8281-41B62293C7E0}"/>
    <cellStyle name="Migliaia [0] 11 4 2 5" xfId="17011" xr:uid="{73C72A76-2D87-43FC-8B4F-212ABC80AAC9}"/>
    <cellStyle name="Migliaia [0] 11 4 3" xfId="5837" xr:uid="{7C2C0142-35DD-4656-97ED-44B09C2560A4}"/>
    <cellStyle name="Migliaia [0] 11 4 3 2" xfId="38091" xr:uid="{E11DAC6C-636C-4B2A-A58B-765591CBC6B9}"/>
    <cellStyle name="Migliaia [0] 11 4 3 3" xfId="43393" xr:uid="{9EB3241F-49AD-406A-A470-AB2994A828A1}"/>
    <cellStyle name="Migliaia [0] 11 4 3 4" xfId="32740" xr:uid="{9E12FBCB-4D52-4954-9541-E2F062857A96}"/>
    <cellStyle name="Migliaia [0] 11 4 3 5" xfId="19511" xr:uid="{7B1E7D23-A6A8-4518-8942-5F5EDD428ABD}"/>
    <cellStyle name="Migliaia [0] 11 4 4" xfId="35626" xr:uid="{B5848ED3-5E11-41E9-B88C-F7FDA1A5022C}"/>
    <cellStyle name="Migliaia [0] 11 4 5" xfId="40742" xr:uid="{891D0BC9-7FC2-4058-993D-B7C632B8A36C}"/>
    <cellStyle name="Migliaia [0] 11 4 6" xfId="15953" xr:uid="{3E220F18-4C81-4657-9E80-07F6F16D1153}"/>
    <cellStyle name="Migliaia [0] 11 4 7" xfId="7766" xr:uid="{067A2235-FA15-41A1-BEA7-A1153E6956F4}"/>
    <cellStyle name="Migliaia [0] 11 5" xfId="4554" xr:uid="{DFEB13CA-4012-4558-A3E4-8DFCB6B4784B}"/>
    <cellStyle name="Migliaia [0] 11 5 2" xfId="32741" xr:uid="{7B0FFA3A-80D7-46A2-BD4E-EDF2F2D7FCF7}"/>
    <cellStyle name="Migliaia [0] 11 5 2 2" xfId="38092" xr:uid="{24C7AB53-9D67-4EB1-AA5C-37847DB16385}"/>
    <cellStyle name="Migliaia [0] 11 5 2 3" xfId="43394" xr:uid="{022D26D2-2285-4EE4-8000-2B00F7806CC1}"/>
    <cellStyle name="Migliaia [0] 11 5 3" xfId="35627" xr:uid="{260E286C-4C73-4767-BA57-960BBB019ECA}"/>
    <cellStyle name="Migliaia [0] 11 5 4" xfId="40743" xr:uid="{CFF6DFE9-563C-437F-BCC9-3F4A63DEB14E}"/>
    <cellStyle name="Migliaia [0] 11 5 5" xfId="17080" xr:uid="{B97CB089-D2B3-4521-8093-0F9C7A7C25CB}"/>
    <cellStyle name="Migliaia [0] 11 6" xfId="5834" xr:uid="{F191B135-8A2F-4D89-8C7E-3B7E08CB70FB}"/>
    <cellStyle name="Migliaia [0] 11 6 2" xfId="38088" xr:uid="{95D28DEB-BB54-4B22-8389-1B31741C8BE8}"/>
    <cellStyle name="Migliaia [0] 11 6 3" xfId="43390" xr:uid="{29BE119B-C6AE-4B50-A6FA-FE89BB0C1517}"/>
    <cellStyle name="Migliaia [0] 11 6 4" xfId="32737" xr:uid="{D04CD689-0E08-45D9-AB6F-304A820773F9}"/>
    <cellStyle name="Migliaia [0] 11 6 5" xfId="19507" xr:uid="{7C21942A-8C7E-4C52-9E89-C5010238BE3A}"/>
    <cellStyle name="Migliaia [0] 11 7" xfId="2828" xr:uid="{58B0FE29-850A-4580-97E4-0F16E310B732}"/>
    <cellStyle name="Migliaia [0] 11 7 2" xfId="35623" xr:uid="{399ECD98-AF54-4F35-B9B4-5263AD650D82}"/>
    <cellStyle name="Migliaia [0] 11 8" xfId="40739" xr:uid="{AE83EADC-09B2-4092-A9AD-9068511853F6}"/>
    <cellStyle name="Migliaia [0] 11 9" xfId="6987" xr:uid="{38547FD6-10E9-48D5-AB9B-35BC9CDBA81A}"/>
    <cellStyle name="Migliaia [0] 12" xfId="245" xr:uid="{00000000-0005-0000-0000-0000E1010000}"/>
    <cellStyle name="Migliaia [0] 12 2" xfId="1490" xr:uid="{00000000-0005-0000-0000-0000E2010000}"/>
    <cellStyle name="Migliaia [0] 12 2 2" xfId="1491" xr:uid="{00000000-0005-0000-0000-0000E3010000}"/>
    <cellStyle name="Migliaia [0] 12 2 2 2" xfId="4561" xr:uid="{10A5570A-6DB3-4D72-954F-5F02503D261A}"/>
    <cellStyle name="Migliaia [0] 12 2 2 2 2" xfId="21726" xr:uid="{312674E8-83E4-4EAC-8507-FC39B1DC6FA0}"/>
    <cellStyle name="Migliaia [0] 12 2 2 2 3" xfId="48482" xr:uid="{9286573A-3570-44DF-9833-70E41F870C9E}"/>
    <cellStyle name="Migliaia [0] 12 2 2 2 4" xfId="50754" xr:uid="{796AB16E-8734-4751-9E94-55FAB8B83DF8}"/>
    <cellStyle name="Migliaia [0] 12 2 2 2 5" xfId="53770" xr:uid="{D15ED7BB-CF80-4BDF-8DCD-02DB71B37271}"/>
    <cellStyle name="Migliaia [0] 12 2 2 2 6" xfId="11719" xr:uid="{E4A34C93-F4D9-4AA3-A838-ACFD196DB5B6}"/>
    <cellStyle name="Migliaia [0] 12 2 2 3" xfId="2835" xr:uid="{531F8008-F03F-46E7-95F0-49C85054C880}"/>
    <cellStyle name="Migliaia [0] 12 2 2 3 2" xfId="11550" xr:uid="{01A78761-5E8C-4054-A35A-7C0207F95ABF}"/>
    <cellStyle name="Migliaia [0] 12 2 2 4" xfId="10623" xr:uid="{F04DF626-4091-4FC4-938B-AFAFC69B0D7D}"/>
    <cellStyle name="Migliaia [0] 12 2 2 4 2" xfId="21258" xr:uid="{3F28FE20-8B5F-426A-A222-7085AB5BE8E2}"/>
    <cellStyle name="Migliaia [0] 12 2 2 4 3" xfId="46163" xr:uid="{E3FE9A07-1294-43B5-828F-508A3838E030}"/>
    <cellStyle name="Migliaia [0] 12 2 2 4 4" xfId="50273" xr:uid="{D898A422-ABAF-472B-BC6C-8F19ED2BE4B4}"/>
    <cellStyle name="Migliaia [0] 12 2 2 4 5" xfId="53289" xr:uid="{BB3C2FEF-33AC-4769-A323-65DBCC6085D4}"/>
    <cellStyle name="Migliaia [0] 12 2 2 5" xfId="19514" xr:uid="{8577F54C-5695-41A5-A523-699C96D5B3AC}"/>
    <cellStyle name="Migliaia [0] 12 2 2 6" xfId="23995" xr:uid="{E674F004-7ACF-4D36-8B0F-091C3CC69618}"/>
    <cellStyle name="Migliaia [0] 12 2 2 7" xfId="48823" xr:uid="{6E2459DA-D245-4A14-B85C-05D758E91B04}"/>
    <cellStyle name="Migliaia [0] 12 2 2 8" xfId="49729" xr:uid="{0C3F1757-98BA-42B4-9358-9FCA3C27B5E8}"/>
    <cellStyle name="Migliaia [0] 12 2 2 9" xfId="8429" xr:uid="{EE606C00-A3AE-4F37-B2A9-FA0B25ECED00}"/>
    <cellStyle name="Migliaia [0] 12 2 3" xfId="4560" xr:uid="{EC24913A-74EC-4D9B-8800-6114077B579C}"/>
    <cellStyle name="Migliaia [0] 12 2 3 2" xfId="32743" xr:uid="{8A134422-01B6-4F6C-83B4-680EEAFCDDB1}"/>
    <cellStyle name="Migliaia [0] 12 2 3 2 2" xfId="38094" xr:uid="{D3234E57-20EC-4152-A0A4-64D5A50BA9A8}"/>
    <cellStyle name="Migliaia [0] 12 2 3 2 3" xfId="43396" xr:uid="{51AB5F9A-065E-4F5C-8FE8-7B0E6C7EB83A}"/>
    <cellStyle name="Migliaia [0] 12 2 3 3" xfId="35629" xr:uid="{B4222F0D-0363-4A26-9A82-1EB87726368C}"/>
    <cellStyle name="Migliaia [0] 12 2 3 4" xfId="40745" xr:uid="{D3016EE9-1532-4C27-AB9A-D4732A6D52C5}"/>
    <cellStyle name="Migliaia [0] 12 2 3 5" xfId="11720" xr:uid="{1B522BB0-2759-43B2-8A9F-95CAA6FCBBF2}"/>
    <cellStyle name="Migliaia [0] 12 2 4" xfId="5839" xr:uid="{FAB03C12-8009-4821-8474-7E56BB49616C}"/>
    <cellStyle name="Migliaia [0] 12 2 4 2" xfId="19513" xr:uid="{11A29F8F-8377-46F1-863D-23F38725A659}"/>
    <cellStyle name="Migliaia [0] 12 2 5" xfId="2834" xr:uid="{991B8689-4909-4645-A50A-0CE6E70C88F2}"/>
    <cellStyle name="Migliaia [0] 12 2 5 2" xfId="23994" xr:uid="{C837F339-0469-4A79-AA58-D11635802C36}"/>
    <cellStyle name="Migliaia [0] 12 2 6" xfId="7239" xr:uid="{CE080944-5604-452B-B697-86285E33C36C}"/>
    <cellStyle name="Migliaia [0] 12 3" xfId="1492" xr:uid="{00000000-0005-0000-0000-0000E4010000}"/>
    <cellStyle name="Migliaia [0] 12 3 2" xfId="4562" xr:uid="{9B8EFC47-D882-4B05-9B6B-3048D7C90C16}"/>
    <cellStyle name="Migliaia [0] 12 3 2 2" xfId="18304" xr:uid="{B9106936-4F54-4891-B3B3-7FFDEBE21988}"/>
    <cellStyle name="Migliaia [0] 12 3 2 2 2" xfId="21727" xr:uid="{39592346-4631-4797-8A16-514297F15D7D}"/>
    <cellStyle name="Migliaia [0] 12 3 2 2 2 2" xfId="38095" xr:uid="{9F66644D-3ED7-4E3F-AABF-35395D4FB514}"/>
    <cellStyle name="Migliaia [0] 12 3 2 2 3" xfId="43397" xr:uid="{14ECD713-CE7C-4565-A5C1-4F1DA792CB7C}"/>
    <cellStyle name="Migliaia [0] 12 3 2 2 4" xfId="32744" xr:uid="{F2AA1D52-DA13-4FFA-B7A7-745A27D6302D}"/>
    <cellStyle name="Migliaia [0] 12 3 2 3" xfId="35630" xr:uid="{4B4D9441-2E77-448C-AA0A-AE7F7179F265}"/>
    <cellStyle name="Migliaia [0] 12 3 2 4" xfId="40746" xr:uid="{EA904707-BDCC-4381-A52C-D70C5CD183BF}"/>
    <cellStyle name="Migliaia [0] 12 3 2 5" xfId="32439" xr:uid="{95B64247-B9BC-4D05-A0B5-E4B543CC9E77}"/>
    <cellStyle name="Migliaia [0] 12 3 2 6" xfId="50755" xr:uid="{C0289138-5744-4E63-A83E-21318387986A}"/>
    <cellStyle name="Migliaia [0] 12 3 2 7" xfId="53771" xr:uid="{BEE6C16C-5CD6-49A7-80DA-E1B66BE788DE}"/>
    <cellStyle name="Migliaia [0] 12 3 2 8" xfId="17580" xr:uid="{60528423-7AA3-4ACD-9482-3954D35FCAE9}"/>
    <cellStyle name="Migliaia [0] 12 3 2 9" xfId="11721" xr:uid="{E8C7B4F5-8F06-4F33-BCF0-800C6CF6810C}"/>
    <cellStyle name="Migliaia [0] 12 3 3" xfId="5840" xr:uid="{303721FE-7B31-4311-B01E-B04D41D6AC62}"/>
    <cellStyle name="Migliaia [0] 12 3 3 2" xfId="11664" xr:uid="{2AA52962-801B-4F8B-8E90-A078EDD4C985}"/>
    <cellStyle name="Migliaia [0] 12 3 4" xfId="2836" xr:uid="{7B69FA74-4B5B-487B-AA7E-0745D5A5CF56}"/>
    <cellStyle name="Migliaia [0] 12 3 4 2" xfId="21259" xr:uid="{00487C59-AB9B-46FE-90F5-3943CADA93EB}"/>
    <cellStyle name="Migliaia [0] 12 3 4 3" xfId="46164" xr:uid="{9CB3F2D8-10AD-40F4-AC9F-5A90A9A43528}"/>
    <cellStyle name="Migliaia [0] 12 3 4 4" xfId="50274" xr:uid="{500B735A-5D07-4ADE-A804-0F2A1823B0A2}"/>
    <cellStyle name="Migliaia [0] 12 3 4 5" xfId="53290" xr:uid="{A50CFA90-1040-4BDA-AF2F-77B3BD426ECD}"/>
    <cellStyle name="Migliaia [0] 12 3 4 6" xfId="10624" xr:uid="{AE910FD3-9F5D-45C4-B560-1BB76C9EEE30}"/>
    <cellStyle name="Migliaia [0] 12 3 5" xfId="19515" xr:uid="{1AA380B3-D41C-4F19-B82E-E71566B44313}"/>
    <cellStyle name="Migliaia [0] 12 3 6" xfId="23997" xr:uid="{7752C9CE-7E27-4D1D-86FB-0F861E969802}"/>
    <cellStyle name="Migliaia [0] 12 3 7" xfId="8187" xr:uid="{74C8D24A-022B-4DCE-B8E5-D312840EBE1C}"/>
    <cellStyle name="Migliaia [0] 12 4" xfId="2837" xr:uid="{3B749466-A29E-4335-A3B7-3D4672B57B9A}"/>
    <cellStyle name="Migliaia [0] 12 4 2" xfId="4563" xr:uid="{C7753B1D-1C34-4A30-B14C-36F3682D889B}"/>
    <cellStyle name="Migliaia [0] 12 4 2 2" xfId="35072" xr:uid="{5ED4E584-6050-4F3F-A86C-E514DF89B635}"/>
    <cellStyle name="Migliaia [0] 12 4 2 2 2" xfId="40230" xr:uid="{398FE18B-E345-4A8F-8A39-A4171490C20D}"/>
    <cellStyle name="Migliaia [0] 12 4 2 2 3" xfId="45532" xr:uid="{350A72E1-81DB-4606-8B1B-B3F3EB1316D1}"/>
    <cellStyle name="Migliaia [0] 12 4 2 3" xfId="37579" xr:uid="{423FC20E-1C11-4673-B4F3-FDF719ED2617}"/>
    <cellStyle name="Migliaia [0] 12 4 2 4" xfId="42881" xr:uid="{C40BF727-16BD-4BCA-AFD9-3A777F31C4D8}"/>
    <cellStyle name="Migliaia [0] 12 4 2 5" xfId="17012" xr:uid="{1322B188-635D-41D8-A4F3-C00396C5EEB7}"/>
    <cellStyle name="Migliaia [0] 12 4 3" xfId="5841" xr:uid="{F7D59A87-2DA1-43DE-A02C-8853FA03EBC5}"/>
    <cellStyle name="Migliaia [0] 12 4 3 2" xfId="38096" xr:uid="{0F104E4A-DB54-4A63-B0ED-D5672A2B029E}"/>
    <cellStyle name="Migliaia [0] 12 4 3 3" xfId="43398" xr:uid="{7A0BEA5E-C02D-40C4-8105-D30E2A212FC5}"/>
    <cellStyle name="Migliaia [0] 12 4 3 4" xfId="32745" xr:uid="{F27A24D7-821B-4D40-B3A7-E650F494C53A}"/>
    <cellStyle name="Migliaia [0] 12 4 3 5" xfId="19516" xr:uid="{E8C638F3-601A-4889-B436-1C343C8717A0}"/>
    <cellStyle name="Migliaia [0] 12 4 4" xfId="35631" xr:uid="{5CAA192F-AEDD-4045-A293-AF8CB32DDFC5}"/>
    <cellStyle name="Migliaia [0] 12 4 5" xfId="40747" xr:uid="{F9EDFFE8-BF5D-4529-BA25-1AD0EE27D1D3}"/>
    <cellStyle name="Migliaia [0] 12 4 6" xfId="15954" xr:uid="{89F68A9F-4EE1-45BC-B729-16F1F8BA14E3}"/>
    <cellStyle name="Migliaia [0] 12 4 7" xfId="7767" xr:uid="{96B9447D-1B4A-49A1-9192-94D221997803}"/>
    <cellStyle name="Migliaia [0] 12 5" xfId="4559" xr:uid="{990C6E4F-784B-4711-AB35-D0E15F9A54C7}"/>
    <cellStyle name="Migliaia [0] 12 5 2" xfId="32746" xr:uid="{39DB7B07-0921-4324-BFB8-59EEFEAF3DF8}"/>
    <cellStyle name="Migliaia [0] 12 5 2 2" xfId="38097" xr:uid="{E7BB2B29-989E-4560-9385-1C37491AB143}"/>
    <cellStyle name="Migliaia [0] 12 5 2 3" xfId="43399" xr:uid="{B8EDCD85-C31A-4596-9375-44976FD73735}"/>
    <cellStyle name="Migliaia [0] 12 5 3" xfId="35632" xr:uid="{F3DA76BE-D540-494C-8918-9DD725C9449B}"/>
    <cellStyle name="Migliaia [0] 12 5 4" xfId="40748" xr:uid="{957E11F4-D868-435A-BDD5-1E55B1F947CC}"/>
    <cellStyle name="Migliaia [0] 12 5 5" xfId="17081" xr:uid="{E44F532E-8038-4A89-99B8-99E069E1AE1F}"/>
    <cellStyle name="Migliaia [0] 12 6" xfId="5838" xr:uid="{544904AB-2049-4D94-9672-2E5FC2179FFC}"/>
    <cellStyle name="Migliaia [0] 12 6 2" xfId="38093" xr:uid="{B14A59F5-5799-45E0-813D-C3E8F445CBB6}"/>
    <cellStyle name="Migliaia [0] 12 6 3" xfId="43395" xr:uid="{BA3B21FC-EDD7-42FD-A886-3B09EEC64F7A}"/>
    <cellStyle name="Migliaia [0] 12 6 4" xfId="32742" xr:uid="{0785C0DD-756F-482F-8EA5-26506EBDB76E}"/>
    <cellStyle name="Migliaia [0] 12 6 5" xfId="19512" xr:uid="{BA18C566-0173-46B6-8849-E17B63E95903}"/>
    <cellStyle name="Migliaia [0] 12 7" xfId="2833" xr:uid="{8251F09E-C866-4E04-A61C-CA02C7D30EF3}"/>
    <cellStyle name="Migliaia [0] 12 7 2" xfId="35628" xr:uid="{98726E57-27BF-4303-A589-2BF84E342ED9}"/>
    <cellStyle name="Migliaia [0] 12 8" xfId="40744" xr:uid="{7300E5D2-DAEB-4AD7-BC81-D33F84091B03}"/>
    <cellStyle name="Migliaia [0] 12 9" xfId="6988" xr:uid="{6AE3A55B-2F2E-4466-A510-1AE4A3EE4430}"/>
    <cellStyle name="Migliaia [0] 13" xfId="246" xr:uid="{00000000-0005-0000-0000-0000E5010000}"/>
    <cellStyle name="Migliaia [0] 13 2" xfId="1493" xr:uid="{00000000-0005-0000-0000-0000E6010000}"/>
    <cellStyle name="Migliaia [0] 13 2 2" xfId="1494" xr:uid="{00000000-0005-0000-0000-0000E7010000}"/>
    <cellStyle name="Migliaia [0] 13 2 2 2" xfId="4566" xr:uid="{22A955E1-BEBD-46C5-A2BA-429E60A57550}"/>
    <cellStyle name="Migliaia [0] 13 2 2 2 2" xfId="21728" xr:uid="{B30E7192-1A05-4B37-989A-ED19BD001978}"/>
    <cellStyle name="Migliaia [0] 13 2 2 2 3" xfId="48391" xr:uid="{BD51BEF0-F5D8-46AF-9524-888F03809EA7}"/>
    <cellStyle name="Migliaia [0] 13 2 2 2 4" xfId="50756" xr:uid="{9D5EB198-F7C4-4F34-8B96-8202AAF2A347}"/>
    <cellStyle name="Migliaia [0] 13 2 2 2 5" xfId="53772" xr:uid="{784DA9F3-B823-44CB-A975-A169C56110AD}"/>
    <cellStyle name="Migliaia [0] 13 2 2 2 6" xfId="11722" xr:uid="{F2CEDF97-C560-431F-B0BB-A4735EAEBE96}"/>
    <cellStyle name="Migliaia [0] 13 2 2 3" xfId="2840" xr:uid="{2BD6047C-9890-41A6-B215-077D73343DA6}"/>
    <cellStyle name="Migliaia [0] 13 2 2 3 2" xfId="12358" xr:uid="{9DB7C7ED-DAE0-4DD7-BFED-14329B23BD50}"/>
    <cellStyle name="Migliaia [0] 13 2 2 4" xfId="10625" xr:uid="{9E84268D-A082-4168-BA2E-1AD723B3CE79}"/>
    <cellStyle name="Migliaia [0] 13 2 2 4 2" xfId="21260" xr:uid="{42AA7629-F62A-4C35-9DE8-00FD6F106E29}"/>
    <cellStyle name="Migliaia [0] 13 2 2 4 3" xfId="48464" xr:uid="{ACBD954F-0930-4047-A851-041C0D48BF0D}"/>
    <cellStyle name="Migliaia [0] 13 2 2 4 4" xfId="50275" xr:uid="{F48BA1DA-8564-483D-A6D2-BEAE5284D5DC}"/>
    <cellStyle name="Migliaia [0] 13 2 2 4 5" xfId="53291" xr:uid="{F3BBAD1A-7B63-4EA5-91A6-02DDE318FD7F}"/>
    <cellStyle name="Migliaia [0] 13 2 2 5" xfId="19519" xr:uid="{290156F5-16B8-4EF1-AB77-788A955E0A9C}"/>
    <cellStyle name="Migliaia [0] 13 2 2 6" xfId="24002" xr:uid="{484925DF-5331-4976-8295-FD31B2A88D81}"/>
    <cellStyle name="Migliaia [0] 13 2 2 7" xfId="48824" xr:uid="{D245AB43-29E5-4295-BEB9-9D4EBD42D1B3}"/>
    <cellStyle name="Migliaia [0] 13 2 2 8" xfId="49730" xr:uid="{E2FF0F76-FFF6-48AE-8D90-1FEA8E685DDA}"/>
    <cellStyle name="Migliaia [0] 13 2 2 9" xfId="8430" xr:uid="{7B341595-62C6-407F-A212-A7E3390547A2}"/>
    <cellStyle name="Migliaia [0] 13 2 3" xfId="4565" xr:uid="{2AA102CB-5459-4977-8D27-116E6057F4AB}"/>
    <cellStyle name="Migliaia [0] 13 2 3 2" xfId="32748" xr:uid="{7C7388AF-A660-4AC4-9FE6-DCC39AFDAFED}"/>
    <cellStyle name="Migliaia [0] 13 2 3 2 2" xfId="38099" xr:uid="{187FC267-7E1C-442F-9D26-5F7DF00A2355}"/>
    <cellStyle name="Migliaia [0] 13 2 3 2 3" xfId="43401" xr:uid="{DD662706-23D0-47F6-993D-436B4AB4BC93}"/>
    <cellStyle name="Migliaia [0] 13 2 3 3" xfId="35634" xr:uid="{FD951A6E-C76E-4BB0-83FB-58E34C89DAB1}"/>
    <cellStyle name="Migliaia [0] 13 2 3 4" xfId="40750" xr:uid="{7BAA5306-AE38-4708-9524-C2994FBD150D}"/>
    <cellStyle name="Migliaia [0] 13 2 3 5" xfId="11723" xr:uid="{405E3665-CC22-418D-BA6B-E5EA86B8E7A9}"/>
    <cellStyle name="Migliaia [0] 13 2 4" xfId="5843" xr:uid="{05522FDB-75D0-4E38-B8D1-A8C5C62D2260}"/>
    <cellStyle name="Migliaia [0] 13 2 4 2" xfId="19518" xr:uid="{F157ABB2-9D74-4700-9FE0-AD97AE76B61E}"/>
    <cellStyle name="Migliaia [0] 13 2 5" xfId="2839" xr:uid="{6ED0F1EC-DEAE-4D28-98DE-8AEF01466F64}"/>
    <cellStyle name="Migliaia [0] 13 2 5 2" xfId="24001" xr:uid="{E176E979-0827-4BAC-BC3F-2B35B12F4E03}"/>
    <cellStyle name="Migliaia [0] 13 2 6" xfId="7240" xr:uid="{081FEDC0-A335-470E-B909-E20A419CDFCD}"/>
    <cellStyle name="Migliaia [0] 13 3" xfId="1495" xr:uid="{00000000-0005-0000-0000-0000E8010000}"/>
    <cellStyle name="Migliaia [0] 13 3 2" xfId="4567" xr:uid="{80644B9A-D30C-4E61-91AC-21DE9E960AF0}"/>
    <cellStyle name="Migliaia [0] 13 3 2 2" xfId="18305" xr:uid="{E2076EED-CD44-4D03-86FA-63F146BA9B0C}"/>
    <cellStyle name="Migliaia [0] 13 3 2 2 2" xfId="21729" xr:uid="{E4DE9AE8-DFC2-4CBA-B2D7-217FDD268166}"/>
    <cellStyle name="Migliaia [0] 13 3 2 2 2 2" xfId="38100" xr:uid="{34BD45CE-7510-44D7-8794-226BA0E6C75D}"/>
    <cellStyle name="Migliaia [0] 13 3 2 2 3" xfId="43402" xr:uid="{698429CB-2791-47CD-9E53-234EC7423CAB}"/>
    <cellStyle name="Migliaia [0] 13 3 2 2 4" xfId="32749" xr:uid="{8587E112-8644-4FD6-BDB0-5CA813E3DE3F}"/>
    <cellStyle name="Migliaia [0] 13 3 2 3" xfId="35635" xr:uid="{9426542D-19EB-46A5-AC88-80A1B5DBC321}"/>
    <cellStyle name="Migliaia [0] 13 3 2 4" xfId="40751" xr:uid="{946EE8C2-E680-4859-952E-F3D88C41EE5B}"/>
    <cellStyle name="Migliaia [0] 13 3 2 5" xfId="24709" xr:uid="{CB9DA9FD-5357-43A9-9E42-EFFD5BE1CD40}"/>
    <cellStyle name="Migliaia [0] 13 3 2 6" xfId="50757" xr:uid="{B497E358-D0DD-4A64-A83A-616161187D0D}"/>
    <cellStyle name="Migliaia [0] 13 3 2 7" xfId="53773" xr:uid="{78B2329A-5435-4F2C-B6FB-FDC58AA43C47}"/>
    <cellStyle name="Migliaia [0] 13 3 2 8" xfId="17581" xr:uid="{A9857665-0EEE-4966-B0BC-9D4DFA62A284}"/>
    <cellStyle name="Migliaia [0] 13 3 2 9" xfId="11724" xr:uid="{7376C0B6-E7AA-4CED-A811-4A592325063D}"/>
    <cellStyle name="Migliaia [0] 13 3 3" xfId="5844" xr:uid="{C19A80FE-D3A2-4D78-9792-C18C46D4F4E1}"/>
    <cellStyle name="Migliaia [0] 13 3 3 2" xfId="11113" xr:uid="{3E54BF78-DF35-4818-B301-8EAF5C1E4E9B}"/>
    <cellStyle name="Migliaia [0] 13 3 4" xfId="2841" xr:uid="{A2673999-0FDE-4D25-AA1C-129A443560CA}"/>
    <cellStyle name="Migliaia [0] 13 3 4 2" xfId="21261" xr:uid="{1459DB63-64C5-4519-9188-2B6A1833D8F1}"/>
    <cellStyle name="Migliaia [0] 13 3 4 3" xfId="48002" xr:uid="{D087DEF7-C63A-4B09-A43D-14C0DCBF5ADF}"/>
    <cellStyle name="Migliaia [0] 13 3 4 4" xfId="50276" xr:uid="{C7D6E192-183F-4777-B082-A694BD6AAEB6}"/>
    <cellStyle name="Migliaia [0] 13 3 4 5" xfId="53292" xr:uid="{91AE3256-97E0-42B5-8C01-1449A52D696C}"/>
    <cellStyle name="Migliaia [0] 13 3 4 6" xfId="10626" xr:uid="{110E46B4-DE55-434C-A3C2-7DD6EEFAAEC2}"/>
    <cellStyle name="Migliaia [0] 13 3 5" xfId="19520" xr:uid="{3F4766ED-0DBA-455D-A909-B7EB22EE2722}"/>
    <cellStyle name="Migliaia [0] 13 3 6" xfId="24003" xr:uid="{2DBFE104-A4BA-4DE4-A6E0-7549321292B8}"/>
    <cellStyle name="Migliaia [0] 13 3 7" xfId="8188" xr:uid="{5D48CDAF-849C-40A4-ACBD-4E340F367D27}"/>
    <cellStyle name="Migliaia [0] 13 4" xfId="2842" xr:uid="{723AD6DC-79C1-44AF-8540-A3888F9770F3}"/>
    <cellStyle name="Migliaia [0] 13 4 2" xfId="4568" xr:uid="{95CAB4F8-932D-48A4-9A44-7411EA5F8638}"/>
    <cellStyle name="Migliaia [0] 13 4 2 2" xfId="35073" xr:uid="{23C316FE-42CD-4A53-94D0-255B204656D8}"/>
    <cellStyle name="Migliaia [0] 13 4 2 2 2" xfId="40231" xr:uid="{F359AD6A-51A8-4128-BF72-9D2EE53AF5E2}"/>
    <cellStyle name="Migliaia [0] 13 4 2 2 3" xfId="45533" xr:uid="{AA031D34-C355-4F3A-AD04-4F2D8CF45DC9}"/>
    <cellStyle name="Migliaia [0] 13 4 2 3" xfId="37580" xr:uid="{EA3231A4-F951-403E-91C7-7BDDDA1B17F9}"/>
    <cellStyle name="Migliaia [0] 13 4 2 4" xfId="42882" xr:uid="{8B8478D5-0A93-4960-8230-159291DC8230}"/>
    <cellStyle name="Migliaia [0] 13 4 2 5" xfId="17013" xr:uid="{A35742EF-E151-4678-8A35-5A406FE05FDC}"/>
    <cellStyle name="Migliaia [0] 13 4 3" xfId="5845" xr:uid="{02BDF1B5-77FB-47EA-ADB0-BE6A51EDC4B3}"/>
    <cellStyle name="Migliaia [0] 13 4 3 2" xfId="38101" xr:uid="{D9CD3EDD-DBA0-4F26-B264-321677D68420}"/>
    <cellStyle name="Migliaia [0] 13 4 3 3" xfId="43403" xr:uid="{49086156-A3BE-4D56-9A3A-815F197E244C}"/>
    <cellStyle name="Migliaia [0] 13 4 3 4" xfId="32750" xr:uid="{EBDDC1BE-8A91-463D-B2D6-3765D5D7A9DA}"/>
    <cellStyle name="Migliaia [0] 13 4 3 5" xfId="19521" xr:uid="{FFF33640-B02E-4F3F-B86C-76EBCB8C467C}"/>
    <cellStyle name="Migliaia [0] 13 4 4" xfId="35636" xr:uid="{7E0DF0B4-8278-49D0-8A00-0480C126AB89}"/>
    <cellStyle name="Migliaia [0] 13 4 5" xfId="40752" xr:uid="{7EAE7C78-C453-43D8-B4B5-104D993D9F7B}"/>
    <cellStyle name="Migliaia [0] 13 4 6" xfId="15955" xr:uid="{44091016-3889-4578-822C-07763D17FC6E}"/>
    <cellStyle name="Migliaia [0] 13 4 7" xfId="7768" xr:uid="{32E2F25B-35B2-4211-B8A5-610460AD202F}"/>
    <cellStyle name="Migliaia [0] 13 5" xfId="4564" xr:uid="{E90BE0A7-9E4D-451E-85C8-6695A8BA0BB1}"/>
    <cellStyle name="Migliaia [0] 13 5 2" xfId="32751" xr:uid="{8C11338B-8B51-4418-BBF8-81158D957638}"/>
    <cellStyle name="Migliaia [0] 13 5 2 2" xfId="38102" xr:uid="{C741E9CC-B207-461A-ACE6-E21427F60DDA}"/>
    <cellStyle name="Migliaia [0] 13 5 2 3" xfId="43404" xr:uid="{9518B17A-96A0-4B8F-A2E5-2BD9BE494BF1}"/>
    <cellStyle name="Migliaia [0] 13 5 3" xfId="35637" xr:uid="{B7BD78AD-AEBF-456E-B688-8D400E6AE844}"/>
    <cellStyle name="Migliaia [0] 13 5 4" xfId="40753" xr:uid="{0F4B3995-D003-49D5-91CC-8A5D1031E97E}"/>
    <cellStyle name="Migliaia [0] 13 5 5" xfId="17082" xr:uid="{2EDDDEA4-A526-435F-B4C7-C176F332A543}"/>
    <cellStyle name="Migliaia [0] 13 6" xfId="5842" xr:uid="{212C7313-C6A8-4446-A528-BBEC49AB03AE}"/>
    <cellStyle name="Migliaia [0] 13 6 2" xfId="38098" xr:uid="{65641FC5-F1CC-4E1F-84FD-FCD45266256A}"/>
    <cellStyle name="Migliaia [0] 13 6 3" xfId="43400" xr:uid="{8B498F6E-4A14-4C36-901F-AFB5F1DE5A4E}"/>
    <cellStyle name="Migliaia [0] 13 6 4" xfId="32747" xr:uid="{AEB3B061-E576-48AB-90E6-7B023ABFE84E}"/>
    <cellStyle name="Migliaia [0] 13 6 5" xfId="19517" xr:uid="{26080A2B-954F-4624-9B5C-B1174874AEEB}"/>
    <cellStyle name="Migliaia [0] 13 7" xfId="2838" xr:uid="{7808D493-6B0E-4594-9481-FFC3283BD970}"/>
    <cellStyle name="Migliaia [0] 13 7 2" xfId="35633" xr:uid="{A6061D53-AECB-47CE-9716-852B99C68DB0}"/>
    <cellStyle name="Migliaia [0] 13 8" xfId="40749" xr:uid="{3C8FEEF7-D916-41A0-9B02-41EE7475D0B1}"/>
    <cellStyle name="Migliaia [0] 13 9" xfId="6989" xr:uid="{599285C6-7BD5-4773-8555-DAFE24DE7D1D}"/>
    <cellStyle name="Migliaia [0] 14" xfId="247" xr:uid="{00000000-0005-0000-0000-0000E9010000}"/>
    <cellStyle name="Migliaia [0] 14 2" xfId="1496" xr:uid="{00000000-0005-0000-0000-0000EA010000}"/>
    <cellStyle name="Migliaia [0] 14 2 2" xfId="1497" xr:uid="{00000000-0005-0000-0000-0000EB010000}"/>
    <cellStyle name="Migliaia [0] 14 2 2 2" xfId="4571" xr:uid="{4B859229-5D16-49C7-8662-7DB5E915B04D}"/>
    <cellStyle name="Migliaia [0] 14 2 2 2 2" xfId="21730" xr:uid="{A1A31355-5A6E-4800-89AC-141CEF6208BA}"/>
    <cellStyle name="Migliaia [0] 14 2 2 2 3" xfId="47607" xr:uid="{ADF679CD-087A-495E-828D-3570415B5CF9}"/>
    <cellStyle name="Migliaia [0] 14 2 2 2 4" xfId="50758" xr:uid="{D774E036-6F83-4A6F-ABA2-A3AC68C3EEA9}"/>
    <cellStyle name="Migliaia [0] 14 2 2 2 5" xfId="53774" xr:uid="{B462B00F-9C96-4631-9E3F-76BE89114B58}"/>
    <cellStyle name="Migliaia [0] 14 2 2 2 6" xfId="11725" xr:uid="{CAF73EE3-62D1-4EF6-8E02-30E8C6232B1A}"/>
    <cellStyle name="Migliaia [0] 14 2 2 3" xfId="2845" xr:uid="{67AD4763-4FC5-4356-8372-B99F71F7F15B}"/>
    <cellStyle name="Migliaia [0] 14 2 2 3 2" xfId="12357" xr:uid="{C1BB61B1-E59F-4E40-A5DE-C23F91EA052C}"/>
    <cellStyle name="Migliaia [0] 14 2 2 4" xfId="10627" xr:uid="{A90FD8CE-CA90-41C9-BAE5-346EBDB4D9D0}"/>
    <cellStyle name="Migliaia [0] 14 2 2 4 2" xfId="21262" xr:uid="{1DEB2FBA-F1E9-4C9B-8A2C-0D243DC05A63}"/>
    <cellStyle name="Migliaia [0] 14 2 2 4 3" xfId="46165" xr:uid="{C18C957E-1B13-453B-ACEA-DE4EE6BF5979}"/>
    <cellStyle name="Migliaia [0] 14 2 2 4 4" xfId="50277" xr:uid="{DD8B337C-B780-42A3-887A-538B4E7A4D6A}"/>
    <cellStyle name="Migliaia [0] 14 2 2 4 5" xfId="53293" xr:uid="{7856293D-788A-4110-8C7A-EC067054D6A6}"/>
    <cellStyle name="Migliaia [0] 14 2 2 5" xfId="19524" xr:uid="{F9E9A84B-784E-416E-8605-371B0F68638B}"/>
    <cellStyle name="Migliaia [0] 14 2 2 6" xfId="24006" xr:uid="{15A46DE5-F412-49AB-84E5-D2E17CAAEDF2}"/>
    <cellStyle name="Migliaia [0] 14 2 2 7" xfId="48825" xr:uid="{B6C4B3E6-5D52-4430-9B57-06E22FF81410}"/>
    <cellStyle name="Migliaia [0] 14 2 2 8" xfId="49731" xr:uid="{3C7FCF96-97CE-42C6-A58F-FB0AE7CDEAB2}"/>
    <cellStyle name="Migliaia [0] 14 2 2 9" xfId="8431" xr:uid="{CAD8DAF0-7EAD-4B2C-8B19-C3FBA484A861}"/>
    <cellStyle name="Migliaia [0] 14 2 3" xfId="4570" xr:uid="{706E171F-38F3-4276-BBBA-1E4A7F57691A}"/>
    <cellStyle name="Migliaia [0] 14 2 3 2" xfId="32753" xr:uid="{D6D2359F-C21A-4E69-B106-FB76D5FD202A}"/>
    <cellStyle name="Migliaia [0] 14 2 3 2 2" xfId="38104" xr:uid="{BCD9E1B1-D20D-4552-AB84-41D50D2DCA78}"/>
    <cellStyle name="Migliaia [0] 14 2 3 2 3" xfId="43406" xr:uid="{FDCD0709-FFBE-47B7-8CBA-CD2766AFDD4E}"/>
    <cellStyle name="Migliaia [0] 14 2 3 3" xfId="35639" xr:uid="{CA6B068E-C28D-40FC-9032-2B36C9DED7BA}"/>
    <cellStyle name="Migliaia [0] 14 2 3 4" xfId="40755" xr:uid="{EDDF3D59-E142-4F28-B422-690B54391F82}"/>
    <cellStyle name="Migliaia [0] 14 2 3 5" xfId="11726" xr:uid="{6B854891-2310-4306-B270-3266AF3620C9}"/>
    <cellStyle name="Migliaia [0] 14 2 4" xfId="5847" xr:uid="{6A0F0231-28DD-4134-9FFE-140B9219FEAA}"/>
    <cellStyle name="Migliaia [0] 14 2 4 2" xfId="19523" xr:uid="{D767C497-22CE-48CA-8117-AB23D0D05B1F}"/>
    <cellStyle name="Migliaia [0] 14 2 5" xfId="2844" xr:uid="{9CB4BD41-B5ED-4A8C-89E5-E0B9BFB162B4}"/>
    <cellStyle name="Migliaia [0] 14 2 5 2" xfId="24005" xr:uid="{E313EC58-1090-45FF-8D2A-998F34E2D47B}"/>
    <cellStyle name="Migliaia [0] 14 2 6" xfId="7241" xr:uid="{6B34D51C-329E-4911-BFD5-09AFD57B7112}"/>
    <cellStyle name="Migliaia [0] 14 3" xfId="1498" xr:uid="{00000000-0005-0000-0000-0000EC010000}"/>
    <cellStyle name="Migliaia [0] 14 3 2" xfId="4572" xr:uid="{3BD8CF32-A1F8-47EA-800F-A555EE7DD0ED}"/>
    <cellStyle name="Migliaia [0] 14 3 2 2" xfId="18306" xr:uid="{F8CF4DCD-E8E5-48D0-836B-D11536730919}"/>
    <cellStyle name="Migliaia [0] 14 3 2 2 2" xfId="21731" xr:uid="{F7567ED8-82C4-403B-BB56-615C09F6EDC6}"/>
    <cellStyle name="Migliaia [0] 14 3 2 2 2 2" xfId="38105" xr:uid="{3840001A-C2BF-45A8-96AE-DF33B98941D3}"/>
    <cellStyle name="Migliaia [0] 14 3 2 2 3" xfId="43407" xr:uid="{D6045750-54C8-49BC-98C4-C9D676811B87}"/>
    <cellStyle name="Migliaia [0] 14 3 2 2 4" xfId="32754" xr:uid="{91CE7C3F-131A-4AD9-AB40-8091C70DA3D9}"/>
    <cellStyle name="Migliaia [0] 14 3 2 3" xfId="35640" xr:uid="{356B08E6-9DB9-4E00-9542-8A1134B4F589}"/>
    <cellStyle name="Migliaia [0] 14 3 2 4" xfId="40756" xr:uid="{F78571F4-AD0A-4F71-A6BF-2A4A1E1F19C6}"/>
    <cellStyle name="Migliaia [0] 14 3 2 5" xfId="46284" xr:uid="{ACC1BD1A-2ACE-4DF8-BA74-7B85AA5491B1}"/>
    <cellStyle name="Migliaia [0] 14 3 2 6" xfId="50759" xr:uid="{53CAB725-DD19-4F9A-9E04-F5B14455A545}"/>
    <cellStyle name="Migliaia [0] 14 3 2 7" xfId="53775" xr:uid="{33AFA821-776C-4722-8C82-0AB046CC1AC7}"/>
    <cellStyle name="Migliaia [0] 14 3 2 8" xfId="17582" xr:uid="{A85E98CC-CBC0-46AC-9271-1904F037DC8A}"/>
    <cellStyle name="Migliaia [0] 14 3 2 9" xfId="11727" xr:uid="{1E2C7C16-B5F0-482B-BC06-86C651544796}"/>
    <cellStyle name="Migliaia [0] 14 3 3" xfId="5848" xr:uid="{19BA2A60-42D9-4949-9CDE-EF976C477F4A}"/>
    <cellStyle name="Migliaia [0] 14 3 3 2" xfId="12386" xr:uid="{F81F8ACE-E00F-40A5-B2A7-6941B68CC621}"/>
    <cellStyle name="Migliaia [0] 14 3 4" xfId="2846" xr:uid="{F1904C38-82FD-46AC-89CC-381E91BD65C0}"/>
    <cellStyle name="Migliaia [0] 14 3 4 2" xfId="21263" xr:uid="{6E7E7A59-A603-442F-A5D5-A37957420C90}"/>
    <cellStyle name="Migliaia [0] 14 3 4 3" xfId="48573" xr:uid="{2DE227DC-9659-4AA8-B04A-E344BA567DD0}"/>
    <cellStyle name="Migliaia [0] 14 3 4 4" xfId="50278" xr:uid="{BBC0DB2B-3E70-40B6-9178-B77BD3446ECA}"/>
    <cellStyle name="Migliaia [0] 14 3 4 5" xfId="53294" xr:uid="{EAC80A2F-EE00-4A80-A9BE-DFD73EA140E0}"/>
    <cellStyle name="Migliaia [0] 14 3 4 6" xfId="10628" xr:uid="{C771ECC5-233F-4BB9-98E5-C716EA049E06}"/>
    <cellStyle name="Migliaia [0] 14 3 5" xfId="19525" xr:uid="{0C7430E8-B3D3-4BBB-94CA-F71A65452020}"/>
    <cellStyle name="Migliaia [0] 14 3 6" xfId="24007" xr:uid="{A01D685F-8B56-43F0-9984-C3279716BC95}"/>
    <cellStyle name="Migliaia [0] 14 3 7" xfId="8189" xr:uid="{7AFD6014-15D8-4DC7-8A93-2E1B759E3D1A}"/>
    <cellStyle name="Migliaia [0] 14 4" xfId="2847" xr:uid="{5B8F95D6-E059-4E23-AE14-5C0127C487C7}"/>
    <cellStyle name="Migliaia [0] 14 4 2" xfId="4573" xr:uid="{ACD20E1E-8D79-46BF-8941-879447BDC5B1}"/>
    <cellStyle name="Migliaia [0] 14 4 2 2" xfId="35074" xr:uid="{03651B7B-BC02-4B6E-BF1D-4D0A12480DD0}"/>
    <cellStyle name="Migliaia [0] 14 4 2 2 2" xfId="40232" xr:uid="{B6CA159A-3FF2-445A-92B8-2EEE15FE38A9}"/>
    <cellStyle name="Migliaia [0] 14 4 2 2 3" xfId="45534" xr:uid="{0AC6E227-6BC7-4FCD-BCFA-2C5E5AEA406C}"/>
    <cellStyle name="Migliaia [0] 14 4 2 3" xfId="37581" xr:uid="{EFD49093-36CD-4061-B7A2-0D2593FB2D22}"/>
    <cellStyle name="Migliaia [0] 14 4 2 4" xfId="42883" xr:uid="{3499B8EF-273C-4A63-8F0E-01427D8F65F4}"/>
    <cellStyle name="Migliaia [0] 14 4 2 5" xfId="17014" xr:uid="{2A7F4C09-295F-41D5-8872-431AE5E254A0}"/>
    <cellStyle name="Migliaia [0] 14 4 3" xfId="5849" xr:uid="{AC166BDD-2F64-43F8-AD68-9A08C32B7F54}"/>
    <cellStyle name="Migliaia [0] 14 4 3 2" xfId="38106" xr:uid="{8A4C35AB-128B-4A5F-871F-05956429F16B}"/>
    <cellStyle name="Migliaia [0] 14 4 3 3" xfId="43408" xr:uid="{35679702-90BA-4121-A9DB-3A796C35B7A6}"/>
    <cellStyle name="Migliaia [0] 14 4 3 4" xfId="32755" xr:uid="{ED81C4B7-1F35-47EF-AF2D-67FFA29860A9}"/>
    <cellStyle name="Migliaia [0] 14 4 3 5" xfId="19526" xr:uid="{805C883D-5DE6-44D4-8591-B6E3C52F4EBB}"/>
    <cellStyle name="Migliaia [0] 14 4 4" xfId="35641" xr:uid="{312FBC91-F61D-4DD7-B84D-51516D1E3A9C}"/>
    <cellStyle name="Migliaia [0] 14 4 5" xfId="40757" xr:uid="{E106C77E-5100-4B5E-BB73-C84993AF8F4F}"/>
    <cellStyle name="Migliaia [0] 14 4 6" xfId="15956" xr:uid="{AD1CD625-8096-4C42-A0A9-C9EBBFD4852A}"/>
    <cellStyle name="Migliaia [0] 14 4 7" xfId="7769" xr:uid="{2AC10B6D-CBCD-452A-9FDA-8C3802E1F8D3}"/>
    <cellStyle name="Migliaia [0] 14 5" xfId="4569" xr:uid="{1E51847D-9162-4D4C-BDEA-44657EAAD08C}"/>
    <cellStyle name="Migliaia [0] 14 5 2" xfId="32756" xr:uid="{82ECD832-C24F-4A5B-B11D-B6C4F4B7F3C7}"/>
    <cellStyle name="Migliaia [0] 14 5 2 2" xfId="38107" xr:uid="{65F11FB1-2CAA-48F9-9C20-7A541B405A99}"/>
    <cellStyle name="Migliaia [0] 14 5 2 3" xfId="43409" xr:uid="{58CBD9F8-F024-4E27-8DA5-4284307C3DED}"/>
    <cellStyle name="Migliaia [0] 14 5 3" xfId="35642" xr:uid="{D399F8BD-8FE5-4B4C-A13D-FC8BE2C01990}"/>
    <cellStyle name="Migliaia [0] 14 5 4" xfId="40758" xr:uid="{E6CF99A1-0392-4811-A70D-4AF50B4EF6EC}"/>
    <cellStyle name="Migliaia [0] 14 5 5" xfId="17083" xr:uid="{2EC6A7A5-E21F-4854-8087-F9C38B3AC323}"/>
    <cellStyle name="Migliaia [0] 14 6" xfId="5846" xr:uid="{C5E7C4FC-D559-485A-B54A-E34324DF3DC5}"/>
    <cellStyle name="Migliaia [0] 14 6 2" xfId="38103" xr:uid="{C673C48A-1B5B-4DC0-8C65-CA76756BCDF5}"/>
    <cellStyle name="Migliaia [0] 14 6 3" xfId="43405" xr:uid="{3ED1CB5E-4524-47BD-9C7B-6E4EFC0BBC4F}"/>
    <cellStyle name="Migliaia [0] 14 6 4" xfId="32752" xr:uid="{39C8899D-5A20-4A1A-BB58-8182FB3E8FF9}"/>
    <cellStyle name="Migliaia [0] 14 6 5" xfId="19522" xr:uid="{51E8590D-3565-4DD2-A5F5-85E338272B5E}"/>
    <cellStyle name="Migliaia [0] 14 7" xfId="2843" xr:uid="{FA0507C9-7694-48E4-9C1B-3840448FE102}"/>
    <cellStyle name="Migliaia [0] 14 7 2" xfId="35638" xr:uid="{AEC77780-FAA1-42A2-AE17-01E68A7B3132}"/>
    <cellStyle name="Migliaia [0] 14 8" xfId="40754" xr:uid="{3F3E3515-F585-4880-8D0E-57459A29F6EC}"/>
    <cellStyle name="Migliaia [0] 14 9" xfId="6990" xr:uid="{83CDB192-F3B8-4495-B65E-4F26F1BA5D3A}"/>
    <cellStyle name="Migliaia [0] 15" xfId="248" xr:uid="{00000000-0005-0000-0000-0000ED010000}"/>
    <cellStyle name="Migliaia [0] 15 2" xfId="1499" xr:uid="{00000000-0005-0000-0000-0000EE010000}"/>
    <cellStyle name="Migliaia [0] 15 2 2" xfId="1500" xr:uid="{00000000-0005-0000-0000-0000EF010000}"/>
    <cellStyle name="Migliaia [0] 15 2 2 2" xfId="4576" xr:uid="{2CF2CC20-B1B1-40EB-A717-B447D3015A3C}"/>
    <cellStyle name="Migliaia [0] 15 2 2 2 2" xfId="21732" xr:uid="{5D9E470F-5587-4DFB-8BE0-715A6027EEA9}"/>
    <cellStyle name="Migliaia [0] 15 2 2 2 3" xfId="46285" xr:uid="{BA64E2F8-BEA3-4953-915B-18FCB65935B3}"/>
    <cellStyle name="Migliaia [0] 15 2 2 2 4" xfId="50760" xr:uid="{D02D75FF-B955-4A09-8CCD-05CAAFF64D65}"/>
    <cellStyle name="Migliaia [0] 15 2 2 2 5" xfId="53776" xr:uid="{238C55A1-D2A5-42F5-94E5-6281C2DBD6BB}"/>
    <cellStyle name="Migliaia [0] 15 2 2 2 6" xfId="11728" xr:uid="{AC8B0422-6A36-4372-AC1C-BBFD44D5AD4F}"/>
    <cellStyle name="Migliaia [0] 15 2 2 3" xfId="2850" xr:uid="{B4386033-71A7-4FD1-BFD2-FE7F2F51D49F}"/>
    <cellStyle name="Migliaia [0] 15 2 2 3 2" xfId="12356" xr:uid="{0FBA8B92-78D1-486A-B118-61598CBCA93E}"/>
    <cellStyle name="Migliaia [0] 15 2 2 4" xfId="10629" xr:uid="{945D58E7-A812-4102-8B7E-D5F308E75C8F}"/>
    <cellStyle name="Migliaia [0] 15 2 2 4 2" xfId="21264" xr:uid="{6217A064-B024-4F13-A19F-533ACE96BF3F}"/>
    <cellStyle name="Migliaia [0] 15 2 2 4 3" xfId="46166" xr:uid="{DCEF5317-5A7D-4124-B0CD-8C06343F83BA}"/>
    <cellStyle name="Migliaia [0] 15 2 2 4 4" xfId="50279" xr:uid="{585A2C7B-1EA6-4859-9B8E-842EDE1A654A}"/>
    <cellStyle name="Migliaia [0] 15 2 2 4 5" xfId="53295" xr:uid="{386D8D52-A14F-4B1A-9907-9ED2759B3A18}"/>
    <cellStyle name="Migliaia [0] 15 2 2 5" xfId="19529" xr:uid="{3DDE2B10-122E-4BBF-A606-E043D7BA4EA4}"/>
    <cellStyle name="Migliaia [0] 15 2 2 6" xfId="24010" xr:uid="{8D53E68A-A2BD-4A5A-A5DF-0777A628F37C}"/>
    <cellStyle name="Migliaia [0] 15 2 2 7" xfId="48826" xr:uid="{9B2B2E77-BEF7-4D13-988F-28833622A882}"/>
    <cellStyle name="Migliaia [0] 15 2 2 8" xfId="49732" xr:uid="{82A423A5-9448-4936-97A0-2D5EFFD653F2}"/>
    <cellStyle name="Migliaia [0] 15 2 2 9" xfId="8432" xr:uid="{ABED72E8-9D4A-42D5-B2BC-072A1608EA9B}"/>
    <cellStyle name="Migliaia [0] 15 2 3" xfId="4575" xr:uid="{873F8A1F-7632-4CDC-9129-8DF3C7C092AE}"/>
    <cellStyle name="Migliaia [0] 15 2 3 2" xfId="32758" xr:uid="{433AEDFA-5533-4855-8F7B-F22EDF8C10A9}"/>
    <cellStyle name="Migliaia [0] 15 2 3 2 2" xfId="38109" xr:uid="{225B0CA6-0783-43CC-81B0-C2036EED0589}"/>
    <cellStyle name="Migliaia [0] 15 2 3 2 3" xfId="43411" xr:uid="{50DF9358-8E0F-452C-88DA-FB31134AD856}"/>
    <cellStyle name="Migliaia [0] 15 2 3 3" xfId="35644" xr:uid="{0788C92F-381C-4A37-9AB5-A6940EB1C8DF}"/>
    <cellStyle name="Migliaia [0] 15 2 3 4" xfId="40760" xr:uid="{19A80CBD-934E-4F67-A8F5-8636BFD19ABE}"/>
    <cellStyle name="Migliaia [0] 15 2 3 5" xfId="11729" xr:uid="{31B630AA-E2EB-4469-82C8-0AAFCC5E5925}"/>
    <cellStyle name="Migliaia [0] 15 2 4" xfId="5851" xr:uid="{B3CC6D4A-D5E5-4610-9916-2CFEF82DA286}"/>
    <cellStyle name="Migliaia [0] 15 2 4 2" xfId="19528" xr:uid="{8E6F6A1B-804D-4F3B-84D8-A5DAC4E3FFD3}"/>
    <cellStyle name="Migliaia [0] 15 2 5" xfId="2849" xr:uid="{723DDF5C-E621-4F6C-A450-C482F512ECA8}"/>
    <cellStyle name="Migliaia [0] 15 2 5 2" xfId="24009" xr:uid="{6531D1D7-029A-4B65-A002-CE06DC51ED23}"/>
    <cellStyle name="Migliaia [0] 15 2 6" xfId="7242" xr:uid="{CE1D0E9D-8656-4244-B2EE-7DBF12BDC82B}"/>
    <cellStyle name="Migliaia [0] 15 3" xfId="1501" xr:uid="{00000000-0005-0000-0000-0000F0010000}"/>
    <cellStyle name="Migliaia [0] 15 3 2" xfId="4577" xr:uid="{87FC15DD-8648-4300-94B0-D31DBC0E6182}"/>
    <cellStyle name="Migliaia [0] 15 3 2 2" xfId="18307" xr:uid="{7F75384F-84C2-421D-928C-605F902BF4F6}"/>
    <cellStyle name="Migliaia [0] 15 3 2 2 2" xfId="21733" xr:uid="{7E50F335-BC50-4A38-84C4-030BCF11F631}"/>
    <cellStyle name="Migliaia [0] 15 3 2 2 2 2" xfId="38110" xr:uid="{1FF29A06-DEDB-4554-89D9-0F3D73E24ECB}"/>
    <cellStyle name="Migliaia [0] 15 3 2 2 3" xfId="43412" xr:uid="{2F1C5AC9-D657-4FF9-A1C8-805F65104844}"/>
    <cellStyle name="Migliaia [0] 15 3 2 2 4" xfId="32759" xr:uid="{ACEDCE07-5207-42E2-8BA3-261C05F3BD18}"/>
    <cellStyle name="Migliaia [0] 15 3 2 3" xfId="35645" xr:uid="{F86D32D0-13C7-4813-B07D-59AB1AAA2CE4}"/>
    <cellStyle name="Migliaia [0] 15 3 2 4" xfId="40761" xr:uid="{D05BAE20-41A9-44AA-8F05-D271029DF883}"/>
    <cellStyle name="Migliaia [0] 15 3 2 5" xfId="47518" xr:uid="{5B41EDFA-49CD-49AF-AC79-20AD0104D7F2}"/>
    <cellStyle name="Migliaia [0] 15 3 2 6" xfId="50761" xr:uid="{CECD8D56-878C-4662-8D33-A4D11BD7FE4B}"/>
    <cellStyle name="Migliaia [0] 15 3 2 7" xfId="53777" xr:uid="{F382F9B4-6C38-4F7C-B19E-287405147FE0}"/>
    <cellStyle name="Migliaia [0] 15 3 2 8" xfId="17583" xr:uid="{7FF2254B-EE8F-4780-98C9-DB1E737202BA}"/>
    <cellStyle name="Migliaia [0] 15 3 2 9" xfId="11730" xr:uid="{FFFA9CB1-5867-4412-8017-CF20CBF598F9}"/>
    <cellStyle name="Migliaia [0] 15 3 3" xfId="5852" xr:uid="{D9674381-51FB-4D46-A02F-DF04278FF65E}"/>
    <cellStyle name="Migliaia [0] 15 3 3 2" xfId="12385" xr:uid="{16BE58A9-376E-4255-B27D-144AC71B32FB}"/>
    <cellStyle name="Migliaia [0] 15 3 4" xfId="2851" xr:uid="{4DBAE9B9-3C6F-4BFD-846E-E8F36C51606C}"/>
    <cellStyle name="Migliaia [0] 15 3 4 2" xfId="21265" xr:uid="{1A31439E-793B-47EF-8A85-EB23BB46FA88}"/>
    <cellStyle name="Migliaia [0] 15 3 4 3" xfId="47707" xr:uid="{8BE1930E-B89C-4DAA-83A3-D0F529FA1D5C}"/>
    <cellStyle name="Migliaia [0] 15 3 4 4" xfId="50280" xr:uid="{62D7FC25-81DE-4623-9E67-0A1022B97D17}"/>
    <cellStyle name="Migliaia [0] 15 3 4 5" xfId="53296" xr:uid="{1F85D2F7-0DC5-4A11-9DD3-93EEB8E3B895}"/>
    <cellStyle name="Migliaia [0] 15 3 4 6" xfId="10630" xr:uid="{FCA0A34B-46FA-4EB6-A30B-AA2AC4168BF7}"/>
    <cellStyle name="Migliaia [0] 15 3 5" xfId="19530" xr:uid="{6DA74619-B8E7-40DE-A498-F53418552E65}"/>
    <cellStyle name="Migliaia [0] 15 3 6" xfId="24011" xr:uid="{8C1B7386-A63D-4884-9828-4B96369765ED}"/>
    <cellStyle name="Migliaia [0] 15 3 7" xfId="8190" xr:uid="{6D85692C-317A-4F3B-AFEC-5DE3A02CA42D}"/>
    <cellStyle name="Migliaia [0] 15 4" xfId="2852" xr:uid="{01B6110A-7A8D-4FB2-B063-D4A75CFDC6E1}"/>
    <cellStyle name="Migliaia [0] 15 4 2" xfId="4578" xr:uid="{B1590FC4-568A-43D1-9E5F-7DCF91C67C56}"/>
    <cellStyle name="Migliaia [0] 15 4 2 2" xfId="35075" xr:uid="{D2457C8F-27D5-4D1C-A258-CF6AACAE19FD}"/>
    <cellStyle name="Migliaia [0] 15 4 2 2 2" xfId="40233" xr:uid="{90E9EB77-4D8C-49B7-8589-A70954D45989}"/>
    <cellStyle name="Migliaia [0] 15 4 2 2 3" xfId="45535" xr:uid="{74BF8F9F-8212-4B2E-A74B-20B1AB41D623}"/>
    <cellStyle name="Migliaia [0] 15 4 2 3" xfId="37582" xr:uid="{0649576A-AC53-4679-ACF7-E6DD8B9F302C}"/>
    <cellStyle name="Migliaia [0] 15 4 2 4" xfId="42884" xr:uid="{453DA8DF-30B9-4F3E-8299-0DC1FB41A5B2}"/>
    <cellStyle name="Migliaia [0] 15 4 2 5" xfId="17015" xr:uid="{96E72D25-66B9-4D17-8EBE-DCEC2D569FA2}"/>
    <cellStyle name="Migliaia [0] 15 4 3" xfId="5853" xr:uid="{539D3572-1822-4CEC-A7F3-6B6B19EA3DEA}"/>
    <cellStyle name="Migliaia [0] 15 4 3 2" xfId="38111" xr:uid="{870704E5-814A-4FBC-AFC1-23959C9D1A3F}"/>
    <cellStyle name="Migliaia [0] 15 4 3 3" xfId="43413" xr:uid="{657040A1-31E0-4F3D-8733-EB36A0E77610}"/>
    <cellStyle name="Migliaia [0] 15 4 3 4" xfId="32760" xr:uid="{205246C8-9879-4D4B-BEF7-CB64FB5C9A2C}"/>
    <cellStyle name="Migliaia [0] 15 4 3 5" xfId="19531" xr:uid="{6214EE86-9466-4926-935A-B6F31B405E83}"/>
    <cellStyle name="Migliaia [0] 15 4 4" xfId="35646" xr:uid="{4227563C-25AC-40BA-9326-50D4E4AA3363}"/>
    <cellStyle name="Migliaia [0] 15 4 5" xfId="40762" xr:uid="{F864973A-DE82-4C4D-ACA8-8A83268E2370}"/>
    <cellStyle name="Migliaia [0] 15 4 6" xfId="15957" xr:uid="{E59C8662-6EA8-428B-BDCA-2CC53DD88157}"/>
    <cellStyle name="Migliaia [0] 15 4 7" xfId="7770" xr:uid="{0B922E9B-CCE9-4DB4-8B40-E8CC6F80F3BB}"/>
    <cellStyle name="Migliaia [0] 15 5" xfId="4574" xr:uid="{B5100868-4EA1-4890-9B77-B418811CFD68}"/>
    <cellStyle name="Migliaia [0] 15 5 2" xfId="32761" xr:uid="{9D109004-B241-41FD-9217-4957BF34FC0A}"/>
    <cellStyle name="Migliaia [0] 15 5 2 2" xfId="38112" xr:uid="{476EA9B4-87AA-41E6-A54D-1092ACA8D911}"/>
    <cellStyle name="Migliaia [0] 15 5 2 3" xfId="43414" xr:uid="{A503778B-D6EE-45CC-B95C-D671C35437AF}"/>
    <cellStyle name="Migliaia [0] 15 5 3" xfId="35647" xr:uid="{C12783BD-7837-4788-A469-5F1633A5C1F4}"/>
    <cellStyle name="Migliaia [0] 15 5 4" xfId="40763" xr:uid="{7A240E80-B2C3-4941-B793-4A92CA721210}"/>
    <cellStyle name="Migliaia [0] 15 5 5" xfId="17084" xr:uid="{35255DB7-125C-4EBD-8339-710870E2D597}"/>
    <cellStyle name="Migliaia [0] 15 6" xfId="5850" xr:uid="{082127E1-11AC-42CF-8338-361B49A5E550}"/>
    <cellStyle name="Migliaia [0] 15 6 2" xfId="38108" xr:uid="{E80AD7C7-80DB-4F1F-A555-BD3CD4642F1F}"/>
    <cellStyle name="Migliaia [0] 15 6 3" xfId="43410" xr:uid="{B1F9900B-B0EC-4128-9466-13181B9FC488}"/>
    <cellStyle name="Migliaia [0] 15 6 4" xfId="32757" xr:uid="{023ACD14-C080-44E9-91F6-2099E22EFAFB}"/>
    <cellStyle name="Migliaia [0] 15 6 5" xfId="19527" xr:uid="{E753A2C5-73E3-4C4B-B8BB-CEA098CC2B4B}"/>
    <cellStyle name="Migliaia [0] 15 7" xfId="2848" xr:uid="{320658C5-3F48-43A9-99DB-57080F51EDB5}"/>
    <cellStyle name="Migliaia [0] 15 7 2" xfId="35643" xr:uid="{8CEA2AF2-AC4C-496B-B9FF-E1ECE247DFBE}"/>
    <cellStyle name="Migliaia [0] 15 8" xfId="40759" xr:uid="{268BB731-AA80-464C-8C0A-C5F681A19BDC}"/>
    <cellStyle name="Migliaia [0] 15 9" xfId="6991" xr:uid="{A2C13152-C05B-4F76-A37F-1254AB0CEEA3}"/>
    <cellStyle name="Migliaia [0] 16" xfId="249" xr:uid="{00000000-0005-0000-0000-0000F1010000}"/>
    <cellStyle name="Migliaia [0] 16 2" xfId="1502" xr:uid="{00000000-0005-0000-0000-0000F2010000}"/>
    <cellStyle name="Migliaia [0] 16 2 2" xfId="1503" xr:uid="{00000000-0005-0000-0000-0000F3010000}"/>
    <cellStyle name="Migliaia [0] 16 2 2 2" xfId="4581" xr:uid="{42293C67-41CF-4FA5-960F-186CA322B323}"/>
    <cellStyle name="Migliaia [0] 16 2 2 2 2" xfId="21734" xr:uid="{9E01B380-EB39-4095-BD87-B66B8CE50F0F}"/>
    <cellStyle name="Migliaia [0] 16 2 2 2 3" xfId="46734" xr:uid="{3608E89B-2A92-484B-9554-478ECD46C66D}"/>
    <cellStyle name="Migliaia [0] 16 2 2 2 4" xfId="50762" xr:uid="{0859DD87-012B-4A20-A311-1D4F5EF63DF3}"/>
    <cellStyle name="Migliaia [0] 16 2 2 2 5" xfId="53778" xr:uid="{76D09CF7-42F4-4BCB-B1B0-6D22B3C953F9}"/>
    <cellStyle name="Migliaia [0] 16 2 2 2 6" xfId="11731" xr:uid="{B4163801-4DB5-45D7-B182-7C681533ACC3}"/>
    <cellStyle name="Migliaia [0] 16 2 2 3" xfId="2855" xr:uid="{7DFE3B25-2BBE-4754-B93B-2B4D3466CBE9}"/>
    <cellStyle name="Migliaia [0] 16 2 2 3 2" xfId="12355" xr:uid="{9B9060C1-57AE-4A46-816F-D1A93971E3D4}"/>
    <cellStyle name="Migliaia [0] 16 2 2 4" xfId="10631" xr:uid="{420C8833-7EBA-4DDE-8326-ECFA22482B15}"/>
    <cellStyle name="Migliaia [0] 16 2 2 4 2" xfId="21266" xr:uid="{DF9C3D39-6B18-41EC-A88D-C2515820574C}"/>
    <cellStyle name="Migliaia [0] 16 2 2 4 3" xfId="46167" xr:uid="{6FA46C28-6828-4E7D-9290-2B2311599A63}"/>
    <cellStyle name="Migliaia [0] 16 2 2 4 4" xfId="50281" xr:uid="{CD080143-63C4-42A6-9081-1C042F2B491C}"/>
    <cellStyle name="Migliaia [0] 16 2 2 4 5" xfId="53297" xr:uid="{5680DB22-6B79-42F0-B1A4-590EE2F5E289}"/>
    <cellStyle name="Migliaia [0] 16 2 2 5" xfId="19534" xr:uid="{878BFC3A-6162-478E-BE10-63C8634F3A51}"/>
    <cellStyle name="Migliaia [0] 16 2 2 6" xfId="24013" xr:uid="{B5E2F5C1-054C-4E1D-BF01-7248BEF9215E}"/>
    <cellStyle name="Migliaia [0] 16 2 2 7" xfId="48827" xr:uid="{7ECAB708-F50B-453C-A3B1-B26201C0475C}"/>
    <cellStyle name="Migliaia [0] 16 2 2 8" xfId="49733" xr:uid="{CFCA9972-E6B4-4437-B8FD-1F8C67B7A56A}"/>
    <cellStyle name="Migliaia [0] 16 2 2 9" xfId="8433" xr:uid="{9C3A3F6A-47AC-4F86-B0C0-8B86E2665F19}"/>
    <cellStyle name="Migliaia [0] 16 2 3" xfId="4580" xr:uid="{118DC9DF-979F-4883-BB66-9009AB29B3BF}"/>
    <cellStyle name="Migliaia [0] 16 2 3 2" xfId="32763" xr:uid="{9830B410-527D-4095-BA46-0B7483BF0BA4}"/>
    <cellStyle name="Migliaia [0] 16 2 3 2 2" xfId="38114" xr:uid="{C5D3C951-8C12-486B-9DE1-C3AB9034652D}"/>
    <cellStyle name="Migliaia [0] 16 2 3 2 3" xfId="43416" xr:uid="{A418BA38-82FC-451C-9FD1-20B798D701C4}"/>
    <cellStyle name="Migliaia [0] 16 2 3 3" xfId="35649" xr:uid="{72F8EB5A-AA8E-417E-8860-C23022B87488}"/>
    <cellStyle name="Migliaia [0] 16 2 3 4" xfId="40765" xr:uid="{2FB77614-E2C6-46CC-9FEC-74807E30E2CC}"/>
    <cellStyle name="Migliaia [0] 16 2 3 5" xfId="11732" xr:uid="{792A93E6-4372-4446-B761-E53E6DB435B6}"/>
    <cellStyle name="Migliaia [0] 16 2 4" xfId="5855" xr:uid="{9279FAE0-1441-43B7-8DE4-299CC35F871C}"/>
    <cellStyle name="Migliaia [0] 16 2 4 2" xfId="19533" xr:uid="{913AD5E3-32C8-4620-B00D-F0E8B5A96971}"/>
    <cellStyle name="Migliaia [0] 16 2 5" xfId="2854" xr:uid="{5DB5DB4F-0935-4C0F-8308-93F1F6AE441C}"/>
    <cellStyle name="Migliaia [0] 16 2 5 2" xfId="24012" xr:uid="{76674159-D835-42BB-88EB-F5D1E7E59F36}"/>
    <cellStyle name="Migliaia [0] 16 2 6" xfId="7243" xr:uid="{FAA2F182-738F-4E8E-A06C-D0280693C655}"/>
    <cellStyle name="Migliaia [0] 16 3" xfId="1504" xr:uid="{00000000-0005-0000-0000-0000F4010000}"/>
    <cellStyle name="Migliaia [0] 16 3 2" xfId="4582" xr:uid="{5AF2D3C7-CC2C-4B00-93C0-9E77A872BFEE}"/>
    <cellStyle name="Migliaia [0] 16 3 2 2" xfId="18308" xr:uid="{970F68BF-F333-48E1-9330-15619403A90B}"/>
    <cellStyle name="Migliaia [0] 16 3 2 2 2" xfId="21735" xr:uid="{DA25D871-2ED0-4D50-AFDC-432E01F9CD07}"/>
    <cellStyle name="Migliaia [0] 16 3 2 2 2 2" xfId="38115" xr:uid="{859FAF6C-8726-495C-A662-A8707ED97C57}"/>
    <cellStyle name="Migliaia [0] 16 3 2 2 3" xfId="43417" xr:uid="{7C6D5772-6D90-4BD0-AC82-EE1EAE70DCC0}"/>
    <cellStyle name="Migliaia [0] 16 3 2 2 4" xfId="32764" xr:uid="{B07164EC-99E0-404B-A567-C279867F961F}"/>
    <cellStyle name="Migliaia [0] 16 3 2 3" xfId="35650" xr:uid="{C0A13E9E-9F53-4D65-95DD-7A8C498E2344}"/>
    <cellStyle name="Migliaia [0] 16 3 2 4" xfId="40766" xr:uid="{84BA2FF8-365C-4712-8F1F-C92F3080D2AE}"/>
    <cellStyle name="Migliaia [0] 16 3 2 5" xfId="48189" xr:uid="{F2DA3795-5DCA-422C-8CC5-791EF08105EA}"/>
    <cellStyle name="Migliaia [0] 16 3 2 6" xfId="50763" xr:uid="{59AE7C24-5C6C-49CE-AAA1-8A62A7E61144}"/>
    <cellStyle name="Migliaia [0] 16 3 2 7" xfId="53779" xr:uid="{BD1D0C24-5E5B-4B43-8284-BEE60A9972A6}"/>
    <cellStyle name="Migliaia [0] 16 3 2 8" xfId="17584" xr:uid="{97FE16D3-AD45-4AEB-AEE2-8DE9ADEDC225}"/>
    <cellStyle name="Migliaia [0] 16 3 2 9" xfId="11733" xr:uid="{8D300038-C2AD-4EEA-8CE6-E64ED859A05E}"/>
    <cellStyle name="Migliaia [0] 16 3 3" xfId="5856" xr:uid="{6D1A37DA-7FEC-457F-B6CF-6C19FA5A59D2}"/>
    <cellStyle name="Migliaia [0] 16 3 3 2" xfId="12215" xr:uid="{C2D877DF-6C5D-49BC-B0EE-16BDE4869CAC}"/>
    <cellStyle name="Migliaia [0] 16 3 4" xfId="2856" xr:uid="{2663A5EB-FC83-49A6-AE4C-5519AF05CD01}"/>
    <cellStyle name="Migliaia [0] 16 3 4 2" xfId="21267" xr:uid="{3A32DE91-D45A-41D8-B9A4-6613CD7C5FBE}"/>
    <cellStyle name="Migliaia [0] 16 3 4 3" xfId="48286" xr:uid="{4641C4CE-6315-45B7-A854-4336E785D3AA}"/>
    <cellStyle name="Migliaia [0] 16 3 4 4" xfId="50282" xr:uid="{B7DB3E22-20CD-4A93-AA86-08A7346FAA3E}"/>
    <cellStyle name="Migliaia [0] 16 3 4 5" xfId="53298" xr:uid="{C10A8DAE-87F3-447B-928E-51979E852EC2}"/>
    <cellStyle name="Migliaia [0] 16 3 4 6" xfId="10632" xr:uid="{190BD210-13F7-4567-B17B-8F61F75757F7}"/>
    <cellStyle name="Migliaia [0] 16 3 5" xfId="19535" xr:uid="{0882E388-545A-45A7-B42F-DF3A437CAEDA}"/>
    <cellStyle name="Migliaia [0] 16 3 6" xfId="24014" xr:uid="{97CD3500-5F70-47B8-887F-2182BD22AC3E}"/>
    <cellStyle name="Migliaia [0] 16 3 7" xfId="8191" xr:uid="{745854A3-ACFD-4955-BF61-E143EDCDF9A2}"/>
    <cellStyle name="Migliaia [0] 16 4" xfId="2857" xr:uid="{2BC7E25F-7FC4-4735-B03B-A633849DF74D}"/>
    <cellStyle name="Migliaia [0] 16 4 2" xfId="4583" xr:uid="{17E3B84D-33A7-44A6-8624-C6ACE3024BD8}"/>
    <cellStyle name="Migliaia [0] 16 4 2 2" xfId="35076" xr:uid="{AD5D2094-D376-42EE-99FE-DAD204E9CC0E}"/>
    <cellStyle name="Migliaia [0] 16 4 2 2 2" xfId="40234" xr:uid="{0849BC59-2C84-4B20-A36A-1421CDA28765}"/>
    <cellStyle name="Migliaia [0] 16 4 2 2 3" xfId="45536" xr:uid="{F9600F36-39F4-463F-9896-B0EFD7B4A878}"/>
    <cellStyle name="Migliaia [0] 16 4 2 3" xfId="37583" xr:uid="{970C617B-0E34-41AD-9A2D-44B4A7BE719A}"/>
    <cellStyle name="Migliaia [0] 16 4 2 4" xfId="42885" xr:uid="{CE0B0887-817D-45D7-9799-E19595687485}"/>
    <cellStyle name="Migliaia [0] 16 4 2 5" xfId="17016" xr:uid="{ED02822A-77DE-4CAD-A028-D90881C39546}"/>
    <cellStyle name="Migliaia [0] 16 4 3" xfId="5857" xr:uid="{A67C460F-F99E-47EA-B49B-4848AFA75DA4}"/>
    <cellStyle name="Migliaia [0] 16 4 3 2" xfId="38116" xr:uid="{DA608E12-D3F2-4998-9478-C3FE78EE5AD2}"/>
    <cellStyle name="Migliaia [0] 16 4 3 3" xfId="43418" xr:uid="{462F2AD8-D515-4A1D-8B41-A33481A5674E}"/>
    <cellStyle name="Migliaia [0] 16 4 3 4" xfId="32765" xr:uid="{3BC1C22C-D4FC-4518-BFBA-DFF978C0D8A0}"/>
    <cellStyle name="Migliaia [0] 16 4 3 5" xfId="19536" xr:uid="{F973B91E-7EC9-45D5-83DC-0DC40DD4CB28}"/>
    <cellStyle name="Migliaia [0] 16 4 4" xfId="35651" xr:uid="{8A4DE0C6-5A9C-49EF-AE95-C14AA82EFE4D}"/>
    <cellStyle name="Migliaia [0] 16 4 5" xfId="40767" xr:uid="{257C5A9F-F038-4ADC-8F03-9AEB6C67E8AE}"/>
    <cellStyle name="Migliaia [0] 16 4 6" xfId="15958" xr:uid="{9F09D49D-4483-49DE-B623-D0ACF5715B5B}"/>
    <cellStyle name="Migliaia [0] 16 4 7" xfId="7771" xr:uid="{109631B8-092B-4016-A95B-FDBD8251D972}"/>
    <cellStyle name="Migliaia [0] 16 5" xfId="4579" xr:uid="{B9F4973C-0DA8-4C34-AF44-321695546224}"/>
    <cellStyle name="Migliaia [0] 16 5 2" xfId="32766" xr:uid="{03CD5899-45E1-4B07-86F1-8CE4540B2E7A}"/>
    <cellStyle name="Migliaia [0] 16 5 2 2" xfId="38117" xr:uid="{D80A802E-CBA7-4AE6-9D1C-9210A3AB3C1C}"/>
    <cellStyle name="Migliaia [0] 16 5 2 3" xfId="43419" xr:uid="{2646E51E-31CE-4F68-91CD-5AEFCDF9012A}"/>
    <cellStyle name="Migliaia [0] 16 5 3" xfId="35652" xr:uid="{FC82FB2E-28FD-4E22-AE1A-AE9321454CAA}"/>
    <cellStyle name="Migliaia [0] 16 5 4" xfId="40768" xr:uid="{054743C0-4523-45EF-AA77-4F3B96970E77}"/>
    <cellStyle name="Migliaia [0] 16 5 5" xfId="17085" xr:uid="{8AB6430F-0DC5-4E21-96C9-82BDE4DE4C4D}"/>
    <cellStyle name="Migliaia [0] 16 6" xfId="5854" xr:uid="{C9808045-6E27-4000-8651-4EC8EA5BEC2D}"/>
    <cellStyle name="Migliaia [0] 16 6 2" xfId="38113" xr:uid="{EACE2553-B932-4555-939A-63BFB60DCB8F}"/>
    <cellStyle name="Migliaia [0] 16 6 3" xfId="43415" xr:uid="{82B5616D-793C-43D4-B99D-57098ABCB2D1}"/>
    <cellStyle name="Migliaia [0] 16 6 4" xfId="32762" xr:uid="{5897CC43-9BB6-49A6-A648-E5EED6355BC4}"/>
    <cellStyle name="Migliaia [0] 16 6 5" xfId="19532" xr:uid="{5B831CAB-6295-41EB-807C-54F83CEFCAB2}"/>
    <cellStyle name="Migliaia [0] 16 7" xfId="2853" xr:uid="{B959A1C6-9D3F-4F0A-800F-2D7566A28395}"/>
    <cellStyle name="Migliaia [0] 16 7 2" xfId="35648" xr:uid="{2638D96B-DD99-4F35-9263-E5E15555EA34}"/>
    <cellStyle name="Migliaia [0] 16 8" xfId="40764" xr:uid="{D9D76532-2525-405F-8576-B6EF3D395D20}"/>
    <cellStyle name="Migliaia [0] 16 9" xfId="6992" xr:uid="{CB054FE2-DB67-4C83-A8E5-838C6EEA28A3}"/>
    <cellStyle name="Migliaia [0] 17" xfId="250" xr:uid="{00000000-0005-0000-0000-0000F5010000}"/>
    <cellStyle name="Migliaia [0] 17 2" xfId="1505" xr:uid="{00000000-0005-0000-0000-0000F6010000}"/>
    <cellStyle name="Migliaia [0] 17 2 2" xfId="1506" xr:uid="{00000000-0005-0000-0000-0000F7010000}"/>
    <cellStyle name="Migliaia [0] 17 2 2 2" xfId="4586" xr:uid="{F1FBBD86-94CA-4B9B-9DC5-FBDD765BB64A}"/>
    <cellStyle name="Migliaia [0] 17 2 2 2 2" xfId="21736" xr:uid="{0DADD3AF-21B8-4D81-98DB-911189B3145B}"/>
    <cellStyle name="Migliaia [0] 17 2 2 2 3" xfId="46286" xr:uid="{FBC469D2-F002-45F3-A032-7201B3184CFC}"/>
    <cellStyle name="Migliaia [0] 17 2 2 2 4" xfId="50764" xr:uid="{BC2059F6-6A97-4E74-B47E-29F1BDA656B7}"/>
    <cellStyle name="Migliaia [0] 17 2 2 2 5" xfId="53780" xr:uid="{40DEC6AF-CC80-496E-8A13-49F44C956D6F}"/>
    <cellStyle name="Migliaia [0] 17 2 2 2 6" xfId="11734" xr:uid="{9E8EB538-6212-487B-97B5-08A8866CF2CF}"/>
    <cellStyle name="Migliaia [0] 17 2 2 3" xfId="2860" xr:uid="{9950277F-9D4C-499C-AEDB-4955E596D37D}"/>
    <cellStyle name="Migliaia [0] 17 2 2 3 2" xfId="12186" xr:uid="{F796D638-CA92-47DD-B6AE-2A9107640883}"/>
    <cellStyle name="Migliaia [0] 17 2 2 4" xfId="10633" xr:uid="{7271F169-24F5-404A-B11A-D0166F5E418C}"/>
    <cellStyle name="Migliaia [0] 17 2 2 4 2" xfId="21268" xr:uid="{70F266CB-871D-4D48-8799-E9C2229529FA}"/>
    <cellStyle name="Migliaia [0] 17 2 2 4 3" xfId="46168" xr:uid="{E5BDF340-A90F-469E-96DE-053397D07F10}"/>
    <cellStyle name="Migliaia [0] 17 2 2 4 4" xfId="50283" xr:uid="{2AF07512-0146-4E26-A508-5CAF63D8B709}"/>
    <cellStyle name="Migliaia [0] 17 2 2 4 5" xfId="53299" xr:uid="{32930395-EC09-4FCB-AE8C-CCD79C4A5AB1}"/>
    <cellStyle name="Migliaia [0] 17 2 2 5" xfId="19539" xr:uid="{C52764A1-B8FE-4605-ACEF-ECA5B7EAF9C0}"/>
    <cellStyle name="Migliaia [0] 17 2 2 6" xfId="24016" xr:uid="{EB9E37C1-716B-46AA-A073-4F89ABAE063A}"/>
    <cellStyle name="Migliaia [0] 17 2 2 7" xfId="48828" xr:uid="{7FFFC0A0-C0F6-46E3-8C39-9F31225B9B3C}"/>
    <cellStyle name="Migliaia [0] 17 2 2 8" xfId="49734" xr:uid="{F51B0482-D5CD-4841-8E7D-EFE0387998D3}"/>
    <cellStyle name="Migliaia [0] 17 2 2 9" xfId="8434" xr:uid="{B114D36C-96D3-471B-A863-7C314A68111E}"/>
    <cellStyle name="Migliaia [0] 17 2 3" xfId="4585" xr:uid="{E34047E6-CC60-49F4-912F-5CC30B295292}"/>
    <cellStyle name="Migliaia [0] 17 2 3 2" xfId="32768" xr:uid="{75E73383-E97A-4A50-8AA2-59F69E26C8BA}"/>
    <cellStyle name="Migliaia [0] 17 2 3 2 2" xfId="38119" xr:uid="{541444E9-1D52-4807-B3D9-6B0633898A50}"/>
    <cellStyle name="Migliaia [0] 17 2 3 2 3" xfId="43421" xr:uid="{975D54E1-E7D1-42C8-AE23-AD72A27E315E}"/>
    <cellStyle name="Migliaia [0] 17 2 3 3" xfId="35654" xr:uid="{8E87BE47-6E4E-4C62-A3EC-FA2D90A042CB}"/>
    <cellStyle name="Migliaia [0] 17 2 3 4" xfId="40770" xr:uid="{339F0493-AEFA-4121-B83A-BDB6CEECD55C}"/>
    <cellStyle name="Migliaia [0] 17 2 3 5" xfId="11735" xr:uid="{9D9B2B8F-D59B-4C0F-861B-E42858E23643}"/>
    <cellStyle name="Migliaia [0] 17 2 4" xfId="5859" xr:uid="{5380DA51-669E-4756-9E77-9DAFB60A64A3}"/>
    <cellStyle name="Migliaia [0] 17 2 4 2" xfId="19538" xr:uid="{4ABBEE9B-9FA3-4413-B640-E76113C7E969}"/>
    <cellStyle name="Migliaia [0] 17 2 5" xfId="2859" xr:uid="{3469B607-9104-4372-9C79-57A915B5CFC6}"/>
    <cellStyle name="Migliaia [0] 17 2 5 2" xfId="24015" xr:uid="{62C1AC2C-05B9-40D7-8E32-A3D431CE87A2}"/>
    <cellStyle name="Migliaia [0] 17 2 6" xfId="7244" xr:uid="{28AF575A-FC0C-4E54-93F7-E86D74E191BD}"/>
    <cellStyle name="Migliaia [0] 17 3" xfId="1507" xr:uid="{00000000-0005-0000-0000-0000F8010000}"/>
    <cellStyle name="Migliaia [0] 17 3 2" xfId="4587" xr:uid="{14C121D0-B4DA-4EBF-8630-EF82BE993059}"/>
    <cellStyle name="Migliaia [0] 17 3 2 2" xfId="18309" xr:uid="{7ECD340F-92B9-4748-BD1F-B43D5B64859A}"/>
    <cellStyle name="Migliaia [0] 17 3 2 2 2" xfId="21737" xr:uid="{03AE767E-FAA7-4B2E-8D23-C066D325C3C3}"/>
    <cellStyle name="Migliaia [0] 17 3 2 2 2 2" xfId="38120" xr:uid="{05617599-177D-49BF-8F6F-F64AA7E21D59}"/>
    <cellStyle name="Migliaia [0] 17 3 2 2 3" xfId="43422" xr:uid="{B3E13B3B-AA05-4474-92D9-1F1E1C10F9BA}"/>
    <cellStyle name="Migliaia [0] 17 3 2 2 4" xfId="32769" xr:uid="{AC9C13C1-F2AF-4530-A477-4011A34DD0EE}"/>
    <cellStyle name="Migliaia [0] 17 3 2 3" xfId="35655" xr:uid="{958C904F-C594-44B8-9201-E1DFC6CBEF38}"/>
    <cellStyle name="Migliaia [0] 17 3 2 4" xfId="40771" xr:uid="{46151754-BEF9-4477-BFFC-352E8A1F127A}"/>
    <cellStyle name="Migliaia [0] 17 3 2 5" xfId="48099" xr:uid="{1191FBD3-B776-446E-ABAB-E69F5E7E7D74}"/>
    <cellStyle name="Migliaia [0] 17 3 2 6" xfId="50765" xr:uid="{BF5F1EF0-7EF3-4561-B3C5-2B30966D680E}"/>
    <cellStyle name="Migliaia [0] 17 3 2 7" xfId="53781" xr:uid="{7F672404-95BD-4D34-819C-AF5B2DD22924}"/>
    <cellStyle name="Migliaia [0] 17 3 2 8" xfId="17585" xr:uid="{FE14AA89-9F2E-4A2A-BE9A-81DC471CF3A0}"/>
    <cellStyle name="Migliaia [0] 17 3 2 9" xfId="11736" xr:uid="{6C3BA5F4-0CE2-4B2A-99B0-704EA98B3AF6}"/>
    <cellStyle name="Migliaia [0] 17 3 3" xfId="5860" xr:uid="{DDF2A1B8-D9C9-4B31-9B78-D1C6D62D34C6}"/>
    <cellStyle name="Migliaia [0] 17 3 3 2" xfId="11165" xr:uid="{7264CE37-479C-4BD4-B4D3-EE6F18860971}"/>
    <cellStyle name="Migliaia [0] 17 3 4" xfId="2861" xr:uid="{2D1A1BFB-4086-42AD-B1D1-1C2254173431}"/>
    <cellStyle name="Migliaia [0] 17 3 4 2" xfId="21269" xr:uid="{79B7BB8C-29F3-4E8B-B6E7-D59035C600E5}"/>
    <cellStyle name="Migliaia [0] 17 3 4 3" xfId="47889" xr:uid="{C11DB687-AB82-4B9E-BE8F-1D74980C821E}"/>
    <cellStyle name="Migliaia [0] 17 3 4 4" xfId="50284" xr:uid="{FD6F929D-A62D-453E-94B9-FD11465A5BB7}"/>
    <cellStyle name="Migliaia [0] 17 3 4 5" xfId="53300" xr:uid="{FF695F01-06A9-479B-B486-FB4EDA45B717}"/>
    <cellStyle name="Migliaia [0] 17 3 4 6" xfId="10634" xr:uid="{FD8C02BF-4255-4432-B29A-2713165D2D94}"/>
    <cellStyle name="Migliaia [0] 17 3 5" xfId="19540" xr:uid="{29D7928F-1D25-4C98-B96F-87E4986BF243}"/>
    <cellStyle name="Migliaia [0] 17 3 6" xfId="24017" xr:uid="{675EAFE3-0C2C-420B-AFC2-4A4B3D510F1C}"/>
    <cellStyle name="Migliaia [0] 17 3 7" xfId="8192" xr:uid="{626044EA-FA3A-4589-811C-64E5180039A1}"/>
    <cellStyle name="Migliaia [0] 17 4" xfId="2862" xr:uid="{BDE0EA76-A509-4E7F-BB3F-D3D726ACD764}"/>
    <cellStyle name="Migliaia [0] 17 4 2" xfId="4588" xr:uid="{F7B3D99D-EB1C-4485-BDC8-3111557CDD00}"/>
    <cellStyle name="Migliaia [0] 17 4 2 2" xfId="35077" xr:uid="{40B28078-D26D-4198-AFB7-F7E75AB9E3E3}"/>
    <cellStyle name="Migliaia [0] 17 4 2 2 2" xfId="40235" xr:uid="{D1F57C40-4C2B-4126-82FD-8A47558BE8AC}"/>
    <cellStyle name="Migliaia [0] 17 4 2 2 3" xfId="45537" xr:uid="{F6C90AB2-6A7F-4457-A15E-7162F767CA8F}"/>
    <cellStyle name="Migliaia [0] 17 4 2 3" xfId="37584" xr:uid="{41322DDA-616D-4D4E-A437-7D7DFA691201}"/>
    <cellStyle name="Migliaia [0] 17 4 2 4" xfId="42886" xr:uid="{12386966-E402-4D46-9835-CECD343D538B}"/>
    <cellStyle name="Migliaia [0] 17 4 2 5" xfId="17017" xr:uid="{644F972E-8541-462B-888F-1FA023C27FDB}"/>
    <cellStyle name="Migliaia [0] 17 4 3" xfId="5861" xr:uid="{14AB56A1-3C05-4162-9377-B8E9D88DB402}"/>
    <cellStyle name="Migliaia [0] 17 4 3 2" xfId="38121" xr:uid="{86AA039A-CE66-42E5-AB1C-2F9F8D558D52}"/>
    <cellStyle name="Migliaia [0] 17 4 3 3" xfId="43423" xr:uid="{47726381-6136-4777-8FF9-38DC660538E0}"/>
    <cellStyle name="Migliaia [0] 17 4 3 4" xfId="32770" xr:uid="{0A222ADC-46B8-45CE-BB28-B0730C7C66C0}"/>
    <cellStyle name="Migliaia [0] 17 4 3 5" xfId="19541" xr:uid="{09A109CB-B914-4883-A82D-B13FF4846313}"/>
    <cellStyle name="Migliaia [0] 17 4 4" xfId="35656" xr:uid="{F9379CC3-DEE2-424D-ADFB-6924535F9719}"/>
    <cellStyle name="Migliaia [0] 17 4 5" xfId="40772" xr:uid="{54E9F44E-CFB7-4F2C-A6E7-C5F51A9A23C1}"/>
    <cellStyle name="Migliaia [0] 17 4 6" xfId="15959" xr:uid="{5E8EACDA-474F-48F6-95F3-8F895D7307C2}"/>
    <cellStyle name="Migliaia [0] 17 4 7" xfId="7772" xr:uid="{875677D0-6428-4D24-8271-97DF733C5537}"/>
    <cellStyle name="Migliaia [0] 17 5" xfId="4584" xr:uid="{FDF3D697-A78F-4D9F-98F6-D63E0EF9F157}"/>
    <cellStyle name="Migliaia [0] 17 5 2" xfId="32771" xr:uid="{EA604285-8F61-4DBB-BEB6-D2EDEE83DD2E}"/>
    <cellStyle name="Migliaia [0] 17 5 2 2" xfId="38122" xr:uid="{15DA75BA-B7FD-47A1-81FA-EB296714FD49}"/>
    <cellStyle name="Migliaia [0] 17 5 2 3" xfId="43424" xr:uid="{8B86C8D2-1DF6-4A6D-BD33-B10C47DFE9D7}"/>
    <cellStyle name="Migliaia [0] 17 5 3" xfId="35657" xr:uid="{E4D40D9F-57F5-49A0-B31F-61CD2F14F582}"/>
    <cellStyle name="Migliaia [0] 17 5 4" xfId="40773" xr:uid="{CA40F2FC-53A8-4C7A-9279-46A019B848E8}"/>
    <cellStyle name="Migliaia [0] 17 5 5" xfId="17086" xr:uid="{7326BA90-D4E7-46DB-8052-5F5069C80FDD}"/>
    <cellStyle name="Migliaia [0] 17 6" xfId="5858" xr:uid="{7687D6DC-C27C-4423-A9B5-931BD7065F74}"/>
    <cellStyle name="Migliaia [0] 17 6 2" xfId="38118" xr:uid="{C82D60FE-61E9-4015-8898-3529662AF85E}"/>
    <cellStyle name="Migliaia [0] 17 6 3" xfId="43420" xr:uid="{A24991AD-D265-4477-968A-EB57280F4504}"/>
    <cellStyle name="Migliaia [0] 17 6 4" xfId="32767" xr:uid="{E1F381ED-C4AD-44B4-BD48-E0E5966637A4}"/>
    <cellStyle name="Migliaia [0] 17 6 5" xfId="19537" xr:uid="{D6BAFF15-6683-4430-9312-F840FEA5A4FA}"/>
    <cellStyle name="Migliaia [0] 17 7" xfId="2858" xr:uid="{7D91B9B4-FD1D-4560-82FF-7748BCDB0C53}"/>
    <cellStyle name="Migliaia [0] 17 7 2" xfId="35653" xr:uid="{79C45933-7135-4C6D-A3B0-EE5B457AD7C3}"/>
    <cellStyle name="Migliaia [0] 17 8" xfId="40769" xr:uid="{AC4904B0-91C5-4822-A082-D5DCC7099990}"/>
    <cellStyle name="Migliaia [0] 17 9" xfId="6993" xr:uid="{89D01E6A-76A5-4F8B-ABDB-7945BD65456E}"/>
    <cellStyle name="Migliaia [0] 18" xfId="251" xr:uid="{00000000-0005-0000-0000-0000F9010000}"/>
    <cellStyle name="Migliaia [0] 18 2" xfId="1508" xr:uid="{00000000-0005-0000-0000-0000FA010000}"/>
    <cellStyle name="Migliaia [0] 18 2 2" xfId="1509" xr:uid="{00000000-0005-0000-0000-0000FB010000}"/>
    <cellStyle name="Migliaia [0] 18 2 2 2" xfId="4591" xr:uid="{F505F408-46B4-43A6-80A3-90FAA0F025D3}"/>
    <cellStyle name="Migliaia [0] 18 2 2 2 2" xfId="21738" xr:uid="{97F03B8C-DA67-4610-A473-7CFB57F892C5}"/>
    <cellStyle name="Migliaia [0] 18 2 2 2 3" xfId="46735" xr:uid="{D130AAA9-48A7-4938-B41B-C1E2BCB44CB8}"/>
    <cellStyle name="Migliaia [0] 18 2 2 2 4" xfId="50766" xr:uid="{C1DEE424-FF47-4D64-B56D-465E69EB5AF0}"/>
    <cellStyle name="Migliaia [0] 18 2 2 2 5" xfId="53782" xr:uid="{E60A1457-1CAE-4B88-BCA5-887634CBFE8D}"/>
    <cellStyle name="Migliaia [0] 18 2 2 2 6" xfId="11737" xr:uid="{377682E3-A368-45A5-8055-DA41A093065C}"/>
    <cellStyle name="Migliaia [0] 18 2 2 3" xfId="2865" xr:uid="{A22E6125-3EFB-42B0-87DC-B40D706D6A1C}"/>
    <cellStyle name="Migliaia [0] 18 2 2 3 2" xfId="11551" xr:uid="{E86D6CDA-C38E-43B8-9960-9C928EA79245}"/>
    <cellStyle name="Migliaia [0] 18 2 2 4" xfId="10635" xr:uid="{0DEA23CF-7F9F-48D1-8A14-76584FDE9B6E}"/>
    <cellStyle name="Migliaia [0] 18 2 2 4 2" xfId="21270" xr:uid="{57E2CF73-8F49-48F8-AFC4-23BF4427E33C}"/>
    <cellStyle name="Migliaia [0] 18 2 2 4 3" xfId="47296" xr:uid="{CE1EE66A-9DAC-4CD4-A211-DD5547387F09}"/>
    <cellStyle name="Migliaia [0] 18 2 2 4 4" xfId="50285" xr:uid="{C2BDBB96-082C-4EB0-A4AE-4E90605F1F89}"/>
    <cellStyle name="Migliaia [0] 18 2 2 4 5" xfId="53301" xr:uid="{0E51DBF7-21F8-4516-92A1-2B46808264A5}"/>
    <cellStyle name="Migliaia [0] 18 2 2 5" xfId="19544" xr:uid="{4A84BD9B-FE69-4607-98B5-FBE0B713701B}"/>
    <cellStyle name="Migliaia [0] 18 2 2 6" xfId="24019" xr:uid="{64DBC5C1-20EB-44A1-9002-F8764BCED07A}"/>
    <cellStyle name="Migliaia [0] 18 2 2 7" xfId="48829" xr:uid="{56402C37-BFA3-47BC-87CE-32EA6D1CBC82}"/>
    <cellStyle name="Migliaia [0] 18 2 2 8" xfId="49735" xr:uid="{BF7CF1A0-42ED-42D1-835A-8CCDC8BFEB9C}"/>
    <cellStyle name="Migliaia [0] 18 2 2 9" xfId="8435" xr:uid="{EEB7A450-4C85-4882-AC13-1097B94FF607}"/>
    <cellStyle name="Migliaia [0] 18 2 3" xfId="4590" xr:uid="{13429661-C425-45F6-90A2-866C2FDC7EF0}"/>
    <cellStyle name="Migliaia [0] 18 2 3 2" xfId="32773" xr:uid="{71C2425A-1993-4115-8D06-30CF27262FCA}"/>
    <cellStyle name="Migliaia [0] 18 2 3 2 2" xfId="38124" xr:uid="{33165B8E-5323-4BDC-B35A-545AAE58B7A4}"/>
    <cellStyle name="Migliaia [0] 18 2 3 2 3" xfId="43426" xr:uid="{AD8094C9-416A-4EF6-8390-343AD2B3545F}"/>
    <cellStyle name="Migliaia [0] 18 2 3 3" xfId="35659" xr:uid="{517D14D9-A5B2-4995-A0C0-683CA72B6256}"/>
    <cellStyle name="Migliaia [0] 18 2 3 4" xfId="40775" xr:uid="{2DEC65B5-D568-4CEF-B484-A246F7DCA241}"/>
    <cellStyle name="Migliaia [0] 18 2 3 5" xfId="11738" xr:uid="{FFE4698B-A072-4C3F-8CF3-83248C4AA9AA}"/>
    <cellStyle name="Migliaia [0] 18 2 4" xfId="5863" xr:uid="{63FD39A2-DDBF-4E70-AB7F-6C0E93707D1C}"/>
    <cellStyle name="Migliaia [0] 18 2 4 2" xfId="19543" xr:uid="{4DDADC73-0EA2-4C4F-9417-B3CCDF227064}"/>
    <cellStyle name="Migliaia [0] 18 2 5" xfId="2864" xr:uid="{61DD176E-D810-443E-8FCD-8DCFE10B37CF}"/>
    <cellStyle name="Migliaia [0] 18 2 5 2" xfId="24018" xr:uid="{79880F87-C54B-407E-9DAB-A33CC9EC4463}"/>
    <cellStyle name="Migliaia [0] 18 2 6" xfId="7245" xr:uid="{9C30BFA1-51E8-46B8-AF1B-8A11A6E6B95D}"/>
    <cellStyle name="Migliaia [0] 18 3" xfId="1510" xr:uid="{00000000-0005-0000-0000-0000FC010000}"/>
    <cellStyle name="Migliaia [0] 18 3 2" xfId="4592" xr:uid="{1797A264-FBC6-4482-9D92-A6B54AAE14DC}"/>
    <cellStyle name="Migliaia [0] 18 3 2 2" xfId="18310" xr:uid="{E26449A6-4CB3-45E0-BC0C-133F15A8E3C4}"/>
    <cellStyle name="Migliaia [0] 18 3 2 2 2" xfId="21739" xr:uid="{85D23446-A178-4883-A061-3CDA3E2499A1}"/>
    <cellStyle name="Migliaia [0] 18 3 2 2 2 2" xfId="38125" xr:uid="{B2ACEB25-5741-4748-80E2-FCC614E98C34}"/>
    <cellStyle name="Migliaia [0] 18 3 2 2 3" xfId="43427" xr:uid="{6580B1A6-A079-4589-9A6A-E7D3EA5F9DDF}"/>
    <cellStyle name="Migliaia [0] 18 3 2 2 4" xfId="32774" xr:uid="{0E626646-AB50-45CB-8056-BF02C26471CE}"/>
    <cellStyle name="Migliaia [0] 18 3 2 3" xfId="35660" xr:uid="{3B36A86B-EDB9-4D0F-8384-57EC3D47E5D6}"/>
    <cellStyle name="Migliaia [0] 18 3 2 4" xfId="40776" xr:uid="{1406EABF-BDB7-475E-923F-3E604BA2FA19}"/>
    <cellStyle name="Migliaia [0] 18 3 2 5" xfId="35951" xr:uid="{303D1360-7C1B-4D42-8761-9400061E9496}"/>
    <cellStyle name="Migliaia [0] 18 3 2 6" xfId="50767" xr:uid="{B8A58E68-5529-44B4-B99D-A70C69EFED02}"/>
    <cellStyle name="Migliaia [0] 18 3 2 7" xfId="53783" xr:uid="{702F0A7B-B9B6-4D97-BAAF-0783415A024C}"/>
    <cellStyle name="Migliaia [0] 18 3 2 8" xfId="17586" xr:uid="{51C0CE53-E3C2-4CB3-8475-B4335A5B2A97}"/>
    <cellStyle name="Migliaia [0] 18 3 2 9" xfId="11739" xr:uid="{92F366EC-A8EB-4C62-8BC7-D47168076BD5}"/>
    <cellStyle name="Migliaia [0] 18 3 3" xfId="5864" xr:uid="{98B6DE05-E60F-438C-8707-4097884BF390}"/>
    <cellStyle name="Migliaia [0] 18 3 3 2" xfId="11547" xr:uid="{7E7698E4-9E2F-4865-9D42-8C767C30243B}"/>
    <cellStyle name="Migliaia [0] 18 3 4" xfId="2866" xr:uid="{5322999B-0CDA-487C-B58D-AF0050E74636}"/>
    <cellStyle name="Migliaia [0] 18 3 4 2" xfId="21271" xr:uid="{0534C7AC-84B6-455D-BBF2-B88A1E266838}"/>
    <cellStyle name="Migliaia [0] 18 3 4 3" xfId="46169" xr:uid="{5BDC5978-F9FD-44AA-9FB6-6F9D4BD01052}"/>
    <cellStyle name="Migliaia [0] 18 3 4 4" xfId="50286" xr:uid="{292A5217-FBA5-4A4D-9E90-63A7F9D5DCFA}"/>
    <cellStyle name="Migliaia [0] 18 3 4 5" xfId="53302" xr:uid="{FDA475FC-5073-4A9A-A6FF-A6FB54A846C7}"/>
    <cellStyle name="Migliaia [0] 18 3 4 6" xfId="10636" xr:uid="{FA855DE5-AE12-419F-A084-72ED155293CE}"/>
    <cellStyle name="Migliaia [0] 18 3 5" xfId="19545" xr:uid="{E77DB494-DE03-4F6B-89B5-34E9840B0970}"/>
    <cellStyle name="Migliaia [0] 18 3 6" xfId="24020" xr:uid="{7AC2689E-7B61-4DE1-8A8E-F5E2437CD559}"/>
    <cellStyle name="Migliaia [0] 18 3 7" xfId="8193" xr:uid="{43E076BE-DEE3-4F1C-9CB0-B67B4A6ED5C7}"/>
    <cellStyle name="Migliaia [0] 18 4" xfId="2867" xr:uid="{C26C3942-7771-4D14-9CE8-AB97671F23E7}"/>
    <cellStyle name="Migliaia [0] 18 4 2" xfId="4593" xr:uid="{00AABA45-ABB0-4A6B-99D5-8CFACC41315E}"/>
    <cellStyle name="Migliaia [0] 18 4 2 2" xfId="35078" xr:uid="{A0516A2E-5C4B-41FC-AEB4-B96FB657C0EE}"/>
    <cellStyle name="Migliaia [0] 18 4 2 2 2" xfId="40236" xr:uid="{F7DDE961-DB22-496E-AB37-14888BE4F3FB}"/>
    <cellStyle name="Migliaia [0] 18 4 2 2 3" xfId="45538" xr:uid="{F92BCC99-C572-46C2-B332-54A4AA546251}"/>
    <cellStyle name="Migliaia [0] 18 4 2 3" xfId="37585" xr:uid="{ACE8A591-EAA1-482A-AA1C-93F58F7C7DF7}"/>
    <cellStyle name="Migliaia [0] 18 4 2 4" xfId="42887" xr:uid="{D0960B89-1213-4951-9B0A-15FA53B29590}"/>
    <cellStyle name="Migliaia [0] 18 4 2 5" xfId="17018" xr:uid="{4330AFC4-1295-4B6E-A008-C4A4D060C6FE}"/>
    <cellStyle name="Migliaia [0] 18 4 3" xfId="5865" xr:uid="{01AB2B8E-950A-40E9-95B8-8B9E7AD29E5E}"/>
    <cellStyle name="Migliaia [0] 18 4 3 2" xfId="38126" xr:uid="{786814BD-56D8-4F8E-AD6C-8404D5190F4F}"/>
    <cellStyle name="Migliaia [0] 18 4 3 3" xfId="43428" xr:uid="{63C28CB4-0CF0-42B4-92B4-6959DC3DDA95}"/>
    <cellStyle name="Migliaia [0] 18 4 3 4" xfId="32775" xr:uid="{4878F397-6250-40E2-BCDF-C3E57D719CF9}"/>
    <cellStyle name="Migliaia [0] 18 4 3 5" xfId="19546" xr:uid="{80F7C104-2400-477C-9215-1E6D460F3386}"/>
    <cellStyle name="Migliaia [0] 18 4 4" xfId="35661" xr:uid="{42258AF7-02B4-4AAE-84A7-278238A56CEB}"/>
    <cellStyle name="Migliaia [0] 18 4 5" xfId="40777" xr:uid="{3C2EC2DD-BC8F-46FB-A4F8-01BEF072E841}"/>
    <cellStyle name="Migliaia [0] 18 4 6" xfId="15960" xr:uid="{DC577D89-88D0-4208-9365-9BC713EE9195}"/>
    <cellStyle name="Migliaia [0] 18 4 7" xfId="7773" xr:uid="{81B67FA3-FF3D-46F1-BC16-51A5BC4E2712}"/>
    <cellStyle name="Migliaia [0] 18 5" xfId="4589" xr:uid="{8E4BAA47-B919-490B-A7D4-01359FF6CF58}"/>
    <cellStyle name="Migliaia [0] 18 5 2" xfId="32776" xr:uid="{796518F4-388B-4E22-876E-51DFF8137C43}"/>
    <cellStyle name="Migliaia [0] 18 5 2 2" xfId="38127" xr:uid="{43EF3F86-F52C-4AF6-B165-AAF6FF2D198B}"/>
    <cellStyle name="Migliaia [0] 18 5 2 3" xfId="43429" xr:uid="{F0F88EA1-5AC3-464B-A1FD-E43DFA2E274E}"/>
    <cellStyle name="Migliaia [0] 18 5 3" xfId="35662" xr:uid="{DF68FBC2-6A71-431C-8D03-FA924EA40636}"/>
    <cellStyle name="Migliaia [0] 18 5 4" xfId="40778" xr:uid="{6E6CE4B8-3E30-48AC-A670-054FC157A6C1}"/>
    <cellStyle name="Migliaia [0] 18 5 5" xfId="17087" xr:uid="{4C1260C2-6468-4D3B-8F67-F85526C6E0C0}"/>
    <cellStyle name="Migliaia [0] 18 6" xfId="5862" xr:uid="{D5C4B93D-77EC-4134-8FF8-34E07775EE3E}"/>
    <cellStyle name="Migliaia [0] 18 6 2" xfId="38123" xr:uid="{A997339E-1B7D-4D11-A76F-56574B6BE05F}"/>
    <cellStyle name="Migliaia [0] 18 6 3" xfId="43425" xr:uid="{8F6799FC-540E-4F4A-8582-06DDB214A421}"/>
    <cellStyle name="Migliaia [0] 18 6 4" xfId="32772" xr:uid="{70FFDF0A-113C-4230-B8FA-CEAC92208CF7}"/>
    <cellStyle name="Migliaia [0] 18 6 5" xfId="19542" xr:uid="{AB451DE7-B7B6-4918-BA5F-02722951C9DD}"/>
    <cellStyle name="Migliaia [0] 18 7" xfId="2863" xr:uid="{DD37CF0F-097D-4274-8F7B-6C89475AA05A}"/>
    <cellStyle name="Migliaia [0] 18 7 2" xfId="35658" xr:uid="{A416635D-3188-47CE-9044-EBECF9CAB1CD}"/>
    <cellStyle name="Migliaia [0] 18 8" xfId="40774" xr:uid="{CE741FE1-E509-4B7F-9713-76FBE78E68D7}"/>
    <cellStyle name="Migliaia [0] 18 9" xfId="6994" xr:uid="{221A4964-515C-4A99-B97F-9627CB0F527F}"/>
    <cellStyle name="Migliaia [0] 19" xfId="252" xr:uid="{00000000-0005-0000-0000-0000FD010000}"/>
    <cellStyle name="Migliaia [0] 19 2" xfId="1511" xr:uid="{00000000-0005-0000-0000-0000FE010000}"/>
    <cellStyle name="Migliaia [0] 19 2 2" xfId="1512" xr:uid="{00000000-0005-0000-0000-0000FF010000}"/>
    <cellStyle name="Migliaia [0] 19 2 2 2" xfId="4596" xr:uid="{5356398C-A651-4D19-8C07-B176DA22E8F7}"/>
    <cellStyle name="Migliaia [0] 19 2 2 2 2" xfId="21740" xr:uid="{B87DB490-BF75-4A45-8E96-4C153D09F158}"/>
    <cellStyle name="Migliaia [0] 19 2 2 2 3" xfId="46287" xr:uid="{88C46F25-DFE6-4BA0-A4A7-B452172AC30F}"/>
    <cellStyle name="Migliaia [0] 19 2 2 2 4" xfId="50768" xr:uid="{493A293A-22CC-43DA-87DD-E708DAB845E4}"/>
    <cellStyle name="Migliaia [0] 19 2 2 2 5" xfId="53784" xr:uid="{857CE5A9-0BD7-4BA2-A0B0-EE91895BF58A}"/>
    <cellStyle name="Migliaia [0] 19 2 2 2 6" xfId="11740" xr:uid="{2784E933-E061-4859-AB4A-2FFFC794A5E6}"/>
    <cellStyle name="Migliaia [0] 19 2 2 3" xfId="2870" xr:uid="{E3E17C4D-34A8-4528-A88B-5C1E5307A0BF}"/>
    <cellStyle name="Migliaia [0] 19 2 2 3 2" xfId="12354" xr:uid="{832FF789-DBA6-41AF-9008-AA67601ADB92}"/>
    <cellStyle name="Migliaia [0] 19 2 2 4" xfId="10637" xr:uid="{986E48EC-A214-4D33-BE8D-E7A532FAC6A9}"/>
    <cellStyle name="Migliaia [0] 19 2 2 4 2" xfId="21272" xr:uid="{CF76B18D-FDCA-4EBC-92B8-CFCA29BA1840}"/>
    <cellStyle name="Migliaia [0] 19 2 2 4 3" xfId="46170" xr:uid="{6D3D43F5-AB76-412C-8046-9B849D542771}"/>
    <cellStyle name="Migliaia [0] 19 2 2 4 4" xfId="50287" xr:uid="{911A0D6F-40C3-4B65-9EAA-00BFAFEEE4B5}"/>
    <cellStyle name="Migliaia [0] 19 2 2 4 5" xfId="53303" xr:uid="{C15805F9-D0FE-4298-A290-974BA23F55F3}"/>
    <cellStyle name="Migliaia [0] 19 2 2 5" xfId="19549" xr:uid="{8A2E4530-6ABF-47CC-B7E1-05F5FE458868}"/>
    <cellStyle name="Migliaia [0] 19 2 2 6" xfId="24022" xr:uid="{DD4C3784-90B8-4544-AD21-20722A78ED99}"/>
    <cellStyle name="Migliaia [0] 19 2 2 7" xfId="48830" xr:uid="{F68AAA17-7EB8-40FD-8314-2533CA5B3B65}"/>
    <cellStyle name="Migliaia [0] 19 2 2 8" xfId="49736" xr:uid="{3DB6E478-380F-4FAD-AC91-6259AC62642F}"/>
    <cellStyle name="Migliaia [0] 19 2 2 9" xfId="8436" xr:uid="{7D63F8D6-A9B6-4381-AC3D-44BA763529D2}"/>
    <cellStyle name="Migliaia [0] 19 2 3" xfId="4595" xr:uid="{40B5E304-7698-4E99-9C70-58EAD436BBA9}"/>
    <cellStyle name="Migliaia [0] 19 2 3 2" xfId="32778" xr:uid="{2B195BD6-C85B-46A2-A496-AF99F247F0C7}"/>
    <cellStyle name="Migliaia [0] 19 2 3 2 2" xfId="38129" xr:uid="{F4EE5B1F-06D0-4D08-8317-FEA1088F8FFC}"/>
    <cellStyle name="Migliaia [0] 19 2 3 2 3" xfId="43431" xr:uid="{744407BC-04B5-4A1E-BE61-163BFBE5D2A6}"/>
    <cellStyle name="Migliaia [0] 19 2 3 3" xfId="35664" xr:uid="{736F7141-6F76-451C-9613-9C5A117553AD}"/>
    <cellStyle name="Migliaia [0] 19 2 3 4" xfId="40780" xr:uid="{3592855D-4FEA-4DAB-B2AE-FEF5E4E99D3D}"/>
    <cellStyle name="Migliaia [0] 19 2 3 5" xfId="11741" xr:uid="{27B26C2D-1A97-4040-8F9F-D036E27F30AF}"/>
    <cellStyle name="Migliaia [0] 19 2 4" xfId="5867" xr:uid="{F12D0934-D320-4614-B905-91DCC1899198}"/>
    <cellStyle name="Migliaia [0] 19 2 4 2" xfId="19548" xr:uid="{A3CE42F1-E6B9-4066-B68A-6B2CAC22C6B3}"/>
    <cellStyle name="Migliaia [0] 19 2 5" xfId="2869" xr:uid="{65F382B3-2DDE-4CAF-BDA8-B0148BB8953F}"/>
    <cellStyle name="Migliaia [0] 19 2 5 2" xfId="24021" xr:uid="{DB7C797D-C349-43C3-B39A-B4BCB3A4E1C5}"/>
    <cellStyle name="Migliaia [0] 19 2 6" xfId="7246" xr:uid="{3776386B-67C7-4D1D-BD5C-1210EDEE3B77}"/>
    <cellStyle name="Migliaia [0] 19 3" xfId="1513" xr:uid="{00000000-0005-0000-0000-000000020000}"/>
    <cellStyle name="Migliaia [0] 19 3 2" xfId="4597" xr:uid="{B6FEC387-C1AE-4CAF-885B-B1692C07FAEF}"/>
    <cellStyle name="Migliaia [0] 19 3 2 2" xfId="18311" xr:uid="{1122C167-B520-4D40-98D6-FEF735900C21}"/>
    <cellStyle name="Migliaia [0] 19 3 2 2 2" xfId="21741" xr:uid="{4FDF75D0-9D24-4B54-A63E-3C730A4BB79F}"/>
    <cellStyle name="Migliaia [0] 19 3 2 2 2 2" xfId="38130" xr:uid="{5256DB92-AC31-42D8-8823-56B622E5E249}"/>
    <cellStyle name="Migliaia [0] 19 3 2 2 3" xfId="43432" xr:uid="{CF246FDD-7C00-416C-AAC9-F8901ED58F57}"/>
    <cellStyle name="Migliaia [0] 19 3 2 2 4" xfId="32779" xr:uid="{715000F1-C5DA-494F-81C6-A9AAF205F086}"/>
    <cellStyle name="Migliaia [0] 19 3 2 3" xfId="35665" xr:uid="{5FE76993-FA93-40D2-918B-2D92ADB7237D}"/>
    <cellStyle name="Migliaia [0] 19 3 2 4" xfId="40781" xr:uid="{50F7E3BB-D1F2-4561-BEA3-0ADD065360DF}"/>
    <cellStyle name="Migliaia [0] 19 3 2 5" xfId="24494" xr:uid="{F414E7E3-DA4E-428B-AFC2-4821FA38CCA1}"/>
    <cellStyle name="Migliaia [0] 19 3 2 6" xfId="50769" xr:uid="{3FD13C3D-9C38-4015-ABF4-828799CF1BD9}"/>
    <cellStyle name="Migliaia [0] 19 3 2 7" xfId="53785" xr:uid="{A535B1A7-F9FA-41CB-87ED-A17C77EA16E6}"/>
    <cellStyle name="Migliaia [0] 19 3 2 8" xfId="17587" xr:uid="{7F21FC6B-0038-4F6C-B020-92F788807061}"/>
    <cellStyle name="Migliaia [0] 19 3 2 9" xfId="11742" xr:uid="{EF94833F-9ED6-4B03-A077-0CBF14BA05B6}"/>
    <cellStyle name="Migliaia [0] 19 3 3" xfId="5868" xr:uid="{A4081059-7674-4794-93F1-40CD361D0383}"/>
    <cellStyle name="Migliaia [0] 19 3 3 2" xfId="11133" xr:uid="{BA5E1400-717B-4324-B804-843468ABB3D5}"/>
    <cellStyle name="Migliaia [0] 19 3 4" xfId="2871" xr:uid="{12AB1581-2A95-4546-B214-7E38BB96C26E}"/>
    <cellStyle name="Migliaia [0] 19 3 4 2" xfId="21273" xr:uid="{AEE94781-694B-4125-8613-3BFFD1B9063B}"/>
    <cellStyle name="Migliaia [0] 19 3 4 3" xfId="46171" xr:uid="{66258777-8C7E-4B63-A741-E6650114E70B}"/>
    <cellStyle name="Migliaia [0] 19 3 4 4" xfId="50288" xr:uid="{34095717-F7FC-4A62-A8DF-00A17D62AA5B}"/>
    <cellStyle name="Migliaia [0] 19 3 4 5" xfId="53304" xr:uid="{064D9458-480D-411A-BD99-81B29B581EBC}"/>
    <cellStyle name="Migliaia [0] 19 3 4 6" xfId="10638" xr:uid="{B93EB72C-687F-4D32-9021-C62FA2C72383}"/>
    <cellStyle name="Migliaia [0] 19 3 5" xfId="19550" xr:uid="{3601ACFB-1E45-4968-BF2D-2C427615675C}"/>
    <cellStyle name="Migliaia [0] 19 3 6" xfId="24023" xr:uid="{8820AE9F-F001-4278-8DE8-96A32714746F}"/>
    <cellStyle name="Migliaia [0] 19 3 7" xfId="8194" xr:uid="{0C1A6ED1-7161-453B-8DCB-95361E0C6F14}"/>
    <cellStyle name="Migliaia [0] 19 4" xfId="2872" xr:uid="{AFCEB89A-DD55-4599-80ED-151B98AA9A5A}"/>
    <cellStyle name="Migliaia [0] 19 4 2" xfId="4598" xr:uid="{923C6A1A-9C63-4187-8639-E23A93D47026}"/>
    <cellStyle name="Migliaia [0] 19 4 2 2" xfId="35079" xr:uid="{B8BD1607-48AB-4F59-871D-FFE642B4633C}"/>
    <cellStyle name="Migliaia [0] 19 4 2 2 2" xfId="40237" xr:uid="{18D80F1B-8724-4AD5-9B36-F19B8B27B995}"/>
    <cellStyle name="Migliaia [0] 19 4 2 2 3" xfId="45539" xr:uid="{887D5026-1AEA-4A70-9724-177AA36F2537}"/>
    <cellStyle name="Migliaia [0] 19 4 2 3" xfId="37586" xr:uid="{FA3253EA-7412-405C-88CA-643CCC066733}"/>
    <cellStyle name="Migliaia [0] 19 4 2 4" xfId="42888" xr:uid="{60E44604-E360-4A31-BF4B-3BD06DF13AAE}"/>
    <cellStyle name="Migliaia [0] 19 4 2 5" xfId="17019" xr:uid="{7556E6F6-BD0A-44A2-B67F-AC10D72DB6DB}"/>
    <cellStyle name="Migliaia [0] 19 4 3" xfId="5869" xr:uid="{604F9DF5-5E35-49DC-93AA-F4C152CC4DFA}"/>
    <cellStyle name="Migliaia [0] 19 4 3 2" xfId="38131" xr:uid="{178453C1-C1F1-41F9-BC66-AB5A6C067640}"/>
    <cellStyle name="Migliaia [0] 19 4 3 3" xfId="43433" xr:uid="{8C6B8AB8-F86F-485C-B2BE-3B9F1D3FCDDE}"/>
    <cellStyle name="Migliaia [0] 19 4 3 4" xfId="32780" xr:uid="{FE1903E4-3C7A-4CDB-9314-D7340D9DF46D}"/>
    <cellStyle name="Migliaia [0] 19 4 3 5" xfId="19551" xr:uid="{6B7D5F95-8B2D-447E-9A72-C828F313D3CA}"/>
    <cellStyle name="Migliaia [0] 19 4 4" xfId="35666" xr:uid="{3D5FACD7-CBD7-4EBE-A501-DCDDBB0F12A5}"/>
    <cellStyle name="Migliaia [0] 19 4 5" xfId="40782" xr:uid="{0A67B684-081F-4AF5-83B5-65956E3F1259}"/>
    <cellStyle name="Migliaia [0] 19 4 6" xfId="15961" xr:uid="{2C34DABC-B2DC-41F5-BD00-7A1690D683F5}"/>
    <cellStyle name="Migliaia [0] 19 4 7" xfId="7774" xr:uid="{162B6D5C-465A-49DF-8968-5B7FEED9F8D5}"/>
    <cellStyle name="Migliaia [0] 19 5" xfId="4594" xr:uid="{5E1F27F8-0D36-4D21-830A-59B617EA311F}"/>
    <cellStyle name="Migliaia [0] 19 5 2" xfId="32781" xr:uid="{E34EA662-964F-47F4-B0C6-C526E866567E}"/>
    <cellStyle name="Migliaia [0] 19 5 2 2" xfId="38132" xr:uid="{645586D2-FE40-436A-BA6D-F991A13B9E05}"/>
    <cellStyle name="Migliaia [0] 19 5 2 3" xfId="43434" xr:uid="{F4972093-9C46-4566-9022-4D642F5DB4DE}"/>
    <cellStyle name="Migliaia [0] 19 5 3" xfId="35667" xr:uid="{B8236145-A8E6-4B4E-8FDC-20195B92D32D}"/>
    <cellStyle name="Migliaia [0] 19 5 4" xfId="40783" xr:uid="{C0A8480C-B2BF-4B03-A6B9-3B02902513E7}"/>
    <cellStyle name="Migliaia [0] 19 5 5" xfId="17088" xr:uid="{83FEFF4D-34FD-4E81-B32F-5C56FD89E3F7}"/>
    <cellStyle name="Migliaia [0] 19 6" xfId="5866" xr:uid="{435F2CA6-0C35-4118-86A8-230721F2278A}"/>
    <cellStyle name="Migliaia [0] 19 6 2" xfId="38128" xr:uid="{92029ADD-4700-47D4-BE1D-84D547AB29CD}"/>
    <cellStyle name="Migliaia [0] 19 6 3" xfId="43430" xr:uid="{B1CB19C7-0602-4731-8056-12E51A126A03}"/>
    <cellStyle name="Migliaia [0] 19 6 4" xfId="32777" xr:uid="{6E47C35B-7602-49D3-8FCD-DA12773BB306}"/>
    <cellStyle name="Migliaia [0] 19 6 5" xfId="19547" xr:uid="{5BE878CE-D9D0-429C-8260-537AB71E0563}"/>
    <cellStyle name="Migliaia [0] 19 7" xfId="2868" xr:uid="{EEB27739-E584-4494-A640-FE53D3149E08}"/>
    <cellStyle name="Migliaia [0] 19 7 2" xfId="35663" xr:uid="{3C8EFFC9-C353-47A1-812C-B2EF3C8BF1F6}"/>
    <cellStyle name="Migliaia [0] 19 8" xfId="40779" xr:uid="{9C87CA7F-0DBF-436F-9F5D-71ACE2DA24E1}"/>
    <cellStyle name="Migliaia [0] 19 9" xfId="6995" xr:uid="{3782C50D-F6D6-4957-88F9-41F1DFB7AA74}"/>
    <cellStyle name="Migliaia [0] 2" xfId="253" xr:uid="{00000000-0005-0000-0000-000001020000}"/>
    <cellStyle name="Migliaia [0] 2 2" xfId="1514" xr:uid="{00000000-0005-0000-0000-000002020000}"/>
    <cellStyle name="Migliaia [0] 2 2 2" xfId="1515" xr:uid="{00000000-0005-0000-0000-000003020000}"/>
    <cellStyle name="Migliaia [0] 2 2 2 2" xfId="4601" xr:uid="{F9DF5DF2-E6E9-4871-AF91-8AC0E3A655B6}"/>
    <cellStyle name="Migliaia [0] 2 2 2 2 2" xfId="21742" xr:uid="{2CCF6917-01EE-4351-836B-A4F6990FA5AD}"/>
    <cellStyle name="Migliaia [0] 2 2 2 2 3" xfId="46736" xr:uid="{580176CE-23AD-4745-AA3F-BD0049F4F158}"/>
    <cellStyle name="Migliaia [0] 2 2 2 2 4" xfId="50770" xr:uid="{E25C32A1-9A17-4BEA-8D3B-3A68027DAD26}"/>
    <cellStyle name="Migliaia [0] 2 2 2 2 5" xfId="53786" xr:uid="{27787995-BE90-42A5-AD4A-74874C439D0C}"/>
    <cellStyle name="Migliaia [0] 2 2 2 2 6" xfId="11743" xr:uid="{8A770743-14D0-4AA6-BB4F-6CADFD48BD2D}"/>
    <cellStyle name="Migliaia [0] 2 2 2 3" xfId="2875" xr:uid="{765F5C51-ECC4-4806-BE3F-C42227B1D082}"/>
    <cellStyle name="Migliaia [0] 2 2 2 3 2" xfId="12353" xr:uid="{73D5CAC1-D228-4BB2-942F-8C9B026933ED}"/>
    <cellStyle name="Migliaia [0] 2 2 2 4" xfId="10639" xr:uid="{F4F59DAC-9850-4E0A-9D9B-D2C9631E74D2}"/>
    <cellStyle name="Migliaia [0] 2 2 2 4 2" xfId="21274" xr:uid="{E7F40280-82F3-4CD7-AC98-D8583350873A}"/>
    <cellStyle name="Migliaia [0] 2 2 2 4 3" xfId="46172" xr:uid="{729BA8BE-83B9-4CC7-8219-39B7630485D8}"/>
    <cellStyle name="Migliaia [0] 2 2 2 4 4" xfId="50289" xr:uid="{C8E8D0EA-69B2-4F61-AA04-F8A9B8B3E536}"/>
    <cellStyle name="Migliaia [0] 2 2 2 4 5" xfId="53305" xr:uid="{5C3EE4AF-ABFE-4AE6-8F7C-DECE630309E0}"/>
    <cellStyle name="Migliaia [0] 2 2 2 5" xfId="19554" xr:uid="{6642810C-1E72-4C58-A023-4BFFA7935346}"/>
    <cellStyle name="Migliaia [0] 2 2 2 6" xfId="24025" xr:uid="{28D62344-3B64-40C0-9031-6176702E272D}"/>
    <cellStyle name="Migliaia [0] 2 2 2 7" xfId="48831" xr:uid="{28DA3A7B-605D-4A47-AEF8-9279A4D0281C}"/>
    <cellStyle name="Migliaia [0] 2 2 2 8" xfId="49737" xr:uid="{096E61E5-6BEC-43E3-A354-FFA116D3F207}"/>
    <cellStyle name="Migliaia [0] 2 2 2 9" xfId="8437" xr:uid="{E4AE0F94-989B-4E4D-8336-62E6BEFA1E89}"/>
    <cellStyle name="Migliaia [0] 2 2 3" xfId="4600" xr:uid="{47F78B4F-B1F9-42B5-BEAA-F5102EB58557}"/>
    <cellStyle name="Migliaia [0] 2 2 3 2" xfId="32783" xr:uid="{67F0AEBF-D27C-4FC5-BB0F-5886774145E9}"/>
    <cellStyle name="Migliaia [0] 2 2 3 2 2" xfId="38134" xr:uid="{B8339F86-9339-4C19-B94C-CD5C35F5DB7C}"/>
    <cellStyle name="Migliaia [0] 2 2 3 2 3" xfId="43436" xr:uid="{C67BA298-66A3-4469-ADD7-889987653F06}"/>
    <cellStyle name="Migliaia [0] 2 2 3 3" xfId="35669" xr:uid="{EFCCF537-8C2E-4346-82DB-B7C0D984DA57}"/>
    <cellStyle name="Migliaia [0] 2 2 3 4" xfId="40785" xr:uid="{C44176F3-F6DC-4DCF-89DE-D7584AC1EE90}"/>
    <cellStyle name="Migliaia [0] 2 2 3 5" xfId="11744" xr:uid="{5790C498-229B-4B8F-BCAF-A5BCB49C0A80}"/>
    <cellStyle name="Migliaia [0] 2 2 4" xfId="5871" xr:uid="{9A672F3E-0C3F-49EC-B9A4-6FF5E7D47D44}"/>
    <cellStyle name="Migliaia [0] 2 2 4 2" xfId="19553" xr:uid="{18149816-0264-4195-94AF-B1DD1D452582}"/>
    <cellStyle name="Migliaia [0] 2 2 5" xfId="2874" xr:uid="{F42E8338-90B5-420E-8F31-26443C4878CF}"/>
    <cellStyle name="Migliaia [0] 2 2 5 2" xfId="24024" xr:uid="{C61A5884-B7CC-481E-BF54-E28A61E0D4FC}"/>
    <cellStyle name="Migliaia [0] 2 2 6" xfId="7247" xr:uid="{E2EAEA68-A618-4B11-BAF3-DD1E36083BE3}"/>
    <cellStyle name="Migliaia [0] 2 3" xfId="1516" xr:uid="{00000000-0005-0000-0000-000004020000}"/>
    <cellStyle name="Migliaia [0] 2 3 2" xfId="4602" xr:uid="{9E82E883-FF98-46BA-957F-1A673D16F561}"/>
    <cellStyle name="Migliaia [0] 2 3 2 2" xfId="18312" xr:uid="{1E61C106-A22B-4388-A940-2CB77FE4B3F0}"/>
    <cellStyle name="Migliaia [0] 2 3 2 2 2" xfId="21743" xr:uid="{66051DB0-03F7-4D7D-83DF-91AA3B1129C0}"/>
    <cellStyle name="Migliaia [0] 2 3 2 2 2 2" xfId="38135" xr:uid="{417885A9-1669-4E8A-9BBF-DB93045C82C9}"/>
    <cellStyle name="Migliaia [0] 2 3 2 2 3" xfId="43437" xr:uid="{95077384-6F9C-40E0-BC68-8FC5A1DEA9A7}"/>
    <cellStyle name="Migliaia [0] 2 3 2 2 4" xfId="32784" xr:uid="{A88B5509-3453-4B63-A750-8E0E4E918BE5}"/>
    <cellStyle name="Migliaia [0] 2 3 2 3" xfId="35670" xr:uid="{C153FA8B-0357-4026-B314-797A09B4EED5}"/>
    <cellStyle name="Migliaia [0] 2 3 2 4" xfId="40786" xr:uid="{3B7431CB-8674-4DED-A068-59C49B0E1ACC}"/>
    <cellStyle name="Migliaia [0] 2 3 2 5" xfId="47314" xr:uid="{BC7A6E6A-1C57-496A-B53A-FD9127925CAE}"/>
    <cellStyle name="Migliaia [0] 2 3 2 6" xfId="50771" xr:uid="{DA2DE5C0-D673-487C-85C0-D433319DDAF2}"/>
    <cellStyle name="Migliaia [0] 2 3 2 7" xfId="53787" xr:uid="{C4F162E2-C943-4CB2-A62C-D87937C0DB9D}"/>
    <cellStyle name="Migliaia [0] 2 3 2 8" xfId="17588" xr:uid="{5493A9F9-CBAA-44A1-8A4D-07175762BF19}"/>
    <cellStyle name="Migliaia [0] 2 3 2 9" xfId="11745" xr:uid="{11484F59-F6DB-427A-90D5-548E4F30AD4F}"/>
    <cellStyle name="Migliaia [0] 2 3 3" xfId="5872" xr:uid="{1F2E59E2-85A7-428F-9F2E-FA425B16EF1F}"/>
    <cellStyle name="Migliaia [0] 2 3 3 2" xfId="12384" xr:uid="{BD595953-24E4-4D42-B86B-7833723804FB}"/>
    <cellStyle name="Migliaia [0] 2 3 4" xfId="2876" xr:uid="{94790294-20A6-44B3-80CD-84B38E881449}"/>
    <cellStyle name="Migliaia [0] 2 3 4 2" xfId="21275" xr:uid="{BA75B008-CD9D-400F-A42B-58CDF2D22A5B}"/>
    <cellStyle name="Migliaia [0] 2 3 4 3" xfId="48168" xr:uid="{D1CF855A-0030-4CE7-B291-4C924F4FA937}"/>
    <cellStyle name="Migliaia [0] 2 3 4 4" xfId="50290" xr:uid="{EEC64141-A23B-40F0-B328-184D2CA89CE5}"/>
    <cellStyle name="Migliaia [0] 2 3 4 5" xfId="53306" xr:uid="{BF16960F-D5F2-4851-961B-FA72E69AE2FA}"/>
    <cellStyle name="Migliaia [0] 2 3 4 6" xfId="10640" xr:uid="{C0A0FA2F-D410-4B58-9C61-692BDD53AB59}"/>
    <cellStyle name="Migliaia [0] 2 3 5" xfId="19555" xr:uid="{5B4F3856-5987-4A26-889F-BF2E564B6EAD}"/>
    <cellStyle name="Migliaia [0] 2 3 6" xfId="24026" xr:uid="{D173E924-6588-46D4-87F7-2DC4A091962D}"/>
    <cellStyle name="Migliaia [0] 2 3 7" xfId="8195" xr:uid="{3C2FE1C1-7476-45A3-9890-EE08FFB23118}"/>
    <cellStyle name="Migliaia [0] 2 4" xfId="2877" xr:uid="{51B5AC5F-46C9-43C4-9596-74D34DC4C39E}"/>
    <cellStyle name="Migliaia [0] 2 4 2" xfId="4603" xr:uid="{493ACE53-F27E-487D-A611-5A1B905F1C2B}"/>
    <cellStyle name="Migliaia [0] 2 4 2 2" xfId="35080" xr:uid="{2A06D95E-15D6-46E7-95B8-35BDA4CB24B9}"/>
    <cellStyle name="Migliaia [0] 2 4 2 2 2" xfId="40238" xr:uid="{7DF047F8-664A-4ED9-8191-BD318EC231DA}"/>
    <cellStyle name="Migliaia [0] 2 4 2 2 3" xfId="45540" xr:uid="{B04E4E19-73D0-47F6-BD77-E891723B87F1}"/>
    <cellStyle name="Migliaia [0] 2 4 2 3" xfId="37587" xr:uid="{27196F91-8091-4CB2-AF66-4F4860AEDDF5}"/>
    <cellStyle name="Migliaia [0] 2 4 2 4" xfId="42889" xr:uid="{822BEB04-0134-4856-A307-E2BEC1BF4ED5}"/>
    <cellStyle name="Migliaia [0] 2 4 2 5" xfId="17020" xr:uid="{B85DCA82-E1A9-443B-B14A-3AF458272A50}"/>
    <cellStyle name="Migliaia [0] 2 4 3" xfId="5873" xr:uid="{F0775D07-6571-4F67-A263-DE5495F4DFEB}"/>
    <cellStyle name="Migliaia [0] 2 4 3 2" xfId="38136" xr:uid="{4FBD933E-2844-4CD8-AC69-636A7B5BBB16}"/>
    <cellStyle name="Migliaia [0] 2 4 3 3" xfId="43438" xr:uid="{9CE06AEB-1DEA-45A2-A895-143C32D0F557}"/>
    <cellStyle name="Migliaia [0] 2 4 3 4" xfId="32785" xr:uid="{57EAB48A-1730-4392-83EE-2D1827E9F142}"/>
    <cellStyle name="Migliaia [0] 2 4 3 5" xfId="19556" xr:uid="{1516A09A-C050-4716-8CD1-0CB7122AEA2D}"/>
    <cellStyle name="Migliaia [0] 2 4 4" xfId="35671" xr:uid="{1007A017-CC2F-4FF5-A79D-93CBF877E9D2}"/>
    <cellStyle name="Migliaia [0] 2 4 5" xfId="40787" xr:uid="{D96A4046-7AE1-44C8-AB6C-4CE3E84084CD}"/>
    <cellStyle name="Migliaia [0] 2 4 6" xfId="15962" xr:uid="{29141237-5402-4CE7-9AF3-D7613E9C47B1}"/>
    <cellStyle name="Migliaia [0] 2 4 7" xfId="7775" xr:uid="{335F9C20-A5C7-4465-9CFC-B4E4FEBF2E5E}"/>
    <cellStyle name="Migliaia [0] 2 5" xfId="4599" xr:uid="{869155F0-6455-49D2-BE20-04EACF6AE4A0}"/>
    <cellStyle name="Migliaia [0] 2 5 2" xfId="32786" xr:uid="{642FA565-7B93-4F43-96D1-E8F1709900E6}"/>
    <cellStyle name="Migliaia [0] 2 5 2 2" xfId="38137" xr:uid="{CE31C697-9765-4BD9-B8EF-E16BC1CD0C92}"/>
    <cellStyle name="Migliaia [0] 2 5 2 3" xfId="43439" xr:uid="{84EE645F-7A4A-4E8E-9D34-254A002B7037}"/>
    <cellStyle name="Migliaia [0] 2 5 3" xfId="35672" xr:uid="{0E040590-9F64-4DCA-BB4B-7DE85FC21905}"/>
    <cellStyle name="Migliaia [0] 2 5 4" xfId="40788" xr:uid="{73A92FC6-22C5-4BFE-A16D-0C6261A24458}"/>
    <cellStyle name="Migliaia [0] 2 5 5" xfId="17089" xr:uid="{B7285538-1765-432F-971C-DBD4554757CF}"/>
    <cellStyle name="Migliaia [0] 2 6" xfId="5870" xr:uid="{0A6F5C26-E0D3-491A-B70D-1AAEEA6CE942}"/>
    <cellStyle name="Migliaia [0] 2 6 2" xfId="38133" xr:uid="{BA0C9A04-0082-4C61-A643-521846AEA56B}"/>
    <cellStyle name="Migliaia [0] 2 6 3" xfId="43435" xr:uid="{2B7EDB90-65C6-4E3E-BA86-5FD5ED952E1F}"/>
    <cellStyle name="Migliaia [0] 2 6 4" xfId="32782" xr:uid="{96A16E5C-777B-485A-880C-68299A4C59E7}"/>
    <cellStyle name="Migliaia [0] 2 6 5" xfId="19552" xr:uid="{E4D265D4-28CD-4A20-A2E4-378E486DD1B9}"/>
    <cellStyle name="Migliaia [0] 2 7" xfId="2873" xr:uid="{AEAEA709-F113-4B9A-AD16-BCFA3D549B09}"/>
    <cellStyle name="Migliaia [0] 2 7 2" xfId="35668" xr:uid="{C089AD1E-D38B-4CCF-928F-2AA50F2F5CFE}"/>
    <cellStyle name="Migliaia [0] 2 8" xfId="40784" xr:uid="{308720E0-4427-454A-BAEF-8950A2F8F949}"/>
    <cellStyle name="Migliaia [0] 2 9" xfId="6996" xr:uid="{8F7AD582-C2EF-4DF0-AD37-B76B84C8F293}"/>
    <cellStyle name="Migliaia [0] 20" xfId="254" xr:uid="{00000000-0005-0000-0000-000005020000}"/>
    <cellStyle name="Migliaia [0] 20 2" xfId="1517" xr:uid="{00000000-0005-0000-0000-000006020000}"/>
    <cellStyle name="Migliaia [0] 20 2 2" xfId="1518" xr:uid="{00000000-0005-0000-0000-000007020000}"/>
    <cellStyle name="Migliaia [0] 20 2 2 2" xfId="4606" xr:uid="{52A86C9F-F69F-4E2E-8052-D3615F821DCE}"/>
    <cellStyle name="Migliaia [0] 20 2 2 2 2" xfId="21744" xr:uid="{00BF5CFC-9F29-416F-B150-9913B11B2D54}"/>
    <cellStyle name="Migliaia [0] 20 2 2 2 3" xfId="46288" xr:uid="{E111B9AD-18E7-451D-AC55-F7D0C1EA52E7}"/>
    <cellStyle name="Migliaia [0] 20 2 2 2 4" xfId="50772" xr:uid="{8C5B55ED-639E-441E-BE1D-C8B9A89919B1}"/>
    <cellStyle name="Migliaia [0] 20 2 2 2 5" xfId="53788" xr:uid="{F55F7AD3-022A-4905-8B9F-5979913E9507}"/>
    <cellStyle name="Migliaia [0] 20 2 2 2 6" xfId="11746" xr:uid="{00D50E8B-B204-4B45-8239-8DBEAF90623E}"/>
    <cellStyle name="Migliaia [0] 20 2 2 3" xfId="2880" xr:uid="{0EBE50B9-81AB-4B9C-AC37-4B0221795BE5}"/>
    <cellStyle name="Migliaia [0] 20 2 2 3 2" xfId="12352" xr:uid="{85ECD3C9-6D11-4C9B-897D-022C6D7769F2}"/>
    <cellStyle name="Migliaia [0] 20 2 2 4" xfId="10641" xr:uid="{F61B56AE-9731-463C-892E-11F76F67C90C}"/>
    <cellStyle name="Migliaia [0] 20 2 2 4 2" xfId="21276" xr:uid="{5FB2147B-6E91-483A-B358-100A74C0E0A7}"/>
    <cellStyle name="Migliaia [0] 20 2 2 4 3" xfId="48167" xr:uid="{AFCA838C-6CFD-4248-80CC-CABFFC6D0614}"/>
    <cellStyle name="Migliaia [0] 20 2 2 4 4" xfId="50291" xr:uid="{F0D65F01-8F3E-4113-BE0D-0511C2028DCE}"/>
    <cellStyle name="Migliaia [0] 20 2 2 4 5" xfId="53307" xr:uid="{FB1AC092-CE25-4289-8380-141F077CDAAD}"/>
    <cellStyle name="Migliaia [0] 20 2 2 5" xfId="19559" xr:uid="{75C3B893-1F94-452F-8CB5-7B0E4133ED24}"/>
    <cellStyle name="Migliaia [0] 20 2 2 6" xfId="24028" xr:uid="{4EFEC2BC-94A3-484A-947E-5DB4CCD4EDF7}"/>
    <cellStyle name="Migliaia [0] 20 2 2 7" xfId="48832" xr:uid="{211008E7-FE6F-4F28-BBAE-58800E7CCAAE}"/>
    <cellStyle name="Migliaia [0] 20 2 2 8" xfId="49738" xr:uid="{4A5A14D6-D62D-49C8-A53D-A466198FF053}"/>
    <cellStyle name="Migliaia [0] 20 2 2 9" xfId="8438" xr:uid="{5050254D-B329-4995-83CE-9ED3197CC6FE}"/>
    <cellStyle name="Migliaia [0] 20 2 3" xfId="4605" xr:uid="{EC9EBDDA-F0F5-4D46-9836-3C974E17BC16}"/>
    <cellStyle name="Migliaia [0] 20 2 3 2" xfId="32788" xr:uid="{5690DE97-0BCB-4287-AB93-A25C9AC07121}"/>
    <cellStyle name="Migliaia [0] 20 2 3 2 2" xfId="38139" xr:uid="{697F5D36-C2C6-4463-B36D-E7A839E8673D}"/>
    <cellStyle name="Migliaia [0] 20 2 3 2 3" xfId="43441" xr:uid="{F2F5F650-2DA0-492F-BA62-F1D655CE9277}"/>
    <cellStyle name="Migliaia [0] 20 2 3 3" xfId="35674" xr:uid="{38EC5C73-5C1C-4F44-8A3B-7695B8344079}"/>
    <cellStyle name="Migliaia [0] 20 2 3 4" xfId="40790" xr:uid="{81054739-74BA-4B9B-8F53-B34B2479DB8E}"/>
    <cellStyle name="Migliaia [0] 20 2 3 5" xfId="11747" xr:uid="{2482E50B-AD7D-499C-B0BE-D9D02D801D62}"/>
    <cellStyle name="Migliaia [0] 20 2 4" xfId="5875" xr:uid="{6E765C4A-F353-4E58-9DFA-485D4C803AFA}"/>
    <cellStyle name="Migliaia [0] 20 2 4 2" xfId="19558" xr:uid="{5E6D47D7-FB10-45E7-8056-C69113A70182}"/>
    <cellStyle name="Migliaia [0] 20 2 5" xfId="2879" xr:uid="{C126D240-A4F0-4AF9-BDB0-C53E71A62866}"/>
    <cellStyle name="Migliaia [0] 20 2 5 2" xfId="24027" xr:uid="{597F3B21-AF0C-4EA0-A46A-B402238649F4}"/>
    <cellStyle name="Migliaia [0] 20 2 6" xfId="7248" xr:uid="{FEF5F78A-E403-4463-BD53-72C71F431B72}"/>
    <cellStyle name="Migliaia [0] 20 3" xfId="1519" xr:uid="{00000000-0005-0000-0000-000008020000}"/>
    <cellStyle name="Migliaia [0] 20 3 2" xfId="4607" xr:uid="{D4583889-12CC-4DDE-94A5-87BC78D061F9}"/>
    <cellStyle name="Migliaia [0] 20 3 2 2" xfId="18313" xr:uid="{72D70D79-8A34-453B-9075-B3088D9B49D9}"/>
    <cellStyle name="Migliaia [0] 20 3 2 2 2" xfId="21745" xr:uid="{3ED5D33F-3990-4339-8C7E-3B8648620328}"/>
    <cellStyle name="Migliaia [0] 20 3 2 2 2 2" xfId="38140" xr:uid="{66CBB1D9-DF22-4B28-B4CA-A1D774AAC8E7}"/>
    <cellStyle name="Migliaia [0] 20 3 2 2 3" xfId="43442" xr:uid="{360A79E3-915A-402F-A8C1-CB633C142D72}"/>
    <cellStyle name="Migliaia [0] 20 3 2 2 4" xfId="32789" xr:uid="{9A56B3A6-703F-4F76-9685-DBE503CE4139}"/>
    <cellStyle name="Migliaia [0] 20 3 2 3" xfId="35675" xr:uid="{1F8AEE8E-CCE4-417D-BF86-FD6C8F199E2E}"/>
    <cellStyle name="Migliaia [0] 20 3 2 4" xfId="40791" xr:uid="{0A7C7E68-0481-4BE4-8BD2-45CF34DA91B2}"/>
    <cellStyle name="Migliaia [0] 20 3 2 5" xfId="47047" xr:uid="{A1B3129A-EAEF-46C5-8607-0D1B73B7AE0D}"/>
    <cellStyle name="Migliaia [0] 20 3 2 6" xfId="50773" xr:uid="{3A417226-8C86-45CF-B620-69F05DD87BA1}"/>
    <cellStyle name="Migliaia [0] 20 3 2 7" xfId="53789" xr:uid="{2DB0F941-DBF1-4541-9711-0F3F5B4E4A9B}"/>
    <cellStyle name="Migliaia [0] 20 3 2 8" xfId="17589" xr:uid="{AEC4D581-C38D-47ED-AE5A-D970BEDDA61C}"/>
    <cellStyle name="Migliaia [0] 20 3 2 9" xfId="11748" xr:uid="{06353A56-BCA2-4369-9904-C27DBA1875E1}"/>
    <cellStyle name="Migliaia [0] 20 3 3" xfId="5876" xr:uid="{63565DD2-2723-4171-B4F7-5AE7BDBA5573}"/>
    <cellStyle name="Migliaia [0] 20 3 3 2" xfId="12383" xr:uid="{FE626A81-90CB-44C7-9215-AB1A1CF73879}"/>
    <cellStyle name="Migliaia [0] 20 3 4" xfId="2881" xr:uid="{64AE63C1-0B94-4485-A269-78EAB0B89268}"/>
    <cellStyle name="Migliaia [0] 20 3 4 2" xfId="21277" xr:uid="{B3FFA2BE-863E-4686-B4C0-E2D38367962C}"/>
    <cellStyle name="Migliaia [0] 20 3 4 3" xfId="46173" xr:uid="{3F4791C3-9B0C-489B-B8B2-ECA76FB4430F}"/>
    <cellStyle name="Migliaia [0] 20 3 4 4" xfId="50292" xr:uid="{F64D4052-2D57-428D-847D-BC8909255D1B}"/>
    <cellStyle name="Migliaia [0] 20 3 4 5" xfId="53308" xr:uid="{D159AFAF-FB01-47D7-9116-2DE6F6729BA5}"/>
    <cellStyle name="Migliaia [0] 20 3 4 6" xfId="10642" xr:uid="{1D594380-CFB9-4527-AF17-936059D38BAB}"/>
    <cellStyle name="Migliaia [0] 20 3 5" xfId="19560" xr:uid="{F54EB79E-8EE8-4E91-9E3F-AAA12AC9D0B5}"/>
    <cellStyle name="Migliaia [0] 20 3 6" xfId="24029" xr:uid="{FA451901-354A-41F3-AEB6-84651407A6C2}"/>
    <cellStyle name="Migliaia [0] 20 3 7" xfId="8196" xr:uid="{EDFE3FCE-64CD-4FA8-B6E3-63DDEAF2DE3A}"/>
    <cellStyle name="Migliaia [0] 20 4" xfId="2882" xr:uid="{1FAEDA49-C93A-4B4F-A77E-0AB9AEFF4EDA}"/>
    <cellStyle name="Migliaia [0] 20 4 2" xfId="4608" xr:uid="{A9A52AF6-7F88-4525-A7AA-62344FC314FF}"/>
    <cellStyle name="Migliaia [0] 20 4 2 2" xfId="35081" xr:uid="{3279C44E-C767-445E-8394-5DA7F2BAE39E}"/>
    <cellStyle name="Migliaia [0] 20 4 2 2 2" xfId="40239" xr:uid="{4CA29C3A-461A-490D-BC28-80F5CCEF189E}"/>
    <cellStyle name="Migliaia [0] 20 4 2 2 3" xfId="45541" xr:uid="{7E73D2AA-CDC3-4F6D-8EEA-839C3CF77DD5}"/>
    <cellStyle name="Migliaia [0] 20 4 2 3" xfId="37588" xr:uid="{5EA4CD1D-8934-4699-884A-5CCF0291BCD4}"/>
    <cellStyle name="Migliaia [0] 20 4 2 4" xfId="42890" xr:uid="{82A8A398-22DA-4431-88FB-9B83B0A38261}"/>
    <cellStyle name="Migliaia [0] 20 4 2 5" xfId="17021" xr:uid="{E976973E-D20F-453C-93D2-2679C8F2AE6D}"/>
    <cellStyle name="Migliaia [0] 20 4 3" xfId="5877" xr:uid="{19C71ECC-7AA7-42C0-9E97-314E7E80EEF7}"/>
    <cellStyle name="Migliaia [0] 20 4 3 2" xfId="38141" xr:uid="{49065F7E-3DB2-4A28-8981-56FE5F534898}"/>
    <cellStyle name="Migliaia [0] 20 4 3 3" xfId="43443" xr:uid="{F7E5C754-E5C4-43AE-9138-F91062EF9F2B}"/>
    <cellStyle name="Migliaia [0] 20 4 3 4" xfId="32790" xr:uid="{C737E46B-7583-4DB9-B1F5-7A7A48FC796A}"/>
    <cellStyle name="Migliaia [0] 20 4 3 5" xfId="19561" xr:uid="{A7261DE7-6BBC-4643-8164-DC3CAFCE08CF}"/>
    <cellStyle name="Migliaia [0] 20 4 4" xfId="35676" xr:uid="{2E751E32-610C-4FDD-814F-60CA884FAD6B}"/>
    <cellStyle name="Migliaia [0] 20 4 5" xfId="40792" xr:uid="{65561662-578F-4E48-9FFA-33A4AAE56983}"/>
    <cellStyle name="Migliaia [0] 20 4 6" xfId="15963" xr:uid="{426DE6E8-D6F6-4F6B-AD4C-9E838FEB7279}"/>
    <cellStyle name="Migliaia [0] 20 4 7" xfId="7776" xr:uid="{16DEDEE4-5F98-424F-BB20-11D89FC953A0}"/>
    <cellStyle name="Migliaia [0] 20 5" xfId="4604" xr:uid="{833261F3-9554-486B-98FE-9383D34F9773}"/>
    <cellStyle name="Migliaia [0] 20 5 2" xfId="32791" xr:uid="{BB4407F8-D728-4787-A2CA-35B30C0C1DC4}"/>
    <cellStyle name="Migliaia [0] 20 5 2 2" xfId="38142" xr:uid="{6EFBE5A8-C1BB-40AF-88E9-F94AC6289A42}"/>
    <cellStyle name="Migliaia [0] 20 5 2 3" xfId="43444" xr:uid="{2349C10E-9CAC-4303-8B51-DB16196C799D}"/>
    <cellStyle name="Migliaia [0] 20 5 3" xfId="35677" xr:uid="{FC3D445E-45DA-4EF2-8E3D-2349787F94BB}"/>
    <cellStyle name="Migliaia [0] 20 5 4" xfId="40793" xr:uid="{E8D2E37E-CF1F-42EE-878D-052FD0245194}"/>
    <cellStyle name="Migliaia [0] 20 5 5" xfId="17090" xr:uid="{A250D002-100F-4E3B-B538-7C8A14C62A8B}"/>
    <cellStyle name="Migliaia [0] 20 6" xfId="5874" xr:uid="{D8814754-014C-406A-935E-8C5F32EB63AE}"/>
    <cellStyle name="Migliaia [0] 20 6 2" xfId="38138" xr:uid="{AC97DC74-E00B-4E72-880D-79E7EC852B8B}"/>
    <cellStyle name="Migliaia [0] 20 6 3" xfId="43440" xr:uid="{7D76D05E-2537-4DDA-B66B-589C33D20BE3}"/>
    <cellStyle name="Migliaia [0] 20 6 4" xfId="32787" xr:uid="{C7A8B175-3BD1-47C1-BB80-A9E3F70E905A}"/>
    <cellStyle name="Migliaia [0] 20 6 5" xfId="19557" xr:uid="{39E1B5B5-30DE-4A7D-B294-5096E517BAB7}"/>
    <cellStyle name="Migliaia [0] 20 7" xfId="2878" xr:uid="{68FF80A9-D920-41D9-9142-D0CEC8DDEAC1}"/>
    <cellStyle name="Migliaia [0] 20 7 2" xfId="35673" xr:uid="{717AA19C-A0F6-4F51-B7D1-E997A752F73F}"/>
    <cellStyle name="Migliaia [0] 20 8" xfId="40789" xr:uid="{54A898CC-79B8-465E-BC8E-D77580AFF876}"/>
    <cellStyle name="Migliaia [0] 20 9" xfId="6997" xr:uid="{8CA010AD-CEC7-42E0-AB8F-88FF449BB98B}"/>
    <cellStyle name="Migliaia [0] 21" xfId="255" xr:uid="{00000000-0005-0000-0000-000009020000}"/>
    <cellStyle name="Migliaia [0] 21 2" xfId="1520" xr:uid="{00000000-0005-0000-0000-00000A020000}"/>
    <cellStyle name="Migliaia [0] 21 2 2" xfId="1521" xr:uid="{00000000-0005-0000-0000-00000B020000}"/>
    <cellStyle name="Migliaia [0] 21 2 2 2" xfId="4611" xr:uid="{9687E629-5B31-432A-81A3-28B134626BD6}"/>
    <cellStyle name="Migliaia [0] 21 2 2 2 2" xfId="21746" xr:uid="{BC31849D-781B-4C96-BF77-A3D65979D3F4}"/>
    <cellStyle name="Migliaia [0] 21 2 2 2 3" xfId="46737" xr:uid="{2275DD56-CA89-4433-9F1A-2AC4BD4321BC}"/>
    <cellStyle name="Migliaia [0] 21 2 2 2 4" xfId="50774" xr:uid="{17CD443D-E352-4447-9A04-E45F1A4252FC}"/>
    <cellStyle name="Migliaia [0] 21 2 2 2 5" xfId="53790" xr:uid="{4B39B86D-863C-4C3A-ACBF-DB153888C3FB}"/>
    <cellStyle name="Migliaia [0] 21 2 2 2 6" xfId="11749" xr:uid="{7BB14790-88B0-45C1-AC77-12BC992EDC1D}"/>
    <cellStyle name="Migliaia [0] 21 2 2 3" xfId="2885" xr:uid="{94AF720E-573A-42F3-B8D4-13FA00DF4623}"/>
    <cellStyle name="Migliaia [0] 21 2 2 3 2" xfId="12351" xr:uid="{7845695B-1BB7-4CA7-A23F-F2FED5772E4E}"/>
    <cellStyle name="Migliaia [0] 21 2 2 4" xfId="10643" xr:uid="{B97A1A17-B472-4078-AF18-30339D208281}"/>
    <cellStyle name="Migliaia [0] 21 2 2 4 2" xfId="21278" xr:uid="{D607CAE4-DD53-4068-A2B8-1460A3CC0F71}"/>
    <cellStyle name="Migliaia [0] 21 2 2 4 3" xfId="24256" xr:uid="{686CCFD0-EE75-4EFC-9636-19AE3E9C1F98}"/>
    <cellStyle name="Migliaia [0] 21 2 2 4 4" xfId="50293" xr:uid="{CB192A79-F484-48F8-97D4-396ACBD59DF0}"/>
    <cellStyle name="Migliaia [0] 21 2 2 4 5" xfId="53309" xr:uid="{CA06FFA9-B83D-4E1B-A827-D41C762ADE7D}"/>
    <cellStyle name="Migliaia [0] 21 2 2 5" xfId="19564" xr:uid="{D0AC0FF0-C557-4B8A-BCBD-DA5B7CF086EA}"/>
    <cellStyle name="Migliaia [0] 21 2 2 6" xfId="24031" xr:uid="{231777F0-0DD9-4627-B7F9-DF23D0B470E5}"/>
    <cellStyle name="Migliaia [0] 21 2 2 7" xfId="48833" xr:uid="{F91837DB-0E60-4CFE-B37F-28568D30AEA9}"/>
    <cellStyle name="Migliaia [0] 21 2 2 8" xfId="49739" xr:uid="{C9E06E5D-5315-462E-A05D-A3A397DDB6A4}"/>
    <cellStyle name="Migliaia [0] 21 2 2 9" xfId="8439" xr:uid="{55EF5724-BF1C-4FEA-8D8E-05E9DC6F0496}"/>
    <cellStyle name="Migliaia [0] 21 2 3" xfId="4610" xr:uid="{B9FDA454-756D-491C-8D16-21409F98C66B}"/>
    <cellStyle name="Migliaia [0] 21 2 3 2" xfId="32793" xr:uid="{9D1407E7-A4E5-46A8-94A2-DC7231235B9B}"/>
    <cellStyle name="Migliaia [0] 21 2 3 2 2" xfId="38144" xr:uid="{0D72D47F-9292-46FF-9609-CA0D4DAB41CF}"/>
    <cellStyle name="Migliaia [0] 21 2 3 2 3" xfId="43446" xr:uid="{053A11ED-1B43-44D7-B94E-E02A1847DFB0}"/>
    <cellStyle name="Migliaia [0] 21 2 3 3" xfId="35679" xr:uid="{43FBA8A2-C055-4377-86F6-7F769BEF2BB6}"/>
    <cellStyle name="Migliaia [0] 21 2 3 4" xfId="40795" xr:uid="{F1EB3C91-7285-4902-B9BC-D0D6758539DF}"/>
    <cellStyle name="Migliaia [0] 21 2 3 5" xfId="11750" xr:uid="{CCB84F60-E20E-425B-A8BB-ACDEF30BB717}"/>
    <cellStyle name="Migliaia [0] 21 2 4" xfId="5879" xr:uid="{A3B07057-FAFF-4CB3-B3AD-CA47116F49C3}"/>
    <cellStyle name="Migliaia [0] 21 2 4 2" xfId="19563" xr:uid="{085F2294-F84B-4AED-8728-0016FF50B198}"/>
    <cellStyle name="Migliaia [0] 21 2 5" xfId="2884" xr:uid="{B6280AB1-31AB-4966-BFD9-558C77E56D40}"/>
    <cellStyle name="Migliaia [0] 21 2 5 2" xfId="24030" xr:uid="{CC1213AB-7A5C-4906-9C1D-78310FEDB4C0}"/>
    <cellStyle name="Migliaia [0] 21 2 6" xfId="7249" xr:uid="{1DB7DC2A-D80F-4994-B826-B4B7356F2688}"/>
    <cellStyle name="Migliaia [0] 21 3" xfId="1522" xr:uid="{00000000-0005-0000-0000-00000C020000}"/>
    <cellStyle name="Migliaia [0] 21 3 2" xfId="4612" xr:uid="{34C2D4B4-14C7-4CEE-B7C9-469FEA948EFA}"/>
    <cellStyle name="Migliaia [0] 21 3 2 2" xfId="18314" xr:uid="{B0FE4236-CFA5-4A36-B300-4DEE48324A1D}"/>
    <cellStyle name="Migliaia [0] 21 3 2 2 2" xfId="21747" xr:uid="{6536F607-1819-4DE2-9AEF-CA07A4CBEA14}"/>
    <cellStyle name="Migliaia [0] 21 3 2 2 2 2" xfId="38145" xr:uid="{109E9346-A7B5-4573-A870-12F6E6374A29}"/>
    <cellStyle name="Migliaia [0] 21 3 2 2 3" xfId="43447" xr:uid="{68ACB204-477C-46F3-9F86-E0C73033F6FE}"/>
    <cellStyle name="Migliaia [0] 21 3 2 2 4" xfId="32794" xr:uid="{CE6C7A36-058C-49B6-9F79-5B86AC8A9AB8}"/>
    <cellStyle name="Migliaia [0] 21 3 2 3" xfId="35680" xr:uid="{DDFA1AF5-CD7D-412D-9957-24DF2EBAF0BB}"/>
    <cellStyle name="Migliaia [0] 21 3 2 4" xfId="40796" xr:uid="{4D00F0AA-4676-4387-BB7D-653AAB738F53}"/>
    <cellStyle name="Migliaia [0] 21 3 2 5" xfId="47909" xr:uid="{B244AE55-4E76-45C9-A0DC-6EF043C35DA9}"/>
    <cellStyle name="Migliaia [0] 21 3 2 6" xfId="50775" xr:uid="{57C2C9CE-9945-480B-9A11-E34C014693DE}"/>
    <cellStyle name="Migliaia [0] 21 3 2 7" xfId="53791" xr:uid="{D1082AD9-64B1-4582-A772-C5B377656DC5}"/>
    <cellStyle name="Migliaia [0] 21 3 2 8" xfId="17590" xr:uid="{877E5695-B667-470A-A5E8-5A2A8B9FC53B}"/>
    <cellStyle name="Migliaia [0] 21 3 2 9" xfId="11751" xr:uid="{605C1675-F2E9-4426-A460-EE7F24B728D7}"/>
    <cellStyle name="Migliaia [0] 21 3 3" xfId="5880" xr:uid="{BD80BF2C-43E4-42E3-97B9-D80B604EF368}"/>
    <cellStyle name="Migliaia [0] 21 3 3 2" xfId="11665" xr:uid="{13387942-1CC9-46D0-A27D-3AD1C30139B0}"/>
    <cellStyle name="Migliaia [0] 21 3 4" xfId="2886" xr:uid="{6B5F1699-B7BC-4625-8382-9E9B19A2D521}"/>
    <cellStyle name="Migliaia [0] 21 3 4 2" xfId="21279" xr:uid="{8CE2D4F3-1DAE-4D72-9049-C2A6AE680D3B}"/>
    <cellStyle name="Migliaia [0] 21 3 4 3" xfId="46174" xr:uid="{C47337B8-B3BB-4301-BFE0-B45C729B008A}"/>
    <cellStyle name="Migliaia [0] 21 3 4 4" xfId="50294" xr:uid="{9AFB5576-CB02-4ED0-ACD4-B22702CEF42E}"/>
    <cellStyle name="Migliaia [0] 21 3 4 5" xfId="53310" xr:uid="{23BD0BCB-FE20-44BA-AAE6-405914DFE18E}"/>
    <cellStyle name="Migliaia [0] 21 3 4 6" xfId="10644" xr:uid="{FA592BED-C4F0-4786-ACB1-CB5CB217B7DD}"/>
    <cellStyle name="Migliaia [0] 21 3 5" xfId="19565" xr:uid="{71C87C1C-E363-4F62-A3FB-F1A7243CC988}"/>
    <cellStyle name="Migliaia [0] 21 3 6" xfId="24032" xr:uid="{8E17CB22-2D54-43B7-BD6E-87812D898F48}"/>
    <cellStyle name="Migliaia [0] 21 3 7" xfId="8197" xr:uid="{A69E09D4-8A36-48F4-9DA7-8BA8438E3618}"/>
    <cellStyle name="Migliaia [0] 21 4" xfId="2887" xr:uid="{7936A33C-7DCC-4216-B1F3-D4463CCC128B}"/>
    <cellStyle name="Migliaia [0] 21 4 2" xfId="4613" xr:uid="{236D8E76-482A-4EC0-A82C-73AE2A083677}"/>
    <cellStyle name="Migliaia [0] 21 4 2 2" xfId="35082" xr:uid="{6DB70F3B-8EAD-4F7D-8B47-91D8D8CC50C8}"/>
    <cellStyle name="Migliaia [0] 21 4 2 2 2" xfId="40240" xr:uid="{942BF9BB-0D69-4FCD-B1F6-2CCDF87902FC}"/>
    <cellStyle name="Migliaia [0] 21 4 2 2 3" xfId="45542" xr:uid="{0C81CA06-9F27-4D88-B776-8C7AC4A781BA}"/>
    <cellStyle name="Migliaia [0] 21 4 2 3" xfId="37589" xr:uid="{F785E095-EE69-4573-A789-E7C6C142E226}"/>
    <cellStyle name="Migliaia [0] 21 4 2 4" xfId="42891" xr:uid="{B8E2B731-ED13-4D10-B283-CCCD034FEACE}"/>
    <cellStyle name="Migliaia [0] 21 4 2 5" xfId="17022" xr:uid="{E72B74FF-2323-4CCD-8926-BEC5FECDC83C}"/>
    <cellStyle name="Migliaia [0] 21 4 3" xfId="5881" xr:uid="{0FD52519-B445-42C1-B467-A2078659FF40}"/>
    <cellStyle name="Migliaia [0] 21 4 3 2" xfId="38146" xr:uid="{1FC4A5A2-8DB0-4936-84F3-3693351706FF}"/>
    <cellStyle name="Migliaia [0] 21 4 3 3" xfId="43448" xr:uid="{30199DDB-6723-4392-A79B-12B0D45512D1}"/>
    <cellStyle name="Migliaia [0] 21 4 3 4" xfId="32795" xr:uid="{72D3E82C-7511-4847-B104-642A81555888}"/>
    <cellStyle name="Migliaia [0] 21 4 3 5" xfId="19566" xr:uid="{198E1B8A-714E-4B4B-AD7D-182F2F1816B9}"/>
    <cellStyle name="Migliaia [0] 21 4 4" xfId="35681" xr:uid="{F52B55E7-1064-4339-A95D-1877F142FFBD}"/>
    <cellStyle name="Migliaia [0] 21 4 5" xfId="40797" xr:uid="{BA8DB4CF-0734-49B6-971F-C84C6D6143BC}"/>
    <cellStyle name="Migliaia [0] 21 4 6" xfId="15964" xr:uid="{1A372CCE-5FFE-4461-9892-AEB00D209D9A}"/>
    <cellStyle name="Migliaia [0] 21 4 7" xfId="7777" xr:uid="{BC0E6643-D6D1-4352-95D6-C7473BA71A08}"/>
    <cellStyle name="Migliaia [0] 21 5" xfId="4609" xr:uid="{9F93D2EE-765D-4397-B20F-D0FD0C7FE61A}"/>
    <cellStyle name="Migliaia [0] 21 5 2" xfId="32796" xr:uid="{286CB1EC-4D8B-4B2C-8634-2515E8E08512}"/>
    <cellStyle name="Migliaia [0] 21 5 2 2" xfId="38147" xr:uid="{F0F58608-9760-4484-987F-EE62E8BA61CD}"/>
    <cellStyle name="Migliaia [0] 21 5 2 3" xfId="43449" xr:uid="{93A09D32-CB08-4F25-87CA-8B563D38C42B}"/>
    <cellStyle name="Migliaia [0] 21 5 3" xfId="35682" xr:uid="{E99B6D80-0C93-4333-9EB2-D73715A6C55E}"/>
    <cellStyle name="Migliaia [0] 21 5 4" xfId="40798" xr:uid="{E91367CD-EF2D-4916-A62F-EC34EB92B54D}"/>
    <cellStyle name="Migliaia [0] 21 5 5" xfId="17091" xr:uid="{EB5F7309-68C8-4B4A-AF7A-E2CB10F3D761}"/>
    <cellStyle name="Migliaia [0] 21 6" xfId="5878" xr:uid="{F6A5D844-98A9-4D2A-AAAD-5AEB1EF60BF1}"/>
    <cellStyle name="Migliaia [0] 21 6 2" xfId="38143" xr:uid="{D85A16BD-8105-4E19-97E9-E70425C58578}"/>
    <cellStyle name="Migliaia [0] 21 6 3" xfId="43445" xr:uid="{23EF1AB5-8A96-49C8-8F58-2A1DB0E60138}"/>
    <cellStyle name="Migliaia [0] 21 6 4" xfId="32792" xr:uid="{80AFD579-CA4E-4A4B-B963-063D72A248B0}"/>
    <cellStyle name="Migliaia [0] 21 6 5" xfId="19562" xr:uid="{737926C0-F3E1-4DBE-B371-0071BFFEC225}"/>
    <cellStyle name="Migliaia [0] 21 7" xfId="2883" xr:uid="{790434CC-2483-4923-944A-461B5F3AC189}"/>
    <cellStyle name="Migliaia [0] 21 7 2" xfId="35678" xr:uid="{D0C436DF-3768-4DCD-BDD2-88EC685CB9B9}"/>
    <cellStyle name="Migliaia [0] 21 8" xfId="40794" xr:uid="{CD545FC7-B786-4BF1-87F8-B26CA691CAA2}"/>
    <cellStyle name="Migliaia [0] 21 9" xfId="6998" xr:uid="{A0A80606-ECBB-4507-9868-E1CBF0977C8B}"/>
    <cellStyle name="Migliaia [0] 22" xfId="256" xr:uid="{00000000-0005-0000-0000-00000D020000}"/>
    <cellStyle name="Migliaia [0] 22 2" xfId="1523" xr:uid="{00000000-0005-0000-0000-00000E020000}"/>
    <cellStyle name="Migliaia [0] 22 2 2" xfId="1524" xr:uid="{00000000-0005-0000-0000-00000F020000}"/>
    <cellStyle name="Migliaia [0] 22 2 2 2" xfId="4616" xr:uid="{B5D4F39A-BA8E-4FE8-807E-6CAE07E59422}"/>
    <cellStyle name="Migliaia [0] 22 2 2 2 2" xfId="21748" xr:uid="{3C947F61-0EDF-4C99-8DD7-1C8A24C99348}"/>
    <cellStyle name="Migliaia [0] 22 2 2 2 3" xfId="37509" xr:uid="{21368675-2B53-4029-A503-1493F30A9703}"/>
    <cellStyle name="Migliaia [0] 22 2 2 2 4" xfId="50776" xr:uid="{BB6A1AAD-70DB-4583-8DFF-BD8774908D33}"/>
    <cellStyle name="Migliaia [0] 22 2 2 2 5" xfId="53792" xr:uid="{AB0236A0-2D9B-44A1-9928-A5432A4D21DD}"/>
    <cellStyle name="Migliaia [0] 22 2 2 2 6" xfId="11752" xr:uid="{FB24C72D-4D47-4BA8-A57B-ECAE926BCD72}"/>
    <cellStyle name="Migliaia [0] 22 2 2 3" xfId="2890" xr:uid="{DA1163DD-253D-4FE0-89F2-86D37E113841}"/>
    <cellStyle name="Migliaia [0] 22 2 2 3 2" xfId="12185" xr:uid="{A1E03275-6091-45E3-9E00-CCCF977E3FB4}"/>
    <cellStyle name="Migliaia [0] 22 2 2 4" xfId="10645" xr:uid="{377EB5B8-CF83-4CF8-B563-0E0E39113586}"/>
    <cellStyle name="Migliaia [0] 22 2 2 4 2" xfId="21280" xr:uid="{8725EF9E-FA39-4189-9780-6C55A7D40C62}"/>
    <cellStyle name="Migliaia [0] 22 2 2 4 3" xfId="47297" xr:uid="{82950F6D-F3C6-4001-BFB2-6A89149D0FA4}"/>
    <cellStyle name="Migliaia [0] 22 2 2 4 4" xfId="50295" xr:uid="{DD276B42-97DF-4DD3-AA1F-B3915D74DA13}"/>
    <cellStyle name="Migliaia [0] 22 2 2 4 5" xfId="53311" xr:uid="{41901C06-CFD9-4100-8F84-0E6F4C07A844}"/>
    <cellStyle name="Migliaia [0] 22 2 2 5" xfId="19569" xr:uid="{7484F95D-1B18-4ADA-8B6F-4C4A5CF0750B}"/>
    <cellStyle name="Migliaia [0] 22 2 2 6" xfId="24034" xr:uid="{DE75C242-C812-4AAE-A6BA-BD3D62336005}"/>
    <cellStyle name="Migliaia [0] 22 2 2 7" xfId="48834" xr:uid="{E5E4118C-FA1F-4E27-A43C-8D27D6BA556B}"/>
    <cellStyle name="Migliaia [0] 22 2 2 8" xfId="49740" xr:uid="{768A4483-DF2E-4900-B7BA-0D0FF2CA4A52}"/>
    <cellStyle name="Migliaia [0] 22 2 2 9" xfId="8440" xr:uid="{013D5D1E-469B-49D1-B472-BD392E03788A}"/>
    <cellStyle name="Migliaia [0] 22 2 3" xfId="4615" xr:uid="{9BA79069-BE74-4BA1-A1D8-F36935A706D5}"/>
    <cellStyle name="Migliaia [0] 22 2 3 2" xfId="32798" xr:uid="{0E4C2E08-0B57-4CCD-AB7D-C118CFE295E7}"/>
    <cellStyle name="Migliaia [0] 22 2 3 2 2" xfId="38149" xr:uid="{3228ABC2-C9BD-41D1-B278-2B81E3EAAA77}"/>
    <cellStyle name="Migliaia [0] 22 2 3 2 3" xfId="43451" xr:uid="{CA02072A-4711-4C91-88D2-8BDACEC32CFE}"/>
    <cellStyle name="Migliaia [0] 22 2 3 3" xfId="35684" xr:uid="{6C3A06D7-791D-4C02-BF82-5538F552DC1E}"/>
    <cellStyle name="Migliaia [0] 22 2 3 4" xfId="40800" xr:uid="{D321C409-D695-47C7-865E-7DD9F9E737FE}"/>
    <cellStyle name="Migliaia [0] 22 2 3 5" xfId="11753" xr:uid="{DB5E8296-3E9D-4AC9-8B8B-6C209BFA005C}"/>
    <cellStyle name="Migliaia [0] 22 2 4" xfId="5883" xr:uid="{BC508E27-EAA5-45AA-BA25-45CD889FDB65}"/>
    <cellStyle name="Migliaia [0] 22 2 4 2" xfId="19568" xr:uid="{EE375999-0E1D-4505-AA6D-68F20EA5D32E}"/>
    <cellStyle name="Migliaia [0] 22 2 5" xfId="2889" xr:uid="{84D46921-BD7F-49F2-B1B8-5B039C56710A}"/>
    <cellStyle name="Migliaia [0] 22 2 5 2" xfId="24033" xr:uid="{E6EB3A9B-8EC1-4364-8AF5-D9EC11353391}"/>
    <cellStyle name="Migliaia [0] 22 2 6" xfId="7250" xr:uid="{8AA4B72C-C65E-4E3F-9CDC-0B5D9C0012F3}"/>
    <cellStyle name="Migliaia [0] 22 3" xfId="1525" xr:uid="{00000000-0005-0000-0000-000010020000}"/>
    <cellStyle name="Migliaia [0] 22 3 2" xfId="4617" xr:uid="{61DC8A04-8F28-498E-B8A7-A3B3AF59BAD9}"/>
    <cellStyle name="Migliaia [0] 22 3 2 2" xfId="18315" xr:uid="{2AA1044C-16D9-42F8-9EDF-6E87B79959F0}"/>
    <cellStyle name="Migliaia [0] 22 3 2 2 2" xfId="21749" xr:uid="{54A1853E-9517-4B37-93CB-9198EB93EA33}"/>
    <cellStyle name="Migliaia [0] 22 3 2 2 2 2" xfId="38150" xr:uid="{E84086FD-FAF6-47D3-98EE-FD7A4094D89B}"/>
    <cellStyle name="Migliaia [0] 22 3 2 2 3" xfId="43452" xr:uid="{321A6A0B-94BA-4802-BF0A-849AF3D11E5A}"/>
    <cellStyle name="Migliaia [0] 22 3 2 2 4" xfId="32799" xr:uid="{9D75866E-0E94-4586-81F7-9F4A26D3F05F}"/>
    <cellStyle name="Migliaia [0] 22 3 2 3" xfId="35685" xr:uid="{165D5DBF-034B-4BAE-96EF-7D47BA3D84A6}"/>
    <cellStyle name="Migliaia [0] 22 3 2 4" xfId="40801" xr:uid="{B0AEB54C-AD5F-4CD2-AC90-D07AA369F778}"/>
    <cellStyle name="Migliaia [0] 22 3 2 5" xfId="46656" xr:uid="{E11AB6A0-6568-40F1-9B81-90582AADB8F5}"/>
    <cellStyle name="Migliaia [0] 22 3 2 6" xfId="50777" xr:uid="{6F6B1E7A-8A7C-4B65-B501-4EA4E84393B4}"/>
    <cellStyle name="Migliaia [0] 22 3 2 7" xfId="53793" xr:uid="{6FC17C26-35DA-45B4-81AD-E080BA8D0267}"/>
    <cellStyle name="Migliaia [0] 22 3 2 8" xfId="17591" xr:uid="{792E2EC9-F58D-4246-9354-3E21B21632A0}"/>
    <cellStyle name="Migliaia [0] 22 3 2 9" xfId="11754" xr:uid="{8859BB8E-724F-4762-AD6D-F099E46A847C}"/>
    <cellStyle name="Migliaia [0] 22 3 3" xfId="5884" xr:uid="{54549013-CFDD-493F-B37C-13E6C414BC33}"/>
    <cellStyle name="Migliaia [0] 22 3 3 2" xfId="12382" xr:uid="{0184B4B1-A661-426D-9824-BD4B3428D454}"/>
    <cellStyle name="Migliaia [0] 22 3 4" xfId="2891" xr:uid="{974AB3C2-2AA2-4374-BD93-F0C452995971}"/>
    <cellStyle name="Migliaia [0] 22 3 4 2" xfId="21281" xr:uid="{4519FF77-B5CE-4A83-B112-F7FF69E2915F}"/>
    <cellStyle name="Migliaia [0] 22 3 4 3" xfId="46175" xr:uid="{215FC16D-364D-4568-9DF8-025FE87B579B}"/>
    <cellStyle name="Migliaia [0] 22 3 4 4" xfId="50296" xr:uid="{557204C8-E237-4E3F-BCC0-75D76D58F8EE}"/>
    <cellStyle name="Migliaia [0] 22 3 4 5" xfId="53312" xr:uid="{CA436371-2707-4E51-9982-B8FB185326E0}"/>
    <cellStyle name="Migliaia [0] 22 3 4 6" xfId="10646" xr:uid="{2C1261A0-51F0-42E2-A016-8008BDAD0A59}"/>
    <cellStyle name="Migliaia [0] 22 3 5" xfId="19570" xr:uid="{C254B59F-DD1D-497D-B46D-46427E0931BC}"/>
    <cellStyle name="Migliaia [0] 22 3 6" xfId="24035" xr:uid="{3A77D0CB-46F4-4DDC-9464-BBADEF9384BA}"/>
    <cellStyle name="Migliaia [0] 22 3 7" xfId="8198" xr:uid="{DD473910-5184-4939-B250-1EF5190EC98B}"/>
    <cellStyle name="Migliaia [0] 22 4" xfId="2892" xr:uid="{27F8AC92-1811-47A6-87C5-7190B8637D25}"/>
    <cellStyle name="Migliaia [0] 22 4 2" xfId="4618" xr:uid="{4EB8EEFE-B6BE-4865-AD8C-19DD2D2ACD36}"/>
    <cellStyle name="Migliaia [0] 22 4 2 2" xfId="35083" xr:uid="{36FCCE22-BA6A-4AE1-9B01-599920AE8595}"/>
    <cellStyle name="Migliaia [0] 22 4 2 2 2" xfId="40241" xr:uid="{313E48E3-10CA-4EF6-B7EB-4A715FE6EB00}"/>
    <cellStyle name="Migliaia [0] 22 4 2 2 3" xfId="45543" xr:uid="{5408DEAD-D0A2-44E9-BD81-23AAA7DCB9F2}"/>
    <cellStyle name="Migliaia [0] 22 4 2 3" xfId="37590" xr:uid="{803CC289-2E9F-46F5-8BA6-80EE59088EAE}"/>
    <cellStyle name="Migliaia [0] 22 4 2 4" xfId="42892" xr:uid="{6BEEB294-0C8A-4106-957E-E7A533B2F613}"/>
    <cellStyle name="Migliaia [0] 22 4 2 5" xfId="17023" xr:uid="{2C5FD8C1-E430-433D-80C7-CAB70E2625C9}"/>
    <cellStyle name="Migliaia [0] 22 4 3" xfId="5885" xr:uid="{ECBF6CE6-E0AD-4863-A0C9-DC42589019B7}"/>
    <cellStyle name="Migliaia [0] 22 4 3 2" xfId="38151" xr:uid="{2D0F0DBF-1583-4D55-B948-4D6DA0E565A9}"/>
    <cellStyle name="Migliaia [0] 22 4 3 3" xfId="43453" xr:uid="{26A2B5D6-AF32-4BFC-B295-000562A8F87F}"/>
    <cellStyle name="Migliaia [0] 22 4 3 4" xfId="32800" xr:uid="{8DF03548-9119-418B-87F1-06726CA5258F}"/>
    <cellStyle name="Migliaia [0] 22 4 3 5" xfId="19571" xr:uid="{BE92DFCA-76D4-4F5F-B585-47F6C8F10931}"/>
    <cellStyle name="Migliaia [0] 22 4 4" xfId="35686" xr:uid="{8F224437-E8FC-4A57-A0CD-2C066C92D076}"/>
    <cellStyle name="Migliaia [0] 22 4 5" xfId="40802" xr:uid="{C47A2D11-CA06-4286-85C9-7DEBAA5B34F0}"/>
    <cellStyle name="Migliaia [0] 22 4 6" xfId="15965" xr:uid="{E77E6B67-B9A0-4171-B48B-59D215096C28}"/>
    <cellStyle name="Migliaia [0] 22 4 7" xfId="7778" xr:uid="{49E4187B-8797-42A3-8FBE-E15926D2E29E}"/>
    <cellStyle name="Migliaia [0] 22 5" xfId="4614" xr:uid="{493BC48E-8DEB-4B59-98C7-1A53F84F40C5}"/>
    <cellStyle name="Migliaia [0] 22 5 2" xfId="32801" xr:uid="{0FBAEAEB-563B-4A4E-8551-05FAC274A456}"/>
    <cellStyle name="Migliaia [0] 22 5 2 2" xfId="38152" xr:uid="{FBF6167A-ED6B-44FA-ACF4-5CCBC8E44433}"/>
    <cellStyle name="Migliaia [0] 22 5 2 3" xfId="43454" xr:uid="{8C7BA345-CCC9-42F6-A971-6625756C825A}"/>
    <cellStyle name="Migliaia [0] 22 5 3" xfId="35687" xr:uid="{62A32B9B-7E55-4BE5-AB10-9FB55569036E}"/>
    <cellStyle name="Migliaia [0] 22 5 4" xfId="40803" xr:uid="{CDC98B44-F823-4955-B713-0F91592677E6}"/>
    <cellStyle name="Migliaia [0] 22 5 5" xfId="17092" xr:uid="{2D8E7F22-55E3-40F1-808C-147D7BE6687B}"/>
    <cellStyle name="Migliaia [0] 22 6" xfId="5882" xr:uid="{0F0F2605-A312-412C-9EA2-DD692EEB6E05}"/>
    <cellStyle name="Migliaia [0] 22 6 2" xfId="38148" xr:uid="{602EFCC9-D82F-4912-8E23-9B3D750279B2}"/>
    <cellStyle name="Migliaia [0] 22 6 3" xfId="43450" xr:uid="{A8DABBFE-5C20-4C14-87AC-BAEDEE1F297C}"/>
    <cellStyle name="Migliaia [0] 22 6 4" xfId="32797" xr:uid="{F7A406B2-0515-4D50-875E-CFB3CB48EED5}"/>
    <cellStyle name="Migliaia [0] 22 6 5" xfId="19567" xr:uid="{3A10C2E4-175C-41A8-95B2-F7F2B564C08E}"/>
    <cellStyle name="Migliaia [0] 22 7" xfId="2888" xr:uid="{275B432B-F039-4594-B076-18A2626599DE}"/>
    <cellStyle name="Migliaia [0] 22 7 2" xfId="35683" xr:uid="{F8403258-80D8-4B81-B09F-C14AB5A3CC67}"/>
    <cellStyle name="Migliaia [0] 22 8" xfId="40799" xr:uid="{4F4905A7-A1B5-4F1C-8F5F-EB541CB811F9}"/>
    <cellStyle name="Migliaia [0] 22 9" xfId="6999" xr:uid="{0E153ACD-8C99-481D-AFDF-9897C7F344FE}"/>
    <cellStyle name="Migliaia [0] 23" xfId="257" xr:uid="{00000000-0005-0000-0000-000011020000}"/>
    <cellStyle name="Migliaia [0] 23 2" xfId="1526" xr:uid="{00000000-0005-0000-0000-000012020000}"/>
    <cellStyle name="Migliaia [0] 23 2 2" xfId="1527" xr:uid="{00000000-0005-0000-0000-000013020000}"/>
    <cellStyle name="Migliaia [0] 23 2 2 2" xfId="4621" xr:uid="{4FE6D637-F9C3-4AE5-9ED5-ACACCED297D9}"/>
    <cellStyle name="Migliaia [0] 23 2 2 2 2" xfId="21750" xr:uid="{F5312EC5-DC17-4CDB-9C5C-0643E3D33BC4}"/>
    <cellStyle name="Migliaia [0] 23 2 2 2 3" xfId="36712" xr:uid="{90A97311-EEB9-430A-990F-109BD5E59491}"/>
    <cellStyle name="Migliaia [0] 23 2 2 2 4" xfId="50778" xr:uid="{3450F6ED-8921-4608-B866-9F76D3ACFDBB}"/>
    <cellStyle name="Migliaia [0] 23 2 2 2 5" xfId="53794" xr:uid="{B2C86D1B-CCD1-421B-8EF0-B448791E510A}"/>
    <cellStyle name="Migliaia [0] 23 2 2 2 6" xfId="11755" xr:uid="{C5F3D2D1-8201-408C-8115-0DBEDCF7C404}"/>
    <cellStyle name="Migliaia [0] 23 2 2 3" xfId="2895" xr:uid="{9CE2E36E-D147-4148-BFC5-79614950684C}"/>
    <cellStyle name="Migliaia [0] 23 2 2 3 2" xfId="12171" xr:uid="{F31EBFD1-65EF-4AC5-B9CE-C971DBE37FA9}"/>
    <cellStyle name="Migliaia [0] 23 2 2 4" xfId="10647" xr:uid="{8183FCF2-79B2-41A1-9813-E9B5A92A8015}"/>
    <cellStyle name="Migliaia [0] 23 2 2 4 2" xfId="21282" xr:uid="{026D6032-30A6-46D6-9DB3-D37428B38682}"/>
    <cellStyle name="Migliaia [0] 23 2 2 4 3" xfId="47890" xr:uid="{EF9A2F2F-1540-4FDB-BC12-B6FAED105CBA}"/>
    <cellStyle name="Migliaia [0] 23 2 2 4 4" xfId="50297" xr:uid="{BF912B1D-5FF4-49A5-9206-CE389717BA04}"/>
    <cellStyle name="Migliaia [0] 23 2 2 4 5" xfId="53313" xr:uid="{E7309CCA-70D1-4AB0-A58E-FB32C97DEBC1}"/>
    <cellStyle name="Migliaia [0] 23 2 2 5" xfId="19574" xr:uid="{FE88C6D9-1A2D-422D-8911-69C84ADEE087}"/>
    <cellStyle name="Migliaia [0] 23 2 2 6" xfId="24037" xr:uid="{E2232604-F14C-40A1-83A4-F1060101D695}"/>
    <cellStyle name="Migliaia [0] 23 2 2 7" xfId="48835" xr:uid="{3CCADAF0-6FED-44BA-8591-E656D5AD45E9}"/>
    <cellStyle name="Migliaia [0] 23 2 2 8" xfId="49741" xr:uid="{804ACB60-E91C-42DA-A307-87B54BC5E1EC}"/>
    <cellStyle name="Migliaia [0] 23 2 2 9" xfId="8441" xr:uid="{290A11B3-C588-4034-BD6D-F2D266D7D569}"/>
    <cellStyle name="Migliaia [0] 23 2 3" xfId="4620" xr:uid="{FCF050C4-29F8-4F32-995E-65709AC477A6}"/>
    <cellStyle name="Migliaia [0] 23 2 3 2" xfId="32803" xr:uid="{F157E4D8-41A0-4314-88FC-150565582E83}"/>
    <cellStyle name="Migliaia [0] 23 2 3 2 2" xfId="38154" xr:uid="{D89AFBB1-CED3-4D5D-8448-9C437051A9E7}"/>
    <cellStyle name="Migliaia [0] 23 2 3 2 3" xfId="43456" xr:uid="{4DE2B423-D3F3-4AF5-B8A8-4D03783879D6}"/>
    <cellStyle name="Migliaia [0] 23 2 3 3" xfId="35689" xr:uid="{B74ABB4F-DDA8-4617-9E45-FB1870CD7D00}"/>
    <cellStyle name="Migliaia [0] 23 2 3 4" xfId="40805" xr:uid="{3E177B2B-B137-4FDB-A60E-17E7FFBBB27F}"/>
    <cellStyle name="Migliaia [0] 23 2 3 5" xfId="11756" xr:uid="{1551E525-303E-45C9-85D3-E317ECD8C91B}"/>
    <cellStyle name="Migliaia [0] 23 2 4" xfId="5887" xr:uid="{9051ECFD-F5B1-4A3B-A893-4DA54F705A78}"/>
    <cellStyle name="Migliaia [0] 23 2 4 2" xfId="19573" xr:uid="{1C1C9B5E-D6BE-41BF-8BB2-3CBB5B9E6AA2}"/>
    <cellStyle name="Migliaia [0] 23 2 5" xfId="2894" xr:uid="{386DB2EC-2787-4D83-AFFF-184865DF4D0C}"/>
    <cellStyle name="Migliaia [0] 23 2 5 2" xfId="24036" xr:uid="{A0F92C68-CBD9-4167-B4EA-36470F3AE917}"/>
    <cellStyle name="Migliaia [0] 23 2 6" xfId="7251" xr:uid="{76346626-A2E9-462B-B128-6A33D4FEA751}"/>
    <cellStyle name="Migliaia [0] 23 3" xfId="1528" xr:uid="{00000000-0005-0000-0000-000014020000}"/>
    <cellStyle name="Migliaia [0] 23 3 2" xfId="4622" xr:uid="{8BD72E37-8176-4022-B225-C1DD5676741A}"/>
    <cellStyle name="Migliaia [0] 23 3 2 2" xfId="18316" xr:uid="{4D560738-7F49-470B-8150-5A31F5021CD5}"/>
    <cellStyle name="Migliaia [0] 23 3 2 2 2" xfId="21751" xr:uid="{3A52430C-6764-4544-A9F8-2992ACACD772}"/>
    <cellStyle name="Migliaia [0] 23 3 2 2 2 2" xfId="38155" xr:uid="{96F2CD45-8A16-4E5D-8BA9-EB715B42BCB4}"/>
    <cellStyle name="Migliaia [0] 23 3 2 2 3" xfId="43457" xr:uid="{482E3096-59DF-481C-BB18-F03B4BB4EC24}"/>
    <cellStyle name="Migliaia [0] 23 3 2 2 4" xfId="32804" xr:uid="{90E4C0F9-23FC-4BD8-8B9F-AC23BA7E6B4A}"/>
    <cellStyle name="Migliaia [0] 23 3 2 3" xfId="35690" xr:uid="{FD596881-2323-48F7-B582-3DE18D57FDCF}"/>
    <cellStyle name="Migliaia [0] 23 3 2 4" xfId="40806" xr:uid="{35EB4710-8A0A-4A19-BF92-D673E2B16500}"/>
    <cellStyle name="Migliaia [0] 23 3 2 5" xfId="48011" xr:uid="{009894C7-43FF-4ABD-812D-21F2ABD8875D}"/>
    <cellStyle name="Migliaia [0] 23 3 2 6" xfId="50779" xr:uid="{4E2254B0-E33E-4F6C-9A09-F17D8BAB176A}"/>
    <cellStyle name="Migliaia [0] 23 3 2 7" xfId="53795" xr:uid="{C108BCC4-A128-4810-A517-8A4BA9965C06}"/>
    <cellStyle name="Migliaia [0] 23 3 2 8" xfId="17592" xr:uid="{F824B53D-F4EE-4FBE-9040-80D622D0FB2A}"/>
    <cellStyle name="Migliaia [0] 23 3 2 9" xfId="11757" xr:uid="{D0294108-7DFD-4375-A32B-CEC9D1984F22}"/>
    <cellStyle name="Migliaia [0] 23 3 3" xfId="5888" xr:uid="{48A0B89F-D314-41C4-BE3B-318EABD43A82}"/>
    <cellStyle name="Migliaia [0] 23 3 3 2" xfId="12213" xr:uid="{A273BF63-E3F9-4020-AFCE-03A6B1F9A767}"/>
    <cellStyle name="Migliaia [0] 23 3 4" xfId="2896" xr:uid="{B67A61FA-9570-4615-94C7-6DCED64E611F}"/>
    <cellStyle name="Migliaia [0] 23 3 4 2" xfId="21283" xr:uid="{75323880-D55C-4D4D-A8E9-56D505D82AB7}"/>
    <cellStyle name="Migliaia [0] 23 3 4 3" xfId="46988" xr:uid="{ECFFE92A-5E2D-427E-BE1A-F7966BDAFEE0}"/>
    <cellStyle name="Migliaia [0] 23 3 4 4" xfId="50298" xr:uid="{89247C2D-C0E3-48C6-AAE0-1E9574BDC76D}"/>
    <cellStyle name="Migliaia [0] 23 3 4 5" xfId="53314" xr:uid="{86A7A569-899A-4BF7-B01F-5E30EE4BE8F2}"/>
    <cellStyle name="Migliaia [0] 23 3 4 6" xfId="10648" xr:uid="{3ADB5CA1-8CF7-4591-983E-2364E5B796AB}"/>
    <cellStyle name="Migliaia [0] 23 3 5" xfId="19575" xr:uid="{A70F7BD2-FB32-4E15-813E-3FEE4AB2D82F}"/>
    <cellStyle name="Migliaia [0] 23 3 6" xfId="24038" xr:uid="{7B641C74-BBAD-4078-AF55-9772B8FADBD7}"/>
    <cellStyle name="Migliaia [0] 23 3 7" xfId="8199" xr:uid="{0E657F6B-6335-41F8-9E65-791C9B1A9F24}"/>
    <cellStyle name="Migliaia [0] 23 4" xfId="2897" xr:uid="{10B569CA-9A84-45AC-B237-C0BCCDC3D4E5}"/>
    <cellStyle name="Migliaia [0] 23 4 2" xfId="4623" xr:uid="{33CBD4C4-C7AF-4D77-B832-D77E27264A87}"/>
    <cellStyle name="Migliaia [0] 23 4 2 2" xfId="35084" xr:uid="{D3AF418A-29BF-4F4D-AE79-6E32394DDCB2}"/>
    <cellStyle name="Migliaia [0] 23 4 2 2 2" xfId="40242" xr:uid="{54B2EF2F-E1CE-4450-906E-1F8C2782B0D1}"/>
    <cellStyle name="Migliaia [0] 23 4 2 2 3" xfId="45544" xr:uid="{ABBF7BD5-2FF7-4D00-9DF3-9E44696718E2}"/>
    <cellStyle name="Migliaia [0] 23 4 2 3" xfId="37591" xr:uid="{BF24F85C-38F2-4F18-B005-199A152276EC}"/>
    <cellStyle name="Migliaia [0] 23 4 2 4" xfId="42893" xr:uid="{66D381B1-2242-45C4-9342-FA146BB34D3F}"/>
    <cellStyle name="Migliaia [0] 23 4 2 5" xfId="17024" xr:uid="{EAEC9E25-B118-45B4-B268-6A95B0E229A4}"/>
    <cellStyle name="Migliaia [0] 23 4 3" xfId="5889" xr:uid="{61FAC30A-E6C3-4A6C-A5F6-2B28FEB222A2}"/>
    <cellStyle name="Migliaia [0] 23 4 3 2" xfId="38156" xr:uid="{AA2E0EF9-67EA-4676-A7B8-412DD8008C25}"/>
    <cellStyle name="Migliaia [0] 23 4 3 3" xfId="43458" xr:uid="{A0567CD8-336C-4EFA-962D-F8C7C03103F1}"/>
    <cellStyle name="Migliaia [0] 23 4 3 4" xfId="32805" xr:uid="{AC7E0477-C1F1-4461-AE90-9D5C7F1ACA8C}"/>
    <cellStyle name="Migliaia [0] 23 4 3 5" xfId="19576" xr:uid="{2C1B2C7E-8EE3-439F-AC71-05F691B698F6}"/>
    <cellStyle name="Migliaia [0] 23 4 4" xfId="35691" xr:uid="{9725EFDA-8ACF-4C5F-91E8-2E851066D9A4}"/>
    <cellStyle name="Migliaia [0] 23 4 5" xfId="40807" xr:uid="{9A0F07B5-BED9-473A-ABB2-B167FB9ED74C}"/>
    <cellStyle name="Migliaia [0] 23 4 6" xfId="15966" xr:uid="{A9B39139-08E2-41BA-984D-02730AC36353}"/>
    <cellStyle name="Migliaia [0] 23 4 7" xfId="7779" xr:uid="{716864FE-C092-413B-9F04-FD1423FDBAA1}"/>
    <cellStyle name="Migliaia [0] 23 5" xfId="4619" xr:uid="{14B248BD-A24B-4D34-90FD-FC29C50CFC28}"/>
    <cellStyle name="Migliaia [0] 23 5 2" xfId="32806" xr:uid="{17313314-368F-4DA7-8D69-7572DDB03889}"/>
    <cellStyle name="Migliaia [0] 23 5 2 2" xfId="38157" xr:uid="{8925ECD0-3BAB-44A5-96E6-02C69E4A73BA}"/>
    <cellStyle name="Migliaia [0] 23 5 2 3" xfId="43459" xr:uid="{036E1EA9-52D4-428C-A3EA-962EA037234E}"/>
    <cellStyle name="Migliaia [0] 23 5 3" xfId="35692" xr:uid="{113C397B-7ACE-4E0F-A77E-513A1D2C98DF}"/>
    <cellStyle name="Migliaia [0] 23 5 4" xfId="40808" xr:uid="{0016EC76-2BC1-477D-AE8D-2AB477D3AF95}"/>
    <cellStyle name="Migliaia [0] 23 5 5" xfId="17093" xr:uid="{E5ED1CD2-D443-4E91-8184-01E3F1FD3F2E}"/>
    <cellStyle name="Migliaia [0] 23 6" xfId="5886" xr:uid="{54640D8F-1667-4DE6-A3E8-F9C6FE39AFC4}"/>
    <cellStyle name="Migliaia [0] 23 6 2" xfId="38153" xr:uid="{05F4FC38-C258-4901-8530-6CAACE1653D8}"/>
    <cellStyle name="Migliaia [0] 23 6 3" xfId="43455" xr:uid="{FCADEB94-211C-404F-8AEF-9E97F00D7780}"/>
    <cellStyle name="Migliaia [0] 23 6 4" xfId="32802" xr:uid="{6F5098F0-A39E-47CE-9B2A-6BFBFEBEA15B}"/>
    <cellStyle name="Migliaia [0] 23 6 5" xfId="19572" xr:uid="{06965A81-D49C-481A-A33A-DF2A90EA9888}"/>
    <cellStyle name="Migliaia [0] 23 7" xfId="2893" xr:uid="{A0148927-F9EC-4B1E-8136-48B677D2B0F4}"/>
    <cellStyle name="Migliaia [0] 23 7 2" xfId="35688" xr:uid="{56C77649-212D-4191-B77E-9EADBF940C9D}"/>
    <cellStyle name="Migliaia [0] 23 8" xfId="40804" xr:uid="{1324D05F-E297-464B-930A-0693A11C37B2}"/>
    <cellStyle name="Migliaia [0] 23 9" xfId="7000" xr:uid="{D1F4E8A7-6CEE-4B70-94F9-B9BF08D70E08}"/>
    <cellStyle name="Migliaia [0] 24" xfId="258" xr:uid="{00000000-0005-0000-0000-000015020000}"/>
    <cellStyle name="Migliaia [0] 24 2" xfId="1529" xr:uid="{00000000-0005-0000-0000-000016020000}"/>
    <cellStyle name="Migliaia [0] 24 2 2" xfId="1530" xr:uid="{00000000-0005-0000-0000-000017020000}"/>
    <cellStyle name="Migliaia [0] 24 2 2 2" xfId="4626" xr:uid="{C77C53CF-7519-41ED-9CF0-FE8E538030B6}"/>
    <cellStyle name="Migliaia [0] 24 2 2 2 2" xfId="21752" xr:uid="{C4A3EF45-DE8F-4CF1-892E-804B6D54E2F8}"/>
    <cellStyle name="Migliaia [0] 24 2 2 2 3" xfId="46289" xr:uid="{13E75586-77DA-463E-86C5-178ACE33A90D}"/>
    <cellStyle name="Migliaia [0] 24 2 2 2 4" xfId="50780" xr:uid="{F452BC21-972B-421C-BAAD-1EA8367147A1}"/>
    <cellStyle name="Migliaia [0] 24 2 2 2 5" xfId="53796" xr:uid="{468923C0-A06B-464B-A1AC-5EC803AB0614}"/>
    <cellStyle name="Migliaia [0] 24 2 2 2 6" xfId="11758" xr:uid="{77173FA5-66C9-4EAC-AF1C-3D1FEB9F05F3}"/>
    <cellStyle name="Migliaia [0] 24 2 2 3" xfId="2900" xr:uid="{516691FE-B859-46E3-8E1F-C01E834174B7}"/>
    <cellStyle name="Migliaia [0] 24 2 2 3 2" xfId="12350" xr:uid="{CBD2678F-2312-4652-AED1-9065E98B2243}"/>
    <cellStyle name="Migliaia [0] 24 2 2 4" xfId="10649" xr:uid="{80C75A69-B88C-4764-AF65-1A7863194404}"/>
    <cellStyle name="Migliaia [0] 24 2 2 4 2" xfId="21284" xr:uid="{2CCCC734-7648-4739-89A9-304853D6C0AD}"/>
    <cellStyle name="Migliaia [0] 24 2 2 4 3" xfId="47981" xr:uid="{5A219A6D-E94E-4F88-BC68-4208467BDA67}"/>
    <cellStyle name="Migliaia [0] 24 2 2 4 4" xfId="50299" xr:uid="{6413EDBC-5B09-4DE1-AB3F-F9640F07348E}"/>
    <cellStyle name="Migliaia [0] 24 2 2 4 5" xfId="53315" xr:uid="{F84249E9-B345-4C17-B7C2-AED00EAE3876}"/>
    <cellStyle name="Migliaia [0] 24 2 2 5" xfId="19579" xr:uid="{D668617F-2366-43EE-8059-0E3D2F8C0B05}"/>
    <cellStyle name="Migliaia [0] 24 2 2 6" xfId="24040" xr:uid="{125B81BC-B04D-4F53-A2C9-0480F53EEE24}"/>
    <cellStyle name="Migliaia [0] 24 2 2 7" xfId="48836" xr:uid="{3F6FCC9F-CFA0-448D-8278-4D535A70FBD9}"/>
    <cellStyle name="Migliaia [0] 24 2 2 8" xfId="49742" xr:uid="{FB56D5A1-AD0C-4313-8308-66EF5E84DD64}"/>
    <cellStyle name="Migliaia [0] 24 2 2 9" xfId="8442" xr:uid="{2C6C6948-4A72-43AD-808F-443C6910607B}"/>
    <cellStyle name="Migliaia [0] 24 2 3" xfId="4625" xr:uid="{7F979F7E-0193-48D9-A4E5-E5D5428B9E6F}"/>
    <cellStyle name="Migliaia [0] 24 2 3 2" xfId="32808" xr:uid="{27B63FF9-4B46-4A42-A49A-713F2C4D0BD3}"/>
    <cellStyle name="Migliaia [0] 24 2 3 2 2" xfId="38159" xr:uid="{1EDCE799-C803-437F-89A6-4BC3BFE3F1FC}"/>
    <cellStyle name="Migliaia [0] 24 2 3 2 3" xfId="43461" xr:uid="{3B0F35CA-6766-499F-A2AA-56454AF87C21}"/>
    <cellStyle name="Migliaia [0] 24 2 3 3" xfId="35694" xr:uid="{1434EFF6-BBA7-4F64-A75F-695114ECC7CB}"/>
    <cellStyle name="Migliaia [0] 24 2 3 4" xfId="40810" xr:uid="{C09E867E-95E2-4722-8619-49CDFA35DAD7}"/>
    <cellStyle name="Migliaia [0] 24 2 3 5" xfId="11759" xr:uid="{14BFAED6-E43C-4B05-B313-339E1AF275FA}"/>
    <cellStyle name="Migliaia [0] 24 2 4" xfId="5891" xr:uid="{321D71A6-96F0-4CEA-8BBE-6D80A7ED6033}"/>
    <cellStyle name="Migliaia [0] 24 2 4 2" xfId="19578" xr:uid="{4D9C3FEB-0816-4DA6-8DAF-5AF00373574D}"/>
    <cellStyle name="Migliaia [0] 24 2 5" xfId="2899" xr:uid="{52FEDE21-808D-42CA-BBE6-FF253036C656}"/>
    <cellStyle name="Migliaia [0] 24 2 5 2" xfId="24039" xr:uid="{F4F18EE4-3176-4EA5-8F11-6C599FC7B6C0}"/>
    <cellStyle name="Migliaia [0] 24 2 6" xfId="7252" xr:uid="{DA751EDA-4DFB-4278-BBDE-86A70010E766}"/>
    <cellStyle name="Migliaia [0] 24 3" xfId="1531" xr:uid="{00000000-0005-0000-0000-000018020000}"/>
    <cellStyle name="Migliaia [0] 24 3 2" xfId="4627" xr:uid="{B2FD12AF-5E14-42FD-9661-F7CB5D0D7FEE}"/>
    <cellStyle name="Migliaia [0] 24 3 2 2" xfId="18317" xr:uid="{E8126E42-FDAD-45F8-8BB2-D1B28305E378}"/>
    <cellStyle name="Migliaia [0] 24 3 2 2 2" xfId="21753" xr:uid="{2D7DD33C-D761-4D71-B491-18F9C9EEA696}"/>
    <cellStyle name="Migliaia [0] 24 3 2 2 2 2" xfId="38160" xr:uid="{1AD16440-C08B-457F-9DE1-9E3A65B2A807}"/>
    <cellStyle name="Migliaia [0] 24 3 2 2 3" xfId="43462" xr:uid="{56190268-2C67-4AF7-9083-492B3849C5A7}"/>
    <cellStyle name="Migliaia [0] 24 3 2 2 4" xfId="32809" xr:uid="{BC3B2B38-B96D-43CD-BE0C-C5A6484775EE}"/>
    <cellStyle name="Migliaia [0] 24 3 2 3" xfId="35695" xr:uid="{B0EFF64A-A26E-41CE-8657-17F185509F9C}"/>
    <cellStyle name="Migliaia [0] 24 3 2 4" xfId="40811" xr:uid="{2A277479-E7FB-4784-A423-F634E55AF73D}"/>
    <cellStyle name="Migliaia [0] 24 3 2 5" xfId="47396" xr:uid="{4CB81725-6F58-45DE-B3F8-F4064C08CE66}"/>
    <cellStyle name="Migliaia [0] 24 3 2 6" xfId="50781" xr:uid="{F14B24CE-47D0-47B5-A56E-8F98AD4350C1}"/>
    <cellStyle name="Migliaia [0] 24 3 2 7" xfId="53797" xr:uid="{6D38B9F9-D71A-46BA-AF8D-48A6C9CEBEA7}"/>
    <cellStyle name="Migliaia [0] 24 3 2 8" xfId="17593" xr:uid="{59C7444C-B8CE-412B-9F94-DC9FB567BF5E}"/>
    <cellStyle name="Migliaia [0] 24 3 2 9" xfId="11760" xr:uid="{EBEBADD4-F710-4912-879E-7CC9584EFD53}"/>
    <cellStyle name="Migliaia [0] 24 3 3" xfId="5892" xr:uid="{BB93BE86-7A60-45B5-82ED-230B923BC7E9}"/>
    <cellStyle name="Migliaia [0] 24 3 3 2" xfId="12381" xr:uid="{A532E220-6932-4E85-BD12-35D52A79168D}"/>
    <cellStyle name="Migliaia [0] 24 3 4" xfId="2901" xr:uid="{FE9454FA-D653-4B9C-81DD-3E1D48544ECD}"/>
    <cellStyle name="Migliaia [0] 24 3 4 2" xfId="21285" xr:uid="{B97BA0E3-954A-4E62-83B4-9F6EEC65B42C}"/>
    <cellStyle name="Migliaia [0] 24 3 4 3" xfId="46634" xr:uid="{337581E8-B668-43D4-951D-A530AF972729}"/>
    <cellStyle name="Migliaia [0] 24 3 4 4" xfId="50300" xr:uid="{2DDA440D-CA9A-4F54-8352-7894D126E353}"/>
    <cellStyle name="Migliaia [0] 24 3 4 5" xfId="53316" xr:uid="{CA35EC6C-5040-402C-A096-136B3E22E36C}"/>
    <cellStyle name="Migliaia [0] 24 3 4 6" xfId="10650" xr:uid="{D7ED1917-1F09-46C8-8088-156B8E108FF1}"/>
    <cellStyle name="Migliaia [0] 24 3 5" xfId="19580" xr:uid="{91BEB381-6633-4C9D-A1AB-5B556AD7B5A5}"/>
    <cellStyle name="Migliaia [0] 24 3 6" xfId="24041" xr:uid="{77273011-375C-4F67-8CE0-3A82FFA3859F}"/>
    <cellStyle name="Migliaia [0] 24 3 7" xfId="8200" xr:uid="{E1B5871C-8812-4CA1-A6AE-452EF5F1907D}"/>
    <cellStyle name="Migliaia [0] 24 4" xfId="2902" xr:uid="{BB9FCC56-1F21-498C-A15C-98BC57644022}"/>
    <cellStyle name="Migliaia [0] 24 4 2" xfId="4628" xr:uid="{BA478609-1B24-4B54-A941-36802CF89326}"/>
    <cellStyle name="Migliaia [0] 24 4 2 2" xfId="35085" xr:uid="{B519231B-CFE0-4EA9-BBB4-EDDFF26F1D46}"/>
    <cellStyle name="Migliaia [0] 24 4 2 2 2" xfId="40243" xr:uid="{12874A1D-89A9-4828-AFB8-69DBF8649B35}"/>
    <cellStyle name="Migliaia [0] 24 4 2 2 3" xfId="45545" xr:uid="{416DDD54-A165-421D-B3BD-4D18D6E2A6F8}"/>
    <cellStyle name="Migliaia [0] 24 4 2 3" xfId="37592" xr:uid="{8712E5AB-69B3-41B6-9B01-0B0939AFB909}"/>
    <cellStyle name="Migliaia [0] 24 4 2 4" xfId="42894" xr:uid="{5B98561C-40E0-4B1B-A2C4-D240ED8F9164}"/>
    <cellStyle name="Migliaia [0] 24 4 2 5" xfId="17025" xr:uid="{D2C7277D-B927-4DE1-8042-D3914B055395}"/>
    <cellStyle name="Migliaia [0] 24 4 3" xfId="5893" xr:uid="{312D4EAC-0725-4729-8A71-EBC7C67E8D0B}"/>
    <cellStyle name="Migliaia [0] 24 4 3 2" xfId="38161" xr:uid="{F2E314E2-E8CB-48EC-974C-2944FB9140EB}"/>
    <cellStyle name="Migliaia [0] 24 4 3 3" xfId="43463" xr:uid="{90CFC83E-0F5F-4E9C-8484-F51125D304CC}"/>
    <cellStyle name="Migliaia [0] 24 4 3 4" xfId="32810" xr:uid="{BE1F3467-62F7-4841-8C1E-C2C3A5F0C33B}"/>
    <cellStyle name="Migliaia [0] 24 4 3 5" xfId="19581" xr:uid="{3B3F6AFD-0F0C-463D-8AB2-BC3D87B1FD4E}"/>
    <cellStyle name="Migliaia [0] 24 4 4" xfId="35696" xr:uid="{95246B4D-15FE-42DB-BD6B-8135F0CE9255}"/>
    <cellStyle name="Migliaia [0] 24 4 5" xfId="40812" xr:uid="{8AB86E8C-C643-4F8F-B824-10C28AED6951}"/>
    <cellStyle name="Migliaia [0] 24 4 6" xfId="15967" xr:uid="{8BB9EB68-2775-4B20-B5E2-41F77B123C7D}"/>
    <cellStyle name="Migliaia [0] 24 4 7" xfId="7780" xr:uid="{757050BF-957D-4E31-A415-72E409A5F7AF}"/>
    <cellStyle name="Migliaia [0] 24 5" xfId="4624" xr:uid="{779612A4-8552-4A40-963D-8AF4DE18FBBF}"/>
    <cellStyle name="Migliaia [0] 24 5 2" xfId="32811" xr:uid="{CC9CAC5A-353F-4B2E-AD25-248BBD81D8C6}"/>
    <cellStyle name="Migliaia [0] 24 5 2 2" xfId="38162" xr:uid="{F27C35D0-78FF-436E-9F58-6D7FB45DC1EA}"/>
    <cellStyle name="Migliaia [0] 24 5 2 3" xfId="43464" xr:uid="{E0A88F47-9B05-4339-B0F2-540B6E519BD9}"/>
    <cellStyle name="Migliaia [0] 24 5 3" xfId="35697" xr:uid="{5792B3B4-8B30-43DE-BC37-DFD828B42984}"/>
    <cellStyle name="Migliaia [0] 24 5 4" xfId="40813" xr:uid="{6C2057D0-9025-4B63-8864-A50D8D523E06}"/>
    <cellStyle name="Migliaia [0] 24 5 5" xfId="17094" xr:uid="{3F3F58F3-015A-4299-9053-E0709A1AE381}"/>
    <cellStyle name="Migliaia [0] 24 6" xfId="5890" xr:uid="{8D2E8A9B-7663-4958-BEED-12B3C716EB5B}"/>
    <cellStyle name="Migliaia [0] 24 6 2" xfId="38158" xr:uid="{88766778-401F-4B42-8BE4-AE58525EEEED}"/>
    <cellStyle name="Migliaia [0] 24 6 3" xfId="43460" xr:uid="{2D64A85B-8925-4F0A-8F2E-81B28552E867}"/>
    <cellStyle name="Migliaia [0] 24 6 4" xfId="32807" xr:uid="{AA23AA61-27B5-479C-A982-55BA256C7CDB}"/>
    <cellStyle name="Migliaia [0] 24 6 5" xfId="19577" xr:uid="{54AB6A94-B51C-4541-BA1B-B41FB32D1C72}"/>
    <cellStyle name="Migliaia [0] 24 7" xfId="2898" xr:uid="{E90FC525-A8E2-4B4C-87EA-9E4F1BD20788}"/>
    <cellStyle name="Migliaia [0] 24 7 2" xfId="35693" xr:uid="{2F66E0E7-9FBF-4303-AB47-90AAC148FB6E}"/>
    <cellStyle name="Migliaia [0] 24 8" xfId="40809" xr:uid="{FCAED04F-D2C3-4A21-856A-F74F75C4878D}"/>
    <cellStyle name="Migliaia [0] 24 9" xfId="7001" xr:uid="{F5F5936B-DD61-41FB-8626-ABE5D6FFE451}"/>
    <cellStyle name="Migliaia [0] 25" xfId="259" xr:uid="{00000000-0005-0000-0000-000019020000}"/>
    <cellStyle name="Migliaia [0] 25 2" xfId="1532" xr:uid="{00000000-0005-0000-0000-00001A020000}"/>
    <cellStyle name="Migliaia [0] 25 2 2" xfId="1533" xr:uid="{00000000-0005-0000-0000-00001B020000}"/>
    <cellStyle name="Migliaia [0] 25 2 2 2" xfId="4631" xr:uid="{B5090DFC-94E0-4AD8-A0EE-2515F0FC8078}"/>
    <cellStyle name="Migliaia [0] 25 2 2 2 2" xfId="21754" xr:uid="{BCCFA2A3-B7EF-4F9B-8205-1E9E0FF6D425}"/>
    <cellStyle name="Migliaia [0] 25 2 2 2 3" xfId="46738" xr:uid="{BEA2518D-707D-49FC-925A-D67B2FD39CF2}"/>
    <cellStyle name="Migliaia [0] 25 2 2 2 4" xfId="50782" xr:uid="{3511ED63-0556-4F01-929F-8BED2A969719}"/>
    <cellStyle name="Migliaia [0] 25 2 2 2 5" xfId="53798" xr:uid="{DE942922-3211-41D3-8AB9-71F7B1095FFD}"/>
    <cellStyle name="Migliaia [0] 25 2 2 2 6" xfId="11761" xr:uid="{ED9B6DFC-370D-4B81-854D-F9E11B607951}"/>
    <cellStyle name="Migliaia [0] 25 2 2 3" xfId="2905" xr:uid="{72832195-2E4E-494D-910D-948462742A51}"/>
    <cellStyle name="Migliaia [0] 25 2 2 3 2" xfId="12349" xr:uid="{64E8252E-1F71-4B9F-931E-041444226E94}"/>
    <cellStyle name="Migliaia [0] 25 2 2 4" xfId="10651" xr:uid="{0817FA0C-98C9-4B38-9E52-E3EF76CE52A8}"/>
    <cellStyle name="Migliaia [0] 25 2 2 4 2" xfId="21286" xr:uid="{34E9CA26-8329-404D-A8D0-0BE8ECDC492D}"/>
    <cellStyle name="Migliaia [0] 25 2 2 4 3" xfId="48031" xr:uid="{5FEB3401-B1FC-4F0C-8D12-016C0808D8EF}"/>
    <cellStyle name="Migliaia [0] 25 2 2 4 4" xfId="50301" xr:uid="{B263CCD8-E5BB-48BE-A9AD-61CE8790F8B0}"/>
    <cellStyle name="Migliaia [0] 25 2 2 4 5" xfId="53317" xr:uid="{46624B15-C5D4-40A0-BC54-40DDAF963568}"/>
    <cellStyle name="Migliaia [0] 25 2 2 5" xfId="19584" xr:uid="{058263EE-6C24-45F8-BB32-5009E158ADF2}"/>
    <cellStyle name="Migliaia [0] 25 2 2 6" xfId="24043" xr:uid="{5C1A4126-482A-4D20-9E3B-61B25650166F}"/>
    <cellStyle name="Migliaia [0] 25 2 2 7" xfId="48837" xr:uid="{B75468A9-6ED1-4E0E-A96F-C8539BC34979}"/>
    <cellStyle name="Migliaia [0] 25 2 2 8" xfId="49743" xr:uid="{8162BD3E-C00A-40B0-B25F-EEA265056BD9}"/>
    <cellStyle name="Migliaia [0] 25 2 2 9" xfId="8443" xr:uid="{205DF643-4A7C-4E91-B92B-54C79BFDC0D4}"/>
    <cellStyle name="Migliaia [0] 25 2 3" xfId="4630" xr:uid="{6AD32FF7-4E45-4DDB-8E81-3611D06093CB}"/>
    <cellStyle name="Migliaia [0] 25 2 3 2" xfId="32813" xr:uid="{F7F81DA3-0D44-454E-8025-15C001537251}"/>
    <cellStyle name="Migliaia [0] 25 2 3 2 2" xfId="38164" xr:uid="{C0A00967-E155-4CFB-9750-0EC14CD3C3FB}"/>
    <cellStyle name="Migliaia [0] 25 2 3 2 3" xfId="43466" xr:uid="{47932C86-128B-4CE0-A6C9-B370FEDB0733}"/>
    <cellStyle name="Migliaia [0] 25 2 3 3" xfId="35699" xr:uid="{C38BDCF3-C5FA-4FB2-861B-86702567229C}"/>
    <cellStyle name="Migliaia [0] 25 2 3 4" xfId="40815" xr:uid="{469352D7-6BBE-4FF8-8453-E7029963F8FB}"/>
    <cellStyle name="Migliaia [0] 25 2 3 5" xfId="11762" xr:uid="{BE5610D4-30AF-4499-BAE3-D104C098AD85}"/>
    <cellStyle name="Migliaia [0] 25 2 4" xfId="5895" xr:uid="{B7DC6B56-1DF2-4F63-8C2C-E13F0596504A}"/>
    <cellStyle name="Migliaia [0] 25 2 4 2" xfId="19583" xr:uid="{6370F8A0-B354-4D68-BD30-01469E17533F}"/>
    <cellStyle name="Migliaia [0] 25 2 5" xfId="2904" xr:uid="{683094E8-88C4-4D53-A75F-AC1D737D827C}"/>
    <cellStyle name="Migliaia [0] 25 2 5 2" xfId="24042" xr:uid="{9F3AC309-6BEF-4232-95D3-66327E79B2E0}"/>
    <cellStyle name="Migliaia [0] 25 2 6" xfId="7253" xr:uid="{CCDDD561-27B9-48D2-BB4E-0A4FFFA3400A}"/>
    <cellStyle name="Migliaia [0] 25 3" xfId="1534" xr:uid="{00000000-0005-0000-0000-00001C020000}"/>
    <cellStyle name="Migliaia [0] 25 3 2" xfId="4632" xr:uid="{8A2E62A2-F2A6-4CBC-A98F-D17C0E7F31F3}"/>
    <cellStyle name="Migliaia [0] 25 3 2 2" xfId="18318" xr:uid="{3793F630-FAA5-418C-82FF-E3ED780C25BB}"/>
    <cellStyle name="Migliaia [0] 25 3 2 2 2" xfId="21755" xr:uid="{9F4AF39C-2547-4370-830B-C308E938BE54}"/>
    <cellStyle name="Migliaia [0] 25 3 2 2 2 2" xfId="38165" xr:uid="{52048652-40B1-41E1-B1A8-D47A4AB2B038}"/>
    <cellStyle name="Migliaia [0] 25 3 2 2 3" xfId="43467" xr:uid="{6D17F8FD-F5C8-479B-B27E-F7AED3D20F5B}"/>
    <cellStyle name="Migliaia [0] 25 3 2 2 4" xfId="32814" xr:uid="{A964E3E3-B09F-4FF0-90CB-440136D36384}"/>
    <cellStyle name="Migliaia [0] 25 3 2 3" xfId="35700" xr:uid="{36B7EE76-A77B-40AE-AF4B-9A962E15081A}"/>
    <cellStyle name="Migliaia [0] 25 3 2 4" xfId="40816" xr:uid="{E857AE6D-0E4A-420B-ACC7-5C35D4BB7A61}"/>
    <cellStyle name="Migliaia [0] 25 3 2 5" xfId="48483" xr:uid="{0AC0E654-AB80-47F9-AF8E-CF8EA2CB15F5}"/>
    <cellStyle name="Migliaia [0] 25 3 2 6" xfId="50783" xr:uid="{615380FC-5A3B-4700-9096-AD46681DB160}"/>
    <cellStyle name="Migliaia [0] 25 3 2 7" xfId="53799" xr:uid="{60D294AC-23E6-4648-8627-F3FF1E1B3DE3}"/>
    <cellStyle name="Migliaia [0] 25 3 2 8" xfId="17594" xr:uid="{EE6FF8DF-864D-4AC0-9014-91A1A06C655A}"/>
    <cellStyle name="Migliaia [0] 25 3 2 9" xfId="11763" xr:uid="{2EFC4B3D-6817-4664-9F39-EAF3E57FDE2E}"/>
    <cellStyle name="Migliaia [0] 25 3 3" xfId="5896" xr:uid="{6439D134-E3F6-4CF6-8CC3-A1BECA5312CA}"/>
    <cellStyle name="Migliaia [0] 25 3 3 2" xfId="12214" xr:uid="{D1882262-95E2-4E5B-A215-B57779A231D7}"/>
    <cellStyle name="Migliaia [0] 25 3 4" xfId="2906" xr:uid="{886FB4BD-9996-4294-A612-603012C3814A}"/>
    <cellStyle name="Migliaia [0] 25 3 4 2" xfId="21287" xr:uid="{6A60168E-ED10-4805-8B18-E89D07A953F9}"/>
    <cellStyle name="Migliaia [0] 25 3 4 3" xfId="48139" xr:uid="{F424DBED-1AEC-456E-8675-D951E306A973}"/>
    <cellStyle name="Migliaia [0] 25 3 4 4" xfId="50302" xr:uid="{12EC73F7-14B1-4680-961C-F821B304D475}"/>
    <cellStyle name="Migliaia [0] 25 3 4 5" xfId="53318" xr:uid="{6E534CEF-52D5-4A45-82BE-8D51E2E1C2D8}"/>
    <cellStyle name="Migliaia [0] 25 3 4 6" xfId="10652" xr:uid="{35D7EB89-E092-4ED2-ABAA-00BDC27DFE1C}"/>
    <cellStyle name="Migliaia [0] 25 3 5" xfId="19585" xr:uid="{82688103-488D-4DC6-9D7B-2E03BD252B27}"/>
    <cellStyle name="Migliaia [0] 25 3 6" xfId="24044" xr:uid="{3EF5FCC8-AD5C-4ECA-9BC3-8AF125CE3F4A}"/>
    <cellStyle name="Migliaia [0] 25 3 7" xfId="8201" xr:uid="{2B7C8BFD-D946-4009-B7E1-45DB6506F858}"/>
    <cellStyle name="Migliaia [0] 25 4" xfId="2907" xr:uid="{9CA1A7A0-1B29-4C12-B344-92D3AF42243C}"/>
    <cellStyle name="Migliaia [0] 25 4 2" xfId="4633" xr:uid="{9089F64D-A916-4951-85ED-98A8528F7579}"/>
    <cellStyle name="Migliaia [0] 25 4 2 2" xfId="35086" xr:uid="{9A7FB174-159E-4387-9F5A-80D9178332D7}"/>
    <cellStyle name="Migliaia [0] 25 4 2 2 2" xfId="40244" xr:uid="{33D21B7B-8C43-43ED-B3D8-21631E49F851}"/>
    <cellStyle name="Migliaia [0] 25 4 2 2 3" xfId="45546" xr:uid="{C2FF1BB2-88C7-4E55-900D-686A8B8CDAF3}"/>
    <cellStyle name="Migliaia [0] 25 4 2 3" xfId="37593" xr:uid="{166E98B4-96F0-4454-82FE-B98CE2187AB8}"/>
    <cellStyle name="Migliaia [0] 25 4 2 4" xfId="42895" xr:uid="{59719F5E-D4B1-4672-B528-E717B295ADA3}"/>
    <cellStyle name="Migliaia [0] 25 4 2 5" xfId="17026" xr:uid="{4922DC56-1991-46C2-AA7D-259290EAA74E}"/>
    <cellStyle name="Migliaia [0] 25 4 3" xfId="5897" xr:uid="{90E61FAE-622A-4D77-B697-ADC435DEAE8B}"/>
    <cellStyle name="Migliaia [0] 25 4 3 2" xfId="38166" xr:uid="{DB76BC40-AF91-4148-98D9-B1785EAB8A76}"/>
    <cellStyle name="Migliaia [0] 25 4 3 3" xfId="43468" xr:uid="{2C307326-E07D-439E-B989-8F4FCCB0DF7E}"/>
    <cellStyle name="Migliaia [0] 25 4 3 4" xfId="32815" xr:uid="{BD4947E8-7AC2-4997-B55C-C1510687B204}"/>
    <cellStyle name="Migliaia [0] 25 4 3 5" xfId="19586" xr:uid="{6F4D2FBF-3676-49AE-B8AE-0C36C15F0604}"/>
    <cellStyle name="Migliaia [0] 25 4 4" xfId="35701" xr:uid="{8D354D55-1BFB-4F52-9CD4-BC5000A212CF}"/>
    <cellStyle name="Migliaia [0] 25 4 5" xfId="40817" xr:uid="{32FD9D65-B7D7-429E-90CF-227EE063BEFD}"/>
    <cellStyle name="Migliaia [0] 25 4 6" xfId="15968" xr:uid="{2C07BD11-3286-4C12-8162-F84E2A304799}"/>
    <cellStyle name="Migliaia [0] 25 4 7" xfId="7781" xr:uid="{20EF15E8-24AD-48AC-BA34-B27E3B26A496}"/>
    <cellStyle name="Migliaia [0] 25 5" xfId="4629" xr:uid="{72CEC4A6-2C5B-4D51-BE2B-2546A28A34ED}"/>
    <cellStyle name="Migliaia [0] 25 5 2" xfId="32816" xr:uid="{89CAABF5-D18F-4FA0-A061-90AB93DAAD6C}"/>
    <cellStyle name="Migliaia [0] 25 5 2 2" xfId="38167" xr:uid="{1E5DF9D4-9D1E-4D5D-A743-DC378D52B974}"/>
    <cellStyle name="Migliaia [0] 25 5 2 3" xfId="43469" xr:uid="{7EAD67AF-25BF-4F3D-8A0A-F6AD83DBEEA5}"/>
    <cellStyle name="Migliaia [0] 25 5 3" xfId="35702" xr:uid="{51E03B2B-9F13-4900-B04B-70759B8D493F}"/>
    <cellStyle name="Migliaia [0] 25 5 4" xfId="40818" xr:uid="{9815BB80-1DE6-40C1-92F1-456F5BAF312B}"/>
    <cellStyle name="Migliaia [0] 25 5 5" xfId="17095" xr:uid="{0E12B20D-C738-438A-B3D3-103595EE677A}"/>
    <cellStyle name="Migliaia [0] 25 6" xfId="5894" xr:uid="{B7412778-5E28-471E-A2C6-9E06BDF454DA}"/>
    <cellStyle name="Migliaia [0] 25 6 2" xfId="38163" xr:uid="{121706CA-5184-46FD-9456-467BF00ADCFC}"/>
    <cellStyle name="Migliaia [0] 25 6 3" xfId="43465" xr:uid="{4BC1A859-8692-47DE-A6CA-63A24FB46290}"/>
    <cellStyle name="Migliaia [0] 25 6 4" xfId="32812" xr:uid="{FBDFEF78-B94E-47CD-BABD-EDBC56CA10D8}"/>
    <cellStyle name="Migliaia [0] 25 6 5" xfId="19582" xr:uid="{9ABD9ADC-2106-4BC2-A00A-D7680EB3BA59}"/>
    <cellStyle name="Migliaia [0] 25 7" xfId="2903" xr:uid="{68509254-141A-4CF8-90A9-D31EEE7B995D}"/>
    <cellStyle name="Migliaia [0] 25 7 2" xfId="35698" xr:uid="{ED952B21-E236-4BCC-99EE-10B144641C25}"/>
    <cellStyle name="Migliaia [0] 25 8" xfId="40814" xr:uid="{08054652-805F-497A-90B2-531F4DA87B23}"/>
    <cellStyle name="Migliaia [0] 25 9" xfId="7002" xr:uid="{E806F0AB-1D00-4DF8-BE32-A1CA8C816A35}"/>
    <cellStyle name="Migliaia [0] 26" xfId="260" xr:uid="{00000000-0005-0000-0000-00001D020000}"/>
    <cellStyle name="Migliaia [0] 26 2" xfId="1535" xr:uid="{00000000-0005-0000-0000-00001E020000}"/>
    <cellStyle name="Migliaia [0] 26 2 2" xfId="1536" xr:uid="{00000000-0005-0000-0000-00001F020000}"/>
    <cellStyle name="Migliaia [0] 26 2 2 2" xfId="4636" xr:uid="{B9737711-EAE5-4553-BF69-AAFE002D06FF}"/>
    <cellStyle name="Migliaia [0] 26 2 2 2 2" xfId="21756" xr:uid="{D4D1EA1B-EC69-40F5-8262-5E30029C3AA8}"/>
    <cellStyle name="Migliaia [0] 26 2 2 2 3" xfId="34533" xr:uid="{2F0C810C-6E7F-40BC-9ACC-2EA2845F498F}"/>
    <cellStyle name="Migliaia [0] 26 2 2 2 4" xfId="50784" xr:uid="{6DAD134E-2ADC-47F2-833F-504EEA538F05}"/>
    <cellStyle name="Migliaia [0] 26 2 2 2 5" xfId="53800" xr:uid="{228A3EE8-EBD0-4BB6-B668-6D61771C253B}"/>
    <cellStyle name="Migliaia [0] 26 2 2 2 6" xfId="11764" xr:uid="{B29E48FD-D153-47E8-B258-3DC485709E3B}"/>
    <cellStyle name="Migliaia [0] 26 2 2 3" xfId="2910" xr:uid="{B947241E-5F32-4FA0-A20E-298939BF750B}"/>
    <cellStyle name="Migliaia [0] 26 2 2 3 2" xfId="12348" xr:uid="{89E33656-E240-447C-9356-0270631F1CDF}"/>
    <cellStyle name="Migliaia [0] 26 2 2 4" xfId="10653" xr:uid="{8BD38FAE-078F-49CD-AC36-D2E7DB928A2E}"/>
    <cellStyle name="Migliaia [0] 26 2 2 4 2" xfId="21288" xr:uid="{8FC21C7A-F45B-4473-B862-F80625503946}"/>
    <cellStyle name="Migliaia [0] 26 2 2 4 3" xfId="47956" xr:uid="{BA521B2C-A8D8-4A7C-8273-AB673F11DF9F}"/>
    <cellStyle name="Migliaia [0] 26 2 2 4 4" xfId="50303" xr:uid="{C4F54CE0-7A46-4A73-90CF-483AB1F698B4}"/>
    <cellStyle name="Migliaia [0] 26 2 2 4 5" xfId="53319" xr:uid="{F01148D9-938A-4638-B5DF-7C703375ED8B}"/>
    <cellStyle name="Migliaia [0] 26 2 2 5" xfId="19589" xr:uid="{ECC46592-5869-4029-BEC3-D248631E4B29}"/>
    <cellStyle name="Migliaia [0] 26 2 2 6" xfId="24046" xr:uid="{30AD8C4D-6C77-437E-914B-2A2D10E40C23}"/>
    <cellStyle name="Migliaia [0] 26 2 2 7" xfId="48838" xr:uid="{81EC6C68-67CE-4EA8-9E60-9CE2DBCCC665}"/>
    <cellStyle name="Migliaia [0] 26 2 2 8" xfId="49744" xr:uid="{4CA17755-FDCE-42CC-B5A3-F7228A80CE64}"/>
    <cellStyle name="Migliaia [0] 26 2 2 9" xfId="8444" xr:uid="{8F240FC1-EFC8-42EE-99F2-E0D39324A886}"/>
    <cellStyle name="Migliaia [0] 26 2 3" xfId="4635" xr:uid="{4877A6E5-0802-4165-B18E-53F75344AEF6}"/>
    <cellStyle name="Migliaia [0] 26 2 3 2" xfId="32818" xr:uid="{5EE891CF-BAEA-4E16-9FB1-AA2A6D7936D8}"/>
    <cellStyle name="Migliaia [0] 26 2 3 2 2" xfId="38169" xr:uid="{EBF42C7E-4113-49EB-8A67-23C357501C0E}"/>
    <cellStyle name="Migliaia [0] 26 2 3 2 3" xfId="43471" xr:uid="{2B86D26C-1823-465C-A781-5B5A6F29ADCA}"/>
    <cellStyle name="Migliaia [0] 26 2 3 3" xfId="35704" xr:uid="{8576467B-FB7E-42E8-9625-1241A5E05B1E}"/>
    <cellStyle name="Migliaia [0] 26 2 3 4" xfId="40820" xr:uid="{BD7FF2F2-A02C-4AE0-8C24-FFEBAD63C4EB}"/>
    <cellStyle name="Migliaia [0] 26 2 3 5" xfId="11765" xr:uid="{1D6B84FF-9E03-47B5-85BC-D27A9E73F638}"/>
    <cellStyle name="Migliaia [0] 26 2 4" xfId="5899" xr:uid="{C44FDFA2-4A11-4B6F-A503-2E3D5460EC6B}"/>
    <cellStyle name="Migliaia [0] 26 2 4 2" xfId="19588" xr:uid="{C6A5E565-917C-4185-A855-0B3FF6391673}"/>
    <cellStyle name="Migliaia [0] 26 2 5" xfId="2909" xr:uid="{9DEFA30B-B672-429F-BBB7-2065589B627B}"/>
    <cellStyle name="Migliaia [0] 26 2 5 2" xfId="24045" xr:uid="{E73EE831-61C9-4688-B56B-63A6D9404D2E}"/>
    <cellStyle name="Migliaia [0] 26 2 6" xfId="7254" xr:uid="{067DAB8C-4CB6-4323-BAD1-802AF7A15D62}"/>
    <cellStyle name="Migliaia [0] 26 3" xfId="1537" xr:uid="{00000000-0005-0000-0000-000020020000}"/>
    <cellStyle name="Migliaia [0] 26 3 2" xfId="4637" xr:uid="{7C7ABBF5-297B-46A0-9E43-C78929F61AC8}"/>
    <cellStyle name="Migliaia [0] 26 3 2 2" xfId="18319" xr:uid="{E85D8103-68A4-4546-977E-4D19D2B2A90D}"/>
    <cellStyle name="Migliaia [0] 26 3 2 2 2" xfId="21757" xr:uid="{4451A85D-D390-4B1D-A99C-C99DE0321185}"/>
    <cellStyle name="Migliaia [0] 26 3 2 2 2 2" xfId="38170" xr:uid="{A3838A31-FBF5-478D-B9C0-5B6BB38153EF}"/>
    <cellStyle name="Migliaia [0] 26 3 2 2 3" xfId="43472" xr:uid="{B7B88721-68AA-46A0-AEEF-D7A8A9D39391}"/>
    <cellStyle name="Migliaia [0] 26 3 2 2 4" xfId="32819" xr:uid="{0B7589EE-B9AA-40E8-B705-718397AE360D}"/>
    <cellStyle name="Migliaia [0] 26 3 2 3" xfId="35705" xr:uid="{917AF3B7-5937-4548-849A-FD9AE98CB66D}"/>
    <cellStyle name="Migliaia [0] 26 3 2 4" xfId="40821" xr:uid="{6FB8C264-5C49-46EF-81F1-8919EE81BF1A}"/>
    <cellStyle name="Migliaia [0] 26 3 2 5" xfId="46657" xr:uid="{3AEF1A56-7FA9-4F1A-906B-651B2075E73E}"/>
    <cellStyle name="Migliaia [0] 26 3 2 6" xfId="50785" xr:uid="{5F060DFA-F396-4F23-9A35-AE884A1C9BB9}"/>
    <cellStyle name="Migliaia [0] 26 3 2 7" xfId="53801" xr:uid="{E832C624-92CD-4B41-83DD-9303C12E385E}"/>
    <cellStyle name="Migliaia [0] 26 3 2 8" xfId="17595" xr:uid="{C18755EA-9C01-4C0F-B1A7-D31862496ED7}"/>
    <cellStyle name="Migliaia [0] 26 3 2 9" xfId="11766" xr:uid="{9524D727-CEE6-4166-AB28-87546234F4FC}"/>
    <cellStyle name="Migliaia [0] 26 3 3" xfId="5900" xr:uid="{E7E83485-1306-423F-9E7F-721A7C8DD077}"/>
    <cellStyle name="Migliaia [0] 26 3 3 2" xfId="11114" xr:uid="{FD50A28B-2C14-4C4B-A649-D33C043F9A4B}"/>
    <cellStyle name="Migliaia [0] 26 3 4" xfId="2911" xr:uid="{8F701692-C2D0-4519-B052-2B6E4167A747}"/>
    <cellStyle name="Migliaia [0] 26 3 4 2" xfId="21289" xr:uid="{D6B3675D-4599-4A12-AEAB-78EF68E70CE4}"/>
    <cellStyle name="Migliaia [0] 26 3 4 3" xfId="46176" xr:uid="{E831F632-15DB-4618-9D0B-1DA9C527BF1E}"/>
    <cellStyle name="Migliaia [0] 26 3 4 4" xfId="50304" xr:uid="{1F078E6F-7CB9-41F6-8826-3D3F04EEEF91}"/>
    <cellStyle name="Migliaia [0] 26 3 4 5" xfId="53320" xr:uid="{E544AD16-1580-469E-965D-0F640F8DA9D6}"/>
    <cellStyle name="Migliaia [0] 26 3 4 6" xfId="10654" xr:uid="{DEEDEF68-D508-427F-BE3D-0DE93476F466}"/>
    <cellStyle name="Migliaia [0] 26 3 5" xfId="19590" xr:uid="{37D77216-3EA0-421E-959B-2D21138A6908}"/>
    <cellStyle name="Migliaia [0] 26 3 6" xfId="24047" xr:uid="{9F61D329-C22F-484D-8531-C263B7AC76FD}"/>
    <cellStyle name="Migliaia [0] 26 3 7" xfId="8202" xr:uid="{057B5848-71C2-4CBB-903A-15EEED417B17}"/>
    <cellStyle name="Migliaia [0] 26 4" xfId="2912" xr:uid="{300932ED-6444-481E-A63E-3474F887973B}"/>
    <cellStyle name="Migliaia [0] 26 4 2" xfId="4638" xr:uid="{2BEE4DC9-ABAF-4497-BB54-862219758988}"/>
    <cellStyle name="Migliaia [0] 26 4 2 2" xfId="35087" xr:uid="{0D2F8120-B6E6-4BB6-B981-8D2E97F41EC0}"/>
    <cellStyle name="Migliaia [0] 26 4 2 2 2" xfId="40245" xr:uid="{C97A6D8D-4CC7-47A8-AF7E-90A8F5F67A97}"/>
    <cellStyle name="Migliaia [0] 26 4 2 2 3" xfId="45547" xr:uid="{6E4128B8-686C-47DE-BC00-265FB1C27347}"/>
    <cellStyle name="Migliaia [0] 26 4 2 3" xfId="37594" xr:uid="{C9FD9389-0501-4D5F-8C23-F8946CCE7827}"/>
    <cellStyle name="Migliaia [0] 26 4 2 4" xfId="42896" xr:uid="{771FC5AA-FF38-48F4-A0AA-85F34E677C5F}"/>
    <cellStyle name="Migliaia [0] 26 4 2 5" xfId="17027" xr:uid="{F6D2F6F1-4852-4B2E-B6F3-68CD01DAC9DC}"/>
    <cellStyle name="Migliaia [0] 26 4 3" xfId="5901" xr:uid="{8FA86D06-BA50-4E4A-91D8-87D9576005A5}"/>
    <cellStyle name="Migliaia [0] 26 4 3 2" xfId="38171" xr:uid="{9E774AB2-2C79-47C9-8178-3F4FC7DC8CC9}"/>
    <cellStyle name="Migliaia [0] 26 4 3 3" xfId="43473" xr:uid="{6B26249E-0641-468B-80B9-2E68ED575764}"/>
    <cellStyle name="Migliaia [0] 26 4 3 4" xfId="32820" xr:uid="{FEE0F6DC-08CC-4383-86BA-4CC5630E2BCB}"/>
    <cellStyle name="Migliaia [0] 26 4 3 5" xfId="19591" xr:uid="{9E2A1A8D-C55B-4DC5-97A8-E93C575AC7E1}"/>
    <cellStyle name="Migliaia [0] 26 4 4" xfId="35706" xr:uid="{89EDA794-543C-4379-ADA3-337CFF7A77D1}"/>
    <cellStyle name="Migliaia [0] 26 4 5" xfId="40822" xr:uid="{487A14DD-67B4-4CB2-B52B-4A3290F9B116}"/>
    <cellStyle name="Migliaia [0] 26 4 6" xfId="15969" xr:uid="{D091A908-EE1A-4651-8446-FD0B78E27377}"/>
    <cellStyle name="Migliaia [0] 26 4 7" xfId="7782" xr:uid="{B89927E3-3F38-43DA-90F4-B2163E1646F2}"/>
    <cellStyle name="Migliaia [0] 26 5" xfId="4634" xr:uid="{C7CADD94-98E0-466C-8199-9F1BF3EE0D58}"/>
    <cellStyle name="Migliaia [0] 26 5 2" xfId="32821" xr:uid="{477CB2BE-C55A-49CF-9BA4-CFDBC474D97D}"/>
    <cellStyle name="Migliaia [0] 26 5 2 2" xfId="38172" xr:uid="{7DA0BBEF-AA42-40B8-978A-ACAC2A91EA31}"/>
    <cellStyle name="Migliaia [0] 26 5 2 3" xfId="43474" xr:uid="{829107B3-5378-45B3-A830-D40DBF1CB454}"/>
    <cellStyle name="Migliaia [0] 26 5 3" xfId="35707" xr:uid="{F4DBB535-854B-4AF7-9D1F-FFF39318E0F7}"/>
    <cellStyle name="Migliaia [0] 26 5 4" xfId="40823" xr:uid="{8F78A6CF-8D6A-43FA-B484-1492879CBFE8}"/>
    <cellStyle name="Migliaia [0] 26 5 5" xfId="17096" xr:uid="{C3BBA875-3CA6-4DB5-BBC8-8748DA424970}"/>
    <cellStyle name="Migliaia [0] 26 6" xfId="5898" xr:uid="{6F18E57F-BF5F-4592-9305-A523410066BD}"/>
    <cellStyle name="Migliaia [0] 26 6 2" xfId="38168" xr:uid="{0C4818BC-B1CD-4B54-ABAF-CCCD31C7303E}"/>
    <cellStyle name="Migliaia [0] 26 6 3" xfId="43470" xr:uid="{761A886F-D562-4778-83C3-2395DD1AC1B6}"/>
    <cellStyle name="Migliaia [0] 26 6 4" xfId="32817" xr:uid="{86011AE9-74B9-4E6F-A4AF-6BF5195269A4}"/>
    <cellStyle name="Migliaia [0] 26 6 5" xfId="19587" xr:uid="{D22723BC-E522-4712-A357-E7A3418CEE47}"/>
    <cellStyle name="Migliaia [0] 26 7" xfId="2908" xr:uid="{1D93C62B-FBBF-4F10-9DD2-49D33B58F971}"/>
    <cellStyle name="Migliaia [0] 26 7 2" xfId="35703" xr:uid="{D7190922-D622-440C-BDB8-AF0D1ACE3EBD}"/>
    <cellStyle name="Migliaia [0] 26 8" xfId="40819" xr:uid="{DCA8F0AB-738B-4A35-8305-896C6EDFAFAE}"/>
    <cellStyle name="Migliaia [0] 26 9" xfId="7003" xr:uid="{DFB9F99E-BB60-4125-8B41-D102AB0B0E37}"/>
    <cellStyle name="Migliaia [0] 27" xfId="261" xr:uid="{00000000-0005-0000-0000-000021020000}"/>
    <cellStyle name="Migliaia [0] 27 2" xfId="1538" xr:uid="{00000000-0005-0000-0000-000022020000}"/>
    <cellStyle name="Migliaia [0] 27 2 2" xfId="1539" xr:uid="{00000000-0005-0000-0000-000023020000}"/>
    <cellStyle name="Migliaia [0] 27 2 2 2" xfId="4641" xr:uid="{268BD990-B538-497C-9EAC-7009B292AC09}"/>
    <cellStyle name="Migliaia [0] 27 2 2 2 2" xfId="21758" xr:uid="{CDF31935-3457-4CCB-ABC2-B0CC41FA15FA}"/>
    <cellStyle name="Migliaia [0] 27 2 2 2 3" xfId="24759" xr:uid="{17838286-F6E0-45EB-9226-71719EDDED29}"/>
    <cellStyle name="Migliaia [0] 27 2 2 2 4" xfId="50786" xr:uid="{23EAA712-06CA-40EF-826C-BCBCB76C6CD9}"/>
    <cellStyle name="Migliaia [0] 27 2 2 2 5" xfId="53802" xr:uid="{383BC02C-58DE-47BA-A42D-F6DD4347FA57}"/>
    <cellStyle name="Migliaia [0] 27 2 2 2 6" xfId="11767" xr:uid="{66517645-2FBF-4812-B0AA-B9AB477EA352}"/>
    <cellStyle name="Migliaia [0] 27 2 2 3" xfId="2915" xr:uid="{E856755D-037F-486F-ACD1-97973682B360}"/>
    <cellStyle name="Migliaia [0] 27 2 2 3 2" xfId="12347" xr:uid="{FA300A62-90DF-4E75-BD05-D4479392DF50}"/>
    <cellStyle name="Migliaia [0] 27 2 2 4" xfId="10655" xr:uid="{35FEE5BF-CE56-498B-AC82-06DB53712215}"/>
    <cellStyle name="Migliaia [0] 27 2 2 4 2" xfId="21290" xr:uid="{1F3E79FD-B185-4A30-AD35-46F80CA600D3}"/>
    <cellStyle name="Migliaia [0] 27 2 2 4 3" xfId="47592" xr:uid="{AAB82A6B-8BCF-4521-98B5-E72BFB7EEF01}"/>
    <cellStyle name="Migliaia [0] 27 2 2 4 4" xfId="50305" xr:uid="{EAAEE9E0-1E57-4995-8770-D72572E4BA6D}"/>
    <cellStyle name="Migliaia [0] 27 2 2 4 5" xfId="53321" xr:uid="{A3046F75-C5DF-4E55-89AC-C27458C20F86}"/>
    <cellStyle name="Migliaia [0] 27 2 2 5" xfId="19594" xr:uid="{1EC06637-8768-49F5-B25C-FF93AE287E12}"/>
    <cellStyle name="Migliaia [0] 27 2 2 6" xfId="24049" xr:uid="{E7B27DBD-1C97-4441-A59D-2AFA9504B3DB}"/>
    <cellStyle name="Migliaia [0] 27 2 2 7" xfId="48839" xr:uid="{0504739B-55D3-43EB-8B59-9D237DB950C6}"/>
    <cellStyle name="Migliaia [0] 27 2 2 8" xfId="49745" xr:uid="{6543FC9A-AF5F-448D-AD2D-177FCE0DFF14}"/>
    <cellStyle name="Migliaia [0] 27 2 2 9" xfId="8445" xr:uid="{EBF64AFB-73D6-46E6-82BE-2D77B74E924F}"/>
    <cellStyle name="Migliaia [0] 27 2 3" xfId="4640" xr:uid="{47342181-71DF-425D-BC88-5179270BEAE0}"/>
    <cellStyle name="Migliaia [0] 27 2 3 2" xfId="32823" xr:uid="{E6CD2616-EF49-4156-814D-654A980A25A9}"/>
    <cellStyle name="Migliaia [0] 27 2 3 2 2" xfId="38174" xr:uid="{03560B3E-697B-48ED-B5BA-8CB6B53B4897}"/>
    <cellStyle name="Migliaia [0] 27 2 3 2 3" xfId="43476" xr:uid="{162720DE-4C9F-4853-AFB8-653F782B2E5D}"/>
    <cellStyle name="Migliaia [0] 27 2 3 3" xfId="35709" xr:uid="{6CE53864-5609-4DA3-AA68-0C09F1101D13}"/>
    <cellStyle name="Migliaia [0] 27 2 3 4" xfId="40825" xr:uid="{93E4C6A4-98C4-4577-A2E1-B8339E1CB895}"/>
    <cellStyle name="Migliaia [0] 27 2 3 5" xfId="11768" xr:uid="{960A83ED-0A5C-4A49-8B95-13237E778DDD}"/>
    <cellStyle name="Migliaia [0] 27 2 4" xfId="5903" xr:uid="{B8F3148B-CC5E-443F-82DB-E1C84FF73D7A}"/>
    <cellStyle name="Migliaia [0] 27 2 4 2" xfId="19593" xr:uid="{421938C9-337E-45E0-BDEF-2EC8AC1C03B9}"/>
    <cellStyle name="Migliaia [0] 27 2 5" xfId="2914" xr:uid="{08DCAB53-8B6E-427E-BC60-ABE2063DD635}"/>
    <cellStyle name="Migliaia [0] 27 2 5 2" xfId="24048" xr:uid="{658051A0-1552-4DE7-A71C-874F54B0C559}"/>
    <cellStyle name="Migliaia [0] 27 2 6" xfId="7255" xr:uid="{A108CF9C-8A52-4C70-B48C-2570A587D1FE}"/>
    <cellStyle name="Migliaia [0] 27 3" xfId="1540" xr:uid="{00000000-0005-0000-0000-000024020000}"/>
    <cellStyle name="Migliaia [0] 27 3 2" xfId="4642" xr:uid="{3A6068C0-C1B4-49C2-9E25-58708E8807A0}"/>
    <cellStyle name="Migliaia [0] 27 3 2 2" xfId="18320" xr:uid="{445EE35E-FF6C-4699-B50F-C74E11913E94}"/>
    <cellStyle name="Migliaia [0] 27 3 2 2 2" xfId="21759" xr:uid="{C0717B1B-5316-4A50-A160-8CDECB3491AA}"/>
    <cellStyle name="Migliaia [0] 27 3 2 2 2 2" xfId="38175" xr:uid="{0BC057B8-D13D-4ABA-8E45-7D8DE621D355}"/>
    <cellStyle name="Migliaia [0] 27 3 2 2 3" xfId="43477" xr:uid="{AC837E76-1470-4861-9953-45008DE072EE}"/>
    <cellStyle name="Migliaia [0] 27 3 2 2 4" xfId="32824" xr:uid="{0834E0BD-8791-4FDB-8DCC-A6864A2E9B00}"/>
    <cellStyle name="Migliaia [0] 27 3 2 3" xfId="35710" xr:uid="{9C75DB87-3AE0-4804-9DAF-01E3607FAF49}"/>
    <cellStyle name="Migliaia [0] 27 3 2 4" xfId="40826" xr:uid="{8F890242-C005-4542-97AE-C805E9CEDE2A}"/>
    <cellStyle name="Migliaia [0] 27 3 2 5" xfId="48583" xr:uid="{DBCA8793-6D17-4683-8A88-B89414D9B976}"/>
    <cellStyle name="Migliaia [0] 27 3 2 6" xfId="50787" xr:uid="{E1911A14-234A-459A-A035-81A890C35673}"/>
    <cellStyle name="Migliaia [0] 27 3 2 7" xfId="53803" xr:uid="{3EA0C62E-AD53-4654-A149-F61166101F46}"/>
    <cellStyle name="Migliaia [0] 27 3 2 8" xfId="17596" xr:uid="{5EF8595F-FEFC-4CE0-A6A5-3A2159F54D8C}"/>
    <cellStyle name="Migliaia [0] 27 3 2 9" xfId="11769" xr:uid="{6F6DE2DE-5DEF-4B0B-9941-96A5C4619141}"/>
    <cellStyle name="Migliaia [0] 27 3 3" xfId="5904" xr:uid="{2AC384F1-AB72-4ACE-8CCD-FBCDE10D336B}"/>
    <cellStyle name="Migliaia [0] 27 3 3 2" xfId="11666" xr:uid="{3A0B2F49-CA37-44B5-A09D-D5C69887B833}"/>
    <cellStyle name="Migliaia [0] 27 3 4" xfId="2916" xr:uid="{17F3FFE5-3BE4-4D52-A141-1805BC7CEF11}"/>
    <cellStyle name="Migliaia [0] 27 3 4 2" xfId="21291" xr:uid="{D1B3F2AF-24D9-4566-8C87-62D5F02BA7C0}"/>
    <cellStyle name="Migliaia [0] 27 3 4 3" xfId="46989" xr:uid="{758F5432-0E9E-49F6-BE6B-212BEE88C8E1}"/>
    <cellStyle name="Migliaia [0] 27 3 4 4" xfId="50306" xr:uid="{C8E503C7-6B47-4E25-B1B3-0EAF062221DC}"/>
    <cellStyle name="Migliaia [0] 27 3 4 5" xfId="53322" xr:uid="{3880B13F-370B-4FF3-B573-1533962D95BE}"/>
    <cellStyle name="Migliaia [0] 27 3 4 6" xfId="10656" xr:uid="{4AC872CB-B374-4224-BDA9-3E18407BC4D7}"/>
    <cellStyle name="Migliaia [0] 27 3 5" xfId="19595" xr:uid="{DE3F40A5-C812-4354-8AFE-7676D0CD3D5D}"/>
    <cellStyle name="Migliaia [0] 27 3 6" xfId="24050" xr:uid="{D0F1ED7F-8F3E-4CDF-8F32-A1E5C3B47F51}"/>
    <cellStyle name="Migliaia [0] 27 3 7" xfId="8203" xr:uid="{D93880E1-1C29-4B8F-9728-6E2A5751891E}"/>
    <cellStyle name="Migliaia [0] 27 4" xfId="2917" xr:uid="{9717CEA8-237F-46A2-A637-D9E6FBDEECF4}"/>
    <cellStyle name="Migliaia [0] 27 4 2" xfId="4643" xr:uid="{B099B58A-88B2-4189-B900-2693634DD165}"/>
    <cellStyle name="Migliaia [0] 27 4 2 2" xfId="35088" xr:uid="{AF335D54-10F7-4C1D-9CCA-3A314F312DA0}"/>
    <cellStyle name="Migliaia [0] 27 4 2 2 2" xfId="40246" xr:uid="{220CC4AA-3A80-434A-B5DF-81B4A0E81A34}"/>
    <cellStyle name="Migliaia [0] 27 4 2 2 3" xfId="45548" xr:uid="{3D4DB1B9-7663-44DE-AC17-D2A3079FCDDB}"/>
    <cellStyle name="Migliaia [0] 27 4 2 3" xfId="37595" xr:uid="{4A164C4B-549C-49B9-98CB-6991EDDCA201}"/>
    <cellStyle name="Migliaia [0] 27 4 2 4" xfId="42897" xr:uid="{A8159385-901D-48E3-9424-F0CAD711E9F2}"/>
    <cellStyle name="Migliaia [0] 27 4 2 5" xfId="17028" xr:uid="{9F78D02B-4CF5-4F47-BB17-749D8E152CA0}"/>
    <cellStyle name="Migliaia [0] 27 4 3" xfId="5905" xr:uid="{0A897DE7-4F4F-49B6-9BC6-D464FE26E338}"/>
    <cellStyle name="Migliaia [0] 27 4 3 2" xfId="38176" xr:uid="{6AACED4E-6495-4857-8AC2-166E6E1F580A}"/>
    <cellStyle name="Migliaia [0] 27 4 3 3" xfId="43478" xr:uid="{A5E9F9E1-5717-4DA2-AC20-FE4A70A919C1}"/>
    <cellStyle name="Migliaia [0] 27 4 3 4" xfId="32825" xr:uid="{3480FC74-744A-489B-BEAF-D6B1914C86E8}"/>
    <cellStyle name="Migliaia [0] 27 4 3 5" xfId="19596" xr:uid="{748819C3-D39C-467D-88F6-81DB640B8EA2}"/>
    <cellStyle name="Migliaia [0] 27 4 4" xfId="35711" xr:uid="{30426099-1443-4A40-B5E1-5B80BD68D225}"/>
    <cellStyle name="Migliaia [0] 27 4 5" xfId="40827" xr:uid="{973249FA-3431-4D8A-B032-9D3111F535B4}"/>
    <cellStyle name="Migliaia [0] 27 4 6" xfId="15970" xr:uid="{4C6F62A7-8C57-4656-B83E-B64305BBA8E1}"/>
    <cellStyle name="Migliaia [0] 27 4 7" xfId="7783" xr:uid="{2755C34C-BD0A-4CA8-874B-BA3C5E02BBDB}"/>
    <cellStyle name="Migliaia [0] 27 5" xfId="4639" xr:uid="{A8D139F9-AF86-4FBE-9DB5-CC3149F99CD5}"/>
    <cellStyle name="Migliaia [0] 27 5 2" xfId="32826" xr:uid="{665CB3D4-ADEA-4FAD-94BB-F0D1C848A242}"/>
    <cellStyle name="Migliaia [0] 27 5 2 2" xfId="38177" xr:uid="{DFC084A9-DD4E-4C93-9B86-C61827BDB580}"/>
    <cellStyle name="Migliaia [0] 27 5 2 3" xfId="43479" xr:uid="{D28F5111-600A-4EFF-925A-596F56B4C675}"/>
    <cellStyle name="Migliaia [0] 27 5 3" xfId="35712" xr:uid="{EDA852E7-1764-41D1-8ADB-E2F6CCDAC276}"/>
    <cellStyle name="Migliaia [0] 27 5 4" xfId="40828" xr:uid="{0782F96E-26B8-42E2-B43D-274A139D4C00}"/>
    <cellStyle name="Migliaia [0] 27 5 5" xfId="17097" xr:uid="{3DDBD2DB-32DC-4A62-8383-42ACB2EB1449}"/>
    <cellStyle name="Migliaia [0] 27 6" xfId="5902" xr:uid="{75A44408-B09C-484B-8B99-B7A549CE31D3}"/>
    <cellStyle name="Migliaia [0] 27 6 2" xfId="38173" xr:uid="{A47EEE1F-21C6-4770-A1FC-4C28BE73C64F}"/>
    <cellStyle name="Migliaia [0] 27 6 3" xfId="43475" xr:uid="{BC7CB776-D648-4AC7-BC07-6DDA39674686}"/>
    <cellStyle name="Migliaia [0] 27 6 4" xfId="32822" xr:uid="{506C4198-F86B-42A4-A61E-FC46ADF22AB0}"/>
    <cellStyle name="Migliaia [0] 27 6 5" xfId="19592" xr:uid="{DA1F42C4-5F94-4507-99C9-1CD7D9C197BB}"/>
    <cellStyle name="Migliaia [0] 27 7" xfId="2913" xr:uid="{3CF28187-CC39-4D05-A768-C9624C5ECFCE}"/>
    <cellStyle name="Migliaia [0] 27 7 2" xfId="35708" xr:uid="{BF7B9FA0-D40C-42E4-9E7E-DD40262BCD87}"/>
    <cellStyle name="Migliaia [0] 27 8" xfId="40824" xr:uid="{0809E972-9D15-4951-9A95-515407D2494B}"/>
    <cellStyle name="Migliaia [0] 27 9" xfId="7004" xr:uid="{5D623223-FF95-4FF2-9A78-6F29EAAEC34B}"/>
    <cellStyle name="Migliaia [0] 28" xfId="262" xr:uid="{00000000-0005-0000-0000-000025020000}"/>
    <cellStyle name="Migliaia [0] 28 2" xfId="1541" xr:uid="{00000000-0005-0000-0000-000026020000}"/>
    <cellStyle name="Migliaia [0] 28 2 2" xfId="1542" xr:uid="{00000000-0005-0000-0000-000027020000}"/>
    <cellStyle name="Migliaia [0] 28 2 2 2" xfId="4646" xr:uid="{309F0A69-FEDC-4EBD-91CF-D43AB26DD3CE}"/>
    <cellStyle name="Migliaia [0] 28 2 2 2 2" xfId="21760" xr:uid="{116CD4F9-C613-4C39-9F78-243B7E1FB3C9}"/>
    <cellStyle name="Migliaia [0] 28 2 2 2 3" xfId="47715" xr:uid="{DF4C23A8-A65C-4515-9C72-A15CBCCC8471}"/>
    <cellStyle name="Migliaia [0] 28 2 2 2 4" xfId="50788" xr:uid="{F248DB2A-1C4D-4BDF-BAC6-96C422CDBAC4}"/>
    <cellStyle name="Migliaia [0] 28 2 2 2 5" xfId="53804" xr:uid="{E5A8674D-757D-45AA-AC40-F22CDFC29EBC}"/>
    <cellStyle name="Migliaia [0] 28 2 2 2 6" xfId="11770" xr:uid="{5182EE91-1CD5-4616-8FBA-CDC8E92F0631}"/>
    <cellStyle name="Migliaia [0] 28 2 2 3" xfId="2920" xr:uid="{972CAD39-9268-4747-B92B-B163652710E8}"/>
    <cellStyle name="Migliaia [0] 28 2 2 3 2" xfId="12184" xr:uid="{9A1C0056-803B-4F98-A463-16D6CC67CF89}"/>
    <cellStyle name="Migliaia [0] 28 2 2 4" xfId="10657" xr:uid="{DD15FAEC-AFD2-4F68-BEBA-6428294082C4}"/>
    <cellStyle name="Migliaia [0] 28 2 2 4 2" xfId="21292" xr:uid="{C7A19D1A-D01E-416D-BB72-30FCB1B630A3}"/>
    <cellStyle name="Migliaia [0] 28 2 2 4 3" xfId="48551" xr:uid="{8F1D1DBC-DFCB-4BA3-AEAF-4C9096B2C53F}"/>
    <cellStyle name="Migliaia [0] 28 2 2 4 4" xfId="50307" xr:uid="{EB787DD4-4FC2-42CF-9DD5-C08FBF1FE00D}"/>
    <cellStyle name="Migliaia [0] 28 2 2 4 5" xfId="53323" xr:uid="{99496EDF-91AF-4F31-B64A-A94000BBD011}"/>
    <cellStyle name="Migliaia [0] 28 2 2 5" xfId="19599" xr:uid="{FA1EDC98-DFE5-4677-BB26-AF7F5FCAD709}"/>
    <cellStyle name="Migliaia [0] 28 2 2 6" xfId="24052" xr:uid="{ABAFADA6-1F03-46EB-AB1D-CB240E65C41C}"/>
    <cellStyle name="Migliaia [0] 28 2 2 7" xfId="48840" xr:uid="{AD713166-F914-4FD7-B446-2AA1DC173C57}"/>
    <cellStyle name="Migliaia [0] 28 2 2 8" xfId="49746" xr:uid="{6B6D1C96-4630-4373-B080-F23DB64451F8}"/>
    <cellStyle name="Migliaia [0] 28 2 2 9" xfId="8446" xr:uid="{0A570440-5C65-42B5-A3DF-25320D2626E1}"/>
    <cellStyle name="Migliaia [0] 28 2 3" xfId="4645" xr:uid="{6CFA231B-F1ED-4B7D-91ED-6AAD74037BB6}"/>
    <cellStyle name="Migliaia [0] 28 2 3 2" xfId="32828" xr:uid="{334EECD9-79BE-43E9-ADA1-59D9FE2D384D}"/>
    <cellStyle name="Migliaia [0] 28 2 3 2 2" xfId="38179" xr:uid="{E46D6A55-1593-409C-B806-CC455BCF3B7D}"/>
    <cellStyle name="Migliaia [0] 28 2 3 2 3" xfId="43481" xr:uid="{57FAFAB9-61EF-4D3F-918B-68B8980A4F00}"/>
    <cellStyle name="Migliaia [0] 28 2 3 3" xfId="35714" xr:uid="{8B55CE78-8B7B-49C1-BCAF-A06EEF6A539E}"/>
    <cellStyle name="Migliaia [0] 28 2 3 4" xfId="40830" xr:uid="{BCF0F6C2-6373-434F-B8FE-944D45A0AEEC}"/>
    <cellStyle name="Migliaia [0] 28 2 3 5" xfId="11771" xr:uid="{10ABAE7E-2857-46BF-99EA-3C56EEFADCE7}"/>
    <cellStyle name="Migliaia [0] 28 2 4" xfId="5907" xr:uid="{251FA81D-AB71-48AD-B317-BEF9FC84FEF2}"/>
    <cellStyle name="Migliaia [0] 28 2 4 2" xfId="19598" xr:uid="{63792C33-F026-4B2E-A700-B2AC8C271444}"/>
    <cellStyle name="Migliaia [0] 28 2 5" xfId="2919" xr:uid="{8AFBD575-FD75-4996-A1FE-F7A5B68D1AEC}"/>
    <cellStyle name="Migliaia [0] 28 2 5 2" xfId="24051" xr:uid="{AE177A97-F17E-48E1-B629-4F25BC6F29D3}"/>
    <cellStyle name="Migliaia [0] 28 2 6" xfId="7256" xr:uid="{6501E1A6-DDED-4415-A54E-15E91BD8056A}"/>
    <cellStyle name="Migliaia [0] 28 3" xfId="1543" xr:uid="{00000000-0005-0000-0000-000028020000}"/>
    <cellStyle name="Migliaia [0] 28 3 2" xfId="4647" xr:uid="{C9F1638F-A612-4E26-822F-C49C065AA5C1}"/>
    <cellStyle name="Migliaia [0] 28 3 2 2" xfId="18321" xr:uid="{B6874D7A-9156-40FF-B1AC-B18C829CB833}"/>
    <cellStyle name="Migliaia [0] 28 3 2 2 2" xfId="21761" xr:uid="{0124B923-7525-4996-94C9-F0EE50E0C623}"/>
    <cellStyle name="Migliaia [0] 28 3 2 2 2 2" xfId="38180" xr:uid="{52C62247-5F12-462D-BDDA-D4EA52C22B21}"/>
    <cellStyle name="Migliaia [0] 28 3 2 2 3" xfId="43482" xr:uid="{F32E0AA9-C1CE-4026-BDE4-C0BAC816F573}"/>
    <cellStyle name="Migliaia [0] 28 3 2 2 4" xfId="32829" xr:uid="{E8BCCF32-CFCD-41A0-86B5-B2CBABE332DD}"/>
    <cellStyle name="Migliaia [0] 28 3 2 3" xfId="35715" xr:uid="{9868B92D-D02F-4CB6-A523-E028A3883503}"/>
    <cellStyle name="Migliaia [0] 28 3 2 4" xfId="40831" xr:uid="{1A9EC8FC-4EC6-42B9-A722-5BD61A72D97B}"/>
    <cellStyle name="Migliaia [0] 28 3 2 5" xfId="25131" xr:uid="{BA3FC05B-F60E-405B-A0A9-2ED818526965}"/>
    <cellStyle name="Migliaia [0] 28 3 2 6" xfId="50789" xr:uid="{EE85BC0C-8399-46FA-88B0-76CD31D413BD}"/>
    <cellStyle name="Migliaia [0] 28 3 2 7" xfId="53805" xr:uid="{568A9A02-DB77-49CB-ADB9-6E11278749D7}"/>
    <cellStyle name="Migliaia [0] 28 3 2 8" xfId="17597" xr:uid="{A5AF7039-113F-441B-988C-5AA39C98D9E4}"/>
    <cellStyle name="Migliaia [0] 28 3 2 9" xfId="11772" xr:uid="{CB5B88DF-4C81-47B2-9B41-E54FE3B7F9D3}"/>
    <cellStyle name="Migliaia [0] 28 3 3" xfId="5908" xr:uid="{AD3BD267-C619-4A2E-BF43-858B637FEFBF}"/>
    <cellStyle name="Migliaia [0] 28 3 3 2" xfId="12380" xr:uid="{CC393FF7-F1E4-4137-ABB8-12D1E4F39606}"/>
    <cellStyle name="Migliaia [0] 28 3 4" xfId="2921" xr:uid="{BB761218-FD25-4E4F-9FC9-5F4DB99D1B05}"/>
    <cellStyle name="Migliaia [0] 28 3 4 2" xfId="21293" xr:uid="{5BDDCBE0-31BF-48D2-A409-A64A6D7489E6}"/>
    <cellStyle name="Migliaia [0] 28 3 4 3" xfId="46635" xr:uid="{4B815C0F-92CA-4D6D-B8D6-C25D53C0D8E9}"/>
    <cellStyle name="Migliaia [0] 28 3 4 4" xfId="50308" xr:uid="{02927D4E-E338-4761-9FA3-13164532EB7D}"/>
    <cellStyle name="Migliaia [0] 28 3 4 5" xfId="53324" xr:uid="{E9B72ECE-9B77-4781-BBC6-463D927CF1DF}"/>
    <cellStyle name="Migliaia [0] 28 3 4 6" xfId="10658" xr:uid="{3E01D44B-0D1F-450C-9AE3-7A9B48F7431D}"/>
    <cellStyle name="Migliaia [0] 28 3 5" xfId="19600" xr:uid="{83F2FABD-FE7B-4F1A-A264-F1FEBFB8A156}"/>
    <cellStyle name="Migliaia [0] 28 3 6" xfId="24053" xr:uid="{38343BB9-8471-4938-B697-B64BBD727BA4}"/>
    <cellStyle name="Migliaia [0] 28 3 7" xfId="8204" xr:uid="{CDB0DB46-FCCE-4B79-9B7E-04CAAB3336E5}"/>
    <cellStyle name="Migliaia [0] 28 4" xfId="2922" xr:uid="{DEA92358-B272-4FE0-AE91-A2842FC939D3}"/>
    <cellStyle name="Migliaia [0] 28 4 2" xfId="4648" xr:uid="{7FD87A0B-D4C2-46E6-B46D-AA83F52E2C57}"/>
    <cellStyle name="Migliaia [0] 28 4 2 2" xfId="35089" xr:uid="{9C3C065A-EFAC-429C-B1FD-C44ABDEB4349}"/>
    <cellStyle name="Migliaia [0] 28 4 2 2 2" xfId="40247" xr:uid="{33AA064C-5EB8-4BC5-BC35-EEBEC2C37C93}"/>
    <cellStyle name="Migliaia [0] 28 4 2 2 3" xfId="45549" xr:uid="{8812B971-1A3E-464B-89FE-5868FEFE1832}"/>
    <cellStyle name="Migliaia [0] 28 4 2 3" xfId="37596" xr:uid="{5555519B-DC6A-4D15-B182-C4F7FEC789E9}"/>
    <cellStyle name="Migliaia [0] 28 4 2 4" xfId="42898" xr:uid="{4E1A644D-877F-4A38-AD27-E4540432A3A4}"/>
    <cellStyle name="Migliaia [0] 28 4 2 5" xfId="17029" xr:uid="{CB070FDD-1E6E-4D9D-9ABB-60F349D757AB}"/>
    <cellStyle name="Migliaia [0] 28 4 3" xfId="5909" xr:uid="{22311123-DA4C-42A9-B729-C6E26B91FD1E}"/>
    <cellStyle name="Migliaia [0] 28 4 3 2" xfId="38181" xr:uid="{023B0426-EB9A-4167-9F57-5AA98A04282A}"/>
    <cellStyle name="Migliaia [0] 28 4 3 3" xfId="43483" xr:uid="{69785015-6259-4C31-94C5-945639E2C02A}"/>
    <cellStyle name="Migliaia [0] 28 4 3 4" xfId="32830" xr:uid="{C12769E0-EFF8-4D04-9E7C-15F73D8903E4}"/>
    <cellStyle name="Migliaia [0] 28 4 3 5" xfId="19601" xr:uid="{9FB226DE-940F-4E02-91C1-EDCAC7C8A05D}"/>
    <cellStyle name="Migliaia [0] 28 4 4" xfId="35716" xr:uid="{E6C908F1-9A03-44B9-BFCD-C4A272CF01BE}"/>
    <cellStyle name="Migliaia [0] 28 4 5" xfId="40832" xr:uid="{4EEDC04A-94E8-46F6-A404-1553DD485055}"/>
    <cellStyle name="Migliaia [0] 28 4 6" xfId="15971" xr:uid="{84810FFB-9160-449B-8196-9E3BEAD617F0}"/>
    <cellStyle name="Migliaia [0] 28 4 7" xfId="7784" xr:uid="{2CE92BCD-C42B-447E-BC31-DD213370BBFF}"/>
    <cellStyle name="Migliaia [0] 28 5" xfId="4644" xr:uid="{EDCC0872-2C33-4E58-8A06-A33642B213B0}"/>
    <cellStyle name="Migliaia [0] 28 5 2" xfId="32831" xr:uid="{7DBF59A2-AD1D-4609-B647-14CA8F200873}"/>
    <cellStyle name="Migliaia [0] 28 5 2 2" xfId="38182" xr:uid="{CB2D8D22-87B9-401C-89CE-A622020E5F60}"/>
    <cellStyle name="Migliaia [0] 28 5 2 3" xfId="43484" xr:uid="{561A21B4-F512-4EE5-95D1-AA9B0DBBB584}"/>
    <cellStyle name="Migliaia [0] 28 5 3" xfId="35717" xr:uid="{C2511FEE-AD0D-4FBB-943B-329C9F44D504}"/>
    <cellStyle name="Migliaia [0] 28 5 4" xfId="40833" xr:uid="{7A087FC7-2D06-4ABD-9D8A-28C9A11AF215}"/>
    <cellStyle name="Migliaia [0] 28 5 5" xfId="17098" xr:uid="{032FA917-4326-4E84-91A6-B28E04F920AE}"/>
    <cellStyle name="Migliaia [0] 28 6" xfId="5906" xr:uid="{6C5458CD-F69C-40DD-8E6E-3A40428ED8F9}"/>
    <cellStyle name="Migliaia [0] 28 6 2" xfId="38178" xr:uid="{98A3927E-37BA-4C3B-9CD7-1F1A6F42454D}"/>
    <cellStyle name="Migliaia [0] 28 6 3" xfId="43480" xr:uid="{33C08163-AB7D-42E1-91DB-ED5BDEE61ABE}"/>
    <cellStyle name="Migliaia [0] 28 6 4" xfId="32827" xr:uid="{92489CDD-3E5D-4CD8-987E-68611B420CB2}"/>
    <cellStyle name="Migliaia [0] 28 6 5" xfId="19597" xr:uid="{7B5DB784-7E77-4A0D-920A-14F8C2BEDC08}"/>
    <cellStyle name="Migliaia [0] 28 7" xfId="2918" xr:uid="{D845EC11-BD87-4950-AA3B-FDA87D329966}"/>
    <cellStyle name="Migliaia [0] 28 7 2" xfId="35713" xr:uid="{C337E2DE-8DDD-4513-B002-AE29F640A44E}"/>
    <cellStyle name="Migliaia [0] 28 8" xfId="40829" xr:uid="{C90EBC00-C8AD-44F1-94BF-FDF09888568C}"/>
    <cellStyle name="Migliaia [0] 28 9" xfId="7005" xr:uid="{9C9B985D-9523-4B73-BD35-6DD9EBB9F2B2}"/>
    <cellStyle name="Migliaia [0] 29" xfId="263" xr:uid="{00000000-0005-0000-0000-000029020000}"/>
    <cellStyle name="Migliaia [0] 29 2" xfId="1544" xr:uid="{00000000-0005-0000-0000-00002A020000}"/>
    <cellStyle name="Migliaia [0] 29 2 2" xfId="1545" xr:uid="{00000000-0005-0000-0000-00002B020000}"/>
    <cellStyle name="Migliaia [0] 29 2 2 2" xfId="4651" xr:uid="{D5801C32-99DB-4218-8F35-03CD6965A3FF}"/>
    <cellStyle name="Migliaia [0] 29 2 2 2 2" xfId="21762" xr:uid="{16EB1A11-BF78-43B6-99D5-70E4BADB3A81}"/>
    <cellStyle name="Migliaia [0] 29 2 2 2 3" xfId="47223" xr:uid="{3BABCA93-B548-4099-869F-C79969202ED6}"/>
    <cellStyle name="Migliaia [0] 29 2 2 2 4" xfId="50790" xr:uid="{98D9FD8D-2DE6-4615-A367-43A237E2B01E}"/>
    <cellStyle name="Migliaia [0] 29 2 2 2 5" xfId="53806" xr:uid="{E70FB230-06BA-4042-B47A-05F31EAFD170}"/>
    <cellStyle name="Migliaia [0] 29 2 2 2 6" xfId="11773" xr:uid="{E6A3F435-D14B-4B2A-978F-99B0C990FDA7}"/>
    <cellStyle name="Migliaia [0] 29 2 2 3" xfId="2925" xr:uid="{720BB586-176C-4735-9304-8C1255CE65AA}"/>
    <cellStyle name="Migliaia [0] 29 2 2 3 2" xfId="11552" xr:uid="{94F6842B-8575-4581-ADF6-032DCB26CBD5}"/>
    <cellStyle name="Migliaia [0] 29 2 2 4" xfId="10659" xr:uid="{EE991B17-60B0-484F-B287-D94A0F2ADCF5}"/>
    <cellStyle name="Migliaia [0] 29 2 2 4 2" xfId="21294" xr:uid="{D5A77288-D2BF-4649-8EE4-EADD421BE6D5}"/>
    <cellStyle name="Migliaia [0] 29 2 2 4 3" xfId="24762" xr:uid="{97E3375F-EDFD-4DA3-B21F-5DA773058466}"/>
    <cellStyle name="Migliaia [0] 29 2 2 4 4" xfId="50309" xr:uid="{47F3319A-A7A7-460A-A142-016C8582C55E}"/>
    <cellStyle name="Migliaia [0] 29 2 2 4 5" xfId="53325" xr:uid="{4DF133AA-471C-4285-B642-845D63EDCCF0}"/>
    <cellStyle name="Migliaia [0] 29 2 2 5" xfId="19604" xr:uid="{5261861F-56B0-4886-98C5-2D9BEDC01E7E}"/>
    <cellStyle name="Migliaia [0] 29 2 2 6" xfId="24055" xr:uid="{2BE5B963-890F-4B94-8413-B501EE597C82}"/>
    <cellStyle name="Migliaia [0] 29 2 2 7" xfId="48841" xr:uid="{2C6FB79E-AAA0-4434-9FD3-9798323F7ACA}"/>
    <cellStyle name="Migliaia [0] 29 2 2 8" xfId="49747" xr:uid="{5A380FFE-0BEA-4DC9-8E33-9EE357FB65DC}"/>
    <cellStyle name="Migliaia [0] 29 2 2 9" xfId="8447" xr:uid="{FB78E38C-E2A4-4E19-9B10-F99D923D075A}"/>
    <cellStyle name="Migliaia [0] 29 2 3" xfId="4650" xr:uid="{E85F9595-857A-4B21-8C0B-5F92D4B77AD4}"/>
    <cellStyle name="Migliaia [0] 29 2 3 2" xfId="32833" xr:uid="{3EA8FC3D-DF7F-482D-89F5-ADDA6360DAC5}"/>
    <cellStyle name="Migliaia [0] 29 2 3 2 2" xfId="38184" xr:uid="{4FDCB8AD-6046-4F05-9B22-85D497B152C7}"/>
    <cellStyle name="Migliaia [0] 29 2 3 2 3" xfId="43486" xr:uid="{047FAE6B-55E7-4193-A873-07119B845FCD}"/>
    <cellStyle name="Migliaia [0] 29 2 3 3" xfId="35719" xr:uid="{AAE57916-C024-4A5D-8DC3-235C3510A5A5}"/>
    <cellStyle name="Migliaia [0] 29 2 3 4" xfId="40835" xr:uid="{B330523F-3822-4DCD-9BB9-6ECB1F770FD3}"/>
    <cellStyle name="Migliaia [0] 29 2 3 5" xfId="11774" xr:uid="{07AD5279-87D0-49AA-B7CF-03D393561D2B}"/>
    <cellStyle name="Migliaia [0] 29 2 4" xfId="5911" xr:uid="{1B3209BF-D4C5-4116-AC4D-A38380EFCBD9}"/>
    <cellStyle name="Migliaia [0] 29 2 4 2" xfId="19603" xr:uid="{C1E57267-AC0D-45AD-97B2-E058A85FE6B5}"/>
    <cellStyle name="Migliaia [0] 29 2 5" xfId="2924" xr:uid="{394CB796-BD80-400D-95FC-54A45E0A49FC}"/>
    <cellStyle name="Migliaia [0] 29 2 5 2" xfId="24054" xr:uid="{622591CA-3245-493D-A5D0-E492C36C8238}"/>
    <cellStyle name="Migliaia [0] 29 2 6" xfId="7257" xr:uid="{D89AB884-042A-4908-939B-05574AA44CEE}"/>
    <cellStyle name="Migliaia [0] 29 3" xfId="1546" xr:uid="{00000000-0005-0000-0000-00002C020000}"/>
    <cellStyle name="Migliaia [0] 29 3 2" xfId="4652" xr:uid="{82E57E02-C640-4980-B6E8-6B4592377112}"/>
    <cellStyle name="Migliaia [0] 29 3 2 2" xfId="18322" xr:uid="{F41FA497-79FB-49F2-8BA4-A73FF7E4D36B}"/>
    <cellStyle name="Migliaia [0] 29 3 2 2 2" xfId="21763" xr:uid="{A75FCD6D-3DB1-4665-A4E9-996022DADF1C}"/>
    <cellStyle name="Migliaia [0] 29 3 2 2 2 2" xfId="38185" xr:uid="{A0378308-D69F-4CD2-B3D8-58CB02C1F38D}"/>
    <cellStyle name="Migliaia [0] 29 3 2 2 3" xfId="43487" xr:uid="{76EB9DEC-FDF7-4315-899D-C921F9D49217}"/>
    <cellStyle name="Migliaia [0] 29 3 2 2 4" xfId="32834" xr:uid="{E93EABAF-4040-4CB7-91A9-3FD0BE7F51BB}"/>
    <cellStyle name="Migliaia [0] 29 3 2 3" xfId="35720" xr:uid="{F0909EDC-6323-4D11-AD7E-437B70E749D8}"/>
    <cellStyle name="Migliaia [0] 29 3 2 4" xfId="40836" xr:uid="{ECE4BDD5-C33F-4F2C-9DA0-474E5E3EBDC5}"/>
    <cellStyle name="Migliaia [0] 29 3 2 5" xfId="47462" xr:uid="{8B4C9EEA-F6C9-43DA-9581-0AB2B168BD9D}"/>
    <cellStyle name="Migliaia [0] 29 3 2 6" xfId="50791" xr:uid="{704C167D-600C-433A-A84E-5C1CD73700A7}"/>
    <cellStyle name="Migliaia [0] 29 3 2 7" xfId="53807" xr:uid="{FACEADEA-BFCE-4813-B663-CAFD0F3F7A78}"/>
    <cellStyle name="Migliaia [0] 29 3 2 8" xfId="17598" xr:uid="{61E08B85-77BE-4964-A81B-88A9429E6016}"/>
    <cellStyle name="Migliaia [0] 29 3 2 9" xfId="11775" xr:uid="{B004C889-936C-4637-AC56-110FB2FE034F}"/>
    <cellStyle name="Migliaia [0] 29 3 3" xfId="5912" xr:uid="{82A21DAD-DFF2-4C7A-B2AD-3CBFD3DBE395}"/>
    <cellStyle name="Migliaia [0] 29 3 3 2" xfId="12211" xr:uid="{3120D6A7-D813-4E15-BDE1-D72AA5F4EEC7}"/>
    <cellStyle name="Migliaia [0] 29 3 4" xfId="2926" xr:uid="{38DC9599-8A18-41A1-97DA-821F407D2C1C}"/>
    <cellStyle name="Migliaia [0] 29 3 4 2" xfId="21295" xr:uid="{DADE2133-8D11-40CF-BB30-C9B129EE8754}"/>
    <cellStyle name="Migliaia [0] 29 3 4 3" xfId="47062" xr:uid="{C78F784D-7866-4250-9C08-0AF6F0599BDE}"/>
    <cellStyle name="Migliaia [0] 29 3 4 4" xfId="50310" xr:uid="{2093CA93-61EE-41AA-AC61-2A5CF4B30A01}"/>
    <cellStyle name="Migliaia [0] 29 3 4 5" xfId="53326" xr:uid="{42D8D12B-596D-407D-B2C7-0DD6F894556C}"/>
    <cellStyle name="Migliaia [0] 29 3 4 6" xfId="10660" xr:uid="{F3BA85A4-C826-4FB5-B8AC-D40D7134B510}"/>
    <cellStyle name="Migliaia [0] 29 3 5" xfId="19605" xr:uid="{742964F5-5A6C-485B-9BAE-9C1601771B1B}"/>
    <cellStyle name="Migliaia [0] 29 3 6" xfId="24056" xr:uid="{EA206B71-5267-4E28-9BA2-FC03E9F02B95}"/>
    <cellStyle name="Migliaia [0] 29 3 7" xfId="8205" xr:uid="{34FC0C95-8DC0-4576-B828-F4B6DA0ABE44}"/>
    <cellStyle name="Migliaia [0] 29 4" xfId="2927" xr:uid="{F5A24B15-08AF-4283-A86E-109EC7697FE4}"/>
    <cellStyle name="Migliaia [0] 29 4 2" xfId="4653" xr:uid="{204BFE5A-E34E-4C78-ABC6-EE816F37BAE1}"/>
    <cellStyle name="Migliaia [0] 29 4 2 2" xfId="35090" xr:uid="{14A150CA-53CC-4CAA-B36D-6F81F8479DB6}"/>
    <cellStyle name="Migliaia [0] 29 4 2 2 2" xfId="40248" xr:uid="{EB357118-7649-435D-9997-83D0A4FC026B}"/>
    <cellStyle name="Migliaia [0] 29 4 2 2 3" xfId="45550" xr:uid="{D36D839C-7A5F-484B-BFC1-1BA366C21FA0}"/>
    <cellStyle name="Migliaia [0] 29 4 2 3" xfId="37597" xr:uid="{C1DF6F00-EFD2-4407-963D-8379B308E215}"/>
    <cellStyle name="Migliaia [0] 29 4 2 4" xfId="42899" xr:uid="{43C498AC-ED7A-4955-B10C-DBD219C8A44C}"/>
    <cellStyle name="Migliaia [0] 29 4 2 5" xfId="17030" xr:uid="{E6317495-3659-48A4-BED9-984781FBD85F}"/>
    <cellStyle name="Migliaia [0] 29 4 3" xfId="5913" xr:uid="{0244F6CE-BDA6-4F96-948F-4416C4A37D19}"/>
    <cellStyle name="Migliaia [0] 29 4 3 2" xfId="38186" xr:uid="{3E983A79-6D84-4924-9A0D-6C23CB947821}"/>
    <cellStyle name="Migliaia [0] 29 4 3 3" xfId="43488" xr:uid="{03B2EE92-AAC1-4AB9-B87C-9C01CC377243}"/>
    <cellStyle name="Migliaia [0] 29 4 3 4" xfId="32835" xr:uid="{9826C80C-6557-4572-83CC-D060525259F6}"/>
    <cellStyle name="Migliaia [0] 29 4 3 5" xfId="19606" xr:uid="{E070E520-4D9E-4DA3-A7F2-4A665DADCD44}"/>
    <cellStyle name="Migliaia [0] 29 4 4" xfId="35721" xr:uid="{FF41614E-7B45-460D-A2F1-26E87CFDBC6A}"/>
    <cellStyle name="Migliaia [0] 29 4 5" xfId="40837" xr:uid="{E7D7A69A-471F-4EE4-A349-17F18E20D0EA}"/>
    <cellStyle name="Migliaia [0] 29 4 6" xfId="15972" xr:uid="{F653B93A-7557-48DF-BAC6-3317D891956D}"/>
    <cellStyle name="Migliaia [0] 29 4 7" xfId="7785" xr:uid="{55A95F8F-2FED-45F2-9124-B75CB41DCC35}"/>
    <cellStyle name="Migliaia [0] 29 5" xfId="4649" xr:uid="{191B8EE5-3A0C-4C13-A23F-2873E043F1D9}"/>
    <cellStyle name="Migliaia [0] 29 5 2" xfId="32836" xr:uid="{40A8EE63-D4CB-4304-ACA6-BD28592682D2}"/>
    <cellStyle name="Migliaia [0] 29 5 2 2" xfId="38187" xr:uid="{2202A95C-18DF-4C17-9BFE-9AC9EE34D9F3}"/>
    <cellStyle name="Migliaia [0] 29 5 2 3" xfId="43489" xr:uid="{42DC092D-707E-4DBB-A738-0054CDBC27FD}"/>
    <cellStyle name="Migliaia [0] 29 5 3" xfId="35722" xr:uid="{AF444F0A-E368-42E6-BF9D-025F552866C2}"/>
    <cellStyle name="Migliaia [0] 29 5 4" xfId="40838" xr:uid="{00AA025E-7E3C-4A1B-8574-7531E8DEAEF1}"/>
    <cellStyle name="Migliaia [0] 29 5 5" xfId="17099" xr:uid="{C3769B9A-59DF-402A-9D7D-403CCC9A086D}"/>
    <cellStyle name="Migliaia [0] 29 6" xfId="5910" xr:uid="{1FBCF564-56A6-4811-8D47-346ED1AA1E9B}"/>
    <cellStyle name="Migliaia [0] 29 6 2" xfId="38183" xr:uid="{C2175896-77D9-4249-A945-F021DB6FA353}"/>
    <cellStyle name="Migliaia [0] 29 6 3" xfId="43485" xr:uid="{1CDC4345-E790-48B2-95FE-AB98A4C93404}"/>
    <cellStyle name="Migliaia [0] 29 6 4" xfId="32832" xr:uid="{8E771B09-8137-4729-B1FF-AACE8A400F25}"/>
    <cellStyle name="Migliaia [0] 29 6 5" xfId="19602" xr:uid="{35E107F3-7F5F-48D0-B29F-C15D604C7D1E}"/>
    <cellStyle name="Migliaia [0] 29 7" xfId="2923" xr:uid="{33BE0ABB-E903-41C0-9A7A-FE95D2A9E70F}"/>
    <cellStyle name="Migliaia [0] 29 7 2" xfId="35718" xr:uid="{7BCE4A9F-81F9-4C24-8151-1E84C666B6DC}"/>
    <cellStyle name="Migliaia [0] 29 8" xfId="40834" xr:uid="{21AE321D-476C-4B80-9D28-F26D7C4D36ED}"/>
    <cellStyle name="Migliaia [0] 29 9" xfId="7006" xr:uid="{E6A24B07-63FD-4A17-8C7D-080752159FE1}"/>
    <cellStyle name="Migliaia [0] 3" xfId="264" xr:uid="{00000000-0005-0000-0000-00002D020000}"/>
    <cellStyle name="Migliaia [0] 3 2" xfId="1547" xr:uid="{00000000-0005-0000-0000-00002E020000}"/>
    <cellStyle name="Migliaia [0] 3 2 2" xfId="1548" xr:uid="{00000000-0005-0000-0000-00002F020000}"/>
    <cellStyle name="Migliaia [0] 3 2 2 2" xfId="4656" xr:uid="{16B01420-7FC7-450C-8E6B-C8BF9BECE2C2}"/>
    <cellStyle name="Migliaia [0] 3 2 2 2 2" xfId="21764" xr:uid="{A928C344-6885-4D91-9C32-03886BB199F6}"/>
    <cellStyle name="Migliaia [0] 3 2 2 2 3" xfId="47910" xr:uid="{8C454160-E324-4D74-9F7E-DE2B602989FE}"/>
    <cellStyle name="Migliaia [0] 3 2 2 2 4" xfId="50792" xr:uid="{4BC57D9C-3936-46DC-8D70-AD3E143F5B49}"/>
    <cellStyle name="Migliaia [0] 3 2 2 2 5" xfId="53808" xr:uid="{BCCED8F4-91C6-4560-AA15-EFBF0957F541}"/>
    <cellStyle name="Migliaia [0] 3 2 2 2 6" xfId="11776" xr:uid="{94442C21-019C-48BA-B803-4DB08D3E4D73}"/>
    <cellStyle name="Migliaia [0] 3 2 2 3" xfId="2930" xr:uid="{3EC3DB64-8F58-4833-B37F-C6B23F3507ED}"/>
    <cellStyle name="Migliaia [0] 3 2 2 3 2" xfId="12346" xr:uid="{E407B9A3-E58E-4731-AABE-1BCDB24A1870}"/>
    <cellStyle name="Migliaia [0] 3 2 2 4" xfId="10661" xr:uid="{E0C87A32-8000-4EC3-8777-B6D0DA013A97}"/>
    <cellStyle name="Migliaia [0] 3 2 2 4 2" xfId="21296" xr:uid="{2AC6B1AE-FE00-4139-9293-7E2C30098216}"/>
    <cellStyle name="Migliaia [0] 3 2 2 4 3" xfId="48527" xr:uid="{F60CBA09-162E-426D-A4EB-4A56840B4F04}"/>
    <cellStyle name="Migliaia [0] 3 2 2 4 4" xfId="50311" xr:uid="{9C9DB4AB-0CF6-4401-88B2-122CA7300085}"/>
    <cellStyle name="Migliaia [0] 3 2 2 4 5" xfId="53327" xr:uid="{E720B4E4-70F7-490C-92D3-94D411998183}"/>
    <cellStyle name="Migliaia [0] 3 2 2 5" xfId="19609" xr:uid="{F437297F-25E2-4F6B-BB7F-12A2954CA6D3}"/>
    <cellStyle name="Migliaia [0] 3 2 2 6" xfId="24058" xr:uid="{E5D4973D-C9B1-4520-80F2-1FB6AE7019F6}"/>
    <cellStyle name="Migliaia [0] 3 2 2 7" xfId="48842" xr:uid="{34B9FB95-2006-421E-A1CA-182439EAD208}"/>
    <cellStyle name="Migliaia [0] 3 2 2 8" xfId="49748" xr:uid="{58E3C009-F434-45C5-95E2-770229EC9DAE}"/>
    <cellStyle name="Migliaia [0] 3 2 2 9" xfId="8448" xr:uid="{9CCC8BFC-BAE6-4274-89E5-F50781B3E526}"/>
    <cellStyle name="Migliaia [0] 3 2 3" xfId="4655" xr:uid="{9DE57690-7635-4E91-A6A1-6F628884FB86}"/>
    <cellStyle name="Migliaia [0] 3 2 3 2" xfId="32838" xr:uid="{B011B512-6A17-4E93-A8B9-F374EDD50F33}"/>
    <cellStyle name="Migliaia [0] 3 2 3 2 2" xfId="38189" xr:uid="{42580127-9EA6-4714-8EA5-1DE4C3969D50}"/>
    <cellStyle name="Migliaia [0] 3 2 3 2 3" xfId="43491" xr:uid="{B8540C45-BF32-4BC0-85DE-A27A87139B9F}"/>
    <cellStyle name="Migliaia [0] 3 2 3 3" xfId="35724" xr:uid="{8C43B12E-0DA6-471E-86C0-06144FB98C3D}"/>
    <cellStyle name="Migliaia [0] 3 2 3 4" xfId="40840" xr:uid="{5C7BA148-1E27-4E01-96DF-0AD56E33001F}"/>
    <cellStyle name="Migliaia [0] 3 2 3 5" xfId="11777" xr:uid="{AB15D920-974A-4B63-8675-BEAFE7AABBE5}"/>
    <cellStyle name="Migliaia [0] 3 2 4" xfId="5915" xr:uid="{E3B84E8B-0F94-4D35-B280-44F7E0CF4D8E}"/>
    <cellStyle name="Migliaia [0] 3 2 4 2" xfId="19608" xr:uid="{983FA37A-9589-4C2A-84D1-D07C22D56794}"/>
    <cellStyle name="Migliaia [0] 3 2 5" xfId="2929" xr:uid="{D5BC513D-945B-4C4E-A2DC-12047BEAFD27}"/>
    <cellStyle name="Migliaia [0] 3 2 5 2" xfId="24057" xr:uid="{FA7AF015-5AD4-471D-B59F-82D4A6DB69B5}"/>
    <cellStyle name="Migliaia [0] 3 2 6" xfId="7258" xr:uid="{1FC5E909-D156-49B0-8702-44D0799F8DD4}"/>
    <cellStyle name="Migliaia [0] 3 3" xfId="1549" xr:uid="{00000000-0005-0000-0000-000030020000}"/>
    <cellStyle name="Migliaia [0] 3 3 2" xfId="4657" xr:uid="{51780C54-36CD-417D-B343-B08B55FF5EB1}"/>
    <cellStyle name="Migliaia [0] 3 3 2 2" xfId="18323" xr:uid="{3E96F3F5-D3E8-41CC-88CD-8028ED6A392B}"/>
    <cellStyle name="Migliaia [0] 3 3 2 2 2" xfId="21765" xr:uid="{82227222-9691-4A10-82AD-44262D543637}"/>
    <cellStyle name="Migliaia [0] 3 3 2 2 2 2" xfId="38190" xr:uid="{D8E5A2D0-AFE7-4230-9DF0-D230BD7F86E0}"/>
    <cellStyle name="Migliaia [0] 3 3 2 2 3" xfId="43492" xr:uid="{90479EEC-7FA3-4705-9255-A676894254A2}"/>
    <cellStyle name="Migliaia [0] 3 3 2 2 4" xfId="32839" xr:uid="{C53F73E1-DC1E-4189-AE76-6CCE4EAB8811}"/>
    <cellStyle name="Migliaia [0] 3 3 2 3" xfId="35725" xr:uid="{FB070936-EDA0-4948-BA73-53FD8530C511}"/>
    <cellStyle name="Migliaia [0] 3 3 2 4" xfId="40841" xr:uid="{B16C678F-4F06-4748-B6CC-0C04E5593254}"/>
    <cellStyle name="Migliaia [0] 3 3 2 5" xfId="47986" xr:uid="{CD8E9D5C-BE7D-4078-8CC2-9855CCCF7047}"/>
    <cellStyle name="Migliaia [0] 3 3 2 6" xfId="50793" xr:uid="{6A79DF2E-8181-47DF-9DFF-CF87741CCD73}"/>
    <cellStyle name="Migliaia [0] 3 3 2 7" xfId="53809" xr:uid="{C0208071-B0D3-44A7-9698-B305596314D4}"/>
    <cellStyle name="Migliaia [0] 3 3 2 8" xfId="17599" xr:uid="{03456750-AAE2-43CF-919F-DE098FEF53F2}"/>
    <cellStyle name="Migliaia [0] 3 3 2 9" xfId="11778" xr:uid="{3D105CBB-B5BF-43A0-B10B-C2ED4162559C}"/>
    <cellStyle name="Migliaia [0] 3 3 3" xfId="5916" xr:uid="{612F8D8D-994A-42DD-8D27-866C56C341EC}"/>
    <cellStyle name="Migliaia [0] 3 3 3 2" xfId="12212" xr:uid="{029B71C5-2159-4A80-9135-C8FFEEBDC4B0}"/>
    <cellStyle name="Migliaia [0] 3 3 4" xfId="2931" xr:uid="{723E80F8-C384-4C28-A62D-51060AC0B376}"/>
    <cellStyle name="Migliaia [0] 3 3 4 2" xfId="21297" xr:uid="{136D9239-335F-4349-A041-51A72F4B9601}"/>
    <cellStyle name="Migliaia [0] 3 3 4 3" xfId="48465" xr:uid="{81B91BA7-54EA-4A90-97C4-A254AD3FF549}"/>
    <cellStyle name="Migliaia [0] 3 3 4 4" xfId="50312" xr:uid="{29ECC19E-AC30-4812-8DA6-F3787D6F3B3B}"/>
    <cellStyle name="Migliaia [0] 3 3 4 5" xfId="53328" xr:uid="{1ABC58B3-16E5-4B04-AEF8-8B2A0B679F42}"/>
    <cellStyle name="Migliaia [0] 3 3 4 6" xfId="10662" xr:uid="{C9164677-D577-4BAC-9B02-1D2A7591B3FD}"/>
    <cellStyle name="Migliaia [0] 3 3 5" xfId="19610" xr:uid="{C3FA2AC6-3C5A-491C-8C7C-EB49F401575A}"/>
    <cellStyle name="Migliaia [0] 3 3 6" xfId="24059" xr:uid="{57C31D6E-4E10-4D8C-8ED5-9E92F7C1466C}"/>
    <cellStyle name="Migliaia [0] 3 3 7" xfId="8206" xr:uid="{E04CB525-C829-46DB-97DC-2A043519EBD1}"/>
    <cellStyle name="Migliaia [0] 3 4" xfId="2932" xr:uid="{828C6A43-A9F6-417C-A7C3-839A8585DAF8}"/>
    <cellStyle name="Migliaia [0] 3 4 2" xfId="4658" xr:uid="{4266368E-5720-4834-8CA0-C12ABB4F240C}"/>
    <cellStyle name="Migliaia [0] 3 4 2 2" xfId="35091" xr:uid="{5FACE868-DD25-413D-9615-3BCC4D7E7E43}"/>
    <cellStyle name="Migliaia [0] 3 4 2 2 2" xfId="40249" xr:uid="{3F66A8EF-DCF4-449A-8742-8E11A3CB206D}"/>
    <cellStyle name="Migliaia [0] 3 4 2 2 3" xfId="45551" xr:uid="{12A94E4E-22EC-4E7C-AFBB-D62C68C47510}"/>
    <cellStyle name="Migliaia [0] 3 4 2 3" xfId="37598" xr:uid="{B66C3575-C386-472C-A160-9329363D4BF9}"/>
    <cellStyle name="Migliaia [0] 3 4 2 4" xfId="42900" xr:uid="{A87D3059-8270-4D95-BDEC-7F087F94B196}"/>
    <cellStyle name="Migliaia [0] 3 4 2 5" xfId="17031" xr:uid="{4CD03E06-C2CA-4D16-83E9-E78E8E4AEE75}"/>
    <cellStyle name="Migliaia [0] 3 4 3" xfId="5917" xr:uid="{0C8B52F7-BD36-4E29-8E52-A961E578A7AD}"/>
    <cellStyle name="Migliaia [0] 3 4 3 2" xfId="38191" xr:uid="{6EED8AA3-64E2-47C3-AE9C-BB5A7EA7DB92}"/>
    <cellStyle name="Migliaia [0] 3 4 3 3" xfId="43493" xr:uid="{6D102E14-339F-4241-9B0D-E889236CC6F2}"/>
    <cellStyle name="Migliaia [0] 3 4 3 4" xfId="32840" xr:uid="{0CFFEED4-3FDC-4BCF-B502-6973B9664E2C}"/>
    <cellStyle name="Migliaia [0] 3 4 3 5" xfId="19611" xr:uid="{4B6D0C1B-FE47-4995-A94A-59A8E81C2C01}"/>
    <cellStyle name="Migliaia [0] 3 4 4" xfId="35726" xr:uid="{803C1A1D-3EF4-437D-A4A6-0F4A42613040}"/>
    <cellStyle name="Migliaia [0] 3 4 5" xfId="40842" xr:uid="{EE7F6493-6C77-4063-AAA9-17142E32F4D2}"/>
    <cellStyle name="Migliaia [0] 3 4 6" xfId="15973" xr:uid="{52AEBA5E-0DAA-4AF4-9DAF-CDF8FC5BE48E}"/>
    <cellStyle name="Migliaia [0] 3 4 7" xfId="7786" xr:uid="{EACEDEF9-BDF7-43D4-8A9F-86A436641923}"/>
    <cellStyle name="Migliaia [0] 3 5" xfId="4654" xr:uid="{CC5EBAC2-DC75-4000-98B9-D16A423DDC34}"/>
    <cellStyle name="Migliaia [0] 3 5 2" xfId="32841" xr:uid="{2257D87E-60FB-448A-A879-39936057DC4B}"/>
    <cellStyle name="Migliaia [0] 3 5 2 2" xfId="38192" xr:uid="{45F9F90A-B637-4914-878C-72FF5CC94383}"/>
    <cellStyle name="Migliaia [0] 3 5 2 3" xfId="43494" xr:uid="{A73FCC91-CB3D-4CC9-B6CE-27EEF97B42B6}"/>
    <cellStyle name="Migliaia [0] 3 5 3" xfId="35727" xr:uid="{299B4298-D032-4030-A51B-D787AF462690}"/>
    <cellStyle name="Migliaia [0] 3 5 4" xfId="40843" xr:uid="{DEAF7787-A8A0-47E0-A49C-FE74C7D49227}"/>
    <cellStyle name="Migliaia [0] 3 5 5" xfId="17100" xr:uid="{717A2CC6-B198-4AA2-A7B9-E475FB042816}"/>
    <cellStyle name="Migliaia [0] 3 6" xfId="5914" xr:uid="{25E9EB59-3685-4CF4-84BC-075D06C3B0A3}"/>
    <cellStyle name="Migliaia [0] 3 6 2" xfId="38188" xr:uid="{0F9B16DE-FCFD-4406-B74F-1EAA42EE9B19}"/>
    <cellStyle name="Migliaia [0] 3 6 3" xfId="43490" xr:uid="{FCDAA2C2-67BD-4BFA-B4B3-FB184D93392F}"/>
    <cellStyle name="Migliaia [0] 3 6 4" xfId="32837" xr:uid="{B85ADB57-BDDE-4C72-A98C-F657E6180359}"/>
    <cellStyle name="Migliaia [0] 3 6 5" xfId="19607" xr:uid="{647DD766-2579-4AC7-963A-37AC9F945DCF}"/>
    <cellStyle name="Migliaia [0] 3 7" xfId="2928" xr:uid="{486EDCC6-333D-4BF1-8B0E-CFEF90D3DF83}"/>
    <cellStyle name="Migliaia [0] 3 7 2" xfId="35723" xr:uid="{3D249D79-8DEF-451D-B9ED-28F4B2BFF693}"/>
    <cellStyle name="Migliaia [0] 3 8" xfId="40839" xr:uid="{BF3CCB42-7772-4236-8863-8CEEBE948FC2}"/>
    <cellStyle name="Migliaia [0] 3 9" xfId="7007" xr:uid="{C4BE1D2A-E8BB-4407-8D3E-26D522B38AF3}"/>
    <cellStyle name="Migliaia [0] 30" xfId="265" xr:uid="{00000000-0005-0000-0000-000031020000}"/>
    <cellStyle name="Migliaia [0] 30 2" xfId="1550" xr:uid="{00000000-0005-0000-0000-000032020000}"/>
    <cellStyle name="Migliaia [0] 30 2 2" xfId="1551" xr:uid="{00000000-0005-0000-0000-000033020000}"/>
    <cellStyle name="Migliaia [0] 30 2 2 2" xfId="4661" xr:uid="{3B9E95A9-0D4D-4F5F-90CF-DA2709414F2F}"/>
    <cellStyle name="Migliaia [0] 30 2 2 2 2" xfId="21766" xr:uid="{F6F6F39E-85AE-4518-A828-CEDE9E5F69A1}"/>
    <cellStyle name="Migliaia [0] 30 2 2 2 3" xfId="46739" xr:uid="{D75DEB10-5BE0-49DE-8957-D50EE579FE99}"/>
    <cellStyle name="Migliaia [0] 30 2 2 2 4" xfId="50794" xr:uid="{7D229390-9E41-4F00-967C-2B4805DD5E56}"/>
    <cellStyle name="Migliaia [0] 30 2 2 2 5" xfId="53810" xr:uid="{DBBD90CD-2352-4FDC-80B0-CB97CB0D41D6}"/>
    <cellStyle name="Migliaia [0] 30 2 2 2 6" xfId="11779" xr:uid="{DC77C715-FE0F-42FC-A0A3-0E2739E9E823}"/>
    <cellStyle name="Migliaia [0] 30 2 2 3" xfId="2935" xr:uid="{8D56536F-DC48-4686-A265-701069B89922}"/>
    <cellStyle name="Migliaia [0] 30 2 2 3 2" xfId="12345" xr:uid="{46511D94-EE69-4088-9577-69DE7D6C4CCF}"/>
    <cellStyle name="Migliaia [0] 30 2 2 4" xfId="10663" xr:uid="{ABA9665D-AD6A-4752-B442-D439D4C3383D}"/>
    <cellStyle name="Migliaia [0] 30 2 2 4 2" xfId="21298" xr:uid="{35B7112A-9332-4F2C-A708-86E26A79A1CB}"/>
    <cellStyle name="Migliaia [0] 30 2 2 4 3" xfId="46177" xr:uid="{31DF51C2-3F32-4D7E-B9CB-29801A9D96D2}"/>
    <cellStyle name="Migliaia [0] 30 2 2 4 4" xfId="50313" xr:uid="{5E250A98-25AF-4E57-92D3-A9288251A9CA}"/>
    <cellStyle name="Migliaia [0] 30 2 2 4 5" xfId="53329" xr:uid="{B04B6BD1-21B3-471E-9E78-CB902D00A71B}"/>
    <cellStyle name="Migliaia [0] 30 2 2 5" xfId="19614" xr:uid="{1350CFD2-DEBA-4D6C-AC42-D52C79260A59}"/>
    <cellStyle name="Migliaia [0] 30 2 2 6" xfId="24061" xr:uid="{CB9C5FC4-C2D9-4FF4-A589-30D469D6C53B}"/>
    <cellStyle name="Migliaia [0] 30 2 2 7" xfId="48843" xr:uid="{7878DDD4-45B5-4D8D-9286-B0E67C233D65}"/>
    <cellStyle name="Migliaia [0] 30 2 2 8" xfId="49749" xr:uid="{E2FFC32F-CFCD-4F59-B31B-2628972E0C19}"/>
    <cellStyle name="Migliaia [0] 30 2 2 9" xfId="8449" xr:uid="{0BEB5BF2-F086-401B-AAA4-A83951B98E1C}"/>
    <cellStyle name="Migliaia [0] 30 2 3" xfId="4660" xr:uid="{02DA3125-4EFB-42DE-B414-710D3DC40C09}"/>
    <cellStyle name="Migliaia [0] 30 2 3 2" xfId="32843" xr:uid="{8AF92B00-EE75-4924-AFF1-1C8862ECD340}"/>
    <cellStyle name="Migliaia [0] 30 2 3 2 2" xfId="38194" xr:uid="{0182AB9C-E4C2-4B35-89B2-205F7CCB1BD5}"/>
    <cellStyle name="Migliaia [0] 30 2 3 2 3" xfId="43496" xr:uid="{F08C3C6D-AEB3-421A-BAD4-C8E9898B71FF}"/>
    <cellStyle name="Migliaia [0] 30 2 3 3" xfId="35729" xr:uid="{F87D9C8E-8359-4BEE-B866-EB2A76348BF3}"/>
    <cellStyle name="Migliaia [0] 30 2 3 4" xfId="40845" xr:uid="{4C82D764-51F1-4DF2-9809-3DB3AE794B58}"/>
    <cellStyle name="Migliaia [0] 30 2 3 5" xfId="11780" xr:uid="{E93FB617-45FB-4673-9346-66AFB1E077F6}"/>
    <cellStyle name="Migliaia [0] 30 2 4" xfId="5919" xr:uid="{16C5FE11-9E49-4A1B-A7B5-3355D4F44771}"/>
    <cellStyle name="Migliaia [0] 30 2 4 2" xfId="19613" xr:uid="{545F17B6-0D06-492A-B1A7-9E95D390ACC3}"/>
    <cellStyle name="Migliaia [0] 30 2 5" xfId="2934" xr:uid="{3285AFE4-13F3-4CCA-95D9-5EEC688EE58F}"/>
    <cellStyle name="Migliaia [0] 30 2 5 2" xfId="24060" xr:uid="{419D84A2-A2EA-4E06-AEE8-860B571CD3E9}"/>
    <cellStyle name="Migliaia [0] 30 2 6" xfId="7259" xr:uid="{407F6093-94A3-464E-8622-CF4416C960A8}"/>
    <cellStyle name="Migliaia [0] 30 3" xfId="1552" xr:uid="{00000000-0005-0000-0000-000034020000}"/>
    <cellStyle name="Migliaia [0] 30 3 2" xfId="4662" xr:uid="{4462E0EB-B701-4CEE-9851-900F9A0CAECE}"/>
    <cellStyle name="Migliaia [0] 30 3 2 2" xfId="18324" xr:uid="{2BB2DE71-F3BB-44FD-8929-3A38B25779F9}"/>
    <cellStyle name="Migliaia [0] 30 3 2 2 2" xfId="21767" xr:uid="{00A49699-838A-45BE-8ACB-514A3E35AE90}"/>
    <cellStyle name="Migliaia [0] 30 3 2 2 2 2" xfId="38195" xr:uid="{C3A21DC0-3D76-4851-936F-2A5B719A6B81}"/>
    <cellStyle name="Migliaia [0] 30 3 2 2 3" xfId="43497" xr:uid="{AC522C4E-C928-4ECC-9DD3-D2A5EC5EC347}"/>
    <cellStyle name="Migliaia [0] 30 3 2 2 4" xfId="32844" xr:uid="{5AEAB9DA-8A72-43DA-B996-3F06BE2A673F}"/>
    <cellStyle name="Migliaia [0] 30 3 2 3" xfId="35730" xr:uid="{4A95BA14-D32D-45B9-8E03-5AC8459DD93B}"/>
    <cellStyle name="Migliaia [0] 30 3 2 4" xfId="40846" xr:uid="{7BBF5884-6417-4751-AB5E-BBFDC761AA12}"/>
    <cellStyle name="Migliaia [0] 30 3 2 5" xfId="47608" xr:uid="{C012FBE8-FA75-48CA-8777-7F14C079E41D}"/>
    <cellStyle name="Migliaia [0] 30 3 2 6" xfId="50795" xr:uid="{AD925C57-C03B-4D95-80A6-E480E37DC9D3}"/>
    <cellStyle name="Migliaia [0] 30 3 2 7" xfId="53811" xr:uid="{13BED89F-B9EA-445D-8CF1-19D08A00E237}"/>
    <cellStyle name="Migliaia [0] 30 3 2 8" xfId="17600" xr:uid="{A01E3603-B8E9-469D-B684-60DA37F865B8}"/>
    <cellStyle name="Migliaia [0] 30 3 2 9" xfId="11781" xr:uid="{BDA1DF1E-FE21-4409-B165-A1070BBDF6B4}"/>
    <cellStyle name="Migliaia [0] 30 3 3" xfId="5920" xr:uid="{A10100E7-2287-406D-A4EF-2815ADD197BA}"/>
    <cellStyle name="Migliaia [0] 30 3 3 2" xfId="11115" xr:uid="{71C09668-88EC-4014-A351-6B0A0C49EEA2}"/>
    <cellStyle name="Migliaia [0] 30 3 4" xfId="2936" xr:uid="{1B5E6B2B-CE79-4749-8E61-27BD6BE8469A}"/>
    <cellStyle name="Migliaia [0] 30 3 4 2" xfId="21299" xr:uid="{F3915763-FB01-43E2-A462-C1E1FA6A0DC6}"/>
    <cellStyle name="Migliaia [0] 30 3 4 3" xfId="46178" xr:uid="{71A203BC-88AA-408B-9B41-55CDB4D8CD65}"/>
    <cellStyle name="Migliaia [0] 30 3 4 4" xfId="50314" xr:uid="{0119FC7F-B0C0-40CE-9446-43ACF98838D2}"/>
    <cellStyle name="Migliaia [0] 30 3 4 5" xfId="53330" xr:uid="{1ADE7094-B76A-4AAD-98C7-162589989717}"/>
    <cellStyle name="Migliaia [0] 30 3 4 6" xfId="10664" xr:uid="{ECBE4615-D870-46B1-B26A-A1D3C9EF29CB}"/>
    <cellStyle name="Migliaia [0] 30 3 5" xfId="19615" xr:uid="{E2238B40-A119-4E2E-94DA-0B9FDFAC4418}"/>
    <cellStyle name="Migliaia [0] 30 3 6" xfId="24062" xr:uid="{F8F914EF-73B3-48B4-BC14-89AAACD08558}"/>
    <cellStyle name="Migliaia [0] 30 3 7" xfId="8207" xr:uid="{8F773B50-6D63-480D-8BE5-C4952D90AA67}"/>
    <cellStyle name="Migliaia [0] 30 4" xfId="2937" xr:uid="{833B0738-56A5-4B91-8F98-4D68676AF07C}"/>
    <cellStyle name="Migliaia [0] 30 4 2" xfId="4663" xr:uid="{69A3D34C-4A4A-4F38-8243-E7DE0AC675F6}"/>
    <cellStyle name="Migliaia [0] 30 4 2 2" xfId="35092" xr:uid="{B0EDFE0B-49D1-4E33-B93A-F708827608DA}"/>
    <cellStyle name="Migliaia [0] 30 4 2 2 2" xfId="40250" xr:uid="{4A53C5AB-965C-4240-97B7-7B78E389EA88}"/>
    <cellStyle name="Migliaia [0] 30 4 2 2 3" xfId="45552" xr:uid="{0A40FE0F-7606-4B2D-8868-B34CBF49BB84}"/>
    <cellStyle name="Migliaia [0] 30 4 2 3" xfId="37599" xr:uid="{0F4CE581-6D0C-49FE-B002-F27F25B475EA}"/>
    <cellStyle name="Migliaia [0] 30 4 2 4" xfId="42901" xr:uid="{39AF3EBA-2B6D-49F6-B3EE-C94769A676A3}"/>
    <cellStyle name="Migliaia [0] 30 4 2 5" xfId="17032" xr:uid="{0488F846-7503-4B1C-B4D3-B9D3A782CF37}"/>
    <cellStyle name="Migliaia [0] 30 4 3" xfId="5921" xr:uid="{10AB3740-54C0-456F-9501-CA25CCC8EFEB}"/>
    <cellStyle name="Migliaia [0] 30 4 3 2" xfId="38196" xr:uid="{C550AB16-5AE2-4814-BF46-D563219A5CB2}"/>
    <cellStyle name="Migliaia [0] 30 4 3 3" xfId="43498" xr:uid="{E23C23F9-7A6C-44AD-A6FB-BB989751B36A}"/>
    <cellStyle name="Migliaia [0] 30 4 3 4" xfId="32845" xr:uid="{AF5F6C7F-4B94-4DCE-9478-C2BCCE2C4036}"/>
    <cellStyle name="Migliaia [0] 30 4 3 5" xfId="19616" xr:uid="{9FDF5D7F-AF1C-4E06-B56F-162253DED144}"/>
    <cellStyle name="Migliaia [0] 30 4 4" xfId="35731" xr:uid="{2F9533A0-5D24-4B1C-B39C-60A39040F775}"/>
    <cellStyle name="Migliaia [0] 30 4 5" xfId="40847" xr:uid="{735E343B-BD65-485E-989F-5F8D74AFB62E}"/>
    <cellStyle name="Migliaia [0] 30 4 6" xfId="15974" xr:uid="{829BE8FF-63E2-484A-BDC3-229C6444D527}"/>
    <cellStyle name="Migliaia [0] 30 4 7" xfId="7787" xr:uid="{FA0C7FA9-1068-4899-B02D-836F7077F0C0}"/>
    <cellStyle name="Migliaia [0] 30 5" xfId="4659" xr:uid="{2E3AB526-C215-498D-A056-8F9C88C7E1DF}"/>
    <cellStyle name="Migliaia [0] 30 5 2" xfId="32846" xr:uid="{68162CC6-DF28-4AEA-B934-6BFB58624692}"/>
    <cellStyle name="Migliaia [0] 30 5 2 2" xfId="38197" xr:uid="{077177E3-DFDF-4726-8806-BD852EA70E3A}"/>
    <cellStyle name="Migliaia [0] 30 5 2 3" xfId="43499" xr:uid="{57A612B5-F116-45E0-BE93-01B7707B629B}"/>
    <cellStyle name="Migliaia [0] 30 5 3" xfId="35732" xr:uid="{EE41D4CC-C35C-4AB7-BD2B-A9B194C39CF4}"/>
    <cellStyle name="Migliaia [0] 30 5 4" xfId="40848" xr:uid="{4E0192A6-12CA-4800-9287-66B6287EF48E}"/>
    <cellStyle name="Migliaia [0] 30 5 5" xfId="17101" xr:uid="{076212ED-6C32-47B2-AEE0-C6E420AA61A6}"/>
    <cellStyle name="Migliaia [0] 30 6" xfId="5918" xr:uid="{7E6FEEDE-5996-483C-83E5-0C955011CD39}"/>
    <cellStyle name="Migliaia [0] 30 6 2" xfId="38193" xr:uid="{0E3124A6-1D10-4909-81EE-7BB47910F83A}"/>
    <cellStyle name="Migliaia [0] 30 6 3" xfId="43495" xr:uid="{A1741E34-453D-4636-A17A-0031C4FFAFE5}"/>
    <cellStyle name="Migliaia [0] 30 6 4" xfId="32842" xr:uid="{5FE06882-E472-4C20-A8C3-F1D6AD448E5E}"/>
    <cellStyle name="Migliaia [0] 30 6 5" xfId="19612" xr:uid="{38AF2009-7B3A-4DC6-9837-D646C6AB7F48}"/>
    <cellStyle name="Migliaia [0] 30 7" xfId="2933" xr:uid="{4AA0737B-9994-46AB-9D4B-7064FB522518}"/>
    <cellStyle name="Migliaia [0] 30 7 2" xfId="35728" xr:uid="{15E4EC09-A531-478E-A728-79CAD33B3962}"/>
    <cellStyle name="Migliaia [0] 30 8" xfId="40844" xr:uid="{AA8EFCA9-0247-4E60-A301-FEAE9879C73B}"/>
    <cellStyle name="Migliaia [0] 30 9" xfId="7008" xr:uid="{92CBFB19-454A-4941-8A91-327E14248DB2}"/>
    <cellStyle name="Migliaia [0] 31" xfId="266" xr:uid="{00000000-0005-0000-0000-000035020000}"/>
    <cellStyle name="Migliaia [0] 31 2" xfId="1553" xr:uid="{00000000-0005-0000-0000-000036020000}"/>
    <cellStyle name="Migliaia [0] 31 2 2" xfId="1554" xr:uid="{00000000-0005-0000-0000-000037020000}"/>
    <cellStyle name="Migliaia [0] 31 2 2 2" xfId="4666" xr:uid="{73D297B1-DD28-4B85-97DB-59C2C34CADE6}"/>
    <cellStyle name="Migliaia [0] 31 2 2 2 2" xfId="21768" xr:uid="{352DDE01-65C4-4C28-9F65-66296339FBA3}"/>
    <cellStyle name="Migliaia [0] 31 2 2 2 3" xfId="46290" xr:uid="{EDF02F5A-21A1-4502-B8C4-C287D1B0088F}"/>
    <cellStyle name="Migliaia [0] 31 2 2 2 4" xfId="50796" xr:uid="{602DF8ED-BAF4-499B-9F58-C52AE16C597C}"/>
    <cellStyle name="Migliaia [0] 31 2 2 2 5" xfId="53812" xr:uid="{92865831-CECD-451A-BAA4-D03F44CFE025}"/>
    <cellStyle name="Migliaia [0] 31 2 2 2 6" xfId="11782" xr:uid="{ADCE9B43-7BF7-4E60-9662-F5AA6A8FF276}"/>
    <cellStyle name="Migliaia [0] 31 2 2 3" xfId="2940" xr:uid="{71DAA2E5-B087-405C-BACB-1EEA87E0731D}"/>
    <cellStyle name="Migliaia [0] 31 2 2 3 2" xfId="12344" xr:uid="{F81721D4-AB3A-40A4-BAB3-517D188EE085}"/>
    <cellStyle name="Migliaia [0] 31 2 2 4" xfId="10665" xr:uid="{4742EF7A-548D-4C2F-8BB1-15FAB111A936}"/>
    <cellStyle name="Migliaia [0] 31 2 2 4 2" xfId="21300" xr:uid="{5B28DCE8-97EB-4919-A491-3593E91CFC69}"/>
    <cellStyle name="Migliaia [0] 31 2 2 4 3" xfId="46179" xr:uid="{D2EEAC60-2094-4A6F-BF6A-27945E8BEA89}"/>
    <cellStyle name="Migliaia [0] 31 2 2 4 4" xfId="50315" xr:uid="{C19A67BA-1F2C-47EB-AA4A-67DBDB6F7D76}"/>
    <cellStyle name="Migliaia [0] 31 2 2 4 5" xfId="53331" xr:uid="{2E11D76A-81E6-4499-AAF8-D91D7579263E}"/>
    <cellStyle name="Migliaia [0] 31 2 2 5" xfId="19619" xr:uid="{51B075DB-9BDE-47B8-8673-76225E483E11}"/>
    <cellStyle name="Migliaia [0] 31 2 2 6" xfId="24064" xr:uid="{6BE85B58-DC12-4345-AB83-555389D95E04}"/>
    <cellStyle name="Migliaia [0] 31 2 2 7" xfId="48844" xr:uid="{B714C2C2-5D1E-45AB-BD98-77191DBA8039}"/>
    <cellStyle name="Migliaia [0] 31 2 2 8" xfId="49750" xr:uid="{CCA09F68-DBD3-4C23-85AC-8DDC977EC74C}"/>
    <cellStyle name="Migliaia [0] 31 2 2 9" xfId="8450" xr:uid="{923E60E1-C2A0-461B-8025-A251E931917F}"/>
    <cellStyle name="Migliaia [0] 31 2 3" xfId="4665" xr:uid="{BCA40F13-D55B-45EC-A425-8552D89676F5}"/>
    <cellStyle name="Migliaia [0] 31 2 3 2" xfId="32848" xr:uid="{6A6AB56C-6240-4C88-A2C0-B63ABB32939C}"/>
    <cellStyle name="Migliaia [0] 31 2 3 2 2" xfId="38199" xr:uid="{A999C9FA-6949-4CF8-9C38-D4ED92769152}"/>
    <cellStyle name="Migliaia [0] 31 2 3 2 3" xfId="43501" xr:uid="{7789EB79-29AD-4DEF-8A06-7AE978C2CF37}"/>
    <cellStyle name="Migliaia [0] 31 2 3 3" xfId="35734" xr:uid="{A33CE909-3D35-4940-AEE5-327F7A214E34}"/>
    <cellStyle name="Migliaia [0] 31 2 3 4" xfId="40850" xr:uid="{D3BB1D3C-1709-481F-BE84-A8DCBEB00A18}"/>
    <cellStyle name="Migliaia [0] 31 2 3 5" xfId="11783" xr:uid="{5534D4F4-ADF1-400E-9827-EF527561502F}"/>
    <cellStyle name="Migliaia [0] 31 2 4" xfId="5923" xr:uid="{B6731D77-6FDB-4EAE-B2C4-C789B063961D}"/>
    <cellStyle name="Migliaia [0] 31 2 4 2" xfId="19618" xr:uid="{95E4BC54-9AFD-4C37-951F-243BB5DEE330}"/>
    <cellStyle name="Migliaia [0] 31 2 5" xfId="2939" xr:uid="{A0DB600D-BCE2-4A51-BA53-A8AA1B9163EB}"/>
    <cellStyle name="Migliaia [0] 31 2 5 2" xfId="24063" xr:uid="{0EA745AD-1473-4358-B8E2-C1BB786C08F4}"/>
    <cellStyle name="Migliaia [0] 31 2 6" xfId="7260" xr:uid="{FDC8863B-50F4-4C34-ABA4-29E4B1833A26}"/>
    <cellStyle name="Migliaia [0] 31 3" xfId="1555" xr:uid="{00000000-0005-0000-0000-000038020000}"/>
    <cellStyle name="Migliaia [0] 31 3 2" xfId="4667" xr:uid="{314F0596-B7F1-4639-9105-178C7E997AC0}"/>
    <cellStyle name="Migliaia [0] 31 3 2 2" xfId="18325" xr:uid="{5DF0C772-C7C4-49B8-91A0-C68634EDBEC3}"/>
    <cellStyle name="Migliaia [0] 31 3 2 2 2" xfId="21769" xr:uid="{02F5C8C0-4879-43D4-B081-AFA8A0401D45}"/>
    <cellStyle name="Migliaia [0] 31 3 2 2 2 2" xfId="38200" xr:uid="{9E4B99C0-8D70-46A8-80D9-4AB208B0E819}"/>
    <cellStyle name="Migliaia [0] 31 3 2 2 3" xfId="43502" xr:uid="{D3A3F971-7B2D-46DB-8C7A-9E42D1B1DF51}"/>
    <cellStyle name="Migliaia [0] 31 3 2 2 4" xfId="32849" xr:uid="{04841E2C-FB31-4FF1-8050-59C2B5173C2F}"/>
    <cellStyle name="Migliaia [0] 31 3 2 3" xfId="35735" xr:uid="{B147F83F-B6DA-4736-A9BB-F65BBD6FEBE0}"/>
    <cellStyle name="Migliaia [0] 31 3 2 4" xfId="40851" xr:uid="{63F228DB-0F20-4E86-AF4A-896B2AF5A0C4}"/>
    <cellStyle name="Migliaia [0] 31 3 2 5" xfId="48557" xr:uid="{7F7ECBF6-AA7C-46F5-95F3-FF7E2A4A829F}"/>
    <cellStyle name="Migliaia [0] 31 3 2 6" xfId="50797" xr:uid="{46E9D2AF-DD11-45AC-AC94-E19C08DE62B6}"/>
    <cellStyle name="Migliaia [0] 31 3 2 7" xfId="53813" xr:uid="{F702CDC6-FEF8-4A70-B796-D4656C4F5C34}"/>
    <cellStyle name="Migliaia [0] 31 3 2 8" xfId="17601" xr:uid="{7490285A-83FC-4DB4-9E54-2FDC5B8BD0F8}"/>
    <cellStyle name="Migliaia [0] 31 3 2 9" xfId="11784" xr:uid="{C188903C-60CF-4808-A78C-8D1F4341FB9F}"/>
    <cellStyle name="Migliaia [0] 31 3 3" xfId="5924" xr:uid="{02A6340F-5517-4234-A0CB-06695AAA78C8}"/>
    <cellStyle name="Migliaia [0] 31 3 3 2" xfId="12379" xr:uid="{61A50E1B-5E29-4E7C-A202-582D2C28D31C}"/>
    <cellStyle name="Migliaia [0] 31 3 4" xfId="2941" xr:uid="{14A9C402-D71F-42F2-B6FA-280E05644509}"/>
    <cellStyle name="Migliaia [0] 31 3 4 2" xfId="21301" xr:uid="{DE0B1D5F-252A-45FC-A732-16E9F0B5E282}"/>
    <cellStyle name="Migliaia [0] 31 3 4 3" xfId="35982" xr:uid="{658A0B5C-8282-49D3-B4BB-275D3CE3A945}"/>
    <cellStyle name="Migliaia [0] 31 3 4 4" xfId="50316" xr:uid="{49E43932-9D3A-4FB1-9ADC-BB61D47DA37E}"/>
    <cellStyle name="Migliaia [0] 31 3 4 5" xfId="53332" xr:uid="{B3678A8D-7D4A-471E-992C-60BF3EE24826}"/>
    <cellStyle name="Migliaia [0] 31 3 4 6" xfId="10666" xr:uid="{E009159A-DA9F-4135-AE94-CCF0E2BE38DD}"/>
    <cellStyle name="Migliaia [0] 31 3 5" xfId="19620" xr:uid="{A23ADE11-C5EF-4541-94A1-66C7A220D310}"/>
    <cellStyle name="Migliaia [0] 31 3 6" xfId="24065" xr:uid="{B3061F0C-B1E8-4434-A8D3-0B8F38F0F973}"/>
    <cellStyle name="Migliaia [0] 31 3 7" xfId="8208" xr:uid="{4EF107D9-A68F-4EC6-A744-95A7239489B1}"/>
    <cellStyle name="Migliaia [0] 31 4" xfId="2942" xr:uid="{3839F042-9A7D-4118-9051-E0B4D3A1A06C}"/>
    <cellStyle name="Migliaia [0] 31 4 2" xfId="4668" xr:uid="{B2AA0C8C-7B52-4E46-BAFF-BD9221F3901C}"/>
    <cellStyle name="Migliaia [0] 31 4 2 2" xfId="35093" xr:uid="{0DE98C84-8FBC-4DBC-9ABC-0C97A901B553}"/>
    <cellStyle name="Migliaia [0] 31 4 2 2 2" xfId="40251" xr:uid="{94B04E7A-DD8A-4BC8-976D-A3F7EAE9F98B}"/>
    <cellStyle name="Migliaia [0] 31 4 2 2 3" xfId="45553" xr:uid="{9E55405F-FCCC-4215-89F8-1110CFE4C031}"/>
    <cellStyle name="Migliaia [0] 31 4 2 3" xfId="37600" xr:uid="{7F3AA99C-AE7A-46E2-87FA-B632BF3D66F4}"/>
    <cellStyle name="Migliaia [0] 31 4 2 4" xfId="42902" xr:uid="{7623FB2A-146A-4F4E-A1E5-1EF30A499F4A}"/>
    <cellStyle name="Migliaia [0] 31 4 2 5" xfId="17033" xr:uid="{DD19CD4B-08E2-44AF-B6CC-95216A23D32E}"/>
    <cellStyle name="Migliaia [0] 31 4 3" xfId="5925" xr:uid="{3068DFBA-C582-4F2A-979C-C938426C9AF5}"/>
    <cellStyle name="Migliaia [0] 31 4 3 2" xfId="38201" xr:uid="{1E481B2B-1E86-4416-9F3E-57BD1F30EE2D}"/>
    <cellStyle name="Migliaia [0] 31 4 3 3" xfId="43503" xr:uid="{798A2028-98BE-4F59-87C1-EB5A1609EFD1}"/>
    <cellStyle name="Migliaia [0] 31 4 3 4" xfId="32850" xr:uid="{1B3138CB-E7A0-4C55-BAEA-D9874BB723AB}"/>
    <cellStyle name="Migliaia [0] 31 4 3 5" xfId="19621" xr:uid="{36A4E2EF-FEE7-43EA-8E79-C7ABBB7165A1}"/>
    <cellStyle name="Migliaia [0] 31 4 4" xfId="35736" xr:uid="{B95279C6-87EB-4302-ADAA-BD4535B14096}"/>
    <cellStyle name="Migliaia [0] 31 4 5" xfId="40852" xr:uid="{8A6223D7-8D7C-4D90-9AFB-21932E8B1281}"/>
    <cellStyle name="Migliaia [0] 31 4 6" xfId="15975" xr:uid="{974A0657-7CCC-454B-814D-0F15ECC6CA25}"/>
    <cellStyle name="Migliaia [0] 31 4 7" xfId="7788" xr:uid="{200C32A4-B4AD-4489-9B27-A48172310ED5}"/>
    <cellStyle name="Migliaia [0] 31 5" xfId="4664" xr:uid="{EB7C0013-5998-4FB0-B3CC-21574095610C}"/>
    <cellStyle name="Migliaia [0] 31 5 2" xfId="32851" xr:uid="{DCCB340B-33B8-43F7-8986-11486C92BF46}"/>
    <cellStyle name="Migliaia [0] 31 5 2 2" xfId="38202" xr:uid="{DDEBEBF5-5A76-436D-A32A-08F804F1D7E8}"/>
    <cellStyle name="Migliaia [0] 31 5 2 3" xfId="43504" xr:uid="{7D478FCD-E886-4412-9005-A0C6EBA05B01}"/>
    <cellStyle name="Migliaia [0] 31 5 3" xfId="35737" xr:uid="{E666531D-99D3-49E3-90CE-1C2F8C15BBE4}"/>
    <cellStyle name="Migliaia [0] 31 5 4" xfId="40853" xr:uid="{320E1226-EF35-45F3-A10C-41B63B7FA8A5}"/>
    <cellStyle name="Migliaia [0] 31 5 5" xfId="17102" xr:uid="{7179207D-2A5A-4A18-946E-CE7829ECA2AC}"/>
    <cellStyle name="Migliaia [0] 31 6" xfId="5922" xr:uid="{AE5EBDED-FEB3-41ED-933C-BE5034FECF3B}"/>
    <cellStyle name="Migliaia [0] 31 6 2" xfId="38198" xr:uid="{6477D541-0B76-493C-AD1B-FF3900E833CB}"/>
    <cellStyle name="Migliaia [0] 31 6 3" xfId="43500" xr:uid="{1E631CD0-6A3D-4851-940A-9E0E9DAD25A5}"/>
    <cellStyle name="Migliaia [0] 31 6 4" xfId="32847" xr:uid="{D89E7372-AA3A-4C42-8ABA-1D04623BADE6}"/>
    <cellStyle name="Migliaia [0] 31 6 5" xfId="19617" xr:uid="{9B9717B8-3866-4DA4-8BB4-C4327227242E}"/>
    <cellStyle name="Migliaia [0] 31 7" xfId="2938" xr:uid="{2BAA86AA-A204-4395-A5A1-6692B7CF6EBC}"/>
    <cellStyle name="Migliaia [0] 31 7 2" xfId="35733" xr:uid="{77FFA546-5860-4F0E-9B1E-9A353A644FB2}"/>
    <cellStyle name="Migliaia [0] 31 8" xfId="40849" xr:uid="{A0162A37-DE22-4974-A6F4-2A075B8F9827}"/>
    <cellStyle name="Migliaia [0] 31 9" xfId="7009" xr:uid="{7EA32162-0713-4F1B-8C44-E98D32DEAECE}"/>
    <cellStyle name="Migliaia [0] 32" xfId="267" xr:uid="{00000000-0005-0000-0000-000039020000}"/>
    <cellStyle name="Migliaia [0] 32 2" xfId="1556" xr:uid="{00000000-0005-0000-0000-00003A020000}"/>
    <cellStyle name="Migliaia [0] 32 2 2" xfId="1557" xr:uid="{00000000-0005-0000-0000-00003B020000}"/>
    <cellStyle name="Migliaia [0] 32 2 2 2" xfId="4671" xr:uid="{1005C7E0-A938-45CD-A698-13579BA49C39}"/>
    <cellStyle name="Migliaia [0] 32 2 2 2 2" xfId="21770" xr:uid="{66BA5ABA-5083-484B-BB7A-52AD247712E0}"/>
    <cellStyle name="Migliaia [0] 32 2 2 2 3" xfId="46740" xr:uid="{DA9EA5A1-FC83-40F9-B161-6954994107D6}"/>
    <cellStyle name="Migliaia [0] 32 2 2 2 4" xfId="50798" xr:uid="{EAB0A063-47F4-46CC-9ECC-DB1EE6179729}"/>
    <cellStyle name="Migliaia [0] 32 2 2 2 5" xfId="53814" xr:uid="{BD3B41C0-E4AA-40F5-BE0E-CFC25E391149}"/>
    <cellStyle name="Migliaia [0] 32 2 2 2 6" xfId="11785" xr:uid="{C9225180-58FF-4BDE-8F99-808296AFAB70}"/>
    <cellStyle name="Migliaia [0] 32 2 2 3" xfId="2945" xr:uid="{D2D2D179-0937-4749-8400-10FABC9544FC}"/>
    <cellStyle name="Migliaia [0] 32 2 2 3 2" xfId="12343" xr:uid="{0CE2EF17-50A0-40E7-89CD-14B7E040DAEF}"/>
    <cellStyle name="Migliaia [0] 32 2 2 4" xfId="10667" xr:uid="{E037436F-5A36-44D4-A2ED-96E734D8AC02}"/>
    <cellStyle name="Migliaia [0] 32 2 2 4 2" xfId="21302" xr:uid="{6A37AB6A-993E-4B3F-9D6A-583C85356CD2}"/>
    <cellStyle name="Migliaia [0] 32 2 2 4 3" xfId="46180" xr:uid="{91E2DFE7-7D72-4F7B-A426-583A9F1DF4C3}"/>
    <cellStyle name="Migliaia [0] 32 2 2 4 4" xfId="50317" xr:uid="{4B9FEF31-0C00-40C2-993D-D80DA8858B2E}"/>
    <cellStyle name="Migliaia [0] 32 2 2 4 5" xfId="53333" xr:uid="{AE033EC3-FB9C-4AB3-BAAF-E27FAC75661D}"/>
    <cellStyle name="Migliaia [0] 32 2 2 5" xfId="19624" xr:uid="{4E607E30-F669-4806-AC48-30130C8654F5}"/>
    <cellStyle name="Migliaia [0] 32 2 2 6" xfId="24067" xr:uid="{F368D0F7-6B42-4861-A1BD-A32555DEEF83}"/>
    <cellStyle name="Migliaia [0] 32 2 2 7" xfId="48845" xr:uid="{525CD81D-FC00-4834-B711-DA1C94AFFD4E}"/>
    <cellStyle name="Migliaia [0] 32 2 2 8" xfId="49751" xr:uid="{F928573E-7B9F-4236-98AC-4287E93E2200}"/>
    <cellStyle name="Migliaia [0] 32 2 2 9" xfId="8451" xr:uid="{1345926D-63A7-4F1D-886F-4A58B0ED4AA9}"/>
    <cellStyle name="Migliaia [0] 32 2 3" xfId="4670" xr:uid="{85AAD99F-226D-408C-9246-BE0A6B4DA960}"/>
    <cellStyle name="Migliaia [0] 32 2 3 2" xfId="32853" xr:uid="{DC450124-510A-4FD3-8BE8-6BC6E0F2F145}"/>
    <cellStyle name="Migliaia [0] 32 2 3 2 2" xfId="38204" xr:uid="{657A1A1C-F441-4FD6-9A7C-8034CCD24284}"/>
    <cellStyle name="Migliaia [0] 32 2 3 2 3" xfId="43506" xr:uid="{D711FB17-C578-4372-8CD1-B72D3627789D}"/>
    <cellStyle name="Migliaia [0] 32 2 3 3" xfId="35739" xr:uid="{147827AC-C448-4053-88FE-1EAB3AFF072E}"/>
    <cellStyle name="Migliaia [0] 32 2 3 4" xfId="40855" xr:uid="{6FD0597A-0680-4E18-B79D-72885C9BF355}"/>
    <cellStyle name="Migliaia [0] 32 2 3 5" xfId="11786" xr:uid="{1E1D5C7D-9737-40A7-A504-1FED26802BDC}"/>
    <cellStyle name="Migliaia [0] 32 2 4" xfId="5927" xr:uid="{49AEF9B9-14C8-4D99-BC45-01A17843A67E}"/>
    <cellStyle name="Migliaia [0] 32 2 4 2" xfId="19623" xr:uid="{5E23C3C4-2359-4C23-B461-AC80CDE40244}"/>
    <cellStyle name="Migliaia [0] 32 2 5" xfId="2944" xr:uid="{F5D5C489-CA41-48CF-B58C-64293BC034FB}"/>
    <cellStyle name="Migliaia [0] 32 2 5 2" xfId="24066" xr:uid="{57DE9E22-6009-424D-AB8D-4DEBCAE3E97F}"/>
    <cellStyle name="Migliaia [0] 32 2 6" xfId="7261" xr:uid="{101B4C4B-C60E-47ED-A9AB-B47DE6F4D5F6}"/>
    <cellStyle name="Migliaia [0] 32 3" xfId="1558" xr:uid="{00000000-0005-0000-0000-00003C020000}"/>
    <cellStyle name="Migliaia [0] 32 3 2" xfId="4672" xr:uid="{8F8A21BF-D9E9-4BC7-B09B-429E9848DB03}"/>
    <cellStyle name="Migliaia [0] 32 3 2 2" xfId="18326" xr:uid="{751C1826-EEF6-40EA-BB9A-F6E33A1AF230}"/>
    <cellStyle name="Migliaia [0] 32 3 2 2 2" xfId="21771" xr:uid="{B963F846-9822-4F7F-9B6D-5DDA4065412D}"/>
    <cellStyle name="Migliaia [0] 32 3 2 2 2 2" xfId="38205" xr:uid="{741972E9-1031-4837-854D-F0E5E4CDD113}"/>
    <cellStyle name="Migliaia [0] 32 3 2 2 3" xfId="43507" xr:uid="{0958C02C-0A1D-44FE-8EA9-A99915343776}"/>
    <cellStyle name="Migliaia [0] 32 3 2 2 4" xfId="32854" xr:uid="{CF390375-1C52-4E35-9B72-24701DA15A71}"/>
    <cellStyle name="Migliaia [0] 32 3 2 3" xfId="35740" xr:uid="{D4E7ABA7-07E3-4EA6-8089-8E0978264174}"/>
    <cellStyle name="Migliaia [0] 32 3 2 4" xfId="40856" xr:uid="{898BEFBD-ED20-4F56-B2FA-C689815009CD}"/>
    <cellStyle name="Migliaia [0] 32 3 2 5" xfId="48190" xr:uid="{299BBBDC-96FE-4D84-90FF-43986BB4E645}"/>
    <cellStyle name="Migliaia [0] 32 3 2 6" xfId="50799" xr:uid="{EFCC3845-86BD-4C69-9E7B-F910E5153C48}"/>
    <cellStyle name="Migliaia [0] 32 3 2 7" xfId="53815" xr:uid="{79CA9948-9D9F-4BCE-8A2E-1215E5C1DB0E}"/>
    <cellStyle name="Migliaia [0] 32 3 2 8" xfId="17602" xr:uid="{B8397218-A95E-483C-9498-5C8508DA45DF}"/>
    <cellStyle name="Migliaia [0] 32 3 2 9" xfId="11787" xr:uid="{3344A61D-BFDA-4928-AE64-374C7FF141F5}"/>
    <cellStyle name="Migliaia [0] 32 3 3" xfId="5928" xr:uid="{203BF6F2-3160-4600-9135-520B7AFA6E04}"/>
    <cellStyle name="Migliaia [0] 32 3 3 2" xfId="12378" xr:uid="{1745BFFE-3529-4F15-B825-53E99B21476A}"/>
    <cellStyle name="Migliaia [0] 32 3 4" xfId="2946" xr:uid="{59AF3253-2581-40AA-B0E7-253D215ECA7B}"/>
    <cellStyle name="Migliaia [0] 32 3 4 2" xfId="21303" xr:uid="{FF341FAF-65CB-4FBA-874B-EC3EAD5ACF7B}"/>
    <cellStyle name="Migliaia [0] 32 3 4 3" xfId="47298" xr:uid="{6CCDF351-C34C-4730-A5E9-D33437964E4E}"/>
    <cellStyle name="Migliaia [0] 32 3 4 4" xfId="50318" xr:uid="{41F7EEE2-1A1A-460A-B06C-3541703072AB}"/>
    <cellStyle name="Migliaia [0] 32 3 4 5" xfId="53334" xr:uid="{884B2598-2D08-48D1-B7A8-1B125E9B5A2C}"/>
    <cellStyle name="Migliaia [0] 32 3 4 6" xfId="10668" xr:uid="{1E71E94B-A109-4B7C-80E1-9E2AC8E47142}"/>
    <cellStyle name="Migliaia [0] 32 3 5" xfId="19625" xr:uid="{583E8E94-7FAC-4E40-9C7B-778114FB92DE}"/>
    <cellStyle name="Migliaia [0] 32 3 6" xfId="24068" xr:uid="{951BF17E-911C-43E0-AB44-E18EDA5A73B4}"/>
    <cellStyle name="Migliaia [0] 32 3 7" xfId="8209" xr:uid="{381958AA-6F02-4A01-9632-BF4E1920B2E9}"/>
    <cellStyle name="Migliaia [0] 32 4" xfId="2947" xr:uid="{F143B702-5802-4EB8-8EFA-AF08CA33EB8B}"/>
    <cellStyle name="Migliaia [0] 32 4 2" xfId="4673" xr:uid="{048BC5CD-09AC-495A-9BD9-E29241CEFF1F}"/>
    <cellStyle name="Migliaia [0] 32 4 2 2" xfId="35094" xr:uid="{6DB4A716-44DE-4784-96CD-E32B5EC681CF}"/>
    <cellStyle name="Migliaia [0] 32 4 2 2 2" xfId="40252" xr:uid="{391A8708-06ED-4FF5-B0E2-FE1E2E500070}"/>
    <cellStyle name="Migliaia [0] 32 4 2 2 3" xfId="45554" xr:uid="{B0771075-7216-4D2D-AACA-BB652BA2A361}"/>
    <cellStyle name="Migliaia [0] 32 4 2 3" xfId="37601" xr:uid="{974C33B3-2BBC-4397-8DA2-34E384732242}"/>
    <cellStyle name="Migliaia [0] 32 4 2 4" xfId="42903" xr:uid="{ECF0CBE7-7E38-4E2A-890A-888773724DF6}"/>
    <cellStyle name="Migliaia [0] 32 4 2 5" xfId="17034" xr:uid="{329B573E-1741-4FAB-B570-6C380A18BCA2}"/>
    <cellStyle name="Migliaia [0] 32 4 3" xfId="5929" xr:uid="{29A75D47-6E1C-438C-92F6-053EEAE3EF58}"/>
    <cellStyle name="Migliaia [0] 32 4 3 2" xfId="38206" xr:uid="{26131EA8-1679-4F45-B616-2EC8D1EC6350}"/>
    <cellStyle name="Migliaia [0] 32 4 3 3" xfId="43508" xr:uid="{C5ED38B0-0F0C-4B71-A999-0831121E2513}"/>
    <cellStyle name="Migliaia [0] 32 4 3 4" xfId="32855" xr:uid="{60F780E7-79F9-4B62-9210-D8368DC003C0}"/>
    <cellStyle name="Migliaia [0] 32 4 3 5" xfId="19626" xr:uid="{2D3FD2ED-29A2-4D32-92CA-677BBC3084E6}"/>
    <cellStyle name="Migliaia [0] 32 4 4" xfId="35741" xr:uid="{D2E0FBC5-F527-44A8-8793-C84916B41887}"/>
    <cellStyle name="Migliaia [0] 32 4 5" xfId="40857" xr:uid="{C575B569-4FFA-46C7-88E6-7BA7E35164B1}"/>
    <cellStyle name="Migliaia [0] 32 4 6" xfId="15976" xr:uid="{AE585A8C-BA21-4081-8598-7B620605A730}"/>
    <cellStyle name="Migliaia [0] 32 4 7" xfId="7789" xr:uid="{C9D03FD4-19DB-44B1-B69D-C2F45D5A4E9B}"/>
    <cellStyle name="Migliaia [0] 32 5" xfId="4669" xr:uid="{8677202E-9F96-418F-8858-BF3D262D5382}"/>
    <cellStyle name="Migliaia [0] 32 5 2" xfId="32856" xr:uid="{DBD1E684-E888-4228-8583-02ABF26724A1}"/>
    <cellStyle name="Migliaia [0] 32 5 2 2" xfId="38207" xr:uid="{E12DD36E-56D4-4E2C-A435-291C0B081CAF}"/>
    <cellStyle name="Migliaia [0] 32 5 2 3" xfId="43509" xr:uid="{7E086F83-4399-4AD8-B07C-8D17FB8116C6}"/>
    <cellStyle name="Migliaia [0] 32 5 3" xfId="35742" xr:uid="{89913B90-02AF-4CB0-8856-17DF8F2D6CC3}"/>
    <cellStyle name="Migliaia [0] 32 5 4" xfId="40858" xr:uid="{B0C7735B-8075-4152-A230-7D891996515D}"/>
    <cellStyle name="Migliaia [0] 32 5 5" xfId="17103" xr:uid="{36EAF589-B74A-49E9-A40A-E5AE5BF38B1A}"/>
    <cellStyle name="Migliaia [0] 32 6" xfId="5926" xr:uid="{F158F378-C173-413E-A9D3-2F751717D91F}"/>
    <cellStyle name="Migliaia [0] 32 6 2" xfId="38203" xr:uid="{243747A7-72D3-42E8-87B0-017568BC7A35}"/>
    <cellStyle name="Migliaia [0] 32 6 3" xfId="43505" xr:uid="{EB75A24A-AA90-4138-804B-6E1F06B8BC27}"/>
    <cellStyle name="Migliaia [0] 32 6 4" xfId="32852" xr:uid="{28D97215-8961-46BF-ACC0-F89936011E01}"/>
    <cellStyle name="Migliaia [0] 32 6 5" xfId="19622" xr:uid="{58201A5F-854D-41CD-8BE7-C6F4FBED0266}"/>
    <cellStyle name="Migliaia [0] 32 7" xfId="2943" xr:uid="{36E9E9C4-91DB-42BE-8B7F-790411F9D8FE}"/>
    <cellStyle name="Migliaia [0] 32 7 2" xfId="35738" xr:uid="{F7843289-FE18-4830-892F-DA854A16A3B1}"/>
    <cellStyle name="Migliaia [0] 32 8" xfId="40854" xr:uid="{E0114A2A-57B9-484B-B90D-2E99D1B1CEB0}"/>
    <cellStyle name="Migliaia [0] 32 9" xfId="7010" xr:uid="{DE4DC30A-8456-437D-8F66-F9F6CB6A276D}"/>
    <cellStyle name="Migliaia [0] 33" xfId="268" xr:uid="{00000000-0005-0000-0000-00003D020000}"/>
    <cellStyle name="Migliaia [0] 33 2" xfId="1559" xr:uid="{00000000-0005-0000-0000-00003E020000}"/>
    <cellStyle name="Migliaia [0] 33 2 2" xfId="1560" xr:uid="{00000000-0005-0000-0000-00003F020000}"/>
    <cellStyle name="Migliaia [0] 33 2 2 2" xfId="4676" xr:uid="{15D40228-1DA1-4E2C-B7AB-FCD7DB38128B}"/>
    <cellStyle name="Migliaia [0] 33 2 2 2 2" xfId="21772" xr:uid="{EC3B5C7D-E413-461F-A84D-A4E523B367C6}"/>
    <cellStyle name="Migliaia [0] 33 2 2 2 3" xfId="46291" xr:uid="{F5F446F7-172F-44B5-A94C-C57EE310F157}"/>
    <cellStyle name="Migliaia [0] 33 2 2 2 4" xfId="50800" xr:uid="{C81FA300-E7BC-4211-9D08-90E51DCD241A}"/>
    <cellStyle name="Migliaia [0] 33 2 2 2 5" xfId="53816" xr:uid="{B3EF3B39-5E3A-4BAB-A935-FA3F96D6D2E9}"/>
    <cellStyle name="Migliaia [0] 33 2 2 2 6" xfId="11788" xr:uid="{A531520E-CB51-45D1-99A2-BFCAF5D5BF91}"/>
    <cellStyle name="Migliaia [0] 33 2 2 3" xfId="2950" xr:uid="{018E12C9-9B8F-44EE-A956-0B11ED6F3C71}"/>
    <cellStyle name="Migliaia [0] 33 2 2 3 2" xfId="12183" xr:uid="{FD54925A-60B4-40D6-93AC-14195CE47D57}"/>
    <cellStyle name="Migliaia [0] 33 2 2 4" xfId="10669" xr:uid="{F69413D5-F1A5-45C6-AF97-2CD5E322EAC9}"/>
    <cellStyle name="Migliaia [0] 33 2 2 4 2" xfId="21304" xr:uid="{7AEA3EE1-1A44-4A6B-A05F-40EFECEF9F52}"/>
    <cellStyle name="Migliaia [0] 33 2 2 4 3" xfId="46181" xr:uid="{B155D6D4-9D8F-4567-BE2B-C97EEE2EECF8}"/>
    <cellStyle name="Migliaia [0] 33 2 2 4 4" xfId="50319" xr:uid="{1171CA1D-D6D4-4179-8845-41B8F42A4D10}"/>
    <cellStyle name="Migliaia [0] 33 2 2 4 5" xfId="53335" xr:uid="{6F3309AC-2F75-41AC-B86B-ED6B868B06CE}"/>
    <cellStyle name="Migliaia [0] 33 2 2 5" xfId="19629" xr:uid="{4221452A-7D83-457D-A7CC-ECAF18A22E1F}"/>
    <cellStyle name="Migliaia [0] 33 2 2 6" xfId="24070" xr:uid="{F1CB56F4-CAD5-4324-8EB0-E174983B061F}"/>
    <cellStyle name="Migliaia [0] 33 2 2 7" xfId="48846" xr:uid="{B5BD45AD-B3FE-4F67-8E09-04FB6AA4CB0D}"/>
    <cellStyle name="Migliaia [0] 33 2 2 8" xfId="49752" xr:uid="{0F56B419-E092-47F5-8E9C-6297A53C4972}"/>
    <cellStyle name="Migliaia [0] 33 2 2 9" xfId="8452" xr:uid="{9AAF862B-5B60-4A7F-AE09-1FF6A79B93CC}"/>
    <cellStyle name="Migliaia [0] 33 2 3" xfId="4675" xr:uid="{0FD8C634-A8FD-402F-9F65-109946CA0E4C}"/>
    <cellStyle name="Migliaia [0] 33 2 3 2" xfId="32858" xr:uid="{3BE31EF3-7834-42A0-97CB-2C899F283E2A}"/>
    <cellStyle name="Migliaia [0] 33 2 3 2 2" xfId="38209" xr:uid="{C58B9335-668A-41D6-A2F8-A3B39C739589}"/>
    <cellStyle name="Migliaia [0] 33 2 3 2 3" xfId="43511" xr:uid="{2AAF7AEA-A6EC-49A8-9963-7402F8A9E7D9}"/>
    <cellStyle name="Migliaia [0] 33 2 3 3" xfId="35744" xr:uid="{2F9FB1C4-C4F1-4003-BA90-B69B8AD64E0B}"/>
    <cellStyle name="Migliaia [0] 33 2 3 4" xfId="40860" xr:uid="{903C9817-0714-416C-850A-1F6D8B20FB0F}"/>
    <cellStyle name="Migliaia [0] 33 2 3 5" xfId="11789" xr:uid="{29A772FA-BCF6-45F6-88CD-366F306A7583}"/>
    <cellStyle name="Migliaia [0] 33 2 4" xfId="5931" xr:uid="{7E7FB5AA-8182-4996-9514-F5EAB5C1798D}"/>
    <cellStyle name="Migliaia [0] 33 2 4 2" xfId="19628" xr:uid="{6065CC9E-FE4A-46AE-B74A-2915FD8BFAB2}"/>
    <cellStyle name="Migliaia [0] 33 2 5" xfId="2949" xr:uid="{BE96D273-447D-4A3E-89E8-AA105D8E8E37}"/>
    <cellStyle name="Migliaia [0] 33 2 5 2" xfId="24069" xr:uid="{5ABD21A8-E8E2-4153-9644-85CA401753DE}"/>
    <cellStyle name="Migliaia [0] 33 2 6" xfId="7262" xr:uid="{DA2208A8-5EF6-4132-BD77-BCAF6BBA7CC5}"/>
    <cellStyle name="Migliaia [0] 33 3" xfId="1561" xr:uid="{00000000-0005-0000-0000-000040020000}"/>
    <cellStyle name="Migliaia [0] 33 3 2" xfId="4677" xr:uid="{2C06F578-29E6-4F23-AB9C-BCFD50C3984B}"/>
    <cellStyle name="Migliaia [0] 33 3 2 2" xfId="18327" xr:uid="{17FE610D-3B3A-4E64-A040-4D19D30ED0FA}"/>
    <cellStyle name="Migliaia [0] 33 3 2 2 2" xfId="21773" xr:uid="{1581AD44-1A73-411C-B786-6E94EB4198C9}"/>
    <cellStyle name="Migliaia [0] 33 3 2 2 2 2" xfId="38210" xr:uid="{EEB53ECF-DBFF-4AE5-BCF6-42A974F24E6D}"/>
    <cellStyle name="Migliaia [0] 33 3 2 2 3" xfId="43512" xr:uid="{A7143729-E6A5-4D6B-9C29-8D32F09FDD48}"/>
    <cellStyle name="Migliaia [0] 33 3 2 2 4" xfId="32859" xr:uid="{C38D9955-96A6-487D-9EAD-83DEB9176AAC}"/>
    <cellStyle name="Migliaia [0] 33 3 2 3" xfId="35745" xr:uid="{4EF3CB34-A5BF-4F97-B255-013736103727}"/>
    <cellStyle name="Migliaia [0] 33 3 2 4" xfId="40861" xr:uid="{5E185B6A-EF61-4436-AAAC-CC1B80B9B42E}"/>
    <cellStyle name="Migliaia [0] 33 3 2 5" xfId="47691" xr:uid="{AEF4F174-DB6D-48CA-ADDC-C972AC649A4C}"/>
    <cellStyle name="Migliaia [0] 33 3 2 6" xfId="50801" xr:uid="{F77AFF3C-2859-4666-8460-EB19B3724FB1}"/>
    <cellStyle name="Migliaia [0] 33 3 2 7" xfId="53817" xr:uid="{0665C71E-98B6-42DF-9FEF-C5B5222E5E36}"/>
    <cellStyle name="Migliaia [0] 33 3 2 8" xfId="17603" xr:uid="{3FAF3595-BB53-4B97-98BE-CA8BF0C4F21F}"/>
    <cellStyle name="Migliaia [0] 33 3 2 9" xfId="11790" xr:uid="{BF5D79D5-4171-47A6-932C-403121D455A5}"/>
    <cellStyle name="Migliaia [0] 33 3 3" xfId="5932" xr:uid="{946FBB9D-EE58-4071-897D-FCD9CC776485}"/>
    <cellStyle name="Migliaia [0] 33 3 3 2" xfId="11667" xr:uid="{3B54BA75-50EE-428A-BDBB-A218C98715C2}"/>
    <cellStyle name="Migliaia [0] 33 3 4" xfId="2951" xr:uid="{CE510637-AA1E-45AD-B855-1F5020F29F59}"/>
    <cellStyle name="Migliaia [0] 33 3 4 2" xfId="21305" xr:uid="{C1F0DEBC-4D37-436D-8A0C-DB42FB4238B7}"/>
    <cellStyle name="Migliaia [0] 33 3 4 3" xfId="47891" xr:uid="{40500F79-9038-4169-A29F-085C3F1B2DF3}"/>
    <cellStyle name="Migliaia [0] 33 3 4 4" xfId="50320" xr:uid="{5D262A3C-EB82-4AAB-BD38-F2546EFA69F9}"/>
    <cellStyle name="Migliaia [0] 33 3 4 5" xfId="53336" xr:uid="{9E95CFBF-5616-4875-9D5D-32B266339B25}"/>
    <cellStyle name="Migliaia [0] 33 3 4 6" xfId="10670" xr:uid="{3F8A68C8-1811-4C66-97BC-6E9091BA1832}"/>
    <cellStyle name="Migliaia [0] 33 3 5" xfId="19630" xr:uid="{02A82DB5-E5B6-4F9A-A2AA-B2547A0E4B35}"/>
    <cellStyle name="Migliaia [0] 33 3 6" xfId="24071" xr:uid="{4C0A15C0-B7AA-410F-8AFE-C6B39D05D56B}"/>
    <cellStyle name="Migliaia [0] 33 3 7" xfId="8210" xr:uid="{B80138AA-ECD0-40C6-98CC-C42671A03DE0}"/>
    <cellStyle name="Migliaia [0] 33 4" xfId="2952" xr:uid="{AA339ADB-DB1E-4C24-B771-509C43021060}"/>
    <cellStyle name="Migliaia [0] 33 4 2" xfId="4678" xr:uid="{FBD288A8-E746-479B-9FE8-81B179FEB5C8}"/>
    <cellStyle name="Migliaia [0] 33 4 2 2" xfId="35095" xr:uid="{814DDE91-2AAD-43B9-BECF-DD6E56F97828}"/>
    <cellStyle name="Migliaia [0] 33 4 2 2 2" xfId="40253" xr:uid="{F3DB31B6-D8D9-454F-A1DC-01C4F5BFACA4}"/>
    <cellStyle name="Migliaia [0] 33 4 2 2 3" xfId="45555" xr:uid="{3409E196-BAD2-4188-8069-F57268C858AA}"/>
    <cellStyle name="Migliaia [0] 33 4 2 3" xfId="37602" xr:uid="{E1D9A119-D6C1-48B3-8122-6791421D52B0}"/>
    <cellStyle name="Migliaia [0] 33 4 2 4" xfId="42904" xr:uid="{4586813C-85DF-4A7F-8E05-3CB622E4D50E}"/>
    <cellStyle name="Migliaia [0] 33 4 2 5" xfId="17035" xr:uid="{CC3A1FF4-91EF-4189-A27C-FD5297B4FA32}"/>
    <cellStyle name="Migliaia [0] 33 4 3" xfId="5933" xr:uid="{D3C214DE-38CE-4BDF-8AFB-3E945A7DC5B0}"/>
    <cellStyle name="Migliaia [0] 33 4 3 2" xfId="38211" xr:uid="{311DBADA-FA45-4481-A158-B9E0DF62ADCE}"/>
    <cellStyle name="Migliaia [0] 33 4 3 3" xfId="43513" xr:uid="{1914AD7D-F79D-4283-ACB5-697120438A47}"/>
    <cellStyle name="Migliaia [0] 33 4 3 4" xfId="32860" xr:uid="{9BBF08F4-6880-4507-AEA4-A34BBC40EDFB}"/>
    <cellStyle name="Migliaia [0] 33 4 3 5" xfId="19631" xr:uid="{8F3300C9-BD62-4636-8DD5-E10958A3E6B6}"/>
    <cellStyle name="Migliaia [0] 33 4 4" xfId="35746" xr:uid="{39A6BD9C-2636-4990-A45A-B9083775DFEF}"/>
    <cellStyle name="Migliaia [0] 33 4 5" xfId="40862" xr:uid="{73E0484C-6D81-4E11-80DE-500442384C4B}"/>
    <cellStyle name="Migliaia [0] 33 4 6" xfId="15977" xr:uid="{1441091D-C4CC-4E32-884D-E72E3C8AAE0A}"/>
    <cellStyle name="Migliaia [0] 33 4 7" xfId="7790" xr:uid="{388B5BC7-9AFB-4A5E-BDFB-A70B7A78371B}"/>
    <cellStyle name="Migliaia [0] 33 5" xfId="4674" xr:uid="{9951621B-F5C1-43CA-B4A6-76CAF44F740C}"/>
    <cellStyle name="Migliaia [0] 33 5 2" xfId="32861" xr:uid="{5D5AD196-1674-4C6E-BECA-B1BC2870B061}"/>
    <cellStyle name="Migliaia [0] 33 5 2 2" xfId="38212" xr:uid="{5715D697-A04D-4D34-A996-3AC74E1EEE38}"/>
    <cellStyle name="Migliaia [0] 33 5 2 3" xfId="43514" xr:uid="{03EC5382-9D11-443A-BFD4-C0EAD6ABBDF0}"/>
    <cellStyle name="Migliaia [0] 33 5 3" xfId="35747" xr:uid="{3DC033D7-A8DA-45A3-9C72-5567C578387B}"/>
    <cellStyle name="Migliaia [0] 33 5 4" xfId="40863" xr:uid="{30F6586C-2713-4DCD-BE8D-4B1E0678D441}"/>
    <cellStyle name="Migliaia [0] 33 5 5" xfId="17104" xr:uid="{69BB43EE-84B1-44E7-ACBF-27355039C4C9}"/>
    <cellStyle name="Migliaia [0] 33 6" xfId="5930" xr:uid="{02928B65-5B48-4FE2-9AA0-54514100CEC4}"/>
    <cellStyle name="Migliaia [0] 33 6 2" xfId="38208" xr:uid="{411D687F-FC92-4C83-AB8F-831F5FF393E3}"/>
    <cellStyle name="Migliaia [0] 33 6 3" xfId="43510" xr:uid="{BF62CE32-C396-4E35-88B2-71512CFFB798}"/>
    <cellStyle name="Migliaia [0] 33 6 4" xfId="32857" xr:uid="{57D147D3-7634-4333-A21F-817627DB3735}"/>
    <cellStyle name="Migliaia [0] 33 6 5" xfId="19627" xr:uid="{C7FB44F3-C0D9-49F5-B70F-F9AAC5ACCF52}"/>
    <cellStyle name="Migliaia [0] 33 7" xfId="2948" xr:uid="{5D9E1CE4-F37B-46B0-9EED-3869F330FC67}"/>
    <cellStyle name="Migliaia [0] 33 7 2" xfId="35743" xr:uid="{49D13188-50D1-4389-8FEA-B8C6C75E098C}"/>
    <cellStyle name="Migliaia [0] 33 8" xfId="40859" xr:uid="{69E0EC73-BABE-4244-A7BB-D6E1B165D437}"/>
    <cellStyle name="Migliaia [0] 33 9" xfId="7011" xr:uid="{DA0A67DC-32D0-465A-BBE6-CDFEA039CCC5}"/>
    <cellStyle name="Migliaia [0] 34" xfId="269" xr:uid="{00000000-0005-0000-0000-000041020000}"/>
    <cellStyle name="Migliaia [0] 34 2" xfId="1562" xr:uid="{00000000-0005-0000-0000-000042020000}"/>
    <cellStyle name="Migliaia [0] 34 2 2" xfId="1563" xr:uid="{00000000-0005-0000-0000-000043020000}"/>
    <cellStyle name="Migliaia [0] 34 2 2 2" xfId="4681" xr:uid="{7FF47654-05F1-4BC2-9C03-5183BEC807B1}"/>
    <cellStyle name="Migliaia [0] 34 2 2 2 2" xfId="21774" xr:uid="{6699BC42-621D-42C9-B33F-CF0AF12F9AA3}"/>
    <cellStyle name="Migliaia [0] 34 2 2 2 3" xfId="46741" xr:uid="{F2F1D9E5-B877-43C6-810B-4EEBC55BB563}"/>
    <cellStyle name="Migliaia [0] 34 2 2 2 4" xfId="50802" xr:uid="{09B27843-F434-42CF-B2EE-F62771C49808}"/>
    <cellStyle name="Migliaia [0] 34 2 2 2 5" xfId="53818" xr:uid="{C4A5DDB4-5E33-4F82-8719-A704BD15126F}"/>
    <cellStyle name="Migliaia [0] 34 2 2 2 6" xfId="11791" xr:uid="{AFAAF6C1-BC5A-40FA-A3D2-B53EB593ACD7}"/>
    <cellStyle name="Migliaia [0] 34 2 2 3" xfId="2955" xr:uid="{1FA5AAB0-1491-4382-8B03-DD4C9B1CE052}"/>
    <cellStyle name="Migliaia [0] 34 2 2 3 2" xfId="11553" xr:uid="{B5F43F98-6C20-471E-AA72-A3B98DBCBCDF}"/>
    <cellStyle name="Migliaia [0] 34 2 2 4" xfId="10671" xr:uid="{697EF045-50BD-4C2C-8EB8-37959A8105FE}"/>
    <cellStyle name="Migliaia [0] 34 2 2 4 2" xfId="21306" xr:uid="{2C15BC69-CA6F-43D9-952A-9FCA260CC79E}"/>
    <cellStyle name="Migliaia [0] 34 2 2 4 3" xfId="25360" xr:uid="{59F07C8B-17AC-4F4F-9A6B-9AAE4A2D77C1}"/>
    <cellStyle name="Migliaia [0] 34 2 2 4 4" xfId="50321" xr:uid="{329D4CE8-CCBF-45AC-A6A5-29B86019FBD7}"/>
    <cellStyle name="Migliaia [0] 34 2 2 4 5" xfId="53337" xr:uid="{350C24EA-293A-4462-84A5-C12E41AA5CEC}"/>
    <cellStyle name="Migliaia [0] 34 2 2 5" xfId="19634" xr:uid="{38CF2D87-E9DD-4A4A-8673-9438AA381950}"/>
    <cellStyle name="Migliaia [0] 34 2 2 6" xfId="24073" xr:uid="{F2A45CB7-7DCD-4598-99FC-C38CA0031CA1}"/>
    <cellStyle name="Migliaia [0] 34 2 2 7" xfId="48847" xr:uid="{FD8B74F1-6B2D-47C3-9CB5-EE19BDE73152}"/>
    <cellStyle name="Migliaia [0] 34 2 2 8" xfId="49753" xr:uid="{904A557E-393C-4DE6-B8F1-5DC2B5882216}"/>
    <cellStyle name="Migliaia [0] 34 2 2 9" xfId="8453" xr:uid="{55788675-AA47-434D-9C5F-8043896C3202}"/>
    <cellStyle name="Migliaia [0] 34 2 3" xfId="4680" xr:uid="{3C25559C-64AA-4CAB-B820-4772BE91A039}"/>
    <cellStyle name="Migliaia [0] 34 2 3 2" xfId="32863" xr:uid="{CB242074-B1A2-44B8-A474-A426E2635E1A}"/>
    <cellStyle name="Migliaia [0] 34 2 3 2 2" xfId="38214" xr:uid="{1F0406E4-3896-41B4-8C1B-58BA64C7BDA4}"/>
    <cellStyle name="Migliaia [0] 34 2 3 2 3" xfId="43516" xr:uid="{493C876E-85E5-4C35-AD63-A9A3AA27789C}"/>
    <cellStyle name="Migliaia [0] 34 2 3 3" xfId="35749" xr:uid="{E824318B-B1E7-434C-9F64-61C9147257F3}"/>
    <cellStyle name="Migliaia [0] 34 2 3 4" xfId="40865" xr:uid="{AF1A66F9-7364-41A5-9E8D-B8F718D881BE}"/>
    <cellStyle name="Migliaia [0] 34 2 3 5" xfId="11792" xr:uid="{D86EBE0C-CB89-462A-B043-39E88C8F7AD2}"/>
    <cellStyle name="Migliaia [0] 34 2 4" xfId="5935" xr:uid="{D00B5096-26DC-446A-91CE-53B268292BDF}"/>
    <cellStyle name="Migliaia [0] 34 2 4 2" xfId="19633" xr:uid="{C6C2EA91-756E-4222-9D85-38BADAE1E835}"/>
    <cellStyle name="Migliaia [0] 34 2 5" xfId="2954" xr:uid="{EEC7EB8D-A053-4144-A011-C505167621E3}"/>
    <cellStyle name="Migliaia [0] 34 2 5 2" xfId="24072" xr:uid="{340AD96A-DF6F-454F-A5BC-26363FE47775}"/>
    <cellStyle name="Migliaia [0] 34 2 6" xfId="7263" xr:uid="{DB10DBBF-79A9-4CF7-9B44-24312E8D65F7}"/>
    <cellStyle name="Migliaia [0] 34 3" xfId="1564" xr:uid="{00000000-0005-0000-0000-000044020000}"/>
    <cellStyle name="Migliaia [0] 34 3 2" xfId="4682" xr:uid="{71731013-A285-47DB-A5DD-F587E7C2E8D7}"/>
    <cellStyle name="Migliaia [0] 34 3 2 2" xfId="18328" xr:uid="{B554A2F5-7D70-4250-B5CF-4A8C53BD2653}"/>
    <cellStyle name="Migliaia [0] 34 3 2 2 2" xfId="21775" xr:uid="{F0FC404F-897E-4B3F-8E34-A97EA073B5F2}"/>
    <cellStyle name="Migliaia [0] 34 3 2 2 2 2" xfId="38215" xr:uid="{B1DB4EC4-B511-4B50-94FE-E9247A97B66B}"/>
    <cellStyle name="Migliaia [0] 34 3 2 2 3" xfId="43517" xr:uid="{0C512299-A3FA-4267-8C81-1A73E60886EB}"/>
    <cellStyle name="Migliaia [0] 34 3 2 2 4" xfId="32864" xr:uid="{D06E9577-85B0-4B69-88FC-F39BC9B99731}"/>
    <cellStyle name="Migliaia [0] 34 3 2 3" xfId="35750" xr:uid="{12E58C3E-6597-4EBC-895F-10AFB93709FA}"/>
    <cellStyle name="Migliaia [0] 34 3 2 4" xfId="40866" xr:uid="{8ED140C8-6CDC-429D-B15C-C9E728B3CC19}"/>
    <cellStyle name="Migliaia [0] 34 3 2 5" xfId="33063" xr:uid="{E7346440-8858-4BDF-8680-1D306658B45D}"/>
    <cellStyle name="Migliaia [0] 34 3 2 6" xfId="50803" xr:uid="{CCE63BBE-60AA-4AD9-B166-7FE9C6913E02}"/>
    <cellStyle name="Migliaia [0] 34 3 2 7" xfId="53819" xr:uid="{966137E2-9987-4FBE-8435-44BDD711B61C}"/>
    <cellStyle name="Migliaia [0] 34 3 2 8" xfId="17604" xr:uid="{A8939B81-B143-4167-8C0A-89B68F3755D3}"/>
    <cellStyle name="Migliaia [0] 34 3 2 9" xfId="11793" xr:uid="{65330A1C-C608-487C-BA15-F798DD282668}"/>
    <cellStyle name="Migliaia [0] 34 3 3" xfId="5936" xr:uid="{156B4AC0-27EE-413C-B2A1-F5DE1C7444A0}"/>
    <cellStyle name="Migliaia [0] 34 3 3 2" xfId="11116" xr:uid="{8BAA72CE-B78A-4AC1-AC6A-63927DCB8A3F}"/>
    <cellStyle name="Migliaia [0] 34 3 4" xfId="2956" xr:uid="{CD818AFF-BC85-4C57-A0D8-05F5C4C5441C}"/>
    <cellStyle name="Migliaia [0] 34 3 4 2" xfId="21307" xr:uid="{54868DC3-89B7-4E18-B66A-359E6D0FF8BA}"/>
    <cellStyle name="Migliaia [0] 34 3 4 3" xfId="47683" xr:uid="{65E7B528-6567-4662-8DFD-9B6C1EDA0E67}"/>
    <cellStyle name="Migliaia [0] 34 3 4 4" xfId="50322" xr:uid="{7783EB59-22C1-45A7-8566-EFEDBE423F73}"/>
    <cellStyle name="Migliaia [0] 34 3 4 5" xfId="53338" xr:uid="{3A919DE1-F53C-4CF0-8684-D6FFC503FE3D}"/>
    <cellStyle name="Migliaia [0] 34 3 4 6" xfId="10672" xr:uid="{DAE8DFDA-7C1A-4761-8CEF-117DBF3E0622}"/>
    <cellStyle name="Migliaia [0] 34 3 5" xfId="19635" xr:uid="{BC961E8A-26BF-4590-955E-D5855074379B}"/>
    <cellStyle name="Migliaia [0] 34 3 6" xfId="24074" xr:uid="{5753F92B-2997-4E3F-93BA-8708995C040B}"/>
    <cellStyle name="Migliaia [0] 34 3 7" xfId="8211" xr:uid="{48FE9DA1-D321-423C-B734-D2D1381FC61D}"/>
    <cellStyle name="Migliaia [0] 34 4" xfId="2957" xr:uid="{D2CE1A90-8373-47AC-A0D3-3ACE96530BDC}"/>
    <cellStyle name="Migliaia [0] 34 4 2" xfId="4683" xr:uid="{10FDFCF9-DAB5-4C97-99B7-46BAE7FCDA90}"/>
    <cellStyle name="Migliaia [0] 34 4 2 2" xfId="35096" xr:uid="{EA64710B-B30C-4A37-8F10-21E2120C0CF4}"/>
    <cellStyle name="Migliaia [0] 34 4 2 2 2" xfId="40254" xr:uid="{01FD6BBB-5719-41C4-9B16-EAB0574AB32A}"/>
    <cellStyle name="Migliaia [0] 34 4 2 2 3" xfId="45556" xr:uid="{DC28E536-12C5-4089-88C2-1B64455E6E5A}"/>
    <cellStyle name="Migliaia [0] 34 4 2 3" xfId="37603" xr:uid="{905C7C0A-EFEC-4DF3-A587-1ADDB6C64F78}"/>
    <cellStyle name="Migliaia [0] 34 4 2 4" xfId="42905" xr:uid="{E75E27C8-28B4-4415-A4A5-BC418F590358}"/>
    <cellStyle name="Migliaia [0] 34 4 2 5" xfId="17036" xr:uid="{3453B7B8-B935-48D7-8BC7-AB26B65A27AA}"/>
    <cellStyle name="Migliaia [0] 34 4 3" xfId="5937" xr:uid="{A8C40249-14EF-46DA-83A2-C47DCB1E5C52}"/>
    <cellStyle name="Migliaia [0] 34 4 3 2" xfId="38216" xr:uid="{E199751D-EE9A-49E3-84A9-5A4BFE83ECD6}"/>
    <cellStyle name="Migliaia [0] 34 4 3 3" xfId="43518" xr:uid="{3482DA46-B9FE-4005-825A-3A9B04894B06}"/>
    <cellStyle name="Migliaia [0] 34 4 3 4" xfId="32865" xr:uid="{ED28497A-D2A5-42CF-A2C8-FFC4ADEE9182}"/>
    <cellStyle name="Migliaia [0] 34 4 3 5" xfId="19636" xr:uid="{5BEA7507-C7C0-4B63-97AC-921326569C7C}"/>
    <cellStyle name="Migliaia [0] 34 4 4" xfId="35751" xr:uid="{63C819C9-39C5-4D24-8790-EDBC60B95669}"/>
    <cellStyle name="Migliaia [0] 34 4 5" xfId="40867" xr:uid="{CDFC7FE1-238E-4052-A7B8-E32717EE54BC}"/>
    <cellStyle name="Migliaia [0] 34 4 6" xfId="15978" xr:uid="{F716FB8A-9C72-4C50-A664-32EEAF7AC290}"/>
    <cellStyle name="Migliaia [0] 34 4 7" xfId="7791" xr:uid="{61E06DD3-8D05-4D45-ADFF-88560C4DED76}"/>
    <cellStyle name="Migliaia [0] 34 5" xfId="4679" xr:uid="{6748E7CA-2C18-4BF4-B39D-D62B888B5ABA}"/>
    <cellStyle name="Migliaia [0] 34 5 2" xfId="32866" xr:uid="{D05AFEED-EF50-4BEA-A4F6-4401A3D6FE13}"/>
    <cellStyle name="Migliaia [0] 34 5 2 2" xfId="38217" xr:uid="{05AF2F16-F7CD-464E-A6BE-7288DB5290B2}"/>
    <cellStyle name="Migliaia [0] 34 5 2 3" xfId="43519" xr:uid="{520CC08E-3440-4E6F-861A-20327D9D887C}"/>
    <cellStyle name="Migliaia [0] 34 5 3" xfId="35752" xr:uid="{0C954DB3-1034-4018-AFDF-4BD779E4025D}"/>
    <cellStyle name="Migliaia [0] 34 5 4" xfId="40868" xr:uid="{E41AC4E1-F886-4864-A62E-0B39E90698C2}"/>
    <cellStyle name="Migliaia [0] 34 5 5" xfId="17105" xr:uid="{48226B2E-588B-48CE-9FFC-266B254AE2D7}"/>
    <cellStyle name="Migliaia [0] 34 6" xfId="5934" xr:uid="{B318F912-5BE6-4254-872A-B4E16B5FAECC}"/>
    <cellStyle name="Migliaia [0] 34 6 2" xfId="38213" xr:uid="{1DD3CBB9-216E-430C-9639-6FEAEC2065A1}"/>
    <cellStyle name="Migliaia [0] 34 6 3" xfId="43515" xr:uid="{99E3DC24-54FC-4FEB-AA0F-9DE0ECE37CCD}"/>
    <cellStyle name="Migliaia [0] 34 6 4" xfId="32862" xr:uid="{42B5BADE-40F7-43AB-811B-1FB26D8BF084}"/>
    <cellStyle name="Migliaia [0] 34 6 5" xfId="19632" xr:uid="{48312A56-3C77-4180-B142-A65911BB5F91}"/>
    <cellStyle name="Migliaia [0] 34 7" xfId="2953" xr:uid="{CA22018F-3589-48CB-AD9C-D56B57ABE325}"/>
    <cellStyle name="Migliaia [0] 34 7 2" xfId="35748" xr:uid="{FE60E7F9-B391-47CC-81AB-AD2B6D104FF7}"/>
    <cellStyle name="Migliaia [0] 34 8" xfId="40864" xr:uid="{89E03D5E-6EE0-4A1B-8DA6-743D36A5D832}"/>
    <cellStyle name="Migliaia [0] 34 9" xfId="7012" xr:uid="{44053B65-D090-41DB-83FB-2AD56F8493C9}"/>
    <cellStyle name="Migliaia [0] 35" xfId="270" xr:uid="{00000000-0005-0000-0000-000045020000}"/>
    <cellStyle name="Migliaia [0] 35 2" xfId="1565" xr:uid="{00000000-0005-0000-0000-000046020000}"/>
    <cellStyle name="Migliaia [0] 35 2 2" xfId="1566" xr:uid="{00000000-0005-0000-0000-000047020000}"/>
    <cellStyle name="Migliaia [0] 35 2 2 2" xfId="4686" xr:uid="{F23E5477-1FFE-4C3B-9B10-35A9768479F2}"/>
    <cellStyle name="Migliaia [0] 35 2 2 2 2" xfId="21776" xr:uid="{3408BEDC-DF58-4648-BAEF-A9CA2FDDC14E}"/>
    <cellStyle name="Migliaia [0] 35 2 2 2 3" xfId="46292" xr:uid="{806CBC05-33DE-4EA0-90DF-8BADE715C48D}"/>
    <cellStyle name="Migliaia [0] 35 2 2 2 4" xfId="50804" xr:uid="{322E8546-658A-457E-85F0-B2FE146DF4F4}"/>
    <cellStyle name="Migliaia [0] 35 2 2 2 5" xfId="53820" xr:uid="{8B0E9420-2EF0-4095-81F9-8C9C75E16C20}"/>
    <cellStyle name="Migliaia [0] 35 2 2 2 6" xfId="11794" xr:uid="{74FEF73A-8E70-46E5-BE1F-3C8AFBECE1B9}"/>
    <cellStyle name="Migliaia [0] 35 2 2 3" xfId="2960" xr:uid="{AF0EE2E9-05B9-4F3B-94A2-EB669D2F2101}"/>
    <cellStyle name="Migliaia [0] 35 2 2 3 2" xfId="12342" xr:uid="{BBB9F041-0054-4BD2-B4DF-346DEBD9DEA6}"/>
    <cellStyle name="Migliaia [0] 35 2 2 4" xfId="10673" xr:uid="{495CD6DF-18A3-465A-ADD9-DF5342678F8D}"/>
    <cellStyle name="Migliaia [0] 35 2 2 4 2" xfId="21308" xr:uid="{D693A19B-2F53-4016-9921-0006FF1AEC38}"/>
    <cellStyle name="Migliaia [0] 35 2 2 4 3" xfId="46636" xr:uid="{D74B535D-7477-49B7-B31A-01503E139F05}"/>
    <cellStyle name="Migliaia [0] 35 2 2 4 4" xfId="50323" xr:uid="{7E7F68E2-8185-4582-A0EC-49FA17CBED4A}"/>
    <cellStyle name="Migliaia [0] 35 2 2 4 5" xfId="53339" xr:uid="{5499033D-61C3-4613-8524-0D9D098160E3}"/>
    <cellStyle name="Migliaia [0] 35 2 2 5" xfId="19639" xr:uid="{1116C150-8C2E-4BA2-872E-C7D44D247947}"/>
    <cellStyle name="Migliaia [0] 35 2 2 6" xfId="24076" xr:uid="{222A5C9B-019E-4E81-B14B-9E3C8862EC51}"/>
    <cellStyle name="Migliaia [0] 35 2 2 7" xfId="48848" xr:uid="{6F8FA0E8-5958-4791-9BF0-B37E84DB1A4E}"/>
    <cellStyle name="Migliaia [0] 35 2 2 8" xfId="49754" xr:uid="{35E1C942-FAC3-4BF5-9348-B546D77F5FFA}"/>
    <cellStyle name="Migliaia [0] 35 2 2 9" xfId="8454" xr:uid="{961B9555-87F1-4A7D-9CD7-3C4F32E84B20}"/>
    <cellStyle name="Migliaia [0] 35 2 3" xfId="4685" xr:uid="{0156E53E-1BA6-441D-BA2C-148705B45982}"/>
    <cellStyle name="Migliaia [0] 35 2 3 2" xfId="32868" xr:uid="{8354F3A2-CDA0-455B-8228-7F7D2C5462FD}"/>
    <cellStyle name="Migliaia [0] 35 2 3 2 2" xfId="38219" xr:uid="{A59DDA81-C458-46ED-AC2F-B56AE96737AD}"/>
    <cellStyle name="Migliaia [0] 35 2 3 2 3" xfId="43521" xr:uid="{0B046361-B99D-4492-9D49-27682BD14B62}"/>
    <cellStyle name="Migliaia [0] 35 2 3 3" xfId="35754" xr:uid="{E69CA9D4-2DCE-40EB-99A8-DA5155C9D185}"/>
    <cellStyle name="Migliaia [0] 35 2 3 4" xfId="40870" xr:uid="{DFA0708B-1AB0-47CD-B736-485B8242F1A9}"/>
    <cellStyle name="Migliaia [0] 35 2 3 5" xfId="11795" xr:uid="{903D63F3-FDA5-450E-8F78-2DED5F39F1B6}"/>
    <cellStyle name="Migliaia [0] 35 2 4" xfId="5939" xr:uid="{8A84E47A-552F-4EAC-BC05-001E22E23CB3}"/>
    <cellStyle name="Migliaia [0] 35 2 4 2" xfId="19638" xr:uid="{C314E1B9-7684-4D2D-A443-3B4BEFBDD664}"/>
    <cellStyle name="Migliaia [0] 35 2 5" xfId="2959" xr:uid="{7E7A23EC-5BA3-411A-AF7C-0F441A10BD4A}"/>
    <cellStyle name="Migliaia [0] 35 2 5 2" xfId="24075" xr:uid="{4D3B09DA-85A5-49BF-AE15-11BA12C1EFCB}"/>
    <cellStyle name="Migliaia [0] 35 2 6" xfId="7264" xr:uid="{D40D8714-3B7C-4DFE-BAC9-9C6826B630EF}"/>
    <cellStyle name="Migliaia [0] 35 3" xfId="1567" xr:uid="{00000000-0005-0000-0000-000048020000}"/>
    <cellStyle name="Migliaia [0] 35 3 2" xfId="4687" xr:uid="{1C781068-C9B4-4218-B066-C62EE3D2F012}"/>
    <cellStyle name="Migliaia [0] 35 3 2 2" xfId="18329" xr:uid="{8AACDA23-A892-431E-A7B3-290179FA33A3}"/>
    <cellStyle name="Migliaia [0] 35 3 2 2 2" xfId="21777" xr:uid="{91817663-B115-4CCE-B4FA-D70BF6061C64}"/>
    <cellStyle name="Migliaia [0] 35 3 2 2 2 2" xfId="38220" xr:uid="{3D21BD98-4D09-4647-BF93-1FAF55091F81}"/>
    <cellStyle name="Migliaia [0] 35 3 2 2 3" xfId="43522" xr:uid="{E7B4431D-4C7C-4D2A-959E-EC509F8F17C6}"/>
    <cellStyle name="Migliaia [0] 35 3 2 2 4" xfId="32869" xr:uid="{AF509258-B3D7-4BEF-8951-42571858DC69}"/>
    <cellStyle name="Migliaia [0] 35 3 2 3" xfId="35755" xr:uid="{6D43E527-5EEE-45FB-BE70-DD67CDA1E4CB}"/>
    <cellStyle name="Migliaia [0] 35 3 2 4" xfId="40871" xr:uid="{6026F760-3216-47DC-B9C3-8DE847D03215}"/>
    <cellStyle name="Migliaia [0] 35 3 2 5" xfId="48270" xr:uid="{2840E0CF-3EF4-4CE4-8DE4-2DDE874FE0BE}"/>
    <cellStyle name="Migliaia [0] 35 3 2 6" xfId="50805" xr:uid="{D899CF14-3B00-4D99-92E3-182725A3870E}"/>
    <cellStyle name="Migliaia [0] 35 3 2 7" xfId="53821" xr:uid="{3FB99AE7-82DF-4A70-9207-BECB386BDE9A}"/>
    <cellStyle name="Migliaia [0] 35 3 2 8" xfId="17605" xr:uid="{9C51AA41-C60C-476E-B2AE-E721939EC7CD}"/>
    <cellStyle name="Migliaia [0] 35 3 2 9" xfId="11796" xr:uid="{A80924FC-6780-407E-999F-9DA6B57A887A}"/>
    <cellStyle name="Migliaia [0] 35 3 3" xfId="5940" xr:uid="{410D2716-D1F1-4AAE-B3F4-0B97A9FD13BA}"/>
    <cellStyle name="Migliaia [0] 35 3 3 2" xfId="12377" xr:uid="{BDD3F212-C871-48CF-987C-9264559BC71B}"/>
    <cellStyle name="Migliaia [0] 35 3 4" xfId="2961" xr:uid="{98DFD544-E333-40B6-9816-8B4EA23F57F2}"/>
    <cellStyle name="Migliaia [0] 35 3 4 2" xfId="21309" xr:uid="{B94EBD87-8C1D-443C-BE38-A9B00C057D96}"/>
    <cellStyle name="Migliaia [0] 35 3 4 3" xfId="36717" xr:uid="{7A36A91B-985B-4994-B261-691755A81D67}"/>
    <cellStyle name="Migliaia [0] 35 3 4 4" xfId="50324" xr:uid="{6812C6B9-1ADA-44A4-8645-3EEB4E036A84}"/>
    <cellStyle name="Migliaia [0] 35 3 4 5" xfId="53340" xr:uid="{D796F268-24E6-4E22-9D40-60A02FBC093E}"/>
    <cellStyle name="Migliaia [0] 35 3 4 6" xfId="10674" xr:uid="{2131E97A-735F-4296-BEF2-7E5646DDB383}"/>
    <cellStyle name="Migliaia [0] 35 3 5" xfId="19640" xr:uid="{85070DC4-278E-4270-A00E-41FA9E1130D7}"/>
    <cellStyle name="Migliaia [0] 35 3 6" xfId="24077" xr:uid="{36F44048-775E-4506-9AD6-681528023350}"/>
    <cellStyle name="Migliaia [0] 35 3 7" xfId="8212" xr:uid="{EB1EA790-E47D-4DEF-96F1-D3689AC37D53}"/>
    <cellStyle name="Migliaia [0] 35 4" xfId="2962" xr:uid="{D303A6E3-B77E-4DEC-B86B-95DF61574933}"/>
    <cellStyle name="Migliaia [0] 35 4 2" xfId="4688" xr:uid="{4A8CE6BB-B5AE-4EF8-B984-206ADA9D19E2}"/>
    <cellStyle name="Migliaia [0] 35 4 2 2" xfId="35097" xr:uid="{81D53355-B0BA-4411-B40A-D5EE23846287}"/>
    <cellStyle name="Migliaia [0] 35 4 2 2 2" xfId="40255" xr:uid="{9A17C673-9930-45F9-A3A0-ABF66486C3B7}"/>
    <cellStyle name="Migliaia [0] 35 4 2 2 3" xfId="45557" xr:uid="{1CA1BFD2-D87D-4D01-9ABD-7B575A77E022}"/>
    <cellStyle name="Migliaia [0] 35 4 2 3" xfId="37604" xr:uid="{9C778CF7-F219-4C46-918D-4F6AF2EE34CD}"/>
    <cellStyle name="Migliaia [0] 35 4 2 4" xfId="42906" xr:uid="{687015BE-F3A7-43F1-89DE-847116DAEF93}"/>
    <cellStyle name="Migliaia [0] 35 4 2 5" xfId="17037" xr:uid="{EA9E9E53-C05E-4DF5-92AB-5299C758930C}"/>
    <cellStyle name="Migliaia [0] 35 4 3" xfId="5941" xr:uid="{B9808434-302C-4464-8C9A-740DF3737E40}"/>
    <cellStyle name="Migliaia [0] 35 4 3 2" xfId="38221" xr:uid="{9BCB5995-95C6-4521-9307-11137C2E6ACF}"/>
    <cellStyle name="Migliaia [0] 35 4 3 3" xfId="43523" xr:uid="{BFFB9738-4F48-41A1-A682-C63A4F4097B2}"/>
    <cellStyle name="Migliaia [0] 35 4 3 4" xfId="32870" xr:uid="{0444ABB8-0AA5-4182-A98B-B84A0517C190}"/>
    <cellStyle name="Migliaia [0] 35 4 3 5" xfId="19641" xr:uid="{46C15377-1556-49A0-B491-A6B9A75C1482}"/>
    <cellStyle name="Migliaia [0] 35 4 4" xfId="35756" xr:uid="{E10239BB-0BFD-4329-BE57-236B69EC1C42}"/>
    <cellStyle name="Migliaia [0] 35 4 5" xfId="40872" xr:uid="{7198CF42-A798-4DE5-B984-9C3DE723D03F}"/>
    <cellStyle name="Migliaia [0] 35 4 6" xfId="15979" xr:uid="{A86E2884-33E9-44C8-8095-869C76938A53}"/>
    <cellStyle name="Migliaia [0] 35 4 7" xfId="7792" xr:uid="{2262353D-AEF5-43E2-9C97-34E2D8ABE4EC}"/>
    <cellStyle name="Migliaia [0] 35 5" xfId="4684" xr:uid="{EC1B6CFE-41DC-4511-B5A2-7302AB8361A2}"/>
    <cellStyle name="Migliaia [0] 35 5 2" xfId="32871" xr:uid="{B5578358-365B-4DA8-865A-993ACC7C1329}"/>
    <cellStyle name="Migliaia [0] 35 5 2 2" xfId="38222" xr:uid="{9CA9414F-A841-40F7-9A98-5199F65C00E3}"/>
    <cellStyle name="Migliaia [0] 35 5 2 3" xfId="43524" xr:uid="{409B5DDB-71FB-4290-BC23-A3464E0A5343}"/>
    <cellStyle name="Migliaia [0] 35 5 3" xfId="35757" xr:uid="{7B215546-A48D-4F22-957B-7C8EEE9CA3ED}"/>
    <cellStyle name="Migliaia [0] 35 5 4" xfId="40873" xr:uid="{D5A50A5A-93FF-4E99-A48F-A85ED2001C4F}"/>
    <cellStyle name="Migliaia [0] 35 5 5" xfId="17106" xr:uid="{99607AA0-B664-4B76-BAAD-608BD3912ACB}"/>
    <cellStyle name="Migliaia [0] 35 6" xfId="5938" xr:uid="{E6B0EF93-BAEA-4005-8073-ACF6942D0F58}"/>
    <cellStyle name="Migliaia [0] 35 6 2" xfId="38218" xr:uid="{BA244EAF-4608-4C51-AE7A-450048594749}"/>
    <cellStyle name="Migliaia [0] 35 6 3" xfId="43520" xr:uid="{B68EBD98-E0D5-4808-B655-4D57376B54F2}"/>
    <cellStyle name="Migliaia [0] 35 6 4" xfId="32867" xr:uid="{4B72CE8E-7527-4321-B5BE-280AE7CC7BDE}"/>
    <cellStyle name="Migliaia [0] 35 6 5" xfId="19637" xr:uid="{722F6A17-7334-4BA4-8D97-DD8BD484341F}"/>
    <cellStyle name="Migliaia [0] 35 7" xfId="2958" xr:uid="{55DEA085-289B-402A-9AFA-2145A27F5A7F}"/>
    <cellStyle name="Migliaia [0] 35 7 2" xfId="35753" xr:uid="{440C6E5E-0FEB-48B6-8717-B2E90C8A0CDA}"/>
    <cellStyle name="Migliaia [0] 35 8" xfId="40869" xr:uid="{1174AB10-0217-4910-B68D-3DF032B83D93}"/>
    <cellStyle name="Migliaia [0] 35 9" xfId="7013" xr:uid="{1FE36B0F-24A6-4825-9FC9-8BF3F355779B}"/>
    <cellStyle name="Migliaia [0] 36" xfId="271" xr:uid="{00000000-0005-0000-0000-000049020000}"/>
    <cellStyle name="Migliaia [0] 36 2" xfId="1568" xr:uid="{00000000-0005-0000-0000-00004A020000}"/>
    <cellStyle name="Migliaia [0] 36 2 2" xfId="1569" xr:uid="{00000000-0005-0000-0000-00004B020000}"/>
    <cellStyle name="Migliaia [0] 36 2 2 2" xfId="4691" xr:uid="{6630EAEE-D294-458D-9D0D-2A0A0FC93B9D}"/>
    <cellStyle name="Migliaia [0] 36 2 2 2 2" xfId="21778" xr:uid="{56E6000D-22CB-49B2-93BD-91713CB479BF}"/>
    <cellStyle name="Migliaia [0] 36 2 2 2 3" xfId="46742" xr:uid="{9613B514-9092-498E-8F03-0E581698B3F0}"/>
    <cellStyle name="Migliaia [0] 36 2 2 2 4" xfId="50806" xr:uid="{8E7A725F-46DA-4B42-A534-131679135803}"/>
    <cellStyle name="Migliaia [0] 36 2 2 2 5" xfId="53822" xr:uid="{C1843054-3F68-4318-8A8C-BEB1E9949E88}"/>
    <cellStyle name="Migliaia [0] 36 2 2 2 6" xfId="11797" xr:uid="{B2E18BBA-6DE3-4FF7-8914-36797AC29943}"/>
    <cellStyle name="Migliaia [0] 36 2 2 3" xfId="2965" xr:uid="{9BA70B29-EE7E-411C-BE94-0148DC6C5D44}"/>
    <cellStyle name="Migliaia [0] 36 2 2 3 2" xfId="12341" xr:uid="{BF9008E5-AEC8-4612-86DC-A23E24069326}"/>
    <cellStyle name="Migliaia [0] 36 2 2 4" xfId="10675" xr:uid="{F2A56EB8-AE5E-4FF2-B3F3-AD0DFC5B7806}"/>
    <cellStyle name="Migliaia [0] 36 2 2 4 2" xfId="21310" xr:uid="{2526CD51-9693-46B5-8F3F-C0863A950E83}"/>
    <cellStyle name="Migliaia [0] 36 2 2 4 3" xfId="47406" xr:uid="{3E742AF4-4A82-495D-834F-7A39301F9375}"/>
    <cellStyle name="Migliaia [0] 36 2 2 4 4" xfId="50325" xr:uid="{B82FCB3E-DB99-4C03-A219-6109CBA4C358}"/>
    <cellStyle name="Migliaia [0] 36 2 2 4 5" xfId="53341" xr:uid="{6737804E-8DB9-47DC-B344-56A755934CC5}"/>
    <cellStyle name="Migliaia [0] 36 2 2 5" xfId="19644" xr:uid="{0BEEA79A-68CC-4612-9E7F-8B338773777D}"/>
    <cellStyle name="Migliaia [0] 36 2 2 6" xfId="24079" xr:uid="{E1394CC2-5085-4628-BB48-D33934944260}"/>
    <cellStyle name="Migliaia [0] 36 2 2 7" xfId="48849" xr:uid="{5B968821-6EDA-4135-99FF-D0BF2A79AF89}"/>
    <cellStyle name="Migliaia [0] 36 2 2 8" xfId="49755" xr:uid="{AF6662D7-AC54-4750-80F8-14A45E70CB4F}"/>
    <cellStyle name="Migliaia [0] 36 2 2 9" xfId="8455" xr:uid="{6A1E3F5E-F71D-4C68-A8DF-AE13D8769E30}"/>
    <cellStyle name="Migliaia [0] 36 2 3" xfId="4690" xr:uid="{13E2D0BD-8050-4478-8260-323C80ABD532}"/>
    <cellStyle name="Migliaia [0] 36 2 3 2" xfId="32873" xr:uid="{D65FA69F-769E-4F43-90CE-6BA4F0D7B7DC}"/>
    <cellStyle name="Migliaia [0] 36 2 3 2 2" xfId="38224" xr:uid="{06996F64-FB72-4EEC-9056-5C595FF6303D}"/>
    <cellStyle name="Migliaia [0] 36 2 3 2 3" xfId="43526" xr:uid="{C713C0A1-FFAD-482B-B63C-804D285FF557}"/>
    <cellStyle name="Migliaia [0] 36 2 3 3" xfId="35759" xr:uid="{4ABF5044-57A1-49B4-B9D7-6BCA2F047592}"/>
    <cellStyle name="Migliaia [0] 36 2 3 4" xfId="40875" xr:uid="{2D45516F-B8B8-4B1B-9D9D-10E0576E1BCC}"/>
    <cellStyle name="Migliaia [0] 36 2 3 5" xfId="11798" xr:uid="{2E8BB3DC-9B7C-4D83-B9C2-FC5F51BBF077}"/>
    <cellStyle name="Migliaia [0] 36 2 4" xfId="5943" xr:uid="{AC165AD2-39C9-4906-BBC2-97F9B163666E}"/>
    <cellStyle name="Migliaia [0] 36 2 4 2" xfId="19643" xr:uid="{B6A7BEC7-8A01-40C7-834D-392392E28494}"/>
    <cellStyle name="Migliaia [0] 36 2 5" xfId="2964" xr:uid="{58C8D901-3503-4C1C-B7D2-1F9951D1ECF2}"/>
    <cellStyle name="Migliaia [0] 36 2 5 2" xfId="24078" xr:uid="{B83B545A-E6F6-4C3E-BE8B-794446813ADB}"/>
    <cellStyle name="Migliaia [0] 36 2 6" xfId="7265" xr:uid="{0E012A9E-0F29-4DAC-9C6A-82BF0531D583}"/>
    <cellStyle name="Migliaia [0] 36 3" xfId="1570" xr:uid="{00000000-0005-0000-0000-00004C020000}"/>
    <cellStyle name="Migliaia [0] 36 3 2" xfId="4692" xr:uid="{9037FA35-F9B8-4626-B919-399D5007C1B9}"/>
    <cellStyle name="Migliaia [0] 36 3 2 2" xfId="18330" xr:uid="{CD8E2AC8-FFD4-44D8-A94E-33BB7C0FAC44}"/>
    <cellStyle name="Migliaia [0] 36 3 2 2 2" xfId="21779" xr:uid="{07522B15-7CBC-4821-AFBE-996FDAC9702D}"/>
    <cellStyle name="Migliaia [0] 36 3 2 2 2 2" xfId="38225" xr:uid="{8A02E7BB-4479-4472-921B-CAC8D9E9D84D}"/>
    <cellStyle name="Migliaia [0] 36 3 2 2 3" xfId="43527" xr:uid="{A9672D87-293D-40F4-A03D-0F50E398C0FD}"/>
    <cellStyle name="Migliaia [0] 36 3 2 2 4" xfId="32874" xr:uid="{03088C17-D14F-4CEA-BA91-739F40B66490}"/>
    <cellStyle name="Migliaia [0] 36 3 2 3" xfId="35760" xr:uid="{8D59A6CF-51DE-46E9-B5A1-F7176EAC8F71}"/>
    <cellStyle name="Migliaia [0] 36 3 2 4" xfId="40876" xr:uid="{AA027373-6D59-49AC-AFC9-CF47623DF789}"/>
    <cellStyle name="Migliaia [0] 36 3 2 5" xfId="47315" xr:uid="{49124304-CFD6-4250-94D1-FC5FAD327472}"/>
    <cellStyle name="Migliaia [0] 36 3 2 6" xfId="50807" xr:uid="{E43DA2FE-B33B-47C4-9046-EEF9D4F44BC8}"/>
    <cellStyle name="Migliaia [0] 36 3 2 7" xfId="53823" xr:uid="{BB2854AD-B1E7-4042-A9A8-0DD2E1BE2857}"/>
    <cellStyle name="Migliaia [0] 36 3 2 8" xfId="17606" xr:uid="{15D698D0-1345-4E3B-9FA8-E83EF64B1581}"/>
    <cellStyle name="Migliaia [0] 36 3 2 9" xfId="11799" xr:uid="{622970F4-F11E-40DD-BCF5-A344A1D8030F}"/>
    <cellStyle name="Migliaia [0] 36 3 3" xfId="5944" xr:uid="{85A2BBC8-8511-4C40-BB3C-8F6733FCD897}"/>
    <cellStyle name="Migliaia [0] 36 3 3 2" xfId="12376" xr:uid="{6412A2A1-3042-40B6-9A32-F1D39375B656}"/>
    <cellStyle name="Migliaia [0] 36 3 4" xfId="2966" xr:uid="{AA0CB16A-BAD2-4045-A3D2-F042261253A3}"/>
    <cellStyle name="Migliaia [0] 36 3 4 2" xfId="21311" xr:uid="{6851F8DD-8679-4D26-80F3-7104AD7C35C5}"/>
    <cellStyle name="Migliaia [0] 36 3 4 3" xfId="47656" xr:uid="{D821A62F-59B8-4543-AD9C-795B491B478B}"/>
    <cellStyle name="Migliaia [0] 36 3 4 4" xfId="50326" xr:uid="{BD72039B-2B43-4285-A52B-28AD0FB97414}"/>
    <cellStyle name="Migliaia [0] 36 3 4 5" xfId="53342" xr:uid="{C149CABD-A987-4E3E-B33D-3D70DF0ECF5A}"/>
    <cellStyle name="Migliaia [0] 36 3 4 6" xfId="10676" xr:uid="{E8E5732F-81FF-4FC5-AA65-7BC5DFDB2207}"/>
    <cellStyle name="Migliaia [0] 36 3 5" xfId="19645" xr:uid="{B3E8EA0B-7BD3-4017-98B6-5B183EE46EFC}"/>
    <cellStyle name="Migliaia [0] 36 3 6" xfId="24080" xr:uid="{1F423675-97F1-412F-A493-4F66C63271CE}"/>
    <cellStyle name="Migliaia [0] 36 3 7" xfId="8213" xr:uid="{B34FA6C2-2730-4807-B222-DB80AAB9D564}"/>
    <cellStyle name="Migliaia [0] 36 4" xfId="2967" xr:uid="{3C097D4F-2462-4C5C-9DAE-903DA1E16549}"/>
    <cellStyle name="Migliaia [0] 36 4 2" xfId="4693" xr:uid="{4484610C-3F2D-449B-8E05-60E252FB917F}"/>
    <cellStyle name="Migliaia [0] 36 4 2 2" xfId="35098" xr:uid="{B27D0E6C-247D-47D1-B2D2-ADD29719670D}"/>
    <cellStyle name="Migliaia [0] 36 4 2 2 2" xfId="40256" xr:uid="{A6A3662A-34F0-43F4-BF01-A64CE4139C8B}"/>
    <cellStyle name="Migliaia [0] 36 4 2 2 3" xfId="45558" xr:uid="{D17EC1C3-1CCD-46B0-953C-828550307F73}"/>
    <cellStyle name="Migliaia [0] 36 4 2 3" xfId="37605" xr:uid="{95F40E69-3E46-4473-ACA6-DE9F61999E8B}"/>
    <cellStyle name="Migliaia [0] 36 4 2 4" xfId="42907" xr:uid="{5AA1D0A0-7081-4504-B1D1-0C345DF07409}"/>
    <cellStyle name="Migliaia [0] 36 4 2 5" xfId="17038" xr:uid="{9E02DE33-6307-4734-A1D0-44AA8B313B93}"/>
    <cellStyle name="Migliaia [0] 36 4 3" xfId="5945" xr:uid="{5CD857B6-859C-4536-B31C-B1785F24D163}"/>
    <cellStyle name="Migliaia [0] 36 4 3 2" xfId="38226" xr:uid="{5B0B63F3-76EC-4307-ADB0-3C4946892C14}"/>
    <cellStyle name="Migliaia [0] 36 4 3 3" xfId="43528" xr:uid="{909DDD7B-5D09-4CC6-A75C-11AB9EA96F80}"/>
    <cellStyle name="Migliaia [0] 36 4 3 4" xfId="32875" xr:uid="{DB5B21BC-9E29-4867-B300-F9BCF1F5580F}"/>
    <cellStyle name="Migliaia [0] 36 4 3 5" xfId="19646" xr:uid="{AD0A6693-2A03-4F8C-B7A8-6DD7DD26B282}"/>
    <cellStyle name="Migliaia [0] 36 4 4" xfId="35761" xr:uid="{03E85269-C82B-4D70-944A-5F8C97E0F68F}"/>
    <cellStyle name="Migliaia [0] 36 4 5" xfId="40877" xr:uid="{712C7E09-E742-419A-AF0E-233A75999F34}"/>
    <cellStyle name="Migliaia [0] 36 4 6" xfId="15980" xr:uid="{352B04A6-BC31-4448-B458-933A1C9AD885}"/>
    <cellStyle name="Migliaia [0] 36 4 7" xfId="7793" xr:uid="{650E5B09-CF42-42BC-A33B-2A06171308CF}"/>
    <cellStyle name="Migliaia [0] 36 5" xfId="4689" xr:uid="{A98DA38D-DCEB-43A6-90EA-63CC53B72432}"/>
    <cellStyle name="Migliaia [0] 36 5 2" xfId="32876" xr:uid="{3CF1E97E-4B7F-4459-B4E3-E03A12DCD207}"/>
    <cellStyle name="Migliaia [0] 36 5 2 2" xfId="38227" xr:uid="{630BE01E-8C19-4702-A55D-5C4BDAB0EF8B}"/>
    <cellStyle name="Migliaia [0] 36 5 2 3" xfId="43529" xr:uid="{DA225445-1B67-4DC0-963B-2E1A83D8E94E}"/>
    <cellStyle name="Migliaia [0] 36 5 3" xfId="35762" xr:uid="{7FF4B985-5516-4CB6-8324-E8C1B5EEA53B}"/>
    <cellStyle name="Migliaia [0] 36 5 4" xfId="40878" xr:uid="{CD5FFCAE-088D-4405-A3EF-71682736ADAA}"/>
    <cellStyle name="Migliaia [0] 36 5 5" xfId="17107" xr:uid="{2C24AC54-82EB-4A66-BD02-7BEBB6339258}"/>
    <cellStyle name="Migliaia [0] 36 6" xfId="5942" xr:uid="{692D149D-6B31-4E81-B8BA-A1C82A620C64}"/>
    <cellStyle name="Migliaia [0] 36 6 2" xfId="38223" xr:uid="{5245B3CE-940E-421C-9B80-6251F8AABCA5}"/>
    <cellStyle name="Migliaia [0] 36 6 3" xfId="43525" xr:uid="{3D092729-D804-490C-9044-734A241075D0}"/>
    <cellStyle name="Migliaia [0] 36 6 4" xfId="32872" xr:uid="{492451A1-84BA-4FAB-9A89-89438D5475A8}"/>
    <cellStyle name="Migliaia [0] 36 6 5" xfId="19642" xr:uid="{D0D8A46F-5236-4DE0-88DE-A294DE6253AB}"/>
    <cellStyle name="Migliaia [0] 36 7" xfId="2963" xr:uid="{BD71548B-D8C4-4FC4-A8FD-57A7D72F773F}"/>
    <cellStyle name="Migliaia [0] 36 7 2" xfId="35758" xr:uid="{12A6D9C9-D1A5-4D99-9C17-30E7DE8A47EA}"/>
    <cellStyle name="Migliaia [0] 36 8" xfId="40874" xr:uid="{E1420A4A-DF22-4228-A967-1CC5F2C88ACB}"/>
    <cellStyle name="Migliaia [0] 36 9" xfId="7014" xr:uid="{9D4CA115-E993-400A-9F3B-5D3C1349036B}"/>
    <cellStyle name="Migliaia [0] 37" xfId="272" xr:uid="{00000000-0005-0000-0000-00004D020000}"/>
    <cellStyle name="Migliaia [0] 37 2" xfId="1571" xr:uid="{00000000-0005-0000-0000-00004E020000}"/>
    <cellStyle name="Migliaia [0] 37 2 2" xfId="1572" xr:uid="{00000000-0005-0000-0000-00004F020000}"/>
    <cellStyle name="Migliaia [0] 37 2 2 2" xfId="4696" xr:uid="{DAD01564-95F7-422D-9CCB-2CE88A495CCB}"/>
    <cellStyle name="Migliaia [0] 37 2 2 2 2" xfId="21780" xr:uid="{24667572-88D3-4058-94E5-167D97E6C9A5}"/>
    <cellStyle name="Migliaia [0] 37 2 2 2 3" xfId="46293" xr:uid="{582EF0C2-502F-45F2-8C30-B403825FE459}"/>
    <cellStyle name="Migliaia [0] 37 2 2 2 4" xfId="50808" xr:uid="{E0535650-5729-48E2-BFF5-BF2F37618968}"/>
    <cellStyle name="Migliaia [0] 37 2 2 2 5" xfId="53824" xr:uid="{49E29AFE-85AD-4A44-88CA-72CF339457A9}"/>
    <cellStyle name="Migliaia [0] 37 2 2 2 6" xfId="11800" xr:uid="{0BF9374F-7BAA-4D6B-BE32-32039794FB09}"/>
    <cellStyle name="Migliaia [0] 37 2 2 3" xfId="2970" xr:uid="{0EA2AC64-695E-4C30-9C66-3F18A6175A9B}"/>
    <cellStyle name="Migliaia [0] 37 2 2 3 2" xfId="12340" xr:uid="{28AD3FFD-CCB9-4700-83B0-BD4E8FC53163}"/>
    <cellStyle name="Migliaia [0] 37 2 2 4" xfId="10677" xr:uid="{6C08EC93-600F-4DB2-92B9-E3657BD3EE19}"/>
    <cellStyle name="Migliaia [0] 37 2 2 4 2" xfId="21312" xr:uid="{E024DB23-B264-44BA-A795-CAAFC0F960BB}"/>
    <cellStyle name="Migliaia [0] 37 2 2 4 3" xfId="46182" xr:uid="{D1DDBE61-6726-4CB5-A2B6-8AC5D9388025}"/>
    <cellStyle name="Migliaia [0] 37 2 2 4 4" xfId="50327" xr:uid="{594126ED-22EB-48BB-94B5-AFF94A86FFFC}"/>
    <cellStyle name="Migliaia [0] 37 2 2 4 5" xfId="53343" xr:uid="{19A14410-47F3-4DB1-B8F8-DE5A9D440D1D}"/>
    <cellStyle name="Migliaia [0] 37 2 2 5" xfId="19649" xr:uid="{FAFA9A00-AE9B-43B1-B28E-BA5C6BCA8568}"/>
    <cellStyle name="Migliaia [0] 37 2 2 6" xfId="24082" xr:uid="{037E81E8-C1C3-484D-800F-79D923EA2230}"/>
    <cellStyle name="Migliaia [0] 37 2 2 7" xfId="48850" xr:uid="{C3796E00-76D2-426E-BB93-407CF5A3BA27}"/>
    <cellStyle name="Migliaia [0] 37 2 2 8" xfId="49756" xr:uid="{9AD44F0E-3ED5-4399-B304-CFDEC1489442}"/>
    <cellStyle name="Migliaia [0] 37 2 2 9" xfId="8456" xr:uid="{795E39A5-55BA-4FE1-A55F-2FD7CE1AAB53}"/>
    <cellStyle name="Migliaia [0] 37 2 3" xfId="4695" xr:uid="{F348FA34-FD99-437F-BF0F-D98B20A0D88D}"/>
    <cellStyle name="Migliaia [0] 37 2 3 2" xfId="32878" xr:uid="{B0A64A46-BF56-4982-8048-6AE58643CD8A}"/>
    <cellStyle name="Migliaia [0] 37 2 3 2 2" xfId="38229" xr:uid="{4FF0CB4F-D5FD-4174-869A-68C9CE24D635}"/>
    <cellStyle name="Migliaia [0] 37 2 3 2 3" xfId="43531" xr:uid="{66FFC278-5B7E-4E0C-B630-14037C1C0642}"/>
    <cellStyle name="Migliaia [0] 37 2 3 3" xfId="35764" xr:uid="{866F215D-BE4C-40A4-B382-4779355363F8}"/>
    <cellStyle name="Migliaia [0] 37 2 3 4" xfId="40880" xr:uid="{2983902F-ED78-4CC3-A42D-39CC82073242}"/>
    <cellStyle name="Migliaia [0] 37 2 3 5" xfId="11801" xr:uid="{0A567758-8E78-4879-881F-E0CFC85A6A1E}"/>
    <cellStyle name="Migliaia [0] 37 2 4" xfId="5947" xr:uid="{4ED181B4-278B-46F9-A99F-74F65201207D}"/>
    <cellStyle name="Migliaia [0] 37 2 4 2" xfId="19648" xr:uid="{2C746332-12AC-4856-B8A1-D08DBFC6AC23}"/>
    <cellStyle name="Migliaia [0] 37 2 5" xfId="2969" xr:uid="{8DA40E09-55B5-4C52-A400-D9336CF9F252}"/>
    <cellStyle name="Migliaia [0] 37 2 5 2" xfId="24081" xr:uid="{7CB1D960-2D5F-48DF-9A44-A54EBDC5C6CD}"/>
    <cellStyle name="Migliaia [0] 37 2 6" xfId="7266" xr:uid="{73B37540-FCB0-4D49-9DB3-5E389972F1DA}"/>
    <cellStyle name="Migliaia [0] 37 3" xfId="1573" xr:uid="{00000000-0005-0000-0000-000050020000}"/>
    <cellStyle name="Migliaia [0] 37 3 2" xfId="4697" xr:uid="{7688EE82-5B25-4483-95DD-0CB3A4A37323}"/>
    <cellStyle name="Migliaia [0] 37 3 2 2" xfId="18331" xr:uid="{43B1B27C-C94C-4B6E-8F49-B5EEC6F2B02F}"/>
    <cellStyle name="Migliaia [0] 37 3 2 2 2" xfId="21781" xr:uid="{F2F6D6C8-231B-40AD-BFED-4AA7FD4F2058}"/>
    <cellStyle name="Migliaia [0] 37 3 2 2 2 2" xfId="38230" xr:uid="{CE8FF80F-2A26-4ECC-9F0E-AF803FB83018}"/>
    <cellStyle name="Migliaia [0] 37 3 2 2 3" xfId="43532" xr:uid="{7EE83B12-B29C-4E9C-BECC-CD26954886DC}"/>
    <cellStyle name="Migliaia [0] 37 3 2 2 4" xfId="32879" xr:uid="{C0759AE9-41B3-4E0C-8516-FF102C2DCC39}"/>
    <cellStyle name="Migliaia [0] 37 3 2 3" xfId="35765" xr:uid="{81BA5ACC-E85D-4D87-9100-8ACD7664DFED}"/>
    <cellStyle name="Migliaia [0] 37 3 2 4" xfId="40881" xr:uid="{930707CF-379A-4714-9C30-F6AC33C02739}"/>
    <cellStyle name="Migliaia [0] 37 3 2 5" xfId="25130" xr:uid="{5EC7C8D0-235E-4657-A939-E47915E84CDD}"/>
    <cellStyle name="Migliaia [0] 37 3 2 6" xfId="50809" xr:uid="{CA43EC19-DB97-4C6D-954C-7DAE4C3FD18B}"/>
    <cellStyle name="Migliaia [0] 37 3 2 7" xfId="53825" xr:uid="{F22705FE-651A-4331-9670-8D8165F7DB12}"/>
    <cellStyle name="Migliaia [0] 37 3 2 8" xfId="17607" xr:uid="{D9865329-0BF0-4032-B874-4878349E9505}"/>
    <cellStyle name="Migliaia [0] 37 3 2 9" xfId="11802" xr:uid="{12C15A31-2973-4FA4-B8F4-959842035226}"/>
    <cellStyle name="Migliaia [0] 37 3 3" xfId="5948" xr:uid="{89769745-8312-4C44-9AC9-E438F4AF19C3}"/>
    <cellStyle name="Migliaia [0] 37 3 3 2" xfId="12375" xr:uid="{ABBD32A8-DD29-479E-A18D-0D6C4D3B3C04}"/>
    <cellStyle name="Migliaia [0] 37 3 4" xfId="2971" xr:uid="{9560137C-3FAD-4A00-B872-4D921230BE19}"/>
    <cellStyle name="Migliaia [0] 37 3 4 2" xfId="21313" xr:uid="{D0198EC4-1F5E-446C-AD29-AB3BCCFC0DF3}"/>
    <cellStyle name="Migliaia [0] 37 3 4 3" xfId="48466" xr:uid="{2F84026F-C95B-4C77-87D7-A156C349D53C}"/>
    <cellStyle name="Migliaia [0] 37 3 4 4" xfId="50328" xr:uid="{F8E175C1-E3A3-4236-8040-6CF760DF11AB}"/>
    <cellStyle name="Migliaia [0] 37 3 4 5" xfId="53344" xr:uid="{2CDC5873-6F05-4CB7-8B5F-31FA19DEBB27}"/>
    <cellStyle name="Migliaia [0] 37 3 4 6" xfId="10678" xr:uid="{EA295B94-E16E-4389-B0C6-F640504696C2}"/>
    <cellStyle name="Migliaia [0] 37 3 5" xfId="19650" xr:uid="{0394D00B-D542-4BFE-A676-54DB154B1585}"/>
    <cellStyle name="Migliaia [0] 37 3 6" xfId="24083" xr:uid="{C7D486BD-E950-4D41-AA47-00D0BF068109}"/>
    <cellStyle name="Migliaia [0] 37 3 7" xfId="8214" xr:uid="{9FF8A63A-D151-4257-9E63-9DE6C45AC465}"/>
    <cellStyle name="Migliaia [0] 37 4" xfId="2972" xr:uid="{3F093CC6-2AF0-4076-B802-88D47EC1625B}"/>
    <cellStyle name="Migliaia [0] 37 4 2" xfId="4698" xr:uid="{62D7847B-C68B-4C3B-8A57-108C2F940BDB}"/>
    <cellStyle name="Migliaia [0] 37 4 2 2" xfId="35099" xr:uid="{55E82B8E-3EA5-4411-AA97-31B486FB539B}"/>
    <cellStyle name="Migliaia [0] 37 4 2 2 2" xfId="40257" xr:uid="{6F0003D1-17A2-404C-AED9-B5A317A15390}"/>
    <cellStyle name="Migliaia [0] 37 4 2 2 3" xfId="45559" xr:uid="{7DA48179-FDBE-4DBD-B5CE-DC1050014664}"/>
    <cellStyle name="Migliaia [0] 37 4 2 3" xfId="37606" xr:uid="{4550A281-20DF-43E2-920B-BEE5C9B6CF83}"/>
    <cellStyle name="Migliaia [0] 37 4 2 4" xfId="42908" xr:uid="{BD96FFD8-1FF2-43E6-A979-D49ABA452CE7}"/>
    <cellStyle name="Migliaia [0] 37 4 2 5" xfId="17039" xr:uid="{BCE3BBF3-7390-4EA1-BA74-19FFCDB79C2B}"/>
    <cellStyle name="Migliaia [0] 37 4 3" xfId="5949" xr:uid="{D8A345F9-0F43-4479-8D35-BB3A7CE28175}"/>
    <cellStyle name="Migliaia [0] 37 4 3 2" xfId="38231" xr:uid="{82286124-2A8B-4B7E-ABCC-2E7203A55F18}"/>
    <cellStyle name="Migliaia [0] 37 4 3 3" xfId="43533" xr:uid="{1EBBF070-EDE6-4F87-B15B-E321D225564C}"/>
    <cellStyle name="Migliaia [0] 37 4 3 4" xfId="32880" xr:uid="{D158E1E7-1485-4981-A47D-F463C90E87FC}"/>
    <cellStyle name="Migliaia [0] 37 4 3 5" xfId="19651" xr:uid="{3D40EFB4-8A24-4FEB-B38F-E3044F9BDB3E}"/>
    <cellStyle name="Migliaia [0] 37 4 4" xfId="35766" xr:uid="{5D028571-C5C5-4B6D-BEA4-E642E85597A8}"/>
    <cellStyle name="Migliaia [0] 37 4 5" xfId="40882" xr:uid="{BDC3070A-5F4C-4E74-8C66-EFEB47CFEC84}"/>
    <cellStyle name="Migliaia [0] 37 4 6" xfId="15981" xr:uid="{B72163BD-1C48-4F65-89CA-6108D590D5E1}"/>
    <cellStyle name="Migliaia [0] 37 4 7" xfId="7794" xr:uid="{FB0056FB-0A01-4F39-9FBE-500B706A4623}"/>
    <cellStyle name="Migliaia [0] 37 5" xfId="4694" xr:uid="{30366D83-1F53-49FD-A952-8FF46B04C8DE}"/>
    <cellStyle name="Migliaia [0] 37 5 2" xfId="32881" xr:uid="{C0D41A63-BB3A-40CB-99B3-1EB7888F477E}"/>
    <cellStyle name="Migliaia [0] 37 5 2 2" xfId="38232" xr:uid="{D3F2F186-92C7-447F-8E20-1AA68E16EEF0}"/>
    <cellStyle name="Migliaia [0] 37 5 2 3" xfId="43534" xr:uid="{843BDDE7-91BF-4E71-8013-524A87E763FE}"/>
    <cellStyle name="Migliaia [0] 37 5 3" xfId="35767" xr:uid="{B432E74D-8658-4EF3-B063-6D0520679184}"/>
    <cellStyle name="Migliaia [0] 37 5 4" xfId="40883" xr:uid="{6B8A38D6-64A0-44EC-977B-D86CC8AB6F76}"/>
    <cellStyle name="Migliaia [0] 37 5 5" xfId="17108" xr:uid="{62C2E4EC-714A-471C-B6EB-53D0821D5324}"/>
    <cellStyle name="Migliaia [0] 37 6" xfId="5946" xr:uid="{5E3D2523-F733-42E1-90A1-057D77C8BFCF}"/>
    <cellStyle name="Migliaia [0] 37 6 2" xfId="38228" xr:uid="{DB934880-04E5-4718-8F7F-CBA57077CD0B}"/>
    <cellStyle name="Migliaia [0] 37 6 3" xfId="43530" xr:uid="{747E5CC1-DEDF-4060-8F49-074F8C1A7364}"/>
    <cellStyle name="Migliaia [0] 37 6 4" xfId="32877" xr:uid="{AB285A3E-4844-4F73-9391-85C50017B2CB}"/>
    <cellStyle name="Migliaia [0] 37 6 5" xfId="19647" xr:uid="{8BE1898B-CC83-48EE-91FA-A3B2A2F882CB}"/>
    <cellStyle name="Migliaia [0] 37 7" xfId="2968" xr:uid="{D95DC1C0-0311-466A-94CE-9442BFE949E9}"/>
    <cellStyle name="Migliaia [0] 37 7 2" xfId="35763" xr:uid="{A1D6322E-F1D5-4DE4-A3DF-8937E81F529D}"/>
    <cellStyle name="Migliaia [0] 37 8" xfId="40879" xr:uid="{334093D9-E8A4-432F-9F43-9C02ECE3CA2E}"/>
    <cellStyle name="Migliaia [0] 37 9" xfId="7015" xr:uid="{5256776A-55E7-4197-A72D-C18C1A1AA294}"/>
    <cellStyle name="Migliaia [0] 38" xfId="273" xr:uid="{00000000-0005-0000-0000-000051020000}"/>
    <cellStyle name="Migliaia [0] 38 2" xfId="1574" xr:uid="{00000000-0005-0000-0000-000052020000}"/>
    <cellStyle name="Migliaia [0] 38 2 2" xfId="1575" xr:uid="{00000000-0005-0000-0000-000053020000}"/>
    <cellStyle name="Migliaia [0] 38 2 2 2" xfId="4701" xr:uid="{BD6959D5-5CED-40ED-AE2E-F7CE47F57AE9}"/>
    <cellStyle name="Migliaia [0] 38 2 2 2 2" xfId="21782" xr:uid="{7FD25924-FA60-45D0-8B1E-9EC430C76EB7}"/>
    <cellStyle name="Migliaia [0] 38 2 2 2 3" xfId="47813" xr:uid="{C4D48C22-CE7D-4EF4-96CA-C6E09EE1CD2D}"/>
    <cellStyle name="Migliaia [0] 38 2 2 2 4" xfId="50810" xr:uid="{EBDA1D81-65EF-4C35-9A66-FFEC17176957}"/>
    <cellStyle name="Migliaia [0] 38 2 2 2 5" xfId="53826" xr:uid="{E1EE3671-CFA2-48FE-A037-6DD9EA68489C}"/>
    <cellStyle name="Migliaia [0] 38 2 2 2 6" xfId="11803" xr:uid="{9C2CEB46-A9D8-403A-806C-6F999FCE2053}"/>
    <cellStyle name="Migliaia [0] 38 2 2 3" xfId="2975" xr:uid="{EFF91115-37E4-4AEF-BB62-2A31ACDE5697}"/>
    <cellStyle name="Migliaia [0] 38 2 2 3 2" xfId="12339" xr:uid="{55B09B53-1936-4EBE-B2CE-A02C0186600C}"/>
    <cellStyle name="Migliaia [0] 38 2 2 4" xfId="10679" xr:uid="{2C10E9DC-60BF-4A6B-BFB2-07BABC8EB9EA}"/>
    <cellStyle name="Migliaia [0] 38 2 2 4 2" xfId="21314" xr:uid="{699BEF9A-8F8C-44CF-A5F4-04EFC9DED0BC}"/>
    <cellStyle name="Migliaia [0] 38 2 2 4 3" xfId="25359" xr:uid="{76B50196-37DE-41BC-A09F-CB4ADDC063E0}"/>
    <cellStyle name="Migliaia [0] 38 2 2 4 4" xfId="50329" xr:uid="{562A6BA2-9CDD-4145-B09F-C1E9CFBA7235}"/>
    <cellStyle name="Migliaia [0] 38 2 2 4 5" xfId="53345" xr:uid="{7AE99349-74A3-4E0C-99F6-C370C9052FBD}"/>
    <cellStyle name="Migliaia [0] 38 2 2 5" xfId="19654" xr:uid="{2A5B8FFB-EE72-4061-9D9A-78F2F97DF9ED}"/>
    <cellStyle name="Migliaia [0] 38 2 2 6" xfId="24085" xr:uid="{D590D3C1-D71C-43B5-B61F-6E0767894553}"/>
    <cellStyle name="Migliaia [0] 38 2 2 7" xfId="48851" xr:uid="{334F7722-EE31-4AFD-94F8-1447CCA61E3B}"/>
    <cellStyle name="Migliaia [0] 38 2 2 8" xfId="49757" xr:uid="{437CEB94-99F3-4DCE-974F-25396666344C}"/>
    <cellStyle name="Migliaia [0] 38 2 2 9" xfId="8457" xr:uid="{65108721-4019-42C9-A4FA-4D0F1E708E8B}"/>
    <cellStyle name="Migliaia [0] 38 2 3" xfId="4700" xr:uid="{16664EEC-BC53-4153-839E-18C5C4A187CC}"/>
    <cellStyle name="Migliaia [0] 38 2 3 2" xfId="32883" xr:uid="{D933618C-D1BC-47C0-BE4A-0FEF431444CB}"/>
    <cellStyle name="Migliaia [0] 38 2 3 2 2" xfId="38234" xr:uid="{8629091B-FA29-4794-B8FC-BB17CFC89EEC}"/>
    <cellStyle name="Migliaia [0] 38 2 3 2 3" xfId="43536" xr:uid="{A78CF600-66B8-4A55-841E-FA8C418E4996}"/>
    <cellStyle name="Migliaia [0] 38 2 3 3" xfId="35769" xr:uid="{C2B0E52C-3810-4109-A96E-A15D08CC93E9}"/>
    <cellStyle name="Migliaia [0] 38 2 3 4" xfId="40885" xr:uid="{501764E0-2FE2-4F0E-BB71-975090412CD1}"/>
    <cellStyle name="Migliaia [0] 38 2 3 5" xfId="11804" xr:uid="{6BD4BC29-5E7F-49C2-AD20-0CA02167F4EC}"/>
    <cellStyle name="Migliaia [0] 38 2 4" xfId="5951" xr:uid="{53444165-4085-46A9-8168-C27C5D0BBCC5}"/>
    <cellStyle name="Migliaia [0] 38 2 4 2" xfId="19653" xr:uid="{6B9B6051-799C-4D47-8C68-E691F6464319}"/>
    <cellStyle name="Migliaia [0] 38 2 5" xfId="2974" xr:uid="{3822B655-0E51-47DE-8651-6832A270281C}"/>
    <cellStyle name="Migliaia [0] 38 2 5 2" xfId="24084" xr:uid="{43BFF4DF-66E5-4D9C-932C-0DE79806FE2F}"/>
    <cellStyle name="Migliaia [0] 38 2 6" xfId="7267" xr:uid="{D48A0937-63BF-4E55-B102-877D70BAA217}"/>
    <cellStyle name="Migliaia [0] 38 3" xfId="1576" xr:uid="{00000000-0005-0000-0000-000054020000}"/>
    <cellStyle name="Migliaia [0] 38 3 2" xfId="4702" xr:uid="{6F66D0F0-81D1-4D25-ADA3-EA445CFC938D}"/>
    <cellStyle name="Migliaia [0] 38 3 2 2" xfId="18332" xr:uid="{B35707C6-D484-4583-885C-F956AFDDB26A}"/>
    <cellStyle name="Migliaia [0] 38 3 2 2 2" xfId="21783" xr:uid="{8860CB47-ABC0-4FC0-B934-90E071F1AEBE}"/>
    <cellStyle name="Migliaia [0] 38 3 2 2 2 2" xfId="38235" xr:uid="{94555AD4-812F-4946-A66A-5A66C1501B34}"/>
    <cellStyle name="Migliaia [0] 38 3 2 2 3" xfId="43537" xr:uid="{E3C7F30A-7572-4516-8C45-48095B197202}"/>
    <cellStyle name="Migliaia [0] 38 3 2 2 4" xfId="32884" xr:uid="{B0534A21-5540-407D-976D-A112B1B97F57}"/>
    <cellStyle name="Migliaia [0] 38 3 2 3" xfId="35770" xr:uid="{3EBC7E28-277A-4EEC-A0FD-934B5282CA54}"/>
    <cellStyle name="Migliaia [0] 38 3 2 4" xfId="40886" xr:uid="{6A78A3F6-2DE3-45A3-9306-3092E3EE9C52}"/>
    <cellStyle name="Migliaia [0] 38 3 2 5" xfId="48042" xr:uid="{91DD1E97-C273-4403-A750-26177F88A4E2}"/>
    <cellStyle name="Migliaia [0] 38 3 2 6" xfId="50811" xr:uid="{4A32B324-2762-4CF9-8C44-99CC6CE9F191}"/>
    <cellStyle name="Migliaia [0] 38 3 2 7" xfId="53827" xr:uid="{469F203A-7559-4A72-8428-A1DEF3E92E86}"/>
    <cellStyle name="Migliaia [0] 38 3 2 8" xfId="17608" xr:uid="{BDC0D432-0E87-46E7-91C1-F1D0F37940D8}"/>
    <cellStyle name="Migliaia [0] 38 3 2 9" xfId="11805" xr:uid="{72441752-27EB-46AB-8F4C-E2E67163062A}"/>
    <cellStyle name="Migliaia [0] 38 3 3" xfId="5952" xr:uid="{EEB67433-A8B3-4725-B6A4-76BD313824F7}"/>
    <cellStyle name="Migliaia [0] 38 3 3 2" xfId="12374" xr:uid="{CE175EBB-1DEA-4459-B96B-6BC51AA22B01}"/>
    <cellStyle name="Migliaia [0] 38 3 4" xfId="2976" xr:uid="{DEF5E573-F308-48FB-9A73-6865D8474A78}"/>
    <cellStyle name="Migliaia [0] 38 3 4 2" xfId="21315" xr:uid="{0E065C6D-F026-4ECE-A45E-255BB749CE28}"/>
    <cellStyle name="Migliaia [0] 38 3 4 3" xfId="48264" xr:uid="{C78E470F-2A7B-47A1-A003-123F4AE816C6}"/>
    <cellStyle name="Migliaia [0] 38 3 4 4" xfId="50330" xr:uid="{80C73897-13C3-49A8-9462-D5A2553AF044}"/>
    <cellStyle name="Migliaia [0] 38 3 4 5" xfId="53346" xr:uid="{2B1787E7-071C-40B8-BC95-800153391C2B}"/>
    <cellStyle name="Migliaia [0] 38 3 4 6" xfId="10680" xr:uid="{FB4B4E42-B49E-45EC-8AF3-2578A7B620BE}"/>
    <cellStyle name="Migliaia [0] 38 3 5" xfId="19655" xr:uid="{4CDE5883-F46D-45D1-891F-40098BC05E13}"/>
    <cellStyle name="Migliaia [0] 38 3 6" xfId="24086" xr:uid="{8B43D69F-8AC2-409E-B14D-48E9752608D6}"/>
    <cellStyle name="Migliaia [0] 38 3 7" xfId="8215" xr:uid="{38559D81-A59F-44BF-84AC-25D9F3E3CC7F}"/>
    <cellStyle name="Migliaia [0] 38 4" xfId="2977" xr:uid="{6584EBAF-C1C2-46DF-BD6B-9415B1C9695F}"/>
    <cellStyle name="Migliaia [0] 38 4 2" xfId="4703" xr:uid="{442F5C5D-ABBC-4779-9519-8B79F8942E6F}"/>
    <cellStyle name="Migliaia [0] 38 4 2 2" xfId="35100" xr:uid="{5F748D44-659B-4D4E-A035-28AD9F1E5E61}"/>
    <cellStyle name="Migliaia [0] 38 4 2 2 2" xfId="40258" xr:uid="{BAA5EB88-EF38-4A45-89EB-39DF0EFC8FC0}"/>
    <cellStyle name="Migliaia [0] 38 4 2 2 3" xfId="45560" xr:uid="{3BE0F041-B777-47EC-8A93-62F86507E4F6}"/>
    <cellStyle name="Migliaia [0] 38 4 2 3" xfId="37607" xr:uid="{DDDE87E6-DA9E-42F2-995D-13B43FF038AA}"/>
    <cellStyle name="Migliaia [0] 38 4 2 4" xfId="42909" xr:uid="{4CC413AC-CE1E-49B0-99DB-D6D916322521}"/>
    <cellStyle name="Migliaia [0] 38 4 2 5" xfId="17040" xr:uid="{ABD0DED5-0BF3-4B73-B712-7786E56EFAB9}"/>
    <cellStyle name="Migliaia [0] 38 4 3" xfId="5953" xr:uid="{AA9A3FEE-C824-4980-9C93-7C5B8FCA4BB0}"/>
    <cellStyle name="Migliaia [0] 38 4 3 2" xfId="38236" xr:uid="{D8103333-C317-491B-A53B-87CF1C0F2930}"/>
    <cellStyle name="Migliaia [0] 38 4 3 3" xfId="43538" xr:uid="{122558BF-3364-4949-84AE-019B774A7532}"/>
    <cellStyle name="Migliaia [0] 38 4 3 4" xfId="32885" xr:uid="{EEE94551-40FE-467C-A5ED-160283AF821D}"/>
    <cellStyle name="Migliaia [0] 38 4 3 5" xfId="19656" xr:uid="{65435B9C-AB74-49FB-880E-3DF75367D1ED}"/>
    <cellStyle name="Migliaia [0] 38 4 4" xfId="35771" xr:uid="{693C5496-BAF7-4568-B539-720AE241AF83}"/>
    <cellStyle name="Migliaia [0] 38 4 5" xfId="40887" xr:uid="{8A726177-53DE-4FF8-9FC4-FD13605F346B}"/>
    <cellStyle name="Migliaia [0] 38 4 6" xfId="15982" xr:uid="{DAA0F5BF-F8CF-40D9-9ECD-C563ED039E9F}"/>
    <cellStyle name="Migliaia [0] 38 4 7" xfId="7795" xr:uid="{F1756E76-DBC5-4EA0-9638-849C4D99C39A}"/>
    <cellStyle name="Migliaia [0] 38 5" xfId="4699" xr:uid="{584A6843-AF8E-41DF-8A28-45672D035C8C}"/>
    <cellStyle name="Migliaia [0] 38 5 2" xfId="32886" xr:uid="{8776FFD2-1A2F-4E59-BAE0-24E7EF2CAF6D}"/>
    <cellStyle name="Migliaia [0] 38 5 2 2" xfId="38237" xr:uid="{1C8D7A98-5F15-4D57-B5EC-9F1DB6BF477D}"/>
    <cellStyle name="Migliaia [0] 38 5 2 3" xfId="43539" xr:uid="{5B5549B4-228F-4ECF-B455-465F093FC2F6}"/>
    <cellStyle name="Migliaia [0] 38 5 3" xfId="35772" xr:uid="{D1888D9D-3FB6-4551-9182-DD2B9D833D25}"/>
    <cellStyle name="Migliaia [0] 38 5 4" xfId="40888" xr:uid="{C1D02F65-752E-4EF7-96FB-AF6891015C5E}"/>
    <cellStyle name="Migliaia [0] 38 5 5" xfId="17109" xr:uid="{A79D2EC9-2ADD-4D92-8AD4-A852385F7EC5}"/>
    <cellStyle name="Migliaia [0] 38 6" xfId="5950" xr:uid="{A7B96F3E-DF5E-4218-BC3D-7716FBF6C591}"/>
    <cellStyle name="Migliaia [0] 38 6 2" xfId="38233" xr:uid="{D404121D-A6C8-420D-9857-52CCFE4BAE98}"/>
    <cellStyle name="Migliaia [0] 38 6 3" xfId="43535" xr:uid="{6D5A483C-8135-4D86-B20F-97E77185B2B4}"/>
    <cellStyle name="Migliaia [0] 38 6 4" xfId="32882" xr:uid="{51D2F216-65FF-43E4-B226-43ECC9EE3599}"/>
    <cellStyle name="Migliaia [0] 38 6 5" xfId="19652" xr:uid="{A5251B72-173E-436D-8ADC-CA609F27DB8F}"/>
    <cellStyle name="Migliaia [0] 38 7" xfId="2973" xr:uid="{395AC7A6-3E82-4A59-98C8-EAED3ACF246A}"/>
    <cellStyle name="Migliaia [0] 38 7 2" xfId="35768" xr:uid="{4D2C7B78-B5D7-4ED6-9310-264AC32EC6E9}"/>
    <cellStyle name="Migliaia [0] 38 8" xfId="40884" xr:uid="{F917604F-C496-4CA2-947C-A0D2B81BEAE0}"/>
    <cellStyle name="Migliaia [0] 38 9" xfId="7016" xr:uid="{492D7842-18C6-4163-8E2E-1502BF767325}"/>
    <cellStyle name="Migliaia [0] 39" xfId="274" xr:uid="{00000000-0005-0000-0000-000055020000}"/>
    <cellStyle name="Migliaia [0] 39 2" xfId="1577" xr:uid="{00000000-0005-0000-0000-000056020000}"/>
    <cellStyle name="Migliaia [0] 39 2 2" xfId="1578" xr:uid="{00000000-0005-0000-0000-000057020000}"/>
    <cellStyle name="Migliaia [0] 39 2 2 2" xfId="4706" xr:uid="{8828DD60-1164-442E-A855-02D1B9E4DD34}"/>
    <cellStyle name="Migliaia [0] 39 2 2 2 2" xfId="21784" xr:uid="{9BB48406-B2F2-40F6-BD96-E226C0F00D31}"/>
    <cellStyle name="Migliaia [0] 39 2 2 2 3" xfId="48484" xr:uid="{22C34EDE-AF5F-4CD9-A580-4D454935EE7C}"/>
    <cellStyle name="Migliaia [0] 39 2 2 2 4" xfId="50812" xr:uid="{E2D85156-71A6-4614-B409-26CB3EBDAD70}"/>
    <cellStyle name="Migliaia [0] 39 2 2 2 5" xfId="53828" xr:uid="{C695A5F1-3F08-4299-88F4-2213D08E79CA}"/>
    <cellStyle name="Migliaia [0] 39 2 2 2 6" xfId="11806" xr:uid="{945611B2-ED35-4896-BD25-19FA2A43EDE8}"/>
    <cellStyle name="Migliaia [0] 39 2 2 3" xfId="2980" xr:uid="{5A374EB6-2F63-4C67-ABDA-FB948117B2A4}"/>
    <cellStyle name="Migliaia [0] 39 2 2 3 2" xfId="12182" xr:uid="{FC283C3E-9EA6-43CD-BB11-9A0147D19589}"/>
    <cellStyle name="Migliaia [0] 39 2 2 4" xfId="10681" xr:uid="{5717E317-5604-47AF-95D2-6A2DF57A8C88}"/>
    <cellStyle name="Migliaia [0] 39 2 2 4 2" xfId="21316" xr:uid="{17040F80-70F5-44BF-B24E-D25483353892}"/>
    <cellStyle name="Migliaia [0] 39 2 2 4 3" xfId="46637" xr:uid="{26BBD8CB-E17D-4A22-9D3F-B594BA5DBB2C}"/>
    <cellStyle name="Migliaia [0] 39 2 2 4 4" xfId="50331" xr:uid="{9C878354-0795-48D6-BCE5-E382860C2D31}"/>
    <cellStyle name="Migliaia [0] 39 2 2 4 5" xfId="53347" xr:uid="{0F747F58-DAFE-4C65-B46C-D10FD4530DC6}"/>
    <cellStyle name="Migliaia [0] 39 2 2 5" xfId="19659" xr:uid="{1FAD51CA-E7E5-4849-B98D-90FF2FD6889D}"/>
    <cellStyle name="Migliaia [0] 39 2 2 6" xfId="24088" xr:uid="{00C93F35-7E92-4288-8CD5-4630D72295DF}"/>
    <cellStyle name="Migliaia [0] 39 2 2 7" xfId="48852" xr:uid="{B7B7C719-A636-4136-8D19-8E3912149256}"/>
    <cellStyle name="Migliaia [0] 39 2 2 8" xfId="49758" xr:uid="{7F7AF574-73AB-43A8-B2C3-FE72F1305B4E}"/>
    <cellStyle name="Migliaia [0] 39 2 2 9" xfId="8458" xr:uid="{1B8776CC-F640-4B31-99D2-B3013DE01DB4}"/>
    <cellStyle name="Migliaia [0] 39 2 3" xfId="4705" xr:uid="{1B13F257-DE88-47D4-A53B-C152D3E952B4}"/>
    <cellStyle name="Migliaia [0] 39 2 3 2" xfId="32888" xr:uid="{F0C48E16-2EC3-4B99-AF18-1DA94B6EC8DE}"/>
    <cellStyle name="Migliaia [0] 39 2 3 2 2" xfId="38239" xr:uid="{B3ACD753-B493-47C9-9F0F-F11389E16CD0}"/>
    <cellStyle name="Migliaia [0] 39 2 3 2 3" xfId="43541" xr:uid="{7F77A431-9E28-403D-9307-0233924C202D}"/>
    <cellStyle name="Migliaia [0] 39 2 3 3" xfId="35774" xr:uid="{1F60319F-1D84-4CD4-AA95-0D3C76610DBB}"/>
    <cellStyle name="Migliaia [0] 39 2 3 4" xfId="40890" xr:uid="{175B41B7-06AC-4070-A7C6-2350F13F3AEB}"/>
    <cellStyle name="Migliaia [0] 39 2 3 5" xfId="11807" xr:uid="{3610B41F-EC1B-47B1-B7FC-91EEC3CFBA62}"/>
    <cellStyle name="Migliaia [0] 39 2 4" xfId="5955" xr:uid="{06DA20B4-0A0F-44B2-97FD-48FB18AF8762}"/>
    <cellStyle name="Migliaia [0] 39 2 4 2" xfId="19658" xr:uid="{A4D06E10-EBD2-4AF8-915F-00B7C445C8CD}"/>
    <cellStyle name="Migliaia [0] 39 2 5" xfId="2979" xr:uid="{F8803A83-3151-4E03-BC9D-0A1188E14613}"/>
    <cellStyle name="Migliaia [0] 39 2 5 2" xfId="24087" xr:uid="{5E9F77AE-CF6E-4707-9744-403254F217B2}"/>
    <cellStyle name="Migliaia [0] 39 2 6" xfId="7268" xr:uid="{0706E053-8303-4211-B9DB-69A922DAEE66}"/>
    <cellStyle name="Migliaia [0] 39 3" xfId="1579" xr:uid="{00000000-0005-0000-0000-000058020000}"/>
    <cellStyle name="Migliaia [0] 39 3 2" xfId="4707" xr:uid="{BA4005BC-1F3E-4079-80B0-B3205CF55272}"/>
    <cellStyle name="Migliaia [0] 39 3 2 2" xfId="18333" xr:uid="{CD1A96AD-AD88-4F52-A88C-DABF413A7B93}"/>
    <cellStyle name="Migliaia [0] 39 3 2 2 2" xfId="21785" xr:uid="{D101090C-BE71-4EE2-96B0-8368863C7F8F}"/>
    <cellStyle name="Migliaia [0] 39 3 2 2 2 2" xfId="38240" xr:uid="{CBCBD9DB-E8B2-4B7A-8B36-5EF639BE4E1C}"/>
    <cellStyle name="Migliaia [0] 39 3 2 2 3" xfId="43542" xr:uid="{51677BD2-7921-4AE0-AA78-9419FD28E270}"/>
    <cellStyle name="Migliaia [0] 39 3 2 2 4" xfId="32889" xr:uid="{70DED1F3-B0C4-47CE-AFB6-6B17E0512005}"/>
    <cellStyle name="Migliaia [0] 39 3 2 3" xfId="35775" xr:uid="{01D42635-A28C-4857-BE42-667DFFE28C57}"/>
    <cellStyle name="Migliaia [0] 39 3 2 4" xfId="40891" xr:uid="{9B6B44BC-EE05-4A3B-912D-532BF6070AE9}"/>
    <cellStyle name="Migliaia [0] 39 3 2 5" xfId="25129" xr:uid="{89321EED-D1B2-473E-B183-58310CC1E3CC}"/>
    <cellStyle name="Migliaia [0] 39 3 2 6" xfId="50813" xr:uid="{4420A1FC-9732-45F6-B78F-618228E9F549}"/>
    <cellStyle name="Migliaia [0] 39 3 2 7" xfId="53829" xr:uid="{54314E1C-563C-4791-A559-59EDE2168528}"/>
    <cellStyle name="Migliaia [0] 39 3 2 8" xfId="17609" xr:uid="{6F68A210-072F-4FBB-B78E-DF2F66D50F4A}"/>
    <cellStyle name="Migliaia [0] 39 3 2 9" xfId="11808" xr:uid="{57989DD1-82EA-4F74-822F-9D2BFCBAC65C}"/>
    <cellStyle name="Migliaia [0] 39 3 3" xfId="5956" xr:uid="{E9897F66-8636-417F-84C8-5C69F169153F}"/>
    <cellStyle name="Migliaia [0] 39 3 3 2" xfId="12189" xr:uid="{B39BE6A3-9171-4AD2-BC03-7DE45C0D5D99}"/>
    <cellStyle name="Migliaia [0] 39 3 4" xfId="2981" xr:uid="{A2B29CC0-E49E-468F-B523-D63FB3B13651}"/>
    <cellStyle name="Migliaia [0] 39 3 4 2" xfId="21317" xr:uid="{4A97A334-6DAD-475F-ABCD-B7A0C2F8990D}"/>
    <cellStyle name="Migliaia [0] 39 3 4 3" xfId="47143" xr:uid="{AC251C71-93D5-441F-81F3-531646E2C409}"/>
    <cellStyle name="Migliaia [0] 39 3 4 4" xfId="50332" xr:uid="{E55844ED-2CE6-4A13-A402-8C5979EEDFE7}"/>
    <cellStyle name="Migliaia [0] 39 3 4 5" xfId="53348" xr:uid="{6BF9D828-E3C7-4AEB-9966-34957B6ECE3D}"/>
    <cellStyle name="Migliaia [0] 39 3 4 6" xfId="10682" xr:uid="{116A54AB-79AD-4E3A-91B2-C413FC0C1433}"/>
    <cellStyle name="Migliaia [0] 39 3 5" xfId="19660" xr:uid="{C7ADE0CB-67D0-4A9A-9710-4264F7DCE979}"/>
    <cellStyle name="Migliaia [0] 39 3 6" xfId="24089" xr:uid="{AFE15A46-35D6-4E4D-A36D-3A7F68865F5C}"/>
    <cellStyle name="Migliaia [0] 39 3 7" xfId="8216" xr:uid="{D0508500-17A1-47A1-B56F-2C61346E5EE3}"/>
    <cellStyle name="Migliaia [0] 39 4" xfId="2982" xr:uid="{04F465FF-822F-41B9-AC29-46ECD945B5E0}"/>
    <cellStyle name="Migliaia [0] 39 4 2" xfId="4708" xr:uid="{35E526DF-732D-4B74-83A7-DE912F68DF1D}"/>
    <cellStyle name="Migliaia [0] 39 4 2 2" xfId="35101" xr:uid="{B3E12873-3E5E-4415-A64B-1AA5AC401C5D}"/>
    <cellStyle name="Migliaia [0] 39 4 2 2 2" xfId="40259" xr:uid="{B74E38A7-7F39-4E6D-B9B4-C28900296A1A}"/>
    <cellStyle name="Migliaia [0] 39 4 2 2 3" xfId="45561" xr:uid="{1F8A0512-50B1-4752-8463-642BD300316B}"/>
    <cellStyle name="Migliaia [0] 39 4 2 3" xfId="37608" xr:uid="{D90AB5DF-1965-488E-A370-EEB0CA783A94}"/>
    <cellStyle name="Migliaia [0] 39 4 2 4" xfId="42910" xr:uid="{B9C20D9C-DDC1-49BD-9E5B-F0872A30592C}"/>
    <cellStyle name="Migliaia [0] 39 4 2 5" xfId="17041" xr:uid="{7AA36A89-49C4-4E17-876D-5B24A56DA52F}"/>
    <cellStyle name="Migliaia [0] 39 4 3" xfId="5957" xr:uid="{AB77DEC9-899A-4654-B95C-814CB727CB47}"/>
    <cellStyle name="Migliaia [0] 39 4 3 2" xfId="38241" xr:uid="{0F7DDDBD-4127-4F66-851E-F96AE9A24E58}"/>
    <cellStyle name="Migliaia [0] 39 4 3 3" xfId="43543" xr:uid="{E05077DA-3EE7-4305-864C-34C5BA2C2D37}"/>
    <cellStyle name="Migliaia [0] 39 4 3 4" xfId="32890" xr:uid="{04D6B8A5-9F45-4F50-97F5-4DA215ED7FD7}"/>
    <cellStyle name="Migliaia [0] 39 4 3 5" xfId="19661" xr:uid="{5D81C486-7D83-4D9C-A9A5-6F4397267B82}"/>
    <cellStyle name="Migliaia [0] 39 4 4" xfId="35776" xr:uid="{9C754478-86B9-4F79-90F1-2DC733C4CEC5}"/>
    <cellStyle name="Migliaia [0] 39 4 5" xfId="40892" xr:uid="{DF50652B-59B9-4DE6-A27B-72B1AA9B480E}"/>
    <cellStyle name="Migliaia [0] 39 4 6" xfId="15983" xr:uid="{2ECAB8DA-5DB4-45AB-8138-8F6E1A10DFD7}"/>
    <cellStyle name="Migliaia [0] 39 4 7" xfId="7796" xr:uid="{7EE6F40C-6E7F-4D26-BF0B-B5BEB0428E11}"/>
    <cellStyle name="Migliaia [0] 39 5" xfId="4704" xr:uid="{D4A85247-552B-4B03-B85D-1403BD23A759}"/>
    <cellStyle name="Migliaia [0] 39 5 2" xfId="32891" xr:uid="{EC2688DB-AC45-43FC-9E4E-5A5A60906AE1}"/>
    <cellStyle name="Migliaia [0] 39 5 2 2" xfId="38242" xr:uid="{7A95DE1C-AB5E-465B-97B4-E66B02B2E137}"/>
    <cellStyle name="Migliaia [0] 39 5 2 3" xfId="43544" xr:uid="{57E49B5E-D2E9-448A-8B28-DBA41A834D3A}"/>
    <cellStyle name="Migliaia [0] 39 5 3" xfId="35777" xr:uid="{9F3F90C2-AA06-4E0A-86CE-D6E713D49809}"/>
    <cellStyle name="Migliaia [0] 39 5 4" xfId="40893" xr:uid="{06591F37-E6FA-4BFF-B29A-6319815D22E7}"/>
    <cellStyle name="Migliaia [0] 39 5 5" xfId="17110" xr:uid="{4A323C6C-354F-4785-A2CB-D621EC08C38C}"/>
    <cellStyle name="Migliaia [0] 39 6" xfId="5954" xr:uid="{609725EE-1C69-4426-AB55-C78BF62B398B}"/>
    <cellStyle name="Migliaia [0] 39 6 2" xfId="38238" xr:uid="{600CE25F-015E-49A5-8BD9-4F050EB3543B}"/>
    <cellStyle name="Migliaia [0] 39 6 3" xfId="43540" xr:uid="{95EB8022-4916-4673-AE3A-54015C4748E0}"/>
    <cellStyle name="Migliaia [0] 39 6 4" xfId="32887" xr:uid="{43B6E1E7-3839-4563-9CAD-891C58E7C3B6}"/>
    <cellStyle name="Migliaia [0] 39 6 5" xfId="19657" xr:uid="{5A55E791-728F-44AC-A8E2-5DCA23C98B8C}"/>
    <cellStyle name="Migliaia [0] 39 7" xfId="2978" xr:uid="{57442825-9EB6-4E55-8EA9-84FC541AF922}"/>
    <cellStyle name="Migliaia [0] 39 7 2" xfId="35773" xr:uid="{DB16457A-B9F1-4A92-8EAE-857918835D31}"/>
    <cellStyle name="Migliaia [0] 39 8" xfId="40889" xr:uid="{EC2BBA2D-11EB-465B-BE6E-C47A071F5DD4}"/>
    <cellStyle name="Migliaia [0] 39 9" xfId="7017" xr:uid="{AFFA8588-5CF8-4D2B-8905-925E8E494FE5}"/>
    <cellStyle name="Migliaia [0] 4" xfId="275" xr:uid="{00000000-0005-0000-0000-000059020000}"/>
    <cellStyle name="Migliaia [0] 4 2" xfId="1580" xr:uid="{00000000-0005-0000-0000-00005A020000}"/>
    <cellStyle name="Migliaia [0] 4 2 2" xfId="1581" xr:uid="{00000000-0005-0000-0000-00005B020000}"/>
    <cellStyle name="Migliaia [0] 4 2 2 2" xfId="4711" xr:uid="{A8D51E7E-B26C-4AF3-82CB-F79A0EA8AB30}"/>
    <cellStyle name="Migliaia [0] 4 2 2 2 2" xfId="21786" xr:uid="{C5F34E63-39B1-414E-883F-165CD1175F48}"/>
    <cellStyle name="Migliaia [0] 4 2 2 2 3" xfId="48392" xr:uid="{8925B4F8-0683-470F-BBA5-8D4C7A67F2C0}"/>
    <cellStyle name="Migliaia [0] 4 2 2 2 4" xfId="50814" xr:uid="{6103C231-28F7-422D-BF61-C039742AB0E0}"/>
    <cellStyle name="Migliaia [0] 4 2 2 2 5" xfId="53830" xr:uid="{A1FF8789-52B6-4D23-98E6-DB6B672A30B5}"/>
    <cellStyle name="Migliaia [0] 4 2 2 2 6" xfId="11809" xr:uid="{73CB7760-5F67-4C3A-98D7-6E4B411F9554}"/>
    <cellStyle name="Migliaia [0] 4 2 2 3" xfId="2985" xr:uid="{A383A480-D694-41D9-AA73-C66761A9562E}"/>
    <cellStyle name="Migliaia [0] 4 2 2 3 2" xfId="11554" xr:uid="{604923D4-9E36-42C6-808A-43D45A59B051}"/>
    <cellStyle name="Migliaia [0] 4 2 2 4" xfId="10683" xr:uid="{F0778B85-A02D-44A1-9577-C4BE1B4AC927}"/>
    <cellStyle name="Migliaia [0] 4 2 2 4 2" xfId="21318" xr:uid="{CF0050F5-B8E6-4E20-8FC8-F55FCFC91EE8}"/>
    <cellStyle name="Migliaia [0] 4 2 2 4 3" xfId="47997" xr:uid="{4F87CC58-8192-4C39-85F1-8C4826D91A16}"/>
    <cellStyle name="Migliaia [0] 4 2 2 4 4" xfId="50333" xr:uid="{0B2C2F4E-3EB7-4ED6-AE23-7CE41E4CB567}"/>
    <cellStyle name="Migliaia [0] 4 2 2 4 5" xfId="53349" xr:uid="{0256DE75-7C32-4ED6-89F0-425A787849A8}"/>
    <cellStyle name="Migliaia [0] 4 2 2 5" xfId="19664" xr:uid="{96D466F1-B2F6-4D1F-9F6D-2C6DA176E745}"/>
    <cellStyle name="Migliaia [0] 4 2 2 6" xfId="24091" xr:uid="{71C43F76-5EE2-4CC5-AE9E-330ED977F6B2}"/>
    <cellStyle name="Migliaia [0] 4 2 2 7" xfId="48853" xr:uid="{8C379A9A-39FA-47C7-8C5E-9FF06FD89A47}"/>
    <cellStyle name="Migliaia [0] 4 2 2 8" xfId="49759" xr:uid="{2130414D-4FD9-4B5F-AA0B-25D6F731E72E}"/>
    <cellStyle name="Migliaia [0] 4 2 2 9" xfId="8459" xr:uid="{112867D1-E474-4114-A333-9E6489DAB418}"/>
    <cellStyle name="Migliaia [0] 4 2 3" xfId="4710" xr:uid="{0853E942-ACF7-4A33-A9F8-069F0691215C}"/>
    <cellStyle name="Migliaia [0] 4 2 3 2" xfId="32893" xr:uid="{DB0E16D7-D941-48FF-90EA-8C8B7C52A8D9}"/>
    <cellStyle name="Migliaia [0] 4 2 3 2 2" xfId="38244" xr:uid="{108BA6F1-8D1B-4CE0-A936-9F6B1252727E}"/>
    <cellStyle name="Migliaia [0] 4 2 3 2 3" xfId="43546" xr:uid="{9D77276F-A197-4FEF-A7E7-67E9FCB3D492}"/>
    <cellStyle name="Migliaia [0] 4 2 3 3" xfId="35779" xr:uid="{9E31711D-9FC4-4319-8A97-C247D278EA3D}"/>
    <cellStyle name="Migliaia [0] 4 2 3 4" xfId="40895" xr:uid="{31022C44-4D69-4F86-BA28-ABCB1D5DCEF6}"/>
    <cellStyle name="Migliaia [0] 4 2 3 5" xfId="11810" xr:uid="{E781DEA9-677B-49E2-B081-B5B79F796962}"/>
    <cellStyle name="Migliaia [0] 4 2 4" xfId="5959" xr:uid="{AC00550F-3445-49F1-BEAE-598EAC6BF382}"/>
    <cellStyle name="Migliaia [0] 4 2 4 2" xfId="19663" xr:uid="{A93F2750-235A-4ED9-8545-61771AF74C64}"/>
    <cellStyle name="Migliaia [0] 4 2 5" xfId="2984" xr:uid="{CB410A93-260E-4F91-8A5D-DF451A0AA143}"/>
    <cellStyle name="Migliaia [0] 4 2 5 2" xfId="24090" xr:uid="{F2A7F8AD-175C-4F28-A456-2668C7B490DD}"/>
    <cellStyle name="Migliaia [0] 4 2 6" xfId="7269" xr:uid="{3B2D2848-DA4C-44DE-8262-7B5971B1419A}"/>
    <cellStyle name="Migliaia [0] 4 3" xfId="1582" xr:uid="{00000000-0005-0000-0000-00005C020000}"/>
    <cellStyle name="Migliaia [0] 4 3 2" xfId="4712" xr:uid="{23C4E08D-7B61-47F6-A95E-71E0DB03C204}"/>
    <cellStyle name="Migliaia [0] 4 3 2 2" xfId="18334" xr:uid="{CF0354C9-C827-41E0-821E-D7CF346EB4FD}"/>
    <cellStyle name="Migliaia [0] 4 3 2 2 2" xfId="21787" xr:uid="{265FA5DF-74D9-42A9-B66D-D83B769D6CE4}"/>
    <cellStyle name="Migliaia [0] 4 3 2 2 2 2" xfId="38245" xr:uid="{3A091756-63C3-4E3F-BEED-E4D54DEB9FED}"/>
    <cellStyle name="Migliaia [0] 4 3 2 2 3" xfId="43547" xr:uid="{69F5B322-B9BD-4284-BEB1-E885C40E97EB}"/>
    <cellStyle name="Migliaia [0] 4 3 2 2 4" xfId="32894" xr:uid="{4E11FE5C-B78B-49D1-A2AD-5C31D9E7F8DF}"/>
    <cellStyle name="Migliaia [0] 4 3 2 3" xfId="35780" xr:uid="{8AA71120-C2AB-4853-BC71-26BDB258DFB1}"/>
    <cellStyle name="Migliaia [0] 4 3 2 4" xfId="40896" xr:uid="{2F4212F6-6386-4E4F-9445-AF32F933E3DE}"/>
    <cellStyle name="Migliaia [0] 4 3 2 5" xfId="32370" xr:uid="{CAB32EF1-A193-4BAD-BA5B-67CCB0353E55}"/>
    <cellStyle name="Migliaia [0] 4 3 2 6" xfId="50815" xr:uid="{EC847EC3-C95C-4EC9-B089-2AD9F734DCD0}"/>
    <cellStyle name="Migliaia [0] 4 3 2 7" xfId="53831" xr:uid="{F9C167A1-EE19-418B-9E62-CFE9ABEF52CB}"/>
    <cellStyle name="Migliaia [0] 4 3 2 8" xfId="17610" xr:uid="{944EFEC0-5ADC-41EF-A064-3506898C2780}"/>
    <cellStyle name="Migliaia [0] 4 3 2 9" xfId="11811" xr:uid="{6AEF5F13-78BF-42D0-8DBB-993FF4B8044E}"/>
    <cellStyle name="Migliaia [0] 4 3 3" xfId="5960" xr:uid="{9AAE206C-8548-40B8-B0BF-40528F25F033}"/>
    <cellStyle name="Migliaia [0] 4 3 3 2" xfId="11173" xr:uid="{10F69F88-B3CE-4232-A4BC-62977202A9D6}"/>
    <cellStyle name="Migliaia [0] 4 3 4" xfId="2986" xr:uid="{531F806B-1B91-43E6-B0DA-EC3D2C180126}"/>
    <cellStyle name="Migliaia [0] 4 3 4 2" xfId="21319" xr:uid="{401EC739-0706-40C2-87CF-DFEB970583C2}"/>
    <cellStyle name="Migliaia [0] 4 3 4 3" xfId="48236" xr:uid="{F58EF451-5EDE-4145-A331-1996BCA8CDE8}"/>
    <cellStyle name="Migliaia [0] 4 3 4 4" xfId="50334" xr:uid="{794C4813-9B63-43F3-9CC7-CB48B65B6C1F}"/>
    <cellStyle name="Migliaia [0] 4 3 4 5" xfId="53350" xr:uid="{460D06E7-C2AB-495F-A102-F46AF168737B}"/>
    <cellStyle name="Migliaia [0] 4 3 4 6" xfId="10684" xr:uid="{5D8DA988-7B0A-476D-95A9-FAA042790C02}"/>
    <cellStyle name="Migliaia [0] 4 3 5" xfId="19665" xr:uid="{26E6A0DE-2547-4205-9FF3-F9155745280B}"/>
    <cellStyle name="Migliaia [0] 4 3 6" xfId="24092" xr:uid="{13F8FFD1-4E8C-410B-AD59-754E46C37757}"/>
    <cellStyle name="Migliaia [0] 4 3 7" xfId="8217" xr:uid="{03AAD740-B200-4AB2-A181-D48BFFCF6636}"/>
    <cellStyle name="Migliaia [0] 4 4" xfId="2987" xr:uid="{8941C3D6-A640-40BA-A107-8FDF0782425C}"/>
    <cellStyle name="Migliaia [0] 4 4 2" xfId="4713" xr:uid="{AFE59084-D100-4D02-ACE1-FDD1F34B03E6}"/>
    <cellStyle name="Migliaia [0] 4 4 2 2" xfId="35102" xr:uid="{B05E7541-BA70-4079-AB17-8F532D8F9643}"/>
    <cellStyle name="Migliaia [0] 4 4 2 2 2" xfId="40260" xr:uid="{6A9C65DD-DDD6-474F-B431-61D0F2ACE1FE}"/>
    <cellStyle name="Migliaia [0] 4 4 2 2 3" xfId="45562" xr:uid="{77B5DFAB-9073-4BBB-BB67-ED6ADC1EF8C0}"/>
    <cellStyle name="Migliaia [0] 4 4 2 3" xfId="37609" xr:uid="{D2D9472D-D128-4C7D-8CD7-A0044AA6C296}"/>
    <cellStyle name="Migliaia [0] 4 4 2 4" xfId="42911" xr:uid="{7BDAFFFC-CF76-4D29-8705-F5AE2990D72D}"/>
    <cellStyle name="Migliaia [0] 4 4 2 5" xfId="17042" xr:uid="{9684D0A3-CD52-444E-8143-AD42F62B496C}"/>
    <cellStyle name="Migliaia [0] 4 4 3" xfId="5961" xr:uid="{D4910B4A-BE3E-4111-BBDC-7E5D40BD3C02}"/>
    <cellStyle name="Migliaia [0] 4 4 3 2" xfId="38246" xr:uid="{AB47F1D9-56CF-4C43-AA0B-BEE78AE79EB6}"/>
    <cellStyle name="Migliaia [0] 4 4 3 3" xfId="43548" xr:uid="{2019A65A-847F-4A61-875E-6358A90D0CB4}"/>
    <cellStyle name="Migliaia [0] 4 4 3 4" xfId="32895" xr:uid="{A009937C-B87A-41FA-BE04-226D7338981D}"/>
    <cellStyle name="Migliaia [0] 4 4 3 5" xfId="19666" xr:uid="{490DCFED-6986-4AA4-9009-D9D15B7C5B9A}"/>
    <cellStyle name="Migliaia [0] 4 4 4" xfId="35781" xr:uid="{CBD1CBC9-BF70-4EA1-BE9C-2B7AA291D57F}"/>
    <cellStyle name="Migliaia [0] 4 4 5" xfId="40897" xr:uid="{CB41DB00-4795-40D5-AB33-AA4C7537F6FD}"/>
    <cellStyle name="Migliaia [0] 4 4 6" xfId="15984" xr:uid="{267D780A-24F1-46D8-81D7-63D011BB2D66}"/>
    <cellStyle name="Migliaia [0] 4 4 7" xfId="7797" xr:uid="{089386C0-742C-42D7-AE0C-7DC76E780AFD}"/>
    <cellStyle name="Migliaia [0] 4 5" xfId="4709" xr:uid="{FA9F9C77-8651-47CB-9DFB-1EACDC63AE1A}"/>
    <cellStyle name="Migliaia [0] 4 5 2" xfId="32896" xr:uid="{6039CF5A-47FF-4D38-AC67-13DE729991BE}"/>
    <cellStyle name="Migliaia [0] 4 5 2 2" xfId="38247" xr:uid="{4FD9FD14-EFE6-419C-987F-3C0319337E4C}"/>
    <cellStyle name="Migliaia [0] 4 5 2 3" xfId="43549" xr:uid="{146B8DD3-CF79-4773-B5A7-18A54FA75B97}"/>
    <cellStyle name="Migliaia [0] 4 5 3" xfId="35782" xr:uid="{CCF9D934-58AB-4006-BFF2-F564F53B5D10}"/>
    <cellStyle name="Migliaia [0] 4 5 4" xfId="40898" xr:uid="{9EBE4F33-9CF7-445A-8E0D-349DD156CC19}"/>
    <cellStyle name="Migliaia [0] 4 5 5" xfId="17111" xr:uid="{172C4A04-4F84-4C87-996C-CF27B6E543F4}"/>
    <cellStyle name="Migliaia [0] 4 6" xfId="5958" xr:uid="{0C823775-9FA2-4071-B96A-4A8C4574FDE0}"/>
    <cellStyle name="Migliaia [0] 4 6 2" xfId="38243" xr:uid="{B4C15AD1-4D47-4CF9-B224-812A1814A8EA}"/>
    <cellStyle name="Migliaia [0] 4 6 3" xfId="43545" xr:uid="{F7F4F21A-7F0D-4EC9-ADDC-752423A35C1B}"/>
    <cellStyle name="Migliaia [0] 4 6 4" xfId="32892" xr:uid="{11B30188-1E29-42E8-97FD-8AD749C556A4}"/>
    <cellStyle name="Migliaia [0] 4 6 5" xfId="19662" xr:uid="{265388DD-F65C-4109-9A7B-CBD066FC5032}"/>
    <cellStyle name="Migliaia [0] 4 7" xfId="2983" xr:uid="{7A2323BA-FF54-4B66-A963-26B775D5A617}"/>
    <cellStyle name="Migliaia [0] 4 7 2" xfId="35778" xr:uid="{B7723D02-CC38-4844-A678-B383A1ED6998}"/>
    <cellStyle name="Migliaia [0] 4 8" xfId="40894" xr:uid="{539142E4-18BE-44C4-B890-1CFA02BC36CD}"/>
    <cellStyle name="Migliaia [0] 4 9" xfId="7018" xr:uid="{9B740307-6FA2-481C-9D1C-49CF4762B5AD}"/>
    <cellStyle name="Migliaia [0] 40" xfId="276" xr:uid="{00000000-0005-0000-0000-00005D020000}"/>
    <cellStyle name="Migliaia [0] 40 2" xfId="1583" xr:uid="{00000000-0005-0000-0000-00005E020000}"/>
    <cellStyle name="Migliaia [0] 40 2 2" xfId="1584" xr:uid="{00000000-0005-0000-0000-00005F020000}"/>
    <cellStyle name="Migliaia [0] 40 2 2 2" xfId="4716" xr:uid="{B67E0994-D742-4907-8982-E5C15639BBB9}"/>
    <cellStyle name="Migliaia [0] 40 2 2 2 2" xfId="21788" xr:uid="{1CD73D4B-55FA-4965-ABE1-21E1CEB5F789}"/>
    <cellStyle name="Migliaia [0] 40 2 2 2 3" xfId="47609" xr:uid="{56E10D92-8618-42B6-B2B6-6737D6CC53B9}"/>
    <cellStyle name="Migliaia [0] 40 2 2 2 4" xfId="50816" xr:uid="{2AB4408D-AB46-4219-A2D8-E6341831A3FE}"/>
    <cellStyle name="Migliaia [0] 40 2 2 2 5" xfId="53832" xr:uid="{14F002C4-B72E-44F2-8B73-847229379F51}"/>
    <cellStyle name="Migliaia [0] 40 2 2 2 6" xfId="11812" xr:uid="{65039D6C-944E-43CE-A069-F759FC788FBF}"/>
    <cellStyle name="Migliaia [0] 40 2 2 3" xfId="2990" xr:uid="{A5BF0269-B57A-4398-A95F-02E2CF823D83}"/>
    <cellStyle name="Migliaia [0] 40 2 2 3 2" xfId="12338" xr:uid="{E974D77B-D015-40DC-9997-2367BAD94594}"/>
    <cellStyle name="Migliaia [0] 40 2 2 4" xfId="10685" xr:uid="{AF3E3055-B1DB-42DC-9077-82CEC2AAE949}"/>
    <cellStyle name="Migliaia [0] 40 2 2 4 2" xfId="21320" xr:uid="{F902DCEC-7B66-4857-A89A-005086EF0548}"/>
    <cellStyle name="Migliaia [0] 40 2 2 4 3" xfId="46183" xr:uid="{2D1E4757-BFB7-42F0-A5AE-81BDE2339606}"/>
    <cellStyle name="Migliaia [0] 40 2 2 4 4" xfId="50335" xr:uid="{2F933F17-FA0C-4146-B68F-649A3F65C5FA}"/>
    <cellStyle name="Migliaia [0] 40 2 2 4 5" xfId="53351" xr:uid="{C2C1B9A0-27CC-4B55-A5F6-54D15F88E374}"/>
    <cellStyle name="Migliaia [0] 40 2 2 5" xfId="19669" xr:uid="{4BF7272A-0B6C-4D34-BC46-4DBFAB92E0DA}"/>
    <cellStyle name="Migliaia [0] 40 2 2 6" xfId="24094" xr:uid="{AF144AFD-E628-4972-9DA6-547EF27D8539}"/>
    <cellStyle name="Migliaia [0] 40 2 2 7" xfId="48854" xr:uid="{ECB81B0B-8B0F-4B3A-BE79-2C21801F39E5}"/>
    <cellStyle name="Migliaia [0] 40 2 2 8" xfId="49760" xr:uid="{09B1375E-7FD2-4341-81EE-9FA9A375FFF6}"/>
    <cellStyle name="Migliaia [0] 40 2 2 9" xfId="8460" xr:uid="{F1BA6B1F-78A0-45C2-AD4B-9E3F7333C141}"/>
    <cellStyle name="Migliaia [0] 40 2 3" xfId="4715" xr:uid="{A5892F7F-C0B1-46BC-B695-586CFAC5F8D5}"/>
    <cellStyle name="Migliaia [0] 40 2 3 2" xfId="32898" xr:uid="{FF77EA73-5B41-4AB0-904B-D0555C743D91}"/>
    <cellStyle name="Migliaia [0] 40 2 3 2 2" xfId="38249" xr:uid="{15AE5DF8-78D6-4BF6-88C9-AE7C0A605472}"/>
    <cellStyle name="Migliaia [0] 40 2 3 2 3" xfId="43551" xr:uid="{7DB5C880-F523-40EE-B8CF-DF3A3BFFFAF7}"/>
    <cellStyle name="Migliaia [0] 40 2 3 3" xfId="35784" xr:uid="{91DC9504-ED8A-4AD2-B8FD-41669E744669}"/>
    <cellStyle name="Migliaia [0] 40 2 3 4" xfId="40900" xr:uid="{9D89F2D3-425C-4F8B-A827-2EDD74EB7FC9}"/>
    <cellStyle name="Migliaia [0] 40 2 3 5" xfId="11813" xr:uid="{7289B8A3-799B-488C-9F9D-D4E0EE9987C5}"/>
    <cellStyle name="Migliaia [0] 40 2 4" xfId="5963" xr:uid="{6A1B1D63-B0BF-4521-9725-B64C464C4350}"/>
    <cellStyle name="Migliaia [0] 40 2 4 2" xfId="19668" xr:uid="{9E3D3695-7833-4A3A-B737-6B215135B201}"/>
    <cellStyle name="Migliaia [0] 40 2 5" xfId="2989" xr:uid="{42881A85-6DF1-4050-B1ED-6053D873D2BF}"/>
    <cellStyle name="Migliaia [0] 40 2 5 2" xfId="24093" xr:uid="{189C7543-E8D1-4A92-BB7E-ADFF582FACC2}"/>
    <cellStyle name="Migliaia [0] 40 2 6" xfId="7270" xr:uid="{12F5ED62-3C6E-4D8E-BFA4-52632EF921D4}"/>
    <cellStyle name="Migliaia [0] 40 3" xfId="1585" xr:uid="{00000000-0005-0000-0000-000060020000}"/>
    <cellStyle name="Migliaia [0] 40 3 2" xfId="4717" xr:uid="{5FDCCABF-F7F6-4F4C-A6E7-05B847AEF36E}"/>
    <cellStyle name="Migliaia [0] 40 3 2 2" xfId="18335" xr:uid="{A09DFEB4-F62D-4A13-8C57-8FD4E0D0E417}"/>
    <cellStyle name="Migliaia [0] 40 3 2 2 2" xfId="21789" xr:uid="{63C2A8FE-D5D8-40A0-9932-BB887C8C7B88}"/>
    <cellStyle name="Migliaia [0] 40 3 2 2 2 2" xfId="38250" xr:uid="{77F2832F-473A-4193-879A-415973A108AD}"/>
    <cellStyle name="Migliaia [0] 40 3 2 2 3" xfId="43552" xr:uid="{3D80D94D-B719-4946-8A63-E9043E54D4C0}"/>
    <cellStyle name="Migliaia [0] 40 3 2 2 4" xfId="32899" xr:uid="{402BF622-0E27-4A49-B295-E71845703E12}"/>
    <cellStyle name="Migliaia [0] 40 3 2 3" xfId="35785" xr:uid="{93B0D9F6-C364-4351-8BA2-7524D5B8A611}"/>
    <cellStyle name="Migliaia [0] 40 3 2 4" xfId="40901" xr:uid="{859F5BA4-1924-4776-9929-D847B09413AA}"/>
    <cellStyle name="Migliaia [0] 40 3 2 5" xfId="25125" xr:uid="{2AF83EA5-CF86-4DAD-9387-24CE4A88B035}"/>
    <cellStyle name="Migliaia [0] 40 3 2 6" xfId="50817" xr:uid="{767F61E5-C152-43D5-B5A1-F43027010131}"/>
    <cellStyle name="Migliaia [0] 40 3 2 7" xfId="53833" xr:uid="{0E73409C-5FBF-4D1E-8B8D-508733347ACC}"/>
    <cellStyle name="Migliaia [0] 40 3 2 8" xfId="17611" xr:uid="{26E43088-926D-4C97-9757-CD838F533D9E}"/>
    <cellStyle name="Migliaia [0] 40 3 2 9" xfId="11814" xr:uid="{97C1FDB7-A7DB-4C67-9633-5FDD89044570}"/>
    <cellStyle name="Migliaia [0] 40 3 3" xfId="5964" xr:uid="{E17BCEFD-5E3E-4F7B-8B4C-CD6C95310297}"/>
    <cellStyle name="Migliaia [0] 40 3 3 2" xfId="12373" xr:uid="{7AF3BB30-28E5-4251-B153-EA318A14382C}"/>
    <cellStyle name="Migliaia [0] 40 3 4" xfId="2991" xr:uid="{4C88CBC7-BAAA-48B0-BE9F-2FBA1C921666}"/>
    <cellStyle name="Migliaia [0] 40 3 4 2" xfId="21321" xr:uid="{B94C9F4E-2B9D-4664-9753-A97112333274}"/>
    <cellStyle name="Migliaia [0] 40 3 4 3" xfId="47593" xr:uid="{36B15CA6-6320-423A-B40C-8A4830451721}"/>
    <cellStyle name="Migliaia [0] 40 3 4 4" xfId="50336" xr:uid="{558464F2-28C3-4085-9175-8805459AD13E}"/>
    <cellStyle name="Migliaia [0] 40 3 4 5" xfId="53352" xr:uid="{CD8C837F-D4E9-440B-AE2E-1BA4B8005BDD}"/>
    <cellStyle name="Migliaia [0] 40 3 4 6" xfId="10686" xr:uid="{8AC16ECE-5EC3-4345-935A-F9B6AAEB695E}"/>
    <cellStyle name="Migliaia [0] 40 3 5" xfId="19670" xr:uid="{990DC270-EB89-4951-9E9C-F144E200EB68}"/>
    <cellStyle name="Migliaia [0] 40 3 6" xfId="24095" xr:uid="{1E89232F-5815-40D9-9306-3BE34ABE5008}"/>
    <cellStyle name="Migliaia [0] 40 3 7" xfId="8218" xr:uid="{F4B055D8-DF37-4776-AE2D-C6A6A4281C4C}"/>
    <cellStyle name="Migliaia [0] 40 4" xfId="2992" xr:uid="{05FED76D-3AA4-40D6-8962-BDC93DAEB807}"/>
    <cellStyle name="Migliaia [0] 40 4 2" xfId="4718" xr:uid="{0B1F7650-0AEA-40BD-BE6A-36FBC7D81F66}"/>
    <cellStyle name="Migliaia [0] 40 4 2 2" xfId="35103" xr:uid="{99EE32FC-90A3-4A98-A449-46321CC19376}"/>
    <cellStyle name="Migliaia [0] 40 4 2 2 2" xfId="40261" xr:uid="{5D70784F-B960-443E-8C10-FC68613F70A9}"/>
    <cellStyle name="Migliaia [0] 40 4 2 2 3" xfId="45563" xr:uid="{D58FC557-F05C-4106-A67A-2D5403FAD7DF}"/>
    <cellStyle name="Migliaia [0] 40 4 2 3" xfId="37610" xr:uid="{7DF1D1F5-19AB-494A-AB40-962110894A0D}"/>
    <cellStyle name="Migliaia [0] 40 4 2 4" xfId="42912" xr:uid="{D562F008-4BA9-4C92-9A7B-5027BEE4B46F}"/>
    <cellStyle name="Migliaia [0] 40 4 2 5" xfId="17043" xr:uid="{6E00E668-FEEC-4343-A7A5-E0AF2169E264}"/>
    <cellStyle name="Migliaia [0] 40 4 3" xfId="5965" xr:uid="{93BC0DA4-E036-4553-8B85-02C9BD37FAC8}"/>
    <cellStyle name="Migliaia [0] 40 4 3 2" xfId="38251" xr:uid="{739E1FBC-E0B2-4D1D-AE8F-BB42D7DBA698}"/>
    <cellStyle name="Migliaia [0] 40 4 3 3" xfId="43553" xr:uid="{CCA41681-BA0E-4C0A-93BC-61B52A32AD29}"/>
    <cellStyle name="Migliaia [0] 40 4 3 4" xfId="32900" xr:uid="{5D20C0A8-8E9D-4525-A038-42917AC001F1}"/>
    <cellStyle name="Migliaia [0] 40 4 3 5" xfId="19671" xr:uid="{EBB8CAA7-C74E-4246-B698-75DE6F3A5AC0}"/>
    <cellStyle name="Migliaia [0] 40 4 4" xfId="35786" xr:uid="{A9B50239-4F27-491C-BBFE-1F2BFBC13468}"/>
    <cellStyle name="Migliaia [0] 40 4 5" xfId="40902" xr:uid="{6B74A42E-C9ED-4166-99A4-0DFE701A661A}"/>
    <cellStyle name="Migliaia [0] 40 4 6" xfId="15985" xr:uid="{71C340A1-DD4A-4585-9FE7-48168B22794C}"/>
    <cellStyle name="Migliaia [0] 40 4 7" xfId="7798" xr:uid="{44C11BE3-16E6-4254-B162-22F379B84DDD}"/>
    <cellStyle name="Migliaia [0] 40 5" xfId="4714" xr:uid="{8D129912-9091-4651-B122-26DC0C122B9D}"/>
    <cellStyle name="Migliaia [0] 40 5 2" xfId="32901" xr:uid="{C594D9CC-30E7-4A07-AC33-7F31416F6493}"/>
    <cellStyle name="Migliaia [0] 40 5 2 2" xfId="38252" xr:uid="{84720D29-2B55-4840-9672-57CFF91ED441}"/>
    <cellStyle name="Migliaia [0] 40 5 2 3" xfId="43554" xr:uid="{036B95A0-9453-4DFB-BA3F-DCE3BED4A5D6}"/>
    <cellStyle name="Migliaia [0] 40 5 3" xfId="35787" xr:uid="{20FF93A0-B5AE-4480-893F-CCCAC86F1C8D}"/>
    <cellStyle name="Migliaia [0] 40 5 4" xfId="40903" xr:uid="{9DF682A6-91DB-454F-9707-0162B55F1BAD}"/>
    <cellStyle name="Migliaia [0] 40 5 5" xfId="17112" xr:uid="{1854F363-39AC-48A9-B0C6-104E39FCC9A0}"/>
    <cellStyle name="Migliaia [0] 40 6" xfId="5962" xr:uid="{27AC2CC9-FF85-44D0-83BB-66E45E9A8764}"/>
    <cellStyle name="Migliaia [0] 40 6 2" xfId="38248" xr:uid="{3263E8E7-E637-47D2-A858-A2709EC6E96D}"/>
    <cellStyle name="Migliaia [0] 40 6 3" xfId="43550" xr:uid="{87824929-4449-4281-96EC-8447F2FF1B95}"/>
    <cellStyle name="Migliaia [0] 40 6 4" xfId="32897" xr:uid="{9083EB47-5B14-4D94-805F-E25350E03515}"/>
    <cellStyle name="Migliaia [0] 40 6 5" xfId="19667" xr:uid="{A5D16A59-3407-46CD-BADB-A5F381BD8030}"/>
    <cellStyle name="Migliaia [0] 40 7" xfId="2988" xr:uid="{67E5BC92-4330-4577-B05C-EFC38EA577DF}"/>
    <cellStyle name="Migliaia [0] 40 7 2" xfId="35783" xr:uid="{0156062D-6819-4657-BAB9-A729FB3DC4E3}"/>
    <cellStyle name="Migliaia [0] 40 8" xfId="40899" xr:uid="{29588E96-BB2E-44A7-93C8-03D4CB0E9663}"/>
    <cellStyle name="Migliaia [0] 40 9" xfId="7019" xr:uid="{BBC7360B-6B8C-44CF-B3F0-969D44D3EB1B}"/>
    <cellStyle name="Migliaia [0] 41" xfId="277" xr:uid="{00000000-0005-0000-0000-000061020000}"/>
    <cellStyle name="Migliaia [0] 41 2" xfId="1586" xr:uid="{00000000-0005-0000-0000-000062020000}"/>
    <cellStyle name="Migliaia [0] 41 2 2" xfId="1587" xr:uid="{00000000-0005-0000-0000-000063020000}"/>
    <cellStyle name="Migliaia [0] 41 2 2 2" xfId="4721" xr:uid="{64525ADA-D9A4-4326-8194-4A134D4C5685}"/>
    <cellStyle name="Migliaia [0] 41 2 2 2 2" xfId="21790" xr:uid="{8B4DC6D1-4E18-47AA-BC54-FA6A988E0448}"/>
    <cellStyle name="Migliaia [0] 41 2 2 2 3" xfId="47519" xr:uid="{B0E44A64-CFEF-4A4F-85EE-66E90327B2B0}"/>
    <cellStyle name="Migliaia [0] 41 2 2 2 4" xfId="50818" xr:uid="{545374CC-DDB6-4ED9-91E6-9636108E64A4}"/>
    <cellStyle name="Migliaia [0] 41 2 2 2 5" xfId="53834" xr:uid="{CAAEF7BC-3420-40EC-A355-95A64DD784B8}"/>
    <cellStyle name="Migliaia [0] 41 2 2 2 6" xfId="11815" xr:uid="{AB1A4F3A-F8E6-4F94-8166-5058738C4A08}"/>
    <cellStyle name="Migliaia [0] 41 2 2 3" xfId="2995" xr:uid="{7E7952D6-4D76-4609-BB02-67C73D183496}"/>
    <cellStyle name="Migliaia [0] 41 2 2 3 2" xfId="12337" xr:uid="{BBFEB8A3-1DEF-4FB9-989C-40BB074D8341}"/>
    <cellStyle name="Migliaia [0] 41 2 2 4" xfId="10687" xr:uid="{22BF7DE8-4928-459E-9F45-40F0524D8F09}"/>
    <cellStyle name="Migliaia [0] 41 2 2 4 2" xfId="21322" xr:uid="{05BE4683-0594-4D62-BF9F-11E8FCF7ACE9}"/>
    <cellStyle name="Migliaia [0] 41 2 2 4 3" xfId="34553" xr:uid="{9388B424-933A-45C9-B770-BAC99A9123B9}"/>
    <cellStyle name="Migliaia [0] 41 2 2 4 4" xfId="50337" xr:uid="{C4E40238-9EAC-4118-811F-C3CFE6DADA5F}"/>
    <cellStyle name="Migliaia [0] 41 2 2 4 5" xfId="53353" xr:uid="{58CAC822-294D-4D97-9D06-A2E9960D6E86}"/>
    <cellStyle name="Migliaia [0] 41 2 2 5" xfId="19674" xr:uid="{F0A631DF-722F-4BBB-BAC5-56F129C8B065}"/>
    <cellStyle name="Migliaia [0] 41 2 2 6" xfId="24097" xr:uid="{CCBBCA10-4B4A-4AC3-AE7B-DC0334DC60D4}"/>
    <cellStyle name="Migliaia [0] 41 2 2 7" xfId="48855" xr:uid="{EB5B2972-C2EE-469A-81B8-0E060C22235F}"/>
    <cellStyle name="Migliaia [0] 41 2 2 8" xfId="49761" xr:uid="{33165F98-88B6-492D-B10D-80598C770819}"/>
    <cellStyle name="Migliaia [0] 41 2 2 9" xfId="8461" xr:uid="{2BD26890-DC98-4D84-AD22-DBBAD53B40E0}"/>
    <cellStyle name="Migliaia [0] 41 2 3" xfId="4720" xr:uid="{8A9B73AF-377A-4B94-897C-5DEFE39DD291}"/>
    <cellStyle name="Migliaia [0] 41 2 3 2" xfId="32903" xr:uid="{53B13658-FF7C-4A2B-8CA1-D6026F115A80}"/>
    <cellStyle name="Migliaia [0] 41 2 3 2 2" xfId="38254" xr:uid="{386F6E01-6965-4948-8CDA-485B9084C3DF}"/>
    <cellStyle name="Migliaia [0] 41 2 3 2 3" xfId="43556" xr:uid="{051620E8-DDE5-48C1-8B8E-7229F26FFB26}"/>
    <cellStyle name="Migliaia [0] 41 2 3 3" xfId="35789" xr:uid="{6C381CA6-DC9D-485C-87FE-2055D3DE6BB1}"/>
    <cellStyle name="Migliaia [0] 41 2 3 4" xfId="40905" xr:uid="{15BC91A2-70B6-4CBC-8ECE-EEFE6FCEB0E6}"/>
    <cellStyle name="Migliaia [0] 41 2 3 5" xfId="11816" xr:uid="{6B610118-26B3-4F8C-9E75-A17C5DFF9EDD}"/>
    <cellStyle name="Migliaia [0] 41 2 4" xfId="5967" xr:uid="{595916A6-94AB-4DDB-BD39-84A70CCCA407}"/>
    <cellStyle name="Migliaia [0] 41 2 4 2" xfId="19673" xr:uid="{5C3AC807-7539-408E-8277-8EAFBCB5A897}"/>
    <cellStyle name="Migliaia [0] 41 2 5" xfId="2994" xr:uid="{A0088F7D-0086-4CC8-BCCB-DC2362043D13}"/>
    <cellStyle name="Migliaia [0] 41 2 5 2" xfId="24096" xr:uid="{6A12B16C-3019-487B-A1C6-3CAC3438E8B0}"/>
    <cellStyle name="Migliaia [0] 41 2 6" xfId="7271" xr:uid="{A8BC249C-F63A-4C34-97AB-2F6E470D4528}"/>
    <cellStyle name="Migliaia [0] 41 3" xfId="1588" xr:uid="{00000000-0005-0000-0000-000064020000}"/>
    <cellStyle name="Migliaia [0] 41 3 2" xfId="4722" xr:uid="{32A434AB-00E1-4EBB-B1AA-18A72553A956}"/>
    <cellStyle name="Migliaia [0] 41 3 2 2" xfId="18336" xr:uid="{5D5B9F8C-CBF0-4A99-8590-5DB29F5E09E6}"/>
    <cellStyle name="Migliaia [0] 41 3 2 2 2" xfId="21791" xr:uid="{3892DEEE-D844-4959-9203-6CD0CCEE4A6F}"/>
    <cellStyle name="Migliaia [0] 41 3 2 2 2 2" xfId="38255" xr:uid="{677B601E-5036-4753-8F57-A702910FC2E5}"/>
    <cellStyle name="Migliaia [0] 41 3 2 2 3" xfId="43557" xr:uid="{5FBE28CA-BF33-4EF1-963A-0542872C4D78}"/>
    <cellStyle name="Migliaia [0] 41 3 2 2 4" xfId="32904" xr:uid="{E4E0CCBF-8BB3-4712-A3C5-73A1F6B783C0}"/>
    <cellStyle name="Migliaia [0] 41 3 2 3" xfId="35790" xr:uid="{94D1339F-8D79-4808-B9E4-7E42D1AA3251}"/>
    <cellStyle name="Migliaia [0] 41 3 2 4" xfId="40906" xr:uid="{AA97006A-933B-4A8C-8193-56D99F1A343D}"/>
    <cellStyle name="Migliaia [0] 41 3 2 5" xfId="47160" xr:uid="{98F296BF-8E86-4957-AD55-85DCEE60445B}"/>
    <cellStyle name="Migliaia [0] 41 3 2 6" xfId="50819" xr:uid="{53337613-388D-4415-A151-B773162D8F39}"/>
    <cellStyle name="Migliaia [0] 41 3 2 7" xfId="53835" xr:uid="{48EA918E-2365-46EB-93D2-1ADD0BA42BC8}"/>
    <cellStyle name="Migliaia [0] 41 3 2 8" xfId="17612" xr:uid="{A4A2EC61-7E34-47B8-BCE1-048BE3B272D1}"/>
    <cellStyle name="Migliaia [0] 41 3 2 9" xfId="11817" xr:uid="{BB3F0096-8285-4A9A-BF3F-AE3C30AFBB8B}"/>
    <cellStyle name="Migliaia [0] 41 3 3" xfId="5968" xr:uid="{36B50F5F-B327-4E99-A18D-562E0AC9A88B}"/>
    <cellStyle name="Migliaia [0] 41 3 3 2" xfId="12372" xr:uid="{02972732-3D33-4BD5-8675-98BDDE86959E}"/>
    <cellStyle name="Migliaia [0] 41 3 4" xfId="2996" xr:uid="{F96D7F85-DDF9-49C3-9758-D04CB622215D}"/>
    <cellStyle name="Migliaia [0] 41 3 4 2" xfId="21323" xr:uid="{7EE6A740-0723-426F-9635-6BE66E8F6D5E}"/>
    <cellStyle name="Migliaia [0] 41 3 4 3" xfId="47208" xr:uid="{772500B9-101A-49CF-8E59-6E02E3985161}"/>
    <cellStyle name="Migliaia [0] 41 3 4 4" xfId="50338" xr:uid="{5D9ED2E7-D833-4908-AF15-72AED013FE64}"/>
    <cellStyle name="Migliaia [0] 41 3 4 5" xfId="53354" xr:uid="{72255A87-B2A0-4317-AFA7-D399E9139FFA}"/>
    <cellStyle name="Migliaia [0] 41 3 4 6" xfId="10688" xr:uid="{537280C1-CB1B-4E92-AD01-03ED725B7577}"/>
    <cellStyle name="Migliaia [0] 41 3 5" xfId="19675" xr:uid="{26898A90-59B7-4D00-9452-C13F959C6418}"/>
    <cellStyle name="Migliaia [0] 41 3 6" xfId="24098" xr:uid="{06091E20-C397-443D-99D8-A10467BAE03F}"/>
    <cellStyle name="Migliaia [0] 41 3 7" xfId="8219" xr:uid="{B2FE7E0A-6E97-423E-BEF9-4F103B8081FF}"/>
    <cellStyle name="Migliaia [0] 41 4" xfId="2997" xr:uid="{7F493A04-A23A-4502-A1E7-B84FCE04D1E4}"/>
    <cellStyle name="Migliaia [0] 41 4 2" xfId="4723" xr:uid="{453D135B-8E46-468E-A011-1A85F31093F8}"/>
    <cellStyle name="Migliaia [0] 41 4 2 2" xfId="35104" xr:uid="{D1462EA1-0089-4F82-A8AD-11CD47F6CDE9}"/>
    <cellStyle name="Migliaia [0] 41 4 2 2 2" xfId="40262" xr:uid="{C2F94811-26F0-4488-891D-FBECBF8549CC}"/>
    <cellStyle name="Migliaia [0] 41 4 2 2 3" xfId="45564" xr:uid="{27542FE2-D373-4E69-97D5-07BCD1BFE41D}"/>
    <cellStyle name="Migliaia [0] 41 4 2 3" xfId="37611" xr:uid="{820FD160-0DBE-4AA6-BCBD-8D0A66238AD7}"/>
    <cellStyle name="Migliaia [0] 41 4 2 4" xfId="42913" xr:uid="{23CF194A-2F92-4910-9D2C-F3F2815C3D5C}"/>
    <cellStyle name="Migliaia [0] 41 4 2 5" xfId="17044" xr:uid="{DBBE9326-7D06-4AB8-8ABA-A95DED6DC856}"/>
    <cellStyle name="Migliaia [0] 41 4 3" xfId="5969" xr:uid="{A2D8FF6A-9C29-4DAE-88ED-EA6435051781}"/>
    <cellStyle name="Migliaia [0] 41 4 3 2" xfId="38256" xr:uid="{1A77CC70-A0CD-4939-9F7C-FF27DF19FAAB}"/>
    <cellStyle name="Migliaia [0] 41 4 3 3" xfId="43558" xr:uid="{2D7CFA93-06D5-4218-82FD-611D0439EAB9}"/>
    <cellStyle name="Migliaia [0] 41 4 3 4" xfId="32905" xr:uid="{DB2F93A3-C832-43F3-99D9-EC0258746B5A}"/>
    <cellStyle name="Migliaia [0] 41 4 3 5" xfId="19676" xr:uid="{786DC6F4-5F4F-46E7-8016-D6239CEBB307}"/>
    <cellStyle name="Migliaia [0] 41 4 4" xfId="35791" xr:uid="{1456B0F2-CB1A-405D-BB32-D42893B7BD06}"/>
    <cellStyle name="Migliaia [0] 41 4 5" xfId="40907" xr:uid="{D4DB9FB7-7393-4862-9CF1-6E5CBFD46B72}"/>
    <cellStyle name="Migliaia [0] 41 4 6" xfId="15986" xr:uid="{EF50FADE-6F66-4E44-A99A-8A14CBD2B437}"/>
    <cellStyle name="Migliaia [0] 41 4 7" xfId="7799" xr:uid="{0D19018E-4061-4323-A9D3-C9FCF3FA0A24}"/>
    <cellStyle name="Migliaia [0] 41 5" xfId="4719" xr:uid="{FFE7B77F-089B-4690-B4F3-A98C65EB636C}"/>
    <cellStyle name="Migliaia [0] 41 5 2" xfId="32906" xr:uid="{E1F74EC7-F772-4F5E-A72B-140032EAC031}"/>
    <cellStyle name="Migliaia [0] 41 5 2 2" xfId="38257" xr:uid="{CA2A2673-7BD7-481E-BB15-28483ADF18DE}"/>
    <cellStyle name="Migliaia [0] 41 5 2 3" xfId="43559" xr:uid="{1F7C0901-0901-47C2-B35A-7A67C68DAEBE}"/>
    <cellStyle name="Migliaia [0] 41 5 3" xfId="35792" xr:uid="{0B8362AB-E3BD-4A78-8E3D-C4658BF3F90F}"/>
    <cellStyle name="Migliaia [0] 41 5 4" xfId="40908" xr:uid="{DCC88726-EA6B-4CF6-9AA7-BFAEDCE35B2A}"/>
    <cellStyle name="Migliaia [0] 41 5 5" xfId="17113" xr:uid="{45807689-6D4A-47B4-868D-3625CEFE5620}"/>
    <cellStyle name="Migliaia [0] 41 6" xfId="5966" xr:uid="{AB866711-6927-4A6A-924F-9AE5D6A9B17A}"/>
    <cellStyle name="Migliaia [0] 41 6 2" xfId="38253" xr:uid="{B0C88C14-AB7C-4522-B18C-5694065660DB}"/>
    <cellStyle name="Migliaia [0] 41 6 3" xfId="43555" xr:uid="{270AC2C8-68B3-49E1-A332-EA241DFD2AE4}"/>
    <cellStyle name="Migliaia [0] 41 6 4" xfId="32902" xr:uid="{E1FB748D-F381-46BC-BA86-EADC31FC2226}"/>
    <cellStyle name="Migliaia [0] 41 6 5" xfId="19672" xr:uid="{D572DC93-EDD7-4D17-A68D-0555F0AFA70C}"/>
    <cellStyle name="Migliaia [0] 41 7" xfId="2993" xr:uid="{FF37B8FB-324F-4B4E-B130-52BCF52012E3}"/>
    <cellStyle name="Migliaia [0] 41 7 2" xfId="35788" xr:uid="{ADE301F3-2A55-414B-9566-EB517DD7BBB7}"/>
    <cellStyle name="Migliaia [0] 41 8" xfId="40904" xr:uid="{B18FA1A9-2010-4489-A582-9148A6F9E460}"/>
    <cellStyle name="Migliaia [0] 41 9" xfId="7020" xr:uid="{C5DD8A85-BD07-496D-9E53-FB6280EE8E65}"/>
    <cellStyle name="Migliaia [0] 42" xfId="278" xr:uid="{00000000-0005-0000-0000-000065020000}"/>
    <cellStyle name="Migliaia [0] 42 2" xfId="1589" xr:uid="{00000000-0005-0000-0000-000066020000}"/>
    <cellStyle name="Migliaia [0] 42 2 2" xfId="1590" xr:uid="{00000000-0005-0000-0000-000067020000}"/>
    <cellStyle name="Migliaia [0] 42 2 2 2" xfId="4726" xr:uid="{946180B2-EB30-4AEE-A6EB-B88CAA8B062B}"/>
    <cellStyle name="Migliaia [0] 42 2 2 2 2" xfId="21792" xr:uid="{CE27CC15-FA7C-4B03-8EE6-5BC65FAD3CD9}"/>
    <cellStyle name="Migliaia [0] 42 2 2 2 3" xfId="48191" xr:uid="{19491982-5013-4800-B28F-678977D52F77}"/>
    <cellStyle name="Migliaia [0] 42 2 2 2 4" xfId="50820" xr:uid="{F0B18BA4-12BA-42F9-93D8-F56623B2687F}"/>
    <cellStyle name="Migliaia [0] 42 2 2 2 5" xfId="53836" xr:uid="{8E69D8D5-1F50-488D-A025-225C29FD3A24}"/>
    <cellStyle name="Migliaia [0] 42 2 2 2 6" xfId="11818" xr:uid="{7319E6BB-E377-47CA-A928-553757DDDBB4}"/>
    <cellStyle name="Migliaia [0] 42 2 2 3" xfId="3000" xr:uid="{03F5D43C-27B5-4EB6-8441-EE151BA1FB25}"/>
    <cellStyle name="Migliaia [0] 42 2 2 3 2" xfId="12336" xr:uid="{A5470011-329A-49E7-9E99-567DD66DFD33}"/>
    <cellStyle name="Migliaia [0] 42 2 2 4" xfId="10689" xr:uid="{0FB13648-FE97-408A-8FAC-6A4467A1A38B}"/>
    <cellStyle name="Migliaia [0] 42 2 2 4 2" xfId="21324" xr:uid="{52DAC841-AC6E-48FD-8B61-B61A4CBBA3F7}"/>
    <cellStyle name="Migliaia [0] 42 2 2 4 3" xfId="46638" xr:uid="{FBC30117-82E9-4DA5-B086-3CF2DF08AC0D}"/>
    <cellStyle name="Migliaia [0] 42 2 2 4 4" xfId="50339" xr:uid="{BE8F7865-53F9-4FA8-8178-2F2C7A3FADC5}"/>
    <cellStyle name="Migliaia [0] 42 2 2 4 5" xfId="53355" xr:uid="{C08AFABC-6A0B-466E-9B0A-4FF69635FBEB}"/>
    <cellStyle name="Migliaia [0] 42 2 2 5" xfId="19679" xr:uid="{A269CD8F-26B5-4468-ACF7-20530033A926}"/>
    <cellStyle name="Migliaia [0] 42 2 2 6" xfId="24100" xr:uid="{1AC3D902-511C-4526-A502-EAF9BF368FAA}"/>
    <cellStyle name="Migliaia [0] 42 2 2 7" xfId="48856" xr:uid="{4B78C9A5-6197-49E2-AB47-BF68D2962216}"/>
    <cellStyle name="Migliaia [0] 42 2 2 8" xfId="49762" xr:uid="{AF3119D5-3A0C-4495-8775-D9C705D78932}"/>
    <cellStyle name="Migliaia [0] 42 2 2 9" xfId="8462" xr:uid="{20BD463E-E81C-4E8C-ADE7-154075426F8F}"/>
    <cellStyle name="Migliaia [0] 42 2 3" xfId="4725" xr:uid="{B11E8D2D-924A-4198-B22F-58E59B21ABC5}"/>
    <cellStyle name="Migliaia [0] 42 2 3 2" xfId="32908" xr:uid="{2D3A0737-1C0C-477F-8B52-AA62DC47FD09}"/>
    <cellStyle name="Migliaia [0] 42 2 3 2 2" xfId="38259" xr:uid="{32541561-27B1-42EA-8C0F-C41D8A52EEBA}"/>
    <cellStyle name="Migliaia [0] 42 2 3 2 3" xfId="43561" xr:uid="{FA7A9CF0-E91C-4356-88FE-E045B5C7B10F}"/>
    <cellStyle name="Migliaia [0] 42 2 3 3" xfId="35794" xr:uid="{512AA24D-C361-445A-B088-51EB303079A8}"/>
    <cellStyle name="Migliaia [0] 42 2 3 4" xfId="40910" xr:uid="{476C444A-C17D-4521-9A1F-F96293BF4FAC}"/>
    <cellStyle name="Migliaia [0] 42 2 3 5" xfId="11819" xr:uid="{D9F181AA-2778-43E1-93DC-2FF4BFE98E55}"/>
    <cellStyle name="Migliaia [0] 42 2 4" xfId="5971" xr:uid="{3098F2A6-48AD-423C-8C6B-83B28D0D47DF}"/>
    <cellStyle name="Migliaia [0] 42 2 4 2" xfId="19678" xr:uid="{806B5030-E44A-44B2-B7C2-F8A749778D98}"/>
    <cellStyle name="Migliaia [0] 42 2 5" xfId="2999" xr:uid="{0071AAD9-B554-46BB-BC4E-0AA71CA5E456}"/>
    <cellStyle name="Migliaia [0] 42 2 5 2" xfId="24099" xr:uid="{1A23E3B8-BF2A-4FEE-A5D8-4D00E4188BF1}"/>
    <cellStyle name="Migliaia [0] 42 2 6" xfId="7272" xr:uid="{6E45F8EE-336B-43C7-9C02-B4A27FB2CF2B}"/>
    <cellStyle name="Migliaia [0] 42 3" xfId="1591" xr:uid="{00000000-0005-0000-0000-000068020000}"/>
    <cellStyle name="Migliaia [0] 42 3 2" xfId="4727" xr:uid="{696D1FC6-30FB-467D-8B71-520889BD61B5}"/>
    <cellStyle name="Migliaia [0] 42 3 2 2" xfId="18337" xr:uid="{DC82628A-EB1B-415D-A4B2-C72DAB9566D0}"/>
    <cellStyle name="Migliaia [0] 42 3 2 2 2" xfId="21793" xr:uid="{1EDC7149-CF6E-45A9-A47D-4C6548EFDC6C}"/>
    <cellStyle name="Migliaia [0] 42 3 2 2 2 2" xfId="38260" xr:uid="{C775DAF5-9A2E-4383-86B9-DFEB9D89EF14}"/>
    <cellStyle name="Migliaia [0] 42 3 2 2 3" xfId="43562" xr:uid="{FC1D52FF-3604-4C85-8D1E-91B0985235FC}"/>
    <cellStyle name="Migliaia [0] 42 3 2 2 4" xfId="32909" xr:uid="{E45E4E5B-E679-4604-A0D5-E047C3FE0259}"/>
    <cellStyle name="Migliaia [0] 42 3 2 3" xfId="35795" xr:uid="{A1E3A898-E988-4EEB-AA51-0C74EC73A2B1}"/>
    <cellStyle name="Migliaia [0] 42 3 2 4" xfId="40911" xr:uid="{650BA8B0-CCA8-413B-A069-4FEF1D611A9E}"/>
    <cellStyle name="Migliaia [0] 42 3 2 5" xfId="37193" xr:uid="{CF812213-BF9E-4065-96FE-70170D3DF81E}"/>
    <cellStyle name="Migliaia [0] 42 3 2 6" xfId="50821" xr:uid="{A6D907D6-473B-405E-9C62-36A59BD0AD48}"/>
    <cellStyle name="Migliaia [0] 42 3 2 7" xfId="53837" xr:uid="{E3194B70-D595-4B44-B779-8ABD4E1438CC}"/>
    <cellStyle name="Migliaia [0] 42 3 2 8" xfId="17613" xr:uid="{AF647F75-88E7-435A-91C5-39E12FB018F3}"/>
    <cellStyle name="Migliaia [0] 42 3 2 9" xfId="11820" xr:uid="{CF5A25D5-8DDF-4188-A139-EFED486C59D0}"/>
    <cellStyle name="Migliaia [0] 42 3 3" xfId="5972" xr:uid="{A96B4E05-20C8-4032-91EE-28751DFA68A4}"/>
    <cellStyle name="Migliaia [0] 42 3 3 2" xfId="12371" xr:uid="{3264A05A-017C-4892-A5D8-86D684533688}"/>
    <cellStyle name="Migliaia [0] 42 3 4" xfId="3001" xr:uid="{02B3BC19-6DDB-44CE-AF1F-AC842437B619}"/>
    <cellStyle name="Migliaia [0] 42 3 4 2" xfId="21325" xr:uid="{AA046A3D-A2C1-46B2-A493-BB2DA7B07FDC}"/>
    <cellStyle name="Migliaia [0] 42 3 4 3" xfId="47736" xr:uid="{0B685394-AE92-4287-B041-0FE524ACB8BF}"/>
    <cellStyle name="Migliaia [0] 42 3 4 4" xfId="50340" xr:uid="{94A5B87C-35F0-4E24-9A47-C66E25A53761}"/>
    <cellStyle name="Migliaia [0] 42 3 4 5" xfId="53356" xr:uid="{EE89D711-054D-448A-801F-C304F8387B40}"/>
    <cellStyle name="Migliaia [0] 42 3 4 6" xfId="10690" xr:uid="{FF4DCC62-DC01-4AFA-B0BB-E75EC55E8A85}"/>
    <cellStyle name="Migliaia [0] 42 3 5" xfId="19680" xr:uid="{F3451CC6-9318-417B-AADA-6E96A2AFA9A6}"/>
    <cellStyle name="Migliaia [0] 42 3 6" xfId="24101" xr:uid="{D03A631A-266A-4D15-A3DB-F592BB4490C3}"/>
    <cellStyle name="Migliaia [0] 42 3 7" xfId="8220" xr:uid="{2CE01A8E-FD72-448A-894B-4A4F0166A771}"/>
    <cellStyle name="Migliaia [0] 42 4" xfId="3002" xr:uid="{F438F24B-7286-4D1B-8C96-AA219D571AAD}"/>
    <cellStyle name="Migliaia [0] 42 4 2" xfId="4728" xr:uid="{BE32381E-EC0D-4D5E-A13D-E1BA5652826F}"/>
    <cellStyle name="Migliaia [0] 42 4 2 2" xfId="35105" xr:uid="{B8FCED8B-E363-4152-ABEC-1B81804DC9A3}"/>
    <cellStyle name="Migliaia [0] 42 4 2 2 2" xfId="40263" xr:uid="{E5E502AD-4E7E-4DC5-AE86-5634F15E6438}"/>
    <cellStyle name="Migliaia [0] 42 4 2 2 3" xfId="45565" xr:uid="{5AA0BF02-2E66-41A2-B3BB-0DA5CF8DBB97}"/>
    <cellStyle name="Migliaia [0] 42 4 2 3" xfId="37612" xr:uid="{64CB1997-252A-4656-B450-B9522B401915}"/>
    <cellStyle name="Migliaia [0] 42 4 2 4" xfId="42914" xr:uid="{124A908F-A157-4038-9EC3-1B78A411F967}"/>
    <cellStyle name="Migliaia [0] 42 4 2 5" xfId="17045" xr:uid="{B97FF177-BED1-4C07-A313-FD17636DB4CC}"/>
    <cellStyle name="Migliaia [0] 42 4 3" xfId="5973" xr:uid="{6B019B82-D4CE-4B7C-8023-8B463F23A0F8}"/>
    <cellStyle name="Migliaia [0] 42 4 3 2" xfId="38261" xr:uid="{B47C4ECD-8F63-4DF7-B378-AF5B1B68C05D}"/>
    <cellStyle name="Migliaia [0] 42 4 3 3" xfId="43563" xr:uid="{580BC970-E273-46A8-95E9-F55E49065056}"/>
    <cellStyle name="Migliaia [0] 42 4 3 4" xfId="32910" xr:uid="{6E506993-851E-48DB-9046-F3BA6B80F709}"/>
    <cellStyle name="Migliaia [0] 42 4 3 5" xfId="19681" xr:uid="{E66E4D92-025D-4736-A13D-56719EFDBC29}"/>
    <cellStyle name="Migliaia [0] 42 4 4" xfId="35796" xr:uid="{377A6C58-E273-442B-9C7B-7ECFB14D4F1E}"/>
    <cellStyle name="Migliaia [0] 42 4 5" xfId="40912" xr:uid="{A763125C-9532-43ED-8FFF-05BA0438692E}"/>
    <cellStyle name="Migliaia [0] 42 4 6" xfId="15987" xr:uid="{E1DEACDA-CFBC-4D82-8870-FF44EAE6A611}"/>
    <cellStyle name="Migliaia [0] 42 4 7" xfId="7800" xr:uid="{F1B551C6-1210-4899-A5A7-CABC3FEE2E28}"/>
    <cellStyle name="Migliaia [0] 42 5" xfId="4724" xr:uid="{3CCFFD4B-7CFA-4266-837D-AA58461A3511}"/>
    <cellStyle name="Migliaia [0] 42 5 2" xfId="32911" xr:uid="{E2D89E01-4A52-44EA-8416-8E262D6E4B9C}"/>
    <cellStyle name="Migliaia [0] 42 5 2 2" xfId="38262" xr:uid="{C3B7C55D-8E28-452D-9459-5CD56EF2237A}"/>
    <cellStyle name="Migliaia [0] 42 5 2 3" xfId="43564" xr:uid="{1E76C003-FA4D-4A37-B455-C52FB40BBA14}"/>
    <cellStyle name="Migliaia [0] 42 5 3" xfId="35797" xr:uid="{B69873B4-9EA7-488D-8BF5-495A50CE46E7}"/>
    <cellStyle name="Migliaia [0] 42 5 4" xfId="40913" xr:uid="{D40C9799-A3AF-439A-985D-DF0AAF4790F7}"/>
    <cellStyle name="Migliaia [0] 42 5 5" xfId="17114" xr:uid="{ADB12B4A-BED9-4216-9533-DAB45B80F0C4}"/>
    <cellStyle name="Migliaia [0] 42 6" xfId="5970" xr:uid="{591AF490-B474-4EA1-B7E9-016CA8CAE78B}"/>
    <cellStyle name="Migliaia [0] 42 6 2" xfId="38258" xr:uid="{8498B345-FD74-4988-ABFE-20CABCB7EF1D}"/>
    <cellStyle name="Migliaia [0] 42 6 3" xfId="43560" xr:uid="{22793727-4407-42F7-A289-C4B35C026D8D}"/>
    <cellStyle name="Migliaia [0] 42 6 4" xfId="32907" xr:uid="{DB01BC40-EC1B-41D6-8EF0-5E206BA6DF34}"/>
    <cellStyle name="Migliaia [0] 42 6 5" xfId="19677" xr:uid="{52B05F5F-75B4-46A0-AE3C-59AE4DE190ED}"/>
    <cellStyle name="Migliaia [0] 42 7" xfId="2998" xr:uid="{DD073DBF-94B6-40F8-9F8B-6DC2C0A221BA}"/>
    <cellStyle name="Migliaia [0] 42 7 2" xfId="35793" xr:uid="{77E549BD-78B9-45BF-893B-3E6ACA5DCB85}"/>
    <cellStyle name="Migliaia [0] 42 8" xfId="40909" xr:uid="{22A9F414-5C14-400C-BC55-75B2DB09561C}"/>
    <cellStyle name="Migliaia [0] 42 9" xfId="7021" xr:uid="{BABEE08D-4D54-4A1E-9D7D-88528E1B08AB}"/>
    <cellStyle name="Migliaia [0] 43" xfId="279" xr:uid="{00000000-0005-0000-0000-000069020000}"/>
    <cellStyle name="Migliaia [0] 43 2" xfId="1592" xr:uid="{00000000-0005-0000-0000-00006A020000}"/>
    <cellStyle name="Migliaia [0] 43 2 2" xfId="1593" xr:uid="{00000000-0005-0000-0000-00006B020000}"/>
    <cellStyle name="Migliaia [0] 43 2 2 2" xfId="4731" xr:uid="{BEB666D9-F925-49E6-8B89-6D4F83810EFB}"/>
    <cellStyle name="Migliaia [0] 43 2 2 2 2" xfId="21794" xr:uid="{206C2EB9-14B8-470A-8379-B4CDB30D1ACC}"/>
    <cellStyle name="Migliaia [0] 43 2 2 2 3" xfId="48100" xr:uid="{8B13CF97-26D9-4484-B93B-2407BE096951}"/>
    <cellStyle name="Migliaia [0] 43 2 2 2 4" xfId="50822" xr:uid="{3EC1996B-06D3-46D4-80A4-E7DF8EC42F63}"/>
    <cellStyle name="Migliaia [0] 43 2 2 2 5" xfId="53838" xr:uid="{EA48A7C7-364D-4D29-A0F8-0B85A06B6594}"/>
    <cellStyle name="Migliaia [0] 43 2 2 2 6" xfId="11821" xr:uid="{93BFF99B-9F08-4F9D-B132-A594275E7637}"/>
    <cellStyle name="Migliaia [0] 43 2 2 3" xfId="3005" xr:uid="{F688392F-EE3F-44B0-AA67-A59E0FCD39B0}"/>
    <cellStyle name="Migliaia [0] 43 2 2 3 2" xfId="12335" xr:uid="{6B2F907D-F808-4CBD-877C-EB74BBD9C15E}"/>
    <cellStyle name="Migliaia [0] 43 2 2 4" xfId="10691" xr:uid="{19FD244F-5F89-474F-87B3-93BC2C630D80}"/>
    <cellStyle name="Migliaia [0] 43 2 2 4 2" xfId="21326" xr:uid="{7C60CE6D-706C-488A-9228-B60F0865896E}"/>
    <cellStyle name="Migliaia [0] 43 2 2 4 3" xfId="48568" xr:uid="{2EE07ADB-E9E3-4BD2-99E4-856DC073BBF0}"/>
    <cellStyle name="Migliaia [0] 43 2 2 4 4" xfId="50341" xr:uid="{DB5275DD-6E2B-4F14-8CD9-C04C7B1F75E9}"/>
    <cellStyle name="Migliaia [0] 43 2 2 4 5" xfId="53357" xr:uid="{E1F15240-A768-44A0-AC09-5DEB6C931358}"/>
    <cellStyle name="Migliaia [0] 43 2 2 5" xfId="19684" xr:uid="{2FB8558B-BEAD-47E8-A726-7A11010F9F0E}"/>
    <cellStyle name="Migliaia [0] 43 2 2 6" xfId="24103" xr:uid="{F52450F3-7413-4F62-91C2-B2932F410FC7}"/>
    <cellStyle name="Migliaia [0] 43 2 2 7" xfId="48857" xr:uid="{C4C2B701-640A-460D-B6C0-E2F0B44A3732}"/>
    <cellStyle name="Migliaia [0] 43 2 2 8" xfId="49763" xr:uid="{6BD8BC06-CE05-43F1-A491-203E06F50C9C}"/>
    <cellStyle name="Migliaia [0] 43 2 2 9" xfId="8463" xr:uid="{D80FFD4D-C895-493F-9C93-EE07CC74AE2E}"/>
    <cellStyle name="Migliaia [0] 43 2 3" xfId="4730" xr:uid="{B6E568B1-B875-49BF-8C7F-FA09D1A0168E}"/>
    <cellStyle name="Migliaia [0] 43 2 3 2" xfId="32913" xr:uid="{BA717952-07B0-4427-A9D9-E3DD4B2C2EC1}"/>
    <cellStyle name="Migliaia [0] 43 2 3 2 2" xfId="38264" xr:uid="{C197C27F-8AB1-423F-999E-BCF051153465}"/>
    <cellStyle name="Migliaia [0] 43 2 3 2 3" xfId="43566" xr:uid="{D03D51F8-4A7C-4BAA-9715-1E62DC667944}"/>
    <cellStyle name="Migliaia [0] 43 2 3 3" xfId="35799" xr:uid="{F93A24A1-52E2-429D-9445-8092F22B245D}"/>
    <cellStyle name="Migliaia [0] 43 2 3 4" xfId="40915" xr:uid="{0CA097BE-936A-422F-82E1-D1273EDBA38A}"/>
    <cellStyle name="Migliaia [0] 43 2 3 5" xfId="11822" xr:uid="{92A6AB4F-C9A9-440B-991E-3F14096D79EF}"/>
    <cellStyle name="Migliaia [0] 43 2 4" xfId="5975" xr:uid="{65548E3E-53D7-48C9-8219-BAA27074D99B}"/>
    <cellStyle name="Migliaia [0] 43 2 4 2" xfId="19683" xr:uid="{F5A2B3F4-604B-423F-A1E7-5A898A341674}"/>
    <cellStyle name="Migliaia [0] 43 2 5" xfId="3004" xr:uid="{EB00C479-0029-4A1F-9E06-F9B859891257}"/>
    <cellStyle name="Migliaia [0] 43 2 5 2" xfId="24102" xr:uid="{54E85694-7B24-4FCB-98A9-49E66D780638}"/>
    <cellStyle name="Migliaia [0] 43 2 6" xfId="7273" xr:uid="{E308E4EB-A0F3-4C1E-8D7E-D43F58D52614}"/>
    <cellStyle name="Migliaia [0] 43 3" xfId="1594" xr:uid="{00000000-0005-0000-0000-00006C020000}"/>
    <cellStyle name="Migliaia [0] 43 3 2" xfId="4732" xr:uid="{FE20A76B-F4B3-4813-9CCD-DEB84E953CCD}"/>
    <cellStyle name="Migliaia [0] 43 3 2 2" xfId="18338" xr:uid="{1DD89733-D4DF-44EA-982A-BB1CA01F0371}"/>
    <cellStyle name="Migliaia [0] 43 3 2 2 2" xfId="21795" xr:uid="{E78B4BA6-8DE8-451A-8F61-8B7A4EA6A16E}"/>
    <cellStyle name="Migliaia [0] 43 3 2 2 2 2" xfId="38265" xr:uid="{C57AF121-13A4-452F-8198-A21571639166}"/>
    <cellStyle name="Migliaia [0] 43 3 2 2 3" xfId="43567" xr:uid="{EDE05654-BB60-4F24-A904-EC38847CC088}"/>
    <cellStyle name="Migliaia [0] 43 3 2 2 4" xfId="32914" xr:uid="{E4537A32-B4C4-491E-A995-2FFDF732CB8B}"/>
    <cellStyle name="Migliaia [0] 43 3 2 3" xfId="35800" xr:uid="{7666AB30-C946-46C9-A8C5-88665EA7A66C}"/>
    <cellStyle name="Migliaia [0] 43 3 2 4" xfId="40916" xr:uid="{EF3C5BF2-C4AB-4B15-A4DC-56A2D43CCA06}"/>
    <cellStyle name="Migliaia [0] 43 3 2 5" xfId="47753" xr:uid="{F7552506-9F29-4D40-850C-7ED4E87295CE}"/>
    <cellStyle name="Migliaia [0] 43 3 2 6" xfId="50823" xr:uid="{93026139-8C8B-42D8-9B53-460D78A1C99A}"/>
    <cellStyle name="Migliaia [0] 43 3 2 7" xfId="53839" xr:uid="{1274C8BC-6B4C-4F33-B121-E622924CE91E}"/>
    <cellStyle name="Migliaia [0] 43 3 2 8" xfId="17614" xr:uid="{7EF13D17-2EB5-4D40-B279-C5C0E8438061}"/>
    <cellStyle name="Migliaia [0] 43 3 2 9" xfId="11823" xr:uid="{CB160781-84FE-4C9E-A902-2C81FAAA5436}"/>
    <cellStyle name="Migliaia [0] 43 3 3" xfId="5976" xr:uid="{347F3CF2-AB1F-41CF-AEF5-29CE902283B7}"/>
    <cellStyle name="Migliaia [0] 43 3 3 2" xfId="12370" xr:uid="{E73857D7-4C09-4D1B-A336-BF070BD94F05}"/>
    <cellStyle name="Migliaia [0] 43 3 4" xfId="3006" xr:uid="{CC0FD5C5-F2FE-4003-A8D9-B8A5EC46C8EB}"/>
    <cellStyle name="Migliaia [0] 43 3 4 2" xfId="21327" xr:uid="{9FF4681F-1BF4-441D-A269-19153280EAB9}"/>
    <cellStyle name="Migliaia [0] 43 3 4 3" xfId="23999" xr:uid="{24C20FDD-71E7-473D-8CA4-7261426F16BD}"/>
    <cellStyle name="Migliaia [0] 43 3 4 4" xfId="50342" xr:uid="{02DD3D0F-8E42-45F6-8A28-42B700EDD240}"/>
    <cellStyle name="Migliaia [0] 43 3 4 5" xfId="53358" xr:uid="{8BC81AAF-5355-4D25-B550-A5E8F63CF9B3}"/>
    <cellStyle name="Migliaia [0] 43 3 4 6" xfId="10692" xr:uid="{97943FA1-222A-4D82-A268-EE0CF9FC9706}"/>
    <cellStyle name="Migliaia [0] 43 3 5" xfId="19685" xr:uid="{2274AA76-DA87-4D6A-8A4C-C4BC19AC61F4}"/>
    <cellStyle name="Migliaia [0] 43 3 6" xfId="24104" xr:uid="{C480D80F-D6BF-4543-A126-D2553DE66ED5}"/>
    <cellStyle name="Migliaia [0] 43 3 7" xfId="8221" xr:uid="{76C7796E-0E3C-42E9-803A-C36B9059D9E0}"/>
    <cellStyle name="Migliaia [0] 43 4" xfId="3007" xr:uid="{B8ABF366-877C-4F95-9482-95E802883843}"/>
    <cellStyle name="Migliaia [0] 43 4 2" xfId="4733" xr:uid="{F6B7CB94-9F97-4476-906E-59A2FEBD2705}"/>
    <cellStyle name="Migliaia [0] 43 4 2 2" xfId="35106" xr:uid="{B7F4F3AC-7C35-4955-80B4-F8E070510BF1}"/>
    <cellStyle name="Migliaia [0] 43 4 2 2 2" xfId="40264" xr:uid="{CBD3E59D-F79B-445C-9B30-31690BB6CB87}"/>
    <cellStyle name="Migliaia [0] 43 4 2 2 3" xfId="45566" xr:uid="{3E663974-15C5-4431-A10E-39D0B69B3058}"/>
    <cellStyle name="Migliaia [0] 43 4 2 3" xfId="37613" xr:uid="{C0E4AEEC-6803-4BD0-8DA7-6C7A8B329765}"/>
    <cellStyle name="Migliaia [0] 43 4 2 4" xfId="42915" xr:uid="{BE97DA24-29AE-4F76-A375-5AF553D729F1}"/>
    <cellStyle name="Migliaia [0] 43 4 2 5" xfId="17046" xr:uid="{6907FD2B-1F91-4E25-8F7D-02383EB5E0F3}"/>
    <cellStyle name="Migliaia [0] 43 4 3" xfId="5977" xr:uid="{232535AA-35DF-4C54-BF16-83225B56AD1F}"/>
    <cellStyle name="Migliaia [0] 43 4 3 2" xfId="38266" xr:uid="{39BE9BE7-4F6E-45EE-9314-B45C9A2EA7C9}"/>
    <cellStyle name="Migliaia [0] 43 4 3 3" xfId="43568" xr:uid="{DF8077DC-6BFF-4991-86A0-B574EBB79E47}"/>
    <cellStyle name="Migliaia [0] 43 4 3 4" xfId="32915" xr:uid="{DD3CCEFD-9FC5-431B-BF76-A725BDA27C7B}"/>
    <cellStyle name="Migliaia [0] 43 4 3 5" xfId="19686" xr:uid="{44BF444E-083C-499F-82B8-1EDF02716BEC}"/>
    <cellStyle name="Migliaia [0] 43 4 4" xfId="35801" xr:uid="{EBD13AE1-D57E-42BA-B87B-53CB4453EC71}"/>
    <cellStyle name="Migliaia [0] 43 4 5" xfId="40917" xr:uid="{92967EA4-F713-4AA3-AEC0-980B87DA6FFC}"/>
    <cellStyle name="Migliaia [0] 43 4 6" xfId="15988" xr:uid="{BDFE5F02-4A54-4F1D-BA16-F9A8E88D2CCA}"/>
    <cellStyle name="Migliaia [0] 43 4 7" xfId="7801" xr:uid="{D55728A6-CE76-44D1-BFA8-216AC820FA6F}"/>
    <cellStyle name="Migliaia [0] 43 5" xfId="4729" xr:uid="{0C08CDA1-9DCC-4C62-A9B3-FC8AE539BC42}"/>
    <cellStyle name="Migliaia [0] 43 5 2" xfId="32916" xr:uid="{7DCF2EE3-BA66-4797-942B-9B39D1C8EEAA}"/>
    <cellStyle name="Migliaia [0] 43 5 2 2" xfId="38267" xr:uid="{004C9230-378D-46A7-9CB2-8EAA594EFE00}"/>
    <cellStyle name="Migliaia [0] 43 5 2 3" xfId="43569" xr:uid="{B7D4F0EB-6C8C-4522-B8C5-D48249450117}"/>
    <cellStyle name="Migliaia [0] 43 5 3" xfId="35802" xr:uid="{271F827E-100A-4C6B-BED3-1315D622AC12}"/>
    <cellStyle name="Migliaia [0] 43 5 4" xfId="40918" xr:uid="{8C69FBB7-1340-4BE2-9A1D-C9A8F0C244A0}"/>
    <cellStyle name="Migliaia [0] 43 5 5" xfId="17115" xr:uid="{041B3F57-4CA2-4FAF-9082-ABA30BFAF7D8}"/>
    <cellStyle name="Migliaia [0] 43 6" xfId="5974" xr:uid="{ECE68018-24DA-472B-8C1A-F5C9B8C2710A}"/>
    <cellStyle name="Migliaia [0] 43 6 2" xfId="38263" xr:uid="{8884DED3-4A83-4385-8F89-A99A29A47994}"/>
    <cellStyle name="Migliaia [0] 43 6 3" xfId="43565" xr:uid="{5D0266A8-F5F0-44A4-BBF6-3AC00C87C499}"/>
    <cellStyle name="Migliaia [0] 43 6 4" xfId="32912" xr:uid="{8891BEB0-0CFA-4C31-B7DA-5D1B86306177}"/>
    <cellStyle name="Migliaia [0] 43 6 5" xfId="19682" xr:uid="{2C7473EC-B323-4A55-91F6-93486ACD2594}"/>
    <cellStyle name="Migliaia [0] 43 7" xfId="3003" xr:uid="{7DABDD17-45ED-4E0D-881D-6B9954C2E143}"/>
    <cellStyle name="Migliaia [0] 43 7 2" xfId="35798" xr:uid="{3DDA4379-AA73-46DF-962E-2D8AFBF437BA}"/>
    <cellStyle name="Migliaia [0] 43 8" xfId="40914" xr:uid="{D5B1AE40-6E15-4E0C-BF47-3730C8DE66E1}"/>
    <cellStyle name="Migliaia [0] 43 9" xfId="7022" xr:uid="{19037EE0-BBBF-40CC-ABDF-BE6380023AD3}"/>
    <cellStyle name="Migliaia [0] 44" xfId="280" xr:uid="{00000000-0005-0000-0000-00006D020000}"/>
    <cellStyle name="Migliaia [0] 44 2" xfId="1595" xr:uid="{00000000-0005-0000-0000-00006E020000}"/>
    <cellStyle name="Migliaia [0] 44 2 2" xfId="1596" xr:uid="{00000000-0005-0000-0000-00006F020000}"/>
    <cellStyle name="Migliaia [0] 44 2 2 2" xfId="4736" xr:uid="{2BDA5DCA-F418-4067-9D65-90484E2680E4}"/>
    <cellStyle name="Migliaia [0] 44 2 2 2 2" xfId="21796" xr:uid="{ADACD2C6-E2A2-4F3E-8F15-530185327FCA}"/>
    <cellStyle name="Migliaia [0] 44 2 2 2 3" xfId="24226" xr:uid="{2B8E84EB-5739-4F73-B325-C3418E65B489}"/>
    <cellStyle name="Migliaia [0] 44 2 2 2 4" xfId="50824" xr:uid="{7CCD7018-92B2-4403-8671-8F40D394BBFC}"/>
    <cellStyle name="Migliaia [0] 44 2 2 2 5" xfId="53840" xr:uid="{79E46CAB-B454-49ED-9B69-17792A80EC6C}"/>
    <cellStyle name="Migliaia [0] 44 2 2 2 6" xfId="11824" xr:uid="{28C279A3-D1C8-4224-A2A3-FFE944ACD938}"/>
    <cellStyle name="Migliaia [0] 44 2 2 3" xfId="3010" xr:uid="{DDC972D2-1B48-41A1-9A39-5F08BF63BA1F}"/>
    <cellStyle name="Migliaia [0] 44 2 2 3 2" xfId="12181" xr:uid="{0B04ABCB-2CC2-4273-B895-5F36900BE0B1}"/>
    <cellStyle name="Migliaia [0] 44 2 2 4" xfId="10693" xr:uid="{066FEB4B-7D53-4245-8425-028F80FBF37E}"/>
    <cellStyle name="Migliaia [0] 44 2 2 4 2" xfId="21328" xr:uid="{29D505E9-90E5-455D-B2A1-3D2227633631}"/>
    <cellStyle name="Migliaia [0] 44 2 2 4 3" xfId="47362" xr:uid="{BFD74B56-B705-4BDE-881E-A960BACDD976}"/>
    <cellStyle name="Migliaia [0] 44 2 2 4 4" xfId="50343" xr:uid="{5BBF5C3C-CCD9-4B13-A27B-7F04DEC0B2CA}"/>
    <cellStyle name="Migliaia [0] 44 2 2 4 5" xfId="53359" xr:uid="{D3172EE8-0782-47B1-8038-7B22FFCE2166}"/>
    <cellStyle name="Migliaia [0] 44 2 2 5" xfId="19689" xr:uid="{BBF7DD23-30C1-4EB6-BD9E-52A3195423A2}"/>
    <cellStyle name="Migliaia [0] 44 2 2 6" xfId="24106" xr:uid="{96ED7783-C4DF-42D9-91F0-00D6AE659E05}"/>
    <cellStyle name="Migliaia [0] 44 2 2 7" xfId="48858" xr:uid="{10077F54-00E2-4BDA-A6BF-892B2B79413F}"/>
    <cellStyle name="Migliaia [0] 44 2 2 8" xfId="49764" xr:uid="{A4FE8C6D-1B7C-4456-A560-D6B06493D706}"/>
    <cellStyle name="Migliaia [0] 44 2 2 9" xfId="8464" xr:uid="{C8E43335-237E-427E-AFA9-B4ECF7350F42}"/>
    <cellStyle name="Migliaia [0] 44 2 3" xfId="4735" xr:uid="{806605C9-7B7D-4356-A835-E15FC738A0B4}"/>
    <cellStyle name="Migliaia [0] 44 2 3 2" xfId="32918" xr:uid="{1AD1BDDA-8368-4754-8363-FA3095546422}"/>
    <cellStyle name="Migliaia [0] 44 2 3 2 2" xfId="38269" xr:uid="{4D85E941-91F6-4168-81CA-B5FA21B1FAA5}"/>
    <cellStyle name="Migliaia [0] 44 2 3 2 3" xfId="43571" xr:uid="{53FA4175-EA2E-4723-AEF1-444DFBFC48AA}"/>
    <cellStyle name="Migliaia [0] 44 2 3 3" xfId="35804" xr:uid="{1137E3F6-A413-4128-AF0B-CF5690EF0300}"/>
    <cellStyle name="Migliaia [0] 44 2 3 4" xfId="40920" xr:uid="{ABDCDA21-544C-465B-99CE-C538A8972BF5}"/>
    <cellStyle name="Migliaia [0] 44 2 3 5" xfId="11825" xr:uid="{1A47E059-770E-40D1-B084-434979CA72AB}"/>
    <cellStyle name="Migliaia [0] 44 2 4" xfId="5979" xr:uid="{59EFC19B-CFF2-4E5A-A432-D3A8417E2135}"/>
    <cellStyle name="Migliaia [0] 44 2 4 2" xfId="19688" xr:uid="{BFFD0AF9-3148-4091-BD18-ADA0D4ADE06D}"/>
    <cellStyle name="Migliaia [0] 44 2 5" xfId="3009" xr:uid="{95E04E5C-BB5B-46D8-BFC4-80C69A9DAE5C}"/>
    <cellStyle name="Migliaia [0] 44 2 5 2" xfId="24105" xr:uid="{6C170F4F-91B1-4060-A4F6-0555D013AE5A}"/>
    <cellStyle name="Migliaia [0] 44 2 6" xfId="7274" xr:uid="{5B11F2DA-1A18-4C2C-AD1D-E9B6007F199D}"/>
    <cellStyle name="Migliaia [0] 44 3" xfId="1597" xr:uid="{00000000-0005-0000-0000-000070020000}"/>
    <cellStyle name="Migliaia [0] 44 3 2" xfId="4737" xr:uid="{C1300508-25CB-4478-9CE6-A54FC7911D69}"/>
    <cellStyle name="Migliaia [0] 44 3 2 2" xfId="18339" xr:uid="{62C98153-2A9E-4883-8E00-D8A930C952D6}"/>
    <cellStyle name="Migliaia [0] 44 3 2 2 2" xfId="21797" xr:uid="{465D764E-1652-45BC-BBB9-BD6B09A64A73}"/>
    <cellStyle name="Migliaia [0] 44 3 2 2 2 2" xfId="38270" xr:uid="{AE46CF47-27CB-4CA3-98AA-BD40FE5E7123}"/>
    <cellStyle name="Migliaia [0] 44 3 2 2 3" xfId="43572" xr:uid="{D1C66AFA-4945-4759-B684-83ED3C46493A}"/>
    <cellStyle name="Migliaia [0] 44 3 2 2 4" xfId="32919" xr:uid="{7C4B1D6E-F520-4BC4-BC82-14EE82559C41}"/>
    <cellStyle name="Migliaia [0] 44 3 2 3" xfId="35805" xr:uid="{B115B5C3-D631-4387-BD53-717E0170EA80}"/>
    <cellStyle name="Migliaia [0] 44 3 2 4" xfId="40921" xr:uid="{74DA0892-1A1B-4244-B867-1B089473FF22}"/>
    <cellStyle name="Migliaia [0] 44 3 2 5" xfId="47010" xr:uid="{4F40A2D2-1F57-471F-B9DD-5F394BFEB1B6}"/>
    <cellStyle name="Migliaia [0] 44 3 2 6" xfId="50825" xr:uid="{9D70BEA0-E2C9-47D3-B6AE-8EC81065898C}"/>
    <cellStyle name="Migliaia [0] 44 3 2 7" xfId="53841" xr:uid="{C6CFACA0-F318-4DDF-9B4D-CB84061B32CF}"/>
    <cellStyle name="Migliaia [0] 44 3 2 8" xfId="17615" xr:uid="{B701936C-F8ED-4642-8DD3-576C1265079F}"/>
    <cellStyle name="Migliaia [0] 44 3 2 9" xfId="11826" xr:uid="{45E92971-FCCE-46C1-B88E-A2C97A6795C1}"/>
    <cellStyle name="Migliaia [0] 44 3 3" xfId="5980" xr:uid="{B3A9DEA3-055E-49AD-92FE-5ADA617F3188}"/>
    <cellStyle name="Migliaia [0] 44 3 3 2" xfId="12188" xr:uid="{C49E328B-0B48-40DD-881F-BFC3C872B9A1}"/>
    <cellStyle name="Migliaia [0] 44 3 4" xfId="3011" xr:uid="{D094741B-D001-4657-9388-3FB5253DB83C}"/>
    <cellStyle name="Migliaia [0] 44 3 4 2" xfId="21329" xr:uid="{4A0D5375-AEA1-496D-9DAD-65F9B9D5E5F1}"/>
    <cellStyle name="Migliaia [0] 44 3 4 3" xfId="46184" xr:uid="{6A2D6FF1-695B-4048-B7DE-AD6E52354920}"/>
    <cellStyle name="Migliaia [0] 44 3 4 4" xfId="50344" xr:uid="{6BEFE2C2-7022-4B1E-8DF2-AD2CBBD88994}"/>
    <cellStyle name="Migliaia [0] 44 3 4 5" xfId="53360" xr:uid="{55CE72D2-D781-4671-BF72-1AF4DD8C4B84}"/>
    <cellStyle name="Migliaia [0] 44 3 4 6" xfId="10694" xr:uid="{E1E32D52-7420-42C2-8054-6665F4A03A73}"/>
    <cellStyle name="Migliaia [0] 44 3 5" xfId="19690" xr:uid="{86989488-A14D-40F6-83D8-308529A7357D}"/>
    <cellStyle name="Migliaia [0] 44 3 6" xfId="24107" xr:uid="{6772B074-BEA4-4770-89FA-C5EFF6F2EDA3}"/>
    <cellStyle name="Migliaia [0] 44 3 7" xfId="8222" xr:uid="{FACCBAB0-9B26-4FCB-A02A-CA720B65D2EE}"/>
    <cellStyle name="Migliaia [0] 44 4" xfId="3012" xr:uid="{ACAA4913-E25F-4F83-A980-F3D8CF6D86FF}"/>
    <cellStyle name="Migliaia [0] 44 4 2" xfId="4738" xr:uid="{A7475D7A-AF49-47FA-9918-C28B93F0340E}"/>
    <cellStyle name="Migliaia [0] 44 4 2 2" xfId="35107" xr:uid="{F8DA0A11-C9B4-4CF5-B2D8-FA06C6424849}"/>
    <cellStyle name="Migliaia [0] 44 4 2 2 2" xfId="40265" xr:uid="{DCE4E4BA-B6A3-42D3-AA13-0636694D1D80}"/>
    <cellStyle name="Migliaia [0] 44 4 2 2 3" xfId="45567" xr:uid="{E0A61AF2-29FC-4F82-82D9-20A5E279D114}"/>
    <cellStyle name="Migliaia [0] 44 4 2 3" xfId="37614" xr:uid="{508A6703-764F-4671-9959-42FCA6358009}"/>
    <cellStyle name="Migliaia [0] 44 4 2 4" xfId="42916" xr:uid="{C69B827A-E977-4F90-8822-6B4A17E18DE9}"/>
    <cellStyle name="Migliaia [0] 44 4 2 5" xfId="17047" xr:uid="{29A5C7A2-611A-4917-A16D-CFE04AC645BF}"/>
    <cellStyle name="Migliaia [0] 44 4 3" xfId="5981" xr:uid="{EC755725-9159-445B-917E-D2F63FB45E38}"/>
    <cellStyle name="Migliaia [0] 44 4 3 2" xfId="38271" xr:uid="{835CCFB6-8764-432E-9436-B9E9E46E529C}"/>
    <cellStyle name="Migliaia [0] 44 4 3 3" xfId="43573" xr:uid="{1982AD93-949B-4639-807F-94133AED8A08}"/>
    <cellStyle name="Migliaia [0] 44 4 3 4" xfId="32920" xr:uid="{47D95A75-E949-4AD1-AFE5-CEC4F590B34E}"/>
    <cellStyle name="Migliaia [0] 44 4 3 5" xfId="19691" xr:uid="{5A62C70A-0758-4720-B797-A50E7A1D9DD1}"/>
    <cellStyle name="Migliaia [0] 44 4 4" xfId="35806" xr:uid="{E1715420-961C-4DC5-A24F-D3781D62E3C7}"/>
    <cellStyle name="Migliaia [0] 44 4 5" xfId="40922" xr:uid="{4AD85D5E-55BB-4DAE-A9AE-2DD42DE5630F}"/>
    <cellStyle name="Migliaia [0] 44 4 6" xfId="15989" xr:uid="{99AD75F0-5EF8-4455-9D26-FB6CBB6B9849}"/>
    <cellStyle name="Migliaia [0] 44 4 7" xfId="7802" xr:uid="{712F2E35-2F41-48E6-899A-64F1FF2B1531}"/>
    <cellStyle name="Migliaia [0] 44 5" xfId="4734" xr:uid="{27B32F46-751F-4DDB-B9C0-23C00BD74279}"/>
    <cellStyle name="Migliaia [0] 44 5 2" xfId="32921" xr:uid="{AF183842-C2DA-4D22-84C6-4F929115EBEF}"/>
    <cellStyle name="Migliaia [0] 44 5 2 2" xfId="38272" xr:uid="{D60EB3FE-1AA5-4C66-92F1-5A7C9AE3AD5C}"/>
    <cellStyle name="Migliaia [0] 44 5 2 3" xfId="43574" xr:uid="{EAD65C27-5D91-43A4-A114-9E6114CC8818}"/>
    <cellStyle name="Migliaia [0] 44 5 3" xfId="35807" xr:uid="{AA55369F-AA19-44CD-A51C-80857F1E4E14}"/>
    <cellStyle name="Migliaia [0] 44 5 4" xfId="40923" xr:uid="{62AAF898-CC3C-4E3A-99B3-7114D1499A20}"/>
    <cellStyle name="Migliaia [0] 44 5 5" xfId="17116" xr:uid="{87FEA2D5-9DD9-498F-98DA-DCD603AB7CD9}"/>
    <cellStyle name="Migliaia [0] 44 6" xfId="5978" xr:uid="{A93D00CD-7F32-445D-82E0-D4E4A755EB5E}"/>
    <cellStyle name="Migliaia [0] 44 6 2" xfId="38268" xr:uid="{1175F3DA-E31A-40BF-B188-A7B676E3E1D2}"/>
    <cellStyle name="Migliaia [0] 44 6 3" xfId="43570" xr:uid="{79E73F29-E989-49C6-95E2-88AD9AA990AF}"/>
    <cellStyle name="Migliaia [0] 44 6 4" xfId="32917" xr:uid="{EA8CCFC0-1863-49B1-A65D-B886A66A0BB5}"/>
    <cellStyle name="Migliaia [0] 44 6 5" xfId="19687" xr:uid="{E40FCD49-F6D4-421D-972B-3C7DF737C72A}"/>
    <cellStyle name="Migliaia [0] 44 7" xfId="3008" xr:uid="{16EEF622-FDA7-44B6-86E0-CD52C5F4B29E}"/>
    <cellStyle name="Migliaia [0] 44 7 2" xfId="35803" xr:uid="{3B177FBF-D7A3-4EFF-A691-EE81EC9CBD4E}"/>
    <cellStyle name="Migliaia [0] 44 8" xfId="40919" xr:uid="{80AC8789-A48B-4DCA-9AC2-1229B78F73AA}"/>
    <cellStyle name="Migliaia [0] 44 9" xfId="7023" xr:uid="{EAC5A720-6A3A-454B-A6F5-521E198EC385}"/>
    <cellStyle name="Migliaia [0] 45" xfId="281" xr:uid="{00000000-0005-0000-0000-000071020000}"/>
    <cellStyle name="Migliaia [0] 45 2" xfId="1598" xr:uid="{00000000-0005-0000-0000-000072020000}"/>
    <cellStyle name="Migliaia [0] 45 2 2" xfId="1599" xr:uid="{00000000-0005-0000-0000-000073020000}"/>
    <cellStyle name="Migliaia [0] 45 2 2 2" xfId="4741" xr:uid="{2B9BC03F-5C64-42C3-8ADF-E3BF653F5333}"/>
    <cellStyle name="Migliaia [0] 45 2 2 2 2" xfId="21798" xr:uid="{2D56A70B-8A74-45CD-B001-5A7110019BA4}"/>
    <cellStyle name="Migliaia [0] 45 2 2 2 3" xfId="24491" xr:uid="{140F6428-8FAF-4DBD-A0DF-8C8E2AA43209}"/>
    <cellStyle name="Migliaia [0] 45 2 2 2 4" xfId="50826" xr:uid="{0013B58A-D42A-4A2E-B102-58695957A054}"/>
    <cellStyle name="Migliaia [0] 45 2 2 2 5" xfId="53842" xr:uid="{A69CF974-45AB-434D-9902-0B7D7B6AA594}"/>
    <cellStyle name="Migliaia [0] 45 2 2 2 6" xfId="11827" xr:uid="{B9DB7E2A-FCAF-4A3F-A3F1-BA0D1DEC847B}"/>
    <cellStyle name="Migliaia [0] 45 2 2 3" xfId="3015" xr:uid="{9D3DBA6E-1AB6-4ADF-880C-265C5DA5BADF}"/>
    <cellStyle name="Migliaia [0] 45 2 2 3 2" xfId="11134" xr:uid="{FD3D04AD-8EA8-4B2F-81E3-3CA33D3B84DC}"/>
    <cellStyle name="Migliaia [0] 45 2 2 4" xfId="10695" xr:uid="{B4E5CDF0-C991-44F6-A2E3-6DC394392B67}"/>
    <cellStyle name="Migliaia [0] 45 2 2 4 2" xfId="21330" xr:uid="{BE4260B5-A729-4C78-B1A4-2334A3F88FDB}"/>
    <cellStyle name="Migliaia [0] 45 2 2 4 3" xfId="47892" xr:uid="{021B8B97-1946-4A14-9962-7524FB58920F}"/>
    <cellStyle name="Migliaia [0] 45 2 2 4 4" xfId="50345" xr:uid="{46B1E715-B661-4C60-B7F6-001F34D95B40}"/>
    <cellStyle name="Migliaia [0] 45 2 2 4 5" xfId="53361" xr:uid="{38728123-12ED-4375-B29C-DE15AE1C073E}"/>
    <cellStyle name="Migliaia [0] 45 2 2 5" xfId="19694" xr:uid="{A2A76F90-BF03-400C-888E-8548ADB23AA8}"/>
    <cellStyle name="Migliaia [0] 45 2 2 6" xfId="24109" xr:uid="{CFA5DF51-D5A4-4330-94A5-1B5670EEB1AC}"/>
    <cellStyle name="Migliaia [0] 45 2 2 7" xfId="48859" xr:uid="{5981C7D5-CE40-4F85-A611-E4548B9D2C6D}"/>
    <cellStyle name="Migliaia [0] 45 2 2 8" xfId="49765" xr:uid="{FE1767C6-AC1F-4DC2-8AC1-121C686627E7}"/>
    <cellStyle name="Migliaia [0] 45 2 2 9" xfId="8465" xr:uid="{85191C78-40DA-416B-BCD2-1E4706806A41}"/>
    <cellStyle name="Migliaia [0] 45 2 3" xfId="4740" xr:uid="{3ED02E97-F2F6-426C-AE69-256D9843C76B}"/>
    <cellStyle name="Migliaia [0] 45 2 3 2" xfId="32923" xr:uid="{A84D593D-E5CC-4047-9665-D32CA5CDF8BA}"/>
    <cellStyle name="Migliaia [0] 45 2 3 2 2" xfId="38274" xr:uid="{EF74E3AE-E6EB-4B17-8C39-7D48EDE2A87C}"/>
    <cellStyle name="Migliaia [0] 45 2 3 2 3" xfId="43576" xr:uid="{2EC795A2-826F-4602-B34D-A079FB2DC40F}"/>
    <cellStyle name="Migliaia [0] 45 2 3 3" xfId="35809" xr:uid="{22A57C6E-8F98-4E90-94BB-C56BBA882AA8}"/>
    <cellStyle name="Migliaia [0] 45 2 3 4" xfId="40925" xr:uid="{9A65EBEA-5D93-4B4F-8A55-7490D9E1E67D}"/>
    <cellStyle name="Migliaia [0] 45 2 3 5" xfId="11828" xr:uid="{6D2FB569-96D4-41DD-B596-E3F377886099}"/>
    <cellStyle name="Migliaia [0] 45 2 4" xfId="5983" xr:uid="{11EACD2A-2469-41AD-87BB-68F5CA71A613}"/>
    <cellStyle name="Migliaia [0] 45 2 4 2" xfId="19693" xr:uid="{107779A3-2C05-4AF5-8FC2-7DA605478615}"/>
    <cellStyle name="Migliaia [0] 45 2 5" xfId="3014" xr:uid="{EC87042B-7706-4147-AE6D-DD2FBAA2983C}"/>
    <cellStyle name="Migliaia [0] 45 2 5 2" xfId="24108" xr:uid="{E28B7D47-0F63-4F45-B519-2EED61E5EC94}"/>
    <cellStyle name="Migliaia [0] 45 2 6" xfId="7275" xr:uid="{71F3167D-A1DB-47B0-9978-34380641BDA0}"/>
    <cellStyle name="Migliaia [0] 45 3" xfId="1600" xr:uid="{00000000-0005-0000-0000-000074020000}"/>
    <cellStyle name="Migliaia [0] 45 3 2" xfId="4742" xr:uid="{ECCAB311-E634-446F-90C5-B34133EB8BEA}"/>
    <cellStyle name="Migliaia [0] 45 3 2 2" xfId="18340" xr:uid="{3C5E57EF-7CAE-4A83-94F4-2C6E7E9CFC9B}"/>
    <cellStyle name="Migliaia [0] 45 3 2 2 2" xfId="21799" xr:uid="{5890E816-C3FA-416E-BFB9-CE9D720C192B}"/>
    <cellStyle name="Migliaia [0] 45 3 2 2 2 2" xfId="38275" xr:uid="{C482BE4A-DF50-42DF-9D2B-B20617505631}"/>
    <cellStyle name="Migliaia [0] 45 3 2 2 3" xfId="43577" xr:uid="{5E276F1C-0AC4-4FF0-9986-B55A34A42BFA}"/>
    <cellStyle name="Migliaia [0] 45 3 2 2 4" xfId="32924" xr:uid="{2AF519B1-190C-4750-BDCC-87C3746B6198}"/>
    <cellStyle name="Migliaia [0] 45 3 2 3" xfId="35810" xr:uid="{BCF1B91F-5CA3-42D9-AD93-3B77E2C464D3}"/>
    <cellStyle name="Migliaia [0] 45 3 2 4" xfId="40926" xr:uid="{1EC22EA9-82C2-44FF-9B24-C03C003066F3}"/>
    <cellStyle name="Migliaia [0] 45 3 2 5" xfId="48332" xr:uid="{7A2E7955-55A1-4EE9-A74A-8FC862BCAE95}"/>
    <cellStyle name="Migliaia [0] 45 3 2 6" xfId="50827" xr:uid="{F952EA85-C3C3-4D66-81EB-56866C09213F}"/>
    <cellStyle name="Migliaia [0] 45 3 2 7" xfId="53843" xr:uid="{755E8C99-7022-403F-B323-BB8B6CF42BA5}"/>
    <cellStyle name="Migliaia [0] 45 3 2 8" xfId="17616" xr:uid="{91787E10-696E-4586-BA52-E197C110A9D3}"/>
    <cellStyle name="Migliaia [0] 45 3 2 9" xfId="11829" xr:uid="{CAE08639-8A26-44D0-99C8-99428BEA498A}"/>
    <cellStyle name="Migliaia [0] 45 3 3" xfId="5984" xr:uid="{8B17E855-9881-45AF-9D2C-B28920935627}"/>
    <cellStyle name="Migliaia [0] 45 3 3 2" xfId="11548" xr:uid="{907FE471-89D2-46DE-BCDE-414DD4BBB426}"/>
    <cellStyle name="Migliaia [0] 45 3 4" xfId="3016" xr:uid="{65F986BA-FFDA-48F1-9934-EBBB713CA2C5}"/>
    <cellStyle name="Migliaia [0] 45 3 4 2" xfId="21331" xr:uid="{B7A7D1A5-EF85-424C-BF6F-BD2D316380E2}"/>
    <cellStyle name="Migliaia [0] 45 3 4 3" xfId="48169" xr:uid="{4ADC6A2D-541E-433A-9B5C-80394F90732E}"/>
    <cellStyle name="Migliaia [0] 45 3 4 4" xfId="50346" xr:uid="{360CC7A7-CBD6-4709-886B-A0FAF6C615F6}"/>
    <cellStyle name="Migliaia [0] 45 3 4 5" xfId="53362" xr:uid="{6BC4FE14-A74C-4577-BAF8-AE4C846C5663}"/>
    <cellStyle name="Migliaia [0] 45 3 4 6" xfId="10696" xr:uid="{FA109459-EAFA-4A33-A777-2401008416F6}"/>
    <cellStyle name="Migliaia [0] 45 3 5" xfId="19695" xr:uid="{6507D50D-EC3C-4233-8879-63F221AD3933}"/>
    <cellStyle name="Migliaia [0] 45 3 6" xfId="24110" xr:uid="{AB2A7CC3-7406-4F5B-807C-C29FB5D9AD7D}"/>
    <cellStyle name="Migliaia [0] 45 3 7" xfId="8223" xr:uid="{C5D7A1B1-5A26-40A1-AA59-CA5098CD0813}"/>
    <cellStyle name="Migliaia [0] 45 4" xfId="3017" xr:uid="{217A928D-6633-4DA2-BBB4-0F8F676D0367}"/>
    <cellStyle name="Migliaia [0] 45 4 2" xfId="4743" xr:uid="{6A155E66-6988-4B49-BAAC-F1C10BFCEB13}"/>
    <cellStyle name="Migliaia [0] 45 4 2 2" xfId="35108" xr:uid="{EFC286AD-B633-4806-8228-6AED1B52660C}"/>
    <cellStyle name="Migliaia [0] 45 4 2 2 2" xfId="40266" xr:uid="{2BE50E1C-BD4A-4B2B-B494-384D8AA76C71}"/>
    <cellStyle name="Migliaia [0] 45 4 2 2 3" xfId="45568" xr:uid="{0FD65C4B-0BC6-44F8-9BFA-F91C1A94661A}"/>
    <cellStyle name="Migliaia [0] 45 4 2 3" xfId="37615" xr:uid="{2415122A-B193-4D1C-BA04-19283995D18D}"/>
    <cellStyle name="Migliaia [0] 45 4 2 4" xfId="42917" xr:uid="{2379F62E-A8C3-4685-BB1F-865E510DEF40}"/>
    <cellStyle name="Migliaia [0] 45 4 2 5" xfId="17048" xr:uid="{7332C107-3C55-4A7A-A4EB-11974FC0CBC5}"/>
    <cellStyle name="Migliaia [0] 45 4 3" xfId="5985" xr:uid="{453D02FA-D640-434B-B9D2-E03C7E7D2FDC}"/>
    <cellStyle name="Migliaia [0] 45 4 3 2" xfId="38276" xr:uid="{BF8A3AFA-17AA-429A-B73F-F2BB70CA2A32}"/>
    <cellStyle name="Migliaia [0] 45 4 3 3" xfId="43578" xr:uid="{631EA9D0-E3E5-49DF-BEF7-C484F796D39E}"/>
    <cellStyle name="Migliaia [0] 45 4 3 4" xfId="32925" xr:uid="{1D940DA0-63C4-4A1D-92EB-095FB3A25B08}"/>
    <cellStyle name="Migliaia [0] 45 4 3 5" xfId="19696" xr:uid="{830E4EDD-C0A9-4F76-8CC9-CB16F6A4B8A4}"/>
    <cellStyle name="Migliaia [0] 45 4 4" xfId="35811" xr:uid="{01632FDF-974D-48BA-BBC0-6821E4611071}"/>
    <cellStyle name="Migliaia [0] 45 4 5" xfId="40927" xr:uid="{F59B541D-6BC6-492F-842B-240CFE3C7580}"/>
    <cellStyle name="Migliaia [0] 45 4 6" xfId="15990" xr:uid="{1206369D-967D-4455-87E5-C18DCFEE2326}"/>
    <cellStyle name="Migliaia [0] 45 4 7" xfId="7803" xr:uid="{E10556C6-9875-44B1-8A75-D422B412B84A}"/>
    <cellStyle name="Migliaia [0] 45 5" xfId="4739" xr:uid="{942CF0F0-8629-4A2C-9782-6A35286B5348}"/>
    <cellStyle name="Migliaia [0] 45 5 2" xfId="32926" xr:uid="{68A48C44-4102-4204-A794-13764B962C90}"/>
    <cellStyle name="Migliaia [0] 45 5 2 2" xfId="38277" xr:uid="{CE701619-F75F-4CDC-8EE6-E73BCB1D41BF}"/>
    <cellStyle name="Migliaia [0] 45 5 2 3" xfId="43579" xr:uid="{53B1C85B-54BA-4BC2-9AA3-04E215D9ED5B}"/>
    <cellStyle name="Migliaia [0] 45 5 3" xfId="35812" xr:uid="{44BCC316-4535-416F-91E8-F4D548D226B7}"/>
    <cellStyle name="Migliaia [0] 45 5 4" xfId="40928" xr:uid="{98C86CD8-C65C-4538-8A44-305204AE87A6}"/>
    <cellStyle name="Migliaia [0] 45 5 5" xfId="17117" xr:uid="{0BFBA2DC-B454-4E28-9006-723D9D812DCB}"/>
    <cellStyle name="Migliaia [0] 45 6" xfId="5982" xr:uid="{B906DD77-E567-4C94-8606-463CAB5B59EF}"/>
    <cellStyle name="Migliaia [0] 45 6 2" xfId="38273" xr:uid="{C7490662-E49C-4062-961D-89C40513F41D}"/>
    <cellStyle name="Migliaia [0] 45 6 3" xfId="43575" xr:uid="{33EEA89E-D919-4F2C-84D1-D150CD14767C}"/>
    <cellStyle name="Migliaia [0] 45 6 4" xfId="32922" xr:uid="{188806AE-D9DB-4FF5-9B57-DF280EB68862}"/>
    <cellStyle name="Migliaia [0] 45 6 5" xfId="19692" xr:uid="{B210EFBE-3219-4E6C-A73C-62D11CCDA3DD}"/>
    <cellStyle name="Migliaia [0] 45 7" xfId="3013" xr:uid="{7AB7EE48-3AC1-4058-A25D-CACB64A61283}"/>
    <cellStyle name="Migliaia [0] 45 7 2" xfId="35808" xr:uid="{35732365-5D81-4EAD-8E6C-7E70412E75E2}"/>
    <cellStyle name="Migliaia [0] 45 8" xfId="40924" xr:uid="{32353ED7-13D5-444D-98C7-355DB518F8E7}"/>
    <cellStyle name="Migliaia [0] 45 9" xfId="7024" xr:uid="{8F0144FC-3303-43F0-85D6-E4DCFF3263F1}"/>
    <cellStyle name="Migliaia [0] 46" xfId="282" xr:uid="{00000000-0005-0000-0000-000075020000}"/>
    <cellStyle name="Migliaia [0] 46 2" xfId="1601" xr:uid="{00000000-0005-0000-0000-000076020000}"/>
    <cellStyle name="Migliaia [0] 46 2 2" xfId="1602" xr:uid="{00000000-0005-0000-0000-000077020000}"/>
    <cellStyle name="Migliaia [0] 46 2 2 2" xfId="4746" xr:uid="{2DE913F7-AEAA-4682-9239-6B1CC7DC555B}"/>
    <cellStyle name="Migliaia [0] 46 2 2 2 2" xfId="21800" xr:uid="{950456F6-209F-4201-BA32-3CB808D58CD6}"/>
    <cellStyle name="Migliaia [0] 46 2 2 2 3" xfId="47075" xr:uid="{C104287A-3486-42C6-8974-E25AAF7739E8}"/>
    <cellStyle name="Migliaia [0] 46 2 2 2 4" xfId="50828" xr:uid="{6B493D91-A3BF-4EA7-B9D1-63BEF4F24235}"/>
    <cellStyle name="Migliaia [0] 46 2 2 2 5" xfId="53844" xr:uid="{F0EF7ED5-8978-4478-9B80-057572378AC1}"/>
    <cellStyle name="Migliaia [0] 46 2 2 2 6" xfId="11830" xr:uid="{7902FB60-1BE5-44A8-A899-427DCE9C519D}"/>
    <cellStyle name="Migliaia [0] 46 2 2 3" xfId="3020" xr:uid="{EDB0151E-E63E-4166-A4AC-50D7308FDC18}"/>
    <cellStyle name="Migliaia [0] 46 2 2 3 2" xfId="12334" xr:uid="{5A6E3BB4-B1B6-4FD0-890E-A9A81B010CF2}"/>
    <cellStyle name="Migliaia [0] 46 2 2 4" xfId="10697" xr:uid="{CCE104E3-E52E-4E54-A686-5DFABE49ED6F}"/>
    <cellStyle name="Migliaia [0] 46 2 2 4 2" xfId="21332" xr:uid="{5E195B55-F4C2-4EFA-9BE2-13AC7E3DEAFA}"/>
    <cellStyle name="Migliaia [0] 46 2 2 4 3" xfId="46185" xr:uid="{7A394AF8-4599-4533-8A17-675E8327960C}"/>
    <cellStyle name="Migliaia [0] 46 2 2 4 4" xfId="50347" xr:uid="{2FC5D08C-75FF-4D08-832C-5226A17C3F1B}"/>
    <cellStyle name="Migliaia [0] 46 2 2 4 5" xfId="53363" xr:uid="{A643BAA8-E71D-4414-BDC8-F49D11B0D943}"/>
    <cellStyle name="Migliaia [0] 46 2 2 5" xfId="19699" xr:uid="{052E26F9-7722-4498-A741-41E8ADD2991A}"/>
    <cellStyle name="Migliaia [0] 46 2 2 6" xfId="24112" xr:uid="{422012EA-B3EF-4875-BCDE-DFEB9ECF48F4}"/>
    <cellStyle name="Migliaia [0] 46 2 2 7" xfId="48860" xr:uid="{D857305C-4C51-4C32-8B66-CF08CA446C8F}"/>
    <cellStyle name="Migliaia [0] 46 2 2 8" xfId="49766" xr:uid="{F6989DBB-3025-40C1-B2A4-52748D045AF9}"/>
    <cellStyle name="Migliaia [0] 46 2 2 9" xfId="8466" xr:uid="{63ED0FC4-2BA7-4E53-AAA3-15DDA17B12A1}"/>
    <cellStyle name="Migliaia [0] 46 2 3" xfId="4745" xr:uid="{448BABE9-8069-4D39-8ED6-6557A147D58C}"/>
    <cellStyle name="Migliaia [0] 46 2 3 2" xfId="32928" xr:uid="{7174A90C-6718-4175-B900-2C09750EE302}"/>
    <cellStyle name="Migliaia [0] 46 2 3 2 2" xfId="38279" xr:uid="{ABB2BA3B-89C4-4D07-916B-BE45719108B8}"/>
    <cellStyle name="Migliaia [0] 46 2 3 2 3" xfId="43581" xr:uid="{14E04CA1-B791-4A86-B8D7-467BC05555BD}"/>
    <cellStyle name="Migliaia [0] 46 2 3 3" xfId="35814" xr:uid="{0E24E25A-686C-4DA0-A748-FECCC3DCCA13}"/>
    <cellStyle name="Migliaia [0] 46 2 3 4" xfId="40930" xr:uid="{69956F6D-E2B2-4A96-A7D9-FD8879115771}"/>
    <cellStyle name="Migliaia [0] 46 2 3 5" xfId="11831" xr:uid="{B8FA5BC9-6F65-4A48-BBF1-73B620AEBFE2}"/>
    <cellStyle name="Migliaia [0] 46 2 4" xfId="5987" xr:uid="{F06252DA-9D41-4DF4-ABAA-F28FE002D131}"/>
    <cellStyle name="Migliaia [0] 46 2 4 2" xfId="19698" xr:uid="{2316AB16-5DF1-4484-A7CE-8969BA77C3CB}"/>
    <cellStyle name="Migliaia [0] 46 2 5" xfId="3019" xr:uid="{8B3711D1-AB3C-4313-96B9-4714E95D6B03}"/>
    <cellStyle name="Migliaia [0] 46 2 5 2" xfId="24111" xr:uid="{9A717720-88CD-4B69-AF77-2ED3AB5B1F7C}"/>
    <cellStyle name="Migliaia [0] 46 2 6" xfId="7276" xr:uid="{55120FA3-900D-4001-92EC-316350FAC775}"/>
    <cellStyle name="Migliaia [0] 46 3" xfId="1603" xr:uid="{00000000-0005-0000-0000-000078020000}"/>
    <cellStyle name="Migliaia [0] 46 3 2" xfId="4747" xr:uid="{F0413EF7-58ED-4C4C-9992-554D6003141B}"/>
    <cellStyle name="Migliaia [0] 46 3 2 2" xfId="18341" xr:uid="{BE424C54-394D-4CB3-B7BA-63374F7CAD46}"/>
    <cellStyle name="Migliaia [0] 46 3 2 2 2" xfId="21801" xr:uid="{32E24ACA-649B-4582-90FD-D92FF64C8305}"/>
    <cellStyle name="Migliaia [0] 46 3 2 2 2 2" xfId="38280" xr:uid="{6CFE6F6C-217D-4970-874E-4866E93A9921}"/>
    <cellStyle name="Migliaia [0] 46 3 2 2 3" xfId="43582" xr:uid="{4BAE36E0-FDEF-4D47-8EAE-5AC9A15A7F1B}"/>
    <cellStyle name="Migliaia [0] 46 3 2 2 4" xfId="32929" xr:uid="{5B1909AF-B93C-4EFB-A5B4-A4D2D77D98B9}"/>
    <cellStyle name="Migliaia [0] 46 3 2 3" xfId="35815" xr:uid="{31C3A865-2AB9-4027-A912-C76881D82824}"/>
    <cellStyle name="Migliaia [0] 46 3 2 4" xfId="40931" xr:uid="{6D6CDC7B-4350-4BE9-A476-853CF484F25B}"/>
    <cellStyle name="Migliaia [0] 46 3 2 5" xfId="46294" xr:uid="{84AC7EB4-48D2-4A96-B76E-C35F303A7663}"/>
    <cellStyle name="Migliaia [0] 46 3 2 6" xfId="50829" xr:uid="{F47A03C5-F55A-41CF-9820-6A891517C37F}"/>
    <cellStyle name="Migliaia [0] 46 3 2 7" xfId="53845" xr:uid="{0DD1174B-1972-4564-9FB7-9C1C7A4798FF}"/>
    <cellStyle name="Migliaia [0] 46 3 2 8" xfId="17617" xr:uid="{D3BBEB2E-3AAF-4E97-B18A-70C488180850}"/>
    <cellStyle name="Migliaia [0] 46 3 2 9" xfId="11832" xr:uid="{A3CE3B0B-83D1-4615-A872-D494FCD8F704}"/>
    <cellStyle name="Migliaia [0] 46 3 3" xfId="5988" xr:uid="{6EF2ABA0-ADC2-4889-9CFA-164F38011A96}"/>
    <cellStyle name="Migliaia [0] 46 3 3 2" xfId="11549" xr:uid="{2DCB5EC0-CCBB-4927-995B-30A930A4FB36}"/>
    <cellStyle name="Migliaia [0] 46 3 4" xfId="3021" xr:uid="{312F8264-ADD4-4B85-B962-D8ABF23DE534}"/>
    <cellStyle name="Migliaia [0] 46 3 4 2" xfId="21333" xr:uid="{64474F7C-0101-4195-9FF3-4F256633A7AC}"/>
    <cellStyle name="Migliaia [0] 46 3 4 3" xfId="24255" xr:uid="{FC0A27F8-A487-4D67-9397-AF2CA29A2D42}"/>
    <cellStyle name="Migliaia [0] 46 3 4 4" xfId="50348" xr:uid="{3CC12EA4-403F-4C4D-A93C-CF23D684882A}"/>
    <cellStyle name="Migliaia [0] 46 3 4 5" xfId="53364" xr:uid="{98BD828C-C361-4D93-9DFF-84367A10289B}"/>
    <cellStyle name="Migliaia [0] 46 3 4 6" xfId="10698" xr:uid="{5F36EE52-9604-4EBD-A558-7CA3F732E847}"/>
    <cellStyle name="Migliaia [0] 46 3 5" xfId="19700" xr:uid="{8D163090-0EFB-49E7-90D7-E403901B1618}"/>
    <cellStyle name="Migliaia [0] 46 3 6" xfId="24113" xr:uid="{64FAEA8F-A529-42FE-9852-27556313A67D}"/>
    <cellStyle name="Migliaia [0] 46 3 7" xfId="8224" xr:uid="{940AF0C0-4BFB-4A22-8CA9-80856633B54D}"/>
    <cellStyle name="Migliaia [0] 46 4" xfId="3022" xr:uid="{D286E590-F3DA-4F1C-A09E-E5D015321844}"/>
    <cellStyle name="Migliaia [0] 46 4 2" xfId="4748" xr:uid="{878AC833-CE81-49DD-883A-8896BE8C6946}"/>
    <cellStyle name="Migliaia [0] 46 4 2 2" xfId="35109" xr:uid="{843D840C-23C2-47F4-BADF-00F7560A0C0F}"/>
    <cellStyle name="Migliaia [0] 46 4 2 2 2" xfId="40267" xr:uid="{015679A3-28CB-4318-A06A-46BC3AA89E2E}"/>
    <cellStyle name="Migliaia [0] 46 4 2 2 3" xfId="45569" xr:uid="{1257A430-3F94-4D80-A9F3-8F7248126356}"/>
    <cellStyle name="Migliaia [0] 46 4 2 3" xfId="37616" xr:uid="{AA1E11B8-433F-42DA-8291-78510D2069C4}"/>
    <cellStyle name="Migliaia [0] 46 4 2 4" xfId="42918" xr:uid="{54647D5C-05F3-4953-8EE5-6D6767844782}"/>
    <cellStyle name="Migliaia [0] 46 4 2 5" xfId="17049" xr:uid="{6DD45C71-B3C3-4D19-A5AD-54CE6D78B80B}"/>
    <cellStyle name="Migliaia [0] 46 4 3" xfId="5989" xr:uid="{2AB91E66-E5FC-4468-8A39-D2747548EC6F}"/>
    <cellStyle name="Migliaia [0] 46 4 3 2" xfId="38281" xr:uid="{2ECAC67F-BFA7-4CB8-BABE-05C5B3494651}"/>
    <cellStyle name="Migliaia [0] 46 4 3 3" xfId="43583" xr:uid="{1EAEAA9E-2BA6-47FA-8FA0-4E7FB019E8E2}"/>
    <cellStyle name="Migliaia [0] 46 4 3 4" xfId="32930" xr:uid="{AD39EF85-F20A-4BAF-A901-C35C33F4E3A6}"/>
    <cellStyle name="Migliaia [0] 46 4 3 5" xfId="19701" xr:uid="{EAAEA484-272A-4E8E-AD8A-2B90789C41DF}"/>
    <cellStyle name="Migliaia [0] 46 4 4" xfId="35816" xr:uid="{5E5FD804-941C-404F-9F87-1D36BF57C171}"/>
    <cellStyle name="Migliaia [0] 46 4 5" xfId="40932" xr:uid="{AD147D3A-A8D2-408D-A69C-EEE70E173C23}"/>
    <cellStyle name="Migliaia [0] 46 4 6" xfId="15991" xr:uid="{7A36F089-7402-493C-B8D9-6AC4F5211501}"/>
    <cellStyle name="Migliaia [0] 46 4 7" xfId="7804" xr:uid="{DC888CF4-0625-4E58-91DC-305B3EE2D10C}"/>
    <cellStyle name="Migliaia [0] 46 5" xfId="4744" xr:uid="{7117FE0C-FBA8-400F-A40A-C7D3817AA449}"/>
    <cellStyle name="Migliaia [0] 46 5 2" xfId="32931" xr:uid="{7AE9E2BA-93E0-461B-98EE-34E7ABC9990B}"/>
    <cellStyle name="Migliaia [0] 46 5 2 2" xfId="38282" xr:uid="{F52A3278-9E24-47A0-9005-33F60E8AF0BB}"/>
    <cellStyle name="Migliaia [0] 46 5 2 3" xfId="43584" xr:uid="{10243FBA-60DB-4AA0-A26B-4AC0C58D57F0}"/>
    <cellStyle name="Migliaia [0] 46 5 3" xfId="35817" xr:uid="{A3CEC44D-0E6A-4E8D-8C20-27866A57DCAD}"/>
    <cellStyle name="Migliaia [0] 46 5 4" xfId="40933" xr:uid="{3D866CED-2714-4443-B9A6-F2C25C179598}"/>
    <cellStyle name="Migliaia [0] 46 5 5" xfId="17118" xr:uid="{F492C81B-61E8-47A9-A88B-86118043331D}"/>
    <cellStyle name="Migliaia [0] 46 6" xfId="5986" xr:uid="{A3F47528-F144-49B8-AED4-31A61EBC8513}"/>
    <cellStyle name="Migliaia [0] 46 6 2" xfId="38278" xr:uid="{ECB16AEB-4BF2-46C9-BB1E-076C5ACA5565}"/>
    <cellStyle name="Migliaia [0] 46 6 3" xfId="43580" xr:uid="{7CDFD059-0FAF-4581-843C-BBCECA21E16F}"/>
    <cellStyle name="Migliaia [0] 46 6 4" xfId="32927" xr:uid="{7037D04D-B1E4-4536-ACC2-5113BAF13BEE}"/>
    <cellStyle name="Migliaia [0] 46 6 5" xfId="19697" xr:uid="{64646935-D912-4B71-BDC2-406AE34BDDE1}"/>
    <cellStyle name="Migliaia [0] 46 7" xfId="3018" xr:uid="{6FA81226-43D9-4F0A-BA5D-B4B3CB79A803}"/>
    <cellStyle name="Migliaia [0] 46 7 2" xfId="35813" xr:uid="{9F5030F5-7E2A-457B-9B3E-5E56BCFFED64}"/>
    <cellStyle name="Migliaia [0] 46 8" xfId="40929" xr:uid="{030A27B0-2CE0-4680-B107-3D6CE627EED8}"/>
    <cellStyle name="Migliaia [0] 46 9" xfId="7025" xr:uid="{4E863748-B625-4EAB-9A99-693937A32BB0}"/>
    <cellStyle name="Migliaia [0] 47" xfId="283" xr:uid="{00000000-0005-0000-0000-000079020000}"/>
    <cellStyle name="Migliaia [0] 47 2" xfId="1604" xr:uid="{00000000-0005-0000-0000-00007A020000}"/>
    <cellStyle name="Migliaia [0] 47 2 2" xfId="1605" xr:uid="{00000000-0005-0000-0000-00007B020000}"/>
    <cellStyle name="Migliaia [0] 47 2 2 2" xfId="4751" xr:uid="{E0EABA7C-02EF-4888-BC8E-4DAEA00F8F37}"/>
    <cellStyle name="Migliaia [0] 47 2 2 2 2" xfId="21802" xr:uid="{E4606869-8AEA-4840-A178-2D9AB7F4AA57}"/>
    <cellStyle name="Migliaia [0] 47 2 2 2 3" xfId="46295" xr:uid="{55086A5D-DAD5-4516-9AFF-D5774E62D9A5}"/>
    <cellStyle name="Migliaia [0] 47 2 2 2 4" xfId="50830" xr:uid="{D3B4DF58-26A3-4182-A7B0-3AE41CCE7A1A}"/>
    <cellStyle name="Migliaia [0] 47 2 2 2 5" xfId="53846" xr:uid="{DC67FBB1-B761-4D82-889F-0A7202DA9DBD}"/>
    <cellStyle name="Migliaia [0] 47 2 2 2 6" xfId="11833" xr:uid="{67D3FA8D-EA8F-4489-97F9-204EA6285AA6}"/>
    <cellStyle name="Migliaia [0] 47 2 2 3" xfId="3025" xr:uid="{4FDD2D7B-084B-462D-B7A3-B8CF1EE0FBEF}"/>
    <cellStyle name="Migliaia [0] 47 2 2 3 2" xfId="12333" xr:uid="{13B0E4D9-61B4-46B1-8F85-53655328F5C7}"/>
    <cellStyle name="Migliaia [0] 47 2 2 4" xfId="10699" xr:uid="{2CCDDD65-2B0F-4BAF-9244-BDEB02ED3379}"/>
    <cellStyle name="Migliaia [0] 47 2 2 4 2" xfId="21334" xr:uid="{063BDE89-4CF7-4F53-90BF-A06DA57BAF48}"/>
    <cellStyle name="Migliaia [0] 47 2 2 4 3" xfId="46186" xr:uid="{F0D04655-3E0C-454C-9ADD-9184B91F32D2}"/>
    <cellStyle name="Migliaia [0] 47 2 2 4 4" xfId="50349" xr:uid="{ED7B3409-4A70-4E60-987B-C91088ED4A55}"/>
    <cellStyle name="Migliaia [0] 47 2 2 4 5" xfId="53365" xr:uid="{9E0D83ED-B7CF-4C2B-934E-3C4CE54C1A97}"/>
    <cellStyle name="Migliaia [0] 47 2 2 5" xfId="19704" xr:uid="{F868A2E1-2538-472C-96BB-E2C6B0FF98B0}"/>
    <cellStyle name="Migliaia [0] 47 2 2 6" xfId="24115" xr:uid="{A0986E6E-1A44-4C06-8F2E-275725DA21C2}"/>
    <cellStyle name="Migliaia [0] 47 2 2 7" xfId="48861" xr:uid="{DFFBC16F-AB28-473A-832E-6DBF0A7FBB27}"/>
    <cellStyle name="Migliaia [0] 47 2 2 8" xfId="49767" xr:uid="{51B69729-53C5-442C-A0C9-FC7D7BC27441}"/>
    <cellStyle name="Migliaia [0] 47 2 2 9" xfId="8467" xr:uid="{2DB34706-F6EF-4E06-8109-7379A580CA60}"/>
    <cellStyle name="Migliaia [0] 47 2 3" xfId="4750" xr:uid="{AE0A290A-BF37-4B09-A0A6-25FC4791A790}"/>
    <cellStyle name="Migliaia [0] 47 2 3 2" xfId="32933" xr:uid="{D4FD382E-D084-4BC7-9907-DFE73A603D0D}"/>
    <cellStyle name="Migliaia [0] 47 2 3 2 2" xfId="38284" xr:uid="{BCF1D008-C079-4178-A82C-91CF27CA0234}"/>
    <cellStyle name="Migliaia [0] 47 2 3 2 3" xfId="43586" xr:uid="{D1400782-9AF0-4BBA-A744-398349641A89}"/>
    <cellStyle name="Migliaia [0] 47 2 3 3" xfId="35819" xr:uid="{3944C02D-04DE-47A7-B397-0CC5E6CC27A4}"/>
    <cellStyle name="Migliaia [0] 47 2 3 4" xfId="40935" xr:uid="{F74C4ADB-E741-4CA5-B03F-1433D8E62599}"/>
    <cellStyle name="Migliaia [0] 47 2 3 5" xfId="11834" xr:uid="{FEE8F5F6-0B01-4560-9EAC-0269FCDEFB91}"/>
    <cellStyle name="Migliaia [0] 47 2 4" xfId="5991" xr:uid="{1C845458-BB1C-449A-87AC-17DCF1B3390D}"/>
    <cellStyle name="Migliaia [0] 47 2 4 2" xfId="19703" xr:uid="{F60B0D93-60BE-4C77-B02F-6E981415FA60}"/>
    <cellStyle name="Migliaia [0] 47 2 5" xfId="3024" xr:uid="{4B03B115-80AF-4B0F-BCC1-4FFB4C5097D2}"/>
    <cellStyle name="Migliaia [0] 47 2 5 2" xfId="24114" xr:uid="{F04FDFAE-AA61-4C00-B385-819A331A2233}"/>
    <cellStyle name="Migliaia [0] 47 2 6" xfId="7277" xr:uid="{5B685C7A-A078-4C49-A8B0-AE132FB17216}"/>
    <cellStyle name="Migliaia [0] 47 3" xfId="1606" xr:uid="{00000000-0005-0000-0000-00007C020000}"/>
    <cellStyle name="Migliaia [0] 47 3 2" xfId="4752" xr:uid="{07271A6C-2904-4FDA-9172-6A0D74B425DF}"/>
    <cellStyle name="Migliaia [0] 47 3 2 2" xfId="18342" xr:uid="{277385D5-6D33-4656-BFCF-77A31F0AB7FE}"/>
    <cellStyle name="Migliaia [0] 47 3 2 2 2" xfId="21803" xr:uid="{83BAE203-0D38-4CDF-98A4-ABDB12170461}"/>
    <cellStyle name="Migliaia [0] 47 3 2 2 2 2" xfId="38285" xr:uid="{37F1D23A-5180-4AB2-8508-76504C47DE06}"/>
    <cellStyle name="Migliaia [0] 47 3 2 2 3" xfId="43587" xr:uid="{71E6CD1D-3C52-4928-91F5-7C301E323C8B}"/>
    <cellStyle name="Migliaia [0] 47 3 2 2 4" xfId="32934" xr:uid="{3D2236AF-8011-483A-9ACA-CF984538CE25}"/>
    <cellStyle name="Migliaia [0] 47 3 2 3" xfId="35820" xr:uid="{9A57E6E5-EE93-4BB0-9340-1B1A5A5AEC7A}"/>
    <cellStyle name="Migliaia [0] 47 3 2 4" xfId="40936" xr:uid="{B58E1BCA-B7C8-4883-9031-BCA2721B9BCA}"/>
    <cellStyle name="Migliaia [0] 47 3 2 5" xfId="34235" xr:uid="{B91BE884-84D9-41FC-9A7A-EE7E9C6183B6}"/>
    <cellStyle name="Migliaia [0] 47 3 2 6" xfId="50831" xr:uid="{B2F4B068-D4BE-4369-ACC8-E4D61D5A843A}"/>
    <cellStyle name="Migliaia [0] 47 3 2 7" xfId="53847" xr:uid="{2BEA65D6-3B08-4BB6-B0DA-7DE254B4D473}"/>
    <cellStyle name="Migliaia [0] 47 3 2 8" xfId="17618" xr:uid="{595C36F9-1851-4FDD-8438-8591B9040827}"/>
    <cellStyle name="Migliaia [0] 47 3 2 9" xfId="11835" xr:uid="{03768987-860A-49D7-95C0-C18A11C67854}"/>
    <cellStyle name="Migliaia [0] 47 3 3" xfId="5992" xr:uid="{A67F32A4-5200-4BEE-8814-F20E0EE42923}"/>
    <cellStyle name="Migliaia [0] 47 3 3 2" xfId="12369" xr:uid="{E1A926ED-DD4F-46A9-8AD0-06A69C094C0A}"/>
    <cellStyle name="Migliaia [0] 47 3 4" xfId="3026" xr:uid="{34E74E3A-52C6-41D6-8532-D0B7C45654AF}"/>
    <cellStyle name="Migliaia [0] 47 3 4 2" xfId="21335" xr:uid="{B45A88AA-80DA-4E4D-B68E-6E84E4A46B35}"/>
    <cellStyle name="Migliaia [0] 47 3 4 3" xfId="24254" xr:uid="{0D6F0B2E-4334-4D2E-87E3-A94B452A8D7C}"/>
    <cellStyle name="Migliaia [0] 47 3 4 4" xfId="50350" xr:uid="{526422D6-EAB7-4362-BBCE-7B59577A6B9A}"/>
    <cellStyle name="Migliaia [0] 47 3 4 5" xfId="53366" xr:uid="{7F24C7A2-15A4-4CA4-BCC8-E245E5C73A53}"/>
    <cellStyle name="Migliaia [0] 47 3 4 6" xfId="10700" xr:uid="{FC0AC23E-9199-413D-83C5-967F79B092CA}"/>
    <cellStyle name="Migliaia [0] 47 3 5" xfId="19705" xr:uid="{C4F75632-3BEB-4543-A7BE-B78B077D7677}"/>
    <cellStyle name="Migliaia [0] 47 3 6" xfId="24116" xr:uid="{DF9C0470-0B86-46EB-A61D-FED3397BE694}"/>
    <cellStyle name="Migliaia [0] 47 3 7" xfId="8225" xr:uid="{587B5BA2-25AE-4148-8025-C36B0B3C7659}"/>
    <cellStyle name="Migliaia [0] 47 4" xfId="3027" xr:uid="{A08CCED2-52D7-4820-836D-AE8E49F843F0}"/>
    <cellStyle name="Migliaia [0] 47 4 2" xfId="4753" xr:uid="{D19F98DE-0F5E-494A-AA0D-177E05CF59ED}"/>
    <cellStyle name="Migliaia [0] 47 4 2 2" xfId="35110" xr:uid="{535F4BA4-B3E3-49D8-A2C8-B612872BC745}"/>
    <cellStyle name="Migliaia [0] 47 4 2 2 2" xfId="40268" xr:uid="{FF655D5E-DF65-4D79-A493-34FAD045DF20}"/>
    <cellStyle name="Migliaia [0] 47 4 2 2 3" xfId="45570" xr:uid="{00ADE128-4F9D-4A44-9432-A1DA7F38B856}"/>
    <cellStyle name="Migliaia [0] 47 4 2 3" xfId="37617" xr:uid="{DA9D2AE6-69F0-4F75-B411-4B8B9C843C3B}"/>
    <cellStyle name="Migliaia [0] 47 4 2 4" xfId="42919" xr:uid="{4B396A14-6100-4E13-8CA3-EA9BB7C6A150}"/>
    <cellStyle name="Migliaia [0] 47 4 2 5" xfId="17050" xr:uid="{0F36BE24-2AF2-467E-B2BB-BC0E973871B1}"/>
    <cellStyle name="Migliaia [0] 47 4 3" xfId="5993" xr:uid="{93BE1A5A-F66D-4D20-8E23-2D721F5F64A4}"/>
    <cellStyle name="Migliaia [0] 47 4 3 2" xfId="38286" xr:uid="{2C4C9F32-4DAD-4704-97FF-4063788C510D}"/>
    <cellStyle name="Migliaia [0] 47 4 3 3" xfId="43588" xr:uid="{E9C4FEC9-5E47-472A-84EA-573384C7AB8A}"/>
    <cellStyle name="Migliaia [0] 47 4 3 4" xfId="32935" xr:uid="{10D28B38-01B8-4473-ADAF-957A71079B67}"/>
    <cellStyle name="Migliaia [0] 47 4 3 5" xfId="19706" xr:uid="{0B011CB5-B9F8-4E2E-994C-9535F116C776}"/>
    <cellStyle name="Migliaia [0] 47 4 4" xfId="35821" xr:uid="{84FC81A5-3B9E-4A37-AB1C-BFC2BF049627}"/>
    <cellStyle name="Migliaia [0] 47 4 5" xfId="40937" xr:uid="{520CE4DB-8BF3-4FFA-BBD2-F6401A540BB9}"/>
    <cellStyle name="Migliaia [0] 47 4 6" xfId="15992" xr:uid="{2136CA10-BEC0-4EE9-9386-B78FCDA15567}"/>
    <cellStyle name="Migliaia [0] 47 4 7" xfId="7805" xr:uid="{426BAAFE-E32F-4F27-9178-B163C89C559E}"/>
    <cellStyle name="Migliaia [0] 47 5" xfId="4749" xr:uid="{8B81B289-0240-4755-9675-8E647636CDEC}"/>
    <cellStyle name="Migliaia [0] 47 5 2" xfId="32936" xr:uid="{B7E30A09-842F-41D8-AB1F-F6142569BCB5}"/>
    <cellStyle name="Migliaia [0] 47 5 2 2" xfId="38287" xr:uid="{320290BE-0A44-4A3A-BE29-8CF39580A820}"/>
    <cellStyle name="Migliaia [0] 47 5 2 3" xfId="43589" xr:uid="{A8F7D352-4641-4CFE-A840-31F2B89F2290}"/>
    <cellStyle name="Migliaia [0] 47 5 3" xfId="35822" xr:uid="{A4ABEBF3-ADB0-4F0D-B381-B6364A5BD2BE}"/>
    <cellStyle name="Migliaia [0] 47 5 4" xfId="40938" xr:uid="{EF569A19-D76B-47CE-99FC-64A48D4FCF8B}"/>
    <cellStyle name="Migliaia [0] 47 5 5" xfId="17119" xr:uid="{6D4925E1-6C3B-437D-9CDD-13BAD95238B9}"/>
    <cellStyle name="Migliaia [0] 47 6" xfId="5990" xr:uid="{6C6DCC2F-22CE-4209-B0C5-246C9D88910A}"/>
    <cellStyle name="Migliaia [0] 47 6 2" xfId="38283" xr:uid="{BEB997AA-B760-47FC-9E72-623793922C8D}"/>
    <cellStyle name="Migliaia [0] 47 6 3" xfId="43585" xr:uid="{626A069F-13E5-4A8F-85EA-95C83E6271BE}"/>
    <cellStyle name="Migliaia [0] 47 6 4" xfId="32932" xr:uid="{7484F79B-ABB5-4BBE-9822-57EC4D8D3C8F}"/>
    <cellStyle name="Migliaia [0] 47 6 5" xfId="19702" xr:uid="{3A85D87A-9A86-4A90-BB62-3A903AA6257F}"/>
    <cellStyle name="Migliaia [0] 47 7" xfId="3023" xr:uid="{FD9ED4E9-F80E-48AE-BE88-23719607ED4A}"/>
    <cellStyle name="Migliaia [0] 47 7 2" xfId="35818" xr:uid="{94188BB8-80A3-475A-915E-EFE5C14CCA77}"/>
    <cellStyle name="Migliaia [0] 47 8" xfId="40934" xr:uid="{5A480AA8-EC4A-48FC-AD94-C514F1B9FBE7}"/>
    <cellStyle name="Migliaia [0] 47 9" xfId="7026" xr:uid="{9ABDBAF9-E823-4AF8-9A69-790356533299}"/>
    <cellStyle name="Migliaia [0] 48" xfId="284" xr:uid="{00000000-0005-0000-0000-00007D020000}"/>
    <cellStyle name="Migliaia [0] 48 2" xfId="1607" xr:uid="{00000000-0005-0000-0000-00007E020000}"/>
    <cellStyle name="Migliaia [0] 48 2 2" xfId="1608" xr:uid="{00000000-0005-0000-0000-00007F020000}"/>
    <cellStyle name="Migliaia [0] 48 2 2 2" xfId="4756" xr:uid="{E21B50A1-F9B5-48B1-A582-797784CCAAFD}"/>
    <cellStyle name="Migliaia [0] 48 2 2 2 2" xfId="21804" xr:uid="{01622FDC-F77E-4E75-95F0-C0F071D624C3}"/>
    <cellStyle name="Migliaia [0] 48 2 2 2 3" xfId="47224" xr:uid="{BC3A6852-35CA-4093-BA98-E12A3B01A807}"/>
    <cellStyle name="Migliaia [0] 48 2 2 2 4" xfId="50832" xr:uid="{B3A57B15-2585-490B-BF89-FFBBDFF2672A}"/>
    <cellStyle name="Migliaia [0] 48 2 2 2 5" xfId="53848" xr:uid="{08B83819-2C11-4916-8F4F-2519B560FEBD}"/>
    <cellStyle name="Migliaia [0] 48 2 2 2 6" xfId="11836" xr:uid="{777B0711-A950-4B66-B634-905B764C561E}"/>
    <cellStyle name="Migliaia [0] 48 2 2 3" xfId="3030" xr:uid="{A26D150C-7E87-4D3D-842D-3630BDD2A056}"/>
    <cellStyle name="Migliaia [0] 48 2 2 3 2" xfId="12332" xr:uid="{73C2B447-E84B-4124-9F64-1F824CE950A4}"/>
    <cellStyle name="Migliaia [0] 48 2 2 4" xfId="10701" xr:uid="{633285FE-3BC6-4D4D-9952-B1BC529BCEE9}"/>
    <cellStyle name="Migliaia [0] 48 2 2 4 2" xfId="21336" xr:uid="{F17B1382-26FF-43DE-BBBB-3B2E894C5C14}"/>
    <cellStyle name="Migliaia [0] 48 2 2 4 3" xfId="46187" xr:uid="{3B231061-45C0-4104-8143-AC0E6EFB3019}"/>
    <cellStyle name="Migliaia [0] 48 2 2 4 4" xfId="50351" xr:uid="{EDDA3FCA-2032-49DC-A8FC-28B76A6555AB}"/>
    <cellStyle name="Migliaia [0] 48 2 2 4 5" xfId="53367" xr:uid="{2C16684C-61C8-4650-BA4F-63DB698FDA65}"/>
    <cellStyle name="Migliaia [0] 48 2 2 5" xfId="19709" xr:uid="{9E86563B-875D-4ED3-9916-1493443AE534}"/>
    <cellStyle name="Migliaia [0] 48 2 2 6" xfId="24118" xr:uid="{4DA785D7-1981-4AFE-A7BD-319AA27FEC7B}"/>
    <cellStyle name="Migliaia [0] 48 2 2 7" xfId="48862" xr:uid="{7613D38A-6F0B-4344-AF3E-9DED02EFD414}"/>
    <cellStyle name="Migliaia [0] 48 2 2 8" xfId="49768" xr:uid="{41FF7BB3-59C5-4B91-855A-DD21E200078F}"/>
    <cellStyle name="Migliaia [0] 48 2 2 9" xfId="8468" xr:uid="{CD6697D9-743D-4990-912F-78ECC6356F9D}"/>
    <cellStyle name="Migliaia [0] 48 2 3" xfId="4755" xr:uid="{5CB06C82-91CB-4FDA-9DDC-FD848F1B46B6}"/>
    <cellStyle name="Migliaia [0] 48 2 3 2" xfId="32938" xr:uid="{9EA2C392-9E1A-4177-A155-C615DF2CB158}"/>
    <cellStyle name="Migliaia [0] 48 2 3 2 2" xfId="38289" xr:uid="{EE3D88A1-5098-439F-8480-5E86104C1D9D}"/>
    <cellStyle name="Migliaia [0] 48 2 3 2 3" xfId="43591" xr:uid="{6C47A9B5-2836-44BF-A7A1-D323ECF0FE56}"/>
    <cellStyle name="Migliaia [0] 48 2 3 3" xfId="35824" xr:uid="{DECF9517-EA77-4E39-A6B1-0CF298CBBD74}"/>
    <cellStyle name="Migliaia [0] 48 2 3 4" xfId="40940" xr:uid="{11C9DFBA-8442-4B1A-B157-D1F4D08E31AB}"/>
    <cellStyle name="Migliaia [0] 48 2 3 5" xfId="11837" xr:uid="{AFE142CA-E39B-456A-8814-2CCB0B175317}"/>
    <cellStyle name="Migliaia [0] 48 2 4" xfId="5995" xr:uid="{4B6B8CD4-5446-4FCE-9AD8-142F75B1CD97}"/>
    <cellStyle name="Migliaia [0] 48 2 4 2" xfId="19708" xr:uid="{433F7843-5A3E-4A95-B31D-FFF0212BEA64}"/>
    <cellStyle name="Migliaia [0] 48 2 5" xfId="3029" xr:uid="{9FF1E0A9-37E8-4AA5-B4A3-AE6B0FF3F938}"/>
    <cellStyle name="Migliaia [0] 48 2 5 2" xfId="24117" xr:uid="{E92E7DBA-3FAA-4112-BB62-4ECB0ADD5D40}"/>
    <cellStyle name="Migliaia [0] 48 2 6" xfId="7278" xr:uid="{7B40957D-8E37-4686-B99D-DB9C22A6C767}"/>
    <cellStyle name="Migliaia [0] 48 3" xfId="1609" xr:uid="{00000000-0005-0000-0000-000080020000}"/>
    <cellStyle name="Migliaia [0] 48 3 2" xfId="4757" xr:uid="{1914A914-C0EE-4986-8718-FA74D963126D}"/>
    <cellStyle name="Migliaia [0] 48 3 2 2" xfId="18343" xr:uid="{8F09DB0F-1C26-4009-8404-9F6837555BFE}"/>
    <cellStyle name="Migliaia [0] 48 3 2 2 2" xfId="21805" xr:uid="{077BC00B-7742-4ED1-9CCF-2C16E655351C}"/>
    <cellStyle name="Migliaia [0] 48 3 2 2 2 2" xfId="38290" xr:uid="{D1A2B600-D113-4A3E-94AA-6AEB14E34193}"/>
    <cellStyle name="Migliaia [0] 48 3 2 2 3" xfId="43592" xr:uid="{8DF543D4-DCC3-454E-AE04-B4E4E184EEA6}"/>
    <cellStyle name="Migliaia [0] 48 3 2 2 4" xfId="32939" xr:uid="{3425F7A1-7478-452D-8226-6A79D0F5C119}"/>
    <cellStyle name="Migliaia [0] 48 3 2 3" xfId="35825" xr:uid="{3A19CFB5-6F8A-4EC4-8B39-C094295FBC2D}"/>
    <cellStyle name="Migliaia [0] 48 3 2 4" xfId="40941" xr:uid="{37CB3629-DE1E-4946-A26A-93AAD1D82877}"/>
    <cellStyle name="Migliaia [0] 48 3 2 5" xfId="47463" xr:uid="{96873867-CB1B-4C9C-95A7-FC7102E2F643}"/>
    <cellStyle name="Migliaia [0] 48 3 2 6" xfId="50833" xr:uid="{DE67409D-CEB5-4C18-9275-CA20B1757C22}"/>
    <cellStyle name="Migliaia [0] 48 3 2 7" xfId="53849" xr:uid="{063BF7E9-F4E8-43DD-BB82-F79AF7B216AC}"/>
    <cellStyle name="Migliaia [0] 48 3 2 8" xfId="17619" xr:uid="{1C78182B-6616-4F3B-A863-E175058C1CF8}"/>
    <cellStyle name="Migliaia [0] 48 3 2 9" xfId="11838" xr:uid="{D2322446-3011-41C8-8988-E5AAB2628CDB}"/>
    <cellStyle name="Migliaia [0] 48 3 3" xfId="5996" xr:uid="{F0BBCFDE-49A2-4572-B02A-DBEB5F6DA331}"/>
    <cellStyle name="Migliaia [0] 48 3 3 2" xfId="12368" xr:uid="{412BCD02-5A04-405D-A3AB-45C112675249}"/>
    <cellStyle name="Migliaia [0] 48 3 4" xfId="3031" xr:uid="{CD1CEB34-8707-44F7-BC78-50FCFB201E79}"/>
    <cellStyle name="Migliaia [0] 48 3 4 2" xfId="21337" xr:uid="{E8A44355-7382-412F-90E6-17C2870A2AF5}"/>
    <cellStyle name="Migliaia [0] 48 3 4 3" xfId="24249" xr:uid="{9F553CBC-FD30-4D4C-95DD-318CA9EC393D}"/>
    <cellStyle name="Migliaia [0] 48 3 4 4" xfId="50352" xr:uid="{9540EAE8-201D-47FE-8DCD-3674E24CAB15}"/>
    <cellStyle name="Migliaia [0] 48 3 4 5" xfId="53368" xr:uid="{98B7E790-3F2C-4C3D-BCB3-44830299AB8A}"/>
    <cellStyle name="Migliaia [0] 48 3 4 6" xfId="10702" xr:uid="{3607D645-C708-4D31-96DC-4CDF3863C9D3}"/>
    <cellStyle name="Migliaia [0] 48 3 5" xfId="19710" xr:uid="{348E6587-992E-47E2-A471-CA27347DBCB2}"/>
    <cellStyle name="Migliaia [0] 48 3 6" xfId="24119" xr:uid="{AD836B9A-92FD-46FF-8C6C-D300B7CFA680}"/>
    <cellStyle name="Migliaia [0] 48 3 7" xfId="8226" xr:uid="{F499C598-B192-4B8D-81DB-EFF7795F2519}"/>
    <cellStyle name="Migliaia [0] 48 4" xfId="3032" xr:uid="{CE6C6FAF-B33C-4A65-8476-6703F9EEC77B}"/>
    <cellStyle name="Migliaia [0] 48 4 2" xfId="4758" xr:uid="{98C9696E-ECF2-49D8-8456-FBCE29D3B987}"/>
    <cellStyle name="Migliaia [0] 48 4 2 2" xfId="35111" xr:uid="{D34334D1-5781-4208-A1D2-DD35A243F300}"/>
    <cellStyle name="Migliaia [0] 48 4 2 2 2" xfId="40269" xr:uid="{EB1BA2C7-CAE3-41CD-A1B7-3C47484EFE51}"/>
    <cellStyle name="Migliaia [0] 48 4 2 2 3" xfId="45571" xr:uid="{4F991A3C-8F7D-4D35-9AF7-128526C13F6D}"/>
    <cellStyle name="Migliaia [0] 48 4 2 3" xfId="37618" xr:uid="{B6112B02-7C16-41E9-B01F-CCA4AA38ECF7}"/>
    <cellStyle name="Migliaia [0] 48 4 2 4" xfId="42920" xr:uid="{FF607E09-D7B4-4245-8E43-D2B82AE2D907}"/>
    <cellStyle name="Migliaia [0] 48 4 2 5" xfId="17051" xr:uid="{1CF08C1D-CBBC-4A21-A570-88ABC3DEC338}"/>
    <cellStyle name="Migliaia [0] 48 4 3" xfId="5997" xr:uid="{AB248E03-66B4-4B48-9D97-44F855A2A998}"/>
    <cellStyle name="Migliaia [0] 48 4 3 2" xfId="38291" xr:uid="{FE87CEBB-6AB0-41BC-BDCB-08A3D2DEEA4F}"/>
    <cellStyle name="Migliaia [0] 48 4 3 3" xfId="43593" xr:uid="{82F82D75-FE8F-48E8-8ABA-1338DF94ADA5}"/>
    <cellStyle name="Migliaia [0] 48 4 3 4" xfId="32940" xr:uid="{E2D2AC82-B70C-4254-AC37-87A1B2DFF645}"/>
    <cellStyle name="Migliaia [0] 48 4 3 5" xfId="19711" xr:uid="{4B958A38-B39A-4346-AE3D-870459343D5B}"/>
    <cellStyle name="Migliaia [0] 48 4 4" xfId="35826" xr:uid="{3A57AFDB-00B1-4FAB-A960-92332960CCF6}"/>
    <cellStyle name="Migliaia [0] 48 4 5" xfId="40942" xr:uid="{6D1037EA-C160-4CB1-83F0-A906720FED88}"/>
    <cellStyle name="Migliaia [0] 48 4 6" xfId="15993" xr:uid="{48253694-110B-4C87-B97A-C36ACC405770}"/>
    <cellStyle name="Migliaia [0] 48 4 7" xfId="7806" xr:uid="{9416984B-34D6-46BD-AC91-337B3BFA3E11}"/>
    <cellStyle name="Migliaia [0] 48 5" xfId="4754" xr:uid="{D8484013-E32B-4F88-8865-0B2A9D89846B}"/>
    <cellStyle name="Migliaia [0] 48 5 2" xfId="32941" xr:uid="{2C94AB05-28A7-4816-B207-49F5EA4DC372}"/>
    <cellStyle name="Migliaia [0] 48 5 2 2" xfId="38292" xr:uid="{B83C0406-707F-4671-AC83-62E9398DBB1F}"/>
    <cellStyle name="Migliaia [0] 48 5 2 3" xfId="43594" xr:uid="{65AB34C4-4BCB-4941-BF0C-16E86B1333F8}"/>
    <cellStyle name="Migliaia [0] 48 5 3" xfId="35827" xr:uid="{E572C80C-4549-453B-AA3B-7916CEDDF2E7}"/>
    <cellStyle name="Migliaia [0] 48 5 4" xfId="40943" xr:uid="{47BB4FC4-1F05-43E7-9B9A-684D6D57F66D}"/>
    <cellStyle name="Migliaia [0] 48 5 5" xfId="17120" xr:uid="{8AD81686-2C14-47D7-8A1D-98C149127063}"/>
    <cellStyle name="Migliaia [0] 48 6" xfId="5994" xr:uid="{261F27A2-BAB4-441B-8BC6-8058A415DEF8}"/>
    <cellStyle name="Migliaia [0] 48 6 2" xfId="38288" xr:uid="{769CF2FD-1389-4FA4-BD2E-D76E6AD84067}"/>
    <cellStyle name="Migliaia [0] 48 6 3" xfId="43590" xr:uid="{1F0B945F-02CF-4B47-9D1D-FFE52985BEF1}"/>
    <cellStyle name="Migliaia [0] 48 6 4" xfId="32937" xr:uid="{A401A6CD-2C39-4A92-81F4-4E6F2DDD53A2}"/>
    <cellStyle name="Migliaia [0] 48 6 5" xfId="19707" xr:uid="{7293A28D-8F25-4588-96D3-F33BDC188E1B}"/>
    <cellStyle name="Migliaia [0] 48 7" xfId="3028" xr:uid="{3D3AB772-CF43-49D1-A55A-921BE16FE5F8}"/>
    <cellStyle name="Migliaia [0] 48 7 2" xfId="35823" xr:uid="{2E651DB2-5592-4A6C-899E-FC23D44E2DB0}"/>
    <cellStyle name="Migliaia [0] 48 8" xfId="40939" xr:uid="{F88AACEA-BFC9-4A42-8AB9-4A9DDBD5967E}"/>
    <cellStyle name="Migliaia [0] 48 9" xfId="7027" xr:uid="{05943033-2363-4ECC-950A-BF1FDC035C6F}"/>
    <cellStyle name="Migliaia [0] 49" xfId="285" xr:uid="{00000000-0005-0000-0000-000081020000}"/>
    <cellStyle name="Migliaia [0] 49 2" xfId="1610" xr:uid="{00000000-0005-0000-0000-000082020000}"/>
    <cellStyle name="Migliaia [0] 49 2 2" xfId="1611" xr:uid="{00000000-0005-0000-0000-000083020000}"/>
    <cellStyle name="Migliaia [0] 49 2 2 2" xfId="4761" xr:uid="{3C6003DF-869B-461D-8753-1ED04AB8B518}"/>
    <cellStyle name="Migliaia [0] 49 2 2 2 2" xfId="21806" xr:uid="{0E8B97E9-51B9-4DEB-A8CD-960E952BFB9A}"/>
    <cellStyle name="Migliaia [0] 49 2 2 2 3" xfId="47076" xr:uid="{4BBEAE48-DA2E-4436-90B9-12EFCC1E54CE}"/>
    <cellStyle name="Migliaia [0] 49 2 2 2 4" xfId="50834" xr:uid="{CF5969B9-62BE-4BA5-9F1D-DC96F0746E1D}"/>
    <cellStyle name="Migliaia [0] 49 2 2 2 5" xfId="53850" xr:uid="{27C62303-011D-4334-BEA0-46E7308E4816}"/>
    <cellStyle name="Migliaia [0] 49 2 2 2 6" xfId="11839" xr:uid="{1460657B-50DC-4F0E-B875-AFB4AA6B9AE5}"/>
    <cellStyle name="Migliaia [0] 49 2 2 3" xfId="3035" xr:uid="{32268093-270A-4804-95A9-BCFE2C33FA8E}"/>
    <cellStyle name="Migliaia [0] 49 2 2 3 2" xfId="12331" xr:uid="{25D689D3-E524-49BF-957F-AF35DCFB49A6}"/>
    <cellStyle name="Migliaia [0] 49 2 2 4" xfId="10703" xr:uid="{4A1D2308-A2D2-4DBE-9C9D-45728B4A13D7}"/>
    <cellStyle name="Migliaia [0] 49 2 2 4 2" xfId="21338" xr:uid="{43A68A1D-38B0-42A3-ABAB-B08462EAB1C4}"/>
    <cellStyle name="Migliaia [0] 49 2 2 4 3" xfId="46188" xr:uid="{CDF5B9A6-C5F0-4B35-9AA4-9DEABF36D3F4}"/>
    <cellStyle name="Migliaia [0] 49 2 2 4 4" xfId="50353" xr:uid="{EBF02B4E-FF1D-4B38-9E46-20CEFEBCB939}"/>
    <cellStyle name="Migliaia [0] 49 2 2 4 5" xfId="53369" xr:uid="{C89AC52C-65C6-4177-A4C4-22725FAA3148}"/>
    <cellStyle name="Migliaia [0] 49 2 2 5" xfId="19714" xr:uid="{38A78EF2-04E8-43A5-A53D-FBC5A622274E}"/>
    <cellStyle name="Migliaia [0] 49 2 2 6" xfId="24121" xr:uid="{F747737D-8640-4D48-8980-30897FA40FC0}"/>
    <cellStyle name="Migliaia [0] 49 2 2 7" xfId="48863" xr:uid="{7581B3AF-201F-4510-9BDF-7823C271E71D}"/>
    <cellStyle name="Migliaia [0] 49 2 2 8" xfId="49769" xr:uid="{419E84E7-2557-4BFC-B1E4-9D68B24219AC}"/>
    <cellStyle name="Migliaia [0] 49 2 2 9" xfId="8469" xr:uid="{EBEE8139-82E3-43E5-AAAF-5F62F5100835}"/>
    <cellStyle name="Migliaia [0] 49 2 3" xfId="4760" xr:uid="{BD7F406C-7365-4FE1-B0B4-4408BD27A330}"/>
    <cellStyle name="Migliaia [0] 49 2 3 2" xfId="32943" xr:uid="{D87A297F-BEE9-4BB8-8E3E-2EA90B60D602}"/>
    <cellStyle name="Migliaia [0] 49 2 3 2 2" xfId="38294" xr:uid="{1EACB18D-4240-49E3-9FFF-A63C450C1032}"/>
    <cellStyle name="Migliaia [0] 49 2 3 2 3" xfId="43596" xr:uid="{5AFF051F-A537-46AB-A7C3-0D9F6DFAD2CC}"/>
    <cellStyle name="Migliaia [0] 49 2 3 3" xfId="35829" xr:uid="{700AB9FF-6CBC-4A0B-9A47-083482A2CF41}"/>
    <cellStyle name="Migliaia [0] 49 2 3 4" xfId="40945" xr:uid="{22B56A8E-1F30-433D-9FA3-102D4EA0B50D}"/>
    <cellStyle name="Migliaia [0] 49 2 3 5" xfId="11840" xr:uid="{A74892E9-9D20-4AD0-B615-4EE8F4343372}"/>
    <cellStyle name="Migliaia [0] 49 2 4" xfId="5999" xr:uid="{EAEFD5DB-C7A2-41F1-B91F-CCFD2EDFF54E}"/>
    <cellStyle name="Migliaia [0] 49 2 4 2" xfId="19713" xr:uid="{1A682F2E-AF0C-4372-A3A0-9BE758B9CC6E}"/>
    <cellStyle name="Migliaia [0] 49 2 5" xfId="3034" xr:uid="{CED74A81-A9F8-48D5-B306-ABF2B2DF4910}"/>
    <cellStyle name="Migliaia [0] 49 2 5 2" xfId="24120" xr:uid="{FCF1640C-F5C6-4426-9A7C-0D44BD4E7A0D}"/>
    <cellStyle name="Migliaia [0] 49 2 6" xfId="7279" xr:uid="{6157381D-5BBF-4737-8367-B821725095BA}"/>
    <cellStyle name="Migliaia [0] 49 3" xfId="1612" xr:uid="{00000000-0005-0000-0000-000084020000}"/>
    <cellStyle name="Migliaia [0] 49 3 2" xfId="4762" xr:uid="{E5CD9F26-ED87-4977-A337-DECA20E1124C}"/>
    <cellStyle name="Migliaia [0] 49 3 2 2" xfId="18344" xr:uid="{60B6E4E6-6787-46B6-BDEE-413008AF03B3}"/>
    <cellStyle name="Migliaia [0] 49 3 2 2 2" xfId="21807" xr:uid="{63200302-D4F9-4C67-8800-390BFAEEC820}"/>
    <cellStyle name="Migliaia [0] 49 3 2 2 2 2" xfId="38295" xr:uid="{E01ACE7F-0500-4ECD-A78B-5E0E28550CD9}"/>
    <cellStyle name="Migliaia [0] 49 3 2 2 3" xfId="43597" xr:uid="{79F7A803-A92A-4BDC-AFF8-84932E3C12F1}"/>
    <cellStyle name="Migliaia [0] 49 3 2 2 4" xfId="32944" xr:uid="{79C12E11-FF61-46D6-8D0A-04437D1E3891}"/>
    <cellStyle name="Migliaia [0] 49 3 2 3" xfId="35830" xr:uid="{710C2E1A-FF62-4F7B-9ED9-8979E852C49B}"/>
    <cellStyle name="Migliaia [0] 49 3 2 4" xfId="40946" xr:uid="{BFEB96C2-68E3-4DC6-9920-0D22BBAFF4D6}"/>
    <cellStyle name="Migliaia [0] 49 3 2 5" xfId="25124" xr:uid="{E2C81EC4-CAD7-4CE1-A853-70D64AFFE1C6}"/>
    <cellStyle name="Migliaia [0] 49 3 2 6" xfId="50835" xr:uid="{576074B1-7AA0-4B7C-95CB-17680753918D}"/>
    <cellStyle name="Migliaia [0] 49 3 2 7" xfId="53851" xr:uid="{EF805141-7E2E-4114-9D42-0F896887EF66}"/>
    <cellStyle name="Migliaia [0] 49 3 2 8" xfId="17620" xr:uid="{FB3BC0F3-CC2C-42C4-9731-E2EE59B0FF62}"/>
    <cellStyle name="Migliaia [0] 49 3 2 9" xfId="11841" xr:uid="{13CBB7E6-2F1F-4088-B045-8E4E28649D60}"/>
    <cellStyle name="Migliaia [0] 49 3 3" xfId="6000" xr:uid="{09D198C6-D025-496F-86F7-2A708A4ECB65}"/>
    <cellStyle name="Migliaia [0] 49 3 3 2" xfId="11668" xr:uid="{786A6E3B-A2DA-43C3-93D3-5E5DAA9E3E2D}"/>
    <cellStyle name="Migliaia [0] 49 3 4" xfId="3036" xr:uid="{52D3F223-2A44-4E42-AC74-467957D02FEB}"/>
    <cellStyle name="Migliaia [0] 49 3 4 2" xfId="21339" xr:uid="{E4C1C186-4764-4A37-A1CA-E210C14D9DC5}"/>
    <cellStyle name="Migliaia [0] 49 3 4 3" xfId="47299" xr:uid="{E40DE796-CF7D-49A2-AC40-8AD61018DC94}"/>
    <cellStyle name="Migliaia [0] 49 3 4 4" xfId="50354" xr:uid="{E3BA1E0B-E48D-4D21-B45C-A0DBE0093BCC}"/>
    <cellStyle name="Migliaia [0] 49 3 4 5" xfId="53370" xr:uid="{CD277C26-63A3-44EE-8503-F06412475C5A}"/>
    <cellStyle name="Migliaia [0] 49 3 4 6" xfId="10704" xr:uid="{EC76BE63-AF4F-4D46-98BD-B03FD4B78541}"/>
    <cellStyle name="Migliaia [0] 49 3 5" xfId="19715" xr:uid="{784EBC13-3AF8-4DE8-9C37-EFDE2AABE13C}"/>
    <cellStyle name="Migliaia [0] 49 3 6" xfId="24122" xr:uid="{92C0A0DF-65D9-4180-9A32-F70660A91F13}"/>
    <cellStyle name="Migliaia [0] 49 3 7" xfId="8227" xr:uid="{781515DF-9275-461E-BDF7-2BBBC37FCF2F}"/>
    <cellStyle name="Migliaia [0] 49 4" xfId="3037" xr:uid="{D065ECA2-E2B6-446C-86B2-01B5FFA9DBB0}"/>
    <cellStyle name="Migliaia [0] 49 4 2" xfId="4763" xr:uid="{D1DA396D-20DC-44EC-80AA-45BEE6402603}"/>
    <cellStyle name="Migliaia [0] 49 4 2 2" xfId="35112" xr:uid="{B9B4BE60-40A2-4313-A33B-42071A90A144}"/>
    <cellStyle name="Migliaia [0] 49 4 2 2 2" xfId="40270" xr:uid="{860EA4BD-3CCF-4B21-99A9-EEC5A3BC6660}"/>
    <cellStyle name="Migliaia [0] 49 4 2 2 3" xfId="45572" xr:uid="{9F1336C2-2A57-42C6-9831-C4014D67CB65}"/>
    <cellStyle name="Migliaia [0] 49 4 2 3" xfId="37619" xr:uid="{426B2142-AF51-4E95-B29E-E3EDA03F45CA}"/>
    <cellStyle name="Migliaia [0] 49 4 2 4" xfId="42921" xr:uid="{41FDB389-AEAE-442F-9D8A-76342A1AA88B}"/>
    <cellStyle name="Migliaia [0] 49 4 2 5" xfId="17052" xr:uid="{C6376CE6-DFFD-42E0-92B2-5DC981554F13}"/>
    <cellStyle name="Migliaia [0] 49 4 3" xfId="6001" xr:uid="{0CE3157A-F034-4BFC-BA7A-5E0A8BFA7ECA}"/>
    <cellStyle name="Migliaia [0] 49 4 3 2" xfId="38296" xr:uid="{93F1FD0A-EE64-49EF-BE2A-D23DCE199FD5}"/>
    <cellStyle name="Migliaia [0] 49 4 3 3" xfId="43598" xr:uid="{0922AADB-6E62-494B-9C4A-E4EAAAC39DD0}"/>
    <cellStyle name="Migliaia [0] 49 4 3 4" xfId="32945" xr:uid="{52226C73-6788-4EEC-8186-337F51CB8553}"/>
    <cellStyle name="Migliaia [0] 49 4 3 5" xfId="19716" xr:uid="{C8E5254C-9947-4C01-86BD-E1C14FC36F66}"/>
    <cellStyle name="Migliaia [0] 49 4 4" xfId="35831" xr:uid="{B66110CE-EFE2-42FB-BA6F-08F2E2E863ED}"/>
    <cellStyle name="Migliaia [0] 49 4 5" xfId="40947" xr:uid="{5D7DB37A-CFB7-48BF-8BC8-435B26CFE809}"/>
    <cellStyle name="Migliaia [0] 49 4 6" xfId="15994" xr:uid="{67C43CA5-FEC1-4BAF-873D-370F3945E6E7}"/>
    <cellStyle name="Migliaia [0] 49 4 7" xfId="7807" xr:uid="{71A87C0C-0FFE-450D-AC58-55BB9B367078}"/>
    <cellStyle name="Migliaia [0] 49 5" xfId="4759" xr:uid="{39BA03DC-FEC9-44F1-AB6C-527FDA81A51D}"/>
    <cellStyle name="Migliaia [0] 49 5 2" xfId="32946" xr:uid="{442E87FD-DAF7-4D81-8DFF-93A4A3C1C334}"/>
    <cellStyle name="Migliaia [0] 49 5 2 2" xfId="38297" xr:uid="{DD013B76-DB0B-45E2-83F6-A0B44F948864}"/>
    <cellStyle name="Migliaia [0] 49 5 2 3" xfId="43599" xr:uid="{D2968864-CC84-4A65-8930-D9BE1C1397BC}"/>
    <cellStyle name="Migliaia [0] 49 5 3" xfId="35832" xr:uid="{B09E08E8-0C91-4F57-BFCD-723DD27FC047}"/>
    <cellStyle name="Migliaia [0] 49 5 4" xfId="40948" xr:uid="{E42C8F45-136B-41EE-A2A6-3E2F31417A69}"/>
    <cellStyle name="Migliaia [0] 49 5 5" xfId="17121" xr:uid="{0D899E94-AFC2-4ED7-A7F5-A220F1E206AF}"/>
    <cellStyle name="Migliaia [0] 49 6" xfId="5998" xr:uid="{B3E44F3A-CF40-4017-9D3A-7297D8BE74F0}"/>
    <cellStyle name="Migliaia [0] 49 6 2" xfId="38293" xr:uid="{75DA61BC-B2BE-40D5-9E87-8C8A1D2867F3}"/>
    <cellStyle name="Migliaia [0] 49 6 3" xfId="43595" xr:uid="{D3623E87-C0A1-40E2-9E9A-3DEA28DB7A89}"/>
    <cellStyle name="Migliaia [0] 49 6 4" xfId="32942" xr:uid="{13D81991-1567-4B5A-8E9A-67CCA9E19607}"/>
    <cellStyle name="Migliaia [0] 49 6 5" xfId="19712" xr:uid="{309B11B3-FB60-4F1F-BAF4-FF2C193E315B}"/>
    <cellStyle name="Migliaia [0] 49 7" xfId="3033" xr:uid="{9C199CD1-15E7-4FFD-BF5D-716F687F1BEA}"/>
    <cellStyle name="Migliaia [0] 49 7 2" xfId="35828" xr:uid="{913398C1-517E-4CC6-A349-2BEBE2082FA7}"/>
    <cellStyle name="Migliaia [0] 49 8" xfId="40944" xr:uid="{A340567A-C204-4C4B-ADBE-0510BD3214EE}"/>
    <cellStyle name="Migliaia [0] 49 9" xfId="7028" xr:uid="{79B9EC81-3129-4688-896D-DBF36087038C}"/>
    <cellStyle name="Migliaia [0] 5" xfId="286" xr:uid="{00000000-0005-0000-0000-000085020000}"/>
    <cellStyle name="Migliaia [0] 5 2" xfId="1613" xr:uid="{00000000-0005-0000-0000-000086020000}"/>
    <cellStyle name="Migliaia [0] 5 2 2" xfId="1614" xr:uid="{00000000-0005-0000-0000-000087020000}"/>
    <cellStyle name="Migliaia [0] 5 2 2 2" xfId="4766" xr:uid="{69ADC4E3-B026-4351-82BE-096B2247E0AB}"/>
    <cellStyle name="Migliaia [0] 5 2 2 2 2" xfId="21808" xr:uid="{52DD0017-4D5A-444D-9366-8F154300F4C9}"/>
    <cellStyle name="Migliaia [0] 5 2 2 2 3" xfId="47814" xr:uid="{D0CAC346-50A8-4996-92D8-94C2AEBF1A02}"/>
    <cellStyle name="Migliaia [0] 5 2 2 2 4" xfId="50836" xr:uid="{7FA93628-C93F-4867-98DB-3A9D59AFCCBA}"/>
    <cellStyle name="Migliaia [0] 5 2 2 2 5" xfId="53852" xr:uid="{47B785E5-2323-4CD1-914E-319889F12611}"/>
    <cellStyle name="Migliaia [0] 5 2 2 2 6" xfId="11842" xr:uid="{475C0BB6-6124-4420-BC0D-095D7DE232F1}"/>
    <cellStyle name="Migliaia [0] 5 2 2 3" xfId="3040" xr:uid="{AF19255E-C24E-4158-8FF4-C6C15647A130}"/>
    <cellStyle name="Migliaia [0] 5 2 2 3 2" xfId="12180" xr:uid="{A84B68C1-BBCB-42BF-80C7-DC0C24E7072F}"/>
    <cellStyle name="Migliaia [0] 5 2 2 4" xfId="10705" xr:uid="{FEAD2302-B8CA-427B-B75D-352F3123BA2A}"/>
    <cellStyle name="Migliaia [0] 5 2 2 4 2" xfId="21340" xr:uid="{EF06EF33-3D58-4062-BA66-05C716B0B9ED}"/>
    <cellStyle name="Migliaia [0] 5 2 2 4 3" xfId="46189" xr:uid="{8C26077E-820E-42D1-9A58-CD9644E55D7B}"/>
    <cellStyle name="Migliaia [0] 5 2 2 4 4" xfId="50355" xr:uid="{32F3C57A-5F7F-4898-9644-35BBD261E795}"/>
    <cellStyle name="Migliaia [0] 5 2 2 4 5" xfId="53371" xr:uid="{81BDCD45-FE3B-4B2E-8256-FE54147A3FD3}"/>
    <cellStyle name="Migliaia [0] 5 2 2 5" xfId="19719" xr:uid="{8D7213C3-7771-423D-8E01-79C8F3C66E0A}"/>
    <cellStyle name="Migliaia [0] 5 2 2 6" xfId="24124" xr:uid="{3C35AA7F-6DA9-495A-8B06-9841FD31A9CA}"/>
    <cellStyle name="Migliaia [0] 5 2 2 7" xfId="48864" xr:uid="{01BB1850-ADDA-40D6-94BD-3C56F9AAF851}"/>
    <cellStyle name="Migliaia [0] 5 2 2 8" xfId="49770" xr:uid="{698250D9-67BB-42FE-8C39-720A7C7ADB5E}"/>
    <cellStyle name="Migliaia [0] 5 2 2 9" xfId="8470" xr:uid="{2FAC42C4-CE27-4184-88C7-7A31F6BBE3A0}"/>
    <cellStyle name="Migliaia [0] 5 2 3" xfId="4765" xr:uid="{AAF02636-24C8-41CE-9119-236991F3296B}"/>
    <cellStyle name="Migliaia [0] 5 2 3 2" xfId="32948" xr:uid="{02542C5A-00EC-4982-A500-2E6AD90A6FDE}"/>
    <cellStyle name="Migliaia [0] 5 2 3 2 2" xfId="38299" xr:uid="{3E77CD6E-6647-4809-BCBB-2AF7FAF61816}"/>
    <cellStyle name="Migliaia [0] 5 2 3 2 3" xfId="43601" xr:uid="{00654E8A-55B7-422B-BCA7-608BB8E151B6}"/>
    <cellStyle name="Migliaia [0] 5 2 3 3" xfId="35834" xr:uid="{DD64048E-8F23-4CBB-BCB9-322C7C5C919B}"/>
    <cellStyle name="Migliaia [0] 5 2 3 4" xfId="40950" xr:uid="{F54980B5-CAD0-4797-9705-C2BD44C949F7}"/>
    <cellStyle name="Migliaia [0] 5 2 3 5" xfId="11843" xr:uid="{C4BD864D-8BF5-4761-B6AD-55F2114CCD54}"/>
    <cellStyle name="Migliaia [0] 5 2 4" xfId="6003" xr:uid="{81A99985-9F3C-476A-96FF-4A9D149E3EE1}"/>
    <cellStyle name="Migliaia [0] 5 2 4 2" xfId="19718" xr:uid="{D91835BD-A029-4CA5-B8EA-BB963F048840}"/>
    <cellStyle name="Migliaia [0] 5 2 5" xfId="3039" xr:uid="{65F3B956-7D7C-45D3-8CE2-1B6DF77BDE2D}"/>
    <cellStyle name="Migliaia [0] 5 2 5 2" xfId="24123" xr:uid="{14742864-96F2-4CD4-B955-59E41C67058E}"/>
    <cellStyle name="Migliaia [0] 5 2 6" xfId="7280" xr:uid="{92143004-90DF-4C5D-AD65-3562A5BA4224}"/>
    <cellStyle name="Migliaia [0] 5 3" xfId="1615" xr:uid="{00000000-0005-0000-0000-000088020000}"/>
    <cellStyle name="Migliaia [0] 5 3 2" xfId="4767" xr:uid="{EEA64456-ECD8-45E4-8A53-6E42394FDD0C}"/>
    <cellStyle name="Migliaia [0] 5 3 2 2" xfId="18345" xr:uid="{8C1BC772-A18F-4E26-A654-8DDE4A906D64}"/>
    <cellStyle name="Migliaia [0] 5 3 2 2 2" xfId="21809" xr:uid="{1FF9F8BB-B2B4-470F-A7C1-BF798B613FFC}"/>
    <cellStyle name="Migliaia [0] 5 3 2 2 2 2" xfId="38300" xr:uid="{1CC4EB04-F90D-4F50-8870-A55440E2869F}"/>
    <cellStyle name="Migliaia [0] 5 3 2 2 3" xfId="43602" xr:uid="{1DA3D651-EA36-4C50-A70E-E78A519BBD01}"/>
    <cellStyle name="Migliaia [0] 5 3 2 2 4" xfId="32949" xr:uid="{8445A234-2D2D-4A08-9DC7-07E037432365}"/>
    <cellStyle name="Migliaia [0] 5 3 2 3" xfId="35835" xr:uid="{0AE15584-D8A2-4BD0-856E-1340EAE872C5}"/>
    <cellStyle name="Migliaia [0] 5 3 2 4" xfId="40951" xr:uid="{47C7A054-4E56-4539-BB31-22FA332D76D4}"/>
    <cellStyle name="Migliaia [0] 5 3 2 5" xfId="48043" xr:uid="{2FBD5BC9-C0F1-4382-BAAE-AC1E28D572DC}"/>
    <cellStyle name="Migliaia [0] 5 3 2 6" xfId="50837" xr:uid="{4BB4232B-9B6F-45E7-8395-59A44A8D72C7}"/>
    <cellStyle name="Migliaia [0] 5 3 2 7" xfId="53853" xr:uid="{929A99D3-5376-4219-81F1-83DA44F7D8FC}"/>
    <cellStyle name="Migliaia [0] 5 3 2 8" xfId="17621" xr:uid="{B2F92898-4364-40B6-83B2-14E0B51CE55A}"/>
    <cellStyle name="Migliaia [0] 5 3 2 9" xfId="11844" xr:uid="{797D2A9B-E305-4767-BB0A-51B3A534CA07}"/>
    <cellStyle name="Migliaia [0] 5 3 3" xfId="6004" xr:uid="{67E8C61C-4043-43B8-907F-F5F9B8856E02}"/>
    <cellStyle name="Migliaia [0] 5 3 3 2" xfId="12367" xr:uid="{DE73347B-0076-4320-B0B3-105C651FFE05}"/>
    <cellStyle name="Migliaia [0] 5 3 4" xfId="3041" xr:uid="{17168358-18AF-45FE-921A-42CBE63FB5DA}"/>
    <cellStyle name="Migliaia [0] 5 3 4 2" xfId="21341" xr:uid="{EAE49A2B-B8A4-489B-B1DF-EB152805DF61}"/>
    <cellStyle name="Migliaia [0] 5 3 4 3" xfId="46190" xr:uid="{B96E572E-4853-44D4-B69F-75508CDC8B33}"/>
    <cellStyle name="Migliaia [0] 5 3 4 4" xfId="50356" xr:uid="{6C84C544-6D6C-4E24-AB82-C1D3977A9311}"/>
    <cellStyle name="Migliaia [0] 5 3 4 5" xfId="53372" xr:uid="{0EBA70EA-F526-4FDE-9A5D-E15403C26B59}"/>
    <cellStyle name="Migliaia [0] 5 3 4 6" xfId="10706" xr:uid="{A9A47995-8109-4C35-9DC4-E1DAB755A2B7}"/>
    <cellStyle name="Migliaia [0] 5 3 5" xfId="19720" xr:uid="{C836817F-AED2-4C66-B6B0-23CA5D4F7C1B}"/>
    <cellStyle name="Migliaia [0] 5 3 6" xfId="24125" xr:uid="{16FE5D5B-1778-4350-BCB7-76EC7A61F53A}"/>
    <cellStyle name="Migliaia [0] 5 3 7" xfId="8228" xr:uid="{78264879-44F4-43B8-B083-F7DF1BD26DF5}"/>
    <cellStyle name="Migliaia [0] 5 4" xfId="3042" xr:uid="{EA0C2312-05AA-4F91-865D-92231B8278CA}"/>
    <cellStyle name="Migliaia [0] 5 4 2" xfId="4768" xr:uid="{8AF591E4-31E7-42B5-8345-B85016F1D6C2}"/>
    <cellStyle name="Migliaia [0] 5 4 2 2" xfId="35113" xr:uid="{649DE802-930F-4215-980F-171FEC51AE83}"/>
    <cellStyle name="Migliaia [0] 5 4 2 2 2" xfId="40271" xr:uid="{3B0918B0-2F35-4A3F-B60E-E181967CAB80}"/>
    <cellStyle name="Migliaia [0] 5 4 2 2 3" xfId="45573" xr:uid="{D33E925F-B66C-440E-AD4D-920074A07C67}"/>
    <cellStyle name="Migliaia [0] 5 4 2 3" xfId="37620" xr:uid="{8B3808D4-E621-4A72-83BE-10BD875F1E50}"/>
    <cellStyle name="Migliaia [0] 5 4 2 4" xfId="42922" xr:uid="{1B40ECDC-4695-4EE0-A66B-330BF6E67713}"/>
    <cellStyle name="Migliaia [0] 5 4 2 5" xfId="17053" xr:uid="{49900F29-717B-46A7-A8E1-F15E19AE290F}"/>
    <cellStyle name="Migliaia [0] 5 4 3" xfId="6005" xr:uid="{9EBF40E5-A356-488A-AEEB-671F944DD992}"/>
    <cellStyle name="Migliaia [0] 5 4 3 2" xfId="38301" xr:uid="{97A15FB1-4151-4056-864C-36844C309B28}"/>
    <cellStyle name="Migliaia [0] 5 4 3 3" xfId="43603" xr:uid="{C2E6B0DA-6F19-44D9-9128-0F4A3BF1D25B}"/>
    <cellStyle name="Migliaia [0] 5 4 3 4" xfId="32950" xr:uid="{C007015B-D77D-4939-9258-C207273CEDEA}"/>
    <cellStyle name="Migliaia [0] 5 4 3 5" xfId="19721" xr:uid="{90A2EBE2-1272-4B9B-A400-762744240111}"/>
    <cellStyle name="Migliaia [0] 5 4 4" xfId="35836" xr:uid="{165DC901-F35F-40D6-9BC2-0D11B11CF780}"/>
    <cellStyle name="Migliaia [0] 5 4 5" xfId="40952" xr:uid="{E0F8F166-206D-4D70-B570-F9B98917001B}"/>
    <cellStyle name="Migliaia [0] 5 4 6" xfId="15995" xr:uid="{DD657B4E-5BEB-4DA9-93B3-FA8015914656}"/>
    <cellStyle name="Migliaia [0] 5 4 7" xfId="7808" xr:uid="{61956B54-2B87-40AA-9090-3822FB18272E}"/>
    <cellStyle name="Migliaia [0] 5 5" xfId="4764" xr:uid="{3C6DB823-6801-463D-97C9-65D553F44DC7}"/>
    <cellStyle name="Migliaia [0] 5 5 2" xfId="32951" xr:uid="{B8F7592F-8EAE-4CDA-A48A-9D671DE46415}"/>
    <cellStyle name="Migliaia [0] 5 5 2 2" xfId="38302" xr:uid="{1C56C303-E7EF-4812-AAEC-5079D6220632}"/>
    <cellStyle name="Migliaia [0] 5 5 2 3" xfId="43604" xr:uid="{3478A64F-AA07-4A28-AE63-A860110C32B8}"/>
    <cellStyle name="Migliaia [0] 5 5 3" xfId="35837" xr:uid="{3FE1CFED-E67F-4222-BDF2-D760197141D5}"/>
    <cellStyle name="Migliaia [0] 5 5 4" xfId="40953" xr:uid="{D303312A-F5A4-4A21-A000-344E7001225C}"/>
    <cellStyle name="Migliaia [0] 5 5 5" xfId="17122" xr:uid="{C718E149-573A-4777-B383-6CF7E93DF553}"/>
    <cellStyle name="Migliaia [0] 5 6" xfId="6002" xr:uid="{28CE114B-9253-431D-BBD6-76D162CCFAAC}"/>
    <cellStyle name="Migliaia [0] 5 6 2" xfId="38298" xr:uid="{4DC00164-001D-4555-9E4B-E24F51B8C92D}"/>
    <cellStyle name="Migliaia [0] 5 6 3" xfId="43600" xr:uid="{03728021-FEA4-4792-99AD-CAF90ECB6032}"/>
    <cellStyle name="Migliaia [0] 5 6 4" xfId="32947" xr:uid="{EBDD562F-D9A0-4BB7-90B0-F881D3B79B76}"/>
    <cellStyle name="Migliaia [0] 5 6 5" xfId="19717" xr:uid="{65337CD9-D209-48F9-AEB2-2BBFA6668492}"/>
    <cellStyle name="Migliaia [0] 5 7" xfId="3038" xr:uid="{3F0DB9DB-E00E-459B-B0E7-0B35896E61C4}"/>
    <cellStyle name="Migliaia [0] 5 7 2" xfId="35833" xr:uid="{2B995635-060F-4153-9E4D-E21228557666}"/>
    <cellStyle name="Migliaia [0] 5 8" xfId="40949" xr:uid="{6E7080F9-DC7A-41D3-85FB-50939D472AC3}"/>
    <cellStyle name="Migliaia [0] 5 9" xfId="7029" xr:uid="{A44627C1-6008-4B3A-9ABF-848F2DA0498A}"/>
    <cellStyle name="Migliaia [0] 50" xfId="287" xr:uid="{00000000-0005-0000-0000-000089020000}"/>
    <cellStyle name="Migliaia [0] 50 2" xfId="1616" xr:uid="{00000000-0005-0000-0000-00008A020000}"/>
    <cellStyle name="Migliaia [0] 50 2 2" xfId="1617" xr:uid="{00000000-0005-0000-0000-00008B020000}"/>
    <cellStyle name="Migliaia [0] 50 2 2 2" xfId="4771" xr:uid="{1B09896B-A258-412A-A7DD-E7DB6D81541A}"/>
    <cellStyle name="Migliaia [0] 50 2 2 2 2" xfId="21810" xr:uid="{0D779509-9171-4F31-B20A-E050D3FA89BB}"/>
    <cellStyle name="Migliaia [0] 50 2 2 2 3" xfId="47415" xr:uid="{0A592F25-D1B5-439E-8FBB-E66322557DB8}"/>
    <cellStyle name="Migliaia [0] 50 2 2 2 4" xfId="50838" xr:uid="{9EE27707-2286-4637-A63D-263CBB28C12E}"/>
    <cellStyle name="Migliaia [0] 50 2 2 2 5" xfId="53854" xr:uid="{93E056BF-FEA3-44B5-B4FF-0EDE5FE23D4B}"/>
    <cellStyle name="Migliaia [0] 50 2 2 2 6" xfId="11845" xr:uid="{D7BD6D21-B639-48ED-96A1-24361C5DC444}"/>
    <cellStyle name="Migliaia [0] 50 2 2 3" xfId="3045" xr:uid="{6501384D-D0CB-4354-B932-812AEBBC6B88}"/>
    <cellStyle name="Migliaia [0] 50 2 2 3 2" xfId="11174" xr:uid="{1D857B50-CB9E-4453-9DE6-5B77D3F0BC27}"/>
    <cellStyle name="Migliaia [0] 50 2 2 4" xfId="10707" xr:uid="{BF920876-F5A1-4938-85C2-8E5A0A5DD57F}"/>
    <cellStyle name="Migliaia [0] 50 2 2 4 2" xfId="21342" xr:uid="{FF3BC3AC-F8AA-4705-AA77-369ADA809462}"/>
    <cellStyle name="Migliaia [0] 50 2 2 4 3" xfId="48287" xr:uid="{AA215645-1137-4E23-BF97-08CEC3DAB65A}"/>
    <cellStyle name="Migliaia [0] 50 2 2 4 4" xfId="50357" xr:uid="{B4D6D501-FA11-4A71-9A3C-D7C3CBC3225A}"/>
    <cellStyle name="Migliaia [0] 50 2 2 4 5" xfId="53373" xr:uid="{2EA34045-771F-498D-9D83-2DE1460911DC}"/>
    <cellStyle name="Migliaia [0] 50 2 2 5" xfId="19724" xr:uid="{9A54F824-C004-4F21-876F-45CA8D3EB6F3}"/>
    <cellStyle name="Migliaia [0] 50 2 2 6" xfId="24127" xr:uid="{71470F48-11DA-4FEB-AA85-083681CB6511}"/>
    <cellStyle name="Migliaia [0] 50 2 2 7" xfId="48865" xr:uid="{C62C4BCF-6612-43B0-B6C2-352B2EF870B0}"/>
    <cellStyle name="Migliaia [0] 50 2 2 8" xfId="49771" xr:uid="{D43F522A-ED88-4993-9026-82FDB96587CF}"/>
    <cellStyle name="Migliaia [0] 50 2 2 9" xfId="8471" xr:uid="{413A1610-84CF-4652-971B-7AAD175F36FB}"/>
    <cellStyle name="Migliaia [0] 50 2 3" xfId="4770" xr:uid="{C77DDA14-7259-4990-B0D4-73A23DBB14B7}"/>
    <cellStyle name="Migliaia [0] 50 2 3 2" xfId="32953" xr:uid="{D0E5F5A9-B47F-4437-88B9-6263037B573A}"/>
    <cellStyle name="Migliaia [0] 50 2 3 2 2" xfId="38304" xr:uid="{F46D8312-16CF-4F50-A3E7-2AC4F07E5F43}"/>
    <cellStyle name="Migliaia [0] 50 2 3 2 3" xfId="43606" xr:uid="{FF252AAB-C1B0-494D-9F5F-BD2D9271F33F}"/>
    <cellStyle name="Migliaia [0] 50 2 3 3" xfId="35839" xr:uid="{2D37B6D0-164D-4721-A99F-48C19C7DBC7C}"/>
    <cellStyle name="Migliaia [0] 50 2 3 4" xfId="40955" xr:uid="{BA0E0835-522E-4C66-989B-27BBDCA30E61}"/>
    <cellStyle name="Migliaia [0] 50 2 3 5" xfId="11846" xr:uid="{27779D9E-629E-4D21-A1F8-879B7D639ABB}"/>
    <cellStyle name="Migliaia [0] 50 2 4" xfId="6007" xr:uid="{8EF7FCB7-F223-4BF7-9277-E9A53A29E859}"/>
    <cellStyle name="Migliaia [0] 50 2 4 2" xfId="19723" xr:uid="{8173DB31-2466-4238-AB86-4895C7326EF4}"/>
    <cellStyle name="Migliaia [0] 50 2 5" xfId="3044" xr:uid="{EED3D59E-5F89-4CC4-966C-01CB231358D6}"/>
    <cellStyle name="Migliaia [0] 50 2 5 2" xfId="24126" xr:uid="{6C14C1D6-9DB1-4D34-BF11-8BD7F7839AAC}"/>
    <cellStyle name="Migliaia [0] 50 2 6" xfId="7281" xr:uid="{12E5534F-0AD1-429E-9F2A-14F74630EB44}"/>
    <cellStyle name="Migliaia [0] 50 3" xfId="1618" xr:uid="{00000000-0005-0000-0000-00008C020000}"/>
    <cellStyle name="Migliaia [0] 50 3 2" xfId="4772" xr:uid="{7A24BE6B-A743-4370-9A0C-C46050A87090}"/>
    <cellStyle name="Migliaia [0] 50 3 2 2" xfId="18346" xr:uid="{67693AB5-9988-47F3-B3B6-1250F9F9B130}"/>
    <cellStyle name="Migliaia [0] 50 3 2 2 2" xfId="21811" xr:uid="{FC7658CA-89B8-4FBF-8281-A8089DF7D190}"/>
    <cellStyle name="Migliaia [0] 50 3 2 2 2 2" xfId="38305" xr:uid="{55D23817-8502-43DD-8196-A806DA69602F}"/>
    <cellStyle name="Migliaia [0] 50 3 2 2 3" xfId="43607" xr:uid="{E61E7AE5-09C4-4013-909F-37B6C755F33B}"/>
    <cellStyle name="Migliaia [0] 50 3 2 2 4" xfId="32954" xr:uid="{0F21AD68-23D1-4CEC-8C6D-0841055722BC}"/>
    <cellStyle name="Migliaia [0] 50 3 2 3" xfId="35840" xr:uid="{47B60D79-97AE-4CF4-9781-449415C2F21A}"/>
    <cellStyle name="Migliaia [0] 50 3 2 4" xfId="40956" xr:uid="{4202573C-FC2F-46F5-8D01-18B0B4BA9E68}"/>
    <cellStyle name="Migliaia [0] 50 3 2 5" xfId="32437" xr:uid="{0164CF5D-21B1-44B1-8001-08B2164E7A98}"/>
    <cellStyle name="Migliaia [0] 50 3 2 6" xfId="50839" xr:uid="{D4A46CEC-CB46-45A2-9CD1-D74BAE97B1D0}"/>
    <cellStyle name="Migliaia [0] 50 3 2 7" xfId="53855" xr:uid="{D3388949-BA3C-45CE-9512-1B783D0DBFC8}"/>
    <cellStyle name="Migliaia [0] 50 3 2 8" xfId="17622" xr:uid="{D4786CC9-B50B-4DE4-B5D7-E4F8F6BD884B}"/>
    <cellStyle name="Migliaia [0] 50 3 2 9" xfId="11847" xr:uid="{9471DBA6-C278-4D6C-89CB-42C55A3C6F27}"/>
    <cellStyle name="Migliaia [0] 50 3 3" xfId="6008" xr:uid="{D98FA3CE-2541-4421-A400-D0232D7559F7}"/>
    <cellStyle name="Migliaia [0] 50 3 3 2" xfId="12209" xr:uid="{E70FDFA6-B6AF-4B95-AD17-6C8694852CFE}"/>
    <cellStyle name="Migliaia [0] 50 3 4" xfId="3046" xr:uid="{D9EC0509-567B-4F93-BD4C-9AFF436746F4}"/>
    <cellStyle name="Migliaia [0] 50 3 4 2" xfId="21343" xr:uid="{CDEA1CD2-17CF-4CC0-B4A5-6FB510F0CDE4}"/>
    <cellStyle name="Migliaia [0] 50 3 4 3" xfId="48467" xr:uid="{AA7BD62C-2CFA-4F0B-A236-3FCDD3716A3A}"/>
    <cellStyle name="Migliaia [0] 50 3 4 4" xfId="50358" xr:uid="{4B04CD79-E9B8-45E1-94E0-2A8A8E3BB5D1}"/>
    <cellStyle name="Migliaia [0] 50 3 4 5" xfId="53374" xr:uid="{FAFFC1B9-0CBC-453E-8C47-F81079E9D87D}"/>
    <cellStyle name="Migliaia [0] 50 3 4 6" xfId="10708" xr:uid="{B1D3E95D-3AD2-45E0-9718-E57064809A22}"/>
    <cellStyle name="Migliaia [0] 50 3 5" xfId="19725" xr:uid="{50016285-DF15-42EB-AD77-B6FE618F59A7}"/>
    <cellStyle name="Migliaia [0] 50 3 6" xfId="24128" xr:uid="{767E88CE-46FA-4263-8553-B4BDB4A405FE}"/>
    <cellStyle name="Migliaia [0] 50 3 7" xfId="8229" xr:uid="{49DB432C-0119-4B3C-B39A-0179C5B0AEED}"/>
    <cellStyle name="Migliaia [0] 50 4" xfId="3047" xr:uid="{CAE89269-BD28-4093-9E2F-D1E40A8F8202}"/>
    <cellStyle name="Migliaia [0] 50 4 2" xfId="4773" xr:uid="{70405372-B612-46CC-8641-9F5DBCB4E0F1}"/>
    <cellStyle name="Migliaia [0] 50 4 2 2" xfId="35114" xr:uid="{CE0E311D-8A0B-405D-BDBF-14F3F14E4917}"/>
    <cellStyle name="Migliaia [0] 50 4 2 2 2" xfId="40272" xr:uid="{6D77E4C3-3F21-49FD-81F3-D2A803651748}"/>
    <cellStyle name="Migliaia [0] 50 4 2 2 3" xfId="45574" xr:uid="{83E4A895-5194-4786-9F5B-C8C207A80084}"/>
    <cellStyle name="Migliaia [0] 50 4 2 3" xfId="37621" xr:uid="{58DC82AB-859A-4B83-8D45-24B821A626A7}"/>
    <cellStyle name="Migliaia [0] 50 4 2 4" xfId="42923" xr:uid="{296EB02B-7DCD-4E4C-AFCC-D3460275CBF6}"/>
    <cellStyle name="Migliaia [0] 50 4 2 5" xfId="17054" xr:uid="{40AC1319-2C23-443B-8196-2A06A43F4AF5}"/>
    <cellStyle name="Migliaia [0] 50 4 3" xfId="6009" xr:uid="{674A426F-A4AA-4F46-960C-5D4843A32D7E}"/>
    <cellStyle name="Migliaia [0] 50 4 3 2" xfId="38306" xr:uid="{94BF0F8B-98C1-4722-9ED1-5C7EE49CAB0D}"/>
    <cellStyle name="Migliaia [0] 50 4 3 3" xfId="43608" xr:uid="{D5F6DB2F-9C62-458F-9D6E-5C68E393E756}"/>
    <cellStyle name="Migliaia [0] 50 4 3 4" xfId="32955" xr:uid="{EF00DE0E-DF74-4CDF-91D5-AA013EBACADC}"/>
    <cellStyle name="Migliaia [0] 50 4 3 5" xfId="19726" xr:uid="{9609E53B-6523-4250-96B6-5D7739DFCF02}"/>
    <cellStyle name="Migliaia [0] 50 4 4" xfId="35841" xr:uid="{835319DF-D9EC-4F4A-8A07-8368B27B4F13}"/>
    <cellStyle name="Migliaia [0] 50 4 5" xfId="40957" xr:uid="{ABDD8BB5-586E-419A-93C6-669291150D27}"/>
    <cellStyle name="Migliaia [0] 50 4 6" xfId="15996" xr:uid="{6CE5A688-919A-4F93-87B9-7206DC64ECD9}"/>
    <cellStyle name="Migliaia [0] 50 4 7" xfId="7809" xr:uid="{8C994083-054E-491D-9E06-9703B53510FB}"/>
    <cellStyle name="Migliaia [0] 50 5" xfId="4769" xr:uid="{1362F498-5A50-4EAD-9FC1-6C4B94FEF5BE}"/>
    <cellStyle name="Migliaia [0] 50 5 2" xfId="32956" xr:uid="{D04F9FC2-870F-4C06-8212-DE393F5EBFEE}"/>
    <cellStyle name="Migliaia [0] 50 5 2 2" xfId="38307" xr:uid="{4CBA307B-EB59-45D8-B4FB-47A3FB0A905E}"/>
    <cellStyle name="Migliaia [0] 50 5 2 3" xfId="43609" xr:uid="{9307F536-3107-487E-B6C3-05E7691D214A}"/>
    <cellStyle name="Migliaia [0] 50 5 3" xfId="35842" xr:uid="{E86E4503-4F00-4E4B-A0B8-4BF712EB3D03}"/>
    <cellStyle name="Migliaia [0] 50 5 4" xfId="40958" xr:uid="{87A0636E-B673-44A2-BC58-47E647C0AF56}"/>
    <cellStyle name="Migliaia [0] 50 5 5" xfId="17123" xr:uid="{625383D6-B506-4076-9B51-EEDD91BE4914}"/>
    <cellStyle name="Migliaia [0] 50 6" xfId="6006" xr:uid="{B4B0825C-A5DA-473D-8EC6-40CBCAF67322}"/>
    <cellStyle name="Migliaia [0] 50 6 2" xfId="38303" xr:uid="{17B11985-2C9E-411B-A724-C619557D8AC4}"/>
    <cellStyle name="Migliaia [0] 50 6 3" xfId="43605" xr:uid="{782E36E9-D953-4BCF-9938-96DB264A856D}"/>
    <cellStyle name="Migliaia [0] 50 6 4" xfId="32952" xr:uid="{512BEAD1-AC77-4ADF-A250-EB7AF985B28B}"/>
    <cellStyle name="Migliaia [0] 50 6 5" xfId="19722" xr:uid="{B2D52448-1E79-4647-8ECC-4E83137BCA6A}"/>
    <cellStyle name="Migliaia [0] 50 7" xfId="3043" xr:uid="{E0E10029-BAA8-4245-B483-84A5D72059E2}"/>
    <cellStyle name="Migliaia [0] 50 7 2" xfId="35838" xr:uid="{49D113B5-D6B1-4F85-8FEA-80FA406A635C}"/>
    <cellStyle name="Migliaia [0] 50 8" xfId="40954" xr:uid="{46913918-5BC2-4C25-B719-785B6FC27E50}"/>
    <cellStyle name="Migliaia [0] 50 9" xfId="7030" xr:uid="{C07FEE0C-22D7-48EB-9685-275293085CBF}"/>
    <cellStyle name="Migliaia [0] 51" xfId="288" xr:uid="{00000000-0005-0000-0000-00008D020000}"/>
    <cellStyle name="Migliaia [0] 51 2" xfId="1619" xr:uid="{00000000-0005-0000-0000-00008E020000}"/>
    <cellStyle name="Migliaia [0] 51 2 2" xfId="1620" xr:uid="{00000000-0005-0000-0000-00008F020000}"/>
    <cellStyle name="Migliaia [0] 51 2 2 2" xfId="4776" xr:uid="{D057B8B0-6A27-4052-A826-3ED5C60BF2FE}"/>
    <cellStyle name="Migliaia [0] 51 2 2 2 2" xfId="21812" xr:uid="{BAE1E163-C9AE-4816-8CF5-492E21FD9A58}"/>
    <cellStyle name="Migliaia [0] 51 2 2 2 3" xfId="48393" xr:uid="{B967835E-4A02-4D58-BC5A-C759BB03AE7A}"/>
    <cellStyle name="Migliaia [0] 51 2 2 2 4" xfId="50840" xr:uid="{8987FB87-89E7-48B9-B506-17BEAED03137}"/>
    <cellStyle name="Migliaia [0] 51 2 2 2 5" xfId="53856" xr:uid="{53928B78-0E04-4938-B9D0-4B94FFCF8E7A}"/>
    <cellStyle name="Migliaia [0] 51 2 2 2 6" xfId="11848" xr:uid="{58AAE645-0D67-4A94-959D-7419E1645B6A}"/>
    <cellStyle name="Migliaia [0] 51 2 2 3" xfId="3050" xr:uid="{5771EA5A-8C39-42DB-8645-129826F8F624}"/>
    <cellStyle name="Migliaia [0] 51 2 2 3 2" xfId="12330" xr:uid="{73DCD7A2-C10F-4698-8F3C-9F56FDD17745}"/>
    <cellStyle name="Migliaia [0] 51 2 2 4" xfId="10709" xr:uid="{E6857429-47DA-40F8-93A7-CA626354D66B}"/>
    <cellStyle name="Migliaia [0] 51 2 2 4 2" xfId="21344" xr:uid="{AC968838-7E65-4319-876E-60CEC8E67740}"/>
    <cellStyle name="Migliaia [0] 51 2 2 4 3" xfId="46191" xr:uid="{52F46572-F3A3-43C4-9595-C55D65DDDDA5}"/>
    <cellStyle name="Migliaia [0] 51 2 2 4 4" xfId="50359" xr:uid="{3338AE49-9C4A-4645-8363-A22A064D1CB7}"/>
    <cellStyle name="Migliaia [0] 51 2 2 4 5" xfId="53375" xr:uid="{7C1F94C0-0A93-4727-8E80-B67FB245BF50}"/>
    <cellStyle name="Migliaia [0] 51 2 2 5" xfId="19729" xr:uid="{E48DB0AE-B457-4CF0-946B-EDC25C8904E5}"/>
    <cellStyle name="Migliaia [0] 51 2 2 6" xfId="24130" xr:uid="{1055A1F4-C6DF-444D-BF29-1FAAD7B1845C}"/>
    <cellStyle name="Migliaia [0] 51 2 2 7" xfId="48866" xr:uid="{231DE12F-7691-48E0-B52F-9299171C55CB}"/>
    <cellStyle name="Migliaia [0] 51 2 2 8" xfId="49772" xr:uid="{B03A941D-11E8-4348-976F-9E0B98BFF05E}"/>
    <cellStyle name="Migliaia [0] 51 2 2 9" xfId="8472" xr:uid="{CE9DC235-EFF9-417C-95DC-C53B53883206}"/>
    <cellStyle name="Migliaia [0] 51 2 3" xfId="4775" xr:uid="{2B4E65B6-8FF6-4A35-A3E7-5BF79BAFD099}"/>
    <cellStyle name="Migliaia [0] 51 2 3 2" xfId="32958" xr:uid="{64BA04C9-2BE1-4632-ABCD-C6299BC7AAB2}"/>
    <cellStyle name="Migliaia [0] 51 2 3 2 2" xfId="38309" xr:uid="{5CCC0AC1-E75A-4D56-9D75-99474D216482}"/>
    <cellStyle name="Migliaia [0] 51 2 3 2 3" xfId="43611" xr:uid="{A3E1F99B-3091-4962-B756-9E18D486C609}"/>
    <cellStyle name="Migliaia [0] 51 2 3 3" xfId="35844" xr:uid="{D55BEA44-4ABF-4001-BA89-05AD1CCE7B43}"/>
    <cellStyle name="Migliaia [0] 51 2 3 4" xfId="40960" xr:uid="{32B019D9-087A-46F6-9257-28B04E4EC34E}"/>
    <cellStyle name="Migliaia [0] 51 2 3 5" xfId="11849" xr:uid="{1FED25E3-7FBD-4AD0-A9CC-243AE6851EA2}"/>
    <cellStyle name="Migliaia [0] 51 2 4" xfId="6011" xr:uid="{8E85BB4A-456D-4332-AEF4-BD3537B3F358}"/>
    <cellStyle name="Migliaia [0] 51 2 4 2" xfId="19728" xr:uid="{56D6885F-EC03-41C4-8C28-C20E15E0E8D3}"/>
    <cellStyle name="Migliaia [0] 51 2 5" xfId="3049" xr:uid="{A3A741F7-3D2D-4092-BB8E-EBB5E98B0FA6}"/>
    <cellStyle name="Migliaia [0] 51 2 5 2" xfId="24129" xr:uid="{8383B0AD-A171-4C0B-9552-12728D6E9553}"/>
    <cellStyle name="Migliaia [0] 51 2 6" xfId="7282" xr:uid="{9F376A6C-3BC4-488B-A256-7914B95958B5}"/>
    <cellStyle name="Migliaia [0] 51 3" xfId="1621" xr:uid="{00000000-0005-0000-0000-000090020000}"/>
    <cellStyle name="Migliaia [0] 51 3 2" xfId="4777" xr:uid="{59AFADEC-D985-494A-AC3B-B927EC602DF8}"/>
    <cellStyle name="Migliaia [0] 51 3 2 2" xfId="18347" xr:uid="{DCB11A1B-0CFE-431C-956B-94F260AD72DB}"/>
    <cellStyle name="Migliaia [0] 51 3 2 2 2" xfId="21813" xr:uid="{00CDFCFE-0F1D-4452-9FEC-2FC7661BFD05}"/>
    <cellStyle name="Migliaia [0] 51 3 2 2 2 2" xfId="38310" xr:uid="{555AA84B-EA49-46C1-A7E9-C4EDD8280D2E}"/>
    <cellStyle name="Migliaia [0] 51 3 2 2 3" xfId="43612" xr:uid="{D5EC004B-A7C2-43ED-BCAF-AD028094AC84}"/>
    <cellStyle name="Migliaia [0] 51 3 2 2 4" xfId="32959" xr:uid="{2F716110-86BD-4F47-A89E-B06A8F22DFB9}"/>
    <cellStyle name="Migliaia [0] 51 3 2 3" xfId="35845" xr:uid="{F0E36332-E541-4771-8AA1-3A216753A3E6}"/>
    <cellStyle name="Migliaia [0] 51 3 2 4" xfId="40961" xr:uid="{37306413-8889-4A88-9BB3-BDF9988CB341}"/>
    <cellStyle name="Migliaia [0] 51 3 2 5" xfId="47159" xr:uid="{23FA99F2-63CE-47B4-B073-70604D913DAB}"/>
    <cellStyle name="Migliaia [0] 51 3 2 6" xfId="50841" xr:uid="{32AC8D93-AC71-409C-80B6-CD13330A929A}"/>
    <cellStyle name="Migliaia [0] 51 3 2 7" xfId="53857" xr:uid="{1A2E7663-1C67-44CC-A9F9-DE0547989141}"/>
    <cellStyle name="Migliaia [0] 51 3 2 8" xfId="17623" xr:uid="{AE1D2FA6-ACB1-4FFA-A81E-397F1056C232}"/>
    <cellStyle name="Migliaia [0] 51 3 2 9" xfId="11850" xr:uid="{155F0505-0AC3-4D0D-8767-E52042DD2371}"/>
    <cellStyle name="Migliaia [0] 51 3 3" xfId="6012" xr:uid="{43A95878-3908-4303-BA22-168A8EAE614C}"/>
    <cellStyle name="Migliaia [0] 51 3 3 2" xfId="12366" xr:uid="{C9B54049-E5A7-45AE-B394-42153FF231A9}"/>
    <cellStyle name="Migliaia [0] 51 3 4" xfId="3051" xr:uid="{EE70C815-DD67-445E-8CD2-670D8D2CBD85}"/>
    <cellStyle name="Migliaia [0] 51 3 4 2" xfId="21345" xr:uid="{D44F42FE-26CA-483C-B589-E8CED9EFC767}"/>
    <cellStyle name="Migliaia [0] 51 3 4 3" xfId="47594" xr:uid="{10924BE4-6CB8-4CEA-90ED-C6933573AB40}"/>
    <cellStyle name="Migliaia [0] 51 3 4 4" xfId="50360" xr:uid="{0DAB65DA-4581-497F-91D4-0C812474E258}"/>
    <cellStyle name="Migliaia [0] 51 3 4 5" xfId="53376" xr:uid="{AE67070F-A07E-4C84-A79A-2BC26126D623}"/>
    <cellStyle name="Migliaia [0] 51 3 4 6" xfId="10710" xr:uid="{D73D74A6-0869-43BC-BBBF-F3770FBE5378}"/>
    <cellStyle name="Migliaia [0] 51 3 5" xfId="19730" xr:uid="{ABE843A5-E063-4F33-8A40-22267E384D36}"/>
    <cellStyle name="Migliaia [0] 51 3 6" xfId="24131" xr:uid="{DE3CF452-348C-4377-9561-86335F5E1E7D}"/>
    <cellStyle name="Migliaia [0] 51 3 7" xfId="8230" xr:uid="{5DB3A31E-BE45-448A-A905-E68F4C9E3203}"/>
    <cellStyle name="Migliaia [0] 51 4" xfId="3052" xr:uid="{CC7E76CC-99AA-4139-AB8A-1F39706E4C26}"/>
    <cellStyle name="Migliaia [0] 51 4 2" xfId="4778" xr:uid="{233A750B-33EC-40F0-BBE5-797030766A56}"/>
    <cellStyle name="Migliaia [0] 51 4 2 2" xfId="35115" xr:uid="{B9EF9336-3BCE-4C6A-ACCE-2176D69E92DC}"/>
    <cellStyle name="Migliaia [0] 51 4 2 2 2" xfId="40273" xr:uid="{0366C10C-FA5B-4EAB-A3B7-38DFECFEA4FB}"/>
    <cellStyle name="Migliaia [0] 51 4 2 2 3" xfId="45575" xr:uid="{85F61C09-19B8-42A8-B1F7-DB964AFE9B15}"/>
    <cellStyle name="Migliaia [0] 51 4 2 3" xfId="37622" xr:uid="{A97C9E6B-483B-46C9-9583-EA59E379BBE9}"/>
    <cellStyle name="Migliaia [0] 51 4 2 4" xfId="42924" xr:uid="{831AE8EE-24E6-4561-9A22-DC69C64F1BA6}"/>
    <cellStyle name="Migliaia [0] 51 4 2 5" xfId="17055" xr:uid="{2A5E7389-0194-4C1B-B6CE-D5AED06D32DB}"/>
    <cellStyle name="Migliaia [0] 51 4 3" xfId="6013" xr:uid="{0F3D1A97-E64A-49BF-82A3-AE10E560097C}"/>
    <cellStyle name="Migliaia [0] 51 4 3 2" xfId="38311" xr:uid="{53714D75-7E88-4A65-A70B-78839ED127A5}"/>
    <cellStyle name="Migliaia [0] 51 4 3 3" xfId="43613" xr:uid="{9E1D0633-A063-411C-A9A7-78996A3CCEDF}"/>
    <cellStyle name="Migliaia [0] 51 4 3 4" xfId="32960" xr:uid="{6F8E87D5-A0DD-4C62-9B84-EAA8A7F5B2DA}"/>
    <cellStyle name="Migliaia [0] 51 4 3 5" xfId="19731" xr:uid="{6C5334BB-36D8-484B-BCA8-697C9AEB44AE}"/>
    <cellStyle name="Migliaia [0] 51 4 4" xfId="35846" xr:uid="{FC19EBDA-85CD-4BEC-A597-927F1F18DAA8}"/>
    <cellStyle name="Migliaia [0] 51 4 5" xfId="40962" xr:uid="{E840E546-0621-43CC-8031-AD1DCC743AF0}"/>
    <cellStyle name="Migliaia [0] 51 4 6" xfId="15997" xr:uid="{9B0D28EB-AC65-4E44-A56D-F8C3451971A7}"/>
    <cellStyle name="Migliaia [0] 51 4 7" xfId="7810" xr:uid="{12DD7958-F04E-4935-B640-BF0250F909AC}"/>
    <cellStyle name="Migliaia [0] 51 5" xfId="4774" xr:uid="{42248D48-CD4C-46EF-9510-257DE98A6F9E}"/>
    <cellStyle name="Migliaia [0] 51 5 2" xfId="32961" xr:uid="{8CA8FC27-3E81-4763-9BAC-5ECBBF44E490}"/>
    <cellStyle name="Migliaia [0] 51 5 2 2" xfId="38312" xr:uid="{9000499F-B913-4CF8-AC9F-98D331D7FF8C}"/>
    <cellStyle name="Migliaia [0] 51 5 2 3" xfId="43614" xr:uid="{FF50D374-1A72-4AE0-B306-7BDE2F7120DC}"/>
    <cellStyle name="Migliaia [0] 51 5 3" xfId="35847" xr:uid="{C6265231-05A4-4923-941E-E16DDA809CA4}"/>
    <cellStyle name="Migliaia [0] 51 5 4" xfId="40963" xr:uid="{A6DE5E74-258D-4691-AB53-3B63465E925B}"/>
    <cellStyle name="Migliaia [0] 51 5 5" xfId="17124" xr:uid="{8BF69655-F68B-46F9-9156-F001E184FE10}"/>
    <cellStyle name="Migliaia [0] 51 6" xfId="6010" xr:uid="{6DD7CE24-44CB-42E2-A807-FF2C6F89D3D0}"/>
    <cellStyle name="Migliaia [0] 51 6 2" xfId="38308" xr:uid="{C1008659-5857-4618-A8B0-D2A0073D072B}"/>
    <cellStyle name="Migliaia [0] 51 6 3" xfId="43610" xr:uid="{9E89C385-5862-4F65-92F9-C3C345C86C12}"/>
    <cellStyle name="Migliaia [0] 51 6 4" xfId="32957" xr:uid="{275AE345-0AE8-4DB0-ADEB-D30B7E58462E}"/>
    <cellStyle name="Migliaia [0] 51 6 5" xfId="19727" xr:uid="{0A4E0870-10CE-4E1B-BE61-9BC62ADE02B9}"/>
    <cellStyle name="Migliaia [0] 51 7" xfId="3048" xr:uid="{4A28D015-CC96-47E3-B146-54586E08B880}"/>
    <cellStyle name="Migliaia [0] 51 7 2" xfId="35843" xr:uid="{744AA196-EC63-4824-AF62-55C2E64B37CF}"/>
    <cellStyle name="Migliaia [0] 51 8" xfId="40959" xr:uid="{326FCC74-A415-4068-A8AE-59922A867424}"/>
    <cellStyle name="Migliaia [0] 51 9" xfId="7031" xr:uid="{2836C799-79B1-46BF-98A0-5A4283B234F3}"/>
    <cellStyle name="Migliaia [0] 52" xfId="289" xr:uid="{00000000-0005-0000-0000-000091020000}"/>
    <cellStyle name="Migliaia [0] 52 2" xfId="1622" xr:uid="{00000000-0005-0000-0000-000092020000}"/>
    <cellStyle name="Migliaia [0] 52 2 2" xfId="1623" xr:uid="{00000000-0005-0000-0000-000093020000}"/>
    <cellStyle name="Migliaia [0] 52 2 2 2" xfId="4781" xr:uid="{5F6F9507-4B46-4DAA-A72B-9B2FECC3A56B}"/>
    <cellStyle name="Migliaia [0] 52 2 2 2 2" xfId="21814" xr:uid="{554A9C1A-2259-4F5A-BEE4-145C0DCFE921}"/>
    <cellStyle name="Migliaia [0] 52 2 2 2 3" xfId="48006" xr:uid="{6276D919-4863-4588-9832-9D1B6874AE95}"/>
    <cellStyle name="Migliaia [0] 52 2 2 2 4" xfId="50842" xr:uid="{F1DD001F-E2A4-47BD-9687-C0483D35766A}"/>
    <cellStyle name="Migliaia [0] 52 2 2 2 5" xfId="53858" xr:uid="{0059389B-9BFD-4381-BB11-9928AEA405E1}"/>
    <cellStyle name="Migliaia [0] 52 2 2 2 6" xfId="11851" xr:uid="{0882D14A-4433-435A-AA2D-EB784C1FA2B5}"/>
    <cellStyle name="Migliaia [0] 52 2 2 3" xfId="3055" xr:uid="{A6BEC58A-B439-4B86-B230-5FE5DC12D512}"/>
    <cellStyle name="Migliaia [0] 52 2 2 3 2" xfId="12329" xr:uid="{451E361A-6894-4C9A-9FF4-61311B62197D}"/>
    <cellStyle name="Migliaia [0] 52 2 2 4" xfId="10711" xr:uid="{95BFCC7E-6E2A-4D30-83A8-B1B73D07DC85}"/>
    <cellStyle name="Migliaia [0] 52 2 2 4 2" xfId="21346" xr:uid="{3B374E51-4896-43AA-BA03-D7F2AE6583F0}"/>
    <cellStyle name="Migliaia [0] 52 2 2 4 3" xfId="46192" xr:uid="{D676F8E0-D5FA-4138-8895-BC8B798CB0F9}"/>
    <cellStyle name="Migliaia [0] 52 2 2 4 4" xfId="50361" xr:uid="{F8600B49-A9AD-46CE-B46C-7CEABFF02F20}"/>
    <cellStyle name="Migliaia [0] 52 2 2 4 5" xfId="53377" xr:uid="{32EC0F1F-7B53-42C2-900B-A0B56B8B2ACC}"/>
    <cellStyle name="Migliaia [0] 52 2 2 5" xfId="19734" xr:uid="{7844710B-8365-4777-A47A-436C3A2091D6}"/>
    <cellStyle name="Migliaia [0] 52 2 2 6" xfId="24133" xr:uid="{6097D353-7C45-45D3-99E5-1582A45C3688}"/>
    <cellStyle name="Migliaia [0] 52 2 2 7" xfId="48867" xr:uid="{E4E50F7A-7797-447A-B205-E3FD5922167F}"/>
    <cellStyle name="Migliaia [0] 52 2 2 8" xfId="49773" xr:uid="{A1D31CA4-EA48-431C-84CD-0AE45FBEDA78}"/>
    <cellStyle name="Migliaia [0] 52 2 2 9" xfId="8473" xr:uid="{F2C05E06-7A8C-4FD8-8F0C-C43E762895EC}"/>
    <cellStyle name="Migliaia [0] 52 2 3" xfId="4780" xr:uid="{6F7DEC58-B58C-4CAA-A1D8-25A8864451CC}"/>
    <cellStyle name="Migliaia [0] 52 2 3 2" xfId="32963" xr:uid="{D0EBF67E-CC49-41F1-B518-99CDE053F013}"/>
    <cellStyle name="Migliaia [0] 52 2 3 2 2" xfId="38314" xr:uid="{C32DBB32-B695-463F-AE23-EDC325D5BAFA}"/>
    <cellStyle name="Migliaia [0] 52 2 3 2 3" xfId="43616" xr:uid="{02FB4B31-9763-4529-97D6-0F0E90E44AF1}"/>
    <cellStyle name="Migliaia [0] 52 2 3 3" xfId="35849" xr:uid="{7BBFB64C-7443-425B-93B6-8F9460ABF21F}"/>
    <cellStyle name="Migliaia [0] 52 2 3 4" xfId="40965" xr:uid="{7157E69F-2BD9-4658-B1DC-B3CFD4681460}"/>
    <cellStyle name="Migliaia [0] 52 2 3 5" xfId="11852" xr:uid="{37340A22-9D75-404C-ACAF-A0842F147BF4}"/>
    <cellStyle name="Migliaia [0] 52 2 4" xfId="6015" xr:uid="{A30B5FE9-AA91-4881-860B-3E88A7275B2F}"/>
    <cellStyle name="Migliaia [0] 52 2 4 2" xfId="19733" xr:uid="{BBAF94D0-984E-476E-AD30-E5B46F4E2DD7}"/>
    <cellStyle name="Migliaia [0] 52 2 5" xfId="3054" xr:uid="{38A63953-4C32-4A85-AB5C-09DDD2102FDF}"/>
    <cellStyle name="Migliaia [0] 52 2 5 2" xfId="24132" xr:uid="{CF3319F4-BE1B-45DF-8DD7-590243F99B10}"/>
    <cellStyle name="Migliaia [0] 52 2 6" xfId="7283" xr:uid="{E104FA7B-68DE-4427-A8E3-5B02975BA05E}"/>
    <cellStyle name="Migliaia [0] 52 3" xfId="1624" xr:uid="{00000000-0005-0000-0000-000094020000}"/>
    <cellStyle name="Migliaia [0] 52 3 2" xfId="4782" xr:uid="{BDC2EB66-46E4-4F6D-9082-7368C569F5DB}"/>
    <cellStyle name="Migliaia [0] 52 3 2 2" xfId="18348" xr:uid="{B578041A-468C-45A4-B504-DF4014BF07B9}"/>
    <cellStyle name="Migliaia [0] 52 3 2 2 2" xfId="21815" xr:uid="{1AC6D616-741E-4A0F-A55A-AAB577A58EA5}"/>
    <cellStyle name="Migliaia [0] 52 3 2 2 2 2" xfId="38315" xr:uid="{BD890EEB-6831-488F-9D5F-B4418E19FD5E}"/>
    <cellStyle name="Migliaia [0] 52 3 2 2 3" xfId="43617" xr:uid="{A571C8EF-10DF-4B2D-83C8-498739447DDC}"/>
    <cellStyle name="Migliaia [0] 52 3 2 2 4" xfId="32964" xr:uid="{3EE34454-62BE-4E30-A3DF-EB32EDF0AA1A}"/>
    <cellStyle name="Migliaia [0] 52 3 2 3" xfId="35850" xr:uid="{69FABD38-0DFD-4334-82B9-2EFCA5D094D9}"/>
    <cellStyle name="Migliaia [0] 52 3 2 4" xfId="40966" xr:uid="{878C07C2-5EF2-426B-BE14-C76BD7DAA388}"/>
    <cellStyle name="Migliaia [0] 52 3 2 5" xfId="25123" xr:uid="{8C05ABDE-BD98-4088-8E51-2CAF7A66414D}"/>
    <cellStyle name="Migliaia [0] 52 3 2 6" xfId="50843" xr:uid="{068505BC-A5F6-4E4B-82EF-17D934426261}"/>
    <cellStyle name="Migliaia [0] 52 3 2 7" xfId="53859" xr:uid="{91AD95C3-3A58-4FB7-BBBD-20D9BBC8D94A}"/>
    <cellStyle name="Migliaia [0] 52 3 2 8" xfId="17624" xr:uid="{CC6CD3BA-52C7-4740-AE4B-098E922B6379}"/>
    <cellStyle name="Migliaia [0] 52 3 2 9" xfId="11853" xr:uid="{4D901551-6756-4117-95AD-A4EF74A3952F}"/>
    <cellStyle name="Migliaia [0] 52 3 3" xfId="6016" xr:uid="{2E580CF6-88A9-4019-98C1-7542B28963C3}"/>
    <cellStyle name="Migliaia [0] 52 3 3 2" xfId="12210" xr:uid="{8D0C89D0-0FC6-46B8-B6FB-FE93610BF820}"/>
    <cellStyle name="Migliaia [0] 52 3 4" xfId="3056" xr:uid="{8165A51B-2992-41F2-B079-B1C4CAAE80F4}"/>
    <cellStyle name="Migliaia [0] 52 3 4 2" xfId="21347" xr:uid="{C12C3797-1776-40AD-9C6A-7530D5477910}"/>
    <cellStyle name="Migliaia [0] 52 3 4 3" xfId="48170" xr:uid="{9C70E99B-17FB-4845-899E-075C8CE6A28B}"/>
    <cellStyle name="Migliaia [0] 52 3 4 4" xfId="50362" xr:uid="{39E10A4E-8A57-4EC1-8AFB-C5F791E17347}"/>
    <cellStyle name="Migliaia [0] 52 3 4 5" xfId="53378" xr:uid="{8779F546-88F9-4E75-9CF2-285FF7A4C5DA}"/>
    <cellStyle name="Migliaia [0] 52 3 4 6" xfId="10712" xr:uid="{0A1F7E56-447B-487B-AF65-B239822F8D20}"/>
    <cellStyle name="Migliaia [0] 52 3 5" xfId="19735" xr:uid="{86B1685D-9234-4210-8BC8-F0930D0220EA}"/>
    <cellStyle name="Migliaia [0] 52 3 6" xfId="24134" xr:uid="{90F06B7C-9852-4827-8575-65B46338EF5F}"/>
    <cellStyle name="Migliaia [0] 52 3 7" xfId="8231" xr:uid="{F4B5C948-62F7-4B80-947A-F8FB1A16DD43}"/>
    <cellStyle name="Migliaia [0] 52 4" xfId="3057" xr:uid="{B2498148-7299-45FA-9073-DAAC32142C6C}"/>
    <cellStyle name="Migliaia [0] 52 4 2" xfId="4783" xr:uid="{1831141C-B017-4F27-8A31-A5E223483273}"/>
    <cellStyle name="Migliaia [0] 52 4 2 2" xfId="35116" xr:uid="{80A4EF26-1E79-48B3-B107-A58025507009}"/>
    <cellStyle name="Migliaia [0] 52 4 2 2 2" xfId="40274" xr:uid="{9EF865E8-B7CD-4B8F-AC11-D99F63D10035}"/>
    <cellStyle name="Migliaia [0] 52 4 2 2 3" xfId="45576" xr:uid="{91CFF374-8ABC-42C2-9E73-D014765CE8F6}"/>
    <cellStyle name="Migliaia [0] 52 4 2 3" xfId="37623" xr:uid="{81FCA5CB-BA94-453A-BF06-D7B85321D91A}"/>
    <cellStyle name="Migliaia [0] 52 4 2 4" xfId="42925" xr:uid="{07DE6D96-07C2-4F1F-8DED-E83D7D4A98D6}"/>
    <cellStyle name="Migliaia [0] 52 4 2 5" xfId="17056" xr:uid="{65521528-71EE-4EDE-AF6A-3EBE71EEB735}"/>
    <cellStyle name="Migliaia [0] 52 4 3" xfId="6017" xr:uid="{8C94118D-6A8A-4A4D-AF09-04FAD040C927}"/>
    <cellStyle name="Migliaia [0] 52 4 3 2" xfId="38316" xr:uid="{0F6D0FB8-E57B-4069-ABD1-1931B89CBB96}"/>
    <cellStyle name="Migliaia [0] 52 4 3 3" xfId="43618" xr:uid="{B05C1E70-ED2B-46C5-A760-E01D8C05EC5D}"/>
    <cellStyle name="Migliaia [0] 52 4 3 4" xfId="32965" xr:uid="{EACB2FE5-6C88-44AC-93B1-09B6E30D2B3E}"/>
    <cellStyle name="Migliaia [0] 52 4 3 5" xfId="19736" xr:uid="{A2AA1B60-B5BC-41FB-8203-C7CE0FAC95E6}"/>
    <cellStyle name="Migliaia [0] 52 4 4" xfId="35851" xr:uid="{6F99725A-39D8-469B-8C65-4B8ECEF33723}"/>
    <cellStyle name="Migliaia [0] 52 4 5" xfId="40967" xr:uid="{27D6ED78-AB4E-4665-88B1-F8B9B2ADF69E}"/>
    <cellStyle name="Migliaia [0] 52 4 6" xfId="15998" xr:uid="{C43ACC52-633B-4AFB-BEFF-4104A4468468}"/>
    <cellStyle name="Migliaia [0] 52 4 7" xfId="7811" xr:uid="{B3CADCA7-4618-4EB5-BA57-8B21BC25A957}"/>
    <cellStyle name="Migliaia [0] 52 5" xfId="4779" xr:uid="{C8C9579A-C7B0-4236-A5E1-6DBCB79F7A78}"/>
    <cellStyle name="Migliaia [0] 52 5 2" xfId="32966" xr:uid="{D0FDE776-A73C-4057-82B8-E18C79C4F646}"/>
    <cellStyle name="Migliaia [0] 52 5 2 2" xfId="38317" xr:uid="{9A10A670-AC4B-4CCE-BD67-1D8024212BB9}"/>
    <cellStyle name="Migliaia [0] 52 5 2 3" xfId="43619" xr:uid="{8AB61B3E-2402-4D31-8005-32ABA961B0AC}"/>
    <cellStyle name="Migliaia [0] 52 5 3" xfId="35852" xr:uid="{D7128CC8-1684-434B-B0D8-C3A6217D2B45}"/>
    <cellStyle name="Migliaia [0] 52 5 4" xfId="40968" xr:uid="{1EFA194F-A1BC-471F-9617-36CEB17A960B}"/>
    <cellStyle name="Migliaia [0] 52 5 5" xfId="17125" xr:uid="{98432BEB-5557-497F-9DE9-A9CC868C239E}"/>
    <cellStyle name="Migliaia [0] 52 6" xfId="6014" xr:uid="{7665F33B-1CEF-4D5F-B08D-32E36C47DDC8}"/>
    <cellStyle name="Migliaia [0] 52 6 2" xfId="38313" xr:uid="{33BB928A-D8DC-4069-A178-398CCBBD9C02}"/>
    <cellStyle name="Migliaia [0] 52 6 3" xfId="43615" xr:uid="{A5F6F81B-162A-49EF-97D3-02EFBD95413D}"/>
    <cellStyle name="Migliaia [0] 52 6 4" xfId="32962" xr:uid="{277CD111-A147-4BE9-84DC-7A02421FF2A2}"/>
    <cellStyle name="Migliaia [0] 52 6 5" xfId="19732" xr:uid="{C3200E9D-6368-4172-97B5-6ED3056B12BA}"/>
    <cellStyle name="Migliaia [0] 52 7" xfId="3053" xr:uid="{37DC50DF-5C3C-4046-A602-543B1D222D34}"/>
    <cellStyle name="Migliaia [0] 52 7 2" xfId="35848" xr:uid="{89127E3B-43A5-4389-9292-0C83CDC43ADF}"/>
    <cellStyle name="Migliaia [0] 52 8" xfId="40964" xr:uid="{C23CFFF0-C730-4BF4-A6A0-B5FBBF96A31C}"/>
    <cellStyle name="Migliaia [0] 52 9" xfId="7032" xr:uid="{6D0B5F87-0089-4305-A73A-0F4213FFA941}"/>
    <cellStyle name="Migliaia [0] 53" xfId="290" xr:uid="{00000000-0005-0000-0000-000095020000}"/>
    <cellStyle name="Migliaia [0] 53 2" xfId="1625" xr:uid="{00000000-0005-0000-0000-000096020000}"/>
    <cellStyle name="Migliaia [0] 53 2 2" xfId="1626" xr:uid="{00000000-0005-0000-0000-000097020000}"/>
    <cellStyle name="Migliaia [0] 53 2 2 2" xfId="4786" xr:uid="{316087C8-DD39-4656-838C-F5E8D129AB49}"/>
    <cellStyle name="Migliaia [0] 53 2 2 2 2" xfId="21816" xr:uid="{3E261FD4-7D3C-40F3-BB50-98AFD21431FB}"/>
    <cellStyle name="Migliaia [0] 53 2 2 2 3" xfId="47520" xr:uid="{E08A7FCB-00D7-4484-893F-A9C4CDDD93C7}"/>
    <cellStyle name="Migliaia [0] 53 2 2 2 4" xfId="50844" xr:uid="{430FEA34-7563-4F2E-94A2-107E6139145B}"/>
    <cellStyle name="Migliaia [0] 53 2 2 2 5" xfId="53860" xr:uid="{1B3CA2D4-3D12-41A0-B321-0BBD116A1A66}"/>
    <cellStyle name="Migliaia [0] 53 2 2 2 6" xfId="11854" xr:uid="{98F9439A-1BA9-44FE-8143-B335FF5ABF63}"/>
    <cellStyle name="Migliaia [0] 53 2 2 3" xfId="3060" xr:uid="{8CF465D2-6F86-4BE8-B656-25F2BAE81AEC}"/>
    <cellStyle name="Migliaia [0] 53 2 2 3 2" xfId="12328" xr:uid="{3524FE13-FFD9-41FD-B228-507EE276B10E}"/>
    <cellStyle name="Migliaia [0] 53 2 2 4" xfId="10713" xr:uid="{500FCFDF-FB87-4886-BDC8-649CBC55AA7B}"/>
    <cellStyle name="Migliaia [0] 53 2 2 4 2" xfId="21348" xr:uid="{4B6820DE-D02F-4A93-B30F-BD4B5043557E}"/>
    <cellStyle name="Migliaia [0] 53 2 2 4 3" xfId="46193" xr:uid="{8908A0BE-FA04-4BD0-B8B3-C3BD6C3DFEF7}"/>
    <cellStyle name="Migliaia [0] 53 2 2 4 4" xfId="50363" xr:uid="{9F20699F-52BC-44A9-95F3-92834883EA6F}"/>
    <cellStyle name="Migliaia [0] 53 2 2 4 5" xfId="53379" xr:uid="{D90B2FBF-472B-430D-A2E1-3D87C22C1E0E}"/>
    <cellStyle name="Migliaia [0] 53 2 2 5" xfId="19739" xr:uid="{622B413A-1DC5-48F6-ACEB-D3339055B184}"/>
    <cellStyle name="Migliaia [0] 53 2 2 6" xfId="24136" xr:uid="{BBC1EFCC-43FB-412B-9D47-B0801FE9618B}"/>
    <cellStyle name="Migliaia [0] 53 2 2 7" xfId="48868" xr:uid="{62E9250D-BB20-4FC4-8853-38268ECB41EF}"/>
    <cellStyle name="Migliaia [0] 53 2 2 8" xfId="49774" xr:uid="{B0752782-747D-437E-B457-70C0D33211DF}"/>
    <cellStyle name="Migliaia [0] 53 2 2 9" xfId="8474" xr:uid="{0B2EF882-98E9-46F9-A856-215BA603FBD7}"/>
    <cellStyle name="Migliaia [0] 53 2 3" xfId="4785" xr:uid="{52CCD22F-2397-414D-A008-AF8DE7223F9A}"/>
    <cellStyle name="Migliaia [0] 53 2 3 2" xfId="32968" xr:uid="{2363B54F-ABB3-4D63-B15B-976DB967BE10}"/>
    <cellStyle name="Migliaia [0] 53 2 3 2 2" xfId="38319" xr:uid="{54FB129A-6FD2-42D6-B37B-A7C9853E8960}"/>
    <cellStyle name="Migliaia [0] 53 2 3 2 3" xfId="43621" xr:uid="{E28E443A-21A0-405B-92D8-1F0E2C61503B}"/>
    <cellStyle name="Migliaia [0] 53 2 3 3" xfId="35854" xr:uid="{C60D00AA-CDE5-47AF-B30F-B4467317F264}"/>
    <cellStyle name="Migliaia [0] 53 2 3 4" xfId="40970" xr:uid="{43801775-67A7-438C-95B2-CFAEAC95C3DB}"/>
    <cellStyle name="Migliaia [0] 53 2 3 5" xfId="11855" xr:uid="{8550EFA2-DAFF-448D-9B94-5F70EF90CB1C}"/>
    <cellStyle name="Migliaia [0] 53 2 4" xfId="6019" xr:uid="{265A2FC2-65CD-43A1-BC2E-59755C673984}"/>
    <cellStyle name="Migliaia [0] 53 2 4 2" xfId="19738" xr:uid="{E4E861B7-8C25-4D7F-A0D7-E0099BD988D0}"/>
    <cellStyle name="Migliaia [0] 53 2 5" xfId="3059" xr:uid="{3AB1EE8F-EEE8-4D3A-9991-B66419621C3B}"/>
    <cellStyle name="Migliaia [0] 53 2 5 2" xfId="24135" xr:uid="{7CEB524C-57BE-4D4A-906F-FA565100EA71}"/>
    <cellStyle name="Migliaia [0] 53 2 6" xfId="7284" xr:uid="{F97F3866-680A-4363-98E9-06F6B0E8B410}"/>
    <cellStyle name="Migliaia [0] 53 3" xfId="1627" xr:uid="{00000000-0005-0000-0000-000098020000}"/>
    <cellStyle name="Migliaia [0] 53 3 2" xfId="4787" xr:uid="{86E21B47-AC8B-4AF4-A9FF-338B02DE17DA}"/>
    <cellStyle name="Migliaia [0] 53 3 2 2" xfId="18349" xr:uid="{0B4429C3-C852-4E0F-9525-E8B9A14387DE}"/>
    <cellStyle name="Migliaia [0] 53 3 2 2 2" xfId="21817" xr:uid="{CA6CD023-4C04-4D9E-B258-17992C8C7DC4}"/>
    <cellStyle name="Migliaia [0] 53 3 2 2 2 2" xfId="38320" xr:uid="{8DC563E9-C1D7-4E05-9C13-C79E6F16704A}"/>
    <cellStyle name="Migliaia [0] 53 3 2 2 3" xfId="43622" xr:uid="{632A2C46-5E1F-4DD8-A2EF-E363BAFF0DC5}"/>
    <cellStyle name="Migliaia [0] 53 3 2 2 4" xfId="32969" xr:uid="{5A760CEE-9525-42DE-A2FA-7B3A58515672}"/>
    <cellStyle name="Migliaia [0] 53 3 2 3" xfId="35855" xr:uid="{E5503C67-3064-4467-8EBD-6B8223A763CF}"/>
    <cellStyle name="Migliaia [0] 53 3 2 4" xfId="40971" xr:uid="{D0482F01-C027-4E84-97E9-5D916A0520A5}"/>
    <cellStyle name="Migliaia [0] 53 3 2 5" xfId="47751" xr:uid="{A4461923-9415-4EA7-841D-E138B59262F8}"/>
    <cellStyle name="Migliaia [0] 53 3 2 6" xfId="50845" xr:uid="{623B8342-3706-4611-A25C-F0D044537A4E}"/>
    <cellStyle name="Migliaia [0] 53 3 2 7" xfId="53861" xr:uid="{CC2741D0-3FA5-43AD-90A5-FDD70F62DB55}"/>
    <cellStyle name="Migliaia [0] 53 3 2 8" xfId="17625" xr:uid="{01AA4A2F-844D-4CAF-96E1-600C48427C96}"/>
    <cellStyle name="Migliaia [0] 53 3 2 9" xfId="11856" xr:uid="{6277BCA3-BE34-45A0-BF57-060480768D59}"/>
    <cellStyle name="Migliaia [0] 53 3 3" xfId="6020" xr:uid="{5E8E526E-77C7-4135-87CA-203D5A40E355}"/>
    <cellStyle name="Migliaia [0] 53 3 3 2" xfId="11117" xr:uid="{8F96C754-567E-4073-8475-E449D2817A05}"/>
    <cellStyle name="Migliaia [0] 53 3 4" xfId="3061" xr:uid="{21E48DE2-A40A-4B88-B9F5-D01C35C8AEA6}"/>
    <cellStyle name="Migliaia [0] 53 3 4 2" xfId="21349" xr:uid="{A072F61F-91AB-4792-887C-7146E0AC16A5}"/>
    <cellStyle name="Migliaia [0] 53 3 4 3" xfId="47071" xr:uid="{5199356C-69E8-4720-91EF-58C8661D7234}"/>
    <cellStyle name="Migliaia [0] 53 3 4 4" xfId="50364" xr:uid="{51999E80-163F-4990-88FF-1EBF148E90A9}"/>
    <cellStyle name="Migliaia [0] 53 3 4 5" xfId="53380" xr:uid="{5F10B523-C714-4925-A5A3-FFE926ACCEFB}"/>
    <cellStyle name="Migliaia [0] 53 3 4 6" xfId="10714" xr:uid="{81461F2D-E890-44BF-80B0-9D3D731A8CE0}"/>
    <cellStyle name="Migliaia [0] 53 3 5" xfId="19740" xr:uid="{8ABEBDAE-2ED9-4FA6-A451-1457703BE362}"/>
    <cellStyle name="Migliaia [0] 53 3 6" xfId="24137" xr:uid="{D6BEE149-8B95-43DD-8993-DE38401FDF59}"/>
    <cellStyle name="Migliaia [0] 53 3 7" xfId="8232" xr:uid="{21877115-6BDA-41C5-B1D0-20B1B2DB3D45}"/>
    <cellStyle name="Migliaia [0] 53 4" xfId="3062" xr:uid="{CB5EFF73-451C-4B4B-9D75-5D534B37EEAA}"/>
    <cellStyle name="Migliaia [0] 53 4 2" xfId="4788" xr:uid="{C9A8684B-13EB-4703-A62D-4A361CFB5639}"/>
    <cellStyle name="Migliaia [0] 53 4 2 2" xfId="35117" xr:uid="{A114B5A7-3C44-4C7D-954A-30ACB577F3F5}"/>
    <cellStyle name="Migliaia [0] 53 4 2 2 2" xfId="40275" xr:uid="{2FEBF23A-3F8F-43F7-B56B-7A2DDA8B98B6}"/>
    <cellStyle name="Migliaia [0] 53 4 2 2 3" xfId="45577" xr:uid="{9A9248CE-4567-48F0-A981-7B15138B06BB}"/>
    <cellStyle name="Migliaia [0] 53 4 2 3" xfId="37624" xr:uid="{73EB3CA1-C5F2-4ACF-8D5A-2BF06CFFE2C1}"/>
    <cellStyle name="Migliaia [0] 53 4 2 4" xfId="42926" xr:uid="{BA028124-C5EA-4E58-BB15-E72B7187182D}"/>
    <cellStyle name="Migliaia [0] 53 4 2 5" xfId="17057" xr:uid="{E7B0A7C5-E619-4BCE-BC5F-F102C503488C}"/>
    <cellStyle name="Migliaia [0] 53 4 3" xfId="6021" xr:uid="{EC04CCD8-DF98-4924-8969-4D0946570BAD}"/>
    <cellStyle name="Migliaia [0] 53 4 3 2" xfId="38321" xr:uid="{2C7A9A66-5E3E-47B8-80E3-4893A5C14F38}"/>
    <cellStyle name="Migliaia [0] 53 4 3 3" xfId="43623" xr:uid="{A3BE6A26-F6CD-42C0-8E80-DBB668F2C836}"/>
    <cellStyle name="Migliaia [0] 53 4 3 4" xfId="32970" xr:uid="{A43906A4-B6DA-479F-A84A-7E3770741D31}"/>
    <cellStyle name="Migliaia [0] 53 4 3 5" xfId="19741" xr:uid="{D10D3E57-BC51-40BB-B5FC-C83BEA6A42D2}"/>
    <cellStyle name="Migliaia [0] 53 4 4" xfId="35856" xr:uid="{68293786-F5F5-471D-B12A-80E4B668F12F}"/>
    <cellStyle name="Migliaia [0] 53 4 5" xfId="40972" xr:uid="{5AFB5B30-9C56-44E9-8C0D-8394F6869F7C}"/>
    <cellStyle name="Migliaia [0] 53 4 6" xfId="15999" xr:uid="{D1D44F15-B15B-46C5-911D-0E96B91BC4D8}"/>
    <cellStyle name="Migliaia [0] 53 4 7" xfId="7812" xr:uid="{7D4F3333-9E60-4CE0-B706-8A3BADD52455}"/>
    <cellStyle name="Migliaia [0] 53 5" xfId="4784" xr:uid="{D3A35F88-C82B-433A-94C0-6CA780A2FDA8}"/>
    <cellStyle name="Migliaia [0] 53 5 2" xfId="32971" xr:uid="{EECDF96A-BAB8-4BDC-A8B7-BEC1916729CF}"/>
    <cellStyle name="Migliaia [0] 53 5 2 2" xfId="38322" xr:uid="{DF7CA4C0-A2AD-4856-9237-ECB6CAC462F0}"/>
    <cellStyle name="Migliaia [0] 53 5 2 3" xfId="43624" xr:uid="{E3510A28-942C-4D62-95D6-30B86F652A69}"/>
    <cellStyle name="Migliaia [0] 53 5 3" xfId="35857" xr:uid="{36407D39-D41E-47AC-96EE-77CD886EB87C}"/>
    <cellStyle name="Migliaia [0] 53 5 4" xfId="40973" xr:uid="{584381A9-D384-4B1B-90D8-283AC42F0E1E}"/>
    <cellStyle name="Migliaia [0] 53 5 5" xfId="17126" xr:uid="{BD8BC5E9-0504-4B69-ADD1-FD407D1797D0}"/>
    <cellStyle name="Migliaia [0] 53 6" xfId="6018" xr:uid="{C60CEE32-BB38-4B9D-9B58-907D432916DC}"/>
    <cellStyle name="Migliaia [0] 53 6 2" xfId="38318" xr:uid="{508A4546-DA52-4675-9AC0-D1FEE9157160}"/>
    <cellStyle name="Migliaia [0] 53 6 3" xfId="43620" xr:uid="{B93C809E-FB0A-4EF3-B601-6531652DBE0F}"/>
    <cellStyle name="Migliaia [0] 53 6 4" xfId="32967" xr:uid="{FC31F18B-F110-42C3-9AB0-9A84C7AEB7A6}"/>
    <cellStyle name="Migliaia [0] 53 6 5" xfId="19737" xr:uid="{664787BD-7D3C-4528-9533-F00375768966}"/>
    <cellStyle name="Migliaia [0] 53 7" xfId="3058" xr:uid="{45D240B8-8F67-49BD-8A4F-90257045FAFA}"/>
    <cellStyle name="Migliaia [0] 53 7 2" xfId="35853" xr:uid="{3B576361-7ECB-4BD7-BFD3-1E4447577BBA}"/>
    <cellStyle name="Migliaia [0] 53 8" xfId="40969" xr:uid="{6717B455-18F9-43DA-A4CF-BA9A2E038DE8}"/>
    <cellStyle name="Migliaia [0] 53 9" xfId="7033" xr:uid="{58F0C426-4727-4817-9696-DA892C85ADD7}"/>
    <cellStyle name="Migliaia [0] 54" xfId="291" xr:uid="{00000000-0005-0000-0000-000099020000}"/>
    <cellStyle name="Migliaia [0] 54 2" xfId="1628" xr:uid="{00000000-0005-0000-0000-00009A020000}"/>
    <cellStyle name="Migliaia [0] 54 2 2" xfId="1629" xr:uid="{00000000-0005-0000-0000-00009B020000}"/>
    <cellStyle name="Migliaia [0] 54 2 2 2" xfId="4791" xr:uid="{114F6748-BE84-419C-B17C-553AF166F672}"/>
    <cellStyle name="Migliaia [0] 54 2 2 2 2" xfId="21818" xr:uid="{B91BE227-664F-48F0-9499-EC3EA3A60FF3}"/>
    <cellStyle name="Migliaia [0] 54 2 2 2 3" xfId="48576" xr:uid="{21E1C248-0A61-4319-A32B-9048F95938F6}"/>
    <cellStyle name="Migliaia [0] 54 2 2 2 4" xfId="50846" xr:uid="{01E6A0FD-82EA-4CCF-AAF5-28A69626158D}"/>
    <cellStyle name="Migliaia [0] 54 2 2 2 5" xfId="53862" xr:uid="{3C22D9EF-5F9E-4B5A-9010-655C2312454F}"/>
    <cellStyle name="Migliaia [0] 54 2 2 2 6" xfId="11857" xr:uid="{FEAD6D76-BC30-482F-8768-EB4862854036}"/>
    <cellStyle name="Migliaia [0] 54 2 2 3" xfId="3065" xr:uid="{FC73AD0A-9DC6-47B1-9A14-F6044BED51A0}"/>
    <cellStyle name="Migliaia [0] 54 2 2 3 2" xfId="12327" xr:uid="{6410B35E-6D51-4386-A77B-B3D784BB5A29}"/>
    <cellStyle name="Migliaia [0] 54 2 2 4" xfId="10715" xr:uid="{5B028AB6-5648-43AE-8046-457D076E3ACA}"/>
    <cellStyle name="Migliaia [0] 54 2 2 4 2" xfId="21350" xr:uid="{975C99B1-BF17-4C3A-A9DF-A96E423BA09F}"/>
    <cellStyle name="Migliaia [0] 54 2 2 4 3" xfId="46194" xr:uid="{5ABA07A1-1CFE-4C11-B945-D43EFCA7BDBD}"/>
    <cellStyle name="Migliaia [0] 54 2 2 4 4" xfId="50365" xr:uid="{851B80E9-4767-4081-AA76-D53B08AD67C2}"/>
    <cellStyle name="Migliaia [0] 54 2 2 4 5" xfId="53381" xr:uid="{C98593D4-CE7C-42E9-9511-0CA8D5FA5EA6}"/>
    <cellStyle name="Migliaia [0] 54 2 2 5" xfId="19744" xr:uid="{3E449A76-8B9D-441F-855D-4B02686F6541}"/>
    <cellStyle name="Migliaia [0] 54 2 2 6" xfId="24139" xr:uid="{B141BE1A-4F52-4779-857E-88F086FD398D}"/>
    <cellStyle name="Migliaia [0] 54 2 2 7" xfId="48869" xr:uid="{C9BBDA60-757E-4544-A87D-3856CAD6FE8C}"/>
    <cellStyle name="Migliaia [0] 54 2 2 8" xfId="49775" xr:uid="{6EA407BE-D5EB-477F-B599-013EFF252E20}"/>
    <cellStyle name="Migliaia [0] 54 2 2 9" xfId="8475" xr:uid="{0AFFE79C-C653-4C37-82DF-1677E6EAA9A2}"/>
    <cellStyle name="Migliaia [0] 54 2 3" xfId="4790" xr:uid="{F4FB53CB-1F1F-40B9-A88D-929B8DE091F1}"/>
    <cellStyle name="Migliaia [0] 54 2 3 2" xfId="32973" xr:uid="{2A3A0D06-A7D4-415B-9819-9AE566570EB3}"/>
    <cellStyle name="Migliaia [0] 54 2 3 2 2" xfId="38324" xr:uid="{3E1C8F4B-CF84-421E-A416-1FC065B9766A}"/>
    <cellStyle name="Migliaia [0] 54 2 3 2 3" xfId="43626" xr:uid="{7E8B6964-3B46-492F-8E3F-468CAC9779D1}"/>
    <cellStyle name="Migliaia [0] 54 2 3 3" xfId="35859" xr:uid="{48E424A5-445C-43BB-8BEB-FE636C7D186D}"/>
    <cellStyle name="Migliaia [0] 54 2 3 4" xfId="40975" xr:uid="{D7F4CD8B-4164-4F6E-BE30-D66941041B5F}"/>
    <cellStyle name="Migliaia [0] 54 2 3 5" xfId="11858" xr:uid="{8750A656-88EE-4400-B24E-EEBA4832BC33}"/>
    <cellStyle name="Migliaia [0] 54 2 4" xfId="6023" xr:uid="{DD369C1A-8FCB-443C-9A84-B2F92A14B8C5}"/>
    <cellStyle name="Migliaia [0] 54 2 4 2" xfId="19743" xr:uid="{CF82C218-F70C-40EA-B7E1-913AEB79A83F}"/>
    <cellStyle name="Migliaia [0] 54 2 5" xfId="3064" xr:uid="{34B2E2B9-9190-4F3D-9835-7EDC5219BB10}"/>
    <cellStyle name="Migliaia [0] 54 2 5 2" xfId="24138" xr:uid="{ECD0D751-4E6E-412B-ABA2-7D34B1AFAF0E}"/>
    <cellStyle name="Migliaia [0] 54 2 6" xfId="7285" xr:uid="{A674D3C8-B71B-4181-818B-E5691013A6CA}"/>
    <cellStyle name="Migliaia [0] 54 3" xfId="1630" xr:uid="{00000000-0005-0000-0000-00009C020000}"/>
    <cellStyle name="Migliaia [0] 54 3 2" xfId="4792" xr:uid="{79657E01-1E47-410E-B0BE-B436B89CB00E}"/>
    <cellStyle name="Migliaia [0] 54 3 2 2" xfId="18350" xr:uid="{E4563BD1-E9FE-4C1A-9714-90B9757E5C52}"/>
    <cellStyle name="Migliaia [0] 54 3 2 2 2" xfId="21819" xr:uid="{51592DF5-2CB3-4843-835C-85B8998D1D10}"/>
    <cellStyle name="Migliaia [0] 54 3 2 2 2 2" xfId="38325" xr:uid="{4428E005-8AE0-422A-9F3A-9DEBD7C39807}"/>
    <cellStyle name="Migliaia [0] 54 3 2 2 3" xfId="43627" xr:uid="{0A36794B-E595-4039-B0BE-31999F8052B1}"/>
    <cellStyle name="Migliaia [0] 54 3 2 2 4" xfId="32974" xr:uid="{4FCEC821-FD05-40B1-934A-8EC9E712DEA3}"/>
    <cellStyle name="Migliaia [0] 54 3 2 3" xfId="35860" xr:uid="{DB62CBB1-E338-4550-BDD0-231404B9AB68}"/>
    <cellStyle name="Migliaia [0] 54 3 2 4" xfId="40976" xr:uid="{22A49A8B-42B8-49BB-9A52-82F2DC79DB46}"/>
    <cellStyle name="Migliaia [0] 54 3 2 5" xfId="47211" xr:uid="{A1585752-48C1-4BF0-9699-DD864325BF1A}"/>
    <cellStyle name="Migliaia [0] 54 3 2 6" xfId="50847" xr:uid="{5F579355-6C4F-4B0B-A578-E341AC226E7E}"/>
    <cellStyle name="Migliaia [0] 54 3 2 7" xfId="53863" xr:uid="{B519BFC0-F0AD-459A-BD98-42DECE0FA38E}"/>
    <cellStyle name="Migliaia [0] 54 3 2 8" xfId="17626" xr:uid="{3FB30F15-7212-4E78-8CF9-131E98B7656E}"/>
    <cellStyle name="Migliaia [0] 54 3 2 9" xfId="11859" xr:uid="{B15484B8-C574-4F4F-8710-1C50384CDA74}"/>
    <cellStyle name="Migliaia [0] 54 3 3" xfId="6024" xr:uid="{D58E503D-AFC4-4434-B549-2FB18BF4012D}"/>
    <cellStyle name="Migliaia [0] 54 3 3 2" xfId="11669" xr:uid="{A066BCD4-C68B-4D29-8B15-17DA25020F25}"/>
    <cellStyle name="Migliaia [0] 54 3 4" xfId="3066" xr:uid="{39BC87CC-51BF-441E-A4B9-4ED72DF7966A}"/>
    <cellStyle name="Migliaia [0] 54 3 4 2" xfId="21351" xr:uid="{C310A768-11A4-484C-825E-ADAC8E5CA580}"/>
    <cellStyle name="Migliaia [0] 54 3 4 3" xfId="47411" xr:uid="{97D487E0-CAC5-4862-B6A2-9E68A360830F}"/>
    <cellStyle name="Migliaia [0] 54 3 4 4" xfId="50366" xr:uid="{0E6C00A7-D199-4613-9411-EA432DDEA9C4}"/>
    <cellStyle name="Migliaia [0] 54 3 4 5" xfId="53382" xr:uid="{191204AE-5C65-4550-84A5-5AC0291F73EF}"/>
    <cellStyle name="Migliaia [0] 54 3 4 6" xfId="10716" xr:uid="{6CDB5118-6FCC-429B-84F3-A41CD81A4B41}"/>
    <cellStyle name="Migliaia [0] 54 3 5" xfId="19745" xr:uid="{EA71A5D9-912F-4FC7-A4D8-948F6F0FDF77}"/>
    <cellStyle name="Migliaia [0] 54 3 6" xfId="24140" xr:uid="{352D7E9D-AF41-48A7-9CC8-3E09833443ED}"/>
    <cellStyle name="Migliaia [0] 54 3 7" xfId="8233" xr:uid="{3D8929A8-685B-455E-8872-4CA70B7D59B1}"/>
    <cellStyle name="Migliaia [0] 54 4" xfId="3067" xr:uid="{61DE0B87-E9F6-4FF9-9E1B-A605C81E72A6}"/>
    <cellStyle name="Migliaia [0] 54 4 2" xfId="4793" xr:uid="{09EE1087-4741-4BAF-9268-F67AE36BC563}"/>
    <cellStyle name="Migliaia [0] 54 4 2 2" xfId="35118" xr:uid="{FDEAF0A4-8842-45B9-8F5F-5A228F186F8E}"/>
    <cellStyle name="Migliaia [0] 54 4 2 2 2" xfId="40276" xr:uid="{7FA33BAE-744C-41DE-938C-89DB6DAF8E5F}"/>
    <cellStyle name="Migliaia [0] 54 4 2 2 3" xfId="45578" xr:uid="{B0287495-12D8-43A1-A48B-01171CD92DD0}"/>
    <cellStyle name="Migliaia [0] 54 4 2 3" xfId="37625" xr:uid="{062EA639-9B04-4365-8E1A-67B6CE2E0A6C}"/>
    <cellStyle name="Migliaia [0] 54 4 2 4" xfId="42927" xr:uid="{6942F042-2D99-473A-AC61-A54C3D2B1857}"/>
    <cellStyle name="Migliaia [0] 54 4 2 5" xfId="17058" xr:uid="{B9A18156-CFF5-4F1A-8A58-458ED6860ADD}"/>
    <cellStyle name="Migliaia [0] 54 4 3" xfId="6025" xr:uid="{A52AF561-328C-4B27-AEA8-A3658BC4099C}"/>
    <cellStyle name="Migliaia [0] 54 4 3 2" xfId="38326" xr:uid="{E349A14B-FCF3-482B-9340-E0E3243C1D97}"/>
    <cellStyle name="Migliaia [0] 54 4 3 3" xfId="43628" xr:uid="{A31C49EA-8CCF-4865-81ED-4AABBED45535}"/>
    <cellStyle name="Migliaia [0] 54 4 3 4" xfId="32975" xr:uid="{29A506A4-4AA3-462B-A4DE-E6E2695C640D}"/>
    <cellStyle name="Migliaia [0] 54 4 3 5" xfId="19746" xr:uid="{354E24C1-9C24-493C-BAFC-B0C8812E4A35}"/>
    <cellStyle name="Migliaia [0] 54 4 4" xfId="35861" xr:uid="{8316921A-F14B-401F-B83A-18D56A0549D5}"/>
    <cellStyle name="Migliaia [0] 54 4 5" xfId="40977" xr:uid="{0AFF63B1-4AD0-4784-BD9B-147DA90E0722}"/>
    <cellStyle name="Migliaia [0] 54 4 6" xfId="16000" xr:uid="{AF3467AC-AAF9-49F9-8A41-E7854CF0E280}"/>
    <cellStyle name="Migliaia [0] 54 4 7" xfId="7813" xr:uid="{224D1D2E-EA46-45FD-94A6-245198C86BBC}"/>
    <cellStyle name="Migliaia [0] 54 5" xfId="4789" xr:uid="{3A46AD77-BC3C-49BD-AF16-95C600A9DCE0}"/>
    <cellStyle name="Migliaia [0] 54 5 2" xfId="32976" xr:uid="{C4E81890-ADB7-4CEB-A38F-76DF71FAFC0C}"/>
    <cellStyle name="Migliaia [0] 54 5 2 2" xfId="38327" xr:uid="{53CDD668-483D-4215-93FD-63A086ECA644}"/>
    <cellStyle name="Migliaia [0] 54 5 2 3" xfId="43629" xr:uid="{2BB17CDB-246B-4DB3-9221-9E544E849CFF}"/>
    <cellStyle name="Migliaia [0] 54 5 3" xfId="35862" xr:uid="{CA22BF5F-EE8C-44E4-8590-68F86ED08D1C}"/>
    <cellStyle name="Migliaia [0] 54 5 4" xfId="40978" xr:uid="{CA38945F-2098-4364-B0E2-FD860A589664}"/>
    <cellStyle name="Migliaia [0] 54 5 5" xfId="17127" xr:uid="{923348D3-B177-44F3-A57B-7A0FAED7E0E8}"/>
    <cellStyle name="Migliaia [0] 54 6" xfId="6022" xr:uid="{7B799D0F-88BE-441F-9654-36EFF451D92A}"/>
    <cellStyle name="Migliaia [0] 54 6 2" xfId="38323" xr:uid="{744B31E1-18D9-4ADD-9BD8-3B690271F870}"/>
    <cellStyle name="Migliaia [0] 54 6 3" xfId="43625" xr:uid="{D4510D3B-5628-42B7-A767-08E18C680BEB}"/>
    <cellStyle name="Migliaia [0] 54 6 4" xfId="32972" xr:uid="{8513B5FF-36CC-4BD4-8E9F-EAAC685AE726}"/>
    <cellStyle name="Migliaia [0] 54 6 5" xfId="19742" xr:uid="{081DCB07-EFF8-4470-821D-FFD58CE49061}"/>
    <cellStyle name="Migliaia [0] 54 7" xfId="3063" xr:uid="{37B45DBE-00BD-43F3-B428-A7DC649A027E}"/>
    <cellStyle name="Migliaia [0] 54 7 2" xfId="35858" xr:uid="{743C48B9-3CF0-4A95-AB3A-246877AD95D1}"/>
    <cellStyle name="Migliaia [0] 54 8" xfId="40974" xr:uid="{8EDDC017-0E31-4D98-ABC4-D440A52B5D77}"/>
    <cellStyle name="Migliaia [0] 54 9" xfId="7034" xr:uid="{7D5D449C-487D-45BD-BAAA-D66BF70D442C}"/>
    <cellStyle name="Migliaia [0] 55" xfId="292" xr:uid="{00000000-0005-0000-0000-00009D020000}"/>
    <cellStyle name="Migliaia [0] 55 2" xfId="1631" xr:uid="{00000000-0005-0000-0000-00009E020000}"/>
    <cellStyle name="Migliaia [0] 55 2 2" xfId="1632" xr:uid="{00000000-0005-0000-0000-00009F020000}"/>
    <cellStyle name="Migliaia [0] 55 2 2 2" xfId="4796" xr:uid="{BFE43E66-7FB7-46EC-A49A-89D14BFC2C6E}"/>
    <cellStyle name="Migliaia [0] 55 2 2 2 2" xfId="21820" xr:uid="{72101062-652A-4F03-8583-5E141748AF15}"/>
    <cellStyle name="Migliaia [0] 55 2 2 2 3" xfId="46658" xr:uid="{B1B7EA10-C940-44F4-BFE5-EFD4063E6FF3}"/>
    <cellStyle name="Migliaia [0] 55 2 2 2 4" xfId="50848" xr:uid="{5E94BE8E-9F95-48D3-9276-CD019C536F9F}"/>
    <cellStyle name="Migliaia [0] 55 2 2 2 5" xfId="53864" xr:uid="{DBB053AE-0775-449E-9752-3BFEDC853E63}"/>
    <cellStyle name="Migliaia [0] 55 2 2 2 6" xfId="11860" xr:uid="{0FCDD52F-0783-4189-BAC3-097C72717FE8}"/>
    <cellStyle name="Migliaia [0] 55 2 2 3" xfId="3070" xr:uid="{3E7D282B-A20A-442F-832F-47838B302013}"/>
    <cellStyle name="Migliaia [0] 55 2 2 3 2" xfId="11678" xr:uid="{39561012-399F-469E-874C-59EE95F1AC22}"/>
    <cellStyle name="Migliaia [0] 55 2 2 4" xfId="10717" xr:uid="{A6566BC0-CCA0-44CE-98A2-B2742811CD1B}"/>
    <cellStyle name="Migliaia [0] 55 2 2 4 2" xfId="21352" xr:uid="{F974042B-36B9-4DF1-A027-317117182DB5}"/>
    <cellStyle name="Migliaia [0] 55 2 2 4 3" xfId="46195" xr:uid="{3A70321F-1A38-4602-BA69-4CA272DA602A}"/>
    <cellStyle name="Migliaia [0] 55 2 2 4 4" xfId="50367" xr:uid="{73A54765-7646-4551-B3F4-868358DA2AE6}"/>
    <cellStyle name="Migliaia [0] 55 2 2 4 5" xfId="53383" xr:uid="{BA699B79-604C-49AD-9CB8-FE71B0ABC2B2}"/>
    <cellStyle name="Migliaia [0] 55 2 2 5" xfId="19749" xr:uid="{017948B5-2BB1-45BF-B741-85216129CE02}"/>
    <cellStyle name="Migliaia [0] 55 2 2 6" xfId="24142" xr:uid="{DCE0A87A-8772-4CD3-948C-66B7E6673981}"/>
    <cellStyle name="Migliaia [0] 55 2 2 7" xfId="48870" xr:uid="{418E4318-5301-4E24-A148-DA66F0950E7D}"/>
    <cellStyle name="Migliaia [0] 55 2 2 8" xfId="49776" xr:uid="{50CB0473-06D8-40C6-9900-D2636FBB64E4}"/>
    <cellStyle name="Migliaia [0] 55 2 2 9" xfId="8476" xr:uid="{4D7625C6-9F78-4630-9F64-89266B33BD66}"/>
    <cellStyle name="Migliaia [0] 55 2 3" xfId="4795" xr:uid="{84C0092C-7441-4F8A-9269-0AD44C246B4E}"/>
    <cellStyle name="Migliaia [0] 55 2 3 2" xfId="32978" xr:uid="{7EBC7A87-35BC-4F7F-AB9D-E4690CC0B32E}"/>
    <cellStyle name="Migliaia [0] 55 2 3 2 2" xfId="38329" xr:uid="{EE4EE7AC-E9FA-46D8-8193-82CDDFC983DB}"/>
    <cellStyle name="Migliaia [0] 55 2 3 2 3" xfId="43631" xr:uid="{C18E7D22-06AA-4EF8-9555-8F00B10C394A}"/>
    <cellStyle name="Migliaia [0] 55 2 3 3" xfId="35864" xr:uid="{5A148252-66AB-4B8F-AF6C-FDB32E64E912}"/>
    <cellStyle name="Migliaia [0] 55 2 3 4" xfId="40980" xr:uid="{643ABA00-9BF0-49C4-B8B1-5691463AA348}"/>
    <cellStyle name="Migliaia [0] 55 2 3 5" xfId="11861" xr:uid="{26013E83-7325-4BFB-B86C-7C4081D33DE2}"/>
    <cellStyle name="Migliaia [0] 55 2 4" xfId="6027" xr:uid="{D467B8C5-D001-4F40-B1D1-DA6912AA2941}"/>
    <cellStyle name="Migliaia [0] 55 2 4 2" xfId="19748" xr:uid="{79D06A79-1471-4E60-958B-492D25193CBE}"/>
    <cellStyle name="Migliaia [0] 55 2 5" xfId="3069" xr:uid="{4C250386-9609-48B5-A067-D65B9C35E1FA}"/>
    <cellStyle name="Migliaia [0] 55 2 5 2" xfId="24141" xr:uid="{781DDF70-E6C1-4DA5-9A69-22DEE3E4DB53}"/>
    <cellStyle name="Migliaia [0] 55 2 6" xfId="7286" xr:uid="{D8E5821A-305A-45B8-84DB-79398F35C071}"/>
    <cellStyle name="Migliaia [0] 55 3" xfId="1633" xr:uid="{00000000-0005-0000-0000-0000A0020000}"/>
    <cellStyle name="Migliaia [0] 55 3 2" xfId="4797" xr:uid="{9A159581-4814-4B47-8AE6-D8DF7B45E838}"/>
    <cellStyle name="Migliaia [0] 55 3 2 2" xfId="18351" xr:uid="{B42AF654-575A-40BE-8E94-6723C8414B65}"/>
    <cellStyle name="Migliaia [0] 55 3 2 2 2" xfId="21821" xr:uid="{3AB1F221-DCDA-4EF0-AA5C-7656C61AC9A8}"/>
    <cellStyle name="Migliaia [0] 55 3 2 2 2 2" xfId="38330" xr:uid="{9BAC4CE4-0536-4814-B8E1-21A8BCD6A005}"/>
    <cellStyle name="Migliaia [0] 55 3 2 2 3" xfId="43632" xr:uid="{38DF4FAB-D3AE-47B3-B659-76B448E84640}"/>
    <cellStyle name="Migliaia [0] 55 3 2 2 4" xfId="32979" xr:uid="{C5F13B91-0730-45BA-851F-0211BEE429E6}"/>
    <cellStyle name="Migliaia [0] 55 3 2 3" xfId="35865" xr:uid="{8C757217-45D5-4195-A158-76563A82FDED}"/>
    <cellStyle name="Migliaia [0] 55 3 2 4" xfId="40981" xr:uid="{FA61D97A-B0A0-42B7-A933-CD4DD8F989AF}"/>
    <cellStyle name="Migliaia [0] 55 3 2 5" xfId="47857" xr:uid="{AB8256A7-694F-40A0-B111-88A003301B19}"/>
    <cellStyle name="Migliaia [0] 55 3 2 6" xfId="50849" xr:uid="{BFC88732-0732-42FF-AF02-D760F3CB8F76}"/>
    <cellStyle name="Migliaia [0] 55 3 2 7" xfId="53865" xr:uid="{748DD0C4-97F0-4B37-BAA5-66632D90FEDC}"/>
    <cellStyle name="Migliaia [0] 55 3 2 8" xfId="17627" xr:uid="{0819EE8D-B80E-4C34-88EE-289D557AA76E}"/>
    <cellStyle name="Migliaia [0] 55 3 2 9" xfId="11862" xr:uid="{F5B62158-31F7-42F1-893A-AC912B358878}"/>
    <cellStyle name="Migliaia [0] 55 3 3" xfId="6028" xr:uid="{47DC5F4A-B314-4732-BEE8-76C710FF9B70}"/>
    <cellStyle name="Migliaia [0] 55 3 3 2" xfId="12365" xr:uid="{C9BED3D1-77C0-4F13-AD83-E4FD2A0971BC}"/>
    <cellStyle name="Migliaia [0] 55 3 4" xfId="3071" xr:uid="{2331F957-0EBA-4C06-B16C-2AAC73AAE6FE}"/>
    <cellStyle name="Migliaia [0] 55 3 4 2" xfId="21353" xr:uid="{C4FCA0F3-CD49-479E-856B-B1FE204F4CF8}"/>
    <cellStyle name="Migliaia [0] 55 3 4 3" xfId="47708" xr:uid="{75613EBE-CCD6-43D2-8EE1-112C8A707903}"/>
    <cellStyle name="Migliaia [0] 55 3 4 4" xfId="50368" xr:uid="{558050C9-71DD-488B-B07A-C59D76DAB4CD}"/>
    <cellStyle name="Migliaia [0] 55 3 4 5" xfId="53384" xr:uid="{1B51BA99-CC7D-4AD0-A354-AABE1F386076}"/>
    <cellStyle name="Migliaia [0] 55 3 4 6" xfId="10718" xr:uid="{8FE14D8C-9319-4A7F-8382-203A5B2D2616}"/>
    <cellStyle name="Migliaia [0] 55 3 5" xfId="19750" xr:uid="{9A49815A-A8EB-4D03-809A-EE86AE51CEED}"/>
    <cellStyle name="Migliaia [0] 55 3 6" xfId="24143" xr:uid="{5A500F53-B2DA-4AF1-A842-E7C34A7726DE}"/>
    <cellStyle name="Migliaia [0] 55 3 7" xfId="8234" xr:uid="{14234534-91F3-43AF-BABE-99888BFEBB26}"/>
    <cellStyle name="Migliaia [0] 55 4" xfId="3072" xr:uid="{04C9F5AA-9885-4D04-93F8-1D79B8CFA665}"/>
    <cellStyle name="Migliaia [0] 55 4 2" xfId="4798" xr:uid="{E91482C7-31B0-45CE-B034-D2D681E127E6}"/>
    <cellStyle name="Migliaia [0] 55 4 2 2" xfId="35119" xr:uid="{7AE6E324-DB8F-4436-8610-A2125DE27373}"/>
    <cellStyle name="Migliaia [0] 55 4 2 2 2" xfId="40277" xr:uid="{FB5A88B5-F04E-4FED-95C5-1C2C0FFD1BC2}"/>
    <cellStyle name="Migliaia [0] 55 4 2 2 3" xfId="45579" xr:uid="{38D86045-FCFA-492C-9155-712B76908BC6}"/>
    <cellStyle name="Migliaia [0] 55 4 2 3" xfId="37626" xr:uid="{77AC35D8-DD36-4001-A447-B2600E486E17}"/>
    <cellStyle name="Migliaia [0] 55 4 2 4" xfId="42928" xr:uid="{4AA53FE6-0452-481B-9B15-7A2391972908}"/>
    <cellStyle name="Migliaia [0] 55 4 2 5" xfId="17059" xr:uid="{E76396E6-BB13-4ACF-A38B-724455DD8427}"/>
    <cellStyle name="Migliaia [0] 55 4 3" xfId="6029" xr:uid="{2DB7BE47-676B-4576-BFE9-F1D088692DA8}"/>
    <cellStyle name="Migliaia [0] 55 4 3 2" xfId="38331" xr:uid="{E82F0CCF-1717-44C8-8846-30C59E68ACEA}"/>
    <cellStyle name="Migliaia [0] 55 4 3 3" xfId="43633" xr:uid="{54EA62ED-77B0-43CD-A72B-66E42CBC131C}"/>
    <cellStyle name="Migliaia [0] 55 4 3 4" xfId="32980" xr:uid="{752211BB-FC4B-4B85-9107-945788F0A569}"/>
    <cellStyle name="Migliaia [0] 55 4 3 5" xfId="19751" xr:uid="{C94FC0D8-B5BD-45F3-AF86-F31986F84232}"/>
    <cellStyle name="Migliaia [0] 55 4 4" xfId="35866" xr:uid="{F81D5FCA-DEB5-40A2-94AD-DF17C78F66E2}"/>
    <cellStyle name="Migliaia [0] 55 4 5" xfId="40982" xr:uid="{76B2D43B-3DBC-427A-B73C-0DCC302C0849}"/>
    <cellStyle name="Migliaia [0] 55 4 6" xfId="16001" xr:uid="{7555595D-470C-433A-A684-4F955EEE902A}"/>
    <cellStyle name="Migliaia [0] 55 4 7" xfId="7814" xr:uid="{1463D21C-4C30-40BB-B479-1B2A2820BA7B}"/>
    <cellStyle name="Migliaia [0] 55 5" xfId="4794" xr:uid="{1FB84817-2C66-4069-B9B9-D3CA52F84505}"/>
    <cellStyle name="Migliaia [0] 55 5 2" xfId="32981" xr:uid="{30383317-1378-4252-8CDD-454D93822D42}"/>
    <cellStyle name="Migliaia [0] 55 5 2 2" xfId="38332" xr:uid="{57A4FEAE-55ED-4889-A601-5C9541F611AA}"/>
    <cellStyle name="Migliaia [0] 55 5 2 3" xfId="43634" xr:uid="{E1B29C0E-C526-4B16-BB57-565449052724}"/>
    <cellStyle name="Migliaia [0] 55 5 3" xfId="35867" xr:uid="{D8AA4DA7-3BDD-4D90-8DDD-400DAB264158}"/>
    <cellStyle name="Migliaia [0] 55 5 4" xfId="40983" xr:uid="{569D8409-3945-4466-9565-27ED1D23EB92}"/>
    <cellStyle name="Migliaia [0] 55 5 5" xfId="17128" xr:uid="{385FAB53-9501-4300-95A2-A6E6CE1B68F2}"/>
    <cellStyle name="Migliaia [0] 55 6" xfId="6026" xr:uid="{97DF3CA0-740A-4BB4-B6AA-8286821F3E9D}"/>
    <cellStyle name="Migliaia [0] 55 6 2" xfId="38328" xr:uid="{8911684C-441F-432F-958D-D8A342602D6A}"/>
    <cellStyle name="Migliaia [0] 55 6 3" xfId="43630" xr:uid="{42C642FF-87C2-4BA7-90F1-E91284947FCB}"/>
    <cellStyle name="Migliaia [0] 55 6 4" xfId="32977" xr:uid="{007868C2-4DF0-4EEE-9757-8C7B1BE0B085}"/>
    <cellStyle name="Migliaia [0] 55 6 5" xfId="19747" xr:uid="{3EEF65FB-AB4E-4F54-A248-41CDF715831E}"/>
    <cellStyle name="Migliaia [0] 55 7" xfId="3068" xr:uid="{640039D4-44CD-486D-9E5B-88C6D27EB6FD}"/>
    <cellStyle name="Migliaia [0] 55 7 2" xfId="35863" xr:uid="{1A033BE2-13DD-4507-B2B5-0A161F825DD7}"/>
    <cellStyle name="Migliaia [0] 55 8" xfId="40979" xr:uid="{95CA14EE-BEDD-468E-80F1-203BDEF7685E}"/>
    <cellStyle name="Migliaia [0] 55 9" xfId="7035" xr:uid="{533031DF-5BD7-42E1-BAA7-23BC4B584D87}"/>
    <cellStyle name="Migliaia [0] 56" xfId="293" xr:uid="{00000000-0005-0000-0000-0000A1020000}"/>
    <cellStyle name="Migliaia [0] 56 2" xfId="1634" xr:uid="{00000000-0005-0000-0000-0000A2020000}"/>
    <cellStyle name="Migliaia [0] 56 2 2" xfId="1635" xr:uid="{00000000-0005-0000-0000-0000A3020000}"/>
    <cellStyle name="Migliaia [0] 56 2 2 2" xfId="4801" xr:uid="{AD020D14-894C-4083-BFC7-86D1DA4C5BF4}"/>
    <cellStyle name="Migliaia [0] 56 2 2 2 2" xfId="21822" xr:uid="{CD840C60-364C-4DE4-AC54-92453523F5C6}"/>
    <cellStyle name="Migliaia [0] 56 2 2 2 3" xfId="48296" xr:uid="{6895E70C-B688-4E30-A89F-1A5135FBD54B}"/>
    <cellStyle name="Migliaia [0] 56 2 2 2 4" xfId="50850" xr:uid="{FB05A4A8-06B1-4587-B209-7BF68CB6A966}"/>
    <cellStyle name="Migliaia [0] 56 2 2 2 5" xfId="53866" xr:uid="{F2B2FFE7-4C1D-4C6E-B5FD-321B7AAB202E}"/>
    <cellStyle name="Migliaia [0] 56 2 2 2 6" xfId="11863" xr:uid="{0E4E0294-3EEF-4DB6-A0C1-1BB32AA3AF86}"/>
    <cellStyle name="Migliaia [0] 56 2 2 3" xfId="3075" xr:uid="{ED7E2A12-86EA-493B-9B24-D25FB970958A}"/>
    <cellStyle name="Migliaia [0] 56 2 2 3 2" xfId="11555" xr:uid="{C414E56D-0464-46F3-A04F-0A4126030133}"/>
    <cellStyle name="Migliaia [0] 56 2 2 4" xfId="10719" xr:uid="{C18C9796-9D6A-44BB-9462-E7F7C1887EDA}"/>
    <cellStyle name="Migliaia [0] 56 2 2 4 2" xfId="21354" xr:uid="{A9E454A7-5F36-4442-9F7C-31B53AE2E465}"/>
    <cellStyle name="Migliaia [0] 56 2 2 4 3" xfId="48003" xr:uid="{51DEF3E0-918C-4F9C-AAA5-AB9F25F86DEC}"/>
    <cellStyle name="Migliaia [0] 56 2 2 4 4" xfId="50369" xr:uid="{3F7CA925-F171-400B-82F6-101C7D2FECA4}"/>
    <cellStyle name="Migliaia [0] 56 2 2 4 5" xfId="53385" xr:uid="{EE9D7A0F-0385-488D-8CB5-649CFA49216D}"/>
    <cellStyle name="Migliaia [0] 56 2 2 5" xfId="19754" xr:uid="{924196A3-1D59-473D-9305-23E9652D5806}"/>
    <cellStyle name="Migliaia [0] 56 2 2 6" xfId="24145" xr:uid="{7C6A1B12-B990-4485-9886-76345D4CA63E}"/>
    <cellStyle name="Migliaia [0] 56 2 2 7" xfId="48871" xr:uid="{620B6627-0AEF-498F-B85B-FA51FD6858D9}"/>
    <cellStyle name="Migliaia [0] 56 2 2 8" xfId="49777" xr:uid="{D5B03D12-9ABA-4AFB-B422-5ADBD52EA45F}"/>
    <cellStyle name="Migliaia [0] 56 2 2 9" xfId="8477" xr:uid="{32B5ECFA-3E22-40BF-87AF-FD0B3F00B8DD}"/>
    <cellStyle name="Migliaia [0] 56 2 3" xfId="4800" xr:uid="{0BECB78D-8A69-4675-87D2-29487D49AE10}"/>
    <cellStyle name="Migliaia [0] 56 2 3 2" xfId="32983" xr:uid="{12BFE63F-288D-44EA-95B4-204A20C70D17}"/>
    <cellStyle name="Migliaia [0] 56 2 3 2 2" xfId="38334" xr:uid="{2AA23FE2-22B8-42FE-A5D6-57ABBCC62C70}"/>
    <cellStyle name="Migliaia [0] 56 2 3 2 3" xfId="43636" xr:uid="{2EACEF44-372A-4FBB-A1E1-C75578839BB2}"/>
    <cellStyle name="Migliaia [0] 56 2 3 3" xfId="35869" xr:uid="{8BF74163-1C58-4B02-B84C-4CAEEF827A19}"/>
    <cellStyle name="Migliaia [0] 56 2 3 4" xfId="40985" xr:uid="{7A22B3CF-F41F-471C-ACEB-0CEB38BEDD63}"/>
    <cellStyle name="Migliaia [0] 56 2 3 5" xfId="11864" xr:uid="{E391A7AB-D0F6-4EF0-8B30-E7D240235D9C}"/>
    <cellStyle name="Migliaia [0] 56 2 4" xfId="6031" xr:uid="{9FC27219-0FFA-4845-8B98-CCD22747FE4E}"/>
    <cellStyle name="Migliaia [0] 56 2 4 2" xfId="19753" xr:uid="{3F0A530A-EBE2-400E-8705-0EC27627F0A8}"/>
    <cellStyle name="Migliaia [0] 56 2 5" xfId="3074" xr:uid="{70BB7426-E453-4F53-B893-A1FCA6BE7167}"/>
    <cellStyle name="Migliaia [0] 56 2 5 2" xfId="24144" xr:uid="{E59DADB2-4F52-4E71-AF23-D979C5FD83AD}"/>
    <cellStyle name="Migliaia [0] 56 2 6" xfId="7287" xr:uid="{918C9FE0-E29D-4232-A92B-36969B46B456}"/>
    <cellStyle name="Migliaia [0] 56 3" xfId="1636" xr:uid="{00000000-0005-0000-0000-0000A4020000}"/>
    <cellStyle name="Migliaia [0] 56 3 2" xfId="4802" xr:uid="{6A029718-D782-45EB-82F2-892452A3A8B7}"/>
    <cellStyle name="Migliaia [0] 56 3 2 2" xfId="18352" xr:uid="{45AAB1D5-F209-437C-8649-AA59FB1F998D}"/>
    <cellStyle name="Migliaia [0] 56 3 2 2 2" xfId="21823" xr:uid="{93F890D8-CE8C-4B77-9524-EB40BFA52130}"/>
    <cellStyle name="Migliaia [0] 56 3 2 2 2 2" xfId="38335" xr:uid="{757A0D47-9C88-435E-9DA6-BB4EEDD6D566}"/>
    <cellStyle name="Migliaia [0] 56 3 2 2 3" xfId="43637" xr:uid="{202C03CF-B3DD-4919-8DAF-4D7820F87AA0}"/>
    <cellStyle name="Migliaia [0] 56 3 2 2 4" xfId="32984" xr:uid="{64928622-B580-4406-ADE5-E2E3D8837054}"/>
    <cellStyle name="Migliaia [0] 56 3 2 3" xfId="35870" xr:uid="{A9D6CAC1-DEBA-4930-8326-FAC2933C6699}"/>
    <cellStyle name="Migliaia [0] 56 3 2 4" xfId="40986" xr:uid="{540AAC79-E92D-4F6A-A32C-02529F75DA96}"/>
    <cellStyle name="Migliaia [0] 56 3 2 5" xfId="25340" xr:uid="{7DB6FE0F-FB14-458B-91BC-89F9F1E39531}"/>
    <cellStyle name="Migliaia [0] 56 3 2 6" xfId="50851" xr:uid="{E6F1010E-343E-4F15-808E-D8150BEA6646}"/>
    <cellStyle name="Migliaia [0] 56 3 2 7" xfId="53867" xr:uid="{8D01C667-9244-4613-AD3C-48ED364C05B9}"/>
    <cellStyle name="Migliaia [0] 56 3 2 8" xfId="17628" xr:uid="{C19B822A-30DE-4D65-A045-31B7CB6F66E0}"/>
    <cellStyle name="Migliaia [0] 56 3 2 9" xfId="11865" xr:uid="{CB3794DA-E5C7-4008-85FA-04B1E38E7206}"/>
    <cellStyle name="Migliaia [0] 56 3 3" xfId="6032" xr:uid="{50B662D2-3531-4E7A-8CDF-E200654BF44F}"/>
    <cellStyle name="Migliaia [0] 56 3 3 2" xfId="12207" xr:uid="{5C573299-A4BA-4289-8EFA-8CC81DDB967B}"/>
    <cellStyle name="Migliaia [0] 56 3 4" xfId="3076" xr:uid="{8D716C5B-1195-488D-AD59-C7AA64FD2993}"/>
    <cellStyle name="Migliaia [0] 56 3 4 2" xfId="21355" xr:uid="{9D7314F4-9489-4ED0-BBD2-820ABD3BB32D}"/>
    <cellStyle name="Migliaia [0] 56 3 4 3" xfId="46196" xr:uid="{9FE2B47C-0A39-424C-84C2-4415E7A4BBC8}"/>
    <cellStyle name="Migliaia [0] 56 3 4 4" xfId="50370" xr:uid="{CCEDEC20-F6DF-4AC8-A0FA-990AF7A25D72}"/>
    <cellStyle name="Migliaia [0] 56 3 4 5" xfId="53386" xr:uid="{DF4FF0A2-154B-4EF6-B609-003336F76C91}"/>
    <cellStyle name="Migliaia [0] 56 3 4 6" xfId="10720" xr:uid="{5F51FBF0-6B14-41ED-BE82-29B31456BD92}"/>
    <cellStyle name="Migliaia [0] 56 3 5" xfId="19755" xr:uid="{3D30FF1C-7EBE-416A-AE9A-804DF2B4BEB5}"/>
    <cellStyle name="Migliaia [0] 56 3 6" xfId="24146" xr:uid="{1F59B6F7-5421-445D-8BD1-AF17D1A13094}"/>
    <cellStyle name="Migliaia [0] 56 3 7" xfId="8235" xr:uid="{4779CD4C-F662-4410-8DD8-732A53D87DC9}"/>
    <cellStyle name="Migliaia [0] 56 4" xfId="3077" xr:uid="{A8BF5B66-CB83-4980-8DC5-A239E5F88147}"/>
    <cellStyle name="Migliaia [0] 56 4 2" xfId="4803" xr:uid="{904ED14C-6FD4-4260-854B-6C8E1FCB5C73}"/>
    <cellStyle name="Migliaia [0] 56 4 2 2" xfId="35120" xr:uid="{CF0C8EC9-AC54-4448-8B55-BED11A786322}"/>
    <cellStyle name="Migliaia [0] 56 4 2 2 2" xfId="40278" xr:uid="{F75ABAD8-18AE-43D6-9982-46CB15FBD310}"/>
    <cellStyle name="Migliaia [0] 56 4 2 2 3" xfId="45580" xr:uid="{29A16A15-88B5-427F-8B73-96015150CF1A}"/>
    <cellStyle name="Migliaia [0] 56 4 2 3" xfId="37627" xr:uid="{AA5A50C3-A180-4509-8313-EA7A400C7A46}"/>
    <cellStyle name="Migliaia [0] 56 4 2 4" xfId="42929" xr:uid="{D0D3C13B-6569-4FCA-BA70-F28963D76C2B}"/>
    <cellStyle name="Migliaia [0] 56 4 2 5" xfId="17060" xr:uid="{83AED264-CEE2-4554-A33C-C409F0154CFB}"/>
    <cellStyle name="Migliaia [0] 56 4 3" xfId="6033" xr:uid="{827AA4E7-B042-4911-97F8-213F987E80F5}"/>
    <cellStyle name="Migliaia [0] 56 4 3 2" xfId="38336" xr:uid="{888ABED1-4156-40B3-A4AE-D0E0BB7C3850}"/>
    <cellStyle name="Migliaia [0] 56 4 3 3" xfId="43638" xr:uid="{017927DB-2D08-49A9-B55E-3931F87C68C9}"/>
    <cellStyle name="Migliaia [0] 56 4 3 4" xfId="32985" xr:uid="{47F8D1DC-A924-4A91-8EEB-312E0793702E}"/>
    <cellStyle name="Migliaia [0] 56 4 3 5" xfId="19756" xr:uid="{9179DB8F-3F9B-4940-9053-9A8810AFEE31}"/>
    <cellStyle name="Migliaia [0] 56 4 4" xfId="35871" xr:uid="{1708621B-0FD9-42CE-8D12-0DC7489BD43B}"/>
    <cellStyle name="Migliaia [0] 56 4 5" xfId="40987" xr:uid="{E2C6623B-2955-4BE9-8C70-132828BC5B3D}"/>
    <cellStyle name="Migliaia [0] 56 4 6" xfId="16002" xr:uid="{B67B4ABB-5A6F-42D7-9E7C-FC96228ECF3F}"/>
    <cellStyle name="Migliaia [0] 56 4 7" xfId="7815" xr:uid="{8DFAD1AE-6123-43A3-A12B-41A5D8358EF9}"/>
    <cellStyle name="Migliaia [0] 56 5" xfId="4799" xr:uid="{4ADB6B4B-1699-47F6-B319-530865D8AB5A}"/>
    <cellStyle name="Migliaia [0] 56 5 2" xfId="32986" xr:uid="{79CA4C4A-5F24-4AA4-AF82-5A44CB42EB92}"/>
    <cellStyle name="Migliaia [0] 56 5 2 2" xfId="38337" xr:uid="{5AE277DA-F558-44BC-B2F6-DBF68A4FB3DF}"/>
    <cellStyle name="Migliaia [0] 56 5 2 3" xfId="43639" xr:uid="{6506A1E5-0CE7-494E-9467-F2F5BD7CFE92}"/>
    <cellStyle name="Migliaia [0] 56 5 3" xfId="35872" xr:uid="{A1C5120A-AE7D-4792-92F8-AC15E7A603E4}"/>
    <cellStyle name="Migliaia [0] 56 5 4" xfId="40988" xr:uid="{36C6E05C-1940-453E-BAE3-341CF1D9DAF8}"/>
    <cellStyle name="Migliaia [0] 56 5 5" xfId="17129" xr:uid="{4E8EED6E-5C82-42AE-93B3-7144684E5DAC}"/>
    <cellStyle name="Migliaia [0] 56 6" xfId="6030" xr:uid="{3637DAC5-A674-4909-9BB2-EF30B1F50CEB}"/>
    <cellStyle name="Migliaia [0] 56 6 2" xfId="38333" xr:uid="{FAD6885D-FA5A-4BFA-B7DA-0D7782656489}"/>
    <cellStyle name="Migliaia [0] 56 6 3" xfId="43635" xr:uid="{A90D7776-2C49-4C33-8B74-9692DFFE1868}"/>
    <cellStyle name="Migliaia [0] 56 6 4" xfId="32982" xr:uid="{E177A281-DF0B-47A8-99AA-52402E853FB2}"/>
    <cellStyle name="Migliaia [0] 56 6 5" xfId="19752" xr:uid="{7BBA9655-9B6C-4BB4-8F30-1A4930369860}"/>
    <cellStyle name="Migliaia [0] 56 7" xfId="3073" xr:uid="{B4A479B9-8C6E-451C-9DFE-A1D74A2E20A1}"/>
    <cellStyle name="Migliaia [0] 56 7 2" xfId="35868" xr:uid="{86DBDBAC-D6A3-4E9F-BEDC-CC98FF65BEA3}"/>
    <cellStyle name="Migliaia [0] 56 8" xfId="40984" xr:uid="{0CF86304-A926-4352-BC94-FFC6BB761DBB}"/>
    <cellStyle name="Migliaia [0] 56 9" xfId="7036" xr:uid="{A93DC577-B3B4-4E4C-AD4F-A11DDD613FE8}"/>
    <cellStyle name="Migliaia [0] 57" xfId="294" xr:uid="{00000000-0005-0000-0000-0000A5020000}"/>
    <cellStyle name="Migliaia [0] 57 2" xfId="1637" xr:uid="{00000000-0005-0000-0000-0000A6020000}"/>
    <cellStyle name="Migliaia [0] 57 2 2" xfId="1638" xr:uid="{00000000-0005-0000-0000-0000A7020000}"/>
    <cellStyle name="Migliaia [0] 57 2 2 2" xfId="4806" xr:uid="{BCCBF600-990C-4B36-B3D0-FA136E4272E4}"/>
    <cellStyle name="Migliaia [0] 57 2 2 2 2" xfId="21824" xr:uid="{E92AD56C-8C2B-46FF-98B0-EE3A1D291AF3}"/>
    <cellStyle name="Migliaia [0] 57 2 2 2 3" xfId="47804" xr:uid="{E64DD650-6BE1-4C76-A378-D89A857AD8DA}"/>
    <cellStyle name="Migliaia [0] 57 2 2 2 4" xfId="50852" xr:uid="{7F97366B-4E5E-46A6-A930-60DC01776F64}"/>
    <cellStyle name="Migliaia [0] 57 2 2 2 5" xfId="53868" xr:uid="{C0FC1A6F-110A-474A-AAC7-8CCDB6AD9E41}"/>
    <cellStyle name="Migliaia [0] 57 2 2 2 6" xfId="11866" xr:uid="{58A0785F-B63B-43C9-B15B-247FCFBA72CD}"/>
    <cellStyle name="Migliaia [0] 57 2 2 3" xfId="3080" xr:uid="{907FFE9F-6FCA-4ED8-8407-2CDF41CF0B12}"/>
    <cellStyle name="Migliaia [0] 57 2 2 3 2" xfId="12326" xr:uid="{11DB10B8-B8F1-4541-85C1-5BA8332D9C16}"/>
    <cellStyle name="Migliaia [0] 57 2 2 4" xfId="10721" xr:uid="{647A7C0A-42BC-47E8-8537-B192E42EC64B}"/>
    <cellStyle name="Migliaia [0] 57 2 2 4 2" xfId="21356" xr:uid="{5C686F36-4C32-4344-9EAF-9D58CB894B03}"/>
    <cellStyle name="Migliaia [0] 57 2 2 4 3" xfId="48574" xr:uid="{88BD75BA-B1C0-4B67-B446-3BA003297176}"/>
    <cellStyle name="Migliaia [0] 57 2 2 4 4" xfId="50371" xr:uid="{22BEC2CF-2A0F-4C10-A5F2-B8417ED25CF1}"/>
    <cellStyle name="Migliaia [0] 57 2 2 4 5" xfId="53387" xr:uid="{F08176F7-F49A-4743-9705-312AB9FC8E6B}"/>
    <cellStyle name="Migliaia [0] 57 2 2 5" xfId="19759" xr:uid="{EBBE565E-F23C-453D-AB4B-70C1F205B542}"/>
    <cellStyle name="Migliaia [0] 57 2 2 6" xfId="24148" xr:uid="{C894835A-1F54-443B-B9EC-5DCB58AAAFFA}"/>
    <cellStyle name="Migliaia [0] 57 2 2 7" xfId="48872" xr:uid="{A7E8B3A9-2AE0-474B-B84B-B0D8858AF58C}"/>
    <cellStyle name="Migliaia [0] 57 2 2 8" xfId="49778" xr:uid="{04872BA1-8E07-49E9-AE16-02A264CEDE4B}"/>
    <cellStyle name="Migliaia [0] 57 2 2 9" xfId="8478" xr:uid="{5B8DB0AF-7305-47BF-8568-2E1E6F49647E}"/>
    <cellStyle name="Migliaia [0] 57 2 3" xfId="4805" xr:uid="{1B769285-B18C-4CF7-8A40-ACBBCCD9AF7C}"/>
    <cellStyle name="Migliaia [0] 57 2 3 2" xfId="32988" xr:uid="{10FBDFA8-C79E-4738-9424-203AE9386C63}"/>
    <cellStyle name="Migliaia [0] 57 2 3 2 2" xfId="38339" xr:uid="{9E9382E9-6D41-4B7F-BD3A-A168FCD934AF}"/>
    <cellStyle name="Migliaia [0] 57 2 3 2 3" xfId="43641" xr:uid="{5A48E03A-C0C2-4448-AA5A-828AAD111EBF}"/>
    <cellStyle name="Migliaia [0] 57 2 3 3" xfId="35874" xr:uid="{D6658816-EB04-4296-B31C-1DEEB4836C43}"/>
    <cellStyle name="Migliaia [0] 57 2 3 4" xfId="40990" xr:uid="{E298E793-6C61-4CB0-9287-5D3692911954}"/>
    <cellStyle name="Migliaia [0] 57 2 3 5" xfId="11867" xr:uid="{8313ADDC-2508-4550-972D-B11D9480E99F}"/>
    <cellStyle name="Migliaia [0] 57 2 4" xfId="6035" xr:uid="{C7C5C9FE-0F1D-4187-952B-7970CC7030B0}"/>
    <cellStyle name="Migliaia [0] 57 2 4 2" xfId="19758" xr:uid="{8D1CC5D2-AFA9-451F-9237-CB96C764D19C}"/>
    <cellStyle name="Migliaia [0] 57 2 5" xfId="3079" xr:uid="{E6681FF5-925E-4399-887A-093A7484D249}"/>
    <cellStyle name="Migliaia [0] 57 2 5 2" xfId="24147" xr:uid="{49848BA7-B755-4A42-81FB-622CD2BD06AF}"/>
    <cellStyle name="Migliaia [0] 57 2 6" xfId="7288" xr:uid="{1B961821-E4DB-4E6C-97BE-D1919F4937CE}"/>
    <cellStyle name="Migliaia [0] 57 3" xfId="1639" xr:uid="{00000000-0005-0000-0000-0000A8020000}"/>
    <cellStyle name="Migliaia [0] 57 3 2" xfId="4807" xr:uid="{46460498-71DB-43A4-A232-3013A84AC5AE}"/>
    <cellStyle name="Migliaia [0] 57 3 2 2" xfId="18353" xr:uid="{B7023F9A-E87C-424E-BAD1-F70F0453FDB0}"/>
    <cellStyle name="Migliaia [0] 57 3 2 2 2" xfId="21825" xr:uid="{06A9CA5E-C3E5-4E20-A78A-89234C2D86A2}"/>
    <cellStyle name="Migliaia [0] 57 3 2 2 2 2" xfId="38340" xr:uid="{566A769B-DCFA-4609-B09D-E695568956D8}"/>
    <cellStyle name="Migliaia [0] 57 3 2 2 3" xfId="43642" xr:uid="{4FFF1505-9111-49AF-A040-7C8FF2589C60}"/>
    <cellStyle name="Migliaia [0] 57 3 2 2 4" xfId="32989" xr:uid="{F6FB39F5-3DE2-4658-BC90-D027A33A3383}"/>
    <cellStyle name="Migliaia [0] 57 3 2 3" xfId="35875" xr:uid="{F30E93F1-E1ED-46EC-A093-871375E5D3D1}"/>
    <cellStyle name="Migliaia [0] 57 3 2 4" xfId="40991" xr:uid="{FAB53E04-8328-4AE6-A835-04B518F78A7D}"/>
    <cellStyle name="Migliaia [0] 57 3 2 5" xfId="47740" xr:uid="{5E02E669-1FB1-492A-83D8-B304DBB82C1E}"/>
    <cellStyle name="Migliaia [0] 57 3 2 6" xfId="50853" xr:uid="{05F48618-7BB4-464D-A68E-90B6A8FCECBE}"/>
    <cellStyle name="Migliaia [0] 57 3 2 7" xfId="53869" xr:uid="{302EFB8F-92D1-451C-9EB8-3AD0FFB36293}"/>
    <cellStyle name="Migliaia [0] 57 3 2 8" xfId="17629" xr:uid="{1FB9559C-9E93-45E8-92C3-37F4F3F5EEB6}"/>
    <cellStyle name="Migliaia [0] 57 3 2 9" xfId="11868" xr:uid="{CC903265-E3B4-489C-9AF3-EFEA1465A8FC}"/>
    <cellStyle name="Migliaia [0] 57 3 3" xfId="6036" xr:uid="{9884EB31-2CF3-4F3C-8E48-ABA0336B62C0}"/>
    <cellStyle name="Migliaia [0] 57 3 3 2" xfId="12208" xr:uid="{9F859D90-9CF0-4BFB-9624-E442E53ABEC6}"/>
    <cellStyle name="Migliaia [0] 57 3 4" xfId="3081" xr:uid="{FA3DA1C4-F236-442B-952B-9F63C7EE7F59}"/>
    <cellStyle name="Migliaia [0] 57 3 4 2" xfId="21357" xr:uid="{E70073E1-71A5-4BD6-B635-A4FCF6970577}"/>
    <cellStyle name="Migliaia [0] 57 3 4 3" xfId="46197" xr:uid="{A0965F38-EC2C-4299-B0F6-EF055D1CFCE2}"/>
    <cellStyle name="Migliaia [0] 57 3 4 4" xfId="50372" xr:uid="{04C6E1ED-8809-4A1B-AFE1-EDAEECAA4EC7}"/>
    <cellStyle name="Migliaia [0] 57 3 4 5" xfId="53388" xr:uid="{368333B6-49BA-4A1B-B59D-97FB11194140}"/>
    <cellStyle name="Migliaia [0] 57 3 4 6" xfId="10722" xr:uid="{452FD1DB-4FB6-4F5E-BFAA-A7FDC945224B}"/>
    <cellStyle name="Migliaia [0] 57 3 5" xfId="19760" xr:uid="{5E3D0C15-A5A4-4C1C-859C-520261349844}"/>
    <cellStyle name="Migliaia [0] 57 3 6" xfId="24149" xr:uid="{5B29BF87-AB92-4666-B4BF-1CDA75EA4301}"/>
    <cellStyle name="Migliaia [0] 57 3 7" xfId="8236" xr:uid="{B80E406A-6836-43F4-A98C-9147BADC342A}"/>
    <cellStyle name="Migliaia [0] 57 4" xfId="3082" xr:uid="{652C5535-FB99-4133-A7FC-6C75DED114FE}"/>
    <cellStyle name="Migliaia [0] 57 4 2" xfId="4808" xr:uid="{B1984610-FD6E-44BE-9B0F-DA13F6E70060}"/>
    <cellStyle name="Migliaia [0] 57 4 2 2" xfId="35121" xr:uid="{DC93F724-B6EB-4789-99C6-4708A18D8630}"/>
    <cellStyle name="Migliaia [0] 57 4 2 2 2" xfId="40279" xr:uid="{13B290D7-E40B-4B83-A068-6D6D5CB3CEF3}"/>
    <cellStyle name="Migliaia [0] 57 4 2 2 3" xfId="45581" xr:uid="{57CCB92C-5C44-44E3-9B23-4A7CB3552080}"/>
    <cellStyle name="Migliaia [0] 57 4 2 3" xfId="37628" xr:uid="{35704730-570C-4075-B0A3-5B4DA3850634}"/>
    <cellStyle name="Migliaia [0] 57 4 2 4" xfId="42930" xr:uid="{08453F83-3066-4732-BDCC-2384C9E24207}"/>
    <cellStyle name="Migliaia [0] 57 4 2 5" xfId="17061" xr:uid="{AB283F7D-FEE4-4639-A548-B4F98345B38D}"/>
    <cellStyle name="Migliaia [0] 57 4 3" xfId="6037" xr:uid="{37021624-C8C4-4FF8-BA1E-B1377B32593F}"/>
    <cellStyle name="Migliaia [0] 57 4 3 2" xfId="38341" xr:uid="{55A51F83-DE12-42E7-8F80-A3C7A010D4F7}"/>
    <cellStyle name="Migliaia [0] 57 4 3 3" xfId="43643" xr:uid="{5135D4C6-25C9-4BA6-BA3B-515BBD91C6EB}"/>
    <cellStyle name="Migliaia [0] 57 4 3 4" xfId="32990" xr:uid="{C03D98DE-BF0E-4C8E-804A-F2362333D9BC}"/>
    <cellStyle name="Migliaia [0] 57 4 3 5" xfId="19761" xr:uid="{3CBD71B0-C52E-4DCD-ACFC-0C5E5E846B9F}"/>
    <cellStyle name="Migliaia [0] 57 4 4" xfId="35876" xr:uid="{AADA79D3-441D-4020-A13B-87954630F217}"/>
    <cellStyle name="Migliaia [0] 57 4 5" xfId="40992" xr:uid="{F4FFF58B-466B-4963-B2D9-631CF7E4EF71}"/>
    <cellStyle name="Migliaia [0] 57 4 6" xfId="16003" xr:uid="{F3A9DDDD-41BD-4F9C-8185-EB418AB9D907}"/>
    <cellStyle name="Migliaia [0] 57 4 7" xfId="7816" xr:uid="{92AD8B9D-F242-444D-89EC-550075B7376A}"/>
    <cellStyle name="Migliaia [0] 57 5" xfId="4804" xr:uid="{9CA9186F-1D48-4469-92E4-E90142B6D1E9}"/>
    <cellStyle name="Migliaia [0] 57 5 2" xfId="32991" xr:uid="{D4DEA9B0-8A0E-4C13-8E88-E4EBD1D5C7E3}"/>
    <cellStyle name="Migliaia [0] 57 5 2 2" xfId="38342" xr:uid="{4C6D8F21-CEEC-4142-AB2B-845FD795BB4F}"/>
    <cellStyle name="Migliaia [0] 57 5 2 3" xfId="43644" xr:uid="{E5621FB7-AE9F-4B78-8A83-199FB576EC72}"/>
    <cellStyle name="Migliaia [0] 57 5 3" xfId="35877" xr:uid="{A5542F65-BAC4-4652-AD85-2016EB5B58BA}"/>
    <cellStyle name="Migliaia [0] 57 5 4" xfId="40993" xr:uid="{889C71C6-02DF-49B3-918C-C81CD7A70239}"/>
    <cellStyle name="Migliaia [0] 57 5 5" xfId="17130" xr:uid="{40EC8C96-31CF-4B2B-B5A4-686B5A4A6E65}"/>
    <cellStyle name="Migliaia [0] 57 6" xfId="6034" xr:uid="{3D7EFBEC-E2B2-4B75-965D-BB75CE03351F}"/>
    <cellStyle name="Migliaia [0] 57 6 2" xfId="38338" xr:uid="{FB7832E8-4EEC-4196-9360-C8C2C8E7C54F}"/>
    <cellStyle name="Migliaia [0] 57 6 3" xfId="43640" xr:uid="{85B8E549-FD7E-4B03-B57D-556DE4355F4A}"/>
    <cellStyle name="Migliaia [0] 57 6 4" xfId="32987" xr:uid="{8204FFF5-ACBB-41CC-B2B3-A0ED96CDECD5}"/>
    <cellStyle name="Migliaia [0] 57 6 5" xfId="19757" xr:uid="{E395075F-536E-4EC1-8797-CCDA317545E0}"/>
    <cellStyle name="Migliaia [0] 57 7" xfId="3078" xr:uid="{0B26BB52-6D74-4D2F-A2E6-3EEB3BD45DB3}"/>
    <cellStyle name="Migliaia [0] 57 7 2" xfId="35873" xr:uid="{D760D501-A679-4220-9A67-A394D4034154}"/>
    <cellStyle name="Migliaia [0] 57 8" xfId="40989" xr:uid="{5EF20D85-0629-4362-8656-F1A73E0AC7DC}"/>
    <cellStyle name="Migliaia [0] 57 9" xfId="7037" xr:uid="{2DE01B10-0325-4135-BD0B-F9B4FA657EBE}"/>
    <cellStyle name="Migliaia [0] 58" xfId="295" xr:uid="{00000000-0005-0000-0000-0000A9020000}"/>
    <cellStyle name="Migliaia [0] 58 2" xfId="1640" xr:uid="{00000000-0005-0000-0000-0000AA020000}"/>
    <cellStyle name="Migliaia [0] 58 2 2" xfId="1641" xr:uid="{00000000-0005-0000-0000-0000AB020000}"/>
    <cellStyle name="Migliaia [0] 58 2 2 2" xfId="4811" xr:uid="{776D53D5-5899-429A-80CA-3198C0EC423C}"/>
    <cellStyle name="Migliaia [0] 58 2 2 2 2" xfId="21826" xr:uid="{B8F46DB7-B480-45FA-972E-0E3345F2F98E}"/>
    <cellStyle name="Migliaia [0] 58 2 2 2 3" xfId="48435" xr:uid="{7C78923A-D5AB-492F-886F-8609C6DA8575}"/>
    <cellStyle name="Migliaia [0] 58 2 2 2 4" xfId="50854" xr:uid="{C4692B1C-CCAC-41D5-9BAC-6743D9F5C3A7}"/>
    <cellStyle name="Migliaia [0] 58 2 2 2 5" xfId="53870" xr:uid="{AEA862F1-20F5-4E7F-86C9-07BA532FB18F}"/>
    <cellStyle name="Migliaia [0] 58 2 2 2 6" xfId="11869" xr:uid="{6C8E7D8B-6D1A-470F-84DD-3ECD132D3916}"/>
    <cellStyle name="Migliaia [0] 58 2 2 3" xfId="3085" xr:uid="{C86D34DD-E3DD-4B79-914A-659786E0BE4F}"/>
    <cellStyle name="Migliaia [0] 58 2 2 3 2" xfId="12325" xr:uid="{9F6A7E79-6736-4A9A-8BF8-57A4FE052210}"/>
    <cellStyle name="Migliaia [0] 58 2 2 4" xfId="10723" xr:uid="{9E30A527-AC69-494E-A248-74EEB3B8167A}"/>
    <cellStyle name="Migliaia [0] 58 2 2 4 2" xfId="21358" xr:uid="{C34995E1-D5D5-4739-9898-9E1632431B3F}"/>
    <cellStyle name="Migliaia [0] 58 2 2 4 3" xfId="46198" xr:uid="{033C5DF7-4278-4474-BF40-8B3347F8B9C3}"/>
    <cellStyle name="Migliaia [0] 58 2 2 4 4" xfId="50373" xr:uid="{F6398299-4C38-4308-B444-1C3BF7D4867F}"/>
    <cellStyle name="Migliaia [0] 58 2 2 4 5" xfId="53389" xr:uid="{8D6168D0-AC1A-4E60-BA0D-568DC015302E}"/>
    <cellStyle name="Migliaia [0] 58 2 2 5" xfId="19764" xr:uid="{04B41FF0-F009-4C9A-8180-1D285D519F8A}"/>
    <cellStyle name="Migliaia [0] 58 2 2 6" xfId="24151" xr:uid="{061ED67C-F049-44FD-8A92-BDF7509853CB}"/>
    <cellStyle name="Migliaia [0] 58 2 2 7" xfId="48873" xr:uid="{607C15AE-C73D-4D7B-8696-109B6EBD8EBB}"/>
    <cellStyle name="Migliaia [0] 58 2 2 8" xfId="49779" xr:uid="{F62ECAB7-1D53-4486-A95F-44974C6388A5}"/>
    <cellStyle name="Migliaia [0] 58 2 2 9" xfId="8479" xr:uid="{5E01F12D-F1F8-4F1A-9E14-B55E3C763CAB}"/>
    <cellStyle name="Migliaia [0] 58 2 3" xfId="4810" xr:uid="{54968533-7AE0-45E8-ACC9-C00AC9607A28}"/>
    <cellStyle name="Migliaia [0] 58 2 3 2" xfId="32993" xr:uid="{04FF57CE-936C-42AF-B216-F87CBC2846D6}"/>
    <cellStyle name="Migliaia [0] 58 2 3 2 2" xfId="38344" xr:uid="{460C3AF1-64FA-4A3D-8209-FD4987997562}"/>
    <cellStyle name="Migliaia [0] 58 2 3 2 3" xfId="43646" xr:uid="{D956E85F-BEB0-4C35-9752-175A036D2BBA}"/>
    <cellStyle name="Migliaia [0] 58 2 3 3" xfId="35879" xr:uid="{26413D88-281F-4798-95D5-DBDFF4262633}"/>
    <cellStyle name="Migliaia [0] 58 2 3 4" xfId="40995" xr:uid="{B98501F2-DA4C-4F5F-AFE2-70A67818826E}"/>
    <cellStyle name="Migliaia [0] 58 2 3 5" xfId="11870" xr:uid="{0D5F6965-EF7E-4A65-B76B-9E8DE4948578}"/>
    <cellStyle name="Migliaia [0] 58 2 4" xfId="6039" xr:uid="{7BE0BBDD-9E08-47D4-8BA7-F6678B510173}"/>
    <cellStyle name="Migliaia [0] 58 2 4 2" xfId="19763" xr:uid="{A4038061-056A-4487-B7EA-8D26CC254F6D}"/>
    <cellStyle name="Migliaia [0] 58 2 5" xfId="3084" xr:uid="{CD93F50D-1EBF-4731-902C-A51E31D60490}"/>
    <cellStyle name="Migliaia [0] 58 2 5 2" xfId="24150" xr:uid="{8329D163-4310-43FF-9424-BAADE9F02036}"/>
    <cellStyle name="Migliaia [0] 58 2 6" xfId="7289" xr:uid="{E45F22BD-1695-4413-A67B-2A57CB8C616E}"/>
    <cellStyle name="Migliaia [0] 58 3" xfId="1642" xr:uid="{00000000-0005-0000-0000-0000AC020000}"/>
    <cellStyle name="Migliaia [0] 58 3 2" xfId="4812" xr:uid="{C2CDBF34-AD80-4D88-B1DE-BD295D5F52B5}"/>
    <cellStyle name="Migliaia [0] 58 3 2 2" xfId="18354" xr:uid="{8D9D2312-C18C-40E0-AD13-924F14799C0F}"/>
    <cellStyle name="Migliaia [0] 58 3 2 2 2" xfId="21827" xr:uid="{DA9A5414-9530-42D5-974F-C191FD404158}"/>
    <cellStyle name="Migliaia [0] 58 3 2 2 2 2" xfId="38345" xr:uid="{EEAB9B3D-E80D-4DC8-8976-D7D455C851B4}"/>
    <cellStyle name="Migliaia [0] 58 3 2 2 3" xfId="43647" xr:uid="{A045A39E-48BB-4F61-B14D-0E677B0985E6}"/>
    <cellStyle name="Migliaia [0] 58 3 2 2 4" xfId="32994" xr:uid="{92490D6B-8EF2-4D63-B614-05F53F3AF6EF}"/>
    <cellStyle name="Migliaia [0] 58 3 2 3" xfId="35880" xr:uid="{B4274C3E-EE73-448A-8D8C-D5E95795671A}"/>
    <cellStyle name="Migliaia [0] 58 3 2 4" xfId="40996" xr:uid="{D7BAC788-0FF4-4B87-8E65-AE3AADC3B043}"/>
    <cellStyle name="Migliaia [0] 58 3 2 5" xfId="32436" xr:uid="{2B088D50-8B77-4190-AE26-63546449EEDA}"/>
    <cellStyle name="Migliaia [0] 58 3 2 6" xfId="50855" xr:uid="{BD81C21C-F2BE-4BF9-A78D-7E52F7956710}"/>
    <cellStyle name="Migliaia [0] 58 3 2 7" xfId="53871" xr:uid="{8202B6AC-FB5A-4FA6-B9D2-8B9C8C412FB3}"/>
    <cellStyle name="Migliaia [0] 58 3 2 8" xfId="17630" xr:uid="{622F7841-832A-4772-AAC7-DADA7B658028}"/>
    <cellStyle name="Migliaia [0] 58 3 2 9" xfId="11871" xr:uid="{4CB4A5B1-045C-4CE8-A6A3-2E823E59A12F}"/>
    <cellStyle name="Migliaia [0] 58 3 3" xfId="6040" xr:uid="{B1319965-46CD-44F6-8740-9C7B3E4E2FF8}"/>
    <cellStyle name="Migliaia [0] 58 3 3 2" xfId="11118" xr:uid="{C10E3151-3015-4BD4-98DC-2574605A5146}"/>
    <cellStyle name="Migliaia [0] 58 3 4" xfId="3086" xr:uid="{08F753D8-5EC7-4895-B287-CD3C065F4E48}"/>
    <cellStyle name="Migliaia [0] 58 3 4 2" xfId="21359" xr:uid="{E38C9168-7AB7-4051-9A28-53DD130D9B06}"/>
    <cellStyle name="Migliaia [0] 58 3 4 3" xfId="46199" xr:uid="{399EE4BD-5208-4CCC-AA5D-5FD91218561B}"/>
    <cellStyle name="Migliaia [0] 58 3 4 4" xfId="50374" xr:uid="{5D9EC4A4-2E80-401E-812C-65EF57E0B86A}"/>
    <cellStyle name="Migliaia [0] 58 3 4 5" xfId="53390" xr:uid="{46EFB72F-9502-4BB7-9E41-08D8919EDD17}"/>
    <cellStyle name="Migliaia [0] 58 3 4 6" xfId="10724" xr:uid="{72AFE73C-A38C-43B1-A8B1-88EF9A1332D0}"/>
    <cellStyle name="Migliaia [0] 58 3 5" xfId="19765" xr:uid="{A2074E54-3176-4DCA-B16F-1B60922529DA}"/>
    <cellStyle name="Migliaia [0] 58 3 6" xfId="24152" xr:uid="{11CAD362-0717-4B83-AA7E-FD701F030949}"/>
    <cellStyle name="Migliaia [0] 58 3 7" xfId="8237" xr:uid="{C70563BF-1C3A-4671-B66F-791EC600DE27}"/>
    <cellStyle name="Migliaia [0] 58 4" xfId="3087" xr:uid="{D02DA499-F2E2-48F0-B72C-7C407089A775}"/>
    <cellStyle name="Migliaia [0] 58 4 2" xfId="4813" xr:uid="{F0A8FA95-3E7D-4082-8412-1637A1B8E477}"/>
    <cellStyle name="Migliaia [0] 58 4 2 2" xfId="35122" xr:uid="{B7D89AB6-041A-407A-B384-B0643F387EA5}"/>
    <cellStyle name="Migliaia [0] 58 4 2 2 2" xfId="40280" xr:uid="{6EE119B4-DD1F-470F-B5DC-ABE9ECA03A72}"/>
    <cellStyle name="Migliaia [0] 58 4 2 2 3" xfId="45582" xr:uid="{9B4CB132-1BAC-4955-80CD-798552B23EC2}"/>
    <cellStyle name="Migliaia [0] 58 4 2 3" xfId="37629" xr:uid="{B37D875F-EF61-4842-9FDA-22267DF27FB3}"/>
    <cellStyle name="Migliaia [0] 58 4 2 4" xfId="42931" xr:uid="{BBE631BA-6B86-4879-99D0-6FEFF79F7589}"/>
    <cellStyle name="Migliaia [0] 58 4 2 5" xfId="17062" xr:uid="{CE81E9C2-84B4-48E7-B09C-7194F1A29877}"/>
    <cellStyle name="Migliaia [0] 58 4 3" xfId="6041" xr:uid="{95E10B2C-64C9-41AC-B8F8-200AE4D3AEFA}"/>
    <cellStyle name="Migliaia [0] 58 4 3 2" xfId="38346" xr:uid="{82D642B9-BC59-4DA7-8611-7E769377269D}"/>
    <cellStyle name="Migliaia [0] 58 4 3 3" xfId="43648" xr:uid="{D22A79D7-6801-4E81-B8E8-C130BFB31A55}"/>
    <cellStyle name="Migliaia [0] 58 4 3 4" xfId="32995" xr:uid="{ABC50F1D-D346-47B8-8E48-90B87F7DD48F}"/>
    <cellStyle name="Migliaia [0] 58 4 3 5" xfId="19766" xr:uid="{51302439-6670-4EA4-BC45-2D2025C8FEBC}"/>
    <cellStyle name="Migliaia [0] 58 4 4" xfId="35881" xr:uid="{AEE670A1-979E-4449-9D99-06EC0A4E6403}"/>
    <cellStyle name="Migliaia [0] 58 4 5" xfId="40997" xr:uid="{A00588F6-ADED-442A-859B-BE59DDA5DC58}"/>
    <cellStyle name="Migliaia [0] 58 4 6" xfId="16004" xr:uid="{0D1757CA-9117-45E4-BF02-D183ABCC755D}"/>
    <cellStyle name="Migliaia [0] 58 4 7" xfId="7817" xr:uid="{B1A34E55-A3EC-4A12-A665-0EC9B81DB896}"/>
    <cellStyle name="Migliaia [0] 58 5" xfId="4809" xr:uid="{3149DE35-87CA-4936-9630-FEE6A384A6D4}"/>
    <cellStyle name="Migliaia [0] 58 5 2" xfId="32996" xr:uid="{94E13CCC-A91B-4458-B5FD-1D9213465C10}"/>
    <cellStyle name="Migliaia [0] 58 5 2 2" xfId="38347" xr:uid="{D34B4680-52B2-422F-907C-96FD15A975FA}"/>
    <cellStyle name="Migliaia [0] 58 5 2 3" xfId="43649" xr:uid="{9F68359F-87CC-40CE-B98D-BB5DC4DEB51C}"/>
    <cellStyle name="Migliaia [0] 58 5 3" xfId="35882" xr:uid="{08BAE752-EC07-45BF-BAFF-B5C52D0F551F}"/>
    <cellStyle name="Migliaia [0] 58 5 4" xfId="40998" xr:uid="{E0980773-7D9C-4AAE-9267-DF4111DE9734}"/>
    <cellStyle name="Migliaia [0] 58 5 5" xfId="17131" xr:uid="{8510B7F0-A6B2-482A-B3C9-57EBC88F5D6D}"/>
    <cellStyle name="Migliaia [0] 58 6" xfId="6038" xr:uid="{6800754F-0A58-4557-8046-3705C745A255}"/>
    <cellStyle name="Migliaia [0] 58 6 2" xfId="38343" xr:uid="{C6740151-7CD9-4E65-A807-AA174C1EC716}"/>
    <cellStyle name="Migliaia [0] 58 6 3" xfId="43645" xr:uid="{C3DC571B-650E-4F2F-938F-214588137F42}"/>
    <cellStyle name="Migliaia [0] 58 6 4" xfId="32992" xr:uid="{9FD69186-ED9A-4E85-AA4D-1E0003DBC488}"/>
    <cellStyle name="Migliaia [0] 58 6 5" xfId="19762" xr:uid="{50542E45-6630-4DD4-8CC9-444391D748E3}"/>
    <cellStyle name="Migliaia [0] 58 7" xfId="3083" xr:uid="{DA1B74D2-0738-46AA-99BE-FB9910D24126}"/>
    <cellStyle name="Migliaia [0] 58 7 2" xfId="35878" xr:uid="{D61AA91E-BB60-4F3B-8DA3-CBD703199A93}"/>
    <cellStyle name="Migliaia [0] 58 8" xfId="40994" xr:uid="{6867BED4-2C5E-4DA9-856F-5DB9240FD0A2}"/>
    <cellStyle name="Migliaia [0] 58 9" xfId="7038" xr:uid="{DA8C74B5-99E6-4BE9-9E00-BA86C1070196}"/>
    <cellStyle name="Migliaia [0] 59" xfId="296" xr:uid="{00000000-0005-0000-0000-0000AD020000}"/>
    <cellStyle name="Migliaia [0] 59 2" xfId="1643" xr:uid="{00000000-0005-0000-0000-0000AE020000}"/>
    <cellStyle name="Migliaia [0] 59 2 2" xfId="1644" xr:uid="{00000000-0005-0000-0000-0000AF020000}"/>
    <cellStyle name="Migliaia [0] 59 2 2 2" xfId="4816" xr:uid="{33C5FD98-19B5-460A-9B32-58149E090107}"/>
    <cellStyle name="Migliaia [0] 59 2 2 2 2" xfId="21828" xr:uid="{3346C62F-1AAF-44AB-8E6A-71E057D5B5E8}"/>
    <cellStyle name="Migliaia [0] 59 2 2 2 3" xfId="48101" xr:uid="{071EC8EB-38A9-4BF1-988B-8760BFC6BA5F}"/>
    <cellStyle name="Migliaia [0] 59 2 2 2 4" xfId="50856" xr:uid="{8BDDF599-E03D-4273-8E8F-6E741539B4E5}"/>
    <cellStyle name="Migliaia [0] 59 2 2 2 5" xfId="53872" xr:uid="{F28DAF1A-E0A7-4885-BA3E-FC21EE9221A9}"/>
    <cellStyle name="Migliaia [0] 59 2 2 2 6" xfId="11872" xr:uid="{764B24F7-1B39-4CBA-AF3B-5E1D806805D2}"/>
    <cellStyle name="Migliaia [0] 59 2 2 3" xfId="3090" xr:uid="{670297E0-5EB0-400A-BC46-1C1307F45750}"/>
    <cellStyle name="Migliaia [0] 59 2 2 3 2" xfId="12324" xr:uid="{D941691B-F98B-4CBE-87F4-BBDE56BBFC27}"/>
    <cellStyle name="Migliaia [0] 59 2 2 4" xfId="10725" xr:uid="{A5248827-9354-4B4F-BA98-F3E6BFFE735F}"/>
    <cellStyle name="Migliaia [0] 59 2 2 4 2" xfId="21360" xr:uid="{55817A49-B01B-4E42-B71B-BA8D4F391195}"/>
    <cellStyle name="Migliaia [0] 59 2 2 4 3" xfId="48172" xr:uid="{5F9443E9-BDC4-4965-B74E-4897DCF1B5C3}"/>
    <cellStyle name="Migliaia [0] 59 2 2 4 4" xfId="50375" xr:uid="{1EA38493-AD9A-4555-A510-EC47CD0054A5}"/>
    <cellStyle name="Migliaia [0] 59 2 2 4 5" xfId="53391" xr:uid="{00578300-221C-4B73-80D2-5ABAD0B5B646}"/>
    <cellStyle name="Migliaia [0] 59 2 2 5" xfId="19769" xr:uid="{A9B2BCCF-447E-4F5A-AEEA-A9F91C0553B6}"/>
    <cellStyle name="Migliaia [0] 59 2 2 6" xfId="24154" xr:uid="{D23158B2-7113-429F-BF76-C2D121E445A5}"/>
    <cellStyle name="Migliaia [0] 59 2 2 7" xfId="48874" xr:uid="{4CD39096-95CA-408D-B4D3-3E8FEEC9FAE3}"/>
    <cellStyle name="Migliaia [0] 59 2 2 8" xfId="49780" xr:uid="{5007FDDA-5328-48BA-BCAD-3B5803C4294B}"/>
    <cellStyle name="Migliaia [0] 59 2 2 9" xfId="8480" xr:uid="{961A8954-3377-4461-9706-1C4D8CF1388C}"/>
    <cellStyle name="Migliaia [0] 59 2 3" xfId="4815" xr:uid="{71F6711F-25E0-42D8-A95F-D229288203FD}"/>
    <cellStyle name="Migliaia [0] 59 2 3 2" xfId="32998" xr:uid="{C790D5BB-1649-4037-BE9E-846C4BE45419}"/>
    <cellStyle name="Migliaia [0] 59 2 3 2 2" xfId="38349" xr:uid="{3C3876AB-27C8-4D0D-97C2-49E854B87DAE}"/>
    <cellStyle name="Migliaia [0] 59 2 3 2 3" xfId="43651" xr:uid="{F32A3D3E-A61B-4B44-8ADB-96C66D9F609D}"/>
    <cellStyle name="Migliaia [0] 59 2 3 3" xfId="35884" xr:uid="{EC7A11FB-9C2A-4CE2-A1A2-A5634980A642}"/>
    <cellStyle name="Migliaia [0] 59 2 3 4" xfId="41000" xr:uid="{25F6CFBE-F649-45EB-B82C-9DF2AB40C062}"/>
    <cellStyle name="Migliaia [0] 59 2 3 5" xfId="11873" xr:uid="{29B6A43B-AF2B-48E2-AA09-A83C8EAB0D71}"/>
    <cellStyle name="Migliaia [0] 59 2 4" xfId="6043" xr:uid="{BC034600-EB98-412C-ACC9-BFDD02587706}"/>
    <cellStyle name="Migliaia [0] 59 2 4 2" xfId="19768" xr:uid="{70DF3DA9-F812-4909-A7A7-28BA96DC4415}"/>
    <cellStyle name="Migliaia [0] 59 2 5" xfId="3089" xr:uid="{F4B9DAEF-D9A9-4586-A567-BB64EE875908}"/>
    <cellStyle name="Migliaia [0] 59 2 5 2" xfId="24153" xr:uid="{6CC7C420-7937-4462-8FC4-9D1B446BAC39}"/>
    <cellStyle name="Migliaia [0] 59 2 6" xfId="7290" xr:uid="{A6C97C71-A2DC-4F1A-8937-10C1C07B2710}"/>
    <cellStyle name="Migliaia [0] 59 3" xfId="1645" xr:uid="{00000000-0005-0000-0000-0000B0020000}"/>
    <cellStyle name="Migliaia [0] 59 3 2" xfId="4817" xr:uid="{EB9817E4-1086-4664-B73E-B58E57CA1FBA}"/>
    <cellStyle name="Migliaia [0] 59 3 2 2" xfId="18355" xr:uid="{3CE4E538-A511-4ACB-99B5-61CAB387D321}"/>
    <cellStyle name="Migliaia [0] 59 3 2 2 2" xfId="21829" xr:uid="{9E57064E-EF08-4701-BEA1-B351793FC619}"/>
    <cellStyle name="Migliaia [0] 59 3 2 2 2 2" xfId="38350" xr:uid="{06A86793-D0A7-4464-B58E-98B54512DCBF}"/>
    <cellStyle name="Migliaia [0] 59 3 2 2 3" xfId="43652" xr:uid="{06E8CA95-F675-4707-A9CA-96B839D53785}"/>
    <cellStyle name="Migliaia [0] 59 3 2 2 4" xfId="32999" xr:uid="{82CE9F1E-9E38-4814-BA8D-C2709370B014}"/>
    <cellStyle name="Migliaia [0] 59 3 2 3" xfId="35885" xr:uid="{7C9CB7C5-6EB8-45DD-B436-F4B18D1730E3}"/>
    <cellStyle name="Migliaia [0] 59 3 2 4" xfId="41001" xr:uid="{5E692BB5-A193-486D-ABF2-EAE4B189C9E2}"/>
    <cellStyle name="Migliaia [0] 59 3 2 5" xfId="48331" xr:uid="{16C797D5-B518-4E1E-A7BD-D3F5D017602E}"/>
    <cellStyle name="Migliaia [0] 59 3 2 6" xfId="50857" xr:uid="{3F8AD34B-1107-46E9-BC1F-00E1E96B2146}"/>
    <cellStyle name="Migliaia [0] 59 3 2 7" xfId="53873" xr:uid="{E1DA514F-23E2-4B7C-A818-F994E65F0651}"/>
    <cellStyle name="Migliaia [0] 59 3 2 8" xfId="17631" xr:uid="{C1348997-770A-45B9-97F6-DD8815B01B37}"/>
    <cellStyle name="Migliaia [0] 59 3 2 9" xfId="11874" xr:uid="{BDC8CFE3-C7C2-4729-B8E5-5E6851E2E9A4}"/>
    <cellStyle name="Migliaia [0] 59 3 3" xfId="6044" xr:uid="{B52BFB1A-28E7-417A-8CCF-1E007ADAF3FF}"/>
    <cellStyle name="Migliaia [0] 59 3 3 2" xfId="12364" xr:uid="{4938FAC0-E8F0-4502-8BF8-305BDD7757BB}"/>
    <cellStyle name="Migliaia [0] 59 3 4" xfId="3091" xr:uid="{4BDC48B6-5B27-4D1A-AEF8-52FAA4229BE3}"/>
    <cellStyle name="Migliaia [0] 59 3 4 2" xfId="21361" xr:uid="{E67C9B07-EB88-495A-9DBA-4CBFD43B4EFF}"/>
    <cellStyle name="Migliaia [0] 59 3 4 3" xfId="35978" xr:uid="{7FE0FBD3-1298-4F7C-A0A3-53A81EAA9EAD}"/>
    <cellStyle name="Migliaia [0] 59 3 4 4" xfId="50376" xr:uid="{6A5DA285-9157-4F55-8DDC-14B5E9E7062C}"/>
    <cellStyle name="Migliaia [0] 59 3 4 5" xfId="53392" xr:uid="{08921868-2E63-4F76-B790-89F08CDF6A40}"/>
    <cellStyle name="Migliaia [0] 59 3 4 6" xfId="10726" xr:uid="{D3F1F05B-DCD6-4DBA-B2F5-BE635A7B1DF8}"/>
    <cellStyle name="Migliaia [0] 59 3 5" xfId="19770" xr:uid="{C3A6737F-188E-4621-B3EC-86B78A5966C6}"/>
    <cellStyle name="Migliaia [0] 59 3 6" xfId="24155" xr:uid="{D5923145-E9B9-4B6A-A259-A0E30F104938}"/>
    <cellStyle name="Migliaia [0] 59 3 7" xfId="8238" xr:uid="{97234D1A-FDEE-4D10-AF93-F61D6F9A1AAD}"/>
    <cellStyle name="Migliaia [0] 59 4" xfId="3092" xr:uid="{74607B56-75B4-41D7-8722-27D5621E1CAE}"/>
    <cellStyle name="Migliaia [0] 59 4 2" xfId="4818" xr:uid="{80C400A6-B90A-4204-81B7-730CEFEC2390}"/>
    <cellStyle name="Migliaia [0] 59 4 2 2" xfId="35123" xr:uid="{AF167865-94FD-4B13-A43A-28844A2F0C4B}"/>
    <cellStyle name="Migliaia [0] 59 4 2 2 2" xfId="40281" xr:uid="{0D7D05FA-E367-49C5-A634-209E3EC71FB8}"/>
    <cellStyle name="Migliaia [0] 59 4 2 2 3" xfId="45583" xr:uid="{147369F3-86C2-4332-8A92-D757EEE4E259}"/>
    <cellStyle name="Migliaia [0] 59 4 2 3" xfId="37630" xr:uid="{12015804-D70C-46A7-B73E-E183154E466A}"/>
    <cellStyle name="Migliaia [0] 59 4 2 4" xfId="42932" xr:uid="{E718DC67-5E1F-4D51-BAF5-74BE23737228}"/>
    <cellStyle name="Migliaia [0] 59 4 2 5" xfId="17063" xr:uid="{4DC4B956-2571-49A6-AFFE-B2EFC58FB3DF}"/>
    <cellStyle name="Migliaia [0] 59 4 3" xfId="6045" xr:uid="{20CC54EB-6DED-476B-A13A-33EE0E996F19}"/>
    <cellStyle name="Migliaia [0] 59 4 3 2" xfId="38351" xr:uid="{A19DF8F5-703A-4B8A-8D91-FB4832B27D5D}"/>
    <cellStyle name="Migliaia [0] 59 4 3 3" xfId="43653" xr:uid="{16C8B3FF-6C09-4606-A1F3-F301D4B9653B}"/>
    <cellStyle name="Migliaia [0] 59 4 3 4" xfId="33000" xr:uid="{E55C34B8-4A5C-4286-8AEC-300F729FFCD7}"/>
    <cellStyle name="Migliaia [0] 59 4 3 5" xfId="19771" xr:uid="{3585605B-7E01-4F44-9F51-9EC189AEA3CE}"/>
    <cellStyle name="Migliaia [0] 59 4 4" xfId="35886" xr:uid="{D6CFF758-1A1F-421E-9812-E8FBDD192198}"/>
    <cellStyle name="Migliaia [0] 59 4 5" xfId="41002" xr:uid="{EDFDAEEF-06DC-486A-856A-F03A4B5542C5}"/>
    <cellStyle name="Migliaia [0] 59 4 6" xfId="16005" xr:uid="{1044268F-CD29-410F-9958-2FBAD86F740D}"/>
    <cellStyle name="Migliaia [0] 59 4 7" xfId="7818" xr:uid="{E95536B1-3698-4EAA-A99B-B23BA7645F60}"/>
    <cellStyle name="Migliaia [0] 59 5" xfId="4814" xr:uid="{E3ACD634-6BB8-4A42-A021-E00918023DEF}"/>
    <cellStyle name="Migliaia [0] 59 5 2" xfId="33001" xr:uid="{6BDCE75B-5CF3-4DD6-ACA7-E118699655FC}"/>
    <cellStyle name="Migliaia [0] 59 5 2 2" xfId="38352" xr:uid="{DF40A019-F86D-4D40-8E8D-3DAE5DF18940}"/>
    <cellStyle name="Migliaia [0] 59 5 2 3" xfId="43654" xr:uid="{C3E2CB71-0723-470C-9E3C-71F99930B869}"/>
    <cellStyle name="Migliaia [0] 59 5 3" xfId="35887" xr:uid="{BB8FC5F1-149F-44C0-ADD0-7CF8E475D318}"/>
    <cellStyle name="Migliaia [0] 59 5 4" xfId="41003" xr:uid="{FA05C8C6-2F13-48E6-8F86-81CBFA424202}"/>
    <cellStyle name="Migliaia [0] 59 5 5" xfId="17132" xr:uid="{50D5B9F6-6DE9-43E3-AB0A-96F17E5846FA}"/>
    <cellStyle name="Migliaia [0] 59 6" xfId="6042" xr:uid="{24A8B4F7-5C46-439A-BE01-A146F1C5384A}"/>
    <cellStyle name="Migliaia [0] 59 6 2" xfId="38348" xr:uid="{F47A5D04-BAAA-4147-BBCD-249E0137C68E}"/>
    <cellStyle name="Migliaia [0] 59 6 3" xfId="43650" xr:uid="{84461FCD-D445-4982-A8FC-74C8AB821110}"/>
    <cellStyle name="Migliaia [0] 59 6 4" xfId="32997" xr:uid="{D3BD00FF-22C7-42AD-B8D1-D5C737EE367C}"/>
    <cellStyle name="Migliaia [0] 59 6 5" xfId="19767" xr:uid="{897C3390-1878-4A49-B90A-B8CA09DDB29B}"/>
    <cellStyle name="Migliaia [0] 59 7" xfId="3088" xr:uid="{0C50AC25-51E0-4A2F-85C2-9FFC90D3ECB4}"/>
    <cellStyle name="Migliaia [0] 59 7 2" xfId="35883" xr:uid="{A9898DA6-326C-4C99-A5C6-EC5ABE3025B8}"/>
    <cellStyle name="Migliaia [0] 59 8" xfId="40999" xr:uid="{A26FF09E-0BFD-4A6F-B5EC-631B582C405F}"/>
    <cellStyle name="Migliaia [0] 59 9" xfId="7039" xr:uid="{50658F4A-8F87-4532-A50B-7BB96611062C}"/>
    <cellStyle name="Migliaia [0] 6" xfId="297" xr:uid="{00000000-0005-0000-0000-0000B1020000}"/>
    <cellStyle name="Migliaia [0] 6 2" xfId="1646" xr:uid="{00000000-0005-0000-0000-0000B2020000}"/>
    <cellStyle name="Migliaia [0] 6 2 2" xfId="1647" xr:uid="{00000000-0005-0000-0000-0000B3020000}"/>
    <cellStyle name="Migliaia [0] 6 2 2 2" xfId="4821" xr:uid="{FF5AD1E6-BF59-4926-860A-A6AF43F6EDD7}"/>
    <cellStyle name="Migliaia [0] 6 2 2 2 2" xfId="21830" xr:uid="{985DD9CA-4663-4CF5-8A6E-3CE536199F53}"/>
    <cellStyle name="Migliaia [0] 6 2 2 2 3" xfId="47710" xr:uid="{825903D6-FFFF-4382-8AE5-6E36716DC031}"/>
    <cellStyle name="Migliaia [0] 6 2 2 2 4" xfId="50858" xr:uid="{46FD46A1-3430-4B6E-86F3-A1D99547107F}"/>
    <cellStyle name="Migliaia [0] 6 2 2 2 5" xfId="53874" xr:uid="{EF9B4486-83C5-43F8-913F-F6E26C0829E0}"/>
    <cellStyle name="Migliaia [0] 6 2 2 2 6" xfId="11875" xr:uid="{33CB4D07-F94D-4F85-816B-C673DF34C52B}"/>
    <cellStyle name="Migliaia [0] 6 2 2 3" xfId="3095" xr:uid="{88769076-2B97-4D93-A1B7-1FD5D4A4DE80}"/>
    <cellStyle name="Migliaia [0] 6 2 2 3 2" xfId="12323" xr:uid="{57DA90E9-6C75-471E-B67D-7B6B46DF61B4}"/>
    <cellStyle name="Migliaia [0] 6 2 2 4" xfId="10727" xr:uid="{836DC3A4-1203-4912-B5EF-161E620BC906}"/>
    <cellStyle name="Migliaia [0] 6 2 2 4 2" xfId="21362" xr:uid="{EE3122E3-8A24-4919-B6B5-843DCB329708}"/>
    <cellStyle name="Migliaia [0] 6 2 2 4 3" xfId="46200" xr:uid="{A9A65261-3241-4A86-9C05-03525C23DBBA}"/>
    <cellStyle name="Migliaia [0] 6 2 2 4 4" xfId="50377" xr:uid="{CD5E948A-6C49-44EC-AA99-FF1459A7B070}"/>
    <cellStyle name="Migliaia [0] 6 2 2 4 5" xfId="53393" xr:uid="{A3A4BEF0-A69E-4BB1-A81A-B785C27A69F2}"/>
    <cellStyle name="Migliaia [0] 6 2 2 5" xfId="19774" xr:uid="{F9091FA5-3043-4DB3-82D0-49C63E4DD0CC}"/>
    <cellStyle name="Migliaia [0] 6 2 2 6" xfId="24159" xr:uid="{8A33E2F2-B4AE-41B1-99F4-B6F2ECED124B}"/>
    <cellStyle name="Migliaia [0] 6 2 2 7" xfId="48875" xr:uid="{2928278A-EA75-4438-88DB-C0F8914C78D5}"/>
    <cellStyle name="Migliaia [0] 6 2 2 8" xfId="49781" xr:uid="{A3620AA8-3664-4566-B281-95CD4B26EF4F}"/>
    <cellStyle name="Migliaia [0] 6 2 2 9" xfId="8481" xr:uid="{03E88658-21F0-4CC9-94F0-7FF4691AFD41}"/>
    <cellStyle name="Migliaia [0] 6 2 3" xfId="4820" xr:uid="{07119281-F52E-4B61-B6B8-6853C39659D0}"/>
    <cellStyle name="Migliaia [0] 6 2 3 2" xfId="33003" xr:uid="{83F92554-EEAD-4F66-A23A-C2C455DC45D7}"/>
    <cellStyle name="Migliaia [0] 6 2 3 2 2" xfId="38354" xr:uid="{2447B25D-6CA8-4437-B900-F5A9EEE5DA77}"/>
    <cellStyle name="Migliaia [0] 6 2 3 2 3" xfId="43656" xr:uid="{EBAE7F4B-6227-4C18-898A-77286AA8A9CA}"/>
    <cellStyle name="Migliaia [0] 6 2 3 3" xfId="35889" xr:uid="{3FF88BE8-815E-4764-BB2B-11F80EFBD51F}"/>
    <cellStyle name="Migliaia [0] 6 2 3 4" xfId="41005" xr:uid="{588F4A87-26C1-4CC1-B4AD-D256F223D5D6}"/>
    <cellStyle name="Migliaia [0] 6 2 3 5" xfId="11876" xr:uid="{4A8DB07B-63E6-4A5D-92D3-8239ACE098B0}"/>
    <cellStyle name="Migliaia [0] 6 2 4" xfId="6047" xr:uid="{6E5A1789-70C8-4D16-96A1-50B74A305560}"/>
    <cellStyle name="Migliaia [0] 6 2 4 2" xfId="19773" xr:uid="{89AA7129-FD4F-4871-B37F-B99E62F9A2CA}"/>
    <cellStyle name="Migliaia [0] 6 2 5" xfId="3094" xr:uid="{B036836A-83C9-48FA-9A4A-5D3972FC7101}"/>
    <cellStyle name="Migliaia [0] 6 2 5 2" xfId="24158" xr:uid="{AB51A166-7344-441D-B7E9-3FC3EB324A4E}"/>
    <cellStyle name="Migliaia [0] 6 2 6" xfId="7291" xr:uid="{3E9E49E6-3582-44F1-B9B5-68D63289066C}"/>
    <cellStyle name="Migliaia [0] 6 3" xfId="1648" xr:uid="{00000000-0005-0000-0000-0000B4020000}"/>
    <cellStyle name="Migliaia [0] 6 3 2" xfId="4822" xr:uid="{7E9DC6DA-73D6-44AA-AFAE-9AFAD5309075}"/>
    <cellStyle name="Migliaia [0] 6 3 2 2" xfId="18356" xr:uid="{84D1C199-DA33-4A14-931F-C9BE71869D8E}"/>
    <cellStyle name="Migliaia [0] 6 3 2 2 2" xfId="21831" xr:uid="{B6A40EFC-FB4B-4CDC-9792-147C311C7D32}"/>
    <cellStyle name="Migliaia [0] 6 3 2 2 2 2" xfId="38355" xr:uid="{A1FCF414-87EA-47B9-8C14-7AEE3FFA91D0}"/>
    <cellStyle name="Migliaia [0] 6 3 2 2 3" xfId="43657" xr:uid="{A4554BBB-8986-4554-BB87-345F7A034225}"/>
    <cellStyle name="Migliaia [0] 6 3 2 2 4" xfId="33004" xr:uid="{C2DF3B31-6EBC-446C-82EB-0E4B95CCEA4B}"/>
    <cellStyle name="Migliaia [0] 6 3 2 3" xfId="35890" xr:uid="{D3878B8E-A183-4AFB-9DB3-C3F5826F725D}"/>
    <cellStyle name="Migliaia [0] 6 3 2 4" xfId="41006" xr:uid="{C42C5208-5CF7-4C37-A818-12BE783D4871}"/>
    <cellStyle name="Migliaia [0] 6 3 2 5" xfId="46296" xr:uid="{93F5301C-42B4-4FE9-9042-6AD3B97B8F2C}"/>
    <cellStyle name="Migliaia [0] 6 3 2 6" xfId="50859" xr:uid="{74B83789-6E98-485D-A56E-B28996A9260F}"/>
    <cellStyle name="Migliaia [0] 6 3 2 7" xfId="53875" xr:uid="{3BE108F2-F6F9-4784-BFC9-E52B0A7A0645}"/>
    <cellStyle name="Migliaia [0] 6 3 2 8" xfId="17632" xr:uid="{87434F8E-64AB-4EAB-A6CA-1AB9071A9134}"/>
    <cellStyle name="Migliaia [0] 6 3 2 9" xfId="11877" xr:uid="{6643665E-86D7-4FCF-8F2D-45978C4E4F25}"/>
    <cellStyle name="Migliaia [0] 6 3 3" xfId="6048" xr:uid="{0317DC0F-AC0C-4EE0-A856-82BCF9EAC3FE}"/>
    <cellStyle name="Migliaia [0] 6 3 3 2" xfId="12363" xr:uid="{BFA10650-B349-4B61-BB7E-0ADE332931F7}"/>
    <cellStyle name="Migliaia [0] 6 3 4" xfId="3096" xr:uid="{C4071D29-EBE0-4E0C-9B02-F64AA92CBDC6}"/>
    <cellStyle name="Migliaia [0] 6 3 4 2" xfId="21363" xr:uid="{99DB898F-0317-4939-907E-6784203184AA}"/>
    <cellStyle name="Migliaia [0] 6 3 4 3" xfId="47072" xr:uid="{805E58AC-5E42-4912-BD7D-27776B5CE78E}"/>
    <cellStyle name="Migliaia [0] 6 3 4 4" xfId="50378" xr:uid="{CD1C68D4-35EA-4912-A69B-EE3AF939767A}"/>
    <cellStyle name="Migliaia [0] 6 3 4 5" xfId="53394" xr:uid="{3275830C-49CD-4029-B1B1-39190A186741}"/>
    <cellStyle name="Migliaia [0] 6 3 4 6" xfId="10728" xr:uid="{2D80C08C-AA56-4131-8746-BC39BBA78DAC}"/>
    <cellStyle name="Migliaia [0] 6 3 5" xfId="19775" xr:uid="{506F6968-55FF-440E-A756-A8CC50F122CA}"/>
    <cellStyle name="Migliaia [0] 6 3 6" xfId="24161" xr:uid="{DCEE9CB8-4FD1-449F-9A0E-6DF7958DAED2}"/>
    <cellStyle name="Migliaia [0] 6 3 7" xfId="8239" xr:uid="{0C866B08-9463-4FB7-B1F0-0E357FA91B22}"/>
    <cellStyle name="Migliaia [0] 6 4" xfId="3097" xr:uid="{6FE6AD64-0378-4351-B73D-F471E98294AF}"/>
    <cellStyle name="Migliaia [0] 6 4 2" xfId="4823" xr:uid="{C738CE35-7D29-4F54-B19D-AE4AB19913A7}"/>
    <cellStyle name="Migliaia [0] 6 4 2 2" xfId="35124" xr:uid="{A509F258-C842-4E1A-A1C8-323F3B10CA14}"/>
    <cellStyle name="Migliaia [0] 6 4 2 2 2" xfId="40282" xr:uid="{084461FA-EE20-4238-A509-0CAEA9D4356C}"/>
    <cellStyle name="Migliaia [0] 6 4 2 2 3" xfId="45584" xr:uid="{6D0BC7EC-C841-4116-8A46-3E9931610A2A}"/>
    <cellStyle name="Migliaia [0] 6 4 2 3" xfId="37631" xr:uid="{1E72F787-4553-4F98-8ADF-321EF10E6622}"/>
    <cellStyle name="Migliaia [0] 6 4 2 4" xfId="42933" xr:uid="{51B9C8DC-D1BD-47E6-AF52-DEF1A13078AB}"/>
    <cellStyle name="Migliaia [0] 6 4 2 5" xfId="17064" xr:uid="{6F4E5A48-E525-4DB8-ACBA-D03E9064D8BC}"/>
    <cellStyle name="Migliaia [0] 6 4 3" xfId="6049" xr:uid="{AC863FE8-FF82-49F9-9828-D7A33A4C7C31}"/>
    <cellStyle name="Migliaia [0] 6 4 3 2" xfId="38356" xr:uid="{4E7168E2-FB30-463A-BE5C-7740C060E828}"/>
    <cellStyle name="Migliaia [0] 6 4 3 3" xfId="43658" xr:uid="{C70F8A95-58B9-4B10-9FD8-75D9E5C2B00B}"/>
    <cellStyle name="Migliaia [0] 6 4 3 4" xfId="33005" xr:uid="{B239F9F9-A093-4A90-9AC4-685EB0A06CFC}"/>
    <cellStyle name="Migliaia [0] 6 4 3 5" xfId="19776" xr:uid="{4A4A9D09-CF3E-41C8-B624-A7893C14144C}"/>
    <cellStyle name="Migliaia [0] 6 4 4" xfId="35891" xr:uid="{DCF1788D-20D1-472D-9C1D-38364D6129A3}"/>
    <cellStyle name="Migliaia [0] 6 4 5" xfId="41007" xr:uid="{3AD16752-56AA-4F4B-85C7-2A57FFA3ECD6}"/>
    <cellStyle name="Migliaia [0] 6 4 6" xfId="16006" xr:uid="{97A4223E-6AB8-43D1-98A9-9E83C61A851B}"/>
    <cellStyle name="Migliaia [0] 6 4 7" xfId="7819" xr:uid="{84F2DAA4-1D7E-474A-8B34-A01BF338A6CF}"/>
    <cellStyle name="Migliaia [0] 6 5" xfId="4819" xr:uid="{34ACB464-23E0-4A92-B6DB-E45AE5B36925}"/>
    <cellStyle name="Migliaia [0] 6 5 2" xfId="33006" xr:uid="{530BCBDA-FB26-495A-8749-401834A39AE1}"/>
    <cellStyle name="Migliaia [0] 6 5 2 2" xfId="38357" xr:uid="{CF456DE0-5BEE-4169-8FE5-CEC6A5719A17}"/>
    <cellStyle name="Migliaia [0] 6 5 2 3" xfId="43659" xr:uid="{2F25991D-2090-4CC5-87E1-5E2CC2F4C075}"/>
    <cellStyle name="Migliaia [0] 6 5 3" xfId="35892" xr:uid="{6A6C0E28-DE07-4B36-889D-D615E0EE7EA3}"/>
    <cellStyle name="Migliaia [0] 6 5 4" xfId="41008" xr:uid="{662BA6A0-1488-49CE-A526-803C5F71F5B5}"/>
    <cellStyle name="Migliaia [0] 6 5 5" xfId="17133" xr:uid="{EA2F9F99-A5B4-4736-B303-C7F85F226D37}"/>
    <cellStyle name="Migliaia [0] 6 6" xfId="6046" xr:uid="{B1A0424C-8D6F-44D8-AD14-84D4B0537A13}"/>
    <cellStyle name="Migliaia [0] 6 6 2" xfId="38353" xr:uid="{E44F0F06-9C04-4470-A98A-E493DC8B483A}"/>
    <cellStyle name="Migliaia [0] 6 6 3" xfId="43655" xr:uid="{AB706C5F-9579-4C37-8AD0-2C03BCCFD2FC}"/>
    <cellStyle name="Migliaia [0] 6 6 4" xfId="33002" xr:uid="{0446C9C7-B98E-4AC0-9B7A-8101C408741D}"/>
    <cellStyle name="Migliaia [0] 6 6 5" xfId="19772" xr:uid="{B237526B-C920-4ACA-8896-A8DD052400C9}"/>
    <cellStyle name="Migliaia [0] 6 7" xfId="3093" xr:uid="{970D0782-8B41-4CA2-8EE1-02BAFF50D160}"/>
    <cellStyle name="Migliaia [0] 6 7 2" xfId="35888" xr:uid="{4250154D-A1B1-4799-A927-D748E4C662D2}"/>
    <cellStyle name="Migliaia [0] 6 8" xfId="41004" xr:uid="{542A35E1-8B48-4969-8B05-31C03968993E}"/>
    <cellStyle name="Migliaia [0] 6 9" xfId="7040" xr:uid="{07F0BB81-AD39-4273-A61C-88EBB03E33F5}"/>
    <cellStyle name="Migliaia [0] 7" xfId="298" xr:uid="{00000000-0005-0000-0000-0000B5020000}"/>
    <cellStyle name="Migliaia [0] 7 2" xfId="1649" xr:uid="{00000000-0005-0000-0000-0000B6020000}"/>
    <cellStyle name="Migliaia [0] 7 2 2" xfId="1650" xr:uid="{00000000-0005-0000-0000-0000B7020000}"/>
    <cellStyle name="Migliaia [0] 7 2 2 2" xfId="4826" xr:uid="{3A230641-9A52-4047-B624-C50A6C2658C9}"/>
    <cellStyle name="Migliaia [0] 7 2 2 2 2" xfId="21832" xr:uid="{E64E36A0-4CAD-42AC-BFD0-500FF337CD4D}"/>
    <cellStyle name="Migliaia [0] 7 2 2 2 3" xfId="46297" xr:uid="{DB0A6D25-C44B-41B5-AB72-387B499E67BF}"/>
    <cellStyle name="Migliaia [0] 7 2 2 2 4" xfId="50860" xr:uid="{4D323808-1AD6-405C-A250-5965F029CC4D}"/>
    <cellStyle name="Migliaia [0] 7 2 2 2 5" xfId="53876" xr:uid="{CF36B1BC-8B41-41F9-A5C9-578ACB66A82E}"/>
    <cellStyle name="Migliaia [0] 7 2 2 2 6" xfId="11878" xr:uid="{B49315C7-B81B-48F9-AE71-58B46AD7059D}"/>
    <cellStyle name="Migliaia [0] 7 2 2 3" xfId="3100" xr:uid="{1285F521-5119-45F3-9B09-FE0AE282ED90}"/>
    <cellStyle name="Migliaia [0] 7 2 2 3 2" xfId="11679" xr:uid="{5FEE2D2D-107E-4B2B-B76E-EE3331D49C28}"/>
    <cellStyle name="Migliaia [0] 7 2 2 4" xfId="10729" xr:uid="{CB502C9C-90E6-4564-997D-96A79F80B47E}"/>
    <cellStyle name="Migliaia [0] 7 2 2 4 2" xfId="21364" xr:uid="{C0287757-834B-415A-BF4F-DCE36D1FDAE8}"/>
    <cellStyle name="Migliaia [0] 7 2 2 4 3" xfId="46201" xr:uid="{8CD23A32-6854-46D5-9AFD-A69E5A6866B6}"/>
    <cellStyle name="Migliaia [0] 7 2 2 4 4" xfId="50379" xr:uid="{0CA7837D-3A77-4431-99BD-B4DAD2E74894}"/>
    <cellStyle name="Migliaia [0] 7 2 2 4 5" xfId="53395" xr:uid="{DBCD65CC-6061-4267-B215-4759FAD9DF35}"/>
    <cellStyle name="Migliaia [0] 7 2 2 5" xfId="19779" xr:uid="{D08B5603-21A6-4744-8D42-38D51C2E6D71}"/>
    <cellStyle name="Migliaia [0] 7 2 2 6" xfId="24167" xr:uid="{A8B4864A-2645-42CA-A80C-CEC81EF1B2C9}"/>
    <cellStyle name="Migliaia [0] 7 2 2 7" xfId="48876" xr:uid="{7AA684FD-04AB-43C1-A191-D3D0224AFBD4}"/>
    <cellStyle name="Migliaia [0] 7 2 2 8" xfId="49782" xr:uid="{617434F1-4C55-43CE-B417-3A9DF26DBCD6}"/>
    <cellStyle name="Migliaia [0] 7 2 2 9" xfId="8482" xr:uid="{737E5244-1C0A-4442-8ED9-3ED735421684}"/>
    <cellStyle name="Migliaia [0] 7 2 3" xfId="4825" xr:uid="{30DB4908-B790-40A6-8735-F2E75985CFBD}"/>
    <cellStyle name="Migliaia [0] 7 2 3 2" xfId="33008" xr:uid="{6C737C9D-C4C7-423F-9A42-7CAF30B22DA9}"/>
    <cellStyle name="Migliaia [0] 7 2 3 2 2" xfId="38359" xr:uid="{C762AD10-C481-4AFD-AA38-E8952B84FF67}"/>
    <cellStyle name="Migliaia [0] 7 2 3 2 3" xfId="43661" xr:uid="{1C591BFA-1001-45A4-A3AC-7CDA0B7ED2BD}"/>
    <cellStyle name="Migliaia [0] 7 2 3 3" xfId="35894" xr:uid="{8E9B994E-1540-42D4-BC3D-E5A5E8524B25}"/>
    <cellStyle name="Migliaia [0] 7 2 3 4" xfId="41010" xr:uid="{CC0D9EFC-761B-4E40-A882-0313D49565DA}"/>
    <cellStyle name="Migliaia [0] 7 2 3 5" xfId="11879" xr:uid="{8924A4FB-31F8-48CD-B7ED-5B0B21E6B6A7}"/>
    <cellStyle name="Migliaia [0] 7 2 4" xfId="6051" xr:uid="{E0C8543D-CE12-485D-94A1-4EFE78497198}"/>
    <cellStyle name="Migliaia [0] 7 2 4 2" xfId="19778" xr:uid="{ED16BCBF-00C9-4F10-A458-D987565CF2B8}"/>
    <cellStyle name="Migliaia [0] 7 2 5" xfId="3099" xr:uid="{314EBA8D-5665-44F2-B50A-D71B73D77714}"/>
    <cellStyle name="Migliaia [0] 7 2 5 2" xfId="24166" xr:uid="{5761338A-2170-4A14-8E3D-4988DF5F9E1F}"/>
    <cellStyle name="Migliaia [0] 7 2 6" xfId="7292" xr:uid="{54487EC0-06E0-470B-BEB3-D5CD957A1898}"/>
    <cellStyle name="Migliaia [0] 7 3" xfId="1651" xr:uid="{00000000-0005-0000-0000-0000B8020000}"/>
    <cellStyle name="Migliaia [0] 7 3 2" xfId="4827" xr:uid="{5991A37A-BC88-4FE1-A1EA-DDBCAE813419}"/>
    <cellStyle name="Migliaia [0] 7 3 2 2" xfId="18357" xr:uid="{FC614E08-0756-48E9-9A69-5B7100EE203C}"/>
    <cellStyle name="Migliaia [0] 7 3 2 2 2" xfId="21833" xr:uid="{9DA38163-4D86-4F49-8E22-374571CA2CA5}"/>
    <cellStyle name="Migliaia [0] 7 3 2 2 2 2" xfId="38360" xr:uid="{206FE0C2-B469-456A-9688-CD0CE0C86AF3}"/>
    <cellStyle name="Migliaia [0] 7 3 2 2 3" xfId="43662" xr:uid="{30AAA158-8441-4E33-AE9E-2B19A328C7D5}"/>
    <cellStyle name="Migliaia [0] 7 3 2 2 4" xfId="33009" xr:uid="{5C6AF449-CE22-43DD-82AC-55C74646DB0A}"/>
    <cellStyle name="Migliaia [0] 7 3 2 3" xfId="35895" xr:uid="{D07BF74B-AAA4-45CB-B4DF-1EE09C95A402}"/>
    <cellStyle name="Migliaia [0] 7 3 2 4" xfId="41011" xr:uid="{5084AEE2-8FF8-4102-9B20-928C1C6C9B3B}"/>
    <cellStyle name="Migliaia [0] 7 3 2 5" xfId="36321" xr:uid="{1C15DD6E-9F37-4D9D-8C3A-7021D5BF9F6D}"/>
    <cellStyle name="Migliaia [0] 7 3 2 6" xfId="50861" xr:uid="{A5E1726B-D19E-45BD-88EE-7CFC16F990AB}"/>
    <cellStyle name="Migliaia [0] 7 3 2 7" xfId="53877" xr:uid="{CC4B7AA7-EF6F-4928-9185-EAB1CB8BCA19}"/>
    <cellStyle name="Migliaia [0] 7 3 2 8" xfId="17633" xr:uid="{59B23268-C601-4477-A8DB-25621BE0DB21}"/>
    <cellStyle name="Migliaia [0] 7 3 2 9" xfId="11880" xr:uid="{AB35F12B-EACC-4435-BFEF-72485E704DE7}"/>
    <cellStyle name="Migliaia [0] 7 3 3" xfId="6052" xr:uid="{D351C09E-EEDC-4759-84B0-B06D795522C0}"/>
    <cellStyle name="Migliaia [0] 7 3 3 2" xfId="11670" xr:uid="{B5B7AF32-6C2A-4111-B313-F1EAC712A1FF}"/>
    <cellStyle name="Migliaia [0] 7 3 4" xfId="3101" xr:uid="{999862CA-74D9-47CB-901B-27C03647BD3B}"/>
    <cellStyle name="Migliaia [0] 7 3 4 2" xfId="21365" xr:uid="{69C7D7C8-DE79-40FA-8C63-92000A7799CC}"/>
    <cellStyle name="Migliaia [0] 7 3 4 3" xfId="47412" xr:uid="{A5945849-D7D3-41A1-A63A-427F8FC99B4C}"/>
    <cellStyle name="Migliaia [0] 7 3 4 4" xfId="50380" xr:uid="{F16619B2-819F-4B5F-9D54-5CA122C16CFC}"/>
    <cellStyle name="Migliaia [0] 7 3 4 5" xfId="53396" xr:uid="{C37CEEA0-DDE1-4E29-849D-A3A09803E0A8}"/>
    <cellStyle name="Migliaia [0] 7 3 4 6" xfId="10730" xr:uid="{6AD08E28-4270-4B10-BFBB-F33A82F90923}"/>
    <cellStyle name="Migliaia [0] 7 3 5" xfId="19780" xr:uid="{BAEE20DB-D820-440F-840D-EDAD3B2066C3}"/>
    <cellStyle name="Migliaia [0] 7 3 6" xfId="24169" xr:uid="{F98F91EE-28F7-4F4C-98A0-499A6A8492C7}"/>
    <cellStyle name="Migliaia [0] 7 3 7" xfId="8240" xr:uid="{AB170E3B-4C90-41FA-B45A-206F82A3D513}"/>
    <cellStyle name="Migliaia [0] 7 4" xfId="3102" xr:uid="{09E6BB3F-14A3-45CB-8011-94723E00218C}"/>
    <cellStyle name="Migliaia [0] 7 4 2" xfId="4828" xr:uid="{F7546F5C-EB34-4392-9AA3-880BEBC9E473}"/>
    <cellStyle name="Migliaia [0] 7 4 2 2" xfId="35125" xr:uid="{E580768C-47BD-4476-8A7C-94C3B9C6786A}"/>
    <cellStyle name="Migliaia [0] 7 4 2 2 2" xfId="40283" xr:uid="{9867E8F8-06B7-4624-808E-6F01303564B7}"/>
    <cellStyle name="Migliaia [0] 7 4 2 2 3" xfId="45585" xr:uid="{48F4634B-8189-4EBA-8266-EB1320B12529}"/>
    <cellStyle name="Migliaia [0] 7 4 2 3" xfId="37632" xr:uid="{6297F5FE-A5A4-412B-9A95-48E01E11F420}"/>
    <cellStyle name="Migliaia [0] 7 4 2 4" xfId="42934" xr:uid="{A0415E9E-A9AA-4671-B05C-65F937B63A54}"/>
    <cellStyle name="Migliaia [0] 7 4 2 5" xfId="17065" xr:uid="{EC959530-1D47-4883-8E30-3E887439F7C9}"/>
    <cellStyle name="Migliaia [0] 7 4 3" xfId="6053" xr:uid="{3389BD2C-FF73-4DC5-8845-50CC901B7313}"/>
    <cellStyle name="Migliaia [0] 7 4 3 2" xfId="38361" xr:uid="{52FEC27E-BF0A-4061-A5A3-8341A4AE3B24}"/>
    <cellStyle name="Migliaia [0] 7 4 3 3" xfId="43663" xr:uid="{56F4DD85-06F7-48CD-AF22-08BF9098CE10}"/>
    <cellStyle name="Migliaia [0] 7 4 3 4" xfId="33010" xr:uid="{8C2AA744-7AA7-46D9-92BC-0CDC2E8D890D}"/>
    <cellStyle name="Migliaia [0] 7 4 3 5" xfId="19781" xr:uid="{D0409FB5-C36A-4B75-96A7-BADB8E4BA9EA}"/>
    <cellStyle name="Migliaia [0] 7 4 4" xfId="35896" xr:uid="{F05943B4-E6D5-450C-89E2-402E1F2DB192}"/>
    <cellStyle name="Migliaia [0] 7 4 5" xfId="41012" xr:uid="{6A0DB98A-6860-4082-8454-9CA497DB8654}"/>
    <cellStyle name="Migliaia [0] 7 4 6" xfId="16007" xr:uid="{74B311BC-CCAB-45CC-B4C6-87C066EB8C50}"/>
    <cellStyle name="Migliaia [0] 7 4 7" xfId="7820" xr:uid="{03B81DA7-18F9-47E5-A9D7-F802BE5E66F6}"/>
    <cellStyle name="Migliaia [0] 7 5" xfId="4824" xr:uid="{BA326C9D-72AD-49D3-BE9A-C036757DAFD9}"/>
    <cellStyle name="Migliaia [0] 7 5 2" xfId="33011" xr:uid="{79DA1F16-9D0F-4FEA-A2A0-18EAEE4735B5}"/>
    <cellStyle name="Migliaia [0] 7 5 2 2" xfId="38362" xr:uid="{97F4244E-34FE-4761-969A-64014D35A76E}"/>
    <cellStyle name="Migliaia [0] 7 5 2 3" xfId="43664" xr:uid="{58662F27-A16F-44CD-B412-E2CB5D2EC60C}"/>
    <cellStyle name="Migliaia [0] 7 5 3" xfId="35897" xr:uid="{394E25FF-857B-43C5-9997-5E6905CD6D71}"/>
    <cellStyle name="Migliaia [0] 7 5 4" xfId="41013" xr:uid="{E7754B27-04EC-4022-869C-67DA4165FD0C}"/>
    <cellStyle name="Migliaia [0] 7 5 5" xfId="17134" xr:uid="{7A9CB8E5-485A-4CA2-9F82-879B7FA0F035}"/>
    <cellStyle name="Migliaia [0] 7 6" xfId="6050" xr:uid="{A4F0FA15-22CB-446D-9876-CA21805D843A}"/>
    <cellStyle name="Migliaia [0] 7 6 2" xfId="38358" xr:uid="{3C3A828B-3019-429F-9955-463EF6E06A97}"/>
    <cellStyle name="Migliaia [0] 7 6 3" xfId="43660" xr:uid="{4CC10430-F244-4D8A-B76C-446D73F6462A}"/>
    <cellStyle name="Migliaia [0] 7 6 4" xfId="33007" xr:uid="{5EE8DEEE-FE0B-41C8-BDB5-80D43CF9DC5A}"/>
    <cellStyle name="Migliaia [0] 7 6 5" xfId="19777" xr:uid="{5618D6EA-25AB-464E-951D-504AEA5A6C19}"/>
    <cellStyle name="Migliaia [0] 7 7" xfId="3098" xr:uid="{1FE9D56E-3E9A-4936-99BE-862A4D79822E}"/>
    <cellStyle name="Migliaia [0] 7 7 2" xfId="35893" xr:uid="{C8DC1C45-7E8C-401C-B872-D4AED2ABDBED}"/>
    <cellStyle name="Migliaia [0] 7 8" xfId="41009" xr:uid="{47373865-41FA-49E7-B744-25CD09B58908}"/>
    <cellStyle name="Migliaia [0] 7 9" xfId="7041" xr:uid="{02010990-4D80-4000-8779-A3ABB6712779}"/>
    <cellStyle name="Migliaia [0] 8" xfId="299" xr:uid="{00000000-0005-0000-0000-0000B9020000}"/>
    <cellStyle name="Migliaia [0] 8 2" xfId="1652" xr:uid="{00000000-0005-0000-0000-0000BA020000}"/>
    <cellStyle name="Migliaia [0] 8 2 2" xfId="1653" xr:uid="{00000000-0005-0000-0000-0000BB020000}"/>
    <cellStyle name="Migliaia [0] 8 2 2 2" xfId="4831" xr:uid="{9FF8390D-759B-407C-B69D-8F4ACB183510}"/>
    <cellStyle name="Migliaia [0] 8 2 2 2 2" xfId="21834" xr:uid="{2AF0D86E-15D9-4143-BB5D-925CFA6E032B}"/>
    <cellStyle name="Migliaia [0] 8 2 2 2 3" xfId="46743" xr:uid="{FE9F316E-9250-4448-88E6-13BF3D1B833F}"/>
    <cellStyle name="Migliaia [0] 8 2 2 2 4" xfId="50862" xr:uid="{5A1B8C22-6DBD-46D5-996E-0B80E5B58789}"/>
    <cellStyle name="Migliaia [0] 8 2 2 2 5" xfId="53878" xr:uid="{B42AC399-45EF-435A-9134-44AB8BA0AC3A}"/>
    <cellStyle name="Migliaia [0] 8 2 2 2 6" xfId="11881" xr:uid="{CBBCBC42-B9DC-4CAC-98D0-9A8321143F2B}"/>
    <cellStyle name="Migliaia [0] 8 2 2 3" xfId="3105" xr:uid="{CE98BE60-9006-41AE-9AF0-2EFD47090D4C}"/>
    <cellStyle name="Migliaia [0] 8 2 2 3 2" xfId="11556" xr:uid="{2F6DC517-4B44-47BE-83E6-DBF7A2398A47}"/>
    <cellStyle name="Migliaia [0] 8 2 2 4" xfId="10731" xr:uid="{F65D0762-EF99-4CED-8805-FB3B51745DFD}"/>
    <cellStyle name="Migliaia [0] 8 2 2 4 2" xfId="21366" xr:uid="{BA336212-D19F-4F74-AE54-FEB5862645C5}"/>
    <cellStyle name="Migliaia [0] 8 2 2 4 3" xfId="46202" xr:uid="{279DC2AB-E11F-4811-B69D-CBD135FD428C}"/>
    <cellStyle name="Migliaia [0] 8 2 2 4 4" xfId="50381" xr:uid="{414DA6C7-A29F-4613-903D-B47AA3A640F3}"/>
    <cellStyle name="Migliaia [0] 8 2 2 4 5" xfId="53397" xr:uid="{B8433AB4-D8A0-473F-8E72-1D062D9C95E4}"/>
    <cellStyle name="Migliaia [0] 8 2 2 5" xfId="19784" xr:uid="{009755DC-ADC0-4C33-B166-38C9E4C6ED76}"/>
    <cellStyle name="Migliaia [0] 8 2 2 6" xfId="24175" xr:uid="{B6B96997-B9AE-4FB9-95F7-9802B382F043}"/>
    <cellStyle name="Migliaia [0] 8 2 2 7" xfId="48877" xr:uid="{130DF843-6123-4B22-8005-3D43179C2842}"/>
    <cellStyle name="Migliaia [0] 8 2 2 8" xfId="49783" xr:uid="{42A7906C-ADA1-44ED-9557-75B4E51A991B}"/>
    <cellStyle name="Migliaia [0] 8 2 2 9" xfId="8483" xr:uid="{E378C287-5D92-4C50-8B33-07E7ADA6AE1E}"/>
    <cellStyle name="Migliaia [0] 8 2 3" xfId="4830" xr:uid="{A8C927B4-1E32-482C-A022-A6005C8DAE4A}"/>
    <cellStyle name="Migliaia [0] 8 2 3 2" xfId="33013" xr:uid="{401E6A3E-3E15-4F83-9183-7B97E6DEE2BD}"/>
    <cellStyle name="Migliaia [0] 8 2 3 2 2" xfId="38364" xr:uid="{B67758E2-973D-4591-AF3F-13F1067B0A4E}"/>
    <cellStyle name="Migliaia [0] 8 2 3 2 3" xfId="43666" xr:uid="{79DAC828-77CE-460F-B9B6-B3B0725FE43B}"/>
    <cellStyle name="Migliaia [0] 8 2 3 3" xfId="35899" xr:uid="{F033EB53-607A-4BEA-A15B-6F2CA4C60F50}"/>
    <cellStyle name="Migliaia [0] 8 2 3 4" xfId="41015" xr:uid="{B4DC6553-A2B4-4DD6-9E32-85CFD6803856}"/>
    <cellStyle name="Migliaia [0] 8 2 3 5" xfId="11882" xr:uid="{DA927751-272E-4ECD-B61F-B0AC3168FE0C}"/>
    <cellStyle name="Migliaia [0] 8 2 4" xfId="6055" xr:uid="{E152400E-ED79-44C2-A01E-B930E293D9F2}"/>
    <cellStyle name="Migliaia [0] 8 2 4 2" xfId="19783" xr:uid="{7F30A2EA-2F1C-4431-AD9A-24AB94DD1288}"/>
    <cellStyle name="Migliaia [0] 8 2 5" xfId="3104" xr:uid="{5EF69358-7B7B-4A74-B581-C1A333FE779B}"/>
    <cellStyle name="Migliaia [0] 8 2 5 2" xfId="24174" xr:uid="{FB02C2BB-546C-4861-980B-F94BDBDBE9A2}"/>
    <cellStyle name="Migliaia [0] 8 2 6" xfId="7293" xr:uid="{99F8A046-2FCB-4F1C-80E4-9F0E5AD8B857}"/>
    <cellStyle name="Migliaia [0] 8 3" xfId="1654" xr:uid="{00000000-0005-0000-0000-0000BC020000}"/>
    <cellStyle name="Migliaia [0] 8 3 2" xfId="4832" xr:uid="{E55D5662-5EC5-4C89-81E2-268A5AF9CF4C}"/>
    <cellStyle name="Migliaia [0] 8 3 2 2" xfId="18358" xr:uid="{EF3DA47C-324D-4A7D-A116-090D9572ECF5}"/>
    <cellStyle name="Migliaia [0] 8 3 2 2 2" xfId="21835" xr:uid="{72BFD90A-58D0-4634-A8B9-33217C6DF941}"/>
    <cellStyle name="Migliaia [0] 8 3 2 2 2 2" xfId="38365" xr:uid="{BD17B3C8-95ED-4983-AD14-088A02794F43}"/>
    <cellStyle name="Migliaia [0] 8 3 2 2 3" xfId="43667" xr:uid="{B297C598-5C76-4BDF-83A5-DC9219D787E1}"/>
    <cellStyle name="Migliaia [0] 8 3 2 2 4" xfId="33014" xr:uid="{2E5385C9-5849-4071-82A4-E300E31870AF}"/>
    <cellStyle name="Migliaia [0] 8 3 2 3" xfId="35900" xr:uid="{3002CA44-EE12-428D-A567-92E5140996BB}"/>
    <cellStyle name="Migliaia [0] 8 3 2 4" xfId="41016" xr:uid="{FD3CA9DA-597B-4364-8126-437D2FD96B73}"/>
    <cellStyle name="Migliaia [0] 8 3 2 5" xfId="48289" xr:uid="{CD5BEA9B-CD7A-489E-8DE2-05E6E39A8161}"/>
    <cellStyle name="Migliaia [0] 8 3 2 6" xfId="50863" xr:uid="{DE89E45C-5A29-427B-A84E-16FC3445D661}"/>
    <cellStyle name="Migliaia [0] 8 3 2 7" xfId="53879" xr:uid="{9E2C641D-3982-490B-9798-F51794BA230A}"/>
    <cellStyle name="Migliaia [0] 8 3 2 8" xfId="17634" xr:uid="{10E41853-A306-4B8F-87CC-3CC0C2462330}"/>
    <cellStyle name="Migliaia [0] 8 3 2 9" xfId="11883" xr:uid="{B6739F1C-A223-4EED-A918-E752F6966BD0}"/>
    <cellStyle name="Migliaia [0] 8 3 3" xfId="6056" xr:uid="{AB173F62-079B-4446-A80C-A8CDF8B32301}"/>
    <cellStyle name="Migliaia [0] 8 3 3 2" xfId="11119" xr:uid="{82E2988B-33DA-4AD0-9EB6-618565C0F7A4}"/>
    <cellStyle name="Migliaia [0] 8 3 4" xfId="3106" xr:uid="{EA9158A6-4B9F-4616-9C20-EA3633CFC18D}"/>
    <cellStyle name="Migliaia [0] 8 3 4 2" xfId="21367" xr:uid="{927FBC3F-A0C4-48BF-AAAE-4BFDD7962D4F}"/>
    <cellStyle name="Migliaia [0] 8 3 4 3" xfId="48004" xr:uid="{94F66C76-7375-4DDE-88EB-E85E7F50E280}"/>
    <cellStyle name="Migliaia [0] 8 3 4 4" xfId="50382" xr:uid="{7FD4032B-A2EC-42D1-B880-514B7CF3CC98}"/>
    <cellStyle name="Migliaia [0] 8 3 4 5" xfId="53398" xr:uid="{95B58BB9-422E-4A36-AA90-4634A6A4C8BC}"/>
    <cellStyle name="Migliaia [0] 8 3 4 6" xfId="10732" xr:uid="{EAC687A2-FC6D-4AAD-800A-6F88DDAFF224}"/>
    <cellStyle name="Migliaia [0] 8 3 5" xfId="19785" xr:uid="{410A9B43-1501-4D2C-A94A-C7F70E127F65}"/>
    <cellStyle name="Migliaia [0] 8 3 6" xfId="24177" xr:uid="{00542776-6BBC-4659-B7D6-743818E7BE43}"/>
    <cellStyle name="Migliaia [0] 8 3 7" xfId="8241" xr:uid="{D3AA93F1-07AA-456A-B354-2608732E32C8}"/>
    <cellStyle name="Migliaia [0] 8 4" xfId="3107" xr:uid="{42B44F06-A944-448B-B636-0A94D87A6196}"/>
    <cellStyle name="Migliaia [0] 8 4 2" xfId="4833" xr:uid="{0018B7D3-7EC0-4AF5-8260-6ACDB9FE225A}"/>
    <cellStyle name="Migliaia [0] 8 4 2 2" xfId="35126" xr:uid="{1FBD7255-64DF-40FD-95C8-55339791449D}"/>
    <cellStyle name="Migliaia [0] 8 4 2 2 2" xfId="40284" xr:uid="{CDDAB619-58F6-485C-8E5D-8B531D1DE302}"/>
    <cellStyle name="Migliaia [0] 8 4 2 2 3" xfId="45586" xr:uid="{96FD5A2A-D2D7-4F48-B1AB-7DF0F5026647}"/>
    <cellStyle name="Migliaia [0] 8 4 2 3" xfId="37633" xr:uid="{5486A701-D70D-4510-B021-BADC62960F32}"/>
    <cellStyle name="Migliaia [0] 8 4 2 4" xfId="42935" xr:uid="{6CC0E4BA-E5F3-4F4F-9B00-F6AE8F5432FD}"/>
    <cellStyle name="Migliaia [0] 8 4 2 5" xfId="17066" xr:uid="{8273B699-03B5-4A9F-9C2B-17C36FB8C933}"/>
    <cellStyle name="Migliaia [0] 8 4 3" xfId="6057" xr:uid="{64F68C14-9D61-4E40-A078-7F44F6A3061B}"/>
    <cellStyle name="Migliaia [0] 8 4 3 2" xfId="38366" xr:uid="{74B3C009-B8B0-4C5F-A5B6-B7D9D1685474}"/>
    <cellStyle name="Migliaia [0] 8 4 3 3" xfId="43668" xr:uid="{E346D102-8406-41F4-A1D3-8C35672A2AC5}"/>
    <cellStyle name="Migliaia [0] 8 4 3 4" xfId="33015" xr:uid="{86C5CB38-79F0-4D70-98A2-F61D0BF9DF72}"/>
    <cellStyle name="Migliaia [0] 8 4 3 5" xfId="19786" xr:uid="{D44AB121-020C-42EF-BFDE-9F2D88191257}"/>
    <cellStyle name="Migliaia [0] 8 4 4" xfId="35901" xr:uid="{1E57E387-EA9B-48C2-A13B-00A02A331A69}"/>
    <cellStyle name="Migliaia [0] 8 4 5" xfId="41017" xr:uid="{ECFEB6CD-EC8B-490D-8196-B0B0305FB982}"/>
    <cellStyle name="Migliaia [0] 8 4 6" xfId="16008" xr:uid="{4B58D1DD-70B2-4621-8223-57016BFC8F6A}"/>
    <cellStyle name="Migliaia [0] 8 4 7" xfId="7821" xr:uid="{5565D122-6CBA-43C1-BB81-052CB0866005}"/>
    <cellStyle name="Migliaia [0] 8 5" xfId="4829" xr:uid="{56154EF9-C464-4DE3-9645-CF40DA145D87}"/>
    <cellStyle name="Migliaia [0] 8 5 2" xfId="33016" xr:uid="{E026C3E9-0D7D-4466-996A-B9237D1E8C9C}"/>
    <cellStyle name="Migliaia [0] 8 5 2 2" xfId="38367" xr:uid="{2BBD9858-CD75-4C4A-ADAE-82DE96E1CCBE}"/>
    <cellStyle name="Migliaia [0] 8 5 2 3" xfId="43669" xr:uid="{EB8F1B7D-66EF-4F70-8F9E-70148A5676C8}"/>
    <cellStyle name="Migliaia [0] 8 5 3" xfId="35902" xr:uid="{5168D489-6856-4E73-BAD9-C143A78E23DC}"/>
    <cellStyle name="Migliaia [0] 8 5 4" xfId="41018" xr:uid="{24A4E1EE-C405-4ADD-A16D-7CEE963DCC80}"/>
    <cellStyle name="Migliaia [0] 8 5 5" xfId="17135" xr:uid="{7232076D-C757-47B4-8111-738592EDB332}"/>
    <cellStyle name="Migliaia [0] 8 6" xfId="6054" xr:uid="{24649AC4-A41B-478E-AD8D-63197797D7FC}"/>
    <cellStyle name="Migliaia [0] 8 6 2" xfId="38363" xr:uid="{014E37F0-7FC6-437E-BF6B-B8FF0874E1C2}"/>
    <cellStyle name="Migliaia [0] 8 6 3" xfId="43665" xr:uid="{CAC220A1-2975-4105-9097-6BFC959B9E52}"/>
    <cellStyle name="Migliaia [0] 8 6 4" xfId="33012" xr:uid="{9F3D76B0-B62F-4A5D-A50E-D319303F3551}"/>
    <cellStyle name="Migliaia [0] 8 6 5" xfId="19782" xr:uid="{6EEEC5D2-41A2-4861-88A7-A1A1C9BBDA33}"/>
    <cellStyle name="Migliaia [0] 8 7" xfId="3103" xr:uid="{9ED4EE9C-176B-4AE4-A8CB-F564CB0B63AB}"/>
    <cellStyle name="Migliaia [0] 8 7 2" xfId="35898" xr:uid="{04718543-EEE1-432F-AE5F-00A953382B27}"/>
    <cellStyle name="Migliaia [0] 8 8" xfId="41014" xr:uid="{B0D92C83-CEEC-42D6-B393-6AE333354439}"/>
    <cellStyle name="Migliaia [0] 8 9" xfId="7042" xr:uid="{382FCB15-65DB-48C9-B4F1-55E5AD09D05C}"/>
    <cellStyle name="Migliaia [0] 9" xfId="300" xr:uid="{00000000-0005-0000-0000-0000BD020000}"/>
    <cellStyle name="Migliaia [0] 9 2" xfId="1655" xr:uid="{00000000-0005-0000-0000-0000BE020000}"/>
    <cellStyle name="Migliaia [0] 9 2 2" xfId="1656" xr:uid="{00000000-0005-0000-0000-0000BF020000}"/>
    <cellStyle name="Migliaia [0] 9 2 2 2" xfId="4836" xr:uid="{5FD7E025-5265-4BBB-8D2C-1F4E23AD1990}"/>
    <cellStyle name="Migliaia [0] 9 2 2 2 2" xfId="21836" xr:uid="{F102BC42-ADE4-42AB-868C-5642262ABABA}"/>
    <cellStyle name="Migliaia [0] 9 2 2 2 3" xfId="46298" xr:uid="{68A780D6-8307-4290-96DC-BED8849C39A6}"/>
    <cellStyle name="Migliaia [0] 9 2 2 2 4" xfId="50864" xr:uid="{39B9513E-C92B-49A5-A9C3-EA01D5CAED7C}"/>
    <cellStyle name="Migliaia [0] 9 2 2 2 5" xfId="53880" xr:uid="{5F696234-F7A2-4E28-8753-192C511FC38B}"/>
    <cellStyle name="Migliaia [0] 9 2 2 2 6" xfId="11884" xr:uid="{EA035CC6-8B84-4161-A18A-8807131DAC39}"/>
    <cellStyle name="Migliaia [0] 9 2 2 3" xfId="3110" xr:uid="{1981BF27-08BC-4CC5-94C3-737DE5898ADF}"/>
    <cellStyle name="Migliaia [0] 9 2 2 3 2" xfId="12322" xr:uid="{220D6EED-13E8-4DBC-BCDC-DB5F9CF2F4BF}"/>
    <cellStyle name="Migliaia [0] 9 2 2 4" xfId="10733" xr:uid="{E231DAEB-F6EF-47FF-BAA9-0FE7173CD7C4}"/>
    <cellStyle name="Migliaia [0] 9 2 2 4 2" xfId="21368" xr:uid="{E12FAAAB-96F0-4615-93CC-87A282CA6D0B}"/>
    <cellStyle name="Migliaia [0] 9 2 2 4 3" xfId="25358" xr:uid="{775B05F2-07EF-4539-85B9-79018041FDE9}"/>
    <cellStyle name="Migliaia [0] 9 2 2 4 4" xfId="50383" xr:uid="{C9ADF795-C884-49B9-8B70-13C54029E1BB}"/>
    <cellStyle name="Migliaia [0] 9 2 2 4 5" xfId="53399" xr:uid="{E8EE116F-5016-462B-9F19-CA5C518DDEEB}"/>
    <cellStyle name="Migliaia [0] 9 2 2 5" xfId="19789" xr:uid="{34130ECF-F33D-41B8-ACAA-C0CE58DAFB21}"/>
    <cellStyle name="Migliaia [0] 9 2 2 6" xfId="24183" xr:uid="{780B2AE8-08E8-4AF2-BF8E-9A95CC199176}"/>
    <cellStyle name="Migliaia [0] 9 2 2 7" xfId="48878" xr:uid="{68499EA8-6D44-4C1D-9200-17F74D89980D}"/>
    <cellStyle name="Migliaia [0] 9 2 2 8" xfId="49784" xr:uid="{7A272495-8C1D-461F-A7E0-9A1185597E02}"/>
    <cellStyle name="Migliaia [0] 9 2 2 9" xfId="8484" xr:uid="{88F9B1DC-3277-464E-8F36-E0D3F19FE70C}"/>
    <cellStyle name="Migliaia [0] 9 2 3" xfId="4835" xr:uid="{4E4EC15B-B91E-4087-899B-AEED016B64C7}"/>
    <cellStyle name="Migliaia [0] 9 2 3 2" xfId="33018" xr:uid="{463FC740-7C2C-44A5-95B3-DB5FB58D2965}"/>
    <cellStyle name="Migliaia [0] 9 2 3 2 2" xfId="38369" xr:uid="{053E50CC-0EFE-48F9-82CE-ADABF0EF42C0}"/>
    <cellStyle name="Migliaia [0] 9 2 3 2 3" xfId="43671" xr:uid="{0EAA14CC-8090-4A5A-8DE5-360AEB54BA19}"/>
    <cellStyle name="Migliaia [0] 9 2 3 3" xfId="35904" xr:uid="{7B84D886-0AF0-4121-BC6D-301B3CB2FC62}"/>
    <cellStyle name="Migliaia [0] 9 2 3 4" xfId="41020" xr:uid="{59740AB5-5738-4D13-9E99-7F153C819B3C}"/>
    <cellStyle name="Migliaia [0] 9 2 3 5" xfId="11885" xr:uid="{662E611D-46C2-4878-96A6-4459A8E70D23}"/>
    <cellStyle name="Migliaia [0] 9 2 4" xfId="6059" xr:uid="{6CFC8A18-C5C9-45B1-9BC2-3D210B8763A5}"/>
    <cellStyle name="Migliaia [0] 9 2 4 2" xfId="19788" xr:uid="{71662E0E-EE60-4181-BFE3-09E94898F19D}"/>
    <cellStyle name="Migliaia [0] 9 2 5" xfId="3109" xr:uid="{B2D83EED-D225-4823-BB0E-34B1D854D514}"/>
    <cellStyle name="Migliaia [0] 9 2 5 2" xfId="24182" xr:uid="{36F295FC-BF71-4C1E-A418-016420BB3B9E}"/>
    <cellStyle name="Migliaia [0] 9 2 6" xfId="7294" xr:uid="{45B35A55-218F-4B1A-8F82-096E50EB5113}"/>
    <cellStyle name="Migliaia [0] 9 3" xfId="1657" xr:uid="{00000000-0005-0000-0000-0000C0020000}"/>
    <cellStyle name="Migliaia [0] 9 3 2" xfId="4837" xr:uid="{0F8FBF84-3CE8-4C49-A992-F0056AD59728}"/>
    <cellStyle name="Migliaia [0] 9 3 2 2" xfId="18359" xr:uid="{D082EE40-9EBD-4986-AC83-ED3474A8EE6C}"/>
    <cellStyle name="Migliaia [0] 9 3 2 2 2" xfId="21837" xr:uid="{3825037A-CA81-49C2-AA42-7A6D27A08454}"/>
    <cellStyle name="Migliaia [0] 9 3 2 2 2 2" xfId="38370" xr:uid="{9317554C-40C5-40ED-AFDB-83F6C4195ADD}"/>
    <cellStyle name="Migliaia [0] 9 3 2 2 3" xfId="43672" xr:uid="{A3912BB2-987E-4933-B772-364564D15378}"/>
    <cellStyle name="Migliaia [0] 9 3 2 2 4" xfId="33019" xr:uid="{1CB45D6E-0ED6-4C39-A4FA-BA2EE604C985}"/>
    <cellStyle name="Migliaia [0] 9 3 2 3" xfId="35905" xr:uid="{5792ECEB-D999-4002-8E07-29804C607138}"/>
    <cellStyle name="Migliaia [0] 9 3 2 4" xfId="41021" xr:uid="{F2950D2C-00B1-4569-AD2E-FFDBC0BEDBB4}"/>
    <cellStyle name="Migliaia [0] 9 3 2 5" xfId="47225" xr:uid="{61AF55A0-B723-4174-B01A-700235B4575B}"/>
    <cellStyle name="Migliaia [0] 9 3 2 6" xfId="50865" xr:uid="{4B6A6FD7-2699-453C-9AEC-F038C014749B}"/>
    <cellStyle name="Migliaia [0] 9 3 2 7" xfId="53881" xr:uid="{3EB412AD-42B0-493C-879E-C38E436B000B}"/>
    <cellStyle name="Migliaia [0] 9 3 2 8" xfId="17635" xr:uid="{D3F9336E-11A5-4230-95F4-981C7080F8C2}"/>
    <cellStyle name="Migliaia [0] 9 3 2 9" xfId="11886" xr:uid="{DC01DA1D-8CC9-490E-9DE9-2A8BFDE07332}"/>
    <cellStyle name="Migliaia [0] 9 3 3" xfId="6060" xr:uid="{05A47E1A-B474-45C5-8F9D-874462179E20}"/>
    <cellStyle name="Migliaia [0] 9 3 3 2" xfId="12362" xr:uid="{023C2C59-74FE-4D73-8927-E414F1662E0E}"/>
    <cellStyle name="Migliaia [0] 9 3 4" xfId="3111" xr:uid="{79205EAD-548A-4299-ADDC-BC70D5B50083}"/>
    <cellStyle name="Migliaia [0] 9 3 4 2" xfId="21369" xr:uid="{43250911-A6FA-47D6-BB49-2F9AE4328EDF}"/>
    <cellStyle name="Migliaia [0] 9 3 4 3" xfId="47800" xr:uid="{16A013D1-5F63-4811-B0B5-5498D6EE7846}"/>
    <cellStyle name="Migliaia [0] 9 3 4 4" xfId="50384" xr:uid="{B15573F9-BDFB-4A14-A49D-3C529CE50A65}"/>
    <cellStyle name="Migliaia [0] 9 3 4 5" xfId="53400" xr:uid="{E1981AA1-45C0-4886-9FBC-C9D2690052A4}"/>
    <cellStyle name="Migliaia [0] 9 3 4 6" xfId="10734" xr:uid="{8F30582D-D45C-4EED-9543-1B8BA3120636}"/>
    <cellStyle name="Migliaia [0] 9 3 5" xfId="19790" xr:uid="{0E0B3BA5-755C-449E-9713-829C1ACA968F}"/>
    <cellStyle name="Migliaia [0] 9 3 6" xfId="24185" xr:uid="{501B27FD-C3C7-4548-91A8-141928F30402}"/>
    <cellStyle name="Migliaia [0] 9 3 7" xfId="8242" xr:uid="{97B1513C-CDC2-4EDB-82C0-1E928F73617F}"/>
    <cellStyle name="Migliaia [0] 9 4" xfId="3112" xr:uid="{19D79E60-EEE3-4AFF-9789-9908328B7618}"/>
    <cellStyle name="Migliaia [0] 9 4 2" xfId="4838" xr:uid="{672546F8-B57B-4A09-806D-F24E1A45D124}"/>
    <cellStyle name="Migliaia [0] 9 4 2 2" xfId="35127" xr:uid="{094F6DCB-26C5-4993-8511-670DF2CDBEA0}"/>
    <cellStyle name="Migliaia [0] 9 4 2 2 2" xfId="40285" xr:uid="{C67C351B-009B-4D90-9CE5-E14D927D754B}"/>
    <cellStyle name="Migliaia [0] 9 4 2 2 3" xfId="45587" xr:uid="{80FC3C66-1790-484E-8BFB-18615AD4C405}"/>
    <cellStyle name="Migliaia [0] 9 4 2 3" xfId="37634" xr:uid="{5631AF58-0E81-4E59-A92B-DDCAA5E3943B}"/>
    <cellStyle name="Migliaia [0] 9 4 2 4" xfId="42936" xr:uid="{05777389-EB4A-4F6A-94B6-963AE12696F0}"/>
    <cellStyle name="Migliaia [0] 9 4 2 5" xfId="17576" xr:uid="{B1091FA4-D733-4710-A61A-5C541C6F9F99}"/>
    <cellStyle name="Migliaia [0] 9 4 3" xfId="6061" xr:uid="{C3490AC5-BC11-484A-A3B8-A8D8D45F77E7}"/>
    <cellStyle name="Migliaia [0] 9 4 3 2" xfId="38371" xr:uid="{036D3A43-A3F1-4F6B-B1F4-159C276D6CBE}"/>
    <cellStyle name="Migliaia [0] 9 4 3 3" xfId="43673" xr:uid="{6459CAFB-DD41-415B-AC12-B0202E854C28}"/>
    <cellStyle name="Migliaia [0] 9 4 3 4" xfId="33020" xr:uid="{9373E3F7-6A97-4240-AC43-0A6AB51B929A}"/>
    <cellStyle name="Migliaia [0] 9 4 3 5" xfId="19791" xr:uid="{10CE5B63-D8E2-4F2C-86A2-BAB15D8B8AEE}"/>
    <cellStyle name="Migliaia [0] 9 4 4" xfId="35906" xr:uid="{47FCC044-E27F-4718-8311-1F4966D0D5B0}"/>
    <cellStyle name="Migliaia [0] 9 4 5" xfId="41022" xr:uid="{50C83FA1-8F64-477D-AD10-107BAA6E0A02}"/>
    <cellStyle name="Migliaia [0] 9 4 6" xfId="16009" xr:uid="{7C221D1E-E4B0-496E-9031-208068D77601}"/>
    <cellStyle name="Migliaia [0] 9 4 7" xfId="7822" xr:uid="{1D8FCED2-3849-40A2-A95B-FEAED93DA73A}"/>
    <cellStyle name="Migliaia [0] 9 5" xfId="4834" xr:uid="{7FF4374C-0386-4479-AAC9-401AD615DAB2}"/>
    <cellStyle name="Migliaia [0] 9 5 2" xfId="33021" xr:uid="{0F49F8EB-5C75-4855-8B7A-AAD84F021630}"/>
    <cellStyle name="Migliaia [0] 9 5 2 2" xfId="38372" xr:uid="{8B7959D2-810D-49FF-ACF4-BCA5B53B38EB}"/>
    <cellStyle name="Migliaia [0] 9 5 2 3" xfId="43674" xr:uid="{7A86860D-150B-4C92-B64F-40005C3BEEB6}"/>
    <cellStyle name="Migliaia [0] 9 5 3" xfId="35907" xr:uid="{2991CA7B-F253-42C8-BE2F-52EAB7E12093}"/>
    <cellStyle name="Migliaia [0] 9 5 4" xfId="41023" xr:uid="{B5C9B9EA-52FF-4BF1-8523-FBDB98C518BD}"/>
    <cellStyle name="Migliaia [0] 9 5 5" xfId="17136" xr:uid="{AA059FA3-0D0E-4F0A-B194-061770CF70E8}"/>
    <cellStyle name="Migliaia [0] 9 6" xfId="6058" xr:uid="{1169638F-FCB5-4427-BF62-698B0CFAB2A4}"/>
    <cellStyle name="Migliaia [0] 9 6 2" xfId="38368" xr:uid="{F59335D7-5F6D-4311-BD02-23A37AF04B5A}"/>
    <cellStyle name="Migliaia [0] 9 6 3" xfId="43670" xr:uid="{05CE6E27-8FC5-4E7C-9CFD-459508511D36}"/>
    <cellStyle name="Migliaia [0] 9 6 4" xfId="33017" xr:uid="{CA80F2A3-DED6-4461-98CD-18AF505E6B73}"/>
    <cellStyle name="Migliaia [0] 9 6 5" xfId="19787" xr:uid="{4934403C-04E3-4911-BBB3-9276DDDE3545}"/>
    <cellStyle name="Migliaia [0] 9 7" xfId="3108" xr:uid="{E97C50CB-0575-494D-A9D4-E7B7C540CDF9}"/>
    <cellStyle name="Migliaia [0] 9 7 2" xfId="35903" xr:uid="{852E73C3-C10D-4EC2-9A82-BBC487659376}"/>
    <cellStyle name="Migliaia [0] 9 8" xfId="41019" xr:uid="{5C5D33C9-06F4-436A-A072-A4072DB7CABF}"/>
    <cellStyle name="Migliaia [0] 9 9" xfId="7043" xr:uid="{9F2673B6-1657-4E60-8141-7A2B3DED0BD6}"/>
    <cellStyle name="Migliaia 10" xfId="301" xr:uid="{00000000-0005-0000-0000-0000C1020000}"/>
    <cellStyle name="Migliaia 10 10" xfId="6062" xr:uid="{9F3F750A-25A9-4F5F-8AAE-D77FD64D6E26}"/>
    <cellStyle name="Migliaia 10 10 2" xfId="38373" xr:uid="{F784C85F-2312-44AA-A303-7272EF53D8B5}"/>
    <cellStyle name="Migliaia 10 10 3" xfId="43675" xr:uid="{B77EA58E-BD1F-4FFC-ABF2-3B13039518CC}"/>
    <cellStyle name="Migliaia 10 10 4" xfId="33022" xr:uid="{734CC00F-99E4-4F90-AE5B-BE994B440C05}"/>
    <cellStyle name="Migliaia 10 10 5" xfId="19792" xr:uid="{33B32DF4-4C75-4785-B52E-42E5F3A43F9C}"/>
    <cellStyle name="Migliaia 10 11" xfId="3113" xr:uid="{87F0B160-BE96-4131-8803-06789C394A9A}"/>
    <cellStyle name="Migliaia 10 11 2" xfId="35908" xr:uid="{772EA25E-95DE-4B57-84F1-0091322815E3}"/>
    <cellStyle name="Migliaia 10 12" xfId="41024" xr:uid="{794F1C1E-D695-490B-BFF2-1ED610DDCE98}"/>
    <cellStyle name="Migliaia 10 13" xfId="7044" xr:uid="{54F84677-1036-4798-B85A-71F01322967C}"/>
    <cellStyle name="Migliaia 10 2" xfId="302" xr:uid="{00000000-0005-0000-0000-0000C2020000}"/>
    <cellStyle name="Migliaia 10 2 2" xfId="1658" xr:uid="{00000000-0005-0000-0000-0000C3020000}"/>
    <cellStyle name="Migliaia 10 2 2 2" xfId="4841" xr:uid="{4FCCF3A9-551F-4251-A9FA-066227C7A3CC}"/>
    <cellStyle name="Migliaia 10 2 2 2 2" xfId="14363" xr:uid="{7A98FF72-189D-4919-A58D-E556BC74D311}"/>
    <cellStyle name="Migliaia 10 2 2 2 2 2" xfId="38374" xr:uid="{DE9D6479-A919-408E-BB93-303A2614B3E7}"/>
    <cellStyle name="Migliaia 10 2 2 2 2 3" xfId="43676" xr:uid="{8307411A-92F3-40B7-BA5D-A245A73D214A}"/>
    <cellStyle name="Migliaia 10 2 2 2 3" xfId="18360" xr:uid="{36C4A1FF-54CF-47F3-8F25-F6DA09BC48B1}"/>
    <cellStyle name="Migliaia 10 2 2 2 4" xfId="19795" xr:uid="{AED175D7-13B9-48D1-AE03-EB5E2C5ACBD9}"/>
    <cellStyle name="Migliaia 10 2 2 2 4 2" xfId="41025" xr:uid="{6D686C9E-7C4A-46A6-A051-8E622C700ABA}"/>
    <cellStyle name="Migliaia 10 2 2 2 5" xfId="16010" xr:uid="{A0C55B20-68CF-4E66-98CA-1FDC0B73C513}"/>
    <cellStyle name="Migliaia 10 2 2 2 6" xfId="8486" xr:uid="{0A559FB9-9899-47BD-8FA0-D9020CCBA890}"/>
    <cellStyle name="Migliaia 10 2 2 3" xfId="6064" xr:uid="{F236CB6D-CD39-47FC-965F-4D8928DB3590}"/>
    <cellStyle name="Migliaia 10 2 2 3 2" xfId="35128" xr:uid="{028A8DBD-9E3B-4F60-8BCB-51870851E166}"/>
    <cellStyle name="Migliaia 10 2 2 3 2 2" xfId="40286" xr:uid="{B3674F73-2FFA-4E17-B8A0-C02E6C2FD7C9}"/>
    <cellStyle name="Migliaia 10 2 2 3 2 3" xfId="45588" xr:uid="{64CEA3EB-6155-45BF-B76F-C175CC42DC17}"/>
    <cellStyle name="Migliaia 10 2 2 3 3" xfId="37635" xr:uid="{64269FBB-35BD-42FD-9995-D418FAD0BB4D}"/>
    <cellStyle name="Migliaia 10 2 2 3 4" xfId="42937" xr:uid="{592014CA-E08D-4BC3-A36A-766C00B41CAA}"/>
    <cellStyle name="Migliaia 10 2 2 3 5" xfId="11592" xr:uid="{F4BF75AD-DD12-4435-9A85-FF08495D0E75}"/>
    <cellStyle name="Migliaia 10 2 2 4" xfId="3115" xr:uid="{307CC970-7098-47DB-8D61-6D998AE07405}"/>
    <cellStyle name="Migliaia 10 2 2 4 2" xfId="21370" xr:uid="{22EC565F-C151-4596-B60F-FE926EA7D4C8}"/>
    <cellStyle name="Migliaia 10 2 2 4 3" xfId="46639" xr:uid="{AD494A6C-FFCC-451B-BD88-432E4F21D101}"/>
    <cellStyle name="Migliaia 10 2 2 4 4" xfId="50385" xr:uid="{ECAB7405-681D-4273-B04E-EBC9151937D0}"/>
    <cellStyle name="Migliaia 10 2 2 4 5" xfId="53401" xr:uid="{5EF2FC4A-7145-425A-A41A-E459E2F670C8}"/>
    <cellStyle name="Migliaia 10 2 2 4 6" xfId="10735" xr:uid="{6224F5F3-3E32-461A-9B33-33E64CA54293}"/>
    <cellStyle name="Migliaia 10 2 2 5" xfId="19794" xr:uid="{43C58FD7-6328-4F9C-A3CD-2C3240799631}"/>
    <cellStyle name="Migliaia 10 2 2 6" xfId="24191" xr:uid="{4788BF93-8692-4606-B86A-E4F6C5095497}"/>
    <cellStyle name="Migliaia 10 2 2 7" xfId="7296" xr:uid="{E9BB3108-23ED-4145-AB29-5F384B1EBBA7}"/>
    <cellStyle name="Migliaia 10 2 3" xfId="3116" xr:uid="{14E37A83-20BF-4C1A-90EE-3795AF12FBED}"/>
    <cellStyle name="Migliaia 10 2 3 2" xfId="4842" xr:uid="{3A07B38C-04D6-4CB5-9F52-879D0FDB345C}"/>
    <cellStyle name="Migliaia 10 2 3 2 2" xfId="35129" xr:uid="{06559696-D95D-4461-B323-6DE7E4A90454}"/>
    <cellStyle name="Migliaia 10 2 3 2 2 2" xfId="40287" xr:uid="{5374D27D-5511-46D4-B5BB-24A4FCF277F7}"/>
    <cellStyle name="Migliaia 10 2 3 2 2 3" xfId="45589" xr:uid="{3B497547-4F80-462C-A32B-482A857EBD3D}"/>
    <cellStyle name="Migliaia 10 2 3 2 3" xfId="37636" xr:uid="{97AF2DE9-C4A2-4FB1-8EAD-1B3E04434F00}"/>
    <cellStyle name="Migliaia 10 2 3 2 4" xfId="42938" xr:uid="{99FD44B7-7D6B-4C15-85A6-242ED0539950}"/>
    <cellStyle name="Migliaia 10 2 3 2 5" xfId="14182" xr:uid="{4FEA0C00-7FE7-4B82-B4E4-29ED320BB56F}"/>
    <cellStyle name="Migliaia 10 2 3 3" xfId="6065" xr:uid="{A3A626A1-4E21-41B2-8711-6F4F455DCC2D}"/>
    <cellStyle name="Migliaia 10 2 3 3 2" xfId="38375" xr:uid="{48FBFDE2-1ED3-4BF9-8EBA-E7933CB41AEF}"/>
    <cellStyle name="Migliaia 10 2 3 3 3" xfId="43677" xr:uid="{9CAED91B-5C9A-4B0C-8B5E-026545B47BDE}"/>
    <cellStyle name="Migliaia 10 2 3 3 4" xfId="33024" xr:uid="{734D6A8E-C3F7-46BE-8A8B-C5386F14DFBC}"/>
    <cellStyle name="Migliaia 10 2 3 3 5" xfId="19796" xr:uid="{B4FF55BF-EF54-48AD-A6CD-E01EF0AD9E4E}"/>
    <cellStyle name="Migliaia 10 2 3 4" xfId="35910" xr:uid="{D92EDAE9-46D6-4F08-B40C-F9EDCF6D7B60}"/>
    <cellStyle name="Migliaia 10 2 3 5" xfId="41026" xr:uid="{32A08195-D533-4DC0-9A7F-EEAF0616D5CD}"/>
    <cellStyle name="Migliaia 10 2 3 6" xfId="16011" xr:uid="{9CB4AD0F-23B3-4A17-A5FE-68C4C254D46D}"/>
    <cellStyle name="Migliaia 10 2 3 7" xfId="8244" xr:uid="{537CF635-4D42-4C5A-A860-405C7DE9EE51}"/>
    <cellStyle name="Migliaia 10 2 4" xfId="4840" xr:uid="{F2E1EBAC-0DE2-4790-8A21-20FE86499B4E}"/>
    <cellStyle name="Migliaia 10 2 4 2" xfId="13885" xr:uid="{9E6CE036-4D2C-493E-86D0-E31821B69314}"/>
    <cellStyle name="Migliaia 10 2 4 2 2" xfId="38376" xr:uid="{367E7EFE-D0F9-4D61-B957-54BC985B4206}"/>
    <cellStyle name="Migliaia 10 2 4 2 3" xfId="43678" xr:uid="{71CDD133-6F80-49AB-B81D-39676540F154}"/>
    <cellStyle name="Migliaia 10 2 4 3" xfId="18729" xr:uid="{A8BE815D-C1E9-424A-A2B3-072E78BA1059}"/>
    <cellStyle name="Migliaia 10 2 4 4" xfId="19797" xr:uid="{F62BB894-1835-4117-B180-9BD78226D71D}"/>
    <cellStyle name="Migliaia 10 2 4 4 2" xfId="41027" xr:uid="{DF0C6CF2-4DD5-43B7-B417-F8B72FE927CF}"/>
    <cellStyle name="Migliaia 10 2 4 5" xfId="16012" xr:uid="{5B7566D4-65A5-4C3E-BDEA-1711E9241B03}"/>
    <cellStyle name="Migliaia 10 2 4 6" xfId="7824" xr:uid="{6827ACA4-7532-494F-BF75-3B6530EE89B8}"/>
    <cellStyle name="Migliaia 10 2 5" xfId="6063" xr:uid="{4902E973-CA72-49EA-8846-1609DFB6CDB3}"/>
    <cellStyle name="Migliaia 10 2 5 2" xfId="33026" xr:uid="{F97A5B6E-065A-412B-B07C-564649D8975C}"/>
    <cellStyle name="Migliaia 10 2 5 2 2" xfId="38377" xr:uid="{FB5FCF8A-5427-4DA1-A943-A02D298FBEC7}"/>
    <cellStyle name="Migliaia 10 2 5 2 3" xfId="43679" xr:uid="{30A5C614-0B39-4F7F-8B55-F394DA291DD0}"/>
    <cellStyle name="Migliaia 10 2 5 3" xfId="35911" xr:uid="{C7E3D2D8-82A3-4578-BA31-2C461FECFB33}"/>
    <cellStyle name="Migliaia 10 2 5 4" xfId="41028" xr:uid="{D4781B12-41E8-46F1-9F4E-C226061F2C37}"/>
    <cellStyle name="Migliaia 10 2 5 5" xfId="13103" xr:uid="{D3000516-E8B6-48B7-8005-4A2FEFF2C3AB}"/>
    <cellStyle name="Migliaia 10 2 6" xfId="3114" xr:uid="{2ABEF558-69AA-4301-BCE1-CA87D073A5BB}"/>
    <cellStyle name="Migliaia 10 2 6 2" xfId="33027" xr:uid="{C8122728-AB78-4620-94D3-B83A42F5ABA6}"/>
    <cellStyle name="Migliaia 10 2 6 2 2" xfId="38378" xr:uid="{118641D2-73FC-47E0-9C13-2CFD73F4AB37}"/>
    <cellStyle name="Migliaia 10 2 6 2 3" xfId="43680" xr:uid="{D6F4EED3-EC12-43A8-8A56-4431A7744F7A}"/>
    <cellStyle name="Migliaia 10 2 6 3" xfId="35912" xr:uid="{1A9D24E7-3550-46B1-BBAB-0CD087992FC6}"/>
    <cellStyle name="Migliaia 10 2 6 4" xfId="41029" xr:uid="{775E3F37-0C8A-470C-97C9-9B7611F63084}"/>
    <cellStyle name="Migliaia 10 2 6 5" xfId="24195" xr:uid="{486D1188-D3A4-4EDA-B3A4-DDCFBB7F3B35}"/>
    <cellStyle name="Migliaia 10 2 6 6" xfId="19793" xr:uid="{FA257537-9EE2-4AA2-9382-3F42F7AE4ACB}"/>
    <cellStyle name="Migliaia 10 2 7" xfId="24190" xr:uid="{BD5A7D44-6CDB-43A9-AED8-AA93E7F264C5}"/>
    <cellStyle name="Migliaia 10 2 8" xfId="7045" xr:uid="{1BCD4E8B-1923-4FE9-BDC5-AB33A66CF62F}"/>
    <cellStyle name="Migliaia 10 3" xfId="303" xr:uid="{00000000-0005-0000-0000-0000C4020000}"/>
    <cellStyle name="Migliaia 10 3 10" xfId="24196" xr:uid="{0BB18BD9-D144-42B2-A25F-4F0E24DC27DF}"/>
    <cellStyle name="Migliaia 10 3 11" xfId="16013" xr:uid="{26851F4A-FDD7-4A36-A154-3BF1C627F6BE}"/>
    <cellStyle name="Migliaia 10 3 12" xfId="7046" xr:uid="{B806D1EC-3128-4FE5-88A4-8BC26E9F36EE}"/>
    <cellStyle name="Migliaia 10 3 2" xfId="304" xr:uid="{00000000-0005-0000-0000-0000C5020000}"/>
    <cellStyle name="Migliaia 10 3 2 2" xfId="1659" xr:uid="{00000000-0005-0000-0000-0000C6020000}"/>
    <cellStyle name="Migliaia 10 3 2 2 2" xfId="4845" xr:uid="{E1235BE6-2F34-41F0-BC63-0F6DBE40EB9F}"/>
    <cellStyle name="Migliaia 10 3 2 2 2 2" xfId="18361" xr:uid="{83618839-D4BE-4EA1-80F3-391325A46F3F}"/>
    <cellStyle name="Migliaia 10 3 2 2 2 2 2" xfId="21838" xr:uid="{E24E37EE-8FAF-4CE4-ACAE-33578A471C81}"/>
    <cellStyle name="Migliaia 10 3 2 2 2 2 2 2" xfId="38379" xr:uid="{0EC60797-6158-4EC7-8B11-CF1E5D797E17}"/>
    <cellStyle name="Migliaia 10 3 2 2 2 2 3" xfId="43681" xr:uid="{3B31803F-851E-4A78-A497-AA16AE58B6B7}"/>
    <cellStyle name="Migliaia 10 3 2 2 2 2 4" xfId="33028" xr:uid="{0252CB39-D3F9-4BC9-92E0-03F096044535}"/>
    <cellStyle name="Migliaia 10 3 2 2 2 3" xfId="35913" xr:uid="{87FD4EAB-67F8-4BFE-948C-A3560240FC29}"/>
    <cellStyle name="Migliaia 10 3 2 2 2 4" xfId="41030" xr:uid="{2081D1A2-E580-4C0D-ADDC-C5D602D3239F}"/>
    <cellStyle name="Migliaia 10 3 2 2 2 5" xfId="46744" xr:uid="{B79C0A41-827D-4CF3-9710-8B65C2FB8303}"/>
    <cellStyle name="Migliaia 10 3 2 2 2 6" xfId="50866" xr:uid="{56828E72-0754-4305-A993-F933C21D00D8}"/>
    <cellStyle name="Migliaia 10 3 2 2 2 7" xfId="53882" xr:uid="{905334BE-E823-4C05-85C9-6A88E6702DDE}"/>
    <cellStyle name="Migliaia 10 3 2 2 2 8" xfId="17639" xr:uid="{1A6A6AA2-9213-433E-A2F2-2799E31188A4}"/>
    <cellStyle name="Migliaia 10 3 2 2 2 9" xfId="11887" xr:uid="{992148A2-C2B4-4A94-BB26-2BBBF317C0F9}"/>
    <cellStyle name="Migliaia 10 3 2 2 3" xfId="6068" xr:uid="{C13E6D0F-BAB4-490D-860E-2E7D42017FCE}"/>
    <cellStyle name="Migliaia 10 3 2 2 3 2" xfId="11680" xr:uid="{570323AC-A38F-4AA8-A2BE-187CCEB68AA4}"/>
    <cellStyle name="Migliaia 10 3 2 2 4" xfId="3119" xr:uid="{DF55D60F-9DD1-4D2D-9D89-C6E84D2A4718}"/>
    <cellStyle name="Migliaia 10 3 2 2 4 2" xfId="21371" xr:uid="{485A9FC3-904B-4D99-BE34-294834F8514A}"/>
    <cellStyle name="Migliaia 10 3 2 2 4 3" xfId="48315" xr:uid="{3A83FA8A-89EC-4B86-83AE-E27DCFCFE53B}"/>
    <cellStyle name="Migliaia 10 3 2 2 4 4" xfId="50386" xr:uid="{4CA09EE8-CC3C-4EC9-AF11-BBCFEA2FA2B4}"/>
    <cellStyle name="Migliaia 10 3 2 2 4 5" xfId="53402" xr:uid="{8E192F1C-4049-4BFE-879B-7367A7776619}"/>
    <cellStyle name="Migliaia 10 3 2 2 4 6" xfId="10736" xr:uid="{6BC7DC2B-23D8-48CA-8659-5B9108671078}"/>
    <cellStyle name="Migliaia 10 3 2 2 5" xfId="19800" xr:uid="{805F853E-9E6E-494B-921C-FE0E3D6FAD5F}"/>
    <cellStyle name="Migliaia 10 3 2 2 6" xfId="24198" xr:uid="{61385194-FBB5-47A0-B25C-BB43D5DD0EBF}"/>
    <cellStyle name="Migliaia 10 3 2 2 7" xfId="8488" xr:uid="{14F6E90B-5C52-40F6-8623-9A165FB49414}"/>
    <cellStyle name="Migliaia 10 3 2 3" xfId="4844" xr:uid="{3B06EAF2-A82A-4A34-B174-E3D996F1FE55}"/>
    <cellStyle name="Migliaia 10 3 2 3 2" xfId="11655" xr:uid="{4F205021-8B05-4DC4-83AB-19A241CED703}"/>
    <cellStyle name="Migliaia 10 3 2 3 2 2" xfId="38380" xr:uid="{CE126976-1E01-4645-91F8-298D03B5C69B}"/>
    <cellStyle name="Migliaia 10 3 2 3 2 3" xfId="43682" xr:uid="{40F49801-7DB8-468A-9771-4B0A621CF716}"/>
    <cellStyle name="Migliaia 10 3 2 3 2 4" xfId="33029" xr:uid="{A60DDAA8-8614-4F91-85C5-2A47447D34AB}"/>
    <cellStyle name="Migliaia 10 3 2 3 3" xfId="11888" xr:uid="{105ADD8A-462F-4909-AE6D-70AB38D9B5DB}"/>
    <cellStyle name="Migliaia 10 3 2 3 4" xfId="19801" xr:uid="{43500F48-58BB-4540-BAE7-C615921F2816}"/>
    <cellStyle name="Migliaia 10 3 2 3 4 2" xfId="41031" xr:uid="{80CE712F-2E25-4001-9E6F-B21208F0B4BF}"/>
    <cellStyle name="Migliaia 10 3 2 3 5" xfId="16014" xr:uid="{487F19B4-1903-4C9E-9794-BA8A23238A79}"/>
    <cellStyle name="Migliaia 10 3 2 3 6" xfId="7826" xr:uid="{5458986E-7654-40F9-9195-DA454D677B16}"/>
    <cellStyle name="Migliaia 10 3 2 4" xfId="6067" xr:uid="{FC2CB318-F6FE-4ACB-BED8-EC3F67D4821D}"/>
    <cellStyle name="Migliaia 10 3 2 4 2" xfId="18058" xr:uid="{1E2E6B95-202F-478F-988C-0862D0688CE7}"/>
    <cellStyle name="Migliaia 10 3 2 4 2 2" xfId="38381" xr:uid="{642E818A-6DB0-4509-8799-4427D25BDE7E}"/>
    <cellStyle name="Migliaia 10 3 2 4 2 3" xfId="43683" xr:uid="{934ACF79-5106-42E8-A807-87FA93246FFA}"/>
    <cellStyle name="Migliaia 10 3 2 4 3" xfId="35914" xr:uid="{227F7294-5C62-4958-806E-E757A8F5FF26}"/>
    <cellStyle name="Migliaia 10 3 2 4 4" xfId="41032" xr:uid="{B6EDAA83-A312-4127-BB3D-EF25583CB568}"/>
    <cellStyle name="Migliaia 10 3 2 4 5" xfId="17138" xr:uid="{26DCCEE5-89B8-4EA6-BF53-4D4BE338E264}"/>
    <cellStyle name="Migliaia 10 3 2 4 6" xfId="11240" xr:uid="{518B6165-E289-493A-8A33-A349C37B314E}"/>
    <cellStyle name="Migliaia 10 3 2 5" xfId="3118" xr:uid="{1E34D88F-DEF6-4F54-8120-3FBA217AAEB4}"/>
    <cellStyle name="Migliaia 10 3 2 5 2" xfId="33030" xr:uid="{DE318458-F9EF-424F-B129-F77681BE6854}"/>
    <cellStyle name="Migliaia 10 3 2 5 2 2" xfId="38382" xr:uid="{5A9AFC85-0C69-4076-B036-D1AEC935501B}"/>
    <cellStyle name="Migliaia 10 3 2 5 2 3" xfId="43684" xr:uid="{7AD11381-D574-48B6-932C-1CE4CFF3BFAF}"/>
    <cellStyle name="Migliaia 10 3 2 5 3" xfId="35915" xr:uid="{3433D10E-9537-4A48-8B47-ADF22EA16FF8}"/>
    <cellStyle name="Migliaia 10 3 2 5 4" xfId="41033" xr:uid="{83E77CFC-8FB5-48C2-B409-2B069F819223}"/>
    <cellStyle name="Migliaia 10 3 2 5 5" xfId="17423" xr:uid="{D6E0EB1F-2225-4D21-A697-71B37D351747}"/>
    <cellStyle name="Migliaia 10 3 2 6" xfId="19799" xr:uid="{F364556D-F03D-4D09-8373-8F0DE85EBEB9}"/>
    <cellStyle name="Migliaia 10 3 2 6 2" xfId="33031" xr:uid="{1D0CB567-3CED-468E-A4E6-D00633088DC9}"/>
    <cellStyle name="Migliaia 10 3 2 6 2 2" xfId="38383" xr:uid="{C2ACE18D-F4E2-480C-A71F-B825CCFCFEA7}"/>
    <cellStyle name="Migliaia 10 3 2 6 2 3" xfId="43685" xr:uid="{160030AC-31AD-4A4D-904E-6296043AC657}"/>
    <cellStyle name="Migliaia 10 3 2 6 3" xfId="35916" xr:uid="{E2DAF72D-6A14-4F2F-92EF-0E2F73DBD553}"/>
    <cellStyle name="Migliaia 10 3 2 6 4" xfId="41034" xr:uid="{26EFD44A-6F71-4699-9974-295660263ADB}"/>
    <cellStyle name="Migliaia 10 3 2 6 5" xfId="24199" xr:uid="{F047C080-F3DA-4E6F-95A7-3A882FDE0CE8}"/>
    <cellStyle name="Migliaia 10 3 2 7" xfId="24197" xr:uid="{423DDBAA-7324-4B30-9D54-0D0C70C5839D}"/>
    <cellStyle name="Migliaia 10 3 2 8" xfId="7298" xr:uid="{B4D6F97E-30A8-4B10-8109-B6F36098EDD9}"/>
    <cellStyle name="Migliaia 10 3 3" xfId="3120" xr:uid="{0948A49E-6D7B-42C7-BF5B-976A458A2C37}"/>
    <cellStyle name="Migliaia 10 3 3 10" xfId="7297" xr:uid="{7085520C-6F95-483D-8F84-A9A8E5B50EE2}"/>
    <cellStyle name="Migliaia 10 3 3 2" xfId="4846" xr:uid="{08CECC23-E5FF-4977-825A-CBC4C1C262AB}"/>
    <cellStyle name="Migliaia 10 3 3 2 2" xfId="9884" xr:uid="{CD1858EE-CCEF-4C13-B833-1B8E319D68F5}"/>
    <cellStyle name="Migliaia 10 3 3 2 2 2" xfId="38385" xr:uid="{9042CA58-96A2-488C-9BD3-675603DA0EAA}"/>
    <cellStyle name="Migliaia 10 3 3 2 2 3" xfId="43687" xr:uid="{9441884F-F653-4675-8086-DE071FA70750}"/>
    <cellStyle name="Migliaia 10 3 3 2 3" xfId="18164" xr:uid="{B1645D78-A744-48DF-B7F4-620C81952727}"/>
    <cellStyle name="Migliaia 10 3 3 2 4" xfId="19803" xr:uid="{0A2A4069-85C1-45BE-AE39-21D715DDE4FC}"/>
    <cellStyle name="Migliaia 10 3 3 2 4 2" xfId="41036" xr:uid="{06194262-3FCB-427D-AD95-547851D4731A}"/>
    <cellStyle name="Migliaia 10 3 3 2 5" xfId="16016" xr:uid="{6DE750F6-AE2D-4FF7-83AC-5EF3CDB5C8CC}"/>
    <cellStyle name="Migliaia 10 3 3 2 6" xfId="8487" xr:uid="{2E3130DC-DF67-4890-8F4C-F0766E94FD88}"/>
    <cellStyle name="Migliaia 10 3 3 3" xfId="6069" xr:uid="{CBC98E31-301A-4B97-813F-5F47DC5A6D78}"/>
    <cellStyle name="Migliaia 10 3 3 3 2" xfId="33033" xr:uid="{BAF43114-CD1E-44BA-A318-A757107F9D4D}"/>
    <cellStyle name="Migliaia 10 3 3 3 2 2" xfId="38386" xr:uid="{DCFB7BA9-CEEE-416B-B4E7-CDEC3E0EA4BC}"/>
    <cellStyle name="Migliaia 10 3 3 3 2 3" xfId="43688" xr:uid="{5D96C78A-1529-40FC-AF6C-E63C97B5F6B1}"/>
    <cellStyle name="Migliaia 10 3 3 3 3" xfId="35918" xr:uid="{58E47E64-54BF-46FA-969C-5CBC78C8022C}"/>
    <cellStyle name="Migliaia 10 3 3 3 4" xfId="41037" xr:uid="{05CF7AC1-9C15-47A8-BB8A-839E09597173}"/>
    <cellStyle name="Migliaia 10 3 3 3 5" xfId="9647" xr:uid="{69AF992F-FBCC-4B70-A769-3FE11516DFF8}"/>
    <cellStyle name="Migliaia 10 3 3 4" xfId="19802" xr:uid="{7D3D02D2-4041-4BBB-95CA-F3528B79452A}"/>
    <cellStyle name="Migliaia 10 3 3 4 2" xfId="33034" xr:uid="{AE2CFB3C-FC5D-4340-B59C-4C76A8C59A6A}"/>
    <cellStyle name="Migliaia 10 3 3 4 2 2" xfId="38387" xr:uid="{34746D06-5510-4E2B-9A27-FD399F0C634A}"/>
    <cellStyle name="Migliaia 10 3 3 4 2 3" xfId="43689" xr:uid="{7D940EE8-4DD2-4F83-9A12-202C83DBCA41}"/>
    <cellStyle name="Migliaia 10 3 3 4 3" xfId="35919" xr:uid="{3BB47F75-D675-4638-9F16-A9E08D13E29C}"/>
    <cellStyle name="Migliaia 10 3 3 4 4" xfId="41038" xr:uid="{49C9C523-9651-445C-B571-22C37949A0EE}"/>
    <cellStyle name="Migliaia 10 3 3 4 5" xfId="24200" xr:uid="{1FC2162E-6926-411E-B3CA-C8BAB56D5D48}"/>
    <cellStyle name="Migliaia 10 3 3 5" xfId="24201" xr:uid="{DF83B178-3840-4760-99A7-AEB28EE40584}"/>
    <cellStyle name="Migliaia 10 3 3 5 2" xfId="33035" xr:uid="{8B5C4904-55CE-446F-A6F4-3072A8EAE433}"/>
    <cellStyle name="Migliaia 10 3 3 5 2 2" xfId="38388" xr:uid="{981C680C-0AEA-4329-9841-4F07D267D4B6}"/>
    <cellStyle name="Migliaia 10 3 3 5 2 3" xfId="43690" xr:uid="{53B84925-57B2-4697-9377-C856F3301B03}"/>
    <cellStyle name="Migliaia 10 3 3 5 3" xfId="35920" xr:uid="{A3EE613C-622E-4EAF-9D7B-16657129EA72}"/>
    <cellStyle name="Migliaia 10 3 3 5 4" xfId="41039" xr:uid="{6BD2A3FD-D7D9-41BA-AB5A-4BD89F13645E}"/>
    <cellStyle name="Migliaia 10 3 3 6" xfId="33032" xr:uid="{BABC7F37-05CE-479F-AF44-03EE46926F13}"/>
    <cellStyle name="Migliaia 10 3 3 6 2" xfId="38384" xr:uid="{1A39FD20-806B-4B84-9A76-0296E10EB6AE}"/>
    <cellStyle name="Migliaia 10 3 3 6 3" xfId="43686" xr:uid="{455EA34E-5E8E-4359-A0D0-0D5FB6881E76}"/>
    <cellStyle name="Migliaia 10 3 3 7" xfId="35917" xr:uid="{42F25869-937D-4CF3-A55E-17843A5FAC04}"/>
    <cellStyle name="Migliaia 10 3 3 8" xfId="41035" xr:uid="{5D09BCFD-A054-4570-B037-EFB58D5FFAC0}"/>
    <cellStyle name="Migliaia 10 3 3 9" xfId="16015" xr:uid="{FDC9D046-AB57-473D-A58E-7BE14F557377}"/>
    <cellStyle name="Migliaia 10 3 4" xfId="3121" xr:uid="{B7E0A7F7-2847-44E4-84FC-0E1BFDD43C6F}"/>
    <cellStyle name="Migliaia 10 3 4 2" xfId="4847" xr:uid="{84E2367F-EA71-47BD-A054-361AC4EBDDF5}"/>
    <cellStyle name="Migliaia 10 3 4 2 2" xfId="14424" xr:uid="{A3D6F486-04E3-45BD-96AD-B670F0F4E7BF}"/>
    <cellStyle name="Migliaia 10 3 4 2 3" xfId="18592" xr:uid="{1936CCDD-7DE7-465F-A106-940BB0F4FD32}"/>
    <cellStyle name="Migliaia 10 3 4 2 4" xfId="19805" xr:uid="{C4F11703-182B-4B7E-A4FA-83D8C8707DC6}"/>
    <cellStyle name="Migliaia 10 3 4 2 5" xfId="32287" xr:uid="{C3647BCC-E255-45C4-B4C8-7FDD214859BF}"/>
    <cellStyle name="Migliaia 10 3 4 2 6" xfId="16018" xr:uid="{787B8079-86F7-45FF-829A-A9E820E09B2B}"/>
    <cellStyle name="Migliaia 10 3 4 2 7" xfId="8847" xr:uid="{4F456014-87B2-4088-9967-E0C472406102}"/>
    <cellStyle name="Migliaia 10 3 4 3" xfId="6070" xr:uid="{90618E43-F9FF-4B04-8CDC-5F117A836CED}"/>
    <cellStyle name="Migliaia 10 3 4 3 2" xfId="35130" xr:uid="{F216CA8B-2481-4117-8835-7E7521CE67B9}"/>
    <cellStyle name="Migliaia 10 3 4 3 2 2" xfId="40288" xr:uid="{2CAC6AEF-E126-4DC7-A8DD-7530E4B3ACF3}"/>
    <cellStyle name="Migliaia 10 3 4 3 2 3" xfId="45590" xr:uid="{07CFD376-A020-4F74-8503-A941833506C1}"/>
    <cellStyle name="Migliaia 10 3 4 3 3" xfId="37637" xr:uid="{66A4F44F-E95F-4AA6-A84C-CD4FCD39FE3D}"/>
    <cellStyle name="Migliaia 10 3 4 3 4" xfId="42939" xr:uid="{EFA98F51-D2BD-4E48-B3E1-95B373C71ABC}"/>
    <cellStyle name="Migliaia 10 3 4 3 5" xfId="13672" xr:uid="{6CA29724-E257-4EAC-96D5-E3486DB13877}"/>
    <cellStyle name="Migliaia 10 3 4 4" xfId="19804" xr:uid="{AAB06F87-2D83-49A8-AC58-9EB2624FE6A1}"/>
    <cellStyle name="Migliaia 10 3 4 4 2" xfId="38389" xr:uid="{07434B65-1240-4AC7-974E-C2E609746464}"/>
    <cellStyle name="Migliaia 10 3 4 4 3" xfId="43691" xr:uid="{BB875F6E-45F0-401E-91B1-8C903258F504}"/>
    <cellStyle name="Migliaia 10 3 4 4 4" xfId="33036" xr:uid="{8CE4910A-5B4C-4C99-9EE9-B5BA553AC1EA}"/>
    <cellStyle name="Migliaia 10 3 4 5" xfId="35921" xr:uid="{DE0869C8-583D-45EC-964E-0CDB9FD9017D}"/>
    <cellStyle name="Migliaia 10 3 4 6" xfId="41040" xr:uid="{4856DBD4-7CF7-4654-B07A-C8BF0FF3185A}"/>
    <cellStyle name="Migliaia 10 3 4 7" xfId="16017" xr:uid="{2A42489D-2E0C-47EC-88AA-BB4039145FF2}"/>
    <cellStyle name="Migliaia 10 3 4 8" xfId="7657" xr:uid="{BBF40409-80FC-4D47-B181-FDD91576E0DB}"/>
    <cellStyle name="Migliaia 10 3 5" xfId="3122" xr:uid="{F96CBF0E-061A-48FC-9797-824F455E142B}"/>
    <cellStyle name="Migliaia 10 3 5 2" xfId="4848" xr:uid="{5B7DC88E-31B8-478D-8015-192461C09EEA}"/>
    <cellStyle name="Migliaia 10 3 5 2 2" xfId="35131" xr:uid="{035B954D-F62C-4AA9-BE30-717B7CB244F1}"/>
    <cellStyle name="Migliaia 10 3 5 2 2 2" xfId="40289" xr:uid="{49D39D70-0D1B-4607-B9DF-8732D6DDF1D7}"/>
    <cellStyle name="Migliaia 10 3 5 2 2 3" xfId="45591" xr:uid="{E8B69CC2-73D3-4329-8BCD-AE94FC43E1E3}"/>
    <cellStyle name="Migliaia 10 3 5 2 3" xfId="37638" xr:uid="{980F3C59-89E7-411D-8329-837E934B2E1F}"/>
    <cellStyle name="Migliaia 10 3 5 2 4" xfId="42940" xr:uid="{D07594CB-6257-47B2-8D2E-99F84AADC7E9}"/>
    <cellStyle name="Migliaia 10 3 5 2 5" xfId="14183" xr:uid="{1E6C17E5-06A1-445E-95D9-04C3AC081424}"/>
    <cellStyle name="Migliaia 10 3 5 3" xfId="6071" xr:uid="{F1CCDB85-F1B0-47A8-9401-26F98A8398E2}"/>
    <cellStyle name="Migliaia 10 3 5 3 2" xfId="38390" xr:uid="{F9A264BF-3790-40F5-8C44-8DFB9D828CF2}"/>
    <cellStyle name="Migliaia 10 3 5 3 3" xfId="43692" xr:uid="{4DBB674C-573E-40B2-B17C-5F3EF7D7A053}"/>
    <cellStyle name="Migliaia 10 3 5 3 4" xfId="33037" xr:uid="{C404EF6F-50BB-4FAE-91A4-AA3E17525168}"/>
    <cellStyle name="Migliaia 10 3 5 3 5" xfId="19806" xr:uid="{F8B71149-7585-44E0-8F01-3376AA99ECC1}"/>
    <cellStyle name="Migliaia 10 3 5 4" xfId="35922" xr:uid="{10EC2465-B497-4545-9231-54917BDB6BF9}"/>
    <cellStyle name="Migliaia 10 3 5 5" xfId="41041" xr:uid="{2FBD258B-5334-48DA-A6FF-EF67C9E7C2B3}"/>
    <cellStyle name="Migliaia 10 3 5 6" xfId="16019" xr:uid="{1B80E2FF-39BF-43B7-A209-0F16F9D4407D}"/>
    <cellStyle name="Migliaia 10 3 5 7" xfId="8245" xr:uid="{B7E097A1-B07D-4952-8198-33C0231E8C38}"/>
    <cellStyle name="Migliaia 10 3 6" xfId="4843" xr:uid="{FDE819AD-8544-4629-833F-AAFE16D76846}"/>
    <cellStyle name="Migliaia 10 3 6 2" xfId="13886" xr:uid="{03A2ACF5-3613-4B8B-93CF-77F964C6555D}"/>
    <cellStyle name="Migliaia 10 3 6 2 2" xfId="38391" xr:uid="{E3EB6A9F-B788-414D-8F3C-F4EC946913CF}"/>
    <cellStyle name="Migliaia 10 3 6 2 3" xfId="43693" xr:uid="{399ABB55-3F3D-43DD-AEB9-3797422C4E27}"/>
    <cellStyle name="Migliaia 10 3 6 3" xfId="18012" xr:uid="{22AF749F-7E19-4FA2-AA83-0E8E1284FC55}"/>
    <cellStyle name="Migliaia 10 3 6 4" xfId="19807" xr:uid="{CC97025D-7AA6-453E-87FA-D50812376534}"/>
    <cellStyle name="Migliaia 10 3 6 4 2" xfId="41042" xr:uid="{5907A9A3-3B8D-467A-AE84-DDF0C35EE270}"/>
    <cellStyle name="Migliaia 10 3 6 5" xfId="16020" xr:uid="{BE95C28D-327D-49E4-9D8C-00CDC1A038F0}"/>
    <cellStyle name="Migliaia 10 3 6 6" xfId="7825" xr:uid="{FA8303E5-DE33-407A-BF1D-5BD1803F0238}"/>
    <cellStyle name="Migliaia 10 3 7" xfId="6066" xr:uid="{4DF2092F-3ABA-4FB2-B53D-B465F95C33F9}"/>
    <cellStyle name="Migliaia 10 3 7 2" xfId="33038" xr:uid="{1E7964BB-6166-4487-A48F-8B6EB597A788}"/>
    <cellStyle name="Migliaia 10 3 7 2 2" xfId="38392" xr:uid="{59B6A50C-1548-4D8F-9292-B9D97DEAB94E}"/>
    <cellStyle name="Migliaia 10 3 7 2 3" xfId="43694" xr:uid="{1EDC4A82-3FD0-485B-A6E4-B716DB80E295}"/>
    <cellStyle name="Migliaia 10 3 7 3" xfId="35923" xr:uid="{C40E2745-CF9F-4395-898C-D1A385A1871B}"/>
    <cellStyle name="Migliaia 10 3 7 4" xfId="41043" xr:uid="{1EC1209E-84E6-42C0-BB65-8C239C998D1C}"/>
    <cellStyle name="Migliaia 10 3 7 5" xfId="12276" xr:uid="{43F86B71-8C7B-46E2-90D3-08CE0D45A5E6}"/>
    <cellStyle name="Migliaia 10 3 8" xfId="3117" xr:uid="{746B2425-6AD4-4F0C-BB23-1E59ABD48EC1}"/>
    <cellStyle name="Migliaia 10 3 8 2" xfId="33039" xr:uid="{98318447-1268-4E8E-A334-3031B9EE5979}"/>
    <cellStyle name="Migliaia 10 3 8 2 2" xfId="38393" xr:uid="{CB60C938-060F-4BD6-AE05-BB77B9707A72}"/>
    <cellStyle name="Migliaia 10 3 8 2 3" xfId="43695" xr:uid="{92E2E3C2-9978-4948-952B-319589C95A63}"/>
    <cellStyle name="Migliaia 10 3 8 3" xfId="35924" xr:uid="{7F7A59B3-77D1-4811-A47D-C7443153D4A4}"/>
    <cellStyle name="Migliaia 10 3 8 4" xfId="41044" xr:uid="{DED7EACF-F155-4275-9E29-71724B81B91E}"/>
    <cellStyle name="Migliaia 10 3 8 5" xfId="24202" xr:uid="{33A1819D-3E4F-4A76-8716-18589C78A21E}"/>
    <cellStyle name="Migliaia 10 3 8 6" xfId="17424" xr:uid="{101D78B2-C469-4480-9157-60475DE013F1}"/>
    <cellStyle name="Migliaia 10 3 9" xfId="19798" xr:uid="{2987F523-DBCA-4A62-B2CB-393E2E450036}"/>
    <cellStyle name="Migliaia 10 4" xfId="1660" xr:uid="{00000000-0005-0000-0000-0000C7020000}"/>
    <cellStyle name="Migliaia 10 4 2" xfId="1661" xr:uid="{00000000-0005-0000-0000-0000C8020000}"/>
    <cellStyle name="Migliaia 10 4 2 2" xfId="4850" xr:uid="{8F9C726E-1C8B-4551-B54D-5238D09BF7D0}"/>
    <cellStyle name="Migliaia 10 4 2 2 2" xfId="33040" xr:uid="{E3BC5533-79B2-497F-A036-4C0196FBBEC5}"/>
    <cellStyle name="Migliaia 10 4 2 2 2 2" xfId="38394" xr:uid="{13DFFCA3-B938-4EE6-97D7-DE649F2068FA}"/>
    <cellStyle name="Migliaia 10 4 2 2 2 3" xfId="43696" xr:uid="{FA013846-5767-4929-B097-9ABB15A085BA}"/>
    <cellStyle name="Migliaia 10 4 2 2 3" xfId="35925" xr:uid="{B09079C5-EFD9-4531-9B38-D539418347F6}"/>
    <cellStyle name="Migliaia 10 4 2 2 4" xfId="41045" xr:uid="{9BD14A60-C68F-4ECE-9D18-B7E4033337A7}"/>
    <cellStyle name="Migliaia 10 4 2 2 5" xfId="9110" xr:uid="{7B0EA1CC-600D-4B0C-AB70-5AEAE8A0D1AC}"/>
    <cellStyle name="Migliaia 10 4 2 3" xfId="3124" xr:uid="{2D4C33D0-627F-4385-A6F8-68EC9772BE78}"/>
    <cellStyle name="Migliaia 10 4 2 3 2" xfId="33041" xr:uid="{F8DAFD43-4662-4358-A964-FF98D47639F6}"/>
    <cellStyle name="Migliaia 10 4 2 3 2 2" xfId="38395" xr:uid="{20A5C621-E923-42F9-A3C7-E0BBFD5B2603}"/>
    <cellStyle name="Migliaia 10 4 2 3 2 3" xfId="43697" xr:uid="{665CA418-2408-43F0-AA07-A69769054FB4}"/>
    <cellStyle name="Migliaia 10 4 2 3 3" xfId="35926" xr:uid="{AA8C4658-A872-41CA-A118-CEB8687966E0}"/>
    <cellStyle name="Migliaia 10 4 2 3 4" xfId="41046" xr:uid="{30377856-5B56-43D6-B25E-25C693A25C91}"/>
    <cellStyle name="Migliaia 10 4 2 3 5" xfId="11889" xr:uid="{CEA82364-D205-4BFB-943B-C3AF819AAD63}"/>
    <cellStyle name="Migliaia 10 4 2 4" xfId="11242" xr:uid="{D019FDDD-9A3E-4E25-BEE0-2C73225B3BBA}"/>
    <cellStyle name="Migliaia 10 4 2 5" xfId="10738" xr:uid="{5898AD6E-4788-428A-999C-F58AAE3BD8D5}"/>
    <cellStyle name="Migliaia 10 4 2 5 2" xfId="21373" xr:uid="{076366D1-B188-4E7D-A049-842298EB7667}"/>
    <cellStyle name="Migliaia 10 4 2 5 3" xfId="47957" xr:uid="{2265BBDA-6E28-4699-BA20-1B58BAB99EB1}"/>
    <cellStyle name="Migliaia 10 4 2 5 4" xfId="50388" xr:uid="{E12B09DF-B8BF-4B7D-952D-D085777A368E}"/>
    <cellStyle name="Migliaia 10 4 2 5 5" xfId="53404" xr:uid="{3B1CEB5D-3CA4-4767-89FB-1AB7AF3D7E7E}"/>
    <cellStyle name="Migliaia 10 4 2 6" xfId="19809" xr:uid="{7F339EAB-7B91-4105-8510-0DBE06BEB552}"/>
    <cellStyle name="Migliaia 10 4 2 7" xfId="24204" xr:uid="{1E04CBA7-0C39-48E8-904D-CD8BDB95B0DE}"/>
    <cellStyle name="Migliaia 10 4 2 8" xfId="8489" xr:uid="{37BA63F5-6508-491A-BF24-EDE5DB2ADC99}"/>
    <cellStyle name="Migliaia 10 4 3" xfId="4849" xr:uid="{BB6069B6-2D7D-4094-BF97-248D87C1D109}"/>
    <cellStyle name="Migliaia 10 4 3 2" xfId="18165" xr:uid="{4B4920B1-EFE1-4554-8C5A-243C024F238A}"/>
    <cellStyle name="Migliaia 10 4 3 2 2" xfId="38396" xr:uid="{2F11E619-DF2C-4477-98F9-89E9B9CC3811}"/>
    <cellStyle name="Migliaia 10 4 3 2 3" xfId="43698" xr:uid="{AB6FCA67-682B-4B5B-A540-3EBB9BFB885D}"/>
    <cellStyle name="Migliaia 10 4 3 3" xfId="35927" xr:uid="{2C3AEEB1-DEBE-466F-A9AD-25977749F4DB}"/>
    <cellStyle name="Migliaia 10 4 3 4" xfId="41047" xr:uid="{098570C1-B8F7-4961-844F-AB2AF915BD1D}"/>
    <cellStyle name="Migliaia 10 4 3 5" xfId="17422" xr:uid="{4985D47C-ECE1-4EE3-B053-79B0143199C4}"/>
    <cellStyle name="Migliaia 10 4 3 6" xfId="9111" xr:uid="{62A75B44-489B-4CBF-9ACD-D55D7C6DDAEF}"/>
    <cellStyle name="Migliaia 10 4 4" xfId="6072" xr:uid="{360C3AFB-E763-427F-A942-1698565FD6CE}"/>
    <cellStyle name="Migliaia 10 4 4 2" xfId="33042" xr:uid="{734F7A93-FF30-4B93-AF8A-CA4A5E6A4538}"/>
    <cellStyle name="Migliaia 10 4 4 2 2" xfId="38397" xr:uid="{0E7DB8AF-5053-48EF-9A6F-34FFBCDC6639}"/>
    <cellStyle name="Migliaia 10 4 4 2 3" xfId="43699" xr:uid="{7E5576F2-56F9-4494-A954-005A7D7E340D}"/>
    <cellStyle name="Migliaia 10 4 4 3" xfId="35928" xr:uid="{0F4C9AFB-FA68-4161-BC76-F3CD41DCE12B}"/>
    <cellStyle name="Migliaia 10 4 4 4" xfId="41048" xr:uid="{3F5CA090-C87F-4641-905F-9A2520C2F4C1}"/>
    <cellStyle name="Migliaia 10 4 4 5" xfId="11890" xr:uid="{E7A091AA-70F3-4B3E-9709-FAF5A3B7D854}"/>
    <cellStyle name="Migliaia 10 4 5" xfId="3123" xr:uid="{9C1BE531-3890-42D5-96D3-125218BF4744}"/>
    <cellStyle name="Migliaia 10 4 5 2" xfId="33043" xr:uid="{E8881BF7-7F00-497C-86C1-6BAAFB87FE5E}"/>
    <cellStyle name="Migliaia 10 4 5 2 2" xfId="38398" xr:uid="{06C97317-C55E-4C5C-94EA-562E0B1A9789}"/>
    <cellStyle name="Migliaia 10 4 5 2 3" xfId="43700" xr:uid="{0763BEF9-C996-4A45-B0C7-A92421E20F71}"/>
    <cellStyle name="Migliaia 10 4 5 3" xfId="35929" xr:uid="{E367446B-65E5-4F55-BFE7-959BC5691AE8}"/>
    <cellStyle name="Migliaia 10 4 5 4" xfId="41049" xr:uid="{EEC05DA6-8267-4CA4-9CE3-BD89E77E489C}"/>
    <cellStyle name="Migliaia 10 4 5 5" xfId="11241" xr:uid="{789E6A8A-5BC6-496C-99D2-6C283CAD8ABF}"/>
    <cellStyle name="Migliaia 10 4 6" xfId="10737" xr:uid="{D7661B85-E522-49C6-BCE4-B3925852C7F2}"/>
    <cellStyle name="Migliaia 10 4 6 2" xfId="21372" xr:uid="{1035E6FD-2FC0-432B-949D-7D7F4AB393BB}"/>
    <cellStyle name="Migliaia 10 4 6 2 2" xfId="38399" xr:uid="{7022E3BD-916C-4172-9E42-705F1B587E17}"/>
    <cellStyle name="Migliaia 10 4 6 2 3" xfId="43701" xr:uid="{FC6C0958-DC9F-488D-801B-0F26DEEACEBF}"/>
    <cellStyle name="Migliaia 10 4 6 2 4" xfId="33044" xr:uid="{3693AA26-0DB1-47C1-AA7A-0FE7E293F1C3}"/>
    <cellStyle name="Migliaia 10 4 6 3" xfId="35930" xr:uid="{2B5E449A-BC03-4246-AB05-5EB7C620E94B}"/>
    <cellStyle name="Migliaia 10 4 6 4" xfId="41050" xr:uid="{A31C3261-EEBE-45B6-B3C4-57C63533F1D0}"/>
    <cellStyle name="Migliaia 10 4 6 5" xfId="24205" xr:uid="{CA03FA9F-E8B1-4E23-A442-59F30CE21883}"/>
    <cellStyle name="Migliaia 10 4 6 6" xfId="47701" xr:uid="{F4923C64-57BA-418F-BA37-FABA98EF86DB}"/>
    <cellStyle name="Migliaia 10 4 6 7" xfId="50387" xr:uid="{0058ED10-31BC-4AC0-A78B-678C57787A96}"/>
    <cellStyle name="Migliaia 10 4 6 8" xfId="53403" xr:uid="{C313877B-AF4D-41D5-8310-CAD8DACB38ED}"/>
    <cellStyle name="Migliaia 10 4 7" xfId="19808" xr:uid="{1E218CA5-FFA2-4CA8-86E3-DFA2180F0835}"/>
    <cellStyle name="Migliaia 10 4 7 2" xfId="33045" xr:uid="{C41454B3-84A1-463B-AB15-D72508FAE43A}"/>
    <cellStyle name="Migliaia 10 4 7 2 2" xfId="38400" xr:uid="{6547C331-4D63-40EA-BC21-3984577CED03}"/>
    <cellStyle name="Migliaia 10 4 7 2 3" xfId="43702" xr:uid="{E1CF8836-F640-4D0B-B2E9-37AD9A874359}"/>
    <cellStyle name="Migliaia 10 4 7 3" xfId="35931" xr:uid="{E63641BE-8F97-47BC-BFC0-E1AEE7D4EA84}"/>
    <cellStyle name="Migliaia 10 4 7 4" xfId="41051" xr:uid="{7E670ADD-76B4-46B8-A67C-99D03842C87C}"/>
    <cellStyle name="Migliaia 10 4 7 5" xfId="24206" xr:uid="{B147E2DA-E39E-4B98-A8CA-453CE72B7C55}"/>
    <cellStyle name="Migliaia 10 4 8" xfId="24203" xr:uid="{D5A36A86-444C-4F32-8086-02AC42702954}"/>
    <cellStyle name="Migliaia 10 4 9" xfId="7299" xr:uid="{426E2FD8-B012-4749-B135-4AB86C9F9702}"/>
    <cellStyle name="Migliaia 10 5" xfId="1662" xr:uid="{00000000-0005-0000-0000-0000C9020000}"/>
    <cellStyle name="Migliaia 10 5 2" xfId="4851" xr:uid="{E060A36F-61DF-4504-B124-0E69E2C47AC5}"/>
    <cellStyle name="Migliaia 10 5 2 2" xfId="18362" xr:uid="{8BBCC8AE-CFF7-4DF9-AE02-D2896E500125}"/>
    <cellStyle name="Migliaia 10 5 2 2 2" xfId="38401" xr:uid="{1647A652-5C9C-40B5-9643-E298A8C76A74}"/>
    <cellStyle name="Migliaia 10 5 2 2 3" xfId="43703" xr:uid="{E1EA1B31-4147-4FF8-81B1-DDD43AA9A496}"/>
    <cellStyle name="Migliaia 10 5 2 3" xfId="19811" xr:uid="{342F7C15-73D5-4C3F-9C5A-415B99038220}"/>
    <cellStyle name="Migliaia 10 5 2 3 2" xfId="35932" xr:uid="{AA9430CB-9E88-45AD-AD80-37A9E3907E36}"/>
    <cellStyle name="Migliaia 10 5 2 4" xfId="41052" xr:uid="{0293D786-B5B9-40E2-BF01-D75F91CE0DB7}"/>
    <cellStyle name="Migliaia 10 5 2 5" xfId="16021" xr:uid="{E6FEA9D4-644E-4593-A5E3-0654519999AB}"/>
    <cellStyle name="Migliaia 10 5 2 6" xfId="8490" xr:uid="{FDAC7057-42C4-4980-8CCE-4B358892E722}"/>
    <cellStyle name="Migliaia 10 5 3" xfId="6073" xr:uid="{9E882E1C-D9DC-497A-B655-2C78871294F7}"/>
    <cellStyle name="Migliaia 10 5 3 2" xfId="33046" xr:uid="{ECAA7FB6-49FD-4E41-8001-38D0A9FA28D1}"/>
    <cellStyle name="Migliaia 10 5 3 2 2" xfId="38402" xr:uid="{55836247-98DF-45F6-BC51-234D3786953E}"/>
    <cellStyle name="Migliaia 10 5 3 2 3" xfId="43704" xr:uid="{879A2EB2-E1A9-47ED-B96C-D2F938E19D0D}"/>
    <cellStyle name="Migliaia 10 5 3 3" xfId="35933" xr:uid="{BFAF56B8-4A05-4C7E-B41A-178836B563C0}"/>
    <cellStyle name="Migliaia 10 5 3 4" xfId="41053" xr:uid="{F3DA0CD7-60B6-4CFD-AA4E-6B9381B3E9A3}"/>
    <cellStyle name="Migliaia 10 5 3 5" xfId="11243" xr:uid="{6FB8DBB3-EE71-46A1-951A-1DC326B56D83}"/>
    <cellStyle name="Migliaia 10 5 4" xfId="3125" xr:uid="{FAEC4E63-52D4-44A3-92D4-07B0C8162E94}"/>
    <cellStyle name="Migliaia 10 5 4 2" xfId="21374" xr:uid="{3E678015-D82B-482C-8167-2C9DDEA10705}"/>
    <cellStyle name="Migliaia 10 5 4 2 2" xfId="38403" xr:uid="{FA2A1996-61CC-4313-A2BA-8B18B93A3524}"/>
    <cellStyle name="Migliaia 10 5 4 2 3" xfId="43705" xr:uid="{1A4AE99E-9594-483A-BB61-C0262970E56D}"/>
    <cellStyle name="Migliaia 10 5 4 2 4" xfId="33047" xr:uid="{DB88C7E3-636E-43C8-8EF7-D65449994F6C}"/>
    <cellStyle name="Migliaia 10 5 4 3" xfId="35934" xr:uid="{388EE42B-A5AD-4910-8E21-93E924EF33E8}"/>
    <cellStyle name="Migliaia 10 5 4 4" xfId="41054" xr:uid="{EF0BF780-91B5-4C11-9EB1-9C1E850B9AA6}"/>
    <cellStyle name="Migliaia 10 5 4 5" xfId="24208" xr:uid="{F1F3B79C-B198-4751-A3BA-DA14DE941295}"/>
    <cellStyle name="Migliaia 10 5 4 6" xfId="46203" xr:uid="{1CA80317-795A-42FE-9BA5-9D57722F7306}"/>
    <cellStyle name="Migliaia 10 5 4 7" xfId="50389" xr:uid="{094A8035-AD46-4FAE-BDE6-83BD852154B4}"/>
    <cellStyle name="Migliaia 10 5 4 8" xfId="53405" xr:uid="{F975230B-48F8-4F0C-86E6-3097B4D712F2}"/>
    <cellStyle name="Migliaia 10 5 4 9" xfId="10739" xr:uid="{07471954-6222-4E1F-9926-2A893AA6A636}"/>
    <cellStyle name="Migliaia 10 5 5" xfId="19810" xr:uid="{6B0EED63-4396-435F-9B59-24C66868AD98}"/>
    <cellStyle name="Migliaia 10 5 5 2" xfId="33048" xr:uid="{41EDC250-0D79-4EFD-9061-2ACB8778873A}"/>
    <cellStyle name="Migliaia 10 5 5 2 2" xfId="38404" xr:uid="{1B8447D8-CD24-4F8E-B136-EB76EB331217}"/>
    <cellStyle name="Migliaia 10 5 5 2 3" xfId="43706" xr:uid="{42DD5A95-74CC-41D3-B588-DA69B2720D2E}"/>
    <cellStyle name="Migliaia 10 5 5 3" xfId="35935" xr:uid="{430122D2-5C7C-4F61-B4A1-C548A2A27936}"/>
    <cellStyle name="Migliaia 10 5 5 4" xfId="41055" xr:uid="{9980DAE9-D8AC-4650-94CD-6CAB1C823CD3}"/>
    <cellStyle name="Migliaia 10 5 5 5" xfId="24209" xr:uid="{A227F11D-8953-4FDC-9D1D-396B51964D1F}"/>
    <cellStyle name="Migliaia 10 5 6" xfId="24210" xr:uid="{609D12C4-6007-40DB-9928-09097552DA6B}"/>
    <cellStyle name="Migliaia 10 5 6 2" xfId="33049" xr:uid="{3A0BBD35-B065-40C7-B76F-C8A1E6CE962A}"/>
    <cellStyle name="Migliaia 10 5 6 2 2" xfId="38405" xr:uid="{480CFF07-1DFC-4BBC-AF88-076A93F82BEB}"/>
    <cellStyle name="Migliaia 10 5 6 2 3" xfId="43707" xr:uid="{F18CDAC5-AE13-4375-8B62-7CCD01BC4054}"/>
    <cellStyle name="Migliaia 10 5 6 3" xfId="35936" xr:uid="{8BE8D414-9F33-4840-84D8-5E6B333F37CF}"/>
    <cellStyle name="Migliaia 10 5 6 4" xfId="41056" xr:uid="{789B9A0D-3D97-4B12-BB85-D27CA0E8C329}"/>
    <cellStyle name="Migliaia 10 5 7" xfId="24207" xr:uid="{111CBD8F-137A-4784-988E-E6131203525D}"/>
    <cellStyle name="Migliaia 10 5 8" xfId="7300" xr:uid="{EA18520E-2FAA-4953-A1F5-2F7E87EF67C0}"/>
    <cellStyle name="Migliaia 10 6" xfId="3126" xr:uid="{0F51BBE6-FE90-4D8C-8B79-7A1342EA8CB3}"/>
    <cellStyle name="Migliaia 10 6 2" xfId="4852" xr:uid="{29BFF3CF-F15F-4255-BBA9-0630A2E67775}"/>
    <cellStyle name="Migliaia 10 6 2 2" xfId="9883" xr:uid="{2E9E0464-19B5-4236-A281-A9B0C91E714B}"/>
    <cellStyle name="Migliaia 10 6 2 3" xfId="18679" xr:uid="{093FC479-B379-4016-9986-17EDECA82D3E}"/>
    <cellStyle name="Migliaia 10 6 2 4" xfId="19813" xr:uid="{20E30726-4F2B-4FD7-BAC0-15B1C6A09D62}"/>
    <cellStyle name="Migliaia 10 6 2 5" xfId="32288" xr:uid="{1259BE39-9975-4C4D-9D59-C891D815A5FE}"/>
    <cellStyle name="Migliaia 10 6 2 6" xfId="16023" xr:uid="{EA2CE1BD-4FE7-4BB5-824B-F323DA00E0F2}"/>
    <cellStyle name="Migliaia 10 6 2 7" xfId="8485" xr:uid="{2D988804-A27B-4424-A05D-1BDCB7B02FFA}"/>
    <cellStyle name="Migliaia 10 6 3" xfId="6074" xr:uid="{DBEB1514-0A89-4CBD-BD9D-319B65171784}"/>
    <cellStyle name="Migliaia 10 6 3 2" xfId="35132" xr:uid="{A32D96CE-39AA-490A-8F9E-43910004E198}"/>
    <cellStyle name="Migliaia 10 6 3 2 2" xfId="40290" xr:uid="{7A30BF86-E4E6-41C8-8902-11BD57442E8E}"/>
    <cellStyle name="Migliaia 10 6 3 2 3" xfId="45592" xr:uid="{CC5D6749-DC92-496C-873E-7EB9D7FDC507}"/>
    <cellStyle name="Migliaia 10 6 3 3" xfId="37639" xr:uid="{C84D6789-EB73-472B-8BEB-2492210B2490}"/>
    <cellStyle name="Migliaia 10 6 3 4" xfId="42941" xr:uid="{4C7C0E5A-0D8C-45F7-9D37-8805B5A93A40}"/>
    <cellStyle name="Migliaia 10 6 3 5" xfId="9646" xr:uid="{6B341894-912F-4D68-8B67-FA3FAADCD8CA}"/>
    <cellStyle name="Migliaia 10 6 4" xfId="19812" xr:uid="{5A586E89-99FD-4F56-98EB-71AAD9E646D9}"/>
    <cellStyle name="Migliaia 10 6 4 2" xfId="38406" xr:uid="{2151C159-8D93-4E45-BD7A-1E7BB1407A8A}"/>
    <cellStyle name="Migliaia 10 6 4 3" xfId="43708" xr:uid="{CE62DB15-04B1-44B8-9080-87A66F467F53}"/>
    <cellStyle name="Migliaia 10 6 4 4" xfId="33050" xr:uid="{FA14E3BF-C228-4CF6-A704-EFFCF58F52C0}"/>
    <cellStyle name="Migliaia 10 6 5" xfId="35937" xr:uid="{0642DEA6-565B-4731-B7BA-36A22D0B36F5}"/>
    <cellStyle name="Migliaia 10 6 6" xfId="41057" xr:uid="{1183C200-C35D-45CB-B2F5-6658BE54C747}"/>
    <cellStyle name="Migliaia 10 6 7" xfId="16022" xr:uid="{E8DC6B82-A8D0-4728-A56A-CD07E229F98A}"/>
    <cellStyle name="Migliaia 10 6 8" xfId="7295" xr:uid="{97F685AD-8A04-4D77-A421-001B2C194955}"/>
    <cellStyle name="Migliaia 10 7" xfId="3127" xr:uid="{D0143A49-652C-4E00-B6A3-460BB4626E63}"/>
    <cellStyle name="Migliaia 10 7 2" xfId="4853" xr:uid="{4F79149A-4801-46BD-8949-B3D68BE4121D}"/>
    <cellStyle name="Migliaia 10 7 2 2" xfId="35133" xr:uid="{ED382DD5-CDF9-43E9-B1A2-E529D920555F}"/>
    <cellStyle name="Migliaia 10 7 2 2 2" xfId="40291" xr:uid="{21B2AD8E-88AC-4DFF-9B01-C8190020C41F}"/>
    <cellStyle name="Migliaia 10 7 2 2 3" xfId="45593" xr:uid="{99C0BE82-5B9B-4EA8-A76D-1F99C133D6C1}"/>
    <cellStyle name="Migliaia 10 7 2 3" xfId="37640" xr:uid="{BEA17B88-00AA-48DC-A7A3-9779FCB4FB4F}"/>
    <cellStyle name="Migliaia 10 7 2 4" xfId="42942" xr:uid="{61891E76-5C0E-4668-BC2C-1CB681B49B6E}"/>
    <cellStyle name="Migliaia 10 7 2 5" xfId="14181" xr:uid="{54F0284C-483C-4E3C-AD07-6F21B6123D15}"/>
    <cellStyle name="Migliaia 10 7 3" xfId="6075" xr:uid="{490A4E8B-87DE-4B89-A1A7-F6C3A2A17262}"/>
    <cellStyle name="Migliaia 10 7 3 2" xfId="38407" xr:uid="{13F40CF3-7589-49CD-90D6-DFAE584EE629}"/>
    <cellStyle name="Migliaia 10 7 3 3" xfId="43709" xr:uid="{9EDB761F-FF95-4C03-844F-8B11AA8E9CAD}"/>
    <cellStyle name="Migliaia 10 7 3 4" xfId="33051" xr:uid="{E4A9EBD2-31BF-493A-A977-19D9366E9701}"/>
    <cellStyle name="Migliaia 10 7 3 5" xfId="19814" xr:uid="{7B631F32-E86E-48C7-AB69-6281C676DBE9}"/>
    <cellStyle name="Migliaia 10 7 4" xfId="35938" xr:uid="{7F1C4C02-F3D8-47D5-9DFB-7382A4CC4A13}"/>
    <cellStyle name="Migliaia 10 7 5" xfId="41058" xr:uid="{85E2ECDA-68C2-47A5-83E3-8B86BC1193C1}"/>
    <cellStyle name="Migliaia 10 7 6" xfId="16024" xr:uid="{666CB71F-A22B-4792-9CA7-B42D722AE27E}"/>
    <cellStyle name="Migliaia 10 7 7" xfId="8243" xr:uid="{91069F64-EAE0-45D3-9ECD-B3B658DC70E6}"/>
    <cellStyle name="Migliaia 10 8" xfId="3128" xr:uid="{BF9A5880-9F67-48E8-ADB4-666ADFB60A7D}"/>
    <cellStyle name="Migliaia 10 8 2" xfId="4854" xr:uid="{48EDDB18-C419-43C8-B92D-D749E9574BC4}"/>
    <cellStyle name="Migliaia 10 8 2 2" xfId="35134" xr:uid="{3500DB30-E505-4463-968D-A73E1452D0FE}"/>
    <cellStyle name="Migliaia 10 8 2 2 2" xfId="40292" xr:uid="{4FB06E45-1CE0-48B9-A086-E2F31E7C08FF}"/>
    <cellStyle name="Migliaia 10 8 2 2 3" xfId="45594" xr:uid="{48CC1811-FF32-4544-A3A6-A83C9295611F}"/>
    <cellStyle name="Migliaia 10 8 2 3" xfId="37641" xr:uid="{4D52F04F-78C8-4505-AD28-E921CE8710A0}"/>
    <cellStyle name="Migliaia 10 8 2 4" xfId="42943" xr:uid="{48BDCCE4-6D13-4C45-9884-FFCF923957AE}"/>
    <cellStyle name="Migliaia 10 8 2 5" xfId="13884" xr:uid="{7E178EAD-4E09-4B2A-ACDE-9F23816D449F}"/>
    <cellStyle name="Migliaia 10 8 3" xfId="6076" xr:uid="{50214093-927B-41B6-893F-AC512265B1E8}"/>
    <cellStyle name="Migliaia 10 8 3 2" xfId="38408" xr:uid="{BD5FB56C-DDA2-443A-85DC-8A6F129C4DE5}"/>
    <cellStyle name="Migliaia 10 8 3 3" xfId="43710" xr:uid="{BA4E7AB5-C757-4C1B-93E8-886C10FA58CD}"/>
    <cellStyle name="Migliaia 10 8 3 4" xfId="33052" xr:uid="{AED3F2BD-91B0-4473-A140-00DAF7DECB1E}"/>
    <cellStyle name="Migliaia 10 8 3 5" xfId="19815" xr:uid="{EB4FEBF2-B83B-408C-A89E-003D958BFD2C}"/>
    <cellStyle name="Migliaia 10 8 4" xfId="35939" xr:uid="{A8E15174-75F9-4706-B627-F7B8739CBD2C}"/>
    <cellStyle name="Migliaia 10 8 5" xfId="41059" xr:uid="{F3480BFB-50E0-4B0E-8D3E-CE16FB0BA00A}"/>
    <cellStyle name="Migliaia 10 8 6" xfId="16025" xr:uid="{0D37ACDB-143C-435B-96D2-282CCA2E1641}"/>
    <cellStyle name="Migliaia 10 8 7" xfId="7823" xr:uid="{F9BF198E-66D7-479E-9506-5125AA872A51}"/>
    <cellStyle name="Migliaia 10 9" xfId="4839" xr:uid="{608DDB49-0C32-46DA-8C0D-F30A28222E60}"/>
    <cellStyle name="Migliaia 10 9 2" xfId="33053" xr:uid="{289AD822-5C2C-4548-BEC3-8F544D89F94F}"/>
    <cellStyle name="Migliaia 10 9 2 2" xfId="38409" xr:uid="{0D001090-D0DB-4022-942C-56FCD2A5BEAD}"/>
    <cellStyle name="Migliaia 10 9 2 3" xfId="43711" xr:uid="{804A11EB-3381-4595-9971-36A88D7B95A7}"/>
    <cellStyle name="Migliaia 10 9 3" xfId="35940" xr:uid="{8EAA9508-1B28-48AA-BE0B-BABB1D7AA594}"/>
    <cellStyle name="Migliaia 10 9 4" xfId="41060" xr:uid="{4C88263F-CA4B-4A74-BE74-CE3482A6B410}"/>
    <cellStyle name="Migliaia 10 9 5" xfId="17137" xr:uid="{14587E9A-5CBA-49C0-84A7-59F59B8753AB}"/>
    <cellStyle name="Migliaia 11" xfId="305" xr:uid="{00000000-0005-0000-0000-0000CA020000}"/>
    <cellStyle name="Migliaia 11 10" xfId="6077" xr:uid="{0EAFB025-663C-4013-981E-176C1559EAAC}"/>
    <cellStyle name="Migliaia 11 10 2" xfId="38410" xr:uid="{FAC99363-226A-470F-939D-CB443ED20A64}"/>
    <cellStyle name="Migliaia 11 10 3" xfId="43712" xr:uid="{86AE2004-6714-4AC8-8D3B-20C3F59D32A3}"/>
    <cellStyle name="Migliaia 11 10 4" xfId="33054" xr:uid="{1BA83DCF-3099-42E6-A296-94C4DA98EB40}"/>
    <cellStyle name="Migliaia 11 10 5" xfId="19816" xr:uid="{508FB6CB-5AC3-404E-8398-1DDFE0342751}"/>
    <cellStyle name="Migliaia 11 11" xfId="3129" xr:uid="{54D4DD11-4824-4ADC-BE1F-0FB9DD0C6FCC}"/>
    <cellStyle name="Migliaia 11 11 2" xfId="35941" xr:uid="{9BD75323-47D4-4209-8B20-EFDCA1BE008F}"/>
    <cellStyle name="Migliaia 11 12" xfId="41061" xr:uid="{4EC75411-6BDE-43DE-8E77-C1D72D3A0427}"/>
    <cellStyle name="Migliaia 11 13" xfId="7047" xr:uid="{A4499F92-6917-48BB-B409-2C5B14FF588F}"/>
    <cellStyle name="Migliaia 11 2" xfId="306" xr:uid="{00000000-0005-0000-0000-0000CB020000}"/>
    <cellStyle name="Migliaia 11 2 2" xfId="1663" xr:uid="{00000000-0005-0000-0000-0000CC020000}"/>
    <cellStyle name="Migliaia 11 2 2 2" xfId="4857" xr:uid="{0304DF01-975C-4853-85F4-F4F21E1AFE16}"/>
    <cellStyle name="Migliaia 11 2 2 2 2" xfId="14364" xr:uid="{8B0193CF-143D-4DF1-9AF9-4F3F20502ABE}"/>
    <cellStyle name="Migliaia 11 2 2 2 2 2" xfId="38411" xr:uid="{424D5A56-6ADE-41EB-A99E-14B0A3620FD9}"/>
    <cellStyle name="Migliaia 11 2 2 2 2 3" xfId="43713" xr:uid="{00FA5BE9-C902-46E1-BBC6-E18A04AD926E}"/>
    <cellStyle name="Migliaia 11 2 2 2 3" xfId="18363" xr:uid="{945F1F7E-633A-4EEE-BF11-14B9996CCF99}"/>
    <cellStyle name="Migliaia 11 2 2 2 4" xfId="19819" xr:uid="{8D013C28-C202-4F0D-8167-43F0010B23EC}"/>
    <cellStyle name="Migliaia 11 2 2 2 4 2" xfId="41062" xr:uid="{B6B8FF7B-FE57-48A5-A956-099EC04580E1}"/>
    <cellStyle name="Migliaia 11 2 2 2 5" xfId="16026" xr:uid="{23E94E19-4B43-45F9-B9D4-C1DC5226D0D7}"/>
    <cellStyle name="Migliaia 11 2 2 2 6" xfId="8492" xr:uid="{9D8183F4-7551-484A-BBFE-41A6290355BF}"/>
    <cellStyle name="Migliaia 11 2 2 3" xfId="6079" xr:uid="{9B6CABAB-B548-4639-AA2E-EECD3EF420E7}"/>
    <cellStyle name="Migliaia 11 2 2 3 2" xfId="35135" xr:uid="{5BDF2FD9-A7FD-4555-96E8-B323C24E6C23}"/>
    <cellStyle name="Migliaia 11 2 2 3 2 2" xfId="40293" xr:uid="{ECAF88AC-E87C-44D6-B0CC-FDA572A39747}"/>
    <cellStyle name="Migliaia 11 2 2 3 2 3" xfId="45595" xr:uid="{0F583FC1-57DF-49DC-B716-C281BDFD4C83}"/>
    <cellStyle name="Migliaia 11 2 2 3 3" xfId="37642" xr:uid="{A0740379-21B6-4E3B-9891-43E63B88D4B2}"/>
    <cellStyle name="Migliaia 11 2 2 3 4" xfId="42944" xr:uid="{6DC521E2-2E59-4363-A422-382DD272A0FF}"/>
    <cellStyle name="Migliaia 11 2 2 3 5" xfId="11593" xr:uid="{AEF5FA45-5B29-4D38-B913-C89171BDAEC9}"/>
    <cellStyle name="Migliaia 11 2 2 4" xfId="3131" xr:uid="{F6DF6EF6-1AC3-4CEA-AA8D-544D2A4A17DB}"/>
    <cellStyle name="Migliaia 11 2 2 4 2" xfId="21375" xr:uid="{72347E97-5826-4845-A451-2B2E96218765}"/>
    <cellStyle name="Migliaia 11 2 2 4 3" xfId="48575" xr:uid="{B57D2743-7F4C-4DC5-8B90-D317AE293BC5}"/>
    <cellStyle name="Migliaia 11 2 2 4 4" xfId="50390" xr:uid="{C6299139-0D0C-4C86-B691-7E4720ED74FA}"/>
    <cellStyle name="Migliaia 11 2 2 4 5" xfId="53406" xr:uid="{9B9A52E9-FAF8-4598-9282-99EA4A9D0D33}"/>
    <cellStyle name="Migliaia 11 2 2 4 6" xfId="10740" xr:uid="{8B7EF734-5C45-4F8F-9103-A9EB8ADAE6F1}"/>
    <cellStyle name="Migliaia 11 2 2 5" xfId="19818" xr:uid="{CCAA7C9C-EB63-4702-8788-D0031580EE1A}"/>
    <cellStyle name="Migliaia 11 2 2 6" xfId="24217" xr:uid="{6BEAEFE8-C955-4DAC-AB18-6453C3AE5622}"/>
    <cellStyle name="Migliaia 11 2 2 7" xfId="7302" xr:uid="{9C354C65-1D61-41C7-AA16-240B5093AB1E}"/>
    <cellStyle name="Migliaia 11 2 3" xfId="3132" xr:uid="{E8CC12A4-850F-44C1-A0BC-A9947DEF2FC0}"/>
    <cellStyle name="Migliaia 11 2 3 2" xfId="4858" xr:uid="{D7B585F8-783F-4544-90B0-41C573527E3B}"/>
    <cellStyle name="Migliaia 11 2 3 2 2" xfId="35136" xr:uid="{232FDCCE-DB60-417F-B605-25B677F26ABB}"/>
    <cellStyle name="Migliaia 11 2 3 2 2 2" xfId="40294" xr:uid="{CEFE72DD-C007-4647-9CD8-BE6CEA9A8E7A}"/>
    <cellStyle name="Migliaia 11 2 3 2 2 3" xfId="45596" xr:uid="{ED005900-4283-4397-8BD5-915B08899E36}"/>
    <cellStyle name="Migliaia 11 2 3 2 3" xfId="37643" xr:uid="{ADB46E5B-AC6D-4C30-AD14-F92923EAE289}"/>
    <cellStyle name="Migliaia 11 2 3 2 4" xfId="42945" xr:uid="{A1081070-F1E1-4ED4-8A13-7A8056EA10CA}"/>
    <cellStyle name="Migliaia 11 2 3 2 5" xfId="14185" xr:uid="{F2188590-F011-45D9-8426-5B7995B7A7CC}"/>
    <cellStyle name="Migliaia 11 2 3 3" xfId="6080" xr:uid="{0D7E27F5-92FC-4969-BF57-43D4795617E4}"/>
    <cellStyle name="Migliaia 11 2 3 3 2" xfId="38412" xr:uid="{728EC0A6-3658-4F36-9A3E-979C0BB083D0}"/>
    <cellStyle name="Migliaia 11 2 3 3 3" xfId="43714" xr:uid="{B980F1AA-6BCE-4628-9828-33977803DC11}"/>
    <cellStyle name="Migliaia 11 2 3 3 4" xfId="33055" xr:uid="{C63C779B-B72B-420B-BCCE-47996CE6CD08}"/>
    <cellStyle name="Migliaia 11 2 3 3 5" xfId="19820" xr:uid="{DDC92DEA-1A71-4FF1-AD5E-D47D8F497DAF}"/>
    <cellStyle name="Migliaia 11 2 3 4" xfId="35943" xr:uid="{51A03957-68F5-4D09-962C-CFAB937EC72D}"/>
    <cellStyle name="Migliaia 11 2 3 5" xfId="41063" xr:uid="{F61B34E0-9821-4778-BE7D-93CCA52A091E}"/>
    <cellStyle name="Migliaia 11 2 3 6" xfId="16027" xr:uid="{38F5E8FE-AE1A-4F14-AE91-64C0FB09327F}"/>
    <cellStyle name="Migliaia 11 2 3 7" xfId="8247" xr:uid="{F573B1B2-ACCD-4D44-B6AD-0FC795D485DB}"/>
    <cellStyle name="Migliaia 11 2 4" xfId="4856" xr:uid="{1F8B22D0-8E08-4D4E-8CB2-EB859C1F9D58}"/>
    <cellStyle name="Migliaia 11 2 4 2" xfId="13888" xr:uid="{FEF8F492-FFD5-41EC-97E7-A8EC6FAF9889}"/>
    <cellStyle name="Migliaia 11 2 4 2 2" xfId="38413" xr:uid="{8980B084-0680-491E-8E97-DB4F691F2E20}"/>
    <cellStyle name="Migliaia 11 2 4 2 3" xfId="43715" xr:uid="{77709262-0596-46F4-B345-00E1B3AD8390}"/>
    <cellStyle name="Migliaia 11 2 4 3" xfId="18728" xr:uid="{F7EF99E1-43A1-482F-AC46-70BFCA6A5D90}"/>
    <cellStyle name="Migliaia 11 2 4 4" xfId="19821" xr:uid="{64E12827-18D6-4BDF-B0CE-F81D0E896CF4}"/>
    <cellStyle name="Migliaia 11 2 4 4 2" xfId="41064" xr:uid="{4C9ADBA5-8AF9-47E8-9733-F5070D256F33}"/>
    <cellStyle name="Migliaia 11 2 4 5" xfId="16028" xr:uid="{B8BAC049-5D95-4FBC-B7C1-7C239EA4D54E}"/>
    <cellStyle name="Migliaia 11 2 4 6" xfId="7828" xr:uid="{71604E2F-D380-4B77-A73C-A356018E8546}"/>
    <cellStyle name="Migliaia 11 2 5" xfId="6078" xr:uid="{8E6B8D50-9008-4732-9215-4845FADAC8CB}"/>
    <cellStyle name="Migliaia 11 2 5 2" xfId="33056" xr:uid="{7F94B2A8-73C2-4832-86DE-AA383AB5E309}"/>
    <cellStyle name="Migliaia 11 2 5 2 2" xfId="38414" xr:uid="{D1E5C4BF-72F2-4624-A813-A3701B3F1589}"/>
    <cellStyle name="Migliaia 11 2 5 2 3" xfId="43716" xr:uid="{EF859BAE-77D3-4966-B5AB-45475CD62FE9}"/>
    <cellStyle name="Migliaia 11 2 5 3" xfId="35944" xr:uid="{B96487C4-9469-4440-9364-EBBF78712955}"/>
    <cellStyle name="Migliaia 11 2 5 4" xfId="41065" xr:uid="{9C37EBB6-9605-45A2-A829-C89A3CA1D2F0}"/>
    <cellStyle name="Migliaia 11 2 5 5" xfId="13104" xr:uid="{97B9C592-1187-4B5C-86B1-BA56B5587DF2}"/>
    <cellStyle name="Migliaia 11 2 6" xfId="3130" xr:uid="{1407B6B4-6D42-4A83-93C1-184B4BB79A70}"/>
    <cellStyle name="Migliaia 11 2 6 2" xfId="33057" xr:uid="{FE7E29E4-1377-476B-A6C9-C713D11C0C99}"/>
    <cellStyle name="Migliaia 11 2 6 2 2" xfId="38415" xr:uid="{50507246-DF1F-4704-BD37-6B2106478906}"/>
    <cellStyle name="Migliaia 11 2 6 2 3" xfId="43717" xr:uid="{D843F19E-4DF5-4EB7-B034-5599423274B0}"/>
    <cellStyle name="Migliaia 11 2 6 3" xfId="35945" xr:uid="{76C8D876-AA39-461D-90C1-5401E7B32A4D}"/>
    <cellStyle name="Migliaia 11 2 6 4" xfId="41066" xr:uid="{64A10968-D070-425E-A18A-AF15515BCCDB}"/>
    <cellStyle name="Migliaia 11 2 6 5" xfId="24221" xr:uid="{7096E83C-80CF-4AEA-A6F1-C96AD8EE03C4}"/>
    <cellStyle name="Migliaia 11 2 6 6" xfId="19817" xr:uid="{38018FBA-1925-4DB6-AD97-7EE02B434E1C}"/>
    <cellStyle name="Migliaia 11 2 7" xfId="24216" xr:uid="{72F9B30F-258D-453F-BB76-1DBA62CB6900}"/>
    <cellStyle name="Migliaia 11 2 8" xfId="7048" xr:uid="{6670FB75-AC00-4F44-88B7-9E61FEEBA966}"/>
    <cellStyle name="Migliaia 11 3" xfId="307" xr:uid="{00000000-0005-0000-0000-0000CD020000}"/>
    <cellStyle name="Migliaia 11 3 10" xfId="24222" xr:uid="{23E85A32-DD50-4610-96B3-783E5F0CC01F}"/>
    <cellStyle name="Migliaia 11 3 11" xfId="16029" xr:uid="{17E7EB31-A600-4F5C-8B25-E633B9098BD4}"/>
    <cellStyle name="Migliaia 11 3 12" xfId="7049" xr:uid="{2198E147-0EF3-48A6-B2C5-B31D7133EFB3}"/>
    <cellStyle name="Migliaia 11 3 2" xfId="308" xr:uid="{00000000-0005-0000-0000-0000CE020000}"/>
    <cellStyle name="Migliaia 11 3 2 2" xfId="1664" xr:uid="{00000000-0005-0000-0000-0000CF020000}"/>
    <cellStyle name="Migliaia 11 3 2 2 2" xfId="4861" xr:uid="{9A41124B-162D-4B6E-A25E-950C0E55B9E3}"/>
    <cellStyle name="Migliaia 11 3 2 2 2 2" xfId="18364" xr:uid="{B66A5436-0E9C-46C1-B749-772C8223BA6F}"/>
    <cellStyle name="Migliaia 11 3 2 2 2 2 2" xfId="21839" xr:uid="{C34870A5-4D8E-4063-954F-90C32DCF02F2}"/>
    <cellStyle name="Migliaia 11 3 2 2 2 2 2 2" xfId="38416" xr:uid="{52483619-DA74-48CC-921D-EC3AF676C9CF}"/>
    <cellStyle name="Migliaia 11 3 2 2 2 2 3" xfId="43718" xr:uid="{41807A3A-4472-4744-87B1-BED4FB5DB975}"/>
    <cellStyle name="Migliaia 11 3 2 2 2 2 4" xfId="33058" xr:uid="{5BBE9BFF-A5A3-4293-BA00-12D058A2F35C}"/>
    <cellStyle name="Migliaia 11 3 2 2 2 3" xfId="35946" xr:uid="{F0B696B4-33C4-4EDD-AFFC-F3EA53FBC545}"/>
    <cellStyle name="Migliaia 11 3 2 2 2 4" xfId="41067" xr:uid="{0DF72EE9-3D50-4C1E-83FB-6BE0F6CA2A09}"/>
    <cellStyle name="Migliaia 11 3 2 2 2 5" xfId="37187" xr:uid="{D3C2BFC0-43EB-428D-A6D9-68CDC895F024}"/>
    <cellStyle name="Migliaia 11 3 2 2 2 6" xfId="50867" xr:uid="{A7E11DA1-15DB-4947-9C31-B3EBD4F4F2CF}"/>
    <cellStyle name="Migliaia 11 3 2 2 2 7" xfId="53883" xr:uid="{62947DD3-0D63-44C4-9E8F-E361ABBD36DB}"/>
    <cellStyle name="Migliaia 11 3 2 2 2 8" xfId="17640" xr:uid="{361048DE-BB41-45D8-824C-7EC4CC1A8689}"/>
    <cellStyle name="Migliaia 11 3 2 2 2 9" xfId="11891" xr:uid="{B1F79E77-736D-49C9-9AC5-0B5B9AFC89AC}"/>
    <cellStyle name="Migliaia 11 3 2 2 3" xfId="6083" xr:uid="{A51089CD-A31F-4E30-A2CF-A040CE6C293A}"/>
    <cellStyle name="Migliaia 11 3 2 2 3 2" xfId="11681" xr:uid="{C4C23991-D23A-421B-9EED-9EE9E99FFD25}"/>
    <cellStyle name="Migliaia 11 3 2 2 4" xfId="3135" xr:uid="{1AF9A8FF-8900-4449-90F7-4179CFCFEB0E}"/>
    <cellStyle name="Migliaia 11 3 2 2 4 2" xfId="21376" xr:uid="{7C5832AE-E752-4F4D-85C3-398F6930E31A}"/>
    <cellStyle name="Migliaia 11 3 2 2 4 3" xfId="25357" xr:uid="{48A2BBE0-CC45-4D25-9915-318A353C632D}"/>
    <cellStyle name="Migliaia 11 3 2 2 4 4" xfId="50391" xr:uid="{798F8AD0-CB3F-409E-848C-D8B742BD53CF}"/>
    <cellStyle name="Migliaia 11 3 2 2 4 5" xfId="53407" xr:uid="{1CB8B2DF-365B-4FA4-B906-6933948BF2D0}"/>
    <cellStyle name="Migliaia 11 3 2 2 4 6" xfId="10741" xr:uid="{D9DE7C30-EA84-4ECB-B606-BB78E8556CC5}"/>
    <cellStyle name="Migliaia 11 3 2 2 5" xfId="19824" xr:uid="{77222F61-18F5-4398-99AE-30B19E7B9B3C}"/>
    <cellStyle name="Migliaia 11 3 2 2 6" xfId="24224" xr:uid="{E2921DE3-E92F-4227-99FD-0A34D2B49CAE}"/>
    <cellStyle name="Migliaia 11 3 2 2 7" xfId="8494" xr:uid="{DA2CD189-A596-4B98-A539-B794382358ED}"/>
    <cellStyle name="Migliaia 11 3 2 3" xfId="4860" xr:uid="{463CD9AF-E241-4C6A-8E12-83419741BE09}"/>
    <cellStyle name="Migliaia 11 3 2 3 2" xfId="11513" xr:uid="{52B5C78E-D643-4938-A584-9E700F38A236}"/>
    <cellStyle name="Migliaia 11 3 2 3 2 2" xfId="38417" xr:uid="{D972E1ED-33BF-4DDC-A657-751A98C04DF1}"/>
    <cellStyle name="Migliaia 11 3 2 3 2 3" xfId="43719" xr:uid="{2A1CCBDB-817C-41D0-9807-A8738B25372B}"/>
    <cellStyle name="Migliaia 11 3 2 3 2 4" xfId="33059" xr:uid="{F699D3C6-1E27-4E7F-8FFD-30DD9C20B408}"/>
    <cellStyle name="Migliaia 11 3 2 3 3" xfId="11892" xr:uid="{28C72BB3-B701-4C8B-8397-F891217FF6D0}"/>
    <cellStyle name="Migliaia 11 3 2 3 4" xfId="19825" xr:uid="{F5743A35-2C49-4ADF-B4F0-FBC81B149E3B}"/>
    <cellStyle name="Migliaia 11 3 2 3 4 2" xfId="41068" xr:uid="{7931A887-080B-4D21-BB6C-0A025CEAF0D5}"/>
    <cellStyle name="Migliaia 11 3 2 3 5" xfId="16030" xr:uid="{32C712F8-34DD-488F-BC17-8B2219693CFF}"/>
    <cellStyle name="Migliaia 11 3 2 3 6" xfId="7830" xr:uid="{484053C9-3B37-40F7-8DCC-1133A1D221F9}"/>
    <cellStyle name="Migliaia 11 3 2 4" xfId="6082" xr:uid="{856A064C-297D-4D0D-ABF3-44EB7EAD9040}"/>
    <cellStyle name="Migliaia 11 3 2 4 2" xfId="18059" xr:uid="{7E11B823-7A14-42DA-98E1-4DED924A3603}"/>
    <cellStyle name="Migliaia 11 3 2 4 2 2" xfId="38418" xr:uid="{E101FA77-D817-4992-8DED-08D018D8449B}"/>
    <cellStyle name="Migliaia 11 3 2 4 2 3" xfId="43720" xr:uid="{CEF1318B-183D-43E4-8E37-9975CAC61855}"/>
    <cellStyle name="Migliaia 11 3 2 4 3" xfId="35947" xr:uid="{67D79C5C-BBDB-4A74-9023-B9544A53CA88}"/>
    <cellStyle name="Migliaia 11 3 2 4 4" xfId="41069" xr:uid="{E17AEAF5-F039-453D-8CC9-326BB16F1592}"/>
    <cellStyle name="Migliaia 11 3 2 4 5" xfId="17140" xr:uid="{76EC371E-4A6B-4546-9BE5-85BA409B9670}"/>
    <cellStyle name="Migliaia 11 3 2 4 6" xfId="11244" xr:uid="{B1F5188D-990D-4BC4-B0F2-AFDA7F10D808}"/>
    <cellStyle name="Migliaia 11 3 2 5" xfId="3134" xr:uid="{7519487A-66A7-4327-A8FA-B90336674E35}"/>
    <cellStyle name="Migliaia 11 3 2 5 2" xfId="33060" xr:uid="{26DC63AF-9329-425A-8D1F-4C98E823F869}"/>
    <cellStyle name="Migliaia 11 3 2 5 2 2" xfId="38419" xr:uid="{D1D10E81-9623-4826-817A-8FC20CDA65F0}"/>
    <cellStyle name="Migliaia 11 3 2 5 2 3" xfId="43721" xr:uid="{61BA0AAF-45C0-4F03-BBAA-BD83E96C4B4A}"/>
    <cellStyle name="Migliaia 11 3 2 5 3" xfId="35948" xr:uid="{42674128-14C9-4012-BD23-39D928A15EEB}"/>
    <cellStyle name="Migliaia 11 3 2 5 4" xfId="41070" xr:uid="{03FA2339-0FBE-42B3-A562-22D9D82F4B1B}"/>
    <cellStyle name="Migliaia 11 3 2 5 5" xfId="17420" xr:uid="{067ACE90-7621-4EC9-B0B6-53C7693C2AAC}"/>
    <cellStyle name="Migliaia 11 3 2 6" xfId="19823" xr:uid="{FD9D362F-57CE-4763-83DB-4AF9197A35D7}"/>
    <cellStyle name="Migliaia 11 3 2 6 2" xfId="33061" xr:uid="{5A913EB3-896F-4174-B823-D6638B14BEF6}"/>
    <cellStyle name="Migliaia 11 3 2 6 2 2" xfId="38420" xr:uid="{92812238-7365-468F-A5AD-241B095D721D}"/>
    <cellStyle name="Migliaia 11 3 2 6 2 3" xfId="43722" xr:uid="{767F1629-8D6A-418E-AA63-D8D086C81125}"/>
    <cellStyle name="Migliaia 11 3 2 6 3" xfId="35949" xr:uid="{E3C59C1C-3658-4BFA-ACCD-EF37DD00D097}"/>
    <cellStyle name="Migliaia 11 3 2 6 4" xfId="41071" xr:uid="{89C23AC6-D709-406B-8B8A-4B533F087AAB}"/>
    <cellStyle name="Migliaia 11 3 2 6 5" xfId="24225" xr:uid="{ACD4C163-94E4-49BE-A7C1-CB97C4B947AD}"/>
    <cellStyle name="Migliaia 11 3 2 7" xfId="24223" xr:uid="{37325770-4163-4368-852D-073EAF4AD980}"/>
    <cellStyle name="Migliaia 11 3 2 8" xfId="7304" xr:uid="{13CC51D6-8E76-41B5-8DFB-A8601ED3C374}"/>
    <cellStyle name="Migliaia 11 3 3" xfId="3136" xr:uid="{81E70F5A-4FB2-45F1-A9F4-F21F14CF5FE4}"/>
    <cellStyle name="Migliaia 11 3 3 10" xfId="7303" xr:uid="{F4FAE1B7-2C02-4475-AE39-ACA23417A170}"/>
    <cellStyle name="Migliaia 11 3 3 2" xfId="4862" xr:uid="{038B4243-7E04-46DF-8688-33D36104651A}"/>
    <cellStyle name="Migliaia 11 3 3 2 2" xfId="9886" xr:uid="{990C5413-B859-484C-83DE-B2291C8C9E6C}"/>
    <cellStyle name="Migliaia 11 3 3 2 2 2" xfId="38422" xr:uid="{5857FEE1-6993-4917-B2EF-CC0C2B62431D}"/>
    <cellStyle name="Migliaia 11 3 3 2 2 3" xfId="43724" xr:uid="{96607074-39EE-448A-A7B5-7F873D05A719}"/>
    <cellStyle name="Migliaia 11 3 3 2 3" xfId="18166" xr:uid="{16165DA6-6517-4101-BC1A-435EDEABE5D3}"/>
    <cellStyle name="Migliaia 11 3 3 2 4" xfId="19827" xr:uid="{F70107F5-22D8-47CE-9961-71AB40367985}"/>
    <cellStyle name="Migliaia 11 3 3 2 4 2" xfId="41073" xr:uid="{7AAAC637-A23B-4143-87F2-634A6AAB73AE}"/>
    <cellStyle name="Migliaia 11 3 3 2 5" xfId="16032" xr:uid="{8FEFE68B-9E93-45FA-BA24-40193B136AFE}"/>
    <cellStyle name="Migliaia 11 3 3 2 6" xfId="8493" xr:uid="{C14514DA-4249-4C9A-8D3F-100190CECE59}"/>
    <cellStyle name="Migliaia 11 3 3 3" xfId="6084" xr:uid="{65803611-EF28-4E04-9A92-C57536E4078A}"/>
    <cellStyle name="Migliaia 11 3 3 3 2" xfId="33064" xr:uid="{B987B6CC-F76E-4175-BDCA-BB8EBA5DEC6C}"/>
    <cellStyle name="Migliaia 11 3 3 3 2 2" xfId="38423" xr:uid="{539C41C4-F6D6-41CD-8CCE-87EB0128158B}"/>
    <cellStyle name="Migliaia 11 3 3 3 2 3" xfId="43725" xr:uid="{4D485CBA-0BB2-474B-B2A8-2981334CF001}"/>
    <cellStyle name="Migliaia 11 3 3 3 3" xfId="35952" xr:uid="{40AE6753-1796-4BE7-9C18-369DD5117AA0}"/>
    <cellStyle name="Migliaia 11 3 3 3 4" xfId="41074" xr:uid="{E4F51AB0-4E7D-4001-8196-94D64C9CE6E6}"/>
    <cellStyle name="Migliaia 11 3 3 3 5" xfId="9649" xr:uid="{520A90D9-F148-4F56-B90E-C2270DDBD6BA}"/>
    <cellStyle name="Migliaia 11 3 3 4" xfId="19826" xr:uid="{AF924097-95B6-460B-8F9E-7443FAADA317}"/>
    <cellStyle name="Migliaia 11 3 3 4 2" xfId="33065" xr:uid="{C3F86C30-E53F-419A-B475-76BDCDEE70C4}"/>
    <cellStyle name="Migliaia 11 3 3 4 2 2" xfId="38424" xr:uid="{573FABEA-E308-4737-9E6D-7484AE54414F}"/>
    <cellStyle name="Migliaia 11 3 3 4 2 3" xfId="43726" xr:uid="{D8779A34-CBF5-4C0E-83C8-FD4EE7FD5674}"/>
    <cellStyle name="Migliaia 11 3 3 4 3" xfId="35953" xr:uid="{A677FC94-38E3-44B1-AB06-2F7A4A915E54}"/>
    <cellStyle name="Migliaia 11 3 3 4 4" xfId="41075" xr:uid="{E969E798-CEF6-4B6F-9266-5D4FD1441DC6}"/>
    <cellStyle name="Migliaia 11 3 3 4 5" xfId="24228" xr:uid="{A993664F-6507-43CC-BF58-EE2479EED228}"/>
    <cellStyle name="Migliaia 11 3 3 5" xfId="24229" xr:uid="{009188B6-46CC-47FB-8485-BF70D1D27C60}"/>
    <cellStyle name="Migliaia 11 3 3 5 2" xfId="33066" xr:uid="{944ECE57-6889-45A4-A18C-95FB5463AC63}"/>
    <cellStyle name="Migliaia 11 3 3 5 2 2" xfId="38425" xr:uid="{E63307C3-624E-41CF-B5AE-C1E171BA1B2B}"/>
    <cellStyle name="Migliaia 11 3 3 5 2 3" xfId="43727" xr:uid="{BB53147A-BCA8-4BD7-B5BE-FD09DE19683D}"/>
    <cellStyle name="Migliaia 11 3 3 5 3" xfId="35954" xr:uid="{05CC7947-B90E-4264-A62A-E1ABEF72F5B7}"/>
    <cellStyle name="Migliaia 11 3 3 5 4" xfId="41076" xr:uid="{6C12E90A-4900-44DC-B0F5-0A78808EA760}"/>
    <cellStyle name="Migliaia 11 3 3 6" xfId="33062" xr:uid="{9E827D1D-708B-4756-A962-BAE02A019B35}"/>
    <cellStyle name="Migliaia 11 3 3 6 2" xfId="38421" xr:uid="{9086A638-7923-4167-8512-FFF557AA86CE}"/>
    <cellStyle name="Migliaia 11 3 3 6 3" xfId="43723" xr:uid="{4CE4C2D3-781D-4DFC-A96D-F96671C356F0}"/>
    <cellStyle name="Migliaia 11 3 3 7" xfId="35950" xr:uid="{E2144051-B919-4592-997B-30E972F8212B}"/>
    <cellStyle name="Migliaia 11 3 3 8" xfId="41072" xr:uid="{480B6466-E5B1-4052-98FF-B3A9F9715589}"/>
    <cellStyle name="Migliaia 11 3 3 9" xfId="16031" xr:uid="{476336D4-D681-4B4E-A4E0-56A278E35ACE}"/>
    <cellStyle name="Migliaia 11 3 4" xfId="3137" xr:uid="{96A4160B-9CA5-420A-929F-C1407976CA36}"/>
    <cellStyle name="Migliaia 11 3 4 2" xfId="4863" xr:uid="{A41B862D-1B69-493A-8C4F-C6018D9A0D73}"/>
    <cellStyle name="Migliaia 11 3 4 2 2" xfId="14425" xr:uid="{4EB7D7A3-9E44-4D68-B5C6-E206977EBBAA}"/>
    <cellStyle name="Migliaia 11 3 4 2 3" xfId="18593" xr:uid="{815D1B30-214B-4D2E-AEA2-09A9760A7382}"/>
    <cellStyle name="Migliaia 11 3 4 2 4" xfId="19829" xr:uid="{E4A806CA-80DA-47E5-91C5-6704449271C6}"/>
    <cellStyle name="Migliaia 11 3 4 2 5" xfId="32293" xr:uid="{DEBE0F8C-5116-4E34-AD2B-3C2D1638ED4F}"/>
    <cellStyle name="Migliaia 11 3 4 2 6" xfId="16034" xr:uid="{95F43DA0-959E-436A-87D3-4A64CC3815DA}"/>
    <cellStyle name="Migliaia 11 3 4 2 7" xfId="8848" xr:uid="{81F326DB-B0B0-4912-BFF0-FA0AD013DA04}"/>
    <cellStyle name="Migliaia 11 3 4 3" xfId="6085" xr:uid="{30E7FB46-7E2E-4476-B660-1D6B016D1E47}"/>
    <cellStyle name="Migliaia 11 3 4 3 2" xfId="35137" xr:uid="{FE2524FD-867B-4061-A86A-B6FFC49699D3}"/>
    <cellStyle name="Migliaia 11 3 4 3 2 2" xfId="40295" xr:uid="{DB58CEC5-36B8-4CD2-8662-E935E80480E3}"/>
    <cellStyle name="Migliaia 11 3 4 3 2 3" xfId="45597" xr:uid="{ABAE5C8C-AA1A-450D-8D5E-42ED4D946C93}"/>
    <cellStyle name="Migliaia 11 3 4 3 3" xfId="37644" xr:uid="{16410F23-3F58-4897-A096-132F8C0B14C6}"/>
    <cellStyle name="Migliaia 11 3 4 3 4" xfId="42946" xr:uid="{40982078-FEFB-4A7E-89FE-17BCCDD9B3D1}"/>
    <cellStyle name="Migliaia 11 3 4 3 5" xfId="13673" xr:uid="{CD4F32CF-96F8-463F-ABD8-E64C6C2A69C2}"/>
    <cellStyle name="Migliaia 11 3 4 4" xfId="19828" xr:uid="{2765BF5E-62F7-4BEC-A34D-25114044E8A8}"/>
    <cellStyle name="Migliaia 11 3 4 4 2" xfId="38426" xr:uid="{542152AB-4E03-4676-BBB1-BC497A219685}"/>
    <cellStyle name="Migliaia 11 3 4 4 3" xfId="43728" xr:uid="{A14DADAA-D855-415E-820F-E5390B582900}"/>
    <cellStyle name="Migliaia 11 3 4 4 4" xfId="33067" xr:uid="{E0EFBE94-8B19-4533-A979-8734DA1AAD42}"/>
    <cellStyle name="Migliaia 11 3 4 5" xfId="35955" xr:uid="{41A1490B-3C46-4D7F-95F7-3819466EA6AB}"/>
    <cellStyle name="Migliaia 11 3 4 6" xfId="41077" xr:uid="{E390D9A8-208A-43CA-9754-8810EA33FDC2}"/>
    <cellStyle name="Migliaia 11 3 4 7" xfId="16033" xr:uid="{96E7810E-E4B9-4B68-9849-034404254938}"/>
    <cellStyle name="Migliaia 11 3 4 8" xfId="7658" xr:uid="{FE3FAD9A-A079-454B-9F8B-AF5B6A8A9E69}"/>
    <cellStyle name="Migliaia 11 3 5" xfId="3138" xr:uid="{3E6DCE25-E8B6-4D5D-8986-9F0C8458C12B}"/>
    <cellStyle name="Migliaia 11 3 5 2" xfId="4864" xr:uid="{89C3D5B7-A2F4-4701-8447-E7AF10AC7769}"/>
    <cellStyle name="Migliaia 11 3 5 2 2" xfId="35138" xr:uid="{E03F9E08-6CCF-4B62-BD4B-548FA410AD74}"/>
    <cellStyle name="Migliaia 11 3 5 2 2 2" xfId="40296" xr:uid="{E180F4AC-3005-4BCB-AB3C-9DD7897D043D}"/>
    <cellStyle name="Migliaia 11 3 5 2 2 3" xfId="45598" xr:uid="{B7681753-D214-473F-B81E-78563E882F47}"/>
    <cellStyle name="Migliaia 11 3 5 2 3" xfId="37645" xr:uid="{60A3DAA8-BC1B-4D3B-84B3-4026E363C2D1}"/>
    <cellStyle name="Migliaia 11 3 5 2 4" xfId="42947" xr:uid="{F2745D64-60A9-4396-88B3-4124659175AF}"/>
    <cellStyle name="Migliaia 11 3 5 2 5" xfId="14186" xr:uid="{3D7DFE32-3D70-4F1B-BB6A-E71308CAE57E}"/>
    <cellStyle name="Migliaia 11 3 5 3" xfId="6086" xr:uid="{4F6A8136-CA0B-4D7A-B210-074670FFB571}"/>
    <cellStyle name="Migliaia 11 3 5 3 2" xfId="38427" xr:uid="{AD06C9AD-D6E4-4F74-8EDC-AEC187ED590B}"/>
    <cellStyle name="Migliaia 11 3 5 3 3" xfId="43729" xr:uid="{4F920C02-42E0-4768-ACB7-2E8129B60F3A}"/>
    <cellStyle name="Migliaia 11 3 5 3 4" xfId="33068" xr:uid="{5FEEC074-2365-4434-8EC9-9897C5C6B1A2}"/>
    <cellStyle name="Migliaia 11 3 5 3 5" xfId="19830" xr:uid="{5A66C21F-2A0A-42E7-A6E2-2591AE225C3E}"/>
    <cellStyle name="Migliaia 11 3 5 4" xfId="35956" xr:uid="{E34EFDE1-FF49-4567-928C-0729333C8A79}"/>
    <cellStyle name="Migliaia 11 3 5 5" xfId="41078" xr:uid="{4E8C9793-06D7-4480-BC80-CD2E4217168D}"/>
    <cellStyle name="Migliaia 11 3 5 6" xfId="16035" xr:uid="{9947D53E-C7AC-48A0-A7C6-29E56EE978E5}"/>
    <cellStyle name="Migliaia 11 3 5 7" xfId="8248" xr:uid="{63F40F5E-4001-4ABF-97CC-A2739AD12881}"/>
    <cellStyle name="Migliaia 11 3 6" xfId="4859" xr:uid="{90E817AB-42D9-4E62-BDCB-2762854E06A7}"/>
    <cellStyle name="Migliaia 11 3 6 2" xfId="13889" xr:uid="{6BA3083A-0798-4CCF-AE81-BA3242D46CDD}"/>
    <cellStyle name="Migliaia 11 3 6 2 2" xfId="38428" xr:uid="{27929A19-CA73-4C60-AE4C-24A8C3A822A9}"/>
    <cellStyle name="Migliaia 11 3 6 2 3" xfId="43730" xr:uid="{393DF830-E4F0-45D9-B8A2-D6AC6076179A}"/>
    <cellStyle name="Migliaia 11 3 6 3" xfId="18622" xr:uid="{C6F4CCC8-07D3-4999-8F7D-6711BF962EBF}"/>
    <cellStyle name="Migliaia 11 3 6 4" xfId="19831" xr:uid="{719AFA64-600D-4929-A1B3-1A3445A3B77A}"/>
    <cellStyle name="Migliaia 11 3 6 4 2" xfId="41079" xr:uid="{8FC71D5B-34DC-4B7D-99EB-58EC55EDF6A9}"/>
    <cellStyle name="Migliaia 11 3 6 5" xfId="16036" xr:uid="{2DCDDF92-FEF7-4CEC-898F-BFAB565C7CFC}"/>
    <cellStyle name="Migliaia 11 3 6 6" xfId="7829" xr:uid="{57831F66-090C-42F2-ADCB-8C1F19D2D71E}"/>
    <cellStyle name="Migliaia 11 3 7" xfId="6081" xr:uid="{8E5FFF7A-24FF-4136-956C-8A6837C2A323}"/>
    <cellStyle name="Migliaia 11 3 7 2" xfId="33069" xr:uid="{B1E1404E-0272-4B25-A062-1FF47A7CC85A}"/>
    <cellStyle name="Migliaia 11 3 7 2 2" xfId="38429" xr:uid="{29E7A079-91FC-4EAC-9841-1CB2B62455C7}"/>
    <cellStyle name="Migliaia 11 3 7 2 3" xfId="43731" xr:uid="{23F15BDC-0794-49AC-A995-7B8472BA33DB}"/>
    <cellStyle name="Migliaia 11 3 7 3" xfId="35957" xr:uid="{0F45C87A-7F3D-42DC-9DE2-BFACD7304535}"/>
    <cellStyle name="Migliaia 11 3 7 4" xfId="41080" xr:uid="{D5FB0069-37A3-486F-BBFA-44C0ED06F7C8}"/>
    <cellStyle name="Migliaia 11 3 7 5" xfId="11223" xr:uid="{D71ADC74-26C3-45DA-92BC-A07C7AE75602}"/>
    <cellStyle name="Migliaia 11 3 8" xfId="3133" xr:uid="{1E0949C0-D6E0-4144-B3FC-C0A41691A577}"/>
    <cellStyle name="Migliaia 11 3 8 2" xfId="33070" xr:uid="{B66F7E45-D136-427A-AAAA-146709016567}"/>
    <cellStyle name="Migliaia 11 3 8 2 2" xfId="38430" xr:uid="{A4F81C65-6B0A-44CB-87D0-490CF6B143E6}"/>
    <cellStyle name="Migliaia 11 3 8 2 3" xfId="43732" xr:uid="{F0E03347-93C8-48E5-BA29-75F9E91A8872}"/>
    <cellStyle name="Migliaia 11 3 8 3" xfId="35958" xr:uid="{8AAB70F8-C752-40BB-BE9C-FD93DBEA4045}"/>
    <cellStyle name="Migliaia 11 3 8 4" xfId="41081" xr:uid="{F0A54E0E-97B1-411F-AF18-922ED575F6F4}"/>
    <cellStyle name="Migliaia 11 3 8 5" xfId="24230" xr:uid="{BF5490E9-622C-4BE6-B112-9A37A95B5E4A}"/>
    <cellStyle name="Migliaia 11 3 8 6" xfId="17421" xr:uid="{BC968FC3-7A51-45C9-8EB0-C2D0B6C35602}"/>
    <cellStyle name="Migliaia 11 3 9" xfId="19822" xr:uid="{B1A3440F-D0BF-4229-AD9D-5A0CBD7DBAFF}"/>
    <cellStyle name="Migliaia 11 4" xfId="1665" xr:uid="{00000000-0005-0000-0000-0000D0020000}"/>
    <cellStyle name="Migliaia 11 4 2" xfId="1666" xr:uid="{00000000-0005-0000-0000-0000D1020000}"/>
    <cellStyle name="Migliaia 11 4 2 2" xfId="4866" xr:uid="{5483FAEB-2B8B-4702-9141-B22E54F03B50}"/>
    <cellStyle name="Migliaia 11 4 2 2 2" xfId="33071" xr:uid="{D9B838EF-DB8C-4CAA-801E-503BD8A301E8}"/>
    <cellStyle name="Migliaia 11 4 2 2 2 2" xfId="38431" xr:uid="{21EA483C-A248-4141-A95B-884D06E68E2E}"/>
    <cellStyle name="Migliaia 11 4 2 2 2 3" xfId="43733" xr:uid="{69CD9F6F-A34A-415C-A328-B7782FE4A353}"/>
    <cellStyle name="Migliaia 11 4 2 2 3" xfId="35959" xr:uid="{E2CD5DEC-2628-458D-A40B-AB9CBE65DC36}"/>
    <cellStyle name="Migliaia 11 4 2 2 4" xfId="41082" xr:uid="{7BF810B0-000E-4B82-9A71-6E57F581BC3B}"/>
    <cellStyle name="Migliaia 11 4 2 2 5" xfId="9112" xr:uid="{C4FFE22F-02B9-4E2D-845C-71089F8E4CCB}"/>
    <cellStyle name="Migliaia 11 4 2 3" xfId="3140" xr:uid="{6C884B19-13C5-4E6E-A1C7-D37EBBFA88DE}"/>
    <cellStyle name="Migliaia 11 4 2 3 2" xfId="33072" xr:uid="{9AA407A3-8D7F-4C9A-A1EB-B34BC19B4BD3}"/>
    <cellStyle name="Migliaia 11 4 2 3 2 2" xfId="38432" xr:uid="{D868BB0F-0677-4570-BC49-0E8878CF5674}"/>
    <cellStyle name="Migliaia 11 4 2 3 2 3" xfId="43734" xr:uid="{AA307775-4E4E-42D8-8C81-4F3516640949}"/>
    <cellStyle name="Migliaia 11 4 2 3 3" xfId="35960" xr:uid="{6D7A5E16-CAB7-4C7C-AD12-AB77305EEE12}"/>
    <cellStyle name="Migliaia 11 4 2 3 4" xfId="41083" xr:uid="{2C8DDCA3-3A33-4FB5-A448-06FED257AAFD}"/>
    <cellStyle name="Migliaia 11 4 2 3 5" xfId="11893" xr:uid="{847DD85B-7E49-4D1E-842E-E756AB0B0D2D}"/>
    <cellStyle name="Migliaia 11 4 2 4" xfId="11246" xr:uid="{4EAB69A2-D0DD-4E67-96AA-70D08319877B}"/>
    <cellStyle name="Migliaia 11 4 2 5" xfId="10743" xr:uid="{45017053-3CCD-4343-BBFD-D059977CD789}"/>
    <cellStyle name="Migliaia 11 4 2 5 2" xfId="21378" xr:uid="{D3811DFE-989B-4E65-8532-2007CE70D4BC}"/>
    <cellStyle name="Migliaia 11 4 2 5 3" xfId="46640" xr:uid="{E08A5518-D3BF-4CB0-AD6B-3B8BC40C9599}"/>
    <cellStyle name="Migliaia 11 4 2 5 4" xfId="50393" xr:uid="{5D067085-27DE-4B59-898F-B97F465FCDD4}"/>
    <cellStyle name="Migliaia 11 4 2 5 5" xfId="53409" xr:uid="{85D93763-DE0A-4C35-B178-F8C0A00016F2}"/>
    <cellStyle name="Migliaia 11 4 2 6" xfId="19833" xr:uid="{04690116-CBF6-4C0B-A3F0-4B9474071290}"/>
    <cellStyle name="Migliaia 11 4 2 7" xfId="24232" xr:uid="{4C93959A-F75F-4560-8FEE-7D5685B3C892}"/>
    <cellStyle name="Migliaia 11 4 2 8" xfId="8495" xr:uid="{009273B4-B7F6-4284-A45D-A97D81430295}"/>
    <cellStyle name="Migliaia 11 4 3" xfId="4865" xr:uid="{C707F8C5-2504-4811-B50F-76628C743FA8}"/>
    <cellStyle name="Migliaia 11 4 3 2" xfId="18167" xr:uid="{E8A081CC-BB8B-4575-9C2A-4F894A6603C3}"/>
    <cellStyle name="Migliaia 11 4 3 2 2" xfId="38433" xr:uid="{F59D2DB1-53A2-4F1A-A40D-D0CFABF3CCDF}"/>
    <cellStyle name="Migliaia 11 4 3 2 3" xfId="43735" xr:uid="{2BDABAA9-06A6-4FFC-B22D-848671C481F6}"/>
    <cellStyle name="Migliaia 11 4 3 3" xfId="35961" xr:uid="{8E3FA350-517B-4805-B777-F9CC40C42404}"/>
    <cellStyle name="Migliaia 11 4 3 4" xfId="41084" xr:uid="{A853A241-E7B9-473D-A76F-7D3B6B92F3F7}"/>
    <cellStyle name="Migliaia 11 4 3 5" xfId="17419" xr:uid="{733702F4-0169-420C-8C4A-B21E663CC489}"/>
    <cellStyle name="Migliaia 11 4 3 6" xfId="9113" xr:uid="{4B8C3723-D7A4-4BDB-82F9-41063005C79B}"/>
    <cellStyle name="Migliaia 11 4 4" xfId="6087" xr:uid="{7469A170-1BD1-4BE6-BC43-47E03BA52379}"/>
    <cellStyle name="Migliaia 11 4 4 2" xfId="33073" xr:uid="{D03A1377-D10E-4C00-B3F7-C90370DEDF0E}"/>
    <cellStyle name="Migliaia 11 4 4 2 2" xfId="38434" xr:uid="{B85BBB1B-EC09-4453-82B1-D21220EA57A3}"/>
    <cellStyle name="Migliaia 11 4 4 2 3" xfId="43736" xr:uid="{9FD0E627-A19E-4D18-A72C-1B82B7647BE2}"/>
    <cellStyle name="Migliaia 11 4 4 3" xfId="35962" xr:uid="{1E02B574-1515-4B2F-A061-CC9F6FB38EF2}"/>
    <cellStyle name="Migliaia 11 4 4 4" xfId="41085" xr:uid="{9AFF10DA-CF5E-48E5-B3FF-74E9804E4448}"/>
    <cellStyle name="Migliaia 11 4 4 5" xfId="11894" xr:uid="{17809C20-72FE-4EAC-88AA-FB3C0ED18796}"/>
    <cellStyle name="Migliaia 11 4 5" xfId="3139" xr:uid="{C8B7C00B-0B4E-4065-BB74-DE0D67BC5DD9}"/>
    <cellStyle name="Migliaia 11 4 5 2" xfId="33074" xr:uid="{927723EF-9E36-4316-9369-1A5838C6B098}"/>
    <cellStyle name="Migliaia 11 4 5 2 2" xfId="38435" xr:uid="{8ABDFE06-5235-47F2-BB19-F3EB684B90D0}"/>
    <cellStyle name="Migliaia 11 4 5 2 3" xfId="43737" xr:uid="{04BD3AD5-787F-450B-B179-3CEE6C7F71E7}"/>
    <cellStyle name="Migliaia 11 4 5 3" xfId="35963" xr:uid="{3E425902-22F2-4216-965A-9CA5FD76BC85}"/>
    <cellStyle name="Migliaia 11 4 5 4" xfId="41086" xr:uid="{DE9C556E-313E-4F21-B603-C6B46859A6A5}"/>
    <cellStyle name="Migliaia 11 4 5 5" xfId="11245" xr:uid="{CD365FF7-E9CF-4314-82AB-FC07828761AD}"/>
    <cellStyle name="Migliaia 11 4 6" xfId="10742" xr:uid="{3EF6740A-8C04-49D2-90E2-DE41006C1817}"/>
    <cellStyle name="Migliaia 11 4 6 2" xfId="21377" xr:uid="{C1C89AA8-6B28-428C-BCCC-EE6465030340}"/>
    <cellStyle name="Migliaia 11 4 6 2 2" xfId="38436" xr:uid="{60BDCC1D-75CF-41B3-8165-56115B6F9674}"/>
    <cellStyle name="Migliaia 11 4 6 2 3" xfId="43738" xr:uid="{47F9129D-B70C-4DE8-B20B-F876269D9DE8}"/>
    <cellStyle name="Migliaia 11 4 6 2 4" xfId="33075" xr:uid="{0F1595E9-B700-453E-A585-1777FFD4C2DD}"/>
    <cellStyle name="Migliaia 11 4 6 3" xfId="35964" xr:uid="{D6472F65-B6BD-474C-A5AD-9BEFBE8EF1D6}"/>
    <cellStyle name="Migliaia 11 4 6 4" xfId="41087" xr:uid="{445D38D8-E326-4DCD-857B-77753D012291}"/>
    <cellStyle name="Migliaia 11 4 6 5" xfId="24233" xr:uid="{AF9ABCDF-824E-4C86-8DB1-499B0C87F4EB}"/>
    <cellStyle name="Migliaia 11 4 6 6" xfId="48378" xr:uid="{30703708-565F-4169-B959-7FC76804EEED}"/>
    <cellStyle name="Migliaia 11 4 6 7" xfId="50392" xr:uid="{EE06010F-A2B9-436F-A180-C4B268C9E4F9}"/>
    <cellStyle name="Migliaia 11 4 6 8" xfId="53408" xr:uid="{098BA4E1-9A98-457C-800E-A732C0DC89CE}"/>
    <cellStyle name="Migliaia 11 4 7" xfId="19832" xr:uid="{7084E221-9DC3-4376-A0DE-DFC916D213AB}"/>
    <cellStyle name="Migliaia 11 4 7 2" xfId="33076" xr:uid="{144DD849-99A2-4315-BD3E-756EB3EAFC68}"/>
    <cellStyle name="Migliaia 11 4 7 2 2" xfId="38437" xr:uid="{1FB5F72C-28D5-4239-B150-7D8B9D9C949A}"/>
    <cellStyle name="Migliaia 11 4 7 2 3" xfId="43739" xr:uid="{C9295C56-2B00-4134-AF27-4FCF2A377A49}"/>
    <cellStyle name="Migliaia 11 4 7 3" xfId="35965" xr:uid="{04F9B28E-DBA5-4FDF-B2E6-E43169EE1D8F}"/>
    <cellStyle name="Migliaia 11 4 7 4" xfId="41088" xr:uid="{0EFFBCF5-7C00-4B77-A5FC-71BCD07D5B45}"/>
    <cellStyle name="Migliaia 11 4 7 5" xfId="24234" xr:uid="{72740029-7484-4CC5-89B1-1DB58A0D954A}"/>
    <cellStyle name="Migliaia 11 4 8" xfId="24231" xr:uid="{81A02212-6398-41F3-9606-99CD7CDF4B11}"/>
    <cellStyle name="Migliaia 11 4 9" xfId="7305" xr:uid="{890F536D-038F-4A93-A293-7A644B05D812}"/>
    <cellStyle name="Migliaia 11 5" xfId="1667" xr:uid="{00000000-0005-0000-0000-0000D2020000}"/>
    <cellStyle name="Migliaia 11 5 2" xfId="4867" xr:uid="{7164FA7B-381C-4AE9-9662-37CB4B6EC591}"/>
    <cellStyle name="Migliaia 11 5 2 2" xfId="18365" xr:uid="{14952D32-D99B-40B7-B894-EE9A2160DFC3}"/>
    <cellStyle name="Migliaia 11 5 2 2 2" xfId="38438" xr:uid="{AF54A3DD-805B-4B34-B9B6-3392F74AF3BD}"/>
    <cellStyle name="Migliaia 11 5 2 2 3" xfId="43740" xr:uid="{F107CC82-480E-46FA-8D0B-C7B3B7580B8F}"/>
    <cellStyle name="Migliaia 11 5 2 3" xfId="19835" xr:uid="{5C754404-158F-4C3C-9B8B-0EB4B1239A9B}"/>
    <cellStyle name="Migliaia 11 5 2 3 2" xfId="35966" xr:uid="{E3FC403C-FDDF-4303-AC3E-B2F1E4D625A8}"/>
    <cellStyle name="Migliaia 11 5 2 4" xfId="41089" xr:uid="{87CC99B4-2D86-42D9-BB59-1C7A6D08B97C}"/>
    <cellStyle name="Migliaia 11 5 2 5" xfId="16037" xr:uid="{9D3622A5-5FE6-406C-82BF-B2F68A9BC37E}"/>
    <cellStyle name="Migliaia 11 5 2 6" xfId="8496" xr:uid="{EDB83B02-CF87-4DE2-A065-7CCA77A23C92}"/>
    <cellStyle name="Migliaia 11 5 3" xfId="6088" xr:uid="{1D86F9FE-1313-46DC-A14F-F88D47148B86}"/>
    <cellStyle name="Migliaia 11 5 3 2" xfId="33078" xr:uid="{91A3AB8F-6072-4ACB-AF66-F07C78D3FF7B}"/>
    <cellStyle name="Migliaia 11 5 3 2 2" xfId="38439" xr:uid="{673CFDBD-BDC4-4803-B423-CF682E888FBF}"/>
    <cellStyle name="Migliaia 11 5 3 2 3" xfId="43741" xr:uid="{21E3FCC1-42BB-46B6-A500-113DA07AEED4}"/>
    <cellStyle name="Migliaia 11 5 3 3" xfId="35967" xr:uid="{DEF977D4-A61B-4C3C-B7A2-2796676563F9}"/>
    <cellStyle name="Migliaia 11 5 3 4" xfId="41090" xr:uid="{473ED65B-E5C8-4695-81BB-F4FF7CE4E630}"/>
    <cellStyle name="Migliaia 11 5 3 5" xfId="11247" xr:uid="{70A25781-CF7D-4FC0-BDA6-48E8247A2F01}"/>
    <cellStyle name="Migliaia 11 5 4" xfId="3141" xr:uid="{474CACC1-97B9-413D-9CE1-30AB918D1582}"/>
    <cellStyle name="Migliaia 11 5 4 2" xfId="21379" xr:uid="{1198ABA7-13A7-46A4-9283-2EF8833AD008}"/>
    <cellStyle name="Migliaia 11 5 4 2 2" xfId="38440" xr:uid="{A8D01F96-26C2-4A5F-B4E4-AC4EA827F55B}"/>
    <cellStyle name="Migliaia 11 5 4 2 3" xfId="43742" xr:uid="{FABC1752-B1BA-4673-A3B4-5D64F1F47606}"/>
    <cellStyle name="Migliaia 11 5 4 2 4" xfId="33079" xr:uid="{62B4FEA7-B933-47F5-8EC1-8EF2A864CB08}"/>
    <cellStyle name="Migliaia 11 5 4 3" xfId="35968" xr:uid="{18E10CF4-2670-4F3B-8304-B21A9EC81EBB}"/>
    <cellStyle name="Migliaia 11 5 4 4" xfId="41091" xr:uid="{D649C296-10AE-4039-AB82-3C8E5A7DC522}"/>
    <cellStyle name="Migliaia 11 5 4 5" xfId="24236" xr:uid="{40F735E6-4C34-44DD-980B-EF31F5E42505}"/>
    <cellStyle name="Migliaia 11 5 4 6" xfId="47447" xr:uid="{3C0AA143-C3B4-4935-BC96-EA557D2B6DA9}"/>
    <cellStyle name="Migliaia 11 5 4 7" xfId="50394" xr:uid="{85A9339D-71B5-4E44-A695-8D564A0AF129}"/>
    <cellStyle name="Migliaia 11 5 4 8" xfId="53410" xr:uid="{8815ADAC-31FF-459B-8B39-9CAA19F83A91}"/>
    <cellStyle name="Migliaia 11 5 4 9" xfId="10744" xr:uid="{239B5468-532D-4128-A79C-968E879498A7}"/>
    <cellStyle name="Migliaia 11 5 5" xfId="19834" xr:uid="{B4F06CB1-5215-47C1-BCB9-7A342C9A7255}"/>
    <cellStyle name="Migliaia 11 5 5 2" xfId="33080" xr:uid="{A34DFA7A-6318-4CA6-B071-9BB6165E8975}"/>
    <cellStyle name="Migliaia 11 5 5 2 2" xfId="38441" xr:uid="{3BC2F84A-4F7B-4BCB-BBAB-30CA9768C407}"/>
    <cellStyle name="Migliaia 11 5 5 2 3" xfId="43743" xr:uid="{EB91DD8C-5ECB-4059-A3A6-D433A66801DA}"/>
    <cellStyle name="Migliaia 11 5 5 3" xfId="35969" xr:uid="{7D1E607B-384F-4158-A908-51F3663EE04C}"/>
    <cellStyle name="Migliaia 11 5 5 4" xfId="41092" xr:uid="{72B8EC25-C7D8-4D9B-ADB8-2EEACEF3A7B1}"/>
    <cellStyle name="Migliaia 11 5 5 5" xfId="24237" xr:uid="{166296BD-C668-4A01-8500-16FB89283C7D}"/>
    <cellStyle name="Migliaia 11 5 6" xfId="24238" xr:uid="{51756D87-7154-4C27-8BB2-EDB3491A09D5}"/>
    <cellStyle name="Migliaia 11 5 6 2" xfId="33081" xr:uid="{18AE86B4-BA6A-4438-BE49-4829B3EEDF9A}"/>
    <cellStyle name="Migliaia 11 5 6 2 2" xfId="38442" xr:uid="{AA140A72-588A-4F7C-8FB0-9265A048ADD0}"/>
    <cellStyle name="Migliaia 11 5 6 2 3" xfId="43744" xr:uid="{94661234-06B3-414E-8C85-AFDE93A03FBE}"/>
    <cellStyle name="Migliaia 11 5 6 3" xfId="35970" xr:uid="{FE13D14B-6749-428B-978D-B1256016B878}"/>
    <cellStyle name="Migliaia 11 5 6 4" xfId="41093" xr:uid="{8EB99B13-E1F4-49D7-A907-50BBBFC3D7AB}"/>
    <cellStyle name="Migliaia 11 5 7" xfId="24235" xr:uid="{A76B842B-C355-4C77-B7AE-C19DB0FD5E02}"/>
    <cellStyle name="Migliaia 11 5 8" xfId="7306" xr:uid="{5D6D5528-1E7B-4F91-9374-4347CDCBE8D3}"/>
    <cellStyle name="Migliaia 11 6" xfId="3142" xr:uid="{D394E5D4-1D0D-4BDA-A8B0-FB38CD9F764F}"/>
    <cellStyle name="Migliaia 11 6 2" xfId="4868" xr:uid="{F08DA367-879F-47E2-A0E3-710BF60542EC}"/>
    <cellStyle name="Migliaia 11 6 2 2" xfId="9885" xr:uid="{A9C7C073-60E0-4F1C-9AAE-4AE52B29009F}"/>
    <cellStyle name="Migliaia 11 6 2 3" xfId="18678" xr:uid="{D5981EE9-A59F-4240-8FF5-22292C27EEC3}"/>
    <cellStyle name="Migliaia 11 6 2 4" xfId="19837" xr:uid="{8410B7D6-EC74-425C-B74F-D58A08312B5A}"/>
    <cellStyle name="Migliaia 11 6 2 5" xfId="32294" xr:uid="{E31D2403-2EFF-4920-B060-50987B41D28C}"/>
    <cellStyle name="Migliaia 11 6 2 6" xfId="16039" xr:uid="{CFA809BE-E357-457B-B516-D710F953F9CD}"/>
    <cellStyle name="Migliaia 11 6 2 7" xfId="8491" xr:uid="{332CEE8F-D46B-4FA3-A672-65A6006F9F85}"/>
    <cellStyle name="Migliaia 11 6 3" xfId="6089" xr:uid="{C6CE8509-8012-47AF-BDA2-084D2D976117}"/>
    <cellStyle name="Migliaia 11 6 3 2" xfId="35139" xr:uid="{8792CE31-5EA2-4074-968D-996ED88522E1}"/>
    <cellStyle name="Migliaia 11 6 3 2 2" xfId="40297" xr:uid="{F32C30A0-AD57-42B2-A9E4-392A86CB846D}"/>
    <cellStyle name="Migliaia 11 6 3 2 3" xfId="45599" xr:uid="{368FE72A-F5D1-4EA6-9431-D58340C4D077}"/>
    <cellStyle name="Migliaia 11 6 3 3" xfId="37646" xr:uid="{E1A4C125-4D53-4FB6-8FE9-71B53B57DE8D}"/>
    <cellStyle name="Migliaia 11 6 3 4" xfId="42948" xr:uid="{DE193785-C433-4CAE-BB74-C2AD7391FF57}"/>
    <cellStyle name="Migliaia 11 6 3 5" xfId="9648" xr:uid="{A3852EC6-3E68-4A85-9B80-CD7524E757EC}"/>
    <cellStyle name="Migliaia 11 6 4" xfId="19836" xr:uid="{1A844A5F-CF61-4943-9F1B-03EABF99C7CF}"/>
    <cellStyle name="Migliaia 11 6 4 2" xfId="38443" xr:uid="{E5FEBF78-18BA-49AE-9307-E82CE011FF92}"/>
    <cellStyle name="Migliaia 11 6 4 3" xfId="43745" xr:uid="{54665BD4-EC21-422A-81E7-A51361DE3D45}"/>
    <cellStyle name="Migliaia 11 6 4 4" xfId="33082" xr:uid="{92F5A3FC-88D7-42E9-822F-660163DAB222}"/>
    <cellStyle name="Migliaia 11 6 5" xfId="35971" xr:uid="{98378BD1-3DE9-4EFA-A483-DDF35620282D}"/>
    <cellStyle name="Migliaia 11 6 6" xfId="41094" xr:uid="{CF41769C-CCE8-49D9-8B09-0A8EC681C310}"/>
    <cellStyle name="Migliaia 11 6 7" xfId="16038" xr:uid="{5AB46A6F-3EA2-40A6-84A3-246C2A8737EA}"/>
    <cellStyle name="Migliaia 11 6 8" xfId="7301" xr:uid="{8567CF1C-A852-4C17-8ABB-A77814921024}"/>
    <cellStyle name="Migliaia 11 7" xfId="3143" xr:uid="{7A437DCE-82F4-4584-9795-4D0E740AB800}"/>
    <cellStyle name="Migliaia 11 7 2" xfId="4869" xr:uid="{409F1A58-8268-4316-A7C4-B7D3613204CA}"/>
    <cellStyle name="Migliaia 11 7 2 2" xfId="35140" xr:uid="{6582E216-8039-4D7C-A21A-9184742BBE95}"/>
    <cellStyle name="Migliaia 11 7 2 2 2" xfId="40298" xr:uid="{48930345-9230-40CB-AE75-2C81B49A60D3}"/>
    <cellStyle name="Migliaia 11 7 2 2 3" xfId="45600" xr:uid="{83B61023-9892-4E3C-921C-78926D416AAB}"/>
    <cellStyle name="Migliaia 11 7 2 3" xfId="37647" xr:uid="{DB57D04E-F979-4656-A049-511B529361B8}"/>
    <cellStyle name="Migliaia 11 7 2 4" xfId="42949" xr:uid="{9D3A1008-9886-4B82-9058-1F15C8ABAE8C}"/>
    <cellStyle name="Migliaia 11 7 2 5" xfId="14184" xr:uid="{C7142A99-7A83-49B5-B508-056A74C0B9D4}"/>
    <cellStyle name="Migliaia 11 7 3" xfId="6090" xr:uid="{E8AC16F1-5F20-45A6-B66A-4AD0F2EFEAF3}"/>
    <cellStyle name="Migliaia 11 7 3 2" xfId="38444" xr:uid="{6894B772-C47F-4498-A4F5-46E48B234062}"/>
    <cellStyle name="Migliaia 11 7 3 3" xfId="43746" xr:uid="{552BDBA2-FDA9-47E4-930F-8B301C4EA44A}"/>
    <cellStyle name="Migliaia 11 7 3 4" xfId="33083" xr:uid="{C6BF7E01-BCB7-4D5B-8D71-CDE7EC877C84}"/>
    <cellStyle name="Migliaia 11 7 3 5" xfId="19838" xr:uid="{F44984C4-C81D-4CA4-A4E2-2BACA7B681AF}"/>
    <cellStyle name="Migliaia 11 7 4" xfId="35972" xr:uid="{D7163561-119C-4B4D-92F2-8C71060F7ED7}"/>
    <cellStyle name="Migliaia 11 7 5" xfId="41095" xr:uid="{F9298D75-3284-44A2-8FDA-162B4D5E99AA}"/>
    <cellStyle name="Migliaia 11 7 6" xfId="16040" xr:uid="{8699E510-73C6-4D25-BC7A-BEF757E1528C}"/>
    <cellStyle name="Migliaia 11 7 7" xfId="8246" xr:uid="{F1DD2914-1EB2-471F-811F-7C00AE0359A5}"/>
    <cellStyle name="Migliaia 11 8" xfId="3144" xr:uid="{06A245D8-65AD-43DC-B36D-7656E6869C0B}"/>
    <cellStyle name="Migliaia 11 8 2" xfId="4870" xr:uid="{79AE1711-416E-48F7-83FA-C9B633EC6929}"/>
    <cellStyle name="Migliaia 11 8 2 2" xfId="35141" xr:uid="{7B63A434-284D-4D2B-A135-590FFCE89871}"/>
    <cellStyle name="Migliaia 11 8 2 2 2" xfId="40299" xr:uid="{09E01FD3-AC02-4AE4-A7D2-75E5913B38E5}"/>
    <cellStyle name="Migliaia 11 8 2 2 3" xfId="45601" xr:uid="{822EFEDF-D7B1-48DA-BE10-E347EE089983}"/>
    <cellStyle name="Migliaia 11 8 2 3" xfId="37648" xr:uid="{2F390BA3-0C7D-42C9-B386-5E8FAE342FD5}"/>
    <cellStyle name="Migliaia 11 8 2 4" xfId="42950" xr:uid="{E911E81E-0DF0-4FEB-8891-A7D0099D0997}"/>
    <cellStyle name="Migliaia 11 8 2 5" xfId="13887" xr:uid="{7DBFCDED-434F-4F8B-A684-C10FA824E194}"/>
    <cellStyle name="Migliaia 11 8 3" xfId="6091" xr:uid="{A6491D5E-7B5D-43D5-A473-6E1A49EAD4C8}"/>
    <cellStyle name="Migliaia 11 8 3 2" xfId="38445" xr:uid="{49A740D0-00AA-42E7-B70F-E3DB35E47500}"/>
    <cellStyle name="Migliaia 11 8 3 3" xfId="43747" xr:uid="{BA5C4DD6-EE02-47C2-94BB-9D23212B5486}"/>
    <cellStyle name="Migliaia 11 8 3 4" xfId="33084" xr:uid="{250A15A1-A489-4AC5-BF7B-A70BA5872A8B}"/>
    <cellStyle name="Migliaia 11 8 3 5" xfId="19839" xr:uid="{DA1823BD-C056-4C3D-B4A4-FECFB1CD7CEE}"/>
    <cellStyle name="Migliaia 11 8 4" xfId="35973" xr:uid="{7CC6BF5C-0E4C-4839-9A90-F8B61E757CE0}"/>
    <cellStyle name="Migliaia 11 8 5" xfId="41096" xr:uid="{4985ABE5-9933-4020-82F2-4AADC30FDF04}"/>
    <cellStyle name="Migliaia 11 8 6" xfId="16041" xr:uid="{2C487B48-2413-448E-9A3E-EF7230EB54CF}"/>
    <cellStyle name="Migliaia 11 8 7" xfId="7827" xr:uid="{413797A7-AB24-4F66-8FF8-EEEEB981821A}"/>
    <cellStyle name="Migliaia 11 9" xfId="4855" xr:uid="{31A8ED30-21DA-4D61-8426-0799E74A3DB1}"/>
    <cellStyle name="Migliaia 11 9 2" xfId="33085" xr:uid="{490BEFED-40F0-4A09-83FD-6F75A89EB238}"/>
    <cellStyle name="Migliaia 11 9 2 2" xfId="38446" xr:uid="{EB983F49-9635-49C8-930E-7D64963B84EB}"/>
    <cellStyle name="Migliaia 11 9 2 3" xfId="43748" xr:uid="{8B5543F6-B41F-4C7E-B92E-9563476F6901}"/>
    <cellStyle name="Migliaia 11 9 3" xfId="35974" xr:uid="{D7DA4EA2-32D6-47FA-A4C5-5229D776D077}"/>
    <cellStyle name="Migliaia 11 9 4" xfId="41097" xr:uid="{23FDB36D-DFB8-4C28-849B-D415CFBE14AB}"/>
    <cellStyle name="Migliaia 11 9 5" xfId="17139" xr:uid="{1F6054F1-018A-4233-BC12-7497D025CC2A}"/>
    <cellStyle name="Migliaia 12" xfId="309" xr:uid="{00000000-0005-0000-0000-0000D3020000}"/>
    <cellStyle name="Migliaia 12 10" xfId="6092" xr:uid="{A39D08B0-BD17-4105-A192-A973B91A9317}"/>
    <cellStyle name="Migliaia 12 10 2" xfId="38447" xr:uid="{B0C8F6EE-2381-4316-A07F-60E6CC90A593}"/>
    <cellStyle name="Migliaia 12 10 3" xfId="43749" xr:uid="{DD3A56A3-C828-413E-9A0A-BB90453DD12B}"/>
    <cellStyle name="Migliaia 12 10 4" xfId="33086" xr:uid="{70674CEB-DAF0-45E3-9271-6DD5ECDB6FEC}"/>
    <cellStyle name="Migliaia 12 10 5" xfId="19840" xr:uid="{86DA4700-C825-4BEA-A0D2-4C20A28D8D46}"/>
    <cellStyle name="Migliaia 12 11" xfId="3145" xr:uid="{966C89CC-7E67-4DD7-9BFB-01D1700CC2B6}"/>
    <cellStyle name="Migliaia 12 11 2" xfId="35975" xr:uid="{D6547A79-6A08-4223-8908-7612C22CAD91}"/>
    <cellStyle name="Migliaia 12 12" xfId="41098" xr:uid="{20FF2A5C-2900-4E0B-9846-17A6D8F71F1E}"/>
    <cellStyle name="Migliaia 12 13" xfId="7050" xr:uid="{3ACCC9A0-263C-47DD-BE84-7DC48CB57F33}"/>
    <cellStyle name="Migliaia 12 2" xfId="310" xr:uid="{00000000-0005-0000-0000-0000D4020000}"/>
    <cellStyle name="Migliaia 12 2 2" xfId="1668" xr:uid="{00000000-0005-0000-0000-0000D5020000}"/>
    <cellStyle name="Migliaia 12 2 2 2" xfId="4873" xr:uid="{EA916E09-61D2-4C42-B5D2-AD4DF848E103}"/>
    <cellStyle name="Migliaia 12 2 2 2 2" xfId="14365" xr:uid="{7B8E4A71-356C-4AE6-A4DA-F09EEC39C4FD}"/>
    <cellStyle name="Migliaia 12 2 2 2 2 2" xfId="38448" xr:uid="{F6F85033-4BAF-42A3-850E-1225CEA2B259}"/>
    <cellStyle name="Migliaia 12 2 2 2 2 3" xfId="43750" xr:uid="{4E47BE33-F6B9-4748-9960-2BA0F6D2A313}"/>
    <cellStyle name="Migliaia 12 2 2 2 3" xfId="18366" xr:uid="{E0BFDAE8-6734-47C6-B090-F713DD8D704E}"/>
    <cellStyle name="Migliaia 12 2 2 2 4" xfId="19843" xr:uid="{24691676-1FCE-4EAF-B0B2-504BB9CBD176}"/>
    <cellStyle name="Migliaia 12 2 2 2 4 2" xfId="41099" xr:uid="{213B0192-1DEB-493C-898C-66CCD4DEE126}"/>
    <cellStyle name="Migliaia 12 2 2 2 5" xfId="16042" xr:uid="{655FA59B-207B-43C1-94F9-FCEC9A17E790}"/>
    <cellStyle name="Migliaia 12 2 2 2 6" xfId="8498" xr:uid="{583F87B1-DD81-4923-B245-E7956AB70549}"/>
    <cellStyle name="Migliaia 12 2 2 3" xfId="6094" xr:uid="{C32B766A-9919-40D8-909F-831B5EBFB133}"/>
    <cellStyle name="Migliaia 12 2 2 3 2" xfId="35142" xr:uid="{5C2FF071-A325-406F-8519-D75A7A25BC46}"/>
    <cellStyle name="Migliaia 12 2 2 3 2 2" xfId="40300" xr:uid="{14FEA47A-3F34-4ED9-AFFE-DE0E8D8F465C}"/>
    <cellStyle name="Migliaia 12 2 2 3 2 3" xfId="45602" xr:uid="{4501CA6E-C589-4185-8D45-E54B2079CAFE}"/>
    <cellStyle name="Migliaia 12 2 2 3 3" xfId="37649" xr:uid="{F32FD5AF-F8C3-4F1F-929C-BB8DC1090E38}"/>
    <cellStyle name="Migliaia 12 2 2 3 4" xfId="42951" xr:uid="{3634FFF9-FFC6-4096-86D5-279F3894CEA9}"/>
    <cellStyle name="Migliaia 12 2 2 3 5" xfId="11594" xr:uid="{81164C20-2BE0-416B-9A77-04DA27A7A112}"/>
    <cellStyle name="Migliaia 12 2 2 4" xfId="3147" xr:uid="{88E4A111-B9A2-4C6B-AE71-FB565826A997}"/>
    <cellStyle name="Migliaia 12 2 2 4 2" xfId="21380" xr:uid="{C8818AB8-77AA-476E-ADE7-24C4D010064D}"/>
    <cellStyle name="Migliaia 12 2 2 4 3" xfId="48281" xr:uid="{3B9E1049-DAED-42BE-9EF9-690B830CA18F}"/>
    <cellStyle name="Migliaia 12 2 2 4 4" xfId="50395" xr:uid="{7B5D5DFC-559E-4B13-8B18-D87784A19028}"/>
    <cellStyle name="Migliaia 12 2 2 4 5" xfId="53411" xr:uid="{EBCF095B-9699-4198-88C2-4D2449793A13}"/>
    <cellStyle name="Migliaia 12 2 2 4 6" xfId="10745" xr:uid="{737A91C4-F1F8-43C9-9494-233A8FFF58A0}"/>
    <cellStyle name="Migliaia 12 2 2 5" xfId="19842" xr:uid="{21DDE780-010B-48E4-B38A-5E720AAE2295}"/>
    <cellStyle name="Migliaia 12 2 2 6" xfId="24245" xr:uid="{396C2D6E-7BF3-4F42-89C1-79E0BABCEEE0}"/>
    <cellStyle name="Migliaia 12 2 2 7" xfId="7308" xr:uid="{604AE35C-EE2D-49D4-BFCF-701763D8A7C8}"/>
    <cellStyle name="Migliaia 12 2 3" xfId="3148" xr:uid="{6246DD2B-0CEA-4D07-8876-CE13DD323C4C}"/>
    <cellStyle name="Migliaia 12 2 3 2" xfId="4874" xr:uid="{A87A6FED-81D1-471C-88B8-5BA8761E7A68}"/>
    <cellStyle name="Migliaia 12 2 3 2 2" xfId="35143" xr:uid="{D13D16A5-26E3-4343-A505-66B9091AA8ED}"/>
    <cellStyle name="Migliaia 12 2 3 2 2 2" xfId="40301" xr:uid="{A6A5D919-C422-4C24-BB15-78614D9EAFEF}"/>
    <cellStyle name="Migliaia 12 2 3 2 2 3" xfId="45603" xr:uid="{0BB9D846-9D14-4158-A663-354E5CE922C4}"/>
    <cellStyle name="Migliaia 12 2 3 2 3" xfId="37650" xr:uid="{4EB86900-3160-4717-83CF-9A2237F1B03E}"/>
    <cellStyle name="Migliaia 12 2 3 2 4" xfId="42952" xr:uid="{F62305C6-1058-4722-9E32-53684E42BCCD}"/>
    <cellStyle name="Migliaia 12 2 3 2 5" xfId="14188" xr:uid="{EEFB6274-5270-4FCD-9BD3-4FA696D9C50B}"/>
    <cellStyle name="Migliaia 12 2 3 3" xfId="6095" xr:uid="{ECEA7AEB-2C08-44D4-A23B-7B6DF767D1C2}"/>
    <cellStyle name="Migliaia 12 2 3 3 2" xfId="38449" xr:uid="{06069845-FF88-4D87-8E79-7730CC529273}"/>
    <cellStyle name="Migliaia 12 2 3 3 3" xfId="43751" xr:uid="{F3030B31-71B5-49AD-9110-30AC05121E3B}"/>
    <cellStyle name="Migliaia 12 2 3 3 4" xfId="33088" xr:uid="{10CB57F3-C4BB-4343-973F-98DB47E8C74E}"/>
    <cellStyle name="Migliaia 12 2 3 3 5" xfId="19844" xr:uid="{8CDEFEE4-1D5C-433C-9A69-65EDD6A7A8F4}"/>
    <cellStyle name="Migliaia 12 2 3 4" xfId="35977" xr:uid="{E64F0EFD-5E54-4CDB-84C2-3FDF8F0F178F}"/>
    <cellStyle name="Migliaia 12 2 3 5" xfId="41100" xr:uid="{756DDC53-1299-4C10-A4D3-C57F5981B7D1}"/>
    <cellStyle name="Migliaia 12 2 3 6" xfId="16043" xr:uid="{CD99462F-6DF8-4938-B394-05291E6FD199}"/>
    <cellStyle name="Migliaia 12 2 3 7" xfId="8250" xr:uid="{5FFF8C5D-A8F0-4BB2-89D0-84FA13E027F1}"/>
    <cellStyle name="Migliaia 12 2 4" xfId="4872" xr:uid="{07AFB867-CB38-4385-B48D-BDE6F40D71F0}"/>
    <cellStyle name="Migliaia 12 2 4 2" xfId="13891" xr:uid="{0F5AB71F-8669-49A3-9B5B-1722B929C55C}"/>
    <cellStyle name="Migliaia 12 2 4 2 2" xfId="38450" xr:uid="{356633D7-BD20-4E11-B713-2FB8A5A7A98D}"/>
    <cellStyle name="Migliaia 12 2 4 2 3" xfId="43752" xr:uid="{5B8EE256-58B9-4BB7-95B0-FBF7A65FE3C8}"/>
    <cellStyle name="Migliaia 12 2 4 3" xfId="18727" xr:uid="{65EC6344-0CC4-4B7F-8FC7-EBA73170B5BB}"/>
    <cellStyle name="Migliaia 12 2 4 4" xfId="19845" xr:uid="{2B0F027E-2172-41ED-B66A-BCD11D54BDEF}"/>
    <cellStyle name="Migliaia 12 2 4 4 2" xfId="41101" xr:uid="{4507A536-EC36-4E28-80F7-0E2FA46AD86F}"/>
    <cellStyle name="Migliaia 12 2 4 5" xfId="16044" xr:uid="{6D5AED41-404D-44E9-AD58-FF3923561BAA}"/>
    <cellStyle name="Migliaia 12 2 4 6" xfId="7832" xr:uid="{2B776454-DA6F-465D-8380-ECE4E2A05E07}"/>
    <cellStyle name="Migliaia 12 2 5" xfId="6093" xr:uid="{93457ABC-4951-4796-B168-0EA3FF289D8E}"/>
    <cellStyle name="Migliaia 12 2 5 2" xfId="33090" xr:uid="{F9B5D1F0-32AC-4A5A-B120-060660CD8ABA}"/>
    <cellStyle name="Migliaia 12 2 5 2 2" xfId="38451" xr:uid="{A4038E8F-FFD5-4A6E-973B-5E5EEFD9AA94}"/>
    <cellStyle name="Migliaia 12 2 5 2 3" xfId="43753" xr:uid="{24889139-1FF0-4AD6-9F0A-BE100DF72BA0}"/>
    <cellStyle name="Migliaia 12 2 5 3" xfId="35979" xr:uid="{97C5FD55-EFBF-4BF9-8FF2-DC42DB3AB5DA}"/>
    <cellStyle name="Migliaia 12 2 5 4" xfId="41102" xr:uid="{558DF3D4-E854-4AB1-B13E-070703AC6B7B}"/>
    <cellStyle name="Migliaia 12 2 5 5" xfId="13105" xr:uid="{2326F0D4-2028-495F-9684-999B8CFB98E5}"/>
    <cellStyle name="Migliaia 12 2 6" xfId="3146" xr:uid="{6FC51661-0B9F-4AE6-B0A9-F8AEDF4A46D8}"/>
    <cellStyle name="Migliaia 12 2 6 2" xfId="33091" xr:uid="{340ECF12-954E-4D25-9DCF-3C569E7F9110}"/>
    <cellStyle name="Migliaia 12 2 6 2 2" xfId="38452" xr:uid="{1A6C1B3B-994D-4404-A903-58A66EA37E66}"/>
    <cellStyle name="Migliaia 12 2 6 2 3" xfId="43754" xr:uid="{5B111669-E56B-4CA6-85F6-4695AB3F2574}"/>
    <cellStyle name="Migliaia 12 2 6 3" xfId="35980" xr:uid="{2E4E0830-7E21-4D6C-A050-56ACDE3FC7D1}"/>
    <cellStyle name="Migliaia 12 2 6 4" xfId="41103" xr:uid="{77B7AC4A-69F5-491B-9A86-1A2568E5F065}"/>
    <cellStyle name="Migliaia 12 2 6 5" xfId="24250" xr:uid="{2B14F3D9-6485-4EFC-BBE0-87806886D4FD}"/>
    <cellStyle name="Migliaia 12 2 6 6" xfId="19841" xr:uid="{2BBE3CD7-1A25-4081-9D8E-E663459D3AF2}"/>
    <cellStyle name="Migliaia 12 2 7" xfId="24244" xr:uid="{01BDC120-21FB-4F32-9549-CC070B8803A1}"/>
    <cellStyle name="Migliaia 12 2 8" xfId="7051" xr:uid="{550F0390-D3F4-483B-B11B-5F5A930974D6}"/>
    <cellStyle name="Migliaia 12 3" xfId="311" xr:uid="{00000000-0005-0000-0000-0000D6020000}"/>
    <cellStyle name="Migliaia 12 3 10" xfId="24251" xr:uid="{AAF843E3-8F8E-416B-A340-D83BA25652A9}"/>
    <cellStyle name="Migliaia 12 3 11" xfId="16045" xr:uid="{0F1C52BB-77F3-415C-9381-6CDCC59C294C}"/>
    <cellStyle name="Migliaia 12 3 12" xfId="7052" xr:uid="{42F943C2-0271-4D55-8F24-80EAF14195E5}"/>
    <cellStyle name="Migliaia 12 3 2" xfId="312" xr:uid="{00000000-0005-0000-0000-0000D7020000}"/>
    <cellStyle name="Migliaia 12 3 2 2" xfId="1669" xr:uid="{00000000-0005-0000-0000-0000D8020000}"/>
    <cellStyle name="Migliaia 12 3 2 2 2" xfId="4877" xr:uid="{64915956-DBCE-4E20-A832-C7AA2A9EE279}"/>
    <cellStyle name="Migliaia 12 3 2 2 2 2" xfId="18367" xr:uid="{CAF10101-C2E0-4B76-AE48-5839C35FC3C1}"/>
    <cellStyle name="Migliaia 12 3 2 2 2 2 2" xfId="21840" xr:uid="{6FADA2DA-43D8-4980-A223-CE8ED06EABB1}"/>
    <cellStyle name="Migliaia 12 3 2 2 2 2 2 2" xfId="38453" xr:uid="{2CA34184-2C1C-45F4-A533-035B7083E32A}"/>
    <cellStyle name="Migliaia 12 3 2 2 2 2 3" xfId="43755" xr:uid="{EB851ACE-EAF0-44BE-BC39-AA10AA78901E}"/>
    <cellStyle name="Migliaia 12 3 2 2 2 2 4" xfId="33092" xr:uid="{79E94513-2001-4061-B6A3-B1380E51111E}"/>
    <cellStyle name="Migliaia 12 3 2 2 2 3" xfId="35981" xr:uid="{1723DE7E-42C6-4EEF-A53E-5D632CA172C1}"/>
    <cellStyle name="Migliaia 12 3 2 2 2 4" xfId="41104" xr:uid="{2DFB82AD-F3C4-4C0B-9516-B9B4863106F3}"/>
    <cellStyle name="Migliaia 12 3 2 2 2 5" xfId="47911" xr:uid="{A6F58015-025A-4782-B49A-CA53782B61AB}"/>
    <cellStyle name="Migliaia 12 3 2 2 2 6" xfId="50868" xr:uid="{506A5F96-A7F1-43EF-93EB-5586D4F1805A}"/>
    <cellStyle name="Migliaia 12 3 2 2 2 7" xfId="53884" xr:uid="{4D551C9A-A29F-4920-A39E-C82A65D0C45D}"/>
    <cellStyle name="Migliaia 12 3 2 2 2 8" xfId="17641" xr:uid="{281F5BE3-6DF4-4F59-9EDE-4A53D3182D87}"/>
    <cellStyle name="Migliaia 12 3 2 2 2 9" xfId="11895" xr:uid="{355D974B-DBD1-446B-90D3-079DFBA17D14}"/>
    <cellStyle name="Migliaia 12 3 2 2 3" xfId="6098" xr:uid="{227E8D48-F0F9-4B9D-8968-FE490EA19686}"/>
    <cellStyle name="Migliaia 12 3 2 2 3 2" xfId="11682" xr:uid="{EF36E6E7-931F-4040-AD21-68B5C96F3743}"/>
    <cellStyle name="Migliaia 12 3 2 2 4" xfId="3151" xr:uid="{9220755F-364E-44E4-BC8F-AE1BA6350B1F}"/>
    <cellStyle name="Migliaia 12 3 2 2 4 2" xfId="21381" xr:uid="{4BC9C546-A896-4A90-9389-B9F1A5560D35}"/>
    <cellStyle name="Migliaia 12 3 2 2 4 3" xfId="48528" xr:uid="{11735ABE-3C54-4CCF-84A6-D2ABA60ECF15}"/>
    <cellStyle name="Migliaia 12 3 2 2 4 4" xfId="50396" xr:uid="{27A64EDA-DE05-46BF-9200-0B7E59B7644E}"/>
    <cellStyle name="Migliaia 12 3 2 2 4 5" xfId="53412" xr:uid="{D198BF60-2C02-494A-A243-46534D2F13A7}"/>
    <cellStyle name="Migliaia 12 3 2 2 4 6" xfId="10746" xr:uid="{BFF3BF29-74D2-42FA-91B0-041D2736B0EE}"/>
    <cellStyle name="Migliaia 12 3 2 2 5" xfId="19848" xr:uid="{5483F4DA-4FCB-4D69-9CF6-1493DB9F39B0}"/>
    <cellStyle name="Migliaia 12 3 2 2 6" xfId="24253" xr:uid="{813F887A-0795-4249-9EA4-19D16D03CA38}"/>
    <cellStyle name="Migliaia 12 3 2 2 7" xfId="8500" xr:uid="{D8EF3C64-D33E-4D57-B320-5B6E2B15E787}"/>
    <cellStyle name="Migliaia 12 3 2 3" xfId="4876" xr:uid="{4752DE17-AE2E-4065-BB62-0D4309E8C7B0}"/>
    <cellStyle name="Migliaia 12 3 2 3 2" xfId="11654" xr:uid="{B6B81104-E13D-4806-9F69-5B999972540F}"/>
    <cellStyle name="Migliaia 12 3 2 3 2 2" xfId="38454" xr:uid="{0A0D6ED7-BFAA-4677-80C3-50E9109D9090}"/>
    <cellStyle name="Migliaia 12 3 2 3 2 3" xfId="43756" xr:uid="{A3950FB0-9E27-46BA-ADD3-D5ACF83A5FBF}"/>
    <cellStyle name="Migliaia 12 3 2 3 2 4" xfId="33093" xr:uid="{39E7B1D3-1C2C-43AF-BC56-1550119BE9FC}"/>
    <cellStyle name="Migliaia 12 3 2 3 3" xfId="11896" xr:uid="{87833FEC-22AC-471B-A7F2-DB0BDE9FFB36}"/>
    <cellStyle name="Migliaia 12 3 2 3 4" xfId="19849" xr:uid="{B5BDD554-B5AD-4766-A9D6-82B0755675CE}"/>
    <cellStyle name="Migliaia 12 3 2 3 4 2" xfId="41105" xr:uid="{DE1069CC-1F1A-4290-A75E-EE1300A62A0D}"/>
    <cellStyle name="Migliaia 12 3 2 3 5" xfId="16046" xr:uid="{6C75238F-291F-472B-A040-03C52223C452}"/>
    <cellStyle name="Migliaia 12 3 2 3 6" xfId="7834" xr:uid="{F05CB76A-842A-4420-A846-BC7B1481D4EE}"/>
    <cellStyle name="Migliaia 12 3 2 4" xfId="6097" xr:uid="{9783CE4D-C188-4C6E-ACAF-D23E24B50F9D}"/>
    <cellStyle name="Migliaia 12 3 2 4 2" xfId="18060" xr:uid="{8932F2D5-4B25-4947-AF6C-490B9E309F2F}"/>
    <cellStyle name="Migliaia 12 3 2 4 2 2" xfId="38455" xr:uid="{039AD27D-C5E2-4A76-87F4-896A9717923A}"/>
    <cellStyle name="Migliaia 12 3 2 4 2 3" xfId="43757" xr:uid="{AD9AA7D2-8AA3-470A-95CD-82E9EC9D4936}"/>
    <cellStyle name="Migliaia 12 3 2 4 3" xfId="35983" xr:uid="{7968ECF6-9763-48BF-BF69-6AE1BFBE6544}"/>
    <cellStyle name="Migliaia 12 3 2 4 4" xfId="41106" xr:uid="{DEC740ED-5970-4053-AA44-7D2ABBD23EEA}"/>
    <cellStyle name="Migliaia 12 3 2 4 5" xfId="17142" xr:uid="{ACDA19C6-71E4-4138-94B2-FF3A218021A4}"/>
    <cellStyle name="Migliaia 12 3 2 4 6" xfId="11248" xr:uid="{9B7F8D6D-64C0-461C-86B0-BB28DADBFEF6}"/>
    <cellStyle name="Migliaia 12 3 2 5" xfId="3150" xr:uid="{509466E2-8570-45F8-925D-A5017F3EA9EB}"/>
    <cellStyle name="Migliaia 12 3 2 5 2" xfId="33095" xr:uid="{168A5DBD-66DF-4F66-8B89-B3F17FD16688}"/>
    <cellStyle name="Migliaia 12 3 2 5 2 2" xfId="38456" xr:uid="{ED7692B6-76D7-42D3-A2B6-14FD3DC29784}"/>
    <cellStyle name="Migliaia 12 3 2 5 2 3" xfId="43758" xr:uid="{B7948B87-947A-48D5-92D9-02AE8696D5A4}"/>
    <cellStyle name="Migliaia 12 3 2 5 3" xfId="35984" xr:uid="{392CDBCA-4D6E-420E-BD46-EAE630B110CA}"/>
    <cellStyle name="Migliaia 12 3 2 5 4" xfId="41107" xr:uid="{D03ECC54-FE09-4875-B7D8-00DBB64915D3}"/>
    <cellStyle name="Migliaia 12 3 2 5 5" xfId="17417" xr:uid="{91412D42-F273-4C30-BCEE-DC2FDB1A2362}"/>
    <cellStyle name="Migliaia 12 3 2 6" xfId="19847" xr:uid="{D1681F4D-097B-4430-8214-F8718A99C25C}"/>
    <cellStyle name="Migliaia 12 3 2 6 2" xfId="33096" xr:uid="{2E101E68-C5AE-4EE8-9198-BE3E1B605A0A}"/>
    <cellStyle name="Migliaia 12 3 2 6 2 2" xfId="38457" xr:uid="{8A496BC8-E8DC-4180-A371-0AE38766EE30}"/>
    <cellStyle name="Migliaia 12 3 2 6 2 3" xfId="43759" xr:uid="{324A326E-70DA-4BD7-B94A-1CB01A88FBDD}"/>
    <cellStyle name="Migliaia 12 3 2 6 3" xfId="35985" xr:uid="{46A612CA-B23F-47BB-A9A7-4077E989DE91}"/>
    <cellStyle name="Migliaia 12 3 2 6 4" xfId="41108" xr:uid="{2181CE59-97EE-49C9-9B5E-6D040852C9DC}"/>
    <cellStyle name="Migliaia 12 3 2 6 5" xfId="24257" xr:uid="{F48EB044-0E2E-46C8-B896-EB525AB93B4C}"/>
    <cellStyle name="Migliaia 12 3 2 7" xfId="24252" xr:uid="{70ED79D0-8522-4257-AA74-374D1FC88B1A}"/>
    <cellStyle name="Migliaia 12 3 2 8" xfId="7310" xr:uid="{A1980EB5-2894-4A5E-96DF-BFAA9E9B61B3}"/>
    <cellStyle name="Migliaia 12 3 3" xfId="3152" xr:uid="{054AABEF-7611-4991-9857-BC68111C252F}"/>
    <cellStyle name="Migliaia 12 3 3 10" xfId="7309" xr:uid="{B52CD6CD-8659-4A6F-BC98-9579C93D5105}"/>
    <cellStyle name="Migliaia 12 3 3 2" xfId="4878" xr:uid="{3B652F87-4782-4790-9068-73ED6193A85E}"/>
    <cellStyle name="Migliaia 12 3 3 2 2" xfId="9888" xr:uid="{C5FC8A24-D211-45CF-A067-E6D90E5F9C70}"/>
    <cellStyle name="Migliaia 12 3 3 2 2 2" xfId="38459" xr:uid="{159DB88E-3E4F-49A1-903C-BF704C17BA96}"/>
    <cellStyle name="Migliaia 12 3 3 2 2 3" xfId="43761" xr:uid="{C529AE89-4A76-42CB-8686-0924D3C214AC}"/>
    <cellStyle name="Migliaia 12 3 3 2 3" xfId="18168" xr:uid="{6BAE5166-787D-44C8-9AB1-E2AC78CA45CC}"/>
    <cellStyle name="Migliaia 12 3 3 2 4" xfId="19851" xr:uid="{0484AC00-89A7-45D4-9696-DA78C32D94F5}"/>
    <cellStyle name="Migliaia 12 3 3 2 4 2" xfId="41110" xr:uid="{EEEFCEC9-6E52-4DDD-92FF-D502DA951ADE}"/>
    <cellStyle name="Migliaia 12 3 3 2 5" xfId="16048" xr:uid="{A821B3F6-8593-41FF-8AB9-715856A73F7B}"/>
    <cellStyle name="Migliaia 12 3 3 2 6" xfId="8499" xr:uid="{2F9C9565-7ACA-43FF-9B09-2997BAF9075B}"/>
    <cellStyle name="Migliaia 12 3 3 3" xfId="6099" xr:uid="{FEAB8AB0-B68A-4BC1-9B9F-5AB2461CCE08}"/>
    <cellStyle name="Migliaia 12 3 3 3 2" xfId="33098" xr:uid="{FB46E013-93D7-4632-80B5-81B7B0BD2423}"/>
    <cellStyle name="Migliaia 12 3 3 3 2 2" xfId="38460" xr:uid="{132EECF2-4BCF-406C-AE8C-D4DFD4E9581B}"/>
    <cellStyle name="Migliaia 12 3 3 3 2 3" xfId="43762" xr:uid="{52BF490C-1BF6-40D7-9E32-14D0114226AD}"/>
    <cellStyle name="Migliaia 12 3 3 3 3" xfId="35988" xr:uid="{0CDAA2CA-54AF-493D-9D4F-E96AD2B95FEA}"/>
    <cellStyle name="Migliaia 12 3 3 3 4" xfId="41111" xr:uid="{847B1144-8DC0-4CF0-824A-3D9F150F5461}"/>
    <cellStyle name="Migliaia 12 3 3 3 5" xfId="9651" xr:uid="{92A1CD86-A373-4361-BAC8-18A0AE1B589D}"/>
    <cellStyle name="Migliaia 12 3 3 4" xfId="19850" xr:uid="{628ADE3C-D347-400A-817D-7040F911B996}"/>
    <cellStyle name="Migliaia 12 3 3 4 2" xfId="33099" xr:uid="{EEE8F4C8-D660-460F-9267-E5A56F559263}"/>
    <cellStyle name="Migliaia 12 3 3 4 2 2" xfId="38461" xr:uid="{2F76566C-1F4C-497F-B875-97ACB52AAF98}"/>
    <cellStyle name="Migliaia 12 3 3 4 2 3" xfId="43763" xr:uid="{D32B6ED0-51BA-449C-8ECA-A0735B427E53}"/>
    <cellStyle name="Migliaia 12 3 3 4 3" xfId="35989" xr:uid="{905F5EE4-7D72-4515-A0CE-3572BA2FCBE6}"/>
    <cellStyle name="Migliaia 12 3 3 4 4" xfId="41112" xr:uid="{AD98609D-EE5E-4514-8902-786195A1D8FC}"/>
    <cellStyle name="Migliaia 12 3 3 4 5" xfId="24261" xr:uid="{AD0A866D-388C-4D11-8B93-43FF2CC74228}"/>
    <cellStyle name="Migliaia 12 3 3 5" xfId="24262" xr:uid="{9405E816-7D31-46F8-86CF-10749A39859C}"/>
    <cellStyle name="Migliaia 12 3 3 5 2" xfId="33100" xr:uid="{ACA042AD-B094-4818-8B67-728840B0F15B}"/>
    <cellStyle name="Migliaia 12 3 3 5 2 2" xfId="38462" xr:uid="{E546D26B-EEEB-44F3-9C4A-5A2A8C84AE94}"/>
    <cellStyle name="Migliaia 12 3 3 5 2 3" xfId="43764" xr:uid="{EF63C6F4-1E45-462F-9C47-2857633BBEF0}"/>
    <cellStyle name="Migliaia 12 3 3 5 3" xfId="35990" xr:uid="{38C3040C-32FD-4A62-B1FD-89820E2D3A63}"/>
    <cellStyle name="Migliaia 12 3 3 5 4" xfId="41113" xr:uid="{A2167B8D-7B9E-4302-8C73-FEF5D01D71A9}"/>
    <cellStyle name="Migliaia 12 3 3 6" xfId="33097" xr:uid="{E19F74C1-B207-4BC4-B8CD-AB2118E50EFF}"/>
    <cellStyle name="Migliaia 12 3 3 6 2" xfId="38458" xr:uid="{21805F46-75CA-41B8-BA91-618F3FBD8F0E}"/>
    <cellStyle name="Migliaia 12 3 3 6 3" xfId="43760" xr:uid="{ADC5E415-7E5E-4276-8553-3BC475D2FEE3}"/>
    <cellStyle name="Migliaia 12 3 3 7" xfId="35986" xr:uid="{D5295890-961F-4BAA-A895-00E72E47F3BC}"/>
    <cellStyle name="Migliaia 12 3 3 8" xfId="41109" xr:uid="{3AF944F9-5F4E-447C-9300-61873196C06B}"/>
    <cellStyle name="Migliaia 12 3 3 9" xfId="16047" xr:uid="{737589E5-6834-4128-91AA-1F1FE6859184}"/>
    <cellStyle name="Migliaia 12 3 4" xfId="3153" xr:uid="{8178739E-405A-435A-A7C7-1BB8B63F3A4A}"/>
    <cellStyle name="Migliaia 12 3 4 2" xfId="4879" xr:uid="{AFDD348B-746B-4BD8-89A7-AFB7611D5890}"/>
    <cellStyle name="Migliaia 12 3 4 2 2" xfId="14426" xr:uid="{8AEDBDAA-50D9-4381-AB33-23E4BC0928C9}"/>
    <cellStyle name="Migliaia 12 3 4 2 3" xfId="18123" xr:uid="{B99A7B18-CA51-4589-A482-514E63287654}"/>
    <cellStyle name="Migliaia 12 3 4 2 4" xfId="19853" xr:uid="{2B935762-984F-4012-88C6-3A94B6081A02}"/>
    <cellStyle name="Migliaia 12 3 4 2 5" xfId="32300" xr:uid="{5B8A38F5-1400-4CE0-9C5B-F8DF71F3497A}"/>
    <cellStyle name="Migliaia 12 3 4 2 6" xfId="16050" xr:uid="{79740858-8735-4BA7-9BB1-666B54081424}"/>
    <cellStyle name="Migliaia 12 3 4 2 7" xfId="8849" xr:uid="{7641843A-DE05-4B25-8872-1FE0621877F1}"/>
    <cellStyle name="Migliaia 12 3 4 3" xfId="6100" xr:uid="{5AF1D86E-62BC-4A97-A496-263DD57BE6D8}"/>
    <cellStyle name="Migliaia 12 3 4 3 2" xfId="35144" xr:uid="{85C3E2A0-3E4B-49AD-8C57-499EC4FC3B0F}"/>
    <cellStyle name="Migliaia 12 3 4 3 2 2" xfId="40302" xr:uid="{B83CCE3D-ECAE-44A5-BA93-57812BD95610}"/>
    <cellStyle name="Migliaia 12 3 4 3 2 3" xfId="45604" xr:uid="{1F16817A-844B-46AA-89EC-4E368470113B}"/>
    <cellStyle name="Migliaia 12 3 4 3 3" xfId="37651" xr:uid="{F934ED5B-BBCD-4203-B86F-8E057FFE7FAA}"/>
    <cellStyle name="Migliaia 12 3 4 3 4" xfId="42953" xr:uid="{E2016880-55A0-410A-8BC7-079837FC3065}"/>
    <cellStyle name="Migliaia 12 3 4 3 5" xfId="13674" xr:uid="{4038EBBF-CA20-4C4B-926D-BA59DE298C9B}"/>
    <cellStyle name="Migliaia 12 3 4 4" xfId="19852" xr:uid="{53965E50-C3BD-4784-8F6D-550B02EE3A48}"/>
    <cellStyle name="Migliaia 12 3 4 4 2" xfId="38463" xr:uid="{C2BDA08A-DD98-4CF6-AF66-9E53EA43A85F}"/>
    <cellStyle name="Migliaia 12 3 4 4 3" xfId="43765" xr:uid="{BB65B032-51EE-469F-91C8-B0847F814F1A}"/>
    <cellStyle name="Migliaia 12 3 4 4 4" xfId="33101" xr:uid="{C9A7C269-5F98-44A1-BE39-2B888A9B6360}"/>
    <cellStyle name="Migliaia 12 3 4 5" xfId="35991" xr:uid="{B8415B6B-F224-4473-9B28-254C8FEE0784}"/>
    <cellStyle name="Migliaia 12 3 4 6" xfId="41114" xr:uid="{EE6CD038-58AD-424A-B091-EAA8339650F0}"/>
    <cellStyle name="Migliaia 12 3 4 7" xfId="16049" xr:uid="{66D31040-5982-41D9-A097-DCF246BD5DB3}"/>
    <cellStyle name="Migliaia 12 3 4 8" xfId="7659" xr:uid="{5DDBA917-C3FA-4CB9-90E9-DE5D70A9E948}"/>
    <cellStyle name="Migliaia 12 3 5" xfId="3154" xr:uid="{492F36A3-B5D0-4AEB-842D-2464647AD64C}"/>
    <cellStyle name="Migliaia 12 3 5 2" xfId="4880" xr:uid="{66DA381E-E6CF-4D4C-AA56-BA4987492713}"/>
    <cellStyle name="Migliaia 12 3 5 2 2" xfId="35145" xr:uid="{AC86EA49-695B-4C67-B81C-788BC8377685}"/>
    <cellStyle name="Migliaia 12 3 5 2 2 2" xfId="40303" xr:uid="{84CD675B-1381-4FC3-A4F8-FA04A79370AC}"/>
    <cellStyle name="Migliaia 12 3 5 2 2 3" xfId="45605" xr:uid="{B2DFB04E-C2D3-4565-AB45-A1B937C2C02B}"/>
    <cellStyle name="Migliaia 12 3 5 2 3" xfId="37652" xr:uid="{B5FFD926-7FFE-4DEA-B8DE-222625F7C548}"/>
    <cellStyle name="Migliaia 12 3 5 2 4" xfId="42954" xr:uid="{474CF11E-1C9B-4587-9462-3C158CC7FC2C}"/>
    <cellStyle name="Migliaia 12 3 5 2 5" xfId="14189" xr:uid="{67F64A2C-E52E-46E1-9FA3-3E1C6BE1451A}"/>
    <cellStyle name="Migliaia 12 3 5 3" xfId="6101" xr:uid="{970692A7-995C-477A-AB08-2FAB0920E134}"/>
    <cellStyle name="Migliaia 12 3 5 3 2" xfId="38464" xr:uid="{71759DC9-2952-4F59-B1A1-CDE341373FED}"/>
    <cellStyle name="Migliaia 12 3 5 3 3" xfId="43766" xr:uid="{80B729B2-89B4-4372-8A14-7694C5CEA6D0}"/>
    <cellStyle name="Migliaia 12 3 5 3 4" xfId="33102" xr:uid="{A30BAE08-F452-4876-8087-E4F664BFD433}"/>
    <cellStyle name="Migliaia 12 3 5 3 5" xfId="19854" xr:uid="{3A49DE88-9602-4A2A-9E73-EB05C89D0877}"/>
    <cellStyle name="Migliaia 12 3 5 4" xfId="35992" xr:uid="{84235D84-FCCD-4810-9FE0-B258F64FB0C2}"/>
    <cellStyle name="Migliaia 12 3 5 5" xfId="41115" xr:uid="{8BC3D49F-080A-460A-A879-A94EFC733C9E}"/>
    <cellStyle name="Migliaia 12 3 5 6" xfId="16051" xr:uid="{B721255E-8831-4130-ADFD-40CC0F499D97}"/>
    <cellStyle name="Migliaia 12 3 5 7" xfId="8251" xr:uid="{D94F7CBE-F17D-4EC1-8AF8-D3DBED0FB401}"/>
    <cellStyle name="Migliaia 12 3 6" xfId="4875" xr:uid="{C448DC17-F901-42C0-B428-A6B0E69CD659}"/>
    <cellStyle name="Migliaia 12 3 6 2" xfId="13892" xr:uid="{51F0ABF4-2696-4E7C-8FDA-7D07DEC9BF79}"/>
    <cellStyle name="Migliaia 12 3 6 2 2" xfId="38465" xr:uid="{652B75A3-5FD6-4FCD-A9F9-13D3667139C2}"/>
    <cellStyle name="Migliaia 12 3 6 2 3" xfId="43767" xr:uid="{75B492BF-B72A-40F8-B833-20A3A301F1B5}"/>
    <cellStyle name="Migliaia 12 3 6 3" xfId="18726" xr:uid="{4C130FC1-DF28-42CB-AF2E-A1059B5D61F9}"/>
    <cellStyle name="Migliaia 12 3 6 4" xfId="19855" xr:uid="{9EEF38E7-611A-4766-8E86-59A61F30B69E}"/>
    <cellStyle name="Migliaia 12 3 6 4 2" xfId="41116" xr:uid="{E9AFBBC5-1F79-46A2-BD76-D1CCCBAD2EBF}"/>
    <cellStyle name="Migliaia 12 3 6 5" xfId="16052" xr:uid="{0B86DB14-C7C1-460D-BC29-494DF084CEB1}"/>
    <cellStyle name="Migliaia 12 3 6 6" xfId="7833" xr:uid="{95101843-DFCF-4E9B-9FC7-87F768A12011}"/>
    <cellStyle name="Migliaia 12 3 7" xfId="6096" xr:uid="{591653F3-782E-43B7-B29C-5FB6E4E94E44}"/>
    <cellStyle name="Migliaia 12 3 7 2" xfId="33103" xr:uid="{8DA47C13-9DE7-46C1-9FAD-4AEE827C0285}"/>
    <cellStyle name="Migliaia 12 3 7 2 2" xfId="38466" xr:uid="{479A9DC7-4FE3-489A-9B57-AD7039244C41}"/>
    <cellStyle name="Migliaia 12 3 7 2 3" xfId="43768" xr:uid="{B663BEA7-9E3C-44F9-A0E1-DD52D91EC2AB}"/>
    <cellStyle name="Migliaia 12 3 7 3" xfId="35994" xr:uid="{FB308374-5EAE-4744-9E4B-7E56930F4F60}"/>
    <cellStyle name="Migliaia 12 3 7 4" xfId="41117" xr:uid="{89F96890-EACC-42BC-B095-9E0DB7A5DBA5}"/>
    <cellStyle name="Migliaia 12 3 7 5" xfId="11536" xr:uid="{5E436DE7-1627-40A5-B379-72A31D0A766B}"/>
    <cellStyle name="Migliaia 12 3 8" xfId="3149" xr:uid="{D033ECDC-07B2-4114-8759-D3578544B6F0}"/>
    <cellStyle name="Migliaia 12 3 8 2" xfId="33104" xr:uid="{1D7658F6-DF5A-4AAD-84D8-999D02B67E32}"/>
    <cellStyle name="Migliaia 12 3 8 2 2" xfId="38467" xr:uid="{533B5539-F15B-473D-B98E-8CA77FFEC85E}"/>
    <cellStyle name="Migliaia 12 3 8 2 3" xfId="43769" xr:uid="{5E58C54B-8844-4DFB-983C-AB230A7D4976}"/>
    <cellStyle name="Migliaia 12 3 8 3" xfId="35995" xr:uid="{8D2C9D1B-FA73-45A0-9EEF-8A02D6CD49B8}"/>
    <cellStyle name="Migliaia 12 3 8 4" xfId="41118" xr:uid="{E1798DB6-EDBB-4008-8432-A6F41E8DB994}"/>
    <cellStyle name="Migliaia 12 3 8 5" xfId="24266" xr:uid="{41099032-7CCD-4296-BF4A-3E327594E623}"/>
    <cellStyle name="Migliaia 12 3 8 6" xfId="17418" xr:uid="{5340246C-4BCA-4637-890A-F0AA232CA0EB}"/>
    <cellStyle name="Migliaia 12 3 9" xfId="19846" xr:uid="{63A36259-6855-42BC-AB2C-03BB619C177C}"/>
    <cellStyle name="Migliaia 12 4" xfId="1670" xr:uid="{00000000-0005-0000-0000-0000D9020000}"/>
    <cellStyle name="Migliaia 12 4 2" xfId="1671" xr:uid="{00000000-0005-0000-0000-0000DA020000}"/>
    <cellStyle name="Migliaia 12 4 2 2" xfId="4882" xr:uid="{64ADEC96-35AE-427F-AC03-E63B5C4A0257}"/>
    <cellStyle name="Migliaia 12 4 2 2 2" xfId="33105" xr:uid="{E3185428-5948-417D-A144-E51BC3D6C28D}"/>
    <cellStyle name="Migliaia 12 4 2 2 2 2" xfId="38468" xr:uid="{C4B6B87C-7B6E-4505-847B-62898F914631}"/>
    <cellStyle name="Migliaia 12 4 2 2 2 3" xfId="43770" xr:uid="{C7D6EB93-A869-4984-B271-DFECA0C98ACC}"/>
    <cellStyle name="Migliaia 12 4 2 2 3" xfId="35996" xr:uid="{2304D37D-1763-45ED-93E0-70C05A642AE6}"/>
    <cellStyle name="Migliaia 12 4 2 2 4" xfId="41119" xr:uid="{F2ADE3E7-185B-496A-ACF8-A82036C23878}"/>
    <cellStyle name="Migliaia 12 4 2 2 5" xfId="9114" xr:uid="{6965DF6D-9E0B-4304-8BF1-45E726CE1929}"/>
    <cellStyle name="Migliaia 12 4 2 3" xfId="3156" xr:uid="{2DFE1BE3-1A35-4771-90E3-BFD323A3B8AE}"/>
    <cellStyle name="Migliaia 12 4 2 3 2" xfId="33106" xr:uid="{F8084055-C1B7-4137-A34E-B13A30959B2A}"/>
    <cellStyle name="Migliaia 12 4 2 3 2 2" xfId="38469" xr:uid="{9FEEBBE1-B8D0-4E90-AC26-EF92E5235787}"/>
    <cellStyle name="Migliaia 12 4 2 3 2 3" xfId="43771" xr:uid="{2A7AB3B9-1FF0-49CC-8848-DD0FA0D7A4F8}"/>
    <cellStyle name="Migliaia 12 4 2 3 3" xfId="35997" xr:uid="{70915F0D-040C-4913-B388-34CC31A50735}"/>
    <cellStyle name="Migliaia 12 4 2 3 4" xfId="41120" xr:uid="{2409F0C3-D826-4BFA-AD44-22FD604088DC}"/>
    <cellStyle name="Migliaia 12 4 2 3 5" xfId="11897" xr:uid="{3F2C8E16-53D4-4CE3-AEAF-67BAA38E7FE2}"/>
    <cellStyle name="Migliaia 12 4 2 4" xfId="11250" xr:uid="{1FC66FA4-1B68-4B08-91A0-750213AB1518}"/>
    <cellStyle name="Migliaia 12 4 2 5" xfId="10748" xr:uid="{ABC22400-A317-4B6D-9215-FFA6F8F6482A}"/>
    <cellStyle name="Migliaia 12 4 2 5 2" xfId="21383" xr:uid="{43E29348-A924-46E4-80CF-8D5AEDE9D58D}"/>
    <cellStyle name="Migliaia 12 4 2 5 3" xfId="46204" xr:uid="{174E0A5A-9E00-4557-9ACA-6F62F49ADFC0}"/>
    <cellStyle name="Migliaia 12 4 2 5 4" xfId="50398" xr:uid="{76763F90-5EEC-4567-AFC2-81EE7B675D78}"/>
    <cellStyle name="Migliaia 12 4 2 5 5" xfId="53414" xr:uid="{D3B0504E-A96D-490D-85D7-FF519FCB153B}"/>
    <cellStyle name="Migliaia 12 4 2 6" xfId="19857" xr:uid="{92FE4C58-72D3-4143-92A1-9E335FB7B6A8}"/>
    <cellStyle name="Migliaia 12 4 2 7" xfId="24268" xr:uid="{ABFE2CC6-EA4C-4A9E-B105-75C42C97B700}"/>
    <cellStyle name="Migliaia 12 4 2 8" xfId="8501" xr:uid="{8AC895DB-EF11-4D75-9C62-2E84EC759CA8}"/>
    <cellStyle name="Migliaia 12 4 3" xfId="4881" xr:uid="{94686066-066E-4C73-8762-AFA38DA81BA6}"/>
    <cellStyle name="Migliaia 12 4 3 2" xfId="18169" xr:uid="{563499E1-D9CB-491B-AC5C-4073A9B005D1}"/>
    <cellStyle name="Migliaia 12 4 3 2 2" xfId="38470" xr:uid="{72956707-2D8B-44C3-9A6E-B8C2BF7AE82C}"/>
    <cellStyle name="Migliaia 12 4 3 2 3" xfId="43772" xr:uid="{49F9CD8E-4D9A-4E4D-B103-1A6E45DDD7F7}"/>
    <cellStyle name="Migliaia 12 4 3 3" xfId="35998" xr:uid="{87A19D24-F3BB-4DDD-9406-185FE481C561}"/>
    <cellStyle name="Migliaia 12 4 3 4" xfId="41121" xr:uid="{E236DE1A-C6AD-4B7A-B9E8-81439C4E6802}"/>
    <cellStyle name="Migliaia 12 4 3 5" xfId="17416" xr:uid="{1FF24943-555E-41C3-BE61-9BA235EFA38D}"/>
    <cellStyle name="Migliaia 12 4 3 6" xfId="9115" xr:uid="{4F452EDD-A485-4099-ABB5-53CDF76CDDB6}"/>
    <cellStyle name="Migliaia 12 4 4" xfId="6102" xr:uid="{F5F5D41C-7F64-43A1-A652-3A5B4A45F42A}"/>
    <cellStyle name="Migliaia 12 4 4 2" xfId="33108" xr:uid="{27283054-22A0-431B-8E3B-6E4CAB1F4410}"/>
    <cellStyle name="Migliaia 12 4 4 2 2" xfId="38471" xr:uid="{1B60651E-8759-43F2-A647-EA1EEE8B74DE}"/>
    <cellStyle name="Migliaia 12 4 4 2 3" xfId="43773" xr:uid="{4F23A831-D3FE-4BBD-BB85-0F3A71C95485}"/>
    <cellStyle name="Migliaia 12 4 4 3" xfId="35999" xr:uid="{4826B3B2-DCB5-4C8D-AFC0-EA5F6AD8F662}"/>
    <cellStyle name="Migliaia 12 4 4 4" xfId="41122" xr:uid="{7D2FB3EE-6274-40E8-8790-C510C3858A69}"/>
    <cellStyle name="Migliaia 12 4 4 5" xfId="11898" xr:uid="{1F26541D-0E4F-47CB-A3F6-1FAC3C6ABFB4}"/>
    <cellStyle name="Migliaia 12 4 5" xfId="3155" xr:uid="{F4C2503B-6570-41EF-B2E5-5822E770F9E7}"/>
    <cellStyle name="Migliaia 12 4 5 2" xfId="33109" xr:uid="{073AC3D0-9D14-4D30-9DE5-19C81A6710A7}"/>
    <cellStyle name="Migliaia 12 4 5 2 2" xfId="38472" xr:uid="{81967BB2-AE48-4DAF-9065-23589834B289}"/>
    <cellStyle name="Migliaia 12 4 5 2 3" xfId="43774" xr:uid="{D717F0EB-363F-46CC-A35D-5B1CB1B019D7}"/>
    <cellStyle name="Migliaia 12 4 5 3" xfId="36000" xr:uid="{5B94E344-7F45-48C3-8D7E-458D687DFDA5}"/>
    <cellStyle name="Migliaia 12 4 5 4" xfId="41123" xr:uid="{1623BBA7-6B86-4E4F-B9DF-E6BF7527CDD9}"/>
    <cellStyle name="Migliaia 12 4 5 5" xfId="11249" xr:uid="{DB961A35-D30A-4706-96AD-C5729942A9FC}"/>
    <cellStyle name="Migliaia 12 4 6" xfId="10747" xr:uid="{0E44F4B0-C0DC-4980-A6C7-91C7EEFC001A}"/>
    <cellStyle name="Migliaia 12 4 6 2" xfId="21382" xr:uid="{A5161040-DC56-42C2-929F-439243C2FA9F}"/>
    <cellStyle name="Migliaia 12 4 6 2 2" xfId="38473" xr:uid="{47250455-BFA8-4C49-A995-7AB4B577165E}"/>
    <cellStyle name="Migliaia 12 4 6 2 3" xfId="43775" xr:uid="{67509E28-6E64-43EB-BB47-946D43CD218B}"/>
    <cellStyle name="Migliaia 12 4 6 2 4" xfId="33110" xr:uid="{8C395921-333B-42A6-B6F7-D1C5F3CB490F}"/>
    <cellStyle name="Migliaia 12 4 6 3" xfId="36001" xr:uid="{CBAAA4DC-CAD3-48FE-BA84-BAECBD6C1B06}"/>
    <cellStyle name="Migliaia 12 4 6 4" xfId="41124" xr:uid="{33E8A58D-FB40-40A9-88AD-978A37B7C474}"/>
    <cellStyle name="Migliaia 12 4 6 5" xfId="24272" xr:uid="{F9BA27D1-C906-4EA5-B14A-3CC76C4FE324}"/>
    <cellStyle name="Migliaia 12 4 6 6" xfId="47657" xr:uid="{6FBA7373-FE78-494B-A606-2F91B03AF46F}"/>
    <cellStyle name="Migliaia 12 4 6 7" xfId="50397" xr:uid="{BD2E9B3F-F241-4AE2-8471-734C81AE0040}"/>
    <cellStyle name="Migliaia 12 4 6 8" xfId="53413" xr:uid="{4AC236A4-589D-4D37-9925-5A7E54A04C7F}"/>
    <cellStyle name="Migliaia 12 4 7" xfId="19856" xr:uid="{E382010E-F11A-44C6-9428-B801C6A1A2AE}"/>
    <cellStyle name="Migliaia 12 4 7 2" xfId="33111" xr:uid="{45E76D08-77B5-438D-873D-774A514356D4}"/>
    <cellStyle name="Migliaia 12 4 7 2 2" xfId="38474" xr:uid="{8A58B1B7-1AA9-48E2-B49F-DF06BCF7E696}"/>
    <cellStyle name="Migliaia 12 4 7 2 3" xfId="43776" xr:uid="{3980248D-9BF2-4E58-8D98-6A0EC2B58A8B}"/>
    <cellStyle name="Migliaia 12 4 7 3" xfId="36002" xr:uid="{6503FF19-931B-4A95-923F-3936DBAF0A86}"/>
    <cellStyle name="Migliaia 12 4 7 4" xfId="41125" xr:uid="{3E7B9802-8B41-4666-B424-21AB6B217243}"/>
    <cellStyle name="Migliaia 12 4 7 5" xfId="24273" xr:uid="{57599DAD-BE95-4CDB-9AAE-89486D1AD948}"/>
    <cellStyle name="Migliaia 12 4 8" xfId="24267" xr:uid="{E50C9890-56BF-44CF-BD6C-58314AD36454}"/>
    <cellStyle name="Migliaia 12 4 9" xfId="7311" xr:uid="{E67A72F3-FDBC-482C-AFE8-981201F3B316}"/>
    <cellStyle name="Migliaia 12 5" xfId="1672" xr:uid="{00000000-0005-0000-0000-0000DB020000}"/>
    <cellStyle name="Migliaia 12 5 2" xfId="4883" xr:uid="{38762639-744D-4E2E-A5D1-1F058BE1A8F3}"/>
    <cellStyle name="Migliaia 12 5 2 2" xfId="18368" xr:uid="{71E55D41-C6BE-425F-AE2C-A7C30123C942}"/>
    <cellStyle name="Migliaia 12 5 2 2 2" xfId="38475" xr:uid="{217B2B4D-B95A-4D0B-B583-74F441071C6D}"/>
    <cellStyle name="Migliaia 12 5 2 2 3" xfId="43777" xr:uid="{3F0331B1-9C6C-4836-BF3A-8A74143D5F6D}"/>
    <cellStyle name="Migliaia 12 5 2 3" xfId="19859" xr:uid="{73597348-2646-4C73-9E09-02E7F9155314}"/>
    <cellStyle name="Migliaia 12 5 2 3 2" xfId="36003" xr:uid="{89B665C8-429E-4B6C-BE68-9B0B299EA61A}"/>
    <cellStyle name="Migliaia 12 5 2 4" xfId="41126" xr:uid="{B7EAFB53-6DF3-42E8-A332-78A8F70526F3}"/>
    <cellStyle name="Migliaia 12 5 2 5" xfId="16053" xr:uid="{A2823AEA-97F5-4D5B-9549-0E1E7D6B5581}"/>
    <cellStyle name="Migliaia 12 5 2 6" xfId="8502" xr:uid="{7F891993-5C45-4390-8E29-AF1885D07973}"/>
    <cellStyle name="Migliaia 12 5 3" xfId="6103" xr:uid="{08AD2E37-95D7-47B9-925A-1BFC38CC5B52}"/>
    <cellStyle name="Migliaia 12 5 3 2" xfId="33112" xr:uid="{C05DB0A5-E5AD-4FC7-BCC6-233E580213A9}"/>
    <cellStyle name="Migliaia 12 5 3 2 2" xfId="38476" xr:uid="{38E97CA1-3195-4A37-BB19-68D4866B219F}"/>
    <cellStyle name="Migliaia 12 5 3 2 3" xfId="43778" xr:uid="{FA94798E-198F-462A-8E94-8190B667C68A}"/>
    <cellStyle name="Migliaia 12 5 3 3" xfId="36004" xr:uid="{04567FDB-5E60-4439-958B-400754FCAFD1}"/>
    <cellStyle name="Migliaia 12 5 3 4" xfId="41127" xr:uid="{2B295F00-911D-4ED5-BCFB-3B618F741532}"/>
    <cellStyle name="Migliaia 12 5 3 5" xfId="11251" xr:uid="{B1640766-966F-4D55-95FB-C27FCA81203B}"/>
    <cellStyle name="Migliaia 12 5 4" xfId="3157" xr:uid="{18458A4A-BDBC-4D50-9F14-16CBB8C6CEAA}"/>
    <cellStyle name="Migliaia 12 5 4 2" xfId="21384" xr:uid="{D03914BA-BBD2-48C7-AE62-C5F0FA8C243F}"/>
    <cellStyle name="Migliaia 12 5 4 2 2" xfId="38477" xr:uid="{8393E3F9-F4B2-4845-AA3F-C44FD09644A8}"/>
    <cellStyle name="Migliaia 12 5 4 2 3" xfId="43779" xr:uid="{8BF1FEDE-C760-48D9-AD9A-7E536AC3020C}"/>
    <cellStyle name="Migliaia 12 5 4 2 4" xfId="33113" xr:uid="{5203F827-A6AC-4738-9553-206A08764ECB}"/>
    <cellStyle name="Migliaia 12 5 4 3" xfId="36005" xr:uid="{86CEEA9A-4AF7-466D-AF6B-1A88C29191AE}"/>
    <cellStyle name="Migliaia 12 5 4 4" xfId="41128" xr:uid="{860A5A78-AC34-46B6-AA54-0579ED4E94E4}"/>
    <cellStyle name="Migliaia 12 5 4 5" xfId="24276" xr:uid="{AADA9F79-F02D-4FBF-8CCC-B403DBC5EA7E}"/>
    <cellStyle name="Migliaia 12 5 4 6" xfId="48468" xr:uid="{0FC1A687-533A-4705-8975-F49C2B39A204}"/>
    <cellStyle name="Migliaia 12 5 4 7" xfId="50399" xr:uid="{C87C876E-F9D5-43A4-A968-7F06C4CABAE3}"/>
    <cellStyle name="Migliaia 12 5 4 8" xfId="53415" xr:uid="{25317C33-BE77-4649-82A8-EF36577362EF}"/>
    <cellStyle name="Migliaia 12 5 4 9" xfId="10749" xr:uid="{DBE81409-9D14-47DD-9A48-83E135EADCFC}"/>
    <cellStyle name="Migliaia 12 5 5" xfId="19858" xr:uid="{ED261F33-4123-4A41-B20E-E6DD02D2CB26}"/>
    <cellStyle name="Migliaia 12 5 5 2" xfId="33114" xr:uid="{87330F1E-1CE4-49C8-9B3E-12C474804E5E}"/>
    <cellStyle name="Migliaia 12 5 5 2 2" xfId="38478" xr:uid="{EB1F1A63-D1BF-4090-8845-963EE93149AB}"/>
    <cellStyle name="Migliaia 12 5 5 2 3" xfId="43780" xr:uid="{E49EAC13-485A-456D-8234-55F34E818194}"/>
    <cellStyle name="Migliaia 12 5 5 3" xfId="36006" xr:uid="{272DE43A-E75B-46B8-A721-EF98E202F3CD}"/>
    <cellStyle name="Migliaia 12 5 5 4" xfId="41129" xr:uid="{51D3AD3B-F6BB-4392-B116-16CE330E8C0E}"/>
    <cellStyle name="Migliaia 12 5 5 5" xfId="24277" xr:uid="{DE401DB1-FC28-45E7-8C88-4AB10FABC349}"/>
    <cellStyle name="Migliaia 12 5 6" xfId="24278" xr:uid="{FB96238B-3512-4240-9F5A-8051A46D5AFA}"/>
    <cellStyle name="Migliaia 12 5 6 2" xfId="33115" xr:uid="{59AA7262-BA13-4F36-A6D9-93828687D1F4}"/>
    <cellStyle name="Migliaia 12 5 6 2 2" xfId="38479" xr:uid="{803569C6-9635-4D88-A262-9279BF9E4CA8}"/>
    <cellStyle name="Migliaia 12 5 6 2 3" xfId="43781" xr:uid="{208ACF1B-49D7-458E-AE83-3625EE7B261B}"/>
    <cellStyle name="Migliaia 12 5 6 3" xfId="36007" xr:uid="{3E6A5515-493B-46E2-ACF7-AB38FD821524}"/>
    <cellStyle name="Migliaia 12 5 6 4" xfId="41130" xr:uid="{EECDEAA8-60FC-4CCA-AF65-BE1BC15C3CC9}"/>
    <cellStyle name="Migliaia 12 5 7" xfId="24274" xr:uid="{0596E5D3-8816-469F-A6A7-96C0370D9E4A}"/>
    <cellStyle name="Migliaia 12 5 8" xfId="7312" xr:uid="{A210C92F-8AC7-4AE7-AF31-2CD433175374}"/>
    <cellStyle name="Migliaia 12 6" xfId="3158" xr:uid="{9503B7AD-BA91-46F1-B22D-A652C757E984}"/>
    <cellStyle name="Migliaia 12 6 2" xfId="4884" xr:uid="{877E4229-2819-4A41-944C-85AF6E445815}"/>
    <cellStyle name="Migliaia 12 6 2 2" xfId="9887" xr:uid="{81EC56C0-6154-43A0-9982-5C5FB555308E}"/>
    <cellStyle name="Migliaia 12 6 2 3" xfId="18677" xr:uid="{C1B72BF1-28F3-475C-B823-9AB6517DC6C2}"/>
    <cellStyle name="Migliaia 12 6 2 4" xfId="19861" xr:uid="{23CE94BF-2D50-4A3E-A0E0-562BE6C3E409}"/>
    <cellStyle name="Migliaia 12 6 2 5" xfId="32302" xr:uid="{FAFD3320-AC4B-4931-B785-88C9A37BE917}"/>
    <cellStyle name="Migliaia 12 6 2 6" xfId="16055" xr:uid="{219AB93B-D1C5-4992-9075-C746CD3D3A17}"/>
    <cellStyle name="Migliaia 12 6 2 7" xfId="8497" xr:uid="{6BEBFF2F-C4B5-4ADC-A2D1-1FEEEDBCE211}"/>
    <cellStyle name="Migliaia 12 6 3" xfId="6104" xr:uid="{B5987781-2502-4D75-855B-0A3CF0ACF3F6}"/>
    <cellStyle name="Migliaia 12 6 3 2" xfId="35146" xr:uid="{40962928-69EB-4797-8403-6C1F60A7F313}"/>
    <cellStyle name="Migliaia 12 6 3 2 2" xfId="40304" xr:uid="{C59C36A0-F225-4F65-BD95-EC16D94C0F59}"/>
    <cellStyle name="Migliaia 12 6 3 2 3" xfId="45606" xr:uid="{49F8FAC3-5BBE-4203-B022-D93627441748}"/>
    <cellStyle name="Migliaia 12 6 3 3" xfId="37653" xr:uid="{E626ECBE-5AAB-4F77-A61B-585D2A790628}"/>
    <cellStyle name="Migliaia 12 6 3 4" xfId="42955" xr:uid="{F430EFE5-49C3-4FA9-B118-E6E57C594BBE}"/>
    <cellStyle name="Migliaia 12 6 3 5" xfId="9650" xr:uid="{DF96AC1A-7C3D-4C1B-83F2-FA39BBB80365}"/>
    <cellStyle name="Migliaia 12 6 4" xfId="19860" xr:uid="{3913EDBF-1E4F-460F-8195-101839DA5F44}"/>
    <cellStyle name="Migliaia 12 6 4 2" xfId="38480" xr:uid="{9D4D7D40-866F-4432-8D18-C1103679F37E}"/>
    <cellStyle name="Migliaia 12 6 4 3" xfId="43782" xr:uid="{2ABA948F-C61C-4E95-AF1E-04DDF1BC630A}"/>
    <cellStyle name="Migliaia 12 6 4 4" xfId="33116" xr:uid="{09F992A9-9075-4A87-A8B5-37E8F8FB5971}"/>
    <cellStyle name="Migliaia 12 6 5" xfId="36008" xr:uid="{18628A60-A1D0-4C05-B36A-522A57217C5F}"/>
    <cellStyle name="Migliaia 12 6 6" xfId="41131" xr:uid="{5332A66B-CBD0-4879-9928-F5438EF99AC3}"/>
    <cellStyle name="Migliaia 12 6 7" xfId="16054" xr:uid="{A8E3BB26-EEC1-4F0A-8E64-FB587FE67FE0}"/>
    <cellStyle name="Migliaia 12 6 8" xfId="7307" xr:uid="{F41E35DC-07A1-46F2-8E6E-87638C2DDE67}"/>
    <cellStyle name="Migliaia 12 7" xfId="3159" xr:uid="{ACF34F87-6BB0-47D8-B927-0C79E96B6B07}"/>
    <cellStyle name="Migliaia 12 7 2" xfId="4885" xr:uid="{8E2875EA-BF38-4B52-B802-C75B67C1756E}"/>
    <cellStyle name="Migliaia 12 7 2 2" xfId="35147" xr:uid="{FE4CDB15-38F0-4D98-B1CE-1FA939DBF18B}"/>
    <cellStyle name="Migliaia 12 7 2 2 2" xfId="40305" xr:uid="{75744782-80EF-4131-BA2A-BF51C59CBD04}"/>
    <cellStyle name="Migliaia 12 7 2 2 3" xfId="45607" xr:uid="{76514405-332F-4B7F-A16C-08A9E3EE800C}"/>
    <cellStyle name="Migliaia 12 7 2 3" xfId="37654" xr:uid="{08B492BB-7FD7-44AF-ACBB-501A43843748}"/>
    <cellStyle name="Migliaia 12 7 2 4" xfId="42956" xr:uid="{3409CE2E-4BEB-4344-B2DC-BD148F110FFB}"/>
    <cellStyle name="Migliaia 12 7 2 5" xfId="14187" xr:uid="{75BC3BC1-02CE-4370-BA94-5E73642C7A45}"/>
    <cellStyle name="Migliaia 12 7 3" xfId="6105" xr:uid="{4CCDF21F-2D5C-4788-9FF7-E5DC671434CA}"/>
    <cellStyle name="Migliaia 12 7 3 2" xfId="38481" xr:uid="{600FCA9D-3462-4021-99EA-F71B9ED6BEC0}"/>
    <cellStyle name="Migliaia 12 7 3 3" xfId="43783" xr:uid="{7B2DBBAC-9AF5-4D8A-A08E-E87A439DDA1F}"/>
    <cellStyle name="Migliaia 12 7 3 4" xfId="33117" xr:uid="{BB463672-C3FA-4CB0-B98C-A5248D86E82F}"/>
    <cellStyle name="Migliaia 12 7 3 5" xfId="19862" xr:uid="{DD11B9A0-5BDF-42FF-A0C7-B44E20B75E8A}"/>
    <cellStyle name="Migliaia 12 7 4" xfId="36009" xr:uid="{98B6DD39-1D5B-426E-B7D0-5FEEA3C8579C}"/>
    <cellStyle name="Migliaia 12 7 5" xfId="41132" xr:uid="{747C7715-5D04-450C-93D2-9EA43750ACBD}"/>
    <cellStyle name="Migliaia 12 7 6" xfId="16056" xr:uid="{5A5EDEC6-5D47-40E1-AF0F-AF0327D0FE7D}"/>
    <cellStyle name="Migliaia 12 7 7" xfId="8249" xr:uid="{6773306B-4AC9-41AD-BEEC-0EAED601DF4B}"/>
    <cellStyle name="Migliaia 12 8" xfId="3160" xr:uid="{1DB4988F-B914-42C9-A67D-9B3082907BFA}"/>
    <cellStyle name="Migliaia 12 8 2" xfId="4886" xr:uid="{199382FC-D74F-49AF-9B0A-818EEDE5DE3A}"/>
    <cellStyle name="Migliaia 12 8 2 2" xfId="35148" xr:uid="{64E71298-5F0E-4DD1-B6EB-3DC6C39B4C3F}"/>
    <cellStyle name="Migliaia 12 8 2 2 2" xfId="40306" xr:uid="{EA23738D-B13A-4319-8457-DF5D468CF5AC}"/>
    <cellStyle name="Migliaia 12 8 2 2 3" xfId="45608" xr:uid="{88722D66-43EC-4DB3-8D0B-B8FFD07056B3}"/>
    <cellStyle name="Migliaia 12 8 2 3" xfId="37655" xr:uid="{849D623E-6CD8-4E4B-9975-798D1A10A8B4}"/>
    <cellStyle name="Migliaia 12 8 2 4" xfId="42957" xr:uid="{625042D2-C03C-40FE-A9DD-60C548C43A4E}"/>
    <cellStyle name="Migliaia 12 8 2 5" xfId="13890" xr:uid="{A3840AF2-F8D3-4203-91E0-2121ACF29014}"/>
    <cellStyle name="Migliaia 12 8 3" xfId="6106" xr:uid="{BB4E5FF9-63DB-47C2-B924-94818810A7BE}"/>
    <cellStyle name="Migliaia 12 8 3 2" xfId="38482" xr:uid="{EA9C82BA-23FA-4393-ABC5-4DDB0292A3FF}"/>
    <cellStyle name="Migliaia 12 8 3 3" xfId="43784" xr:uid="{4D589F99-7E5E-45E3-A890-84ADCF36992A}"/>
    <cellStyle name="Migliaia 12 8 3 4" xfId="33118" xr:uid="{68E63804-E5BC-4A56-8C65-145C081A4465}"/>
    <cellStyle name="Migliaia 12 8 3 5" xfId="19863" xr:uid="{17E8517C-18E2-4AF3-BD19-ACE17988E01D}"/>
    <cellStyle name="Migliaia 12 8 4" xfId="36010" xr:uid="{7EA59135-826F-4499-887E-E1387CF981D8}"/>
    <cellStyle name="Migliaia 12 8 5" xfId="41133" xr:uid="{04A9B474-960A-42FC-81A3-C59E96F648D3}"/>
    <cellStyle name="Migliaia 12 8 6" xfId="16057" xr:uid="{BDDF4167-F03B-4069-A4AD-82D256622D39}"/>
    <cellStyle name="Migliaia 12 8 7" xfId="7831" xr:uid="{08C7BABC-E205-439C-A2EA-1748B7FC8FDB}"/>
    <cellStyle name="Migliaia 12 9" xfId="4871" xr:uid="{F28BA2FE-2EE4-4FE3-A14B-DC4F9E9E900A}"/>
    <cellStyle name="Migliaia 12 9 2" xfId="33119" xr:uid="{57B9718D-D61C-4D7F-A588-DD93FEB11BB9}"/>
    <cellStyle name="Migliaia 12 9 2 2" xfId="38483" xr:uid="{08F86D5A-5665-41F5-BF25-63510F6E54C9}"/>
    <cellStyle name="Migliaia 12 9 2 3" xfId="43785" xr:uid="{655F32DD-2489-4DF6-A0F8-4B9ABF6373B9}"/>
    <cellStyle name="Migliaia 12 9 3" xfId="36011" xr:uid="{213D324D-5962-4823-8FAE-15AE6F88DB61}"/>
    <cellStyle name="Migliaia 12 9 4" xfId="41134" xr:uid="{74F9B252-C58A-448B-A5A4-0326B9D9478A}"/>
    <cellStyle name="Migliaia 12 9 5" xfId="17141" xr:uid="{6B116451-9D68-4769-977E-34D58B33D316}"/>
    <cellStyle name="Migliaia 13" xfId="313" xr:uid="{00000000-0005-0000-0000-0000DC020000}"/>
    <cellStyle name="Migliaia 13 10" xfId="6107" xr:uid="{5D6D4B16-DA40-47C3-8243-13938052D7C9}"/>
    <cellStyle name="Migliaia 13 10 2" xfId="38484" xr:uid="{F67A63B2-67BD-4B49-8CAE-CE3580D9F233}"/>
    <cellStyle name="Migliaia 13 10 3" xfId="43786" xr:uid="{A6906076-D7B4-4362-9A47-EAE0C89CF1C4}"/>
    <cellStyle name="Migliaia 13 10 4" xfId="33120" xr:uid="{90ED5AD3-EEAE-4B52-BDF8-38C7D5D6B083}"/>
    <cellStyle name="Migliaia 13 10 5" xfId="19864" xr:uid="{59E0AF99-0056-4C21-BD30-A4518964AD2F}"/>
    <cellStyle name="Migliaia 13 11" xfId="3161" xr:uid="{09E6412F-0F58-4666-B9AC-2E9D7F747AFC}"/>
    <cellStyle name="Migliaia 13 11 2" xfId="36012" xr:uid="{80347B30-FBC9-4C1C-9874-1FCF616EE567}"/>
    <cellStyle name="Migliaia 13 12" xfId="41135" xr:uid="{0275051D-5344-45F1-95F2-D56B4326A273}"/>
    <cellStyle name="Migliaia 13 13" xfId="7053" xr:uid="{CF46D87E-8AE9-4310-B4D1-C58A7F7B90E7}"/>
    <cellStyle name="Migliaia 13 2" xfId="314" xr:uid="{00000000-0005-0000-0000-0000DD020000}"/>
    <cellStyle name="Migliaia 13 2 2" xfId="1673" xr:uid="{00000000-0005-0000-0000-0000DE020000}"/>
    <cellStyle name="Migliaia 13 2 2 2" xfId="4889" xr:uid="{FC4E82FF-9D03-45BA-A766-864BD39DB474}"/>
    <cellStyle name="Migliaia 13 2 2 2 2" xfId="14366" xr:uid="{8085C5DC-A28E-4EEF-9E2E-D93914FF5F6C}"/>
    <cellStyle name="Migliaia 13 2 2 2 2 2" xfId="38485" xr:uid="{F0295566-2DCE-463F-BFE1-4187CFB6288F}"/>
    <cellStyle name="Migliaia 13 2 2 2 2 3" xfId="43787" xr:uid="{8AC8E510-A905-41A0-8AE9-89B37CA638F0}"/>
    <cellStyle name="Migliaia 13 2 2 2 3" xfId="18369" xr:uid="{9B3DF302-C990-4D04-8105-965D853267CA}"/>
    <cellStyle name="Migliaia 13 2 2 2 4" xfId="19867" xr:uid="{0874976D-2306-43ED-85CA-23E41097DE53}"/>
    <cellStyle name="Migliaia 13 2 2 2 4 2" xfId="41136" xr:uid="{77D432EB-F043-41DA-A707-8A773E676929}"/>
    <cellStyle name="Migliaia 13 2 2 2 5" xfId="16058" xr:uid="{28359CFC-53A3-49F0-BEA4-EEAB048CBCB4}"/>
    <cellStyle name="Migliaia 13 2 2 2 6" xfId="8504" xr:uid="{11D30C22-4B12-4FFF-BD70-E9028D2E32FA}"/>
    <cellStyle name="Migliaia 13 2 2 3" xfId="6109" xr:uid="{DB9DC704-4F9C-42AB-9FDB-7985C106CC11}"/>
    <cellStyle name="Migliaia 13 2 2 3 2" xfId="35149" xr:uid="{0BC149C7-702D-493F-830B-3BD678D41C81}"/>
    <cellStyle name="Migliaia 13 2 2 3 2 2" xfId="40307" xr:uid="{C241327A-DA4E-4D3D-AB3E-C97935C31123}"/>
    <cellStyle name="Migliaia 13 2 2 3 2 3" xfId="45609" xr:uid="{11E406DB-F8ED-45FB-843B-6D531B32DFF0}"/>
    <cellStyle name="Migliaia 13 2 2 3 3" xfId="37656" xr:uid="{8839FCCA-F64C-45A3-A310-527926A8D08F}"/>
    <cellStyle name="Migliaia 13 2 2 3 4" xfId="42958" xr:uid="{A9DB306F-3257-4207-A897-0AC2A893CCD2}"/>
    <cellStyle name="Migliaia 13 2 2 3 5" xfId="11595" xr:uid="{8C2747FD-822B-4B5C-B6BE-E6E8EE5DA491}"/>
    <cellStyle name="Migliaia 13 2 2 4" xfId="3163" xr:uid="{63D960BE-A424-478C-84BF-5B369371F83F}"/>
    <cellStyle name="Migliaia 13 2 2 4 2" xfId="21385" xr:uid="{B18B73E1-5B8B-4AE2-B81A-C1FAB9949309}"/>
    <cellStyle name="Migliaia 13 2 2 4 3" xfId="47709" xr:uid="{F7E92C70-761E-479A-8118-B8F93F4A2FA2}"/>
    <cellStyle name="Migliaia 13 2 2 4 4" xfId="50400" xr:uid="{9BCD673C-5CE5-45BE-A6FB-90B674646E81}"/>
    <cellStyle name="Migliaia 13 2 2 4 5" xfId="53416" xr:uid="{A5BB65DA-3651-4428-89E5-6F9435AFD18D}"/>
    <cellStyle name="Migliaia 13 2 2 4 6" xfId="10750" xr:uid="{C250C1A3-6DF8-40EB-B045-6ECB1B9CBEEE}"/>
    <cellStyle name="Migliaia 13 2 2 5" xfId="19866" xr:uid="{4C447600-16F0-48C6-A087-B3FE8FEA363F}"/>
    <cellStyle name="Migliaia 13 2 2 6" xfId="24282" xr:uid="{4287D536-BFF7-4B17-A404-B472494774B9}"/>
    <cellStyle name="Migliaia 13 2 2 7" xfId="7314" xr:uid="{6F1F2658-62A9-462C-A4D6-5854274C48B1}"/>
    <cellStyle name="Migliaia 13 2 3" xfId="3164" xr:uid="{9D27D88A-F843-4C61-8D6A-73876A5CA16D}"/>
    <cellStyle name="Migliaia 13 2 3 2" xfId="4890" xr:uid="{9BFFE2B8-2E98-44AB-8CF3-CCAC76611FFB}"/>
    <cellStyle name="Migliaia 13 2 3 2 2" xfId="35150" xr:uid="{1860E640-F5A8-4567-A4AB-3E86B945A2B8}"/>
    <cellStyle name="Migliaia 13 2 3 2 2 2" xfId="40308" xr:uid="{F605E033-3E78-41B0-AD06-4F06955666FB}"/>
    <cellStyle name="Migliaia 13 2 3 2 2 3" xfId="45610" xr:uid="{E221A1DE-0ED2-4CD1-9FB2-FAE3E1C612E8}"/>
    <cellStyle name="Migliaia 13 2 3 2 3" xfId="37657" xr:uid="{8DD8CE83-B111-4B08-9835-F07E993178F6}"/>
    <cellStyle name="Migliaia 13 2 3 2 4" xfId="42959" xr:uid="{3E052F91-C5C2-4953-A868-0D9ED0F2D095}"/>
    <cellStyle name="Migliaia 13 2 3 2 5" xfId="14191" xr:uid="{E4E48BAC-9D4E-4B18-966C-031DCA6E7360}"/>
    <cellStyle name="Migliaia 13 2 3 3" xfId="6110" xr:uid="{CA312D67-2DBF-4A1D-B861-7AF4731EB0E3}"/>
    <cellStyle name="Migliaia 13 2 3 3 2" xfId="38486" xr:uid="{55D047DE-34B6-4B76-9009-D75DD3882308}"/>
    <cellStyle name="Migliaia 13 2 3 3 3" xfId="43788" xr:uid="{A13FA218-5544-48A8-93D3-B5A6F7B393B2}"/>
    <cellStyle name="Migliaia 13 2 3 3 4" xfId="33121" xr:uid="{9A24475F-082E-47CF-B30A-38869019002B}"/>
    <cellStyle name="Migliaia 13 2 3 3 5" xfId="19868" xr:uid="{BB89726D-8C6A-417A-BB7F-07859DAF66C0}"/>
    <cellStyle name="Migliaia 13 2 3 4" xfId="36013" xr:uid="{6856A3A9-0F1E-4C33-BB55-E6D12B509E40}"/>
    <cellStyle name="Migliaia 13 2 3 5" xfId="41137" xr:uid="{C042C2B1-167D-4157-874D-0198495306B8}"/>
    <cellStyle name="Migliaia 13 2 3 6" xfId="16059" xr:uid="{A7FCB255-068E-4A36-8DA1-CD15D8346A84}"/>
    <cellStyle name="Migliaia 13 2 3 7" xfId="8253" xr:uid="{626E2F1A-FAF5-48E9-AF16-2F8C313584CE}"/>
    <cellStyle name="Migliaia 13 2 4" xfId="4888" xr:uid="{C45F99DF-7532-49A3-AFEB-2DA09467268B}"/>
    <cellStyle name="Migliaia 13 2 4 2" xfId="13894" xr:uid="{8679ED33-92BD-4499-8258-284F3E21D6B5}"/>
    <cellStyle name="Migliaia 13 2 4 2 2" xfId="38487" xr:uid="{DB95A8D4-2D80-449F-90A4-806AC79EACB9}"/>
    <cellStyle name="Migliaia 13 2 4 2 3" xfId="43789" xr:uid="{80D0F791-CD39-48F8-B1AB-7F38E0984602}"/>
    <cellStyle name="Migliaia 13 2 4 3" xfId="18621" xr:uid="{378C210E-8804-4E38-91B1-32A62ABFBB9B}"/>
    <cellStyle name="Migliaia 13 2 4 4" xfId="19869" xr:uid="{52FDD361-D03A-40D0-8C89-9B0C991DF2FE}"/>
    <cellStyle name="Migliaia 13 2 4 4 2" xfId="41138" xr:uid="{9206F731-DCDE-45D7-A59F-E50ECBCA9421}"/>
    <cellStyle name="Migliaia 13 2 4 5" xfId="16060" xr:uid="{E3B8C340-FCEA-4349-A627-99524F7FD3C8}"/>
    <cellStyle name="Migliaia 13 2 4 6" xfId="7836" xr:uid="{9E621748-536A-47F5-B18F-FE4FD33A6A18}"/>
    <cellStyle name="Migliaia 13 2 5" xfId="6108" xr:uid="{115A4F19-8093-4D4E-AC14-9B16F248F8E6}"/>
    <cellStyle name="Migliaia 13 2 5 2" xfId="33122" xr:uid="{DB17DBE3-EEC5-444C-B205-0BB38C480B99}"/>
    <cellStyle name="Migliaia 13 2 5 2 2" xfId="38488" xr:uid="{6A83248A-B5C2-48FC-967A-40C974600140}"/>
    <cellStyle name="Migliaia 13 2 5 2 3" xfId="43790" xr:uid="{E2F8F938-D4B6-411D-B499-B58043F1B15F}"/>
    <cellStyle name="Migliaia 13 2 5 3" xfId="36014" xr:uid="{33D2F415-AE0F-41A1-AD17-2FABEB261CF0}"/>
    <cellStyle name="Migliaia 13 2 5 4" xfId="41139" xr:uid="{7EE94C8E-B5A1-41FC-A97E-3A4AFB06F801}"/>
    <cellStyle name="Migliaia 13 2 5 5" xfId="13106" xr:uid="{D993BD00-D523-4B87-9B23-0BA34634053E}"/>
    <cellStyle name="Migliaia 13 2 6" xfId="3162" xr:uid="{155E54D4-3460-40DA-81FC-81B681406173}"/>
    <cellStyle name="Migliaia 13 2 6 2" xfId="33123" xr:uid="{BF9C1BCB-8B3F-4D8B-A4BF-F81B0618849F}"/>
    <cellStyle name="Migliaia 13 2 6 2 2" xfId="38489" xr:uid="{09F32E4A-7A8F-4084-A799-A40B1DD206AA}"/>
    <cellStyle name="Migliaia 13 2 6 2 3" xfId="43791" xr:uid="{CFA04556-86B4-45F7-821A-7A6F637C3AC1}"/>
    <cellStyle name="Migliaia 13 2 6 3" xfId="36015" xr:uid="{E4467274-CF25-4E1E-873A-04918D969CCD}"/>
    <cellStyle name="Migliaia 13 2 6 4" xfId="41140" xr:uid="{C8D9ADAB-2423-43D6-BA6E-2FA530D8A74F}"/>
    <cellStyle name="Migliaia 13 2 6 5" xfId="24284" xr:uid="{0040627A-8CB5-448B-A827-0663CF6BE835}"/>
    <cellStyle name="Migliaia 13 2 6 6" xfId="19865" xr:uid="{A58575B0-F2D3-4E2C-8FEA-9B909A5CD456}"/>
    <cellStyle name="Migliaia 13 2 7" xfId="24281" xr:uid="{D3B5A207-4D2B-46AE-9610-DDC7A5F04828}"/>
    <cellStyle name="Migliaia 13 2 8" xfId="7054" xr:uid="{377355B7-526A-498D-B72E-828072E1B355}"/>
    <cellStyle name="Migliaia 13 3" xfId="315" xr:uid="{00000000-0005-0000-0000-0000DF020000}"/>
    <cellStyle name="Migliaia 13 3 10" xfId="24285" xr:uid="{695D1931-698C-4CF6-A0C7-7E9EC01F4365}"/>
    <cellStyle name="Migliaia 13 3 11" xfId="16061" xr:uid="{BD5217E7-E09F-4A0F-9CC3-BE873F781575}"/>
    <cellStyle name="Migliaia 13 3 12" xfId="7055" xr:uid="{E19C80BB-9220-411C-930E-5501D863BD63}"/>
    <cellStyle name="Migliaia 13 3 2" xfId="316" xr:uid="{00000000-0005-0000-0000-0000E0020000}"/>
    <cellStyle name="Migliaia 13 3 2 2" xfId="1674" xr:uid="{00000000-0005-0000-0000-0000E1020000}"/>
    <cellStyle name="Migliaia 13 3 2 2 2" xfId="4893" xr:uid="{C5056A13-1A38-4030-8737-65812B4CF267}"/>
    <cellStyle name="Migliaia 13 3 2 2 2 2" xfId="18370" xr:uid="{B547A2C3-9D4F-4732-B19D-3AA54F697E17}"/>
    <cellStyle name="Migliaia 13 3 2 2 2 2 2" xfId="21841" xr:uid="{1FE4410A-553F-4D7C-BF7E-B8CC6BA955D2}"/>
    <cellStyle name="Migliaia 13 3 2 2 2 2 2 2" xfId="38490" xr:uid="{7A5F0233-06FC-4A85-948F-130CF9AC0EE6}"/>
    <cellStyle name="Migliaia 13 3 2 2 2 2 3" xfId="43792" xr:uid="{8F0A4DA3-9956-4DC5-B39E-A1AA97512353}"/>
    <cellStyle name="Migliaia 13 3 2 2 2 2 4" xfId="33124" xr:uid="{4CA4199D-0F76-455B-8385-AB62C37E4BBA}"/>
    <cellStyle name="Migliaia 13 3 2 2 2 3" xfId="36016" xr:uid="{C8C1097D-E6F2-488D-97D6-8181D41E099F}"/>
    <cellStyle name="Migliaia 13 3 2 2 2 4" xfId="41141" xr:uid="{2229C532-A8DE-4BD8-972A-3143EA2C0BA1}"/>
    <cellStyle name="Migliaia 13 3 2 2 2 5" xfId="48319" xr:uid="{F7EB2BCD-6E22-4ACF-85FD-862DF1EB39B8}"/>
    <cellStyle name="Migliaia 13 3 2 2 2 6" xfId="50869" xr:uid="{4BF544EA-66CD-408C-A691-CED96E8E9CA8}"/>
    <cellStyle name="Migliaia 13 3 2 2 2 7" xfId="53885" xr:uid="{17AE7836-24CE-4391-A275-A09F9804629F}"/>
    <cellStyle name="Migliaia 13 3 2 2 2 8" xfId="17642" xr:uid="{CF0FF939-4751-4B57-8DC6-75740FD3BB3F}"/>
    <cellStyle name="Migliaia 13 3 2 2 2 9" xfId="11899" xr:uid="{8D7C2397-3413-4305-8F80-2F8AB8ACD510}"/>
    <cellStyle name="Migliaia 13 3 2 2 3" xfId="6113" xr:uid="{CD15CD71-C6D3-43F6-A745-C7428349F5FA}"/>
    <cellStyle name="Migliaia 13 3 2 2 3 2" xfId="11683" xr:uid="{B4D644D2-2BD4-4640-B454-64B1ECB46E3F}"/>
    <cellStyle name="Migliaia 13 3 2 2 4" xfId="3167" xr:uid="{36D8744D-29B7-435E-9C04-FDD237B7375D}"/>
    <cellStyle name="Migliaia 13 3 2 2 4 2" xfId="21386" xr:uid="{893481CA-DF44-47EB-AE1D-4F776286302F}"/>
    <cellStyle name="Migliaia 13 3 2 2 4 3" xfId="46205" xr:uid="{E681A86C-33F8-4594-9F47-0782B78D5D3B}"/>
    <cellStyle name="Migliaia 13 3 2 2 4 4" xfId="50401" xr:uid="{8D4C01F6-EA58-4439-8DD5-A7DEC3E65316}"/>
    <cellStyle name="Migliaia 13 3 2 2 4 5" xfId="53417" xr:uid="{5979F21D-3E13-4266-B1A1-23085DB7D931}"/>
    <cellStyle name="Migliaia 13 3 2 2 4 6" xfId="10751" xr:uid="{33BCDF90-2BBA-44FE-AFE1-23CADCA3E763}"/>
    <cellStyle name="Migliaia 13 3 2 2 5" xfId="19872" xr:uid="{5F99DD9F-F84F-43A4-9ECA-077C54E6DC98}"/>
    <cellStyle name="Migliaia 13 3 2 2 6" xfId="24287" xr:uid="{7B5A2AF3-103B-4E8B-A035-24C59B93EC25}"/>
    <cellStyle name="Migliaia 13 3 2 2 7" xfId="8506" xr:uid="{BCFC9975-5D01-4183-951E-85BE2F8CAD4A}"/>
    <cellStyle name="Migliaia 13 3 2 3" xfId="4892" xr:uid="{C74095C0-EB27-42DC-9582-C1C0DF80B826}"/>
    <cellStyle name="Migliaia 13 3 2 3 2" xfId="12230" xr:uid="{10A1B32D-2ECA-47B1-B547-126E5FCDEA7C}"/>
    <cellStyle name="Migliaia 13 3 2 3 2 2" xfId="38491" xr:uid="{C55E11EC-AE83-4A3A-A0D3-DDC9875C799D}"/>
    <cellStyle name="Migliaia 13 3 2 3 2 3" xfId="43793" xr:uid="{558A9F79-7892-4635-960A-2285D95B854D}"/>
    <cellStyle name="Migliaia 13 3 2 3 2 4" xfId="33125" xr:uid="{8D56D85E-1C64-4220-92A3-4E29E7F86464}"/>
    <cellStyle name="Migliaia 13 3 2 3 3" xfId="11900" xr:uid="{57D5AF94-7EEF-48EC-B95C-14D88190AB34}"/>
    <cellStyle name="Migliaia 13 3 2 3 4" xfId="19873" xr:uid="{06F64D4C-C265-4CD7-A8FD-4E5EFDFA7B5C}"/>
    <cellStyle name="Migliaia 13 3 2 3 4 2" xfId="41142" xr:uid="{393E1E55-39FF-4134-B492-6ED53634DB55}"/>
    <cellStyle name="Migliaia 13 3 2 3 5" xfId="16062" xr:uid="{55285ADD-5319-4D74-ABE1-C63DB5BE83A0}"/>
    <cellStyle name="Migliaia 13 3 2 3 6" xfId="7838" xr:uid="{7E40BFE7-5ACD-42BE-BBFD-6622F787FB06}"/>
    <cellStyle name="Migliaia 13 3 2 4" xfId="6112" xr:uid="{A3E9D46F-E1E5-46B7-BD89-05FEDAAC51A8}"/>
    <cellStyle name="Migliaia 13 3 2 4 2" xfId="18061" xr:uid="{A275D42F-EE70-4C5A-BAF7-2340AEE030CF}"/>
    <cellStyle name="Migliaia 13 3 2 4 2 2" xfId="38492" xr:uid="{DA8A71F5-9C43-4D16-A9A2-B0FE59739F98}"/>
    <cellStyle name="Migliaia 13 3 2 4 2 3" xfId="43794" xr:uid="{5D84E24F-24F6-45DE-BE74-4DB3B77E8F58}"/>
    <cellStyle name="Migliaia 13 3 2 4 3" xfId="36017" xr:uid="{048E8295-D2B6-4D4F-96E3-5CCF4E44E550}"/>
    <cellStyle name="Migliaia 13 3 2 4 4" xfId="41143" xr:uid="{41E2DDA9-B9DA-4EA4-B88C-2AAE416E2F45}"/>
    <cellStyle name="Migliaia 13 3 2 4 5" xfId="17144" xr:uid="{21807994-EC28-4420-945B-67882487FBA0}"/>
    <cellStyle name="Migliaia 13 3 2 4 6" xfId="11252" xr:uid="{2E0D13EF-F558-45F6-BAE8-26183AE47D99}"/>
    <cellStyle name="Migliaia 13 3 2 5" xfId="3166" xr:uid="{83C5FE20-DFA4-4E8F-9C85-83F3D81FA44B}"/>
    <cellStyle name="Migliaia 13 3 2 5 2" xfId="33126" xr:uid="{FD303AD3-F20E-414B-A281-B3E36EA99D29}"/>
    <cellStyle name="Migliaia 13 3 2 5 2 2" xfId="38493" xr:uid="{1C85637A-897C-405C-9073-81879DE41D4A}"/>
    <cellStyle name="Migliaia 13 3 2 5 2 3" xfId="43795" xr:uid="{D061C224-D057-40CD-A6D4-0C8E00345105}"/>
    <cellStyle name="Migliaia 13 3 2 5 3" xfId="36018" xr:uid="{3AFD2D73-58FF-4D97-9491-539CD6519DBE}"/>
    <cellStyle name="Migliaia 13 3 2 5 4" xfId="41144" xr:uid="{D95A87AD-FFB0-474D-9635-05F7429B0D5F}"/>
    <cellStyle name="Migliaia 13 3 2 5 5" xfId="17414" xr:uid="{0ABC631B-D0EA-4465-A688-87CDD0FD0439}"/>
    <cellStyle name="Migliaia 13 3 2 6" xfId="19871" xr:uid="{A5DB9374-5340-469C-8803-D39428C77295}"/>
    <cellStyle name="Migliaia 13 3 2 6 2" xfId="33127" xr:uid="{DD2E9D13-C409-4C6A-8DC7-A22322C709A7}"/>
    <cellStyle name="Migliaia 13 3 2 6 2 2" xfId="38494" xr:uid="{EFD0F37C-E8E8-43FC-9002-DDA4B06F1465}"/>
    <cellStyle name="Migliaia 13 3 2 6 2 3" xfId="43796" xr:uid="{D192DCE6-2F25-498B-9E95-71F5BF551E1B}"/>
    <cellStyle name="Migliaia 13 3 2 6 3" xfId="36019" xr:uid="{96458C42-1853-4CF8-A593-C5CC1F4C5F30}"/>
    <cellStyle name="Migliaia 13 3 2 6 4" xfId="41145" xr:uid="{D4BC9B6F-81EF-48EB-AEE2-AD251202D68E}"/>
    <cellStyle name="Migliaia 13 3 2 6 5" xfId="24288" xr:uid="{5DE57111-FBD3-4ED6-9C9A-5F8A9A268B61}"/>
    <cellStyle name="Migliaia 13 3 2 7" xfId="24286" xr:uid="{D97A8603-8D04-4D94-9A36-41EAA0EEF273}"/>
    <cellStyle name="Migliaia 13 3 2 8" xfId="7316" xr:uid="{15BA2662-E48D-4A6F-B62A-4352918D46AC}"/>
    <cellStyle name="Migliaia 13 3 3" xfId="3168" xr:uid="{01C7999D-9801-4DF6-9189-0B1618EBC488}"/>
    <cellStyle name="Migliaia 13 3 3 10" xfId="7315" xr:uid="{F7776939-DF37-4BF4-8EB4-492423E3E058}"/>
    <cellStyle name="Migliaia 13 3 3 2" xfId="4894" xr:uid="{9B8F57F6-0A2A-4DF3-AC3C-8570DB1143D2}"/>
    <cellStyle name="Migliaia 13 3 3 2 2" xfId="9890" xr:uid="{A758C2BC-B7FE-4C20-B742-DC246E608DB3}"/>
    <cellStyle name="Migliaia 13 3 3 2 2 2" xfId="38496" xr:uid="{DBCE2735-2F02-41DD-91E8-3F6AEEFEA2BE}"/>
    <cellStyle name="Migliaia 13 3 3 2 2 3" xfId="43798" xr:uid="{C466FE7A-C2F6-4882-9E53-D6B7BF46ED40}"/>
    <cellStyle name="Migliaia 13 3 3 2 3" xfId="18170" xr:uid="{ACC28F55-18A6-43D8-89CE-5101369651BA}"/>
    <cellStyle name="Migliaia 13 3 3 2 4" xfId="19875" xr:uid="{CB1FDCEC-B04F-4184-9133-94EB05D9C70E}"/>
    <cellStyle name="Migliaia 13 3 3 2 4 2" xfId="41147" xr:uid="{BC0AD68D-98D2-4B8A-9334-2A2219B1D8D6}"/>
    <cellStyle name="Migliaia 13 3 3 2 5" xfId="16064" xr:uid="{235EE33F-01D5-45AF-B502-826E25C2A0E2}"/>
    <cellStyle name="Migliaia 13 3 3 2 6" xfId="8505" xr:uid="{FB37B0DE-CEC0-449A-B7B1-4A82ED5D3AD3}"/>
    <cellStyle name="Migliaia 13 3 3 3" xfId="6114" xr:uid="{B5370FC0-1A0A-4602-A6AE-9CA4C871D6BA}"/>
    <cellStyle name="Migliaia 13 3 3 3 2" xfId="33129" xr:uid="{F0289015-94F8-4595-AE42-9E5449B48096}"/>
    <cellStyle name="Migliaia 13 3 3 3 2 2" xfId="38497" xr:uid="{A8422077-E7F1-4FC8-AA51-991633B69F55}"/>
    <cellStyle name="Migliaia 13 3 3 3 2 3" xfId="43799" xr:uid="{8CFE1B3F-96BA-432F-8C24-241BADD76598}"/>
    <cellStyle name="Migliaia 13 3 3 3 3" xfId="36021" xr:uid="{CE1C219F-ADF3-4997-AD39-B664B33BF472}"/>
    <cellStyle name="Migliaia 13 3 3 3 4" xfId="41148" xr:uid="{B1752BD1-99D9-4AA7-9747-1E3D1CD0C7BB}"/>
    <cellStyle name="Migliaia 13 3 3 3 5" xfId="9653" xr:uid="{2B09EBCB-1661-4599-ABA2-9F8EEF1D51A3}"/>
    <cellStyle name="Migliaia 13 3 3 4" xfId="19874" xr:uid="{3F335271-1239-4887-9289-471982AFD78D}"/>
    <cellStyle name="Migliaia 13 3 3 4 2" xfId="33130" xr:uid="{9ED262FD-FAF3-48DD-8D41-8B47819F917A}"/>
    <cellStyle name="Migliaia 13 3 3 4 2 2" xfId="38498" xr:uid="{937533F2-E8EB-4939-912F-A0A22F298F0F}"/>
    <cellStyle name="Migliaia 13 3 3 4 2 3" xfId="43800" xr:uid="{263A51B5-1785-4660-82AA-C688242F5DDB}"/>
    <cellStyle name="Migliaia 13 3 3 4 3" xfId="36022" xr:uid="{0AB07C8F-338D-47C2-BE6E-BF26FDC6806D}"/>
    <cellStyle name="Migliaia 13 3 3 4 4" xfId="41149" xr:uid="{27D3ACF9-C645-4DFF-8A1E-957054AFF3F3}"/>
    <cellStyle name="Migliaia 13 3 3 4 5" xfId="24289" xr:uid="{ABA023FE-B396-41C2-8EB3-9A5E33954AC5}"/>
    <cellStyle name="Migliaia 13 3 3 5" xfId="24290" xr:uid="{BC0457B8-C6B4-457F-9866-6BFB94DAB4CC}"/>
    <cellStyle name="Migliaia 13 3 3 5 2" xfId="33131" xr:uid="{27AC7BCB-B3D9-4724-B8DC-590AA4F8C410}"/>
    <cellStyle name="Migliaia 13 3 3 5 2 2" xfId="38499" xr:uid="{27F8D0A6-87B6-48A5-BFAC-9F83CC60A92E}"/>
    <cellStyle name="Migliaia 13 3 3 5 2 3" xfId="43801" xr:uid="{9C0F05C7-6A98-4E22-956E-47B175665C94}"/>
    <cellStyle name="Migliaia 13 3 3 5 3" xfId="36023" xr:uid="{85D52C16-E518-4DFF-AF7E-537755BEA870}"/>
    <cellStyle name="Migliaia 13 3 3 5 4" xfId="41150" xr:uid="{6CBE42E2-8985-4D08-A465-AF200F4EF6AC}"/>
    <cellStyle name="Migliaia 13 3 3 6" xfId="33128" xr:uid="{26DEDCCE-1D15-4FC3-A793-DD2EA6B989C9}"/>
    <cellStyle name="Migliaia 13 3 3 6 2" xfId="38495" xr:uid="{14921817-ED05-434C-860E-36C175A64480}"/>
    <cellStyle name="Migliaia 13 3 3 6 3" xfId="43797" xr:uid="{44EDCE3B-FC96-43F2-928E-6F293F2A5389}"/>
    <cellStyle name="Migliaia 13 3 3 7" xfId="36020" xr:uid="{DEB8B4E7-859D-445C-BFBF-08327548E1C5}"/>
    <cellStyle name="Migliaia 13 3 3 8" xfId="41146" xr:uid="{6C71EB55-5407-44CE-AD16-36C9B827E763}"/>
    <cellStyle name="Migliaia 13 3 3 9" xfId="16063" xr:uid="{C4BD6F7C-9873-4D20-AF0B-9A3C71E463E6}"/>
    <cellStyle name="Migliaia 13 3 4" xfId="3169" xr:uid="{A61A1210-B8E5-475E-BABD-732487E89306}"/>
    <cellStyle name="Migliaia 13 3 4 2" xfId="4895" xr:uid="{18EE2707-D1BC-47FD-8981-5F175A889292}"/>
    <cellStyle name="Migliaia 13 3 4 2 2" xfId="14427" xr:uid="{73DFCAF7-FD19-43C0-8790-E266D0478E38}"/>
    <cellStyle name="Migliaia 13 3 4 2 3" xfId="18124" xr:uid="{FC927985-1816-4500-8A1B-64AF30BE2D8A}"/>
    <cellStyle name="Migliaia 13 3 4 2 4" xfId="19877" xr:uid="{69229E31-9236-4F5C-8352-DDB32A4A94D5}"/>
    <cellStyle name="Migliaia 13 3 4 2 5" xfId="32306" xr:uid="{6C2D9659-3434-4A93-AE0F-BA61E6C4E378}"/>
    <cellStyle name="Migliaia 13 3 4 2 6" xfId="16066" xr:uid="{955A3673-DD14-4B83-AD6E-A7DF401DBA6B}"/>
    <cellStyle name="Migliaia 13 3 4 2 7" xfId="8850" xr:uid="{81006866-8338-4E60-BFDA-49025DD9C642}"/>
    <cellStyle name="Migliaia 13 3 4 3" xfId="6115" xr:uid="{261F2727-3BF5-4372-B120-02CEE8202AD5}"/>
    <cellStyle name="Migliaia 13 3 4 3 2" xfId="35151" xr:uid="{EEADC89F-AAE8-4359-A9CA-AD64FC80D0CA}"/>
    <cellStyle name="Migliaia 13 3 4 3 2 2" xfId="40309" xr:uid="{B4EC5F4C-66D1-4CEA-B264-ECDD02686F06}"/>
    <cellStyle name="Migliaia 13 3 4 3 2 3" xfId="45611" xr:uid="{C93BE1F3-928F-466F-A7EC-D2215D0B7E30}"/>
    <cellStyle name="Migliaia 13 3 4 3 3" xfId="37658" xr:uid="{7CF8D75E-8641-4CE5-96C3-FC691D2A271A}"/>
    <cellStyle name="Migliaia 13 3 4 3 4" xfId="42960" xr:uid="{EDF99230-0DB4-48D9-A2DD-4F5F20559890}"/>
    <cellStyle name="Migliaia 13 3 4 3 5" xfId="13675" xr:uid="{D0607EC0-3F04-43D4-97A3-A08457C234A7}"/>
    <cellStyle name="Migliaia 13 3 4 4" xfId="19876" xr:uid="{214F7C01-2B87-40E3-B66B-AAD106ED3755}"/>
    <cellStyle name="Migliaia 13 3 4 4 2" xfId="38500" xr:uid="{D1D1F8B2-0A13-4E14-8B92-DF619EAEC31F}"/>
    <cellStyle name="Migliaia 13 3 4 4 3" xfId="43802" xr:uid="{0E86EB3C-37C7-43EE-8E1F-2C45C517931B}"/>
    <cellStyle name="Migliaia 13 3 4 4 4" xfId="33132" xr:uid="{08901327-461B-4AD5-B87C-A7E223196985}"/>
    <cellStyle name="Migliaia 13 3 4 5" xfId="36024" xr:uid="{A94D2549-0E20-4D2B-8C0E-B30B7F832C06}"/>
    <cellStyle name="Migliaia 13 3 4 6" xfId="41151" xr:uid="{A6F91BD4-120C-4692-9A69-F4553CD82A77}"/>
    <cellStyle name="Migliaia 13 3 4 7" xfId="16065" xr:uid="{AC745AA2-7921-45BC-9F3B-95839445EA95}"/>
    <cellStyle name="Migliaia 13 3 4 8" xfId="7660" xr:uid="{7FE1FE73-7BEA-4DB4-97DD-755206E79271}"/>
    <cellStyle name="Migliaia 13 3 5" xfId="3170" xr:uid="{410ABB33-A421-470A-8A3F-4D60B1326D36}"/>
    <cellStyle name="Migliaia 13 3 5 2" xfId="4896" xr:uid="{D6AD3404-3C82-400C-B5ED-E6C80DB31045}"/>
    <cellStyle name="Migliaia 13 3 5 2 2" xfId="35152" xr:uid="{623362B1-2325-40DD-84E0-9A6846463EE5}"/>
    <cellStyle name="Migliaia 13 3 5 2 2 2" xfId="40310" xr:uid="{5B6C4EEA-28D4-46C6-BF22-411DC9CCC834}"/>
    <cellStyle name="Migliaia 13 3 5 2 2 3" xfId="45612" xr:uid="{21DAC837-6EDC-45CC-A271-6C7A85713867}"/>
    <cellStyle name="Migliaia 13 3 5 2 3" xfId="37659" xr:uid="{3537F842-7A65-4C95-AE4A-0629E55AA5CC}"/>
    <cellStyle name="Migliaia 13 3 5 2 4" xfId="42961" xr:uid="{9828CCFB-92F0-438E-B7A3-E93F6C051E36}"/>
    <cellStyle name="Migliaia 13 3 5 2 5" xfId="14192" xr:uid="{98B20F58-13F0-45E6-881B-EFA409C2EE32}"/>
    <cellStyle name="Migliaia 13 3 5 3" xfId="6116" xr:uid="{7E5E9E5D-C0FC-4126-9366-9A48628C0366}"/>
    <cellStyle name="Migliaia 13 3 5 3 2" xfId="38501" xr:uid="{4D6787F4-A4F3-44E5-A535-45EE62F18B72}"/>
    <cellStyle name="Migliaia 13 3 5 3 3" xfId="43803" xr:uid="{969BE628-8F89-416F-8280-92AAD471AA06}"/>
    <cellStyle name="Migliaia 13 3 5 3 4" xfId="33133" xr:uid="{74257700-84B0-4D96-8E52-05A000E58170}"/>
    <cellStyle name="Migliaia 13 3 5 3 5" xfId="19878" xr:uid="{1EE49E10-9088-49F3-99C1-3621EE6A3C57}"/>
    <cellStyle name="Migliaia 13 3 5 4" xfId="36025" xr:uid="{F82926E8-79C7-48FC-8BD3-6BEB24F7AA0D}"/>
    <cellStyle name="Migliaia 13 3 5 5" xfId="41152" xr:uid="{71E76345-4CFA-4F22-BF2E-9521085DE6E6}"/>
    <cellStyle name="Migliaia 13 3 5 6" xfId="16067" xr:uid="{6B663030-38C1-45FA-BAF2-0E0436DC556A}"/>
    <cellStyle name="Migliaia 13 3 5 7" xfId="8254" xr:uid="{538F63B1-BC54-497F-BEC2-61EBE5A49466}"/>
    <cellStyle name="Migliaia 13 3 6" xfId="4891" xr:uid="{858D9BBD-0F9D-4BCE-8635-24FBC9C78950}"/>
    <cellStyle name="Migliaia 13 3 6 2" xfId="13895" xr:uid="{290E83DA-5657-402C-BA1C-682AFFA9CD1C}"/>
    <cellStyle name="Migliaia 13 3 6 2 2" xfId="38502" xr:uid="{FAE024C9-EA9F-48AE-919E-C83D9B342A25}"/>
    <cellStyle name="Migliaia 13 3 6 2 3" xfId="43804" xr:uid="{87E7924D-97D0-44BA-A3B7-E34C47479F57}"/>
    <cellStyle name="Migliaia 13 3 6 3" xfId="18725" xr:uid="{3DC852B0-0D48-4062-BB8F-9E32E566B535}"/>
    <cellStyle name="Migliaia 13 3 6 4" xfId="19879" xr:uid="{BE2139F2-D9C7-40CC-87CE-9708724929A6}"/>
    <cellStyle name="Migliaia 13 3 6 4 2" xfId="41153" xr:uid="{7C5674B4-1DE4-44F7-9DD3-9F6DF50502F9}"/>
    <cellStyle name="Migliaia 13 3 6 5" xfId="16068" xr:uid="{A6DB407F-9E8B-4DFA-9A13-3E173B75DAF7}"/>
    <cellStyle name="Migliaia 13 3 6 6" xfId="7837" xr:uid="{D91B749A-12EA-4CD4-AE96-748E2FE7E442}"/>
    <cellStyle name="Migliaia 13 3 7" xfId="6111" xr:uid="{C486398C-25B5-4552-AC69-2C4289274139}"/>
    <cellStyle name="Migliaia 13 3 7 2" xfId="33134" xr:uid="{81702407-5EE1-4CAF-BE33-ABF8036D39CC}"/>
    <cellStyle name="Migliaia 13 3 7 2 2" xfId="38503" xr:uid="{477B24C5-E712-4828-8F53-A61631A08F59}"/>
    <cellStyle name="Migliaia 13 3 7 2 3" xfId="43805" xr:uid="{C9C26002-ECF8-4222-A1CE-1CB93E46ECBC}"/>
    <cellStyle name="Migliaia 13 3 7 3" xfId="36026" xr:uid="{6FA27A09-B079-4049-9D59-5A860EB266A0}"/>
    <cellStyle name="Migliaia 13 3 7 4" xfId="41154" xr:uid="{38420493-5B58-4657-9F9F-4DD158F4F44B}"/>
    <cellStyle name="Migliaia 13 3 7 5" xfId="11537" xr:uid="{969E253F-C756-48AD-BD9D-53CF197F0596}"/>
    <cellStyle name="Migliaia 13 3 8" xfId="3165" xr:uid="{2B86652C-9C3C-46EC-AD65-45BF4149F07D}"/>
    <cellStyle name="Migliaia 13 3 8 2" xfId="33135" xr:uid="{33147197-AC59-4888-8730-5D125F12FF40}"/>
    <cellStyle name="Migliaia 13 3 8 2 2" xfId="38504" xr:uid="{3D2C07EC-82E5-414F-9BD5-2B996E73627B}"/>
    <cellStyle name="Migliaia 13 3 8 2 3" xfId="43806" xr:uid="{5759B342-F93E-45CD-805A-E1032A612750}"/>
    <cellStyle name="Migliaia 13 3 8 3" xfId="36027" xr:uid="{A47A6518-EBB2-423F-8087-7F84C43B2BD0}"/>
    <cellStyle name="Migliaia 13 3 8 4" xfId="41155" xr:uid="{06CFD5C4-1F05-47D9-B8E4-1E7EE5F5E985}"/>
    <cellStyle name="Migliaia 13 3 8 5" xfId="24291" xr:uid="{2C3B42CA-5537-43CE-BE04-D7F42962C0F4}"/>
    <cellStyle name="Migliaia 13 3 8 6" xfId="17415" xr:uid="{CFC3A4D7-B714-47AF-B98B-A5498F1F49A9}"/>
    <cellStyle name="Migliaia 13 3 9" xfId="19870" xr:uid="{6793AB0E-B160-484F-8D65-A4AC0B645956}"/>
    <cellStyle name="Migliaia 13 4" xfId="1675" xr:uid="{00000000-0005-0000-0000-0000E2020000}"/>
    <cellStyle name="Migliaia 13 4 2" xfId="1676" xr:uid="{00000000-0005-0000-0000-0000E3020000}"/>
    <cellStyle name="Migliaia 13 4 2 2" xfId="4898" xr:uid="{B3A36047-123D-47F2-B1E0-E4A09A8F394D}"/>
    <cellStyle name="Migliaia 13 4 2 2 2" xfId="33136" xr:uid="{42A87BD4-FA4C-4592-A29A-5E2084D9F38D}"/>
    <cellStyle name="Migliaia 13 4 2 2 2 2" xfId="38505" xr:uid="{9B016901-822B-4C0D-8922-7C93475B4935}"/>
    <cellStyle name="Migliaia 13 4 2 2 2 3" xfId="43807" xr:uid="{DD4F9299-C638-44DB-B4FD-ABF8719C419A}"/>
    <cellStyle name="Migliaia 13 4 2 2 3" xfId="36028" xr:uid="{D795B05E-0498-4BE2-B520-8E7B7FCEA16A}"/>
    <cellStyle name="Migliaia 13 4 2 2 4" xfId="41156" xr:uid="{0A450C79-74B2-4CE9-AC47-A7610FE61F4F}"/>
    <cellStyle name="Migliaia 13 4 2 2 5" xfId="9116" xr:uid="{D4329E2E-F283-49BC-BEA4-F8E7517E490A}"/>
    <cellStyle name="Migliaia 13 4 2 3" xfId="3172" xr:uid="{83692C0B-9970-497B-A1B1-6A5560D3D7D9}"/>
    <cellStyle name="Migliaia 13 4 2 3 2" xfId="33137" xr:uid="{FA545E86-B25F-47D7-A340-A5ADD4290845}"/>
    <cellStyle name="Migliaia 13 4 2 3 2 2" xfId="38506" xr:uid="{B7515984-017C-46C9-8896-5046A9C659D9}"/>
    <cellStyle name="Migliaia 13 4 2 3 2 3" xfId="43808" xr:uid="{0805016D-394D-4B06-9E3E-F960301BA524}"/>
    <cellStyle name="Migliaia 13 4 2 3 3" xfId="36029" xr:uid="{8570B593-871C-4CB8-B1A0-9EBD282E5AED}"/>
    <cellStyle name="Migliaia 13 4 2 3 4" xfId="41157" xr:uid="{55E20B4E-E723-42B1-9FE6-BBAE9B1E3829}"/>
    <cellStyle name="Migliaia 13 4 2 3 5" xfId="11901" xr:uid="{755EC655-7EB0-4C63-91B9-BEE848AE690D}"/>
    <cellStyle name="Migliaia 13 4 2 4" xfId="11254" xr:uid="{670949F5-0B83-42E5-AFC9-F88DBB625F1F}"/>
    <cellStyle name="Migliaia 13 4 2 5" xfId="10753" xr:uid="{E50D963F-10B9-4321-9C7D-FBB8D62FD49E}"/>
    <cellStyle name="Migliaia 13 4 2 5 2" xfId="21388" xr:uid="{59FA774F-F561-4F1E-B6A5-363F0D8787A3}"/>
    <cellStyle name="Migliaia 13 4 2 5 3" xfId="46206" xr:uid="{8337E772-1C5A-40CD-9FEE-670C20E89F82}"/>
    <cellStyle name="Migliaia 13 4 2 5 4" xfId="50403" xr:uid="{D823162B-C1C7-4927-A9E7-7F7BF5045AD1}"/>
    <cellStyle name="Migliaia 13 4 2 5 5" xfId="53419" xr:uid="{461DD0CB-0B65-4567-88A8-4C967A4B5A19}"/>
    <cellStyle name="Migliaia 13 4 2 6" xfId="19881" xr:uid="{75D90760-AAB5-4F0B-A1FE-3AAC4C092F96}"/>
    <cellStyle name="Migliaia 13 4 2 7" xfId="24293" xr:uid="{885BA528-8F2D-4840-8816-C51D83EC4838}"/>
    <cellStyle name="Migliaia 13 4 2 8" xfId="8507" xr:uid="{D2425F8B-79FD-45D4-8AE1-F50DFE0D7C64}"/>
    <cellStyle name="Migliaia 13 4 3" xfId="4897" xr:uid="{711F58F8-8663-4039-A95F-0C01D4930FB8}"/>
    <cellStyle name="Migliaia 13 4 3 2" xfId="18171" xr:uid="{80AFED1D-F92E-4EAA-A039-8AA2520967F0}"/>
    <cellStyle name="Migliaia 13 4 3 2 2" xfId="38507" xr:uid="{5A770A35-68FB-4C3A-B6FD-DD7DD5AFD4C0}"/>
    <cellStyle name="Migliaia 13 4 3 2 3" xfId="43809" xr:uid="{6BA74E7D-56EE-4DCA-9764-820929A46BB8}"/>
    <cellStyle name="Migliaia 13 4 3 3" xfId="36030" xr:uid="{2BC186DE-F7FF-4557-AF9C-FAF1F1DDBAE9}"/>
    <cellStyle name="Migliaia 13 4 3 4" xfId="41158" xr:uid="{F35D50BF-5206-48CF-A5A6-615C596F4C06}"/>
    <cellStyle name="Migliaia 13 4 3 5" xfId="17413" xr:uid="{74B06A15-5B26-4034-B567-28980FCAAE8A}"/>
    <cellStyle name="Migliaia 13 4 3 6" xfId="9117" xr:uid="{7725E552-2DC4-40E8-B42B-3C7A8859FC65}"/>
    <cellStyle name="Migliaia 13 4 4" xfId="6117" xr:uid="{D81A398A-2A1B-43C5-A7F9-2DAC2AC3B283}"/>
    <cellStyle name="Migliaia 13 4 4 2" xfId="33138" xr:uid="{D503203A-8A81-47F8-94ED-06DBD04EBBE5}"/>
    <cellStyle name="Migliaia 13 4 4 2 2" xfId="38508" xr:uid="{E14BD15B-17CE-46D6-AF94-1CFFD35FE955}"/>
    <cellStyle name="Migliaia 13 4 4 2 3" xfId="43810" xr:uid="{2F9031C6-2B4D-43B4-B61E-369CB253D2A7}"/>
    <cellStyle name="Migliaia 13 4 4 3" xfId="36031" xr:uid="{48157D7F-E9D9-4C35-BE97-B8293E9DB038}"/>
    <cellStyle name="Migliaia 13 4 4 4" xfId="41159" xr:uid="{0FDF23F0-B66B-4287-AF04-3E0EF385244E}"/>
    <cellStyle name="Migliaia 13 4 4 5" xfId="11902" xr:uid="{D725919C-0D72-440E-8ADC-9D796E635EA0}"/>
    <cellStyle name="Migliaia 13 4 5" xfId="3171" xr:uid="{0AD3A0E4-6ACF-45CD-B481-0B20E880362E}"/>
    <cellStyle name="Migliaia 13 4 5 2" xfId="33139" xr:uid="{A6FBFE95-DA72-40C9-97F4-45A297B7D64D}"/>
    <cellStyle name="Migliaia 13 4 5 2 2" xfId="38509" xr:uid="{FF1939D3-877C-4D40-959D-F799DDE733C0}"/>
    <cellStyle name="Migliaia 13 4 5 2 3" xfId="43811" xr:uid="{6469BE71-5D00-4E1F-ADF9-ED6160D201A3}"/>
    <cellStyle name="Migliaia 13 4 5 3" xfId="36032" xr:uid="{DD21A5DD-566F-4C45-9F3E-F9BD4928D54D}"/>
    <cellStyle name="Migliaia 13 4 5 4" xfId="41160" xr:uid="{D6E72F80-D7AF-4492-8596-B789E4992E45}"/>
    <cellStyle name="Migliaia 13 4 5 5" xfId="11253" xr:uid="{6C2828DD-E6A0-464B-B1EB-003507C311BD}"/>
    <cellStyle name="Migliaia 13 4 6" xfId="10752" xr:uid="{C3479E68-1FDC-41B6-AF0D-2236C461F5C7}"/>
    <cellStyle name="Migliaia 13 4 6 2" xfId="21387" xr:uid="{B8FBC699-8E57-4365-9B34-BB441F893A9F}"/>
    <cellStyle name="Migliaia 13 4 6 2 2" xfId="38510" xr:uid="{61752FDD-91E4-4FC6-B973-F28F34236A26}"/>
    <cellStyle name="Migliaia 13 4 6 2 3" xfId="43812" xr:uid="{8CF414B0-63FD-4B22-82E7-350F082B1818}"/>
    <cellStyle name="Migliaia 13 4 6 2 4" xfId="33140" xr:uid="{8D17FBAB-6737-42D7-B5DF-1B65EFBA01F9}"/>
    <cellStyle name="Migliaia 13 4 6 3" xfId="36033" xr:uid="{1A3C2171-D24D-45AC-8BB9-2C2ECF1E937C}"/>
    <cellStyle name="Migliaia 13 4 6 4" xfId="41161" xr:uid="{E6D68F82-D2EA-416C-B8DF-D5810BFB0E2D}"/>
    <cellStyle name="Migliaia 13 4 6 5" xfId="24294" xr:uid="{F20AE55E-52DD-4D37-8E32-BC863D171E35}"/>
    <cellStyle name="Migliaia 13 4 6 6" xfId="48288" xr:uid="{56EE33AB-B482-4E4B-B444-B7802C6D1CCB}"/>
    <cellStyle name="Migliaia 13 4 6 7" xfId="50402" xr:uid="{1DC1C5E2-BF86-4D5E-9127-AD40E1F57A51}"/>
    <cellStyle name="Migliaia 13 4 6 8" xfId="53418" xr:uid="{DE6B36BB-8B67-4ECF-A912-EB0F1C517D89}"/>
    <cellStyle name="Migliaia 13 4 7" xfId="19880" xr:uid="{67DB3A32-E343-46DF-AF5E-6656A1CCE6E9}"/>
    <cellStyle name="Migliaia 13 4 7 2" xfId="33141" xr:uid="{99716DFD-B47C-4BCB-9051-FBE069955238}"/>
    <cellStyle name="Migliaia 13 4 7 2 2" xfId="38511" xr:uid="{CC03CFA4-F469-4510-9F71-A45F835B98D9}"/>
    <cellStyle name="Migliaia 13 4 7 2 3" xfId="43813" xr:uid="{F78DEA16-C7A8-43F8-9F47-CFE6318DE90A}"/>
    <cellStyle name="Migliaia 13 4 7 3" xfId="36034" xr:uid="{68B75C7E-51ED-4F1A-9CBF-AF650261CB81}"/>
    <cellStyle name="Migliaia 13 4 7 4" xfId="41162" xr:uid="{61109483-2544-47FA-B7F5-83B9AD506574}"/>
    <cellStyle name="Migliaia 13 4 7 5" xfId="24295" xr:uid="{88F0DA72-2DE2-4514-AF17-D3F991493C87}"/>
    <cellStyle name="Migliaia 13 4 8" xfId="24292" xr:uid="{77BD7B34-EA3B-4AF9-9AF7-A87CD3766043}"/>
    <cellStyle name="Migliaia 13 4 9" xfId="7317" xr:uid="{97D325CC-3DB2-4CF0-B782-DC432AF1327D}"/>
    <cellStyle name="Migliaia 13 5" xfId="1677" xr:uid="{00000000-0005-0000-0000-0000E4020000}"/>
    <cellStyle name="Migliaia 13 5 2" xfId="4899" xr:uid="{F18C8C67-41AE-4411-92E0-0E2781DA4201}"/>
    <cellStyle name="Migliaia 13 5 2 2" xfId="18371" xr:uid="{55FB874F-81D8-45B7-BA89-93452E1673CA}"/>
    <cellStyle name="Migliaia 13 5 2 2 2" xfId="38512" xr:uid="{6EB933B8-9E75-4B81-A73E-C2A2994D94F0}"/>
    <cellStyle name="Migliaia 13 5 2 2 3" xfId="43814" xr:uid="{94694091-1CCF-49E1-B1CC-2FE6BC41800A}"/>
    <cellStyle name="Migliaia 13 5 2 3" xfId="19883" xr:uid="{58657380-4904-42BF-8F60-0018A1A472C4}"/>
    <cellStyle name="Migliaia 13 5 2 3 2" xfId="36035" xr:uid="{888EC172-D6B7-4DCB-9E06-6D2C5DC4FD80}"/>
    <cellStyle name="Migliaia 13 5 2 4" xfId="41163" xr:uid="{9911A6B1-FFFF-45B1-89D9-82282017420A}"/>
    <cellStyle name="Migliaia 13 5 2 5" xfId="16069" xr:uid="{BD0334E2-E8DE-4C74-9E92-53C6DC8ED15A}"/>
    <cellStyle name="Migliaia 13 5 2 6" xfId="8508" xr:uid="{544106B1-FDAE-484F-9A5A-7D80A14AA199}"/>
    <cellStyle name="Migliaia 13 5 3" xfId="6118" xr:uid="{66ED7BD3-5C9C-4C53-9DF5-B8F8BA69CB87}"/>
    <cellStyle name="Migliaia 13 5 3 2" xfId="33142" xr:uid="{9636B4EA-4742-4FC4-9B6D-84529E6D40CF}"/>
    <cellStyle name="Migliaia 13 5 3 2 2" xfId="38513" xr:uid="{33CA0F71-7CFE-4B31-8EBA-F3B77FD39712}"/>
    <cellStyle name="Migliaia 13 5 3 2 3" xfId="43815" xr:uid="{5B8BC182-0065-426C-A060-9FDE6560C2B2}"/>
    <cellStyle name="Migliaia 13 5 3 3" xfId="36036" xr:uid="{44816237-00D7-4410-B664-20865B1206FC}"/>
    <cellStyle name="Migliaia 13 5 3 4" xfId="41164" xr:uid="{44F0EB65-8076-463C-83CE-2D007287ECC5}"/>
    <cellStyle name="Migliaia 13 5 3 5" xfId="11255" xr:uid="{484F4FA7-B5C8-4541-9CA2-F29DC81FD8B4}"/>
    <cellStyle name="Migliaia 13 5 4" xfId="3173" xr:uid="{A0836E60-A796-4B81-9C6A-4C3FB9145E77}"/>
    <cellStyle name="Migliaia 13 5 4 2" xfId="21389" xr:uid="{DF479013-38F7-4C8E-9633-FA1A4C5C2A91}"/>
    <cellStyle name="Migliaia 13 5 4 2 2" xfId="38514" xr:uid="{3E217622-D775-4549-A674-8B1A9DF7463B}"/>
    <cellStyle name="Migliaia 13 5 4 2 3" xfId="43816" xr:uid="{BD8EC983-7AB8-455A-852E-53920CA24780}"/>
    <cellStyle name="Migliaia 13 5 4 2 4" xfId="33143" xr:uid="{EE66C35C-4BE4-4E11-AD9A-7C7B1DB994CE}"/>
    <cellStyle name="Migliaia 13 5 4 3" xfId="36037" xr:uid="{D8E6F0DD-9F7C-4A05-AA74-1E178D9F254B}"/>
    <cellStyle name="Migliaia 13 5 4 4" xfId="41165" xr:uid="{67D588DE-C809-409B-8A8A-1BAA07459325}"/>
    <cellStyle name="Migliaia 13 5 4 5" xfId="24297" xr:uid="{3B84B158-1380-4880-9D21-2B4128B70EF1}"/>
    <cellStyle name="Migliaia 13 5 4 6" xfId="47300" xr:uid="{375E4AE2-8DAC-450D-8D1B-148BBE122808}"/>
    <cellStyle name="Migliaia 13 5 4 7" xfId="50404" xr:uid="{6A05FEF6-2D49-44DA-88FD-3BA0DB68A360}"/>
    <cellStyle name="Migliaia 13 5 4 8" xfId="53420" xr:uid="{C191B21B-74BD-464E-9119-36A5B4A11AAF}"/>
    <cellStyle name="Migliaia 13 5 4 9" xfId="10754" xr:uid="{D6DB2D08-9DDB-48C3-BB7D-0F42BAFF0512}"/>
    <cellStyle name="Migliaia 13 5 5" xfId="19882" xr:uid="{6A9EF6F7-FCB2-4AFB-9526-EDA7D993D363}"/>
    <cellStyle name="Migliaia 13 5 5 2" xfId="33144" xr:uid="{5BDEC56E-8725-454E-A552-2ED6FC7EC391}"/>
    <cellStyle name="Migliaia 13 5 5 2 2" xfId="38515" xr:uid="{558B4B65-65BC-4C57-A00C-3B15091E2FB1}"/>
    <cellStyle name="Migliaia 13 5 5 2 3" xfId="43817" xr:uid="{21C72AC5-BAA4-40BB-9831-93F2769B7188}"/>
    <cellStyle name="Migliaia 13 5 5 3" xfId="36038" xr:uid="{53E73467-8D26-443C-902B-E6D31E8B856A}"/>
    <cellStyle name="Migliaia 13 5 5 4" xfId="41166" xr:uid="{B254FE10-DF0A-4F09-8576-8A82587488FE}"/>
    <cellStyle name="Migliaia 13 5 5 5" xfId="24298" xr:uid="{C2C013C0-E0ED-4CEE-A396-4580C57EA267}"/>
    <cellStyle name="Migliaia 13 5 6" xfId="24299" xr:uid="{FC0BB3D2-C55C-4E3C-BB2E-399BE35492B9}"/>
    <cellStyle name="Migliaia 13 5 6 2" xfId="33145" xr:uid="{1BA155B9-2BF7-48C3-81F0-4BC774AA16FC}"/>
    <cellStyle name="Migliaia 13 5 6 2 2" xfId="38516" xr:uid="{A3CAEC0D-2CD6-45A9-9AB9-7160F516C0DC}"/>
    <cellStyle name="Migliaia 13 5 6 2 3" xfId="43818" xr:uid="{165A1816-544D-4291-8574-BC1C42099227}"/>
    <cellStyle name="Migliaia 13 5 6 3" xfId="36039" xr:uid="{D808C6E8-C7D8-41EF-B382-00CCAC06725C}"/>
    <cellStyle name="Migliaia 13 5 6 4" xfId="41167" xr:uid="{D36663F6-0567-40C7-ABB3-D4BC0B7A7804}"/>
    <cellStyle name="Migliaia 13 5 7" xfId="24296" xr:uid="{83349A3D-ED20-4913-AC3A-8B78EE590400}"/>
    <cellStyle name="Migliaia 13 5 8" xfId="7318" xr:uid="{4DA8059C-A065-40DB-841B-CCEDAAD72BA4}"/>
    <cellStyle name="Migliaia 13 6" xfId="3174" xr:uid="{CE1B7F1C-7D78-4B76-A55C-FE5798633F07}"/>
    <cellStyle name="Migliaia 13 6 2" xfId="4900" xr:uid="{E3B8178D-DDED-4F1F-A089-ADA8A44EFF91}"/>
    <cellStyle name="Migliaia 13 6 2 2" xfId="9889" xr:uid="{6671354B-9ACE-42A6-8A6D-5E0551C6E069}"/>
    <cellStyle name="Migliaia 13 6 2 3" xfId="18676" xr:uid="{004783EA-B33A-4B50-9B18-24DA65A6E4B5}"/>
    <cellStyle name="Migliaia 13 6 2 4" xfId="19885" xr:uid="{41FF3440-A793-42AD-ABB2-9EF374AC4D58}"/>
    <cellStyle name="Migliaia 13 6 2 5" xfId="32307" xr:uid="{80C0F73C-521B-48B2-B5D6-28F02E6669DE}"/>
    <cellStyle name="Migliaia 13 6 2 6" xfId="16071" xr:uid="{DBCF1BAB-0CE7-466A-92F7-368029320C2F}"/>
    <cellStyle name="Migliaia 13 6 2 7" xfId="8503" xr:uid="{5FADAEA8-31F2-4207-8CDC-CFB4A1C4E133}"/>
    <cellStyle name="Migliaia 13 6 3" xfId="6119" xr:uid="{A2AA4359-D3F0-4189-B69B-B61DC128451E}"/>
    <cellStyle name="Migliaia 13 6 3 2" xfId="35153" xr:uid="{FC157022-F096-4E6E-AC8D-4781D30B0642}"/>
    <cellStyle name="Migliaia 13 6 3 2 2" xfId="40311" xr:uid="{8379A4B3-8195-4B61-8212-6731C5AF9F8E}"/>
    <cellStyle name="Migliaia 13 6 3 2 3" xfId="45613" xr:uid="{031D1A15-8890-4220-9C01-B7D995BF27D8}"/>
    <cellStyle name="Migliaia 13 6 3 3" xfId="37660" xr:uid="{178C8F4E-BD29-46D7-99E7-2BC9D462D282}"/>
    <cellStyle name="Migliaia 13 6 3 4" xfId="42962" xr:uid="{E6904C30-5B5A-4D49-B20D-AF53A783DC9D}"/>
    <cellStyle name="Migliaia 13 6 3 5" xfId="9652" xr:uid="{66B9BA0F-B3DE-46F6-81CA-3767647C7EF3}"/>
    <cellStyle name="Migliaia 13 6 4" xfId="19884" xr:uid="{A43AB79D-576B-4A82-AA9A-A8DD635F427B}"/>
    <cellStyle name="Migliaia 13 6 4 2" xfId="38517" xr:uid="{B346B248-F048-4C7D-B35E-E7A467541FB6}"/>
    <cellStyle name="Migliaia 13 6 4 3" xfId="43819" xr:uid="{F0F607BC-11C3-4726-80C3-0DB80A655C57}"/>
    <cellStyle name="Migliaia 13 6 4 4" xfId="33146" xr:uid="{EA11353A-51B6-4CA7-90A2-6225A266F2EB}"/>
    <cellStyle name="Migliaia 13 6 5" xfId="36040" xr:uid="{15C76789-B972-4419-AF33-B3DD28004BA7}"/>
    <cellStyle name="Migliaia 13 6 6" xfId="41168" xr:uid="{90E9163A-2762-4B37-9A1F-25EF1AE41D5C}"/>
    <cellStyle name="Migliaia 13 6 7" xfId="16070" xr:uid="{72483167-9ED5-418A-874C-9D58D43DACBA}"/>
    <cellStyle name="Migliaia 13 6 8" xfId="7313" xr:uid="{8B4695D9-CE5E-4F83-A358-8E4906EF3440}"/>
    <cellStyle name="Migliaia 13 7" xfId="3175" xr:uid="{F2B4D53E-3B7A-4476-B9EA-28716B1C0261}"/>
    <cellStyle name="Migliaia 13 7 2" xfId="4901" xr:uid="{EE3FAAD7-ECDA-4512-80E1-D398A5ACCAF5}"/>
    <cellStyle name="Migliaia 13 7 2 2" xfId="35154" xr:uid="{460CE8EC-12F9-4083-9C6E-B44FF8763609}"/>
    <cellStyle name="Migliaia 13 7 2 2 2" xfId="40312" xr:uid="{C99EA8DA-BD57-4595-A641-F2212C346108}"/>
    <cellStyle name="Migliaia 13 7 2 2 3" xfId="45614" xr:uid="{1BCBA3F7-5445-4012-8199-CC222797A478}"/>
    <cellStyle name="Migliaia 13 7 2 3" xfId="37661" xr:uid="{4521D11D-A4B8-45F0-B36E-787A4586E2D3}"/>
    <cellStyle name="Migliaia 13 7 2 4" xfId="42963" xr:uid="{1A7B0B3C-A03C-4466-8254-AB14A085CAD0}"/>
    <cellStyle name="Migliaia 13 7 2 5" xfId="14190" xr:uid="{2D687C2C-A340-40B6-B857-3C50999F3E58}"/>
    <cellStyle name="Migliaia 13 7 3" xfId="6120" xr:uid="{AAE0BC7D-E9A3-4924-AD41-8819BB72148B}"/>
    <cellStyle name="Migliaia 13 7 3 2" xfId="38518" xr:uid="{B1AB54A1-DEFD-420E-A634-80BEEF82F4A0}"/>
    <cellStyle name="Migliaia 13 7 3 3" xfId="43820" xr:uid="{03A84541-2D34-41BA-A152-E3BE9083E5F6}"/>
    <cellStyle name="Migliaia 13 7 3 4" xfId="33147" xr:uid="{1E7E1196-05C0-4B82-8B96-E45A7D397341}"/>
    <cellStyle name="Migliaia 13 7 3 5" xfId="19886" xr:uid="{185331CA-A25A-4CD2-A1B0-3E63F506BDBF}"/>
    <cellStyle name="Migliaia 13 7 4" xfId="36041" xr:uid="{B50927E9-0F20-44C0-AC6D-0C7D9070B1D7}"/>
    <cellStyle name="Migliaia 13 7 5" xfId="41169" xr:uid="{12F81F7E-6B98-47AA-8587-AD44E6F5866F}"/>
    <cellStyle name="Migliaia 13 7 6" xfId="16072" xr:uid="{D4AF85A0-CE02-4580-A425-3DE81A685154}"/>
    <cellStyle name="Migliaia 13 7 7" xfId="8252" xr:uid="{60A6F641-699A-4752-8A61-5E44838C29AA}"/>
    <cellStyle name="Migliaia 13 8" xfId="3176" xr:uid="{6C611D75-8C11-4475-ABEC-F475F7738929}"/>
    <cellStyle name="Migliaia 13 8 2" xfId="4902" xr:uid="{CCEF93C9-81AF-4D94-94A4-117CF2EA4B6C}"/>
    <cellStyle name="Migliaia 13 8 2 2" xfId="35155" xr:uid="{C1881006-959F-41A2-AB28-17FBC0322BD4}"/>
    <cellStyle name="Migliaia 13 8 2 2 2" xfId="40313" xr:uid="{D9781DDB-C60F-4A97-B678-6C0FE1A086E0}"/>
    <cellStyle name="Migliaia 13 8 2 2 3" xfId="45615" xr:uid="{09AA256B-1220-441E-B436-386AF7A77F1F}"/>
    <cellStyle name="Migliaia 13 8 2 3" xfId="37662" xr:uid="{7B704A5E-6CE6-4EE7-91B4-26BF0F3EB353}"/>
    <cellStyle name="Migliaia 13 8 2 4" xfId="42964" xr:uid="{1529B2DC-2FAE-4696-9673-AE0F687443D7}"/>
    <cellStyle name="Migliaia 13 8 2 5" xfId="13893" xr:uid="{16DB425E-B24E-4E1A-93DD-F021FC9B7B3D}"/>
    <cellStyle name="Migliaia 13 8 3" xfId="6121" xr:uid="{16DF3222-E734-45C8-A646-AAB2935B52AE}"/>
    <cellStyle name="Migliaia 13 8 3 2" xfId="38519" xr:uid="{51BA05D8-B55F-4F8A-9521-BA7BF92DBEEC}"/>
    <cellStyle name="Migliaia 13 8 3 3" xfId="43821" xr:uid="{7AC84393-9FCD-4ED6-BB45-E266F7EA5109}"/>
    <cellStyle name="Migliaia 13 8 3 4" xfId="33148" xr:uid="{4E27C67D-B8C5-4AE3-8862-D7EEBE8BC8CB}"/>
    <cellStyle name="Migliaia 13 8 3 5" xfId="19887" xr:uid="{907D0214-F1D7-412F-9BD1-BC4F7BDAE411}"/>
    <cellStyle name="Migliaia 13 8 4" xfId="36042" xr:uid="{A5FB4337-B083-4D6A-B04B-A142E038ABB5}"/>
    <cellStyle name="Migliaia 13 8 5" xfId="41170" xr:uid="{1EF852E5-8761-4D92-B8CC-E8027721B105}"/>
    <cellStyle name="Migliaia 13 8 6" xfId="16073" xr:uid="{772E4B4A-90D7-4547-81D2-FC2E18C146D3}"/>
    <cellStyle name="Migliaia 13 8 7" xfId="7835" xr:uid="{8E7BEBA3-7D2D-43DF-9868-4E31E989B326}"/>
    <cellStyle name="Migliaia 13 9" xfId="4887" xr:uid="{C6B1E964-4974-4B1E-AB6E-DF1142806F8B}"/>
    <cellStyle name="Migliaia 13 9 2" xfId="33149" xr:uid="{F36BFB54-76CF-4FBB-A28F-664A9305AEC0}"/>
    <cellStyle name="Migliaia 13 9 2 2" xfId="38520" xr:uid="{A545EAC1-C2F0-478A-ADBC-AC2C730CCEAE}"/>
    <cellStyle name="Migliaia 13 9 2 3" xfId="43822" xr:uid="{9FC89445-7036-4E33-ABFB-60C5A194BE03}"/>
    <cellStyle name="Migliaia 13 9 3" xfId="36043" xr:uid="{6792ED95-35D0-4205-9A4A-5C000D3BC63A}"/>
    <cellStyle name="Migliaia 13 9 4" xfId="41171" xr:uid="{9B4ED42D-6811-4F77-A928-F22C42BCD3FB}"/>
    <cellStyle name="Migliaia 13 9 5" xfId="17143" xr:uid="{7856E001-00F8-4F01-B6BF-0841F2A7B796}"/>
    <cellStyle name="Migliaia 14" xfId="317" xr:uid="{00000000-0005-0000-0000-0000E5020000}"/>
    <cellStyle name="Migliaia 14 10" xfId="6122" xr:uid="{AFACF5B1-C2F3-4AEB-9BCE-49C4D3ACC986}"/>
    <cellStyle name="Migliaia 14 10 2" xfId="38521" xr:uid="{C1D0AA0D-ADE9-4823-9412-E884A2F5A337}"/>
    <cellStyle name="Migliaia 14 10 3" xfId="43823" xr:uid="{09E85EBD-AD99-40FC-85C7-5B7C9F6D2E79}"/>
    <cellStyle name="Migliaia 14 10 4" xfId="33150" xr:uid="{27C0FAD6-B2D7-4401-916B-6875DBB1BA32}"/>
    <cellStyle name="Migliaia 14 10 5" xfId="19888" xr:uid="{D023BE3A-68B3-4041-ACFB-2B38111494EC}"/>
    <cellStyle name="Migliaia 14 11" xfId="3177" xr:uid="{78461DA8-8FA0-482B-8F9A-044A55B48314}"/>
    <cellStyle name="Migliaia 14 11 2" xfId="36044" xr:uid="{901FF3A3-DB9D-44CC-8AFA-15B63AB82D2E}"/>
    <cellStyle name="Migliaia 14 12" xfId="41172" xr:uid="{6CA679D3-47A1-435A-8621-11C5991464A1}"/>
    <cellStyle name="Migliaia 14 13" xfId="7056" xr:uid="{1AA3B54C-E46A-430E-9C89-E178B6D4A471}"/>
    <cellStyle name="Migliaia 14 2" xfId="318" xr:uid="{00000000-0005-0000-0000-0000E6020000}"/>
    <cellStyle name="Migliaia 14 2 2" xfId="1678" xr:uid="{00000000-0005-0000-0000-0000E7020000}"/>
    <cellStyle name="Migliaia 14 2 2 2" xfId="4905" xr:uid="{F52D6DEA-4681-4C4C-BBA3-BF6643C38E59}"/>
    <cellStyle name="Migliaia 14 2 2 2 2" xfId="14367" xr:uid="{E5EC9185-E031-45F8-A675-B5602138B5B8}"/>
    <cellStyle name="Migliaia 14 2 2 2 2 2" xfId="38522" xr:uid="{ACAA560D-B2A0-455A-B38F-298F6CA0D90D}"/>
    <cellStyle name="Migliaia 14 2 2 2 2 3" xfId="43824" xr:uid="{C4B506F5-02C9-403E-9C48-ADC8D27A9A76}"/>
    <cellStyle name="Migliaia 14 2 2 2 3" xfId="18372" xr:uid="{7357510F-A1BA-45E2-9F46-317AD1B26B5A}"/>
    <cellStyle name="Migliaia 14 2 2 2 4" xfId="19891" xr:uid="{636AF86B-0331-46C9-9EA1-370477A226A1}"/>
    <cellStyle name="Migliaia 14 2 2 2 4 2" xfId="41173" xr:uid="{10CD394B-336E-44D9-8B41-DC7A6FF81772}"/>
    <cellStyle name="Migliaia 14 2 2 2 5" xfId="16074" xr:uid="{87492518-09C8-46D8-BB8A-113BC75804D5}"/>
    <cellStyle name="Migliaia 14 2 2 2 6" xfId="8510" xr:uid="{AE80EF08-F13D-4D7D-9C2A-76E5B14EDD72}"/>
    <cellStyle name="Migliaia 14 2 2 3" xfId="6124" xr:uid="{5D9525EA-ECB8-4772-BE57-F5038E65D7E8}"/>
    <cellStyle name="Migliaia 14 2 2 3 2" xfId="35156" xr:uid="{B45DCD7A-905B-4595-B838-38A13A3B1DAB}"/>
    <cellStyle name="Migliaia 14 2 2 3 2 2" xfId="40314" xr:uid="{ADE803AC-299E-4ADA-8F28-1190A302E7A5}"/>
    <cellStyle name="Migliaia 14 2 2 3 2 3" xfId="45616" xr:uid="{3BE61AD0-A66D-49CE-81F4-9D75D1C2DBEF}"/>
    <cellStyle name="Migliaia 14 2 2 3 3" xfId="37663" xr:uid="{EE0C7E03-FF60-4CB5-BB50-15BBFC08CC87}"/>
    <cellStyle name="Migliaia 14 2 2 3 4" xfId="42965" xr:uid="{C02EC9C1-2539-4BAB-84E7-918FAC90E6DC}"/>
    <cellStyle name="Migliaia 14 2 2 3 5" xfId="11596" xr:uid="{9771F3F0-1D8D-4D42-A975-CCAB3F982230}"/>
    <cellStyle name="Migliaia 14 2 2 4" xfId="3179" xr:uid="{82FBAFE7-646B-42EC-B368-3B8605EFADBD}"/>
    <cellStyle name="Migliaia 14 2 2 4 2" xfId="21390" xr:uid="{150DB793-BD82-4A20-95EF-81F8DE788D2D}"/>
    <cellStyle name="Migliaia 14 2 2 4 3" xfId="46207" xr:uid="{924E932C-7A9E-439A-ACB2-1FFF7EEEF8AD}"/>
    <cellStyle name="Migliaia 14 2 2 4 4" xfId="50405" xr:uid="{9EDF6B1D-980B-4133-8E32-6773098E33F4}"/>
    <cellStyle name="Migliaia 14 2 2 4 5" xfId="53421" xr:uid="{0B024939-FFA6-4BF0-84CB-1464A3502D89}"/>
    <cellStyle name="Migliaia 14 2 2 4 6" xfId="10755" xr:uid="{A4D6208B-4C4A-473A-B168-2C326266DB54}"/>
    <cellStyle name="Migliaia 14 2 2 5" xfId="19890" xr:uid="{D98561F1-9AF5-477C-B687-D3CA4DF6C98E}"/>
    <cellStyle name="Migliaia 14 2 2 6" xfId="24301" xr:uid="{25EDC3C1-2499-4277-A931-39059B13D39E}"/>
    <cellStyle name="Migliaia 14 2 2 7" xfId="7320" xr:uid="{5E273ABD-F298-4801-B795-A60BA5CCBD07}"/>
    <cellStyle name="Migliaia 14 2 3" xfId="3180" xr:uid="{32BEA417-3353-4F51-B00C-88EE0C5B6102}"/>
    <cellStyle name="Migliaia 14 2 3 2" xfId="4906" xr:uid="{940981CB-36D8-4ECE-B7D0-01CB84AF46C7}"/>
    <cellStyle name="Migliaia 14 2 3 2 2" xfId="35157" xr:uid="{31E77326-7DAC-4C5B-A545-6DF97E660CE0}"/>
    <cellStyle name="Migliaia 14 2 3 2 2 2" xfId="40315" xr:uid="{B72E752F-B372-4441-AF11-6A30DB08772F}"/>
    <cellStyle name="Migliaia 14 2 3 2 2 3" xfId="45617" xr:uid="{DA943A6B-B947-42F0-9D3B-4C1D8640FA15}"/>
    <cellStyle name="Migliaia 14 2 3 2 3" xfId="37664" xr:uid="{1C864A16-55AF-4BA3-8EFE-D0DF7FBD0A2D}"/>
    <cellStyle name="Migliaia 14 2 3 2 4" xfId="42966" xr:uid="{9C20A4C3-F36E-4255-A08B-4B69130E7E9C}"/>
    <cellStyle name="Migliaia 14 2 3 2 5" xfId="14194" xr:uid="{5B9DBDF0-1950-4462-8E30-BEB83954E99C}"/>
    <cellStyle name="Migliaia 14 2 3 3" xfId="6125" xr:uid="{D561AFD0-14F8-493C-9F25-E619828D2D6F}"/>
    <cellStyle name="Migliaia 14 2 3 3 2" xfId="38523" xr:uid="{DB1C3635-96E2-4157-B650-5C951016FF2B}"/>
    <cellStyle name="Migliaia 14 2 3 3 3" xfId="43825" xr:uid="{CF2D76E8-9128-4934-A823-35EB0EC637B7}"/>
    <cellStyle name="Migliaia 14 2 3 3 4" xfId="33151" xr:uid="{EC00FCC0-B2C8-4DFD-982A-13966D70C726}"/>
    <cellStyle name="Migliaia 14 2 3 3 5" xfId="19892" xr:uid="{3056E3C4-0582-41F3-BD32-D34F1E796536}"/>
    <cellStyle name="Migliaia 14 2 3 4" xfId="36045" xr:uid="{E8E45BC3-8B16-49F7-B6F9-B0117DFB6CDF}"/>
    <cellStyle name="Migliaia 14 2 3 5" xfId="41174" xr:uid="{5CCD46FC-06BD-4688-84D8-09DAB39FA0E3}"/>
    <cellStyle name="Migliaia 14 2 3 6" xfId="16075" xr:uid="{A0191910-BC00-4732-B64C-78DCDB890E52}"/>
    <cellStyle name="Migliaia 14 2 3 7" xfId="8256" xr:uid="{A0088051-C4DD-4CFC-BC6D-D4B74A2F2AAC}"/>
    <cellStyle name="Migliaia 14 2 4" xfId="4904" xr:uid="{5251EC31-29E0-4091-AB8A-DC3B8E62B3DB}"/>
    <cellStyle name="Migliaia 14 2 4 2" xfId="13897" xr:uid="{8B1715B8-6472-423D-97C8-45B8C6E4EC97}"/>
    <cellStyle name="Migliaia 14 2 4 2 2" xfId="38524" xr:uid="{5ECEEC35-67E7-42CC-9DCC-2439189F1957}"/>
    <cellStyle name="Migliaia 14 2 4 2 3" xfId="43826" xr:uid="{14CC94F0-DC98-41E4-8857-72CD4256BD4C}"/>
    <cellStyle name="Migliaia 14 2 4 3" xfId="18013" xr:uid="{93047A84-3441-4FF9-B44D-1FFC28A97CCE}"/>
    <cellStyle name="Migliaia 14 2 4 4" xfId="19893" xr:uid="{4FE7A76C-B401-45C6-B332-CB77CC9B92AB}"/>
    <cellStyle name="Migliaia 14 2 4 4 2" xfId="41175" xr:uid="{00DC8DA6-8601-4CFD-9E94-260E7DB0D1C1}"/>
    <cellStyle name="Migliaia 14 2 4 5" xfId="16076" xr:uid="{AC35D904-385A-4AE6-B325-06C02AC61BAE}"/>
    <cellStyle name="Migliaia 14 2 4 6" xfId="7840" xr:uid="{08FC95BF-F9E6-40C1-9340-666208CEBA5B}"/>
    <cellStyle name="Migliaia 14 2 5" xfId="6123" xr:uid="{09CD4F76-96EC-494D-A98B-7D418438084F}"/>
    <cellStyle name="Migliaia 14 2 5 2" xfId="33152" xr:uid="{B5927BDD-FD9B-4EB1-9AC9-2FE9D14335F7}"/>
    <cellStyle name="Migliaia 14 2 5 2 2" xfId="38525" xr:uid="{B41DA60F-40CA-4AFD-82A5-F77AC7ACF9A1}"/>
    <cellStyle name="Migliaia 14 2 5 2 3" xfId="43827" xr:uid="{7F959AC0-D57D-498F-A938-720033F8C50D}"/>
    <cellStyle name="Migliaia 14 2 5 3" xfId="36046" xr:uid="{A8E01118-0C5A-45B7-B570-AA5144C9A25A}"/>
    <cellStyle name="Migliaia 14 2 5 4" xfId="41176" xr:uid="{BA12B95B-04BA-4A4C-96A8-CABFFEFFF6CA}"/>
    <cellStyle name="Migliaia 14 2 5 5" xfId="13107" xr:uid="{1B731F3E-8161-42A7-BE4A-0260599E2A9F}"/>
    <cellStyle name="Migliaia 14 2 6" xfId="3178" xr:uid="{74A4A554-2E88-4081-A7EB-F7671F8EB68D}"/>
    <cellStyle name="Migliaia 14 2 6 2" xfId="33153" xr:uid="{59F4F62C-627C-4AE0-95C1-549991C484A8}"/>
    <cellStyle name="Migliaia 14 2 6 2 2" xfId="38526" xr:uid="{FCB188E5-B1D2-4787-B4A0-210D168818CC}"/>
    <cellStyle name="Migliaia 14 2 6 2 3" xfId="43828" xr:uid="{784D1E07-BCB3-4D87-90C5-CDE826E9CAC5}"/>
    <cellStyle name="Migliaia 14 2 6 3" xfId="36047" xr:uid="{2F992291-C9FE-4CA3-9236-6BAE63F6693F}"/>
    <cellStyle name="Migliaia 14 2 6 4" xfId="41177" xr:uid="{0A9ABF8A-38A6-46FD-934F-26918FFDC674}"/>
    <cellStyle name="Migliaia 14 2 6 5" xfId="24302" xr:uid="{8F759785-B364-4570-82EE-A5D516E2FAC9}"/>
    <cellStyle name="Migliaia 14 2 6 6" xfId="19889" xr:uid="{0781619E-19B4-41B2-A2EC-53028DDAE5E7}"/>
    <cellStyle name="Migliaia 14 2 7" xfId="24300" xr:uid="{3A6E4FD7-695F-4FE9-9078-9CA638F59A3C}"/>
    <cellStyle name="Migliaia 14 2 8" xfId="7057" xr:uid="{A54FBA84-0C4B-49D3-A766-61FC1FB4B94D}"/>
    <cellStyle name="Migliaia 14 3" xfId="319" xr:uid="{00000000-0005-0000-0000-0000E8020000}"/>
    <cellStyle name="Migliaia 14 3 10" xfId="24303" xr:uid="{3C2CA67B-A5EC-4101-9EFC-98BEA704E975}"/>
    <cellStyle name="Migliaia 14 3 11" xfId="16077" xr:uid="{577AFD19-FB0C-49DE-9847-3BF393646A3C}"/>
    <cellStyle name="Migliaia 14 3 12" xfId="7058" xr:uid="{16F23169-127F-4C8C-BDDB-4272236A52CC}"/>
    <cellStyle name="Migliaia 14 3 2" xfId="320" xr:uid="{00000000-0005-0000-0000-0000E9020000}"/>
    <cellStyle name="Migliaia 14 3 2 2" xfId="1679" xr:uid="{00000000-0005-0000-0000-0000EA020000}"/>
    <cellStyle name="Migliaia 14 3 2 2 2" xfId="4909" xr:uid="{41CE3350-31F8-46B8-BC3F-A316BB34751B}"/>
    <cellStyle name="Migliaia 14 3 2 2 2 2" xfId="18373" xr:uid="{F165BAFD-5488-46DE-ADE1-B9D024088B95}"/>
    <cellStyle name="Migliaia 14 3 2 2 2 2 2" xfId="21842" xr:uid="{E7248319-FC69-4610-809A-1918A9E8FFB8}"/>
    <cellStyle name="Migliaia 14 3 2 2 2 2 2 2" xfId="38527" xr:uid="{F021E581-1495-4577-B3F4-B8263D515DDB}"/>
    <cellStyle name="Migliaia 14 3 2 2 2 2 3" xfId="43829" xr:uid="{ECB2152B-F24F-4539-B4E0-E70FD9943C46}"/>
    <cellStyle name="Migliaia 14 3 2 2 2 2 4" xfId="33154" xr:uid="{18CB0AFA-69BC-44DA-A7D6-76E799CC1AE8}"/>
    <cellStyle name="Migliaia 14 3 2 2 2 3" xfId="36048" xr:uid="{F0209CFE-DFBA-4F09-99B1-46119262B1C6}"/>
    <cellStyle name="Migliaia 14 3 2 2 2 4" xfId="41178" xr:uid="{E8A668D1-AA73-4798-A0BB-B951C1ADE450}"/>
    <cellStyle name="Migliaia 14 3 2 2 2 5" xfId="47011" xr:uid="{FA873E99-A689-4F0B-922B-6F3A796FD069}"/>
    <cellStyle name="Migliaia 14 3 2 2 2 6" xfId="50870" xr:uid="{7A3FAC1A-FC31-45E8-BCAB-E34B9E635EDD}"/>
    <cellStyle name="Migliaia 14 3 2 2 2 7" xfId="53886" xr:uid="{4732F40A-43B1-49D1-8399-38EAF56E6B2D}"/>
    <cellStyle name="Migliaia 14 3 2 2 2 8" xfId="17643" xr:uid="{B4B3959D-E2A7-4668-8C4C-B416870198E6}"/>
    <cellStyle name="Migliaia 14 3 2 2 2 9" xfId="11903" xr:uid="{E6C98EEE-56DA-41E7-968D-AB4A40323D7A}"/>
    <cellStyle name="Migliaia 14 3 2 2 3" xfId="6128" xr:uid="{D802CEEB-D8D8-4D38-8969-12DF2413B3AD}"/>
    <cellStyle name="Migliaia 14 3 2 2 3 2" xfId="11684" xr:uid="{63E62E25-7D6A-4054-ABD2-5B4FDD2A8F3E}"/>
    <cellStyle name="Migliaia 14 3 2 2 4" xfId="3183" xr:uid="{74E7B9BD-C74A-4CB3-8CCF-ABBC90B4FC95}"/>
    <cellStyle name="Migliaia 14 3 2 2 4 2" xfId="21391" xr:uid="{FC0037A1-E5F4-4D4E-B8AD-B307246EFBD3}"/>
    <cellStyle name="Migliaia 14 3 2 2 4 3" xfId="47893" xr:uid="{1ED8681A-C796-45DA-8A69-A704D2CC3C17}"/>
    <cellStyle name="Migliaia 14 3 2 2 4 4" xfId="50406" xr:uid="{A44DCC71-0956-46C2-A8C8-0F62B513B9E5}"/>
    <cellStyle name="Migliaia 14 3 2 2 4 5" xfId="53422" xr:uid="{845BA1D3-4177-4988-9BEC-7BD316EC6752}"/>
    <cellStyle name="Migliaia 14 3 2 2 4 6" xfId="10756" xr:uid="{481CA621-C63A-478B-92DC-B97B08147A1A}"/>
    <cellStyle name="Migliaia 14 3 2 2 5" xfId="19896" xr:uid="{6E54C4D9-F41A-430E-8A6E-2DB8D11D7E53}"/>
    <cellStyle name="Migliaia 14 3 2 2 6" xfId="24305" xr:uid="{18EDD79C-E717-4DC1-9323-EEE4E5D4A467}"/>
    <cellStyle name="Migliaia 14 3 2 2 7" xfId="8512" xr:uid="{FCAB6E4A-85EE-41A7-8D68-A52014D4059F}"/>
    <cellStyle name="Migliaia 14 3 2 3" xfId="4908" xr:uid="{B232A490-8FE6-420F-B286-0DD6248FEF86}"/>
    <cellStyle name="Migliaia 14 3 2 3 2" xfId="12229" xr:uid="{9631D86B-DB0A-4A58-8969-A12D21B85006}"/>
    <cellStyle name="Migliaia 14 3 2 3 2 2" xfId="38528" xr:uid="{0C353A9F-71C1-4367-AAFE-773592B983E7}"/>
    <cellStyle name="Migliaia 14 3 2 3 2 3" xfId="43830" xr:uid="{8B125071-DDB3-494B-8D3B-9795EEADF1AE}"/>
    <cellStyle name="Migliaia 14 3 2 3 2 4" xfId="33155" xr:uid="{A13E61A6-19CA-4FAC-A874-D4187B8788C8}"/>
    <cellStyle name="Migliaia 14 3 2 3 3" xfId="11904" xr:uid="{90C262F6-124A-4992-8EE4-6412C7E78C80}"/>
    <cellStyle name="Migliaia 14 3 2 3 4" xfId="19897" xr:uid="{23E6B408-F54B-46D1-AD0A-A22285BC8124}"/>
    <cellStyle name="Migliaia 14 3 2 3 4 2" xfId="41179" xr:uid="{051FC932-8766-4086-ACAE-3829056C5EB2}"/>
    <cellStyle name="Migliaia 14 3 2 3 5" xfId="16078" xr:uid="{36D3AF57-3608-4EDD-93FB-3698B4367CE3}"/>
    <cellStyle name="Migliaia 14 3 2 3 6" xfId="7842" xr:uid="{393C3883-3C3D-4FE8-810A-B6291E8D40F4}"/>
    <cellStyle name="Migliaia 14 3 2 4" xfId="6127" xr:uid="{39C6231B-DA26-4A21-B036-C02DB5C2B50C}"/>
    <cellStyle name="Migliaia 14 3 2 4 2" xfId="18062" xr:uid="{C34D441C-5812-40BD-BCFD-B98B474B437C}"/>
    <cellStyle name="Migliaia 14 3 2 4 2 2" xfId="38529" xr:uid="{59BB7ABF-30FA-4AC3-9467-15637B92D1A0}"/>
    <cellStyle name="Migliaia 14 3 2 4 2 3" xfId="43831" xr:uid="{420702B3-8DD4-476E-A531-5CBD2F5640A6}"/>
    <cellStyle name="Migliaia 14 3 2 4 3" xfId="36049" xr:uid="{76AD4847-2435-4F42-BD9B-AAA6531A845F}"/>
    <cellStyle name="Migliaia 14 3 2 4 4" xfId="41180" xr:uid="{C7C98953-1CEB-42A6-9CA6-729C31B418D3}"/>
    <cellStyle name="Migliaia 14 3 2 4 5" xfId="17146" xr:uid="{EBC447C4-539B-4BCD-81CC-762C44C4C9CA}"/>
    <cellStyle name="Migliaia 14 3 2 4 6" xfId="11256" xr:uid="{42699003-3C2A-4188-8142-CEBEC766AD48}"/>
    <cellStyle name="Migliaia 14 3 2 5" xfId="3182" xr:uid="{6D45E44A-773D-49DB-9840-317B2F7A8008}"/>
    <cellStyle name="Migliaia 14 3 2 5 2" xfId="33156" xr:uid="{B9637F82-6EE0-4621-837C-E0F196C9A393}"/>
    <cellStyle name="Migliaia 14 3 2 5 2 2" xfId="38530" xr:uid="{3DD8EA34-0584-483F-96F5-688AF1BF7DE5}"/>
    <cellStyle name="Migliaia 14 3 2 5 2 3" xfId="43832" xr:uid="{B5D1CF3C-0FDD-4DDF-9523-D697934AB166}"/>
    <cellStyle name="Migliaia 14 3 2 5 3" xfId="36050" xr:uid="{7B25D02E-F2EF-4306-80F4-964E18F4BAED}"/>
    <cellStyle name="Migliaia 14 3 2 5 4" xfId="41181" xr:uid="{3A44DED8-098C-4730-A498-2617A1F6A7D4}"/>
    <cellStyle name="Migliaia 14 3 2 5 5" xfId="17411" xr:uid="{76F949D4-7ABC-43E3-96C9-93197C996827}"/>
    <cellStyle name="Migliaia 14 3 2 6" xfId="19895" xr:uid="{D7F6CBED-CCEF-4AFC-97EA-3BB281D8F9F4}"/>
    <cellStyle name="Migliaia 14 3 2 6 2" xfId="33157" xr:uid="{6D2298B3-F96D-4833-8FFB-A6B94443581F}"/>
    <cellStyle name="Migliaia 14 3 2 6 2 2" xfId="38531" xr:uid="{FDAB7E14-42FF-4CF7-AF7F-E2674775459F}"/>
    <cellStyle name="Migliaia 14 3 2 6 2 3" xfId="43833" xr:uid="{247A7D39-2E94-4400-A1DA-82381C6239CC}"/>
    <cellStyle name="Migliaia 14 3 2 6 3" xfId="36051" xr:uid="{0369604B-4637-4618-B4A7-DBE4E287255B}"/>
    <cellStyle name="Migliaia 14 3 2 6 4" xfId="41182" xr:uid="{0678942B-4EC1-4E5F-8297-B8E45E4D915E}"/>
    <cellStyle name="Migliaia 14 3 2 6 5" xfId="24306" xr:uid="{C26446E8-BC5B-4B19-8DF4-48D926804253}"/>
    <cellStyle name="Migliaia 14 3 2 7" xfId="24304" xr:uid="{3073E27F-1D88-4971-8BD4-F66A3D312FBB}"/>
    <cellStyle name="Migliaia 14 3 2 8" xfId="7322" xr:uid="{FD2CB1D8-FB23-4070-8C0B-DBDDADFCF949}"/>
    <cellStyle name="Migliaia 14 3 3" xfId="3184" xr:uid="{77B6B7C9-BEE3-4219-9908-79E01EEC9A5E}"/>
    <cellStyle name="Migliaia 14 3 3 10" xfId="7321" xr:uid="{FA332ECA-DE23-4C7B-834E-908D2150B1B2}"/>
    <cellStyle name="Migliaia 14 3 3 2" xfId="4910" xr:uid="{339D99ED-FA04-4698-9C93-F6AFE701BD66}"/>
    <cellStyle name="Migliaia 14 3 3 2 2" xfId="9892" xr:uid="{587DC493-344C-4124-B1EE-BD32D41511EF}"/>
    <cellStyle name="Migliaia 14 3 3 2 2 2" xfId="38533" xr:uid="{E4CB58DC-79F9-4516-BD88-5EDC8D00AC5C}"/>
    <cellStyle name="Migliaia 14 3 3 2 2 3" xfId="43835" xr:uid="{EFED0053-7707-49E5-BD18-3EE82DA74B4A}"/>
    <cellStyle name="Migliaia 14 3 3 2 3" xfId="18172" xr:uid="{7E0F3060-4AD8-4204-86E9-33D4F5A2BF83}"/>
    <cellStyle name="Migliaia 14 3 3 2 4" xfId="19899" xr:uid="{70EAA542-2F49-4135-AF5F-503F243F3E3A}"/>
    <cellStyle name="Migliaia 14 3 3 2 4 2" xfId="41184" xr:uid="{C8856DF2-DE56-477F-872F-5269E2D2315C}"/>
    <cellStyle name="Migliaia 14 3 3 2 5" xfId="16080" xr:uid="{2C65882F-58CE-4F94-AC22-DC04C2EC1DCD}"/>
    <cellStyle name="Migliaia 14 3 3 2 6" xfId="8511" xr:uid="{CE32ACB1-3EB5-4341-B9AF-A9DCE93788FA}"/>
    <cellStyle name="Migliaia 14 3 3 3" xfId="6129" xr:uid="{537EF845-9A4C-4164-A1AB-E22DA3A22BAB}"/>
    <cellStyle name="Migliaia 14 3 3 3 2" xfId="33159" xr:uid="{6BD2C782-177A-4B31-A175-E04B9A3B9C79}"/>
    <cellStyle name="Migliaia 14 3 3 3 2 2" xfId="38534" xr:uid="{452A7293-2610-415E-BBA5-19F35A3C632E}"/>
    <cellStyle name="Migliaia 14 3 3 3 2 3" xfId="43836" xr:uid="{E92BB78A-A4C7-47D1-80F0-9D8D86A4DF47}"/>
    <cellStyle name="Migliaia 14 3 3 3 3" xfId="36053" xr:uid="{3D564776-4873-460E-BD50-18EBAAC59A68}"/>
    <cellStyle name="Migliaia 14 3 3 3 4" xfId="41185" xr:uid="{1D8259A2-528E-44E3-BC86-3EDAEE399D6D}"/>
    <cellStyle name="Migliaia 14 3 3 3 5" xfId="9655" xr:uid="{9E655186-3CB7-4583-AE39-1C897B184717}"/>
    <cellStyle name="Migliaia 14 3 3 4" xfId="19898" xr:uid="{DBCF3341-2705-45A6-8042-FA8A4B6EF773}"/>
    <cellStyle name="Migliaia 14 3 3 4 2" xfId="33160" xr:uid="{E6D2BBC2-E76A-4191-A957-423093CCBCCE}"/>
    <cellStyle name="Migliaia 14 3 3 4 2 2" xfId="38535" xr:uid="{FC117751-711A-4ABC-8A4C-84F89A0E4DF9}"/>
    <cellStyle name="Migliaia 14 3 3 4 2 3" xfId="43837" xr:uid="{651BA3B7-F7A2-4A03-8F1F-55132F9A40F7}"/>
    <cellStyle name="Migliaia 14 3 3 4 3" xfId="36054" xr:uid="{480794EB-B3CA-4F48-9458-D83902B5B588}"/>
    <cellStyle name="Migliaia 14 3 3 4 4" xfId="41186" xr:uid="{C76E9435-8D56-4175-AB8E-9FF108E02C0B}"/>
    <cellStyle name="Migliaia 14 3 3 4 5" xfId="24307" xr:uid="{3717FECF-7419-4249-BDFA-7C4949136229}"/>
    <cellStyle name="Migliaia 14 3 3 5" xfId="24308" xr:uid="{C44713CE-D2BB-4A7F-A15A-42BB17B77EE9}"/>
    <cellStyle name="Migliaia 14 3 3 5 2" xfId="33161" xr:uid="{3AD90E83-45DC-49A4-BC53-E307C7D17C84}"/>
    <cellStyle name="Migliaia 14 3 3 5 2 2" xfId="38536" xr:uid="{88DF9220-7A09-4DA3-8B16-3EAC43347424}"/>
    <cellStyle name="Migliaia 14 3 3 5 2 3" xfId="43838" xr:uid="{9C029CB2-FA4D-4A60-8059-233EB6DC365D}"/>
    <cellStyle name="Migliaia 14 3 3 5 3" xfId="36055" xr:uid="{22E54C94-EBDC-4A33-A481-3EACCFB38345}"/>
    <cellStyle name="Migliaia 14 3 3 5 4" xfId="41187" xr:uid="{A363EA79-30F9-4886-B1A9-2238E07B8587}"/>
    <cellStyle name="Migliaia 14 3 3 6" xfId="33158" xr:uid="{2E3A7C85-084A-4AB8-AE14-57CAA78C0B59}"/>
    <cellStyle name="Migliaia 14 3 3 6 2" xfId="38532" xr:uid="{574E574A-3ABF-4423-8C9E-F7A6D4A9E803}"/>
    <cellStyle name="Migliaia 14 3 3 6 3" xfId="43834" xr:uid="{A60C0015-96AB-46DF-BD3B-C730EE3C6F87}"/>
    <cellStyle name="Migliaia 14 3 3 7" xfId="36052" xr:uid="{6688C23E-CE50-4731-B2F1-0B09A5A01C7D}"/>
    <cellStyle name="Migliaia 14 3 3 8" xfId="41183" xr:uid="{10E156EF-0DB7-45F9-84E5-1BCE52AF1752}"/>
    <cellStyle name="Migliaia 14 3 3 9" xfId="16079" xr:uid="{BB3D3A44-D38C-4B86-9A6B-55081F602EE7}"/>
    <cellStyle name="Migliaia 14 3 4" xfId="3185" xr:uid="{A1EA2DB7-F7D2-4E69-A1E3-C4E9B0E70487}"/>
    <cellStyle name="Migliaia 14 3 4 2" xfId="4911" xr:uid="{9DB0BA99-6A06-41B5-87EE-FF0581E1AD4A}"/>
    <cellStyle name="Migliaia 14 3 4 2 2" xfId="14428" xr:uid="{DFB52A4B-79D4-421E-B208-3EE984846675}"/>
    <cellStyle name="Migliaia 14 3 4 2 3" xfId="18590" xr:uid="{1DC66BA3-68FE-415B-96A1-DB0F26D1D895}"/>
    <cellStyle name="Migliaia 14 3 4 2 4" xfId="19901" xr:uid="{3CE5CD89-6C71-437B-B0D0-61888BBD8F3A}"/>
    <cellStyle name="Migliaia 14 3 4 2 5" xfId="32308" xr:uid="{79FF99F2-EF60-4F5C-9AF8-5006B2477015}"/>
    <cellStyle name="Migliaia 14 3 4 2 6" xfId="16082" xr:uid="{EB8CD7E3-6FAC-411A-94C8-7BD71EBCBDB4}"/>
    <cellStyle name="Migliaia 14 3 4 2 7" xfId="8851" xr:uid="{EC80AF0C-CD31-481E-9D60-649518A0B3C8}"/>
    <cellStyle name="Migliaia 14 3 4 3" xfId="6130" xr:uid="{F2793EA7-0D19-41B5-B2C8-CEBC7078C830}"/>
    <cellStyle name="Migliaia 14 3 4 3 2" xfId="35158" xr:uid="{9583A157-10CD-47D5-9699-8A583F1C1392}"/>
    <cellStyle name="Migliaia 14 3 4 3 2 2" xfId="40316" xr:uid="{45203ABE-A586-4D72-ABAC-C5630AD01C9E}"/>
    <cellStyle name="Migliaia 14 3 4 3 2 3" xfId="45618" xr:uid="{F9255F09-FA4E-4092-A858-2E3DB350C3AC}"/>
    <cellStyle name="Migliaia 14 3 4 3 3" xfId="37665" xr:uid="{2C672F2C-5C47-4B39-BC55-0AB1BD715A26}"/>
    <cellStyle name="Migliaia 14 3 4 3 4" xfId="42967" xr:uid="{D9AB312D-6385-4874-91BA-0360BBC0A08B}"/>
    <cellStyle name="Migliaia 14 3 4 3 5" xfId="13676" xr:uid="{1BEC15A8-E0D3-42A2-AA2F-25975BDB41AC}"/>
    <cellStyle name="Migliaia 14 3 4 4" xfId="19900" xr:uid="{87095BB7-AE7A-4AC7-8618-986AAB4EB90B}"/>
    <cellStyle name="Migliaia 14 3 4 4 2" xfId="38537" xr:uid="{ED0F0894-D8AE-4A0F-A922-1F21848A235B}"/>
    <cellStyle name="Migliaia 14 3 4 4 3" xfId="43839" xr:uid="{0A77125C-F34B-4925-BBDB-BC18E7E96427}"/>
    <cellStyle name="Migliaia 14 3 4 4 4" xfId="33162" xr:uid="{2992360E-AB4C-4401-8F84-7CBC91CE112F}"/>
    <cellStyle name="Migliaia 14 3 4 5" xfId="36056" xr:uid="{2E307412-7358-436F-9ADB-F7129F0D50E3}"/>
    <cellStyle name="Migliaia 14 3 4 6" xfId="41188" xr:uid="{230BEC15-61E2-4844-BCC8-549EFB4667FE}"/>
    <cellStyle name="Migliaia 14 3 4 7" xfId="16081" xr:uid="{4DD9A0F3-DE3E-4B02-A0AF-766D850E9158}"/>
    <cellStyle name="Migliaia 14 3 4 8" xfId="7661" xr:uid="{C32E770C-8456-478F-B0C4-7F1CD1CE7C60}"/>
    <cellStyle name="Migliaia 14 3 5" xfId="3186" xr:uid="{45BB84BB-5639-4FF8-A183-C59773CCAD04}"/>
    <cellStyle name="Migliaia 14 3 5 2" xfId="4912" xr:uid="{6A4A9AA9-46A7-4B3F-A8C0-22FD0377A141}"/>
    <cellStyle name="Migliaia 14 3 5 2 2" xfId="35159" xr:uid="{734B478F-FAAE-4A6D-AB78-AF15A013B6CF}"/>
    <cellStyle name="Migliaia 14 3 5 2 2 2" xfId="40317" xr:uid="{15FD9506-0B53-4D75-BAD7-7CD74C134D44}"/>
    <cellStyle name="Migliaia 14 3 5 2 2 3" xfId="45619" xr:uid="{79489D8A-7768-4B2E-BA34-745ECF3D0A6F}"/>
    <cellStyle name="Migliaia 14 3 5 2 3" xfId="37666" xr:uid="{40DA44B5-F2B8-44CD-8AD5-5A8D697FCEEB}"/>
    <cellStyle name="Migliaia 14 3 5 2 4" xfId="42968" xr:uid="{AA9B2593-3402-476B-8BE6-1C9052D363ED}"/>
    <cellStyle name="Migliaia 14 3 5 2 5" xfId="14195" xr:uid="{B1E0D2D8-AD1E-45BC-87A4-2D60EB2A7DB1}"/>
    <cellStyle name="Migliaia 14 3 5 3" xfId="6131" xr:uid="{99C11310-EE17-4A91-8C4B-96692250718C}"/>
    <cellStyle name="Migliaia 14 3 5 3 2" xfId="38538" xr:uid="{314EAED1-319C-4E71-A315-488100612951}"/>
    <cellStyle name="Migliaia 14 3 5 3 3" xfId="43840" xr:uid="{C0D1BB47-795D-4C6E-BFC8-77000989D3CB}"/>
    <cellStyle name="Migliaia 14 3 5 3 4" xfId="33163" xr:uid="{B45A5D82-969E-4CBD-B374-343A7EE5DCDB}"/>
    <cellStyle name="Migliaia 14 3 5 3 5" xfId="19902" xr:uid="{139B61D3-5DBB-452B-9FB1-A993D96E58E8}"/>
    <cellStyle name="Migliaia 14 3 5 4" xfId="36057" xr:uid="{6700DDD3-5D31-4BAA-8061-BE7149DDEBEF}"/>
    <cellStyle name="Migliaia 14 3 5 5" xfId="41189" xr:uid="{A49DB6D4-F9E7-460C-A62F-C396CA90C224}"/>
    <cellStyle name="Migliaia 14 3 5 6" xfId="16083" xr:uid="{1808A08F-4AED-43EF-BCCF-3CD38FD34504}"/>
    <cellStyle name="Migliaia 14 3 5 7" xfId="8257" xr:uid="{FDB96DC4-8E80-4D4C-AA6B-DADDB8257F70}"/>
    <cellStyle name="Migliaia 14 3 6" xfId="4907" xr:uid="{C9EE868E-C7D0-43EC-9439-13FF0AFEFCFE}"/>
    <cellStyle name="Migliaia 14 3 6 2" xfId="13898" xr:uid="{0E047370-C71D-4FE4-B845-1DB669AF2AE9}"/>
    <cellStyle name="Migliaia 14 3 6 2 2" xfId="38539" xr:uid="{24989A41-780C-43FF-B176-B146D611F711}"/>
    <cellStyle name="Migliaia 14 3 6 2 3" xfId="43841" xr:uid="{A8C68BD0-6A07-436B-ACD3-07230F44D937}"/>
    <cellStyle name="Migliaia 14 3 6 3" xfId="18724" xr:uid="{400511DF-CA84-43C0-861F-6EE414128397}"/>
    <cellStyle name="Migliaia 14 3 6 4" xfId="19903" xr:uid="{9D0D3DAC-9DF6-4F2E-AC8F-38CA6967F12A}"/>
    <cellStyle name="Migliaia 14 3 6 4 2" xfId="41190" xr:uid="{C30170C7-509C-409A-B6CD-E828A21F9878}"/>
    <cellStyle name="Migliaia 14 3 6 5" xfId="16084" xr:uid="{0DDBA85D-4950-4C28-AA42-25868A12CF57}"/>
    <cellStyle name="Migliaia 14 3 6 6" xfId="7841" xr:uid="{3FC9C6B4-68F1-4319-A722-1503B797D9B5}"/>
    <cellStyle name="Migliaia 14 3 7" xfId="6126" xr:uid="{17DF4EE6-88E2-48FB-B2A3-BBC49217EFAC}"/>
    <cellStyle name="Migliaia 14 3 7 2" xfId="33164" xr:uid="{AA0133B9-ACD5-4BB9-ABE9-CB0EA7B223B0}"/>
    <cellStyle name="Migliaia 14 3 7 2 2" xfId="38540" xr:uid="{F41AE793-46A8-4164-9E60-76E22D8688E5}"/>
    <cellStyle name="Migliaia 14 3 7 2 3" xfId="43842" xr:uid="{3E6F5B3D-99A6-49B8-AAFF-D16781CD3C1B}"/>
    <cellStyle name="Migliaia 14 3 7 3" xfId="36059" xr:uid="{3C2F6237-1ADE-4D88-838E-95AB22DE5F22}"/>
    <cellStyle name="Migliaia 14 3 7 4" xfId="41191" xr:uid="{8149C89B-E7FF-431D-9741-5D4F27F87332}"/>
    <cellStyle name="Migliaia 14 3 7 5" xfId="11222" xr:uid="{F8E240BF-37C9-4F7E-A9D0-46B408D72649}"/>
    <cellStyle name="Migliaia 14 3 8" xfId="3181" xr:uid="{6BE41C24-B8C9-445C-878A-E46708774162}"/>
    <cellStyle name="Migliaia 14 3 8 2" xfId="33165" xr:uid="{E5588EBE-0F92-4037-978B-A08578EF87D6}"/>
    <cellStyle name="Migliaia 14 3 8 2 2" xfId="38541" xr:uid="{7908F303-6EA5-46DE-A501-C630CE5E2968}"/>
    <cellStyle name="Migliaia 14 3 8 2 3" xfId="43843" xr:uid="{6BE97FAA-D0AA-49C5-BBF3-0ADB57F28AE6}"/>
    <cellStyle name="Migliaia 14 3 8 3" xfId="36060" xr:uid="{F51A75B7-E6FD-4304-8219-7CCF9F7622F8}"/>
    <cellStyle name="Migliaia 14 3 8 4" xfId="41192" xr:uid="{15605105-CEB5-4B1B-8FC4-CCDA6D4BE1EC}"/>
    <cellStyle name="Migliaia 14 3 8 5" xfId="24310" xr:uid="{05839B43-0693-458E-9228-5E42759D4D48}"/>
    <cellStyle name="Migliaia 14 3 8 6" xfId="17412" xr:uid="{31E6400B-65A0-43D3-B240-61FD8C45C119}"/>
    <cellStyle name="Migliaia 14 3 9" xfId="19894" xr:uid="{FE9F0DBB-3286-4DA1-B06E-A527148BCF74}"/>
    <cellStyle name="Migliaia 14 4" xfId="1680" xr:uid="{00000000-0005-0000-0000-0000EB020000}"/>
    <cellStyle name="Migliaia 14 4 2" xfId="1681" xr:uid="{00000000-0005-0000-0000-0000EC020000}"/>
    <cellStyle name="Migliaia 14 4 2 2" xfId="4914" xr:uid="{5221FF7D-2A52-41F0-AE8B-10CBECCFF2EC}"/>
    <cellStyle name="Migliaia 14 4 2 2 2" xfId="33166" xr:uid="{C704FB6B-4D44-4005-A1D4-CDB5B481C518}"/>
    <cellStyle name="Migliaia 14 4 2 2 2 2" xfId="38542" xr:uid="{E16FD695-71F7-4870-B6CB-49D6495CA6BF}"/>
    <cellStyle name="Migliaia 14 4 2 2 2 3" xfId="43844" xr:uid="{7F2C7774-1DF0-418C-8194-D10637692481}"/>
    <cellStyle name="Migliaia 14 4 2 2 3" xfId="36061" xr:uid="{435B6F30-13A1-4428-8079-F1238F73F8C5}"/>
    <cellStyle name="Migliaia 14 4 2 2 4" xfId="41193" xr:uid="{01B51405-6D33-490C-8DBE-2A8FE8FDAA7A}"/>
    <cellStyle name="Migliaia 14 4 2 2 5" xfId="9118" xr:uid="{3A9759FA-F3D9-443E-8B6A-7F3814EA5D3A}"/>
    <cellStyle name="Migliaia 14 4 2 3" xfId="3188" xr:uid="{C54C62C7-FA7C-47A7-B735-283770C5007E}"/>
    <cellStyle name="Migliaia 14 4 2 3 2" xfId="33167" xr:uid="{6FFCF5CA-CF45-4954-B5E6-53E05705D5C5}"/>
    <cellStyle name="Migliaia 14 4 2 3 2 2" xfId="38543" xr:uid="{844C308F-E676-4295-807A-E8CB8BA8E960}"/>
    <cellStyle name="Migliaia 14 4 2 3 2 3" xfId="43845" xr:uid="{BB6CF709-512C-43FE-81FF-7B57AE083B5C}"/>
    <cellStyle name="Migliaia 14 4 2 3 3" xfId="36062" xr:uid="{7567DBC5-1221-416C-AED1-9EC43AEA80DE}"/>
    <cellStyle name="Migliaia 14 4 2 3 4" xfId="41194" xr:uid="{ED3998BD-2AC8-4C10-9492-51A86EFC513A}"/>
    <cellStyle name="Migliaia 14 4 2 3 5" xfId="11905" xr:uid="{E202E015-00DB-4566-B194-A370D272CD0D}"/>
    <cellStyle name="Migliaia 14 4 2 4" xfId="11258" xr:uid="{83BA6371-BE5B-456F-BA81-FBEDD4E54662}"/>
    <cellStyle name="Migliaia 14 4 2 5" xfId="10758" xr:uid="{97214CF5-BFFE-4B54-A873-0820CEE6184F}"/>
    <cellStyle name="Migliaia 14 4 2 5 2" xfId="21393" xr:uid="{0BE20979-43C7-4702-B186-550DCDA52703}"/>
    <cellStyle name="Migliaia 14 4 2 5 3" xfId="46209" xr:uid="{AE1D45B8-9A22-417E-AC28-7EEDE6D8637F}"/>
    <cellStyle name="Migliaia 14 4 2 5 4" xfId="50408" xr:uid="{D69CE45E-8F16-41C6-AB94-9B061C23E406}"/>
    <cellStyle name="Migliaia 14 4 2 5 5" xfId="53424" xr:uid="{43D40255-7BD9-4321-B429-DF4DDC275D75}"/>
    <cellStyle name="Migliaia 14 4 2 6" xfId="19905" xr:uid="{E1DF71DB-7B9C-4CD5-B1C3-5FD54D7A9E4F}"/>
    <cellStyle name="Migliaia 14 4 2 7" xfId="24312" xr:uid="{65BE748B-B680-4C1F-9516-6FCDA8891358}"/>
    <cellStyle name="Migliaia 14 4 2 8" xfId="8513" xr:uid="{F50C578F-AF3F-4866-8BFB-391A768AA1DC}"/>
    <cellStyle name="Migliaia 14 4 3" xfId="4913" xr:uid="{918A0472-B2C7-4907-891C-E492A19C61BB}"/>
    <cellStyle name="Migliaia 14 4 3 2" xfId="18173" xr:uid="{1A01C0F3-16BC-4D5F-84DE-A56E997B3479}"/>
    <cellStyle name="Migliaia 14 4 3 2 2" xfId="38544" xr:uid="{5CB8E730-6635-4394-ADEF-7091503EE53E}"/>
    <cellStyle name="Migliaia 14 4 3 2 3" xfId="43846" xr:uid="{89DF4FB0-A96D-493F-AB52-D794D81ECD61}"/>
    <cellStyle name="Migliaia 14 4 3 3" xfId="36063" xr:uid="{1E59D8F0-F2B2-4948-85C6-7FE025079D46}"/>
    <cellStyle name="Migliaia 14 4 3 4" xfId="41195" xr:uid="{F113262A-34BE-414A-B596-611E33791E7B}"/>
    <cellStyle name="Migliaia 14 4 3 5" xfId="17410" xr:uid="{B9512EBD-8148-4CF4-AEC1-7C9559B0D807}"/>
    <cellStyle name="Migliaia 14 4 3 6" xfId="9119" xr:uid="{8A5991F9-3F66-4BDA-B231-774D92BF8AE1}"/>
    <cellStyle name="Migliaia 14 4 4" xfId="6132" xr:uid="{820D8213-5592-4CFF-982D-9851E2FD878D}"/>
    <cellStyle name="Migliaia 14 4 4 2" xfId="33169" xr:uid="{548EE332-CB17-47D5-91AD-6FC58EBD6780}"/>
    <cellStyle name="Migliaia 14 4 4 2 2" xfId="38545" xr:uid="{3ED5EECA-DDBD-4A19-B2C1-3043574DDA59}"/>
    <cellStyle name="Migliaia 14 4 4 2 3" xfId="43847" xr:uid="{69552277-121A-4B21-8FBF-0B195DA1F5A2}"/>
    <cellStyle name="Migliaia 14 4 4 3" xfId="36064" xr:uid="{638F3A29-3F43-4252-A1AA-A0B3C7D1990A}"/>
    <cellStyle name="Migliaia 14 4 4 4" xfId="41196" xr:uid="{6160DB15-A213-4051-B4E6-D2DD2D395D13}"/>
    <cellStyle name="Migliaia 14 4 4 5" xfId="11906" xr:uid="{94CC2C6A-D0E3-409D-A262-A424745E6FB7}"/>
    <cellStyle name="Migliaia 14 4 5" xfId="3187" xr:uid="{BC286E36-6ADB-44AB-ACF3-BDB94DD408AD}"/>
    <cellStyle name="Migliaia 14 4 5 2" xfId="33170" xr:uid="{23DFE0CB-6D0A-4B23-B89E-7A819D9A5FAB}"/>
    <cellStyle name="Migliaia 14 4 5 2 2" xfId="38546" xr:uid="{84432882-82A8-49E7-B6CE-876D06DFD05A}"/>
    <cellStyle name="Migliaia 14 4 5 2 3" xfId="43848" xr:uid="{7F3BBC49-4995-41B4-B4E6-F0F4BEE78E17}"/>
    <cellStyle name="Migliaia 14 4 5 3" xfId="36065" xr:uid="{1C5F57EB-9D0A-415B-A95A-B066DA06C54D}"/>
    <cellStyle name="Migliaia 14 4 5 4" xfId="41197" xr:uid="{F6539369-384D-4777-869B-90F562C9EEBF}"/>
    <cellStyle name="Migliaia 14 4 5 5" xfId="11257" xr:uid="{3E2423AA-4F19-450D-94EB-E85B08938075}"/>
    <cellStyle name="Migliaia 14 4 6" xfId="10757" xr:uid="{13D001F7-533F-4052-89FA-080CE9973E2A}"/>
    <cellStyle name="Migliaia 14 4 6 2" xfId="21392" xr:uid="{4C13B776-52AB-4FC0-A8C7-87F4118CE5EB}"/>
    <cellStyle name="Migliaia 14 4 6 2 2" xfId="38547" xr:uid="{E59ABBC9-F6C2-46B1-B1F5-DFD5D4F17EB4}"/>
    <cellStyle name="Migliaia 14 4 6 2 3" xfId="43849" xr:uid="{09A7900C-15ED-400C-AAE1-08C15CC03702}"/>
    <cellStyle name="Migliaia 14 4 6 2 4" xfId="33171" xr:uid="{6476E19B-A2A3-4934-8863-28D84F49324F}"/>
    <cellStyle name="Migliaia 14 4 6 3" xfId="36066" xr:uid="{2C9C94C9-7C98-4E6F-8EED-DA3D2C88FEB0}"/>
    <cellStyle name="Migliaia 14 4 6 4" xfId="41198" xr:uid="{AF028236-4B5D-4625-96A9-E9E3AB24C063}"/>
    <cellStyle name="Migliaia 14 4 6 5" xfId="24317" xr:uid="{31C01CDC-B91C-4CFB-B359-E7046E5B665E}"/>
    <cellStyle name="Migliaia 14 4 6 6" xfId="46208" xr:uid="{D578CE96-B7DA-408F-A9D5-1B80B8F2A0D2}"/>
    <cellStyle name="Migliaia 14 4 6 7" xfId="50407" xr:uid="{8AAFA9B6-F204-4059-A9D0-7D761B2A689F}"/>
    <cellStyle name="Migliaia 14 4 6 8" xfId="53423" xr:uid="{5E4530AF-2BE5-46E3-833A-E83BED27882D}"/>
    <cellStyle name="Migliaia 14 4 7" xfId="19904" xr:uid="{C30689F5-5A26-4CFE-8F85-F6DAEABC167D}"/>
    <cellStyle name="Migliaia 14 4 7 2" xfId="33172" xr:uid="{51DA1C08-73FC-4695-9A3B-4DCB93F2D66A}"/>
    <cellStyle name="Migliaia 14 4 7 2 2" xfId="38548" xr:uid="{94720733-CC76-4467-BFF1-16C0A5ED3A69}"/>
    <cellStyle name="Migliaia 14 4 7 2 3" xfId="43850" xr:uid="{DB2EC6B0-230D-4295-9FAA-FE086441EDA2}"/>
    <cellStyle name="Migliaia 14 4 7 3" xfId="36067" xr:uid="{56501EC8-0857-4905-9D3B-93080C53507B}"/>
    <cellStyle name="Migliaia 14 4 7 4" xfId="41199" xr:uid="{1759DA51-E062-4060-8F96-A85F1ED11F35}"/>
    <cellStyle name="Migliaia 14 4 7 5" xfId="24318" xr:uid="{2C52EE2C-B77A-4B99-BA92-01327501B22D}"/>
    <cellStyle name="Migliaia 14 4 8" xfId="24311" xr:uid="{EDE59271-68B3-4CCF-A68D-492361390C36}"/>
    <cellStyle name="Migliaia 14 4 9" xfId="7323" xr:uid="{4F0140F9-9981-41C8-9259-85FF4DA3679A}"/>
    <cellStyle name="Migliaia 14 5" xfId="1682" xr:uid="{00000000-0005-0000-0000-0000ED020000}"/>
    <cellStyle name="Migliaia 14 5 2" xfId="4915" xr:uid="{482ABD40-BBF9-46F6-8409-5A5630DB9417}"/>
    <cellStyle name="Migliaia 14 5 2 2" xfId="18374" xr:uid="{ABE91369-3A22-4FE6-8733-2EAAF987EDB4}"/>
    <cellStyle name="Migliaia 14 5 2 2 2" xfId="38549" xr:uid="{9D17CF5F-13DE-4EB0-8888-5FB2297E0584}"/>
    <cellStyle name="Migliaia 14 5 2 2 3" xfId="43851" xr:uid="{AFFDE406-FC32-48C6-98AC-2CBAB1C005DD}"/>
    <cellStyle name="Migliaia 14 5 2 3" xfId="19907" xr:uid="{298F394A-D808-43FE-BFF4-A1B7DCED90F2}"/>
    <cellStyle name="Migliaia 14 5 2 3 2" xfId="36068" xr:uid="{B0193DB0-7C52-4915-A1A6-D1AD06143203}"/>
    <cellStyle name="Migliaia 14 5 2 4" xfId="41200" xr:uid="{51A8ABCC-50B6-48FE-A09C-6E7E0F7B2C90}"/>
    <cellStyle name="Migliaia 14 5 2 5" xfId="16085" xr:uid="{7AD4DEAA-037B-4817-9ADB-F4CBD3169358}"/>
    <cellStyle name="Migliaia 14 5 2 6" xfId="8514" xr:uid="{5382C5CF-7954-4E1A-A123-645B8A2D0BCD}"/>
    <cellStyle name="Migliaia 14 5 3" xfId="6133" xr:uid="{067A04A7-0942-47F2-87E4-D968C2557137}"/>
    <cellStyle name="Migliaia 14 5 3 2" xfId="33173" xr:uid="{7846DF79-6E29-404B-95C8-968154E0C8D9}"/>
    <cellStyle name="Migliaia 14 5 3 2 2" xfId="38550" xr:uid="{A707B04C-DC72-450B-9AA3-A38114DDD3C6}"/>
    <cellStyle name="Migliaia 14 5 3 2 3" xfId="43852" xr:uid="{150F9117-6D81-49A6-A1F0-E0B230B5DD9A}"/>
    <cellStyle name="Migliaia 14 5 3 3" xfId="36069" xr:uid="{89CE4FBE-D0F7-4DBA-AA16-CABAA66E54C0}"/>
    <cellStyle name="Migliaia 14 5 3 4" xfId="41201" xr:uid="{110DA762-B507-4834-94DB-AC981413EDA9}"/>
    <cellStyle name="Migliaia 14 5 3 5" xfId="11259" xr:uid="{C7A9032A-E1B7-4EDE-A84E-126A87A30DD7}"/>
    <cellStyle name="Migliaia 14 5 4" xfId="3189" xr:uid="{EAF6DF6C-09F4-464E-AE15-06C92F06EE35}"/>
    <cellStyle name="Migliaia 14 5 4 2" xfId="21394" xr:uid="{266C1A7D-0C26-4867-9CA7-BDB8FEB3EF1D}"/>
    <cellStyle name="Migliaia 14 5 4 2 2" xfId="38551" xr:uid="{06385F11-350F-4D6B-A4F9-B5ABD0EB6F7C}"/>
    <cellStyle name="Migliaia 14 5 4 2 3" xfId="43853" xr:uid="{3BE60867-6C5A-4D3C-BEA1-6ABCD3147E46}"/>
    <cellStyle name="Migliaia 14 5 4 2 4" xfId="33174" xr:uid="{BB3F4199-7E76-4CD9-AF0A-68FE164B6106}"/>
    <cellStyle name="Migliaia 14 5 4 3" xfId="36070" xr:uid="{51165706-6B89-4E9F-8179-78AB24BFE68F}"/>
    <cellStyle name="Migliaia 14 5 4 4" xfId="41202" xr:uid="{342D0E3A-08E2-45FB-A6BB-2DA6CD451653}"/>
    <cellStyle name="Migliaia 14 5 4 5" xfId="24320" xr:uid="{44059D4D-04A5-49E7-9C63-E4A5A7C638AB}"/>
    <cellStyle name="Migliaia 14 5 4 6" xfId="47596" xr:uid="{E26BD476-4A4F-4B7A-AC33-560BA750A4DA}"/>
    <cellStyle name="Migliaia 14 5 4 7" xfId="50409" xr:uid="{29D2FBB3-CDA9-4452-AC38-A60BBA804E7C}"/>
    <cellStyle name="Migliaia 14 5 4 8" xfId="53425" xr:uid="{FCAAFA3E-F705-4BA5-BA06-8FB5F4DE78EA}"/>
    <cellStyle name="Migliaia 14 5 4 9" xfId="10759" xr:uid="{99BC7182-7F3B-4F05-885C-E5D5DCC7804A}"/>
    <cellStyle name="Migliaia 14 5 5" xfId="19906" xr:uid="{486B8BEA-F11B-4BBF-B784-E7E77F744896}"/>
    <cellStyle name="Migliaia 14 5 5 2" xfId="33175" xr:uid="{205CC15B-F12C-40AF-AC10-87248B83B077}"/>
    <cellStyle name="Migliaia 14 5 5 2 2" xfId="38552" xr:uid="{25194D83-80DC-4D0D-84AE-00A70CF0538D}"/>
    <cellStyle name="Migliaia 14 5 5 2 3" xfId="43854" xr:uid="{D9820F54-BA95-4B1B-A7DD-23C54AB5D453}"/>
    <cellStyle name="Migliaia 14 5 5 3" xfId="36071" xr:uid="{938D8CB8-303A-466A-A731-2287FD281D0A}"/>
    <cellStyle name="Migliaia 14 5 5 4" xfId="41203" xr:uid="{D8A12F15-92EF-4ACC-98CB-1F38308CA0DC}"/>
    <cellStyle name="Migliaia 14 5 5 5" xfId="24321" xr:uid="{45FE23E9-B485-4B87-96CE-D8A3CC65188E}"/>
    <cellStyle name="Migliaia 14 5 6" xfId="24322" xr:uid="{D1E31FEB-4E62-4EB9-99C9-4AD036773D3E}"/>
    <cellStyle name="Migliaia 14 5 6 2" xfId="33176" xr:uid="{2CF5C1D8-5F64-4C59-825F-E4243D2005D5}"/>
    <cellStyle name="Migliaia 14 5 6 2 2" xfId="38553" xr:uid="{09E23AD8-AE07-4677-953F-3746AF7839D0}"/>
    <cellStyle name="Migliaia 14 5 6 2 3" xfId="43855" xr:uid="{E330AA27-8139-4B05-A4D4-FA5FFBEE785F}"/>
    <cellStyle name="Migliaia 14 5 6 3" xfId="36072" xr:uid="{AB316B6B-3D7D-4DE1-8591-034E83C8E8F5}"/>
    <cellStyle name="Migliaia 14 5 6 4" xfId="41204" xr:uid="{A10BC7AF-3CFD-4712-BC0C-7F282DF8E785}"/>
    <cellStyle name="Migliaia 14 5 7" xfId="24319" xr:uid="{88CBA463-82AB-459D-9EED-D762C89A995A}"/>
    <cellStyle name="Migliaia 14 5 8" xfId="7324" xr:uid="{5CA77168-DEC3-41EE-82E3-705DE97F1C48}"/>
    <cellStyle name="Migliaia 14 6" xfId="3190" xr:uid="{5B7FA07A-DD4B-48EA-8CAE-35B92D471FB4}"/>
    <cellStyle name="Migliaia 14 6 2" xfId="4916" xr:uid="{E8054902-4583-4A77-805E-3D0CFC3FB816}"/>
    <cellStyle name="Migliaia 14 6 2 2" xfId="9891" xr:uid="{564B511C-8971-4280-9049-0285A200A4F0}"/>
    <cellStyle name="Migliaia 14 6 2 3" xfId="18675" xr:uid="{9EDFC359-4002-445A-8EB3-1BA98237E902}"/>
    <cellStyle name="Migliaia 14 6 2 4" xfId="19909" xr:uid="{B2D64AC8-680B-42E3-AFD3-DBDBCC6194D0}"/>
    <cellStyle name="Migliaia 14 6 2 5" xfId="32309" xr:uid="{1CEC483F-87A5-4AD7-87AA-52C6921F4575}"/>
    <cellStyle name="Migliaia 14 6 2 6" xfId="16087" xr:uid="{760B41B5-8C85-4379-AB17-E9F5ED9AA4A7}"/>
    <cellStyle name="Migliaia 14 6 2 7" xfId="8509" xr:uid="{9FCF0930-296C-4BE8-BC15-693C5E8156EC}"/>
    <cellStyle name="Migliaia 14 6 3" xfId="6134" xr:uid="{A9BB2211-B30D-42E8-AAE1-3CDA90774B32}"/>
    <cellStyle name="Migliaia 14 6 3 2" xfId="35160" xr:uid="{39B12B02-B26C-4F10-ACAE-03C79B99AE48}"/>
    <cellStyle name="Migliaia 14 6 3 2 2" xfId="40318" xr:uid="{B50A9FCF-416D-44D1-B9B7-C9B0E317148F}"/>
    <cellStyle name="Migliaia 14 6 3 2 3" xfId="45620" xr:uid="{D3B1625E-4860-4699-86D1-CF8E15B878D4}"/>
    <cellStyle name="Migliaia 14 6 3 3" xfId="37667" xr:uid="{DBB7F981-5D93-45E5-9466-8BEBE7962DDF}"/>
    <cellStyle name="Migliaia 14 6 3 4" xfId="42969" xr:uid="{466F168B-218E-4E34-9541-E2B43B5B4066}"/>
    <cellStyle name="Migliaia 14 6 3 5" xfId="9654" xr:uid="{FAC0C2FF-75D0-4E4F-8961-A4BFD7C7E4CD}"/>
    <cellStyle name="Migliaia 14 6 4" xfId="19908" xr:uid="{91FF11CB-6A53-4A21-9DF0-242C79B56B90}"/>
    <cellStyle name="Migliaia 14 6 4 2" xfId="38554" xr:uid="{8F10A1A7-242F-4518-ACBA-5D7695198679}"/>
    <cellStyle name="Migliaia 14 6 4 3" xfId="43856" xr:uid="{25A4AEFB-C135-4E27-A3D3-0C196471F652}"/>
    <cellStyle name="Migliaia 14 6 4 4" xfId="33177" xr:uid="{2CB052FB-08BE-4144-BA60-D9F9136A8337}"/>
    <cellStyle name="Migliaia 14 6 5" xfId="36073" xr:uid="{94E336ED-45DB-4324-ACB5-33EC83087EBC}"/>
    <cellStyle name="Migliaia 14 6 6" xfId="41205" xr:uid="{A4C7B944-6F03-46F5-A3D7-B1370B9C061B}"/>
    <cellStyle name="Migliaia 14 6 7" xfId="16086" xr:uid="{A63FCDB5-ED33-489B-BC8F-CD4AB98B478D}"/>
    <cellStyle name="Migliaia 14 6 8" xfId="7319" xr:uid="{2DE58EB7-FBD0-4C09-BC15-8B57F6590484}"/>
    <cellStyle name="Migliaia 14 7" xfId="3191" xr:uid="{B0502376-8199-4235-998D-A43526585DF6}"/>
    <cellStyle name="Migliaia 14 7 2" xfId="4917" xr:uid="{81C9A68C-3CA4-4195-A397-794860A0D82B}"/>
    <cellStyle name="Migliaia 14 7 2 2" xfId="35161" xr:uid="{1E734DBA-E3B3-444E-AFA7-2AF5801753D1}"/>
    <cellStyle name="Migliaia 14 7 2 2 2" xfId="40319" xr:uid="{AF5794FD-3BB7-472A-BC19-1DCE8A06C032}"/>
    <cellStyle name="Migliaia 14 7 2 2 3" xfId="45621" xr:uid="{053F2957-11D9-48F7-969E-BC2B252EB66C}"/>
    <cellStyle name="Migliaia 14 7 2 3" xfId="37668" xr:uid="{BDE7E447-B931-413B-9D17-0B2D51801402}"/>
    <cellStyle name="Migliaia 14 7 2 4" xfId="42970" xr:uid="{33D8A830-9E16-4252-9810-87EE0BF3818E}"/>
    <cellStyle name="Migliaia 14 7 2 5" xfId="14193" xr:uid="{12B62338-45E7-4544-BBEF-891D69FE4EFF}"/>
    <cellStyle name="Migliaia 14 7 3" xfId="6135" xr:uid="{FFAD9086-CABD-41F9-9A98-0B3F6E130EB4}"/>
    <cellStyle name="Migliaia 14 7 3 2" xfId="38555" xr:uid="{8E0F0460-2A52-4F0D-AFBC-8E8AEFB89C9A}"/>
    <cellStyle name="Migliaia 14 7 3 3" xfId="43857" xr:uid="{0104A5D2-6379-4080-BB0C-262C68792B38}"/>
    <cellStyle name="Migliaia 14 7 3 4" xfId="33178" xr:uid="{12CB694E-5862-4854-884D-633B319F3DDC}"/>
    <cellStyle name="Migliaia 14 7 3 5" xfId="19910" xr:uid="{6609AB38-564E-4E05-80F9-32FFDC58E535}"/>
    <cellStyle name="Migliaia 14 7 4" xfId="36074" xr:uid="{10FA7D14-F33C-4CBB-A9BD-6669B418DF15}"/>
    <cellStyle name="Migliaia 14 7 5" xfId="41206" xr:uid="{C3C5EC8F-7CFD-4B7F-817F-F73C8C9B7332}"/>
    <cellStyle name="Migliaia 14 7 6" xfId="16088" xr:uid="{8274DACF-9E6B-404B-8DA5-647241CAC3AD}"/>
    <cellStyle name="Migliaia 14 7 7" xfId="8255" xr:uid="{C8EAA807-E443-4015-9762-7810125EE12F}"/>
    <cellStyle name="Migliaia 14 8" xfId="3192" xr:uid="{99BD47AC-F989-47E9-93BE-9704085BD7F7}"/>
    <cellStyle name="Migliaia 14 8 2" xfId="4918" xr:uid="{E4CF2ED6-EF0B-4C64-A84D-736089083BC6}"/>
    <cellStyle name="Migliaia 14 8 2 2" xfId="35162" xr:uid="{B651276A-0AAD-4520-B94F-59F3F19A4914}"/>
    <cellStyle name="Migliaia 14 8 2 2 2" xfId="40320" xr:uid="{84CC97EF-9B26-464D-9FE6-96183909240B}"/>
    <cellStyle name="Migliaia 14 8 2 2 3" xfId="45622" xr:uid="{0D790391-FB65-4ED2-AE7A-62F72CFF64C5}"/>
    <cellStyle name="Migliaia 14 8 2 3" xfId="37669" xr:uid="{68DDF553-8C75-4365-BA0C-AD36FD2AC169}"/>
    <cellStyle name="Migliaia 14 8 2 4" xfId="42971" xr:uid="{0206C107-0BF1-45CC-80A5-803679777F54}"/>
    <cellStyle name="Migliaia 14 8 2 5" xfId="13896" xr:uid="{1C90DD37-055C-4463-A0BC-6236FADDB0FD}"/>
    <cellStyle name="Migliaia 14 8 3" xfId="6136" xr:uid="{0F04EDF2-8A69-48D2-88FB-7C3B10DDA678}"/>
    <cellStyle name="Migliaia 14 8 3 2" xfId="38556" xr:uid="{BB31E680-2DFE-4448-842C-1B7E0EE0C3DA}"/>
    <cellStyle name="Migliaia 14 8 3 3" xfId="43858" xr:uid="{42E5AB70-435E-4507-8962-A8AA9BEA0806}"/>
    <cellStyle name="Migliaia 14 8 3 4" xfId="33179" xr:uid="{0DF923AF-382F-413D-87D3-CCBD2EE87AC1}"/>
    <cellStyle name="Migliaia 14 8 3 5" xfId="19911" xr:uid="{E82E3222-3391-405C-93B3-9C474389C5EE}"/>
    <cellStyle name="Migliaia 14 8 4" xfId="36075" xr:uid="{051C96D6-BEAC-4781-9C6B-67799AC9ED4F}"/>
    <cellStyle name="Migliaia 14 8 5" xfId="41207" xr:uid="{2CEFD0A0-D6CB-4E12-9138-3B411379CADA}"/>
    <cellStyle name="Migliaia 14 8 6" xfId="16089" xr:uid="{11E247F1-68FC-4CF0-81F2-92C7F2C8B6B9}"/>
    <cellStyle name="Migliaia 14 8 7" xfId="7839" xr:uid="{D9A3D342-7A85-4050-8D61-706C97AF3D24}"/>
    <cellStyle name="Migliaia 14 9" xfId="4903" xr:uid="{CBE8CFEB-CA4A-407E-8C18-4385B40E25C9}"/>
    <cellStyle name="Migliaia 14 9 2" xfId="33180" xr:uid="{780DB616-3014-435C-B151-7602DA64DBEC}"/>
    <cellStyle name="Migliaia 14 9 2 2" xfId="38557" xr:uid="{AEBBA2D7-DDA4-4959-A74D-4F2AC1E5C0E0}"/>
    <cellStyle name="Migliaia 14 9 2 3" xfId="43859" xr:uid="{C5C75F99-269C-4ECC-AA32-4B8B49F1803C}"/>
    <cellStyle name="Migliaia 14 9 3" xfId="36076" xr:uid="{211CD71C-32D7-4E21-9425-9ACB72163D50}"/>
    <cellStyle name="Migliaia 14 9 4" xfId="41208" xr:uid="{525F3C53-2B9C-496B-9B12-21A3F9EDC990}"/>
    <cellStyle name="Migliaia 14 9 5" xfId="17145" xr:uid="{53D60D71-32B6-45E7-9AAD-6F6FA02ABC3C}"/>
    <cellStyle name="Migliaia 15" xfId="321" xr:uid="{00000000-0005-0000-0000-0000EE020000}"/>
    <cellStyle name="Migliaia 15 10" xfId="6137" xr:uid="{7B07B8FF-C2D1-44C1-A38B-753950E972E6}"/>
    <cellStyle name="Migliaia 15 10 2" xfId="38558" xr:uid="{11A07A7C-85AC-4F5A-9525-BD6F9F2A4C75}"/>
    <cellStyle name="Migliaia 15 10 3" xfId="43860" xr:uid="{DC1DB7D6-9CC1-478D-9259-771C6F098FD8}"/>
    <cellStyle name="Migliaia 15 10 4" xfId="33181" xr:uid="{912444F5-EBBA-4596-8DA0-A0C770515A2D}"/>
    <cellStyle name="Migliaia 15 10 5" xfId="19912" xr:uid="{4386BB8A-13B7-4048-BE65-8E45A82350E9}"/>
    <cellStyle name="Migliaia 15 11" xfId="3193" xr:uid="{3858E639-CA17-4088-809F-78DA78A8ADBF}"/>
    <cellStyle name="Migliaia 15 11 2" xfId="36077" xr:uid="{08C4200A-8E5E-4D10-93F7-C1114F2C87D7}"/>
    <cellStyle name="Migliaia 15 12" xfId="41209" xr:uid="{2EE01587-C9FA-4A28-97B8-6FDC8F2B0412}"/>
    <cellStyle name="Migliaia 15 13" xfId="7059" xr:uid="{2A88EACC-4028-49E8-A19D-B7AC74ABE5B9}"/>
    <cellStyle name="Migliaia 15 2" xfId="322" xr:uid="{00000000-0005-0000-0000-0000EF020000}"/>
    <cellStyle name="Migliaia 15 2 2" xfId="1683" xr:uid="{00000000-0005-0000-0000-0000F0020000}"/>
    <cellStyle name="Migliaia 15 2 2 2" xfId="4921" xr:uid="{D9FDB017-771C-4B12-844E-FA437A7D6E76}"/>
    <cellStyle name="Migliaia 15 2 2 2 2" xfId="14368" xr:uid="{D6A66F0E-97DD-48B1-AB12-421AB7FE19B9}"/>
    <cellStyle name="Migliaia 15 2 2 2 2 2" xfId="38559" xr:uid="{C003DAC4-DCCB-49C3-9596-75823A029641}"/>
    <cellStyle name="Migliaia 15 2 2 2 2 3" xfId="43861" xr:uid="{F6075E7D-C940-4401-9F49-D78F7D204D6E}"/>
    <cellStyle name="Migliaia 15 2 2 2 3" xfId="18375" xr:uid="{C7D60D10-18BA-42DE-8120-24799FFF4967}"/>
    <cellStyle name="Migliaia 15 2 2 2 4" xfId="19915" xr:uid="{5C806F89-DA94-49FF-A8EA-A0460A33ECD1}"/>
    <cellStyle name="Migliaia 15 2 2 2 4 2" xfId="41210" xr:uid="{20AA1C01-FAA4-45F4-A400-270C35267AC1}"/>
    <cellStyle name="Migliaia 15 2 2 2 5" xfId="16090" xr:uid="{BE1BA2B7-E894-4082-95F6-7AC8D92B569A}"/>
    <cellStyle name="Migliaia 15 2 2 2 6" xfId="8516" xr:uid="{EAEEB7A1-4846-4C0F-988E-FCF0E395B3F7}"/>
    <cellStyle name="Migliaia 15 2 2 3" xfId="6139" xr:uid="{37155FB9-7BC1-4086-B933-A7C2AEAF8181}"/>
    <cellStyle name="Migliaia 15 2 2 3 2" xfId="35163" xr:uid="{F1649E24-DE3B-4C86-9CB4-59BDB60E48E3}"/>
    <cellStyle name="Migliaia 15 2 2 3 2 2" xfId="40321" xr:uid="{06E3350A-A00E-4CCA-98BC-B731114C009B}"/>
    <cellStyle name="Migliaia 15 2 2 3 2 3" xfId="45623" xr:uid="{065C9284-DFEF-4394-B762-3809BD358255}"/>
    <cellStyle name="Migliaia 15 2 2 3 3" xfId="37670" xr:uid="{BFA2D767-43D3-466F-8C13-0FC204613731}"/>
    <cellStyle name="Migliaia 15 2 2 3 4" xfId="42972" xr:uid="{77922209-776E-4252-B2A4-ABB5D6F962C5}"/>
    <cellStyle name="Migliaia 15 2 2 3 5" xfId="11597" xr:uid="{DD2152A7-81FD-4F63-8E61-CFDA59B47CD2}"/>
    <cellStyle name="Migliaia 15 2 2 4" xfId="3195" xr:uid="{5DFBFD05-EDAC-4F4A-83D5-82D47E6CB0EA}"/>
    <cellStyle name="Migliaia 15 2 2 4 2" xfId="21395" xr:uid="{71C19F4C-4586-401F-963C-1AA20A5B2DB1}"/>
    <cellStyle name="Migliaia 15 2 2 4 3" xfId="47595" xr:uid="{E6D9376C-005F-4C8B-AC21-32A9CB49308E}"/>
    <cellStyle name="Migliaia 15 2 2 4 4" xfId="50410" xr:uid="{D8FD9946-3607-487B-91AF-2968E419097E}"/>
    <cellStyle name="Migliaia 15 2 2 4 5" xfId="53426" xr:uid="{45B66E3F-2D97-491C-A62F-417B0F2183B9}"/>
    <cellStyle name="Migliaia 15 2 2 4 6" xfId="10760" xr:uid="{AEDCEB8A-2ECD-4C4E-9731-A3D866FBA551}"/>
    <cellStyle name="Migliaia 15 2 2 5" xfId="19914" xr:uid="{2A08E29C-ED91-4989-AD49-1ADB7A2089BF}"/>
    <cellStyle name="Migliaia 15 2 2 6" xfId="24326" xr:uid="{5699C1E9-122C-41F7-9E6B-51872CD4CF88}"/>
    <cellStyle name="Migliaia 15 2 2 7" xfId="7326" xr:uid="{00FFA949-D6CF-4CBC-B6C2-E3F4B85C07FA}"/>
    <cellStyle name="Migliaia 15 2 3" xfId="3196" xr:uid="{481F3C6A-B2FB-47C5-ABD5-4E4CEA617EE3}"/>
    <cellStyle name="Migliaia 15 2 3 2" xfId="4922" xr:uid="{1600B0C0-F5B7-40A1-8564-FBFDEAFC3445}"/>
    <cellStyle name="Migliaia 15 2 3 2 2" xfId="35164" xr:uid="{30B1DD7C-DADA-4F4C-9E38-4EA424AA2D96}"/>
    <cellStyle name="Migliaia 15 2 3 2 2 2" xfId="40322" xr:uid="{FE73B2F9-3B2C-4762-950D-006BD21945B8}"/>
    <cellStyle name="Migliaia 15 2 3 2 2 3" xfId="45624" xr:uid="{0D8F9653-97D1-481C-9395-25CF5B62870C}"/>
    <cellStyle name="Migliaia 15 2 3 2 3" xfId="37671" xr:uid="{41F4A060-73D1-4BAC-AE88-B169C7BB0CB5}"/>
    <cellStyle name="Migliaia 15 2 3 2 4" xfId="42973" xr:uid="{8E585128-5AFA-4594-9BE2-2B97285617D4}"/>
    <cellStyle name="Migliaia 15 2 3 2 5" xfId="14197" xr:uid="{DCB7CAFC-BDBC-4E6E-ACEE-7CBF06826F37}"/>
    <cellStyle name="Migliaia 15 2 3 3" xfId="6140" xr:uid="{ABDB16BF-A422-42B8-BD44-6AC6A2A855DF}"/>
    <cellStyle name="Migliaia 15 2 3 3 2" xfId="38560" xr:uid="{841D0831-763E-449D-852C-EF43134B324B}"/>
    <cellStyle name="Migliaia 15 2 3 3 3" xfId="43862" xr:uid="{EA85454F-ED10-4097-805B-40E2E6A150BB}"/>
    <cellStyle name="Migliaia 15 2 3 3 4" xfId="33182" xr:uid="{52943425-108E-4583-BC71-1464C241FAB1}"/>
    <cellStyle name="Migliaia 15 2 3 3 5" xfId="19916" xr:uid="{2CFF87B4-78E3-4F71-9F51-1EF3614E37DC}"/>
    <cellStyle name="Migliaia 15 2 3 4" xfId="36078" xr:uid="{DDB0E0DE-0A6A-4ADE-AF39-C6339E27BEE2}"/>
    <cellStyle name="Migliaia 15 2 3 5" xfId="41211" xr:uid="{C5AAADC5-17DF-478E-AFB5-DE0BD86AAFED}"/>
    <cellStyle name="Migliaia 15 2 3 6" xfId="16091" xr:uid="{0382422C-9FC5-4C32-99BD-A0D9A7638B0D}"/>
    <cellStyle name="Migliaia 15 2 3 7" xfId="8259" xr:uid="{F20EF821-18C9-4D47-9D79-4E5749EAEB7A}"/>
    <cellStyle name="Migliaia 15 2 4" xfId="4920" xr:uid="{36129831-AD7B-4BDE-A8F7-8C1AAFCD490F}"/>
    <cellStyle name="Migliaia 15 2 4 2" xfId="13900" xr:uid="{9FD0CE0B-C445-48A8-98D0-7B8E89A16293}"/>
    <cellStyle name="Migliaia 15 2 4 2 2" xfId="38561" xr:uid="{A2F4D02F-9F81-4534-ABE4-D7968DF5DF54}"/>
    <cellStyle name="Migliaia 15 2 4 2 3" xfId="43863" xr:uid="{2E316C59-7053-4451-9A51-C2BE7E71A02E}"/>
    <cellStyle name="Migliaia 15 2 4 3" xfId="18014" xr:uid="{01A8CFC1-A3F6-41C8-8161-33F856DF2D44}"/>
    <cellStyle name="Migliaia 15 2 4 4" xfId="19917" xr:uid="{7300AEE2-4960-4B70-B881-3201B9EDA0C2}"/>
    <cellStyle name="Migliaia 15 2 4 4 2" xfId="41212" xr:uid="{772B7D9E-A332-441C-A002-645324B51F59}"/>
    <cellStyle name="Migliaia 15 2 4 5" xfId="16092" xr:uid="{BF5DA47D-4FDC-46CC-96CE-AD688DE69CED}"/>
    <cellStyle name="Migliaia 15 2 4 6" xfId="7844" xr:uid="{97B8A1A5-6D7E-4F7D-8200-A677833F6DAF}"/>
    <cellStyle name="Migliaia 15 2 5" xfId="6138" xr:uid="{4874C8E8-3ABD-4056-A296-F6E4D301D127}"/>
    <cellStyle name="Migliaia 15 2 5 2" xfId="33184" xr:uid="{AF483B0D-6010-4771-AB77-F673E615AB0F}"/>
    <cellStyle name="Migliaia 15 2 5 2 2" xfId="38562" xr:uid="{84E74B02-1588-4D99-9723-0A93AE8231BF}"/>
    <cellStyle name="Migliaia 15 2 5 2 3" xfId="43864" xr:uid="{9DBDF50F-74E9-4D44-BCBB-9CADF7AA407F}"/>
    <cellStyle name="Migliaia 15 2 5 3" xfId="36080" xr:uid="{7D8350C7-5B92-4BD3-969B-0BB330E42B92}"/>
    <cellStyle name="Migliaia 15 2 5 4" xfId="41213" xr:uid="{69BCCED4-DCED-4A4B-84DD-F28E9FF42950}"/>
    <cellStyle name="Migliaia 15 2 5 5" xfId="13108" xr:uid="{6CE107F1-6880-4D06-B545-74A311F015D3}"/>
    <cellStyle name="Migliaia 15 2 6" xfId="3194" xr:uid="{7C2277CD-4845-4997-B428-97F4B1717E11}"/>
    <cellStyle name="Migliaia 15 2 6 2" xfId="33185" xr:uid="{18F26002-6342-4F10-A562-85CF6354D745}"/>
    <cellStyle name="Migliaia 15 2 6 2 2" xfId="38563" xr:uid="{D146C577-3762-456A-9EDA-8FAE59C0EAC2}"/>
    <cellStyle name="Migliaia 15 2 6 2 3" xfId="43865" xr:uid="{E5447242-8755-4A5C-AE6A-6C869F8DB1A0}"/>
    <cellStyle name="Migliaia 15 2 6 3" xfId="36081" xr:uid="{8C9EB6F4-AA78-43BB-B460-E37893D392B4}"/>
    <cellStyle name="Migliaia 15 2 6 4" xfId="41214" xr:uid="{5CCC43EC-D958-4FAC-95EA-A4A4FD77DC10}"/>
    <cellStyle name="Migliaia 15 2 6 5" xfId="24329" xr:uid="{E5EC63EE-08FF-4B95-911F-857B902BF3A0}"/>
    <cellStyle name="Migliaia 15 2 6 6" xfId="19913" xr:uid="{E13C2399-E29C-4A8A-AC93-95778FD5E03C}"/>
    <cellStyle name="Migliaia 15 2 7" xfId="24325" xr:uid="{73372E14-D1E6-47FB-94E3-C18CE2BDC393}"/>
    <cellStyle name="Migliaia 15 2 8" xfId="7060" xr:uid="{FFD0FF5C-E011-4F4B-8BAA-089F3CBE270B}"/>
    <cellStyle name="Migliaia 15 3" xfId="323" xr:uid="{00000000-0005-0000-0000-0000F1020000}"/>
    <cellStyle name="Migliaia 15 3 10" xfId="24330" xr:uid="{D40DC108-28EB-4BE5-B584-3AA0C3B4906E}"/>
    <cellStyle name="Migliaia 15 3 11" xfId="16093" xr:uid="{CCE925FF-1A9E-4D63-ACB7-DBEFD91A60FF}"/>
    <cellStyle name="Migliaia 15 3 12" xfId="7061" xr:uid="{668EDB5D-37C0-447A-9A6A-29C98C309E13}"/>
    <cellStyle name="Migliaia 15 3 2" xfId="324" xr:uid="{00000000-0005-0000-0000-0000F2020000}"/>
    <cellStyle name="Migliaia 15 3 2 2" xfId="1684" xr:uid="{00000000-0005-0000-0000-0000F3020000}"/>
    <cellStyle name="Migliaia 15 3 2 2 2" xfId="4925" xr:uid="{A23F9B21-E516-4B42-A1A5-C78BCB985F94}"/>
    <cellStyle name="Migliaia 15 3 2 2 2 2" xfId="18376" xr:uid="{44B5F166-DEA9-4721-8764-44871C6E45DB}"/>
    <cellStyle name="Migliaia 15 3 2 2 2 2 2" xfId="21843" xr:uid="{2B07E006-1522-4BC6-96E7-60B178CE2251}"/>
    <cellStyle name="Migliaia 15 3 2 2 2 2 2 2" xfId="38564" xr:uid="{49FFF2E3-9217-457C-AD4C-934DE73E4FCD}"/>
    <cellStyle name="Migliaia 15 3 2 2 2 2 3" xfId="43866" xr:uid="{1DA434DE-2151-4D4E-A9E3-F626BD49E8A4}"/>
    <cellStyle name="Migliaia 15 3 2 2 2 2 4" xfId="33186" xr:uid="{635AB27F-C8AD-47FB-9EEE-0031F22331C5}"/>
    <cellStyle name="Migliaia 15 3 2 2 2 3" xfId="36082" xr:uid="{93F31CB1-DEFE-474C-9DCB-872313FFC23C}"/>
    <cellStyle name="Migliaia 15 3 2 2 2 4" xfId="41215" xr:uid="{C9B17755-8B89-4522-930C-7F6CD2B33BB8}"/>
    <cellStyle name="Migliaia 15 3 2 2 2 5" xfId="48485" xr:uid="{BCE3C54A-EC5D-4D0B-BF6D-B42790C2E061}"/>
    <cellStyle name="Migliaia 15 3 2 2 2 6" xfId="50871" xr:uid="{D4A9BCC9-6C24-4A7A-B765-37577262EBA3}"/>
    <cellStyle name="Migliaia 15 3 2 2 2 7" xfId="53887" xr:uid="{F498E164-03C1-4082-A9BE-586BB67F08CE}"/>
    <cellStyle name="Migliaia 15 3 2 2 2 8" xfId="17644" xr:uid="{53897B8B-978E-49DC-942E-D125F85E15F1}"/>
    <cellStyle name="Migliaia 15 3 2 2 2 9" xfId="11907" xr:uid="{FD08D605-6014-436A-A437-2768C68FCAB3}"/>
    <cellStyle name="Migliaia 15 3 2 2 3" xfId="6143" xr:uid="{9B1CE36B-50AB-4823-B464-F06ED05E7278}"/>
    <cellStyle name="Migliaia 15 3 2 2 3 2" xfId="11685" xr:uid="{76D5CF1F-3F61-45AB-9FDA-6164AA3B3482}"/>
    <cellStyle name="Migliaia 15 3 2 2 4" xfId="3199" xr:uid="{9BE245FA-3D26-4EEB-8E8D-683B64F61F6B}"/>
    <cellStyle name="Migliaia 15 3 2 2 4 2" xfId="21396" xr:uid="{8B6D74E6-FF50-46E3-9237-DA6BE6B71F6E}"/>
    <cellStyle name="Migliaia 15 3 2 2 4 3" xfId="46210" xr:uid="{3CFE6D8A-76B5-4BBA-B106-9C45C2E3F8EB}"/>
    <cellStyle name="Migliaia 15 3 2 2 4 4" xfId="50411" xr:uid="{BDA18968-9D77-49C8-8A7A-A5DFF0960861}"/>
    <cellStyle name="Migliaia 15 3 2 2 4 5" xfId="53427" xr:uid="{2431C386-02A3-46B5-BC6C-08EE1A574941}"/>
    <cellStyle name="Migliaia 15 3 2 2 4 6" xfId="10761" xr:uid="{3B45739C-CB70-4285-96DC-C97D3494D1B2}"/>
    <cellStyle name="Migliaia 15 3 2 2 5" xfId="19920" xr:uid="{631B6751-0440-46D9-8204-B63D68BC5697}"/>
    <cellStyle name="Migliaia 15 3 2 2 6" xfId="24332" xr:uid="{C8E57F2F-AAF2-4FD6-899E-0DA1D28F99FA}"/>
    <cellStyle name="Migliaia 15 3 2 2 7" xfId="8518" xr:uid="{4936CCE3-33A0-43EF-8F73-6A455C17A087}"/>
    <cellStyle name="Migliaia 15 3 2 3" xfId="4924" xr:uid="{D35E0E3C-31DE-47C9-A845-D82E40A1C66C}"/>
    <cellStyle name="Migliaia 15 3 2 3 2" xfId="12422" xr:uid="{DBFDB9E4-1D28-47FF-8153-8FBBF2343008}"/>
    <cellStyle name="Migliaia 15 3 2 3 2 2" xfId="38565" xr:uid="{B6AC02F1-7DB7-42FD-B2AD-4DF80ADE0FC4}"/>
    <cellStyle name="Migliaia 15 3 2 3 2 3" xfId="43867" xr:uid="{09CEB574-E7F5-4DBB-AA11-985B4E70B9A3}"/>
    <cellStyle name="Migliaia 15 3 2 3 2 4" xfId="33187" xr:uid="{C0B2248E-68D3-4ED7-B753-25A7D9F6BC6E}"/>
    <cellStyle name="Migliaia 15 3 2 3 3" xfId="11908" xr:uid="{105B8FA4-AF3F-489D-834E-C290E2324910}"/>
    <cellStyle name="Migliaia 15 3 2 3 4" xfId="19921" xr:uid="{37962CC0-8361-48C0-8F57-0A5813CC988F}"/>
    <cellStyle name="Migliaia 15 3 2 3 4 2" xfId="41216" xr:uid="{CB848C29-1F13-4B2C-A8D9-67E92932D065}"/>
    <cellStyle name="Migliaia 15 3 2 3 5" xfId="16094" xr:uid="{E3C20EFC-B67E-401B-B0EB-506DD6A014BB}"/>
    <cellStyle name="Migliaia 15 3 2 3 6" xfId="7846" xr:uid="{28A64F2F-C9DA-48F8-A80D-7C22D2E0A692}"/>
    <cellStyle name="Migliaia 15 3 2 4" xfId="6142" xr:uid="{F3AF43DF-A99B-4688-BCE6-2E3E5B173773}"/>
    <cellStyle name="Migliaia 15 3 2 4 2" xfId="18063" xr:uid="{613AD36D-4D1A-4458-B564-FE7373138C27}"/>
    <cellStyle name="Migliaia 15 3 2 4 2 2" xfId="38566" xr:uid="{56343C3C-D9D7-4C0F-835B-1E87E90675C7}"/>
    <cellStyle name="Migliaia 15 3 2 4 2 3" xfId="43868" xr:uid="{C55F7573-BF36-4909-89FB-B5E8EE53E14A}"/>
    <cellStyle name="Migliaia 15 3 2 4 3" xfId="36084" xr:uid="{5865A52E-2C38-4C31-A850-10BDD59D5766}"/>
    <cellStyle name="Migliaia 15 3 2 4 4" xfId="41217" xr:uid="{A9B15E84-2F5E-484E-A849-F4F23859BB9E}"/>
    <cellStyle name="Migliaia 15 3 2 4 5" xfId="17148" xr:uid="{74546613-5143-41DF-BC17-5D3BD6DC56C5}"/>
    <cellStyle name="Migliaia 15 3 2 4 6" xfId="11260" xr:uid="{BFCD491A-AE83-48DE-8854-010426531088}"/>
    <cellStyle name="Migliaia 15 3 2 5" xfId="3198" xr:uid="{5E82AD15-F9A0-410A-91E5-F26E020B9186}"/>
    <cellStyle name="Migliaia 15 3 2 5 2" xfId="33188" xr:uid="{9C080A51-35BC-44A9-A9B8-CF4C9B21109B}"/>
    <cellStyle name="Migliaia 15 3 2 5 2 2" xfId="38567" xr:uid="{051CC32A-8347-4986-9730-DA16651EFA9F}"/>
    <cellStyle name="Migliaia 15 3 2 5 2 3" xfId="43869" xr:uid="{6F6DC3E7-F54D-4A9A-A593-CCB5470E3C08}"/>
    <cellStyle name="Migliaia 15 3 2 5 3" xfId="36085" xr:uid="{A771EEF5-8399-471E-9C79-E53F28CE5160}"/>
    <cellStyle name="Migliaia 15 3 2 5 4" xfId="41218" xr:uid="{24EF94EA-7F29-41D2-92EB-66A74BFD145A}"/>
    <cellStyle name="Migliaia 15 3 2 5 5" xfId="17408" xr:uid="{7A96F778-7E2A-48A6-BC18-5F86F55131A2}"/>
    <cellStyle name="Migliaia 15 3 2 6" xfId="19919" xr:uid="{DEC335CF-5750-4006-9F4D-2EC7547B6DD7}"/>
    <cellStyle name="Migliaia 15 3 2 6 2" xfId="33189" xr:uid="{12BA0B1E-C4F7-4FAE-B1A0-19D826209945}"/>
    <cellStyle name="Migliaia 15 3 2 6 2 2" xfId="38568" xr:uid="{243E513E-3AB2-4CEE-ADFF-241E64231D6D}"/>
    <cellStyle name="Migliaia 15 3 2 6 2 3" xfId="43870" xr:uid="{986B5792-8181-4ED5-89DC-BAB8B70149E1}"/>
    <cellStyle name="Migliaia 15 3 2 6 3" xfId="36086" xr:uid="{ADBB4EC0-28BA-4EE8-9458-7573BAB4DBD7}"/>
    <cellStyle name="Migliaia 15 3 2 6 4" xfId="41219" xr:uid="{63B68AFD-DD46-4D0B-80CC-C03BF2C79EE2}"/>
    <cellStyle name="Migliaia 15 3 2 6 5" xfId="24335" xr:uid="{36F942EE-4477-4637-8CD1-10E78519C580}"/>
    <cellStyle name="Migliaia 15 3 2 7" xfId="24331" xr:uid="{395FBB99-BC3F-491B-BDB7-557685363973}"/>
    <cellStyle name="Migliaia 15 3 2 8" xfId="7328" xr:uid="{F6E8A6EC-088A-4480-886D-71C00F1DCDE6}"/>
    <cellStyle name="Migliaia 15 3 3" xfId="3200" xr:uid="{D8D3A422-13AD-4B2E-9C66-20BD6A9ABA85}"/>
    <cellStyle name="Migliaia 15 3 3 10" xfId="7327" xr:uid="{7C32527C-D102-442D-9B31-7F2627BAC3FA}"/>
    <cellStyle name="Migliaia 15 3 3 2" xfId="4926" xr:uid="{BA3E4949-F9B6-40BC-A13D-9C45349CF198}"/>
    <cellStyle name="Migliaia 15 3 3 2 2" xfId="9894" xr:uid="{D611FEA1-672B-43DB-A961-533DE1CAF6C6}"/>
    <cellStyle name="Migliaia 15 3 3 2 2 2" xfId="38570" xr:uid="{C3BB2381-EA62-46E3-8EC9-AD92FFF66538}"/>
    <cellStyle name="Migliaia 15 3 3 2 2 3" xfId="43872" xr:uid="{0C1A2697-B19A-4B22-B5E8-9A1BD7DAAB82}"/>
    <cellStyle name="Migliaia 15 3 3 2 3" xfId="18174" xr:uid="{C93684CA-CFC1-4458-AB76-A90677D86A45}"/>
    <cellStyle name="Migliaia 15 3 3 2 4" xfId="19923" xr:uid="{0EC98329-D4FB-4F38-B0E5-A4CD29494025}"/>
    <cellStyle name="Migliaia 15 3 3 2 4 2" xfId="41221" xr:uid="{169593CC-CE45-4EED-BA1D-81833AF6AD32}"/>
    <cellStyle name="Migliaia 15 3 3 2 5" xfId="16096" xr:uid="{8B38113D-1E68-43C8-BFB9-9CB8DEDA68A7}"/>
    <cellStyle name="Migliaia 15 3 3 2 6" xfId="8517" xr:uid="{460EA830-7CC0-4E3D-AA51-35D7F9F77631}"/>
    <cellStyle name="Migliaia 15 3 3 3" xfId="6144" xr:uid="{F3155F4F-FE05-4660-A85F-A83E0B774135}"/>
    <cellStyle name="Migliaia 15 3 3 3 2" xfId="33191" xr:uid="{A1FB5D6A-29F5-4C56-B2F7-69B2DED4F336}"/>
    <cellStyle name="Migliaia 15 3 3 3 2 2" xfId="38571" xr:uid="{9519E60B-0B55-4A46-B153-427CDBCEEA06}"/>
    <cellStyle name="Migliaia 15 3 3 3 2 3" xfId="43873" xr:uid="{DB994C24-C141-48E4-AB9F-05C451BCC237}"/>
    <cellStyle name="Migliaia 15 3 3 3 3" xfId="36088" xr:uid="{4441885D-DE21-4B34-8C3B-95EB2AF2BC96}"/>
    <cellStyle name="Migliaia 15 3 3 3 4" xfId="41222" xr:uid="{774906B2-CADC-40AF-BDE7-556C65CD7966}"/>
    <cellStyle name="Migliaia 15 3 3 3 5" xfId="9657" xr:uid="{B89BB049-B9E5-4090-B6EB-89DD6AF8AE32}"/>
    <cellStyle name="Migliaia 15 3 3 4" xfId="19922" xr:uid="{3E1B9852-0825-444A-A13F-EA992469C130}"/>
    <cellStyle name="Migliaia 15 3 3 4 2" xfId="33192" xr:uid="{EA8F1862-6011-4C28-8E2F-C43E9B432C26}"/>
    <cellStyle name="Migliaia 15 3 3 4 2 2" xfId="38572" xr:uid="{ECC96FCD-1457-49F6-9179-C8FEDB4687CA}"/>
    <cellStyle name="Migliaia 15 3 3 4 2 3" xfId="43874" xr:uid="{A7E49DAA-954E-4D5C-8088-08A68C0234F2}"/>
    <cellStyle name="Migliaia 15 3 3 4 3" xfId="36089" xr:uid="{A656913F-B9D7-4DE0-9B74-A2B8F96F9BED}"/>
    <cellStyle name="Migliaia 15 3 3 4 4" xfId="41223" xr:uid="{08093C6B-BD16-4BF5-A890-B272537D0B8D}"/>
    <cellStyle name="Migliaia 15 3 3 4 5" xfId="24336" xr:uid="{B4DB413B-05F5-47DB-8545-173347434EED}"/>
    <cellStyle name="Migliaia 15 3 3 5" xfId="24337" xr:uid="{E7367F17-670B-43E2-AB9A-303738C45EBE}"/>
    <cellStyle name="Migliaia 15 3 3 5 2" xfId="33193" xr:uid="{8BE0B32C-A42E-4E44-86B1-8ED7920C399C}"/>
    <cellStyle name="Migliaia 15 3 3 5 2 2" xfId="38573" xr:uid="{B50F54C9-D5FD-49CB-B16C-2405E3D6C8B5}"/>
    <cellStyle name="Migliaia 15 3 3 5 2 3" xfId="43875" xr:uid="{DC9D3F08-3CB6-423A-9053-1DA216A0B0AF}"/>
    <cellStyle name="Migliaia 15 3 3 5 3" xfId="36090" xr:uid="{FF8B30C5-EB8B-4311-A185-F9DF646EDC71}"/>
    <cellStyle name="Migliaia 15 3 3 5 4" xfId="41224" xr:uid="{FC93AAE0-6E0F-438F-9A24-D8042B78E1E6}"/>
    <cellStyle name="Migliaia 15 3 3 6" xfId="33190" xr:uid="{77B56A12-1F72-42CB-86E6-32150B92896D}"/>
    <cellStyle name="Migliaia 15 3 3 6 2" xfId="38569" xr:uid="{433FC8B3-654D-4A82-96A3-3F8B8C014DB7}"/>
    <cellStyle name="Migliaia 15 3 3 6 3" xfId="43871" xr:uid="{202F1EE6-A0F5-40C5-B052-D71D1F5591EA}"/>
    <cellStyle name="Migliaia 15 3 3 7" xfId="36087" xr:uid="{8BEE766D-EEAB-47B1-B4CE-FAF3E16865F0}"/>
    <cellStyle name="Migliaia 15 3 3 8" xfId="41220" xr:uid="{9C5713C9-A789-4F2A-8B7F-B7C26C72C012}"/>
    <cellStyle name="Migliaia 15 3 3 9" xfId="16095" xr:uid="{4D259F98-DDB9-499B-9FBA-F7F991918B1E}"/>
    <cellStyle name="Migliaia 15 3 4" xfId="3201" xr:uid="{BF52E8F6-432C-4E48-9E70-815FE8DBC92E}"/>
    <cellStyle name="Migliaia 15 3 4 2" xfId="4927" xr:uid="{0688F647-C651-4606-9B37-A716D0090F0B}"/>
    <cellStyle name="Migliaia 15 3 4 2 2" xfId="14429" xr:uid="{6D0CB39E-B78F-4A97-A575-D9E2893E92FD}"/>
    <cellStyle name="Migliaia 15 3 4 2 3" xfId="18591" xr:uid="{68EAA470-FD29-49C2-870C-46E23FA89D7D}"/>
    <cellStyle name="Migliaia 15 3 4 2 4" xfId="19925" xr:uid="{0D5D0468-BB56-40CF-B715-FAEB5FFB299D}"/>
    <cellStyle name="Migliaia 15 3 4 2 5" xfId="32312" xr:uid="{6ECB50DE-FB38-47A8-B745-8D2088A891ED}"/>
    <cellStyle name="Migliaia 15 3 4 2 6" xfId="16098" xr:uid="{A7A555EB-2F8D-4F9A-823C-E5ABB57E1C16}"/>
    <cellStyle name="Migliaia 15 3 4 2 7" xfId="8852" xr:uid="{03E22A7D-1F54-465B-9551-45DBEB5A947C}"/>
    <cellStyle name="Migliaia 15 3 4 3" xfId="6145" xr:uid="{20358AD4-7B8A-4072-965E-BCE96F1D6104}"/>
    <cellStyle name="Migliaia 15 3 4 3 2" xfId="35165" xr:uid="{CC90B20D-142E-482B-95CD-FEDB6743A596}"/>
    <cellStyle name="Migliaia 15 3 4 3 2 2" xfId="40323" xr:uid="{072866A9-50B6-4C16-9DC2-9DC37D1269F2}"/>
    <cellStyle name="Migliaia 15 3 4 3 2 3" xfId="45625" xr:uid="{CB1C8D84-62CB-4B4F-8771-26C8D7DD3DD6}"/>
    <cellStyle name="Migliaia 15 3 4 3 3" xfId="37672" xr:uid="{10FE2FF4-A723-4583-A7E3-82528810F8BC}"/>
    <cellStyle name="Migliaia 15 3 4 3 4" xfId="42974" xr:uid="{DFA97211-083D-4203-9A8E-6D64361476E2}"/>
    <cellStyle name="Migliaia 15 3 4 3 5" xfId="13677" xr:uid="{CD7C8617-4D77-4543-89DF-B1AA54EFB9CC}"/>
    <cellStyle name="Migliaia 15 3 4 4" xfId="19924" xr:uid="{D5CC2850-94BB-4674-8A7A-10A3CDD4FF24}"/>
    <cellStyle name="Migliaia 15 3 4 4 2" xfId="38574" xr:uid="{84754F8C-3B25-4F0A-A184-58F3E13CA5A8}"/>
    <cellStyle name="Migliaia 15 3 4 4 3" xfId="43876" xr:uid="{83EDC33A-A937-45B7-A393-8E6A9FED00F7}"/>
    <cellStyle name="Migliaia 15 3 4 4 4" xfId="33194" xr:uid="{5C28A453-0629-4D5C-A7C5-03F45E6C19C7}"/>
    <cellStyle name="Migliaia 15 3 4 5" xfId="36091" xr:uid="{DABC904D-C8A7-41C4-A6CB-99A589FCA8AD}"/>
    <cellStyle name="Migliaia 15 3 4 6" xfId="41225" xr:uid="{9229A211-7576-478C-AFBC-F5160B4F5AC6}"/>
    <cellStyle name="Migliaia 15 3 4 7" xfId="16097" xr:uid="{6DD76090-C7BB-4A29-80A3-621B06060CFB}"/>
    <cellStyle name="Migliaia 15 3 4 8" xfId="7662" xr:uid="{65DACACE-587A-465D-BC04-F3C147C9E582}"/>
    <cellStyle name="Migliaia 15 3 5" xfId="3202" xr:uid="{906EC72C-390D-4FAF-BC90-1C63139743B5}"/>
    <cellStyle name="Migliaia 15 3 5 2" xfId="4928" xr:uid="{6C2BE880-1069-4E36-8FFB-74E0B90B150E}"/>
    <cellStyle name="Migliaia 15 3 5 2 2" xfId="35166" xr:uid="{C8F63AC4-0446-4818-BDE2-4502FE84277E}"/>
    <cellStyle name="Migliaia 15 3 5 2 2 2" xfId="40324" xr:uid="{8BD5BA2F-E985-4C2D-8909-E8A90D7B6B98}"/>
    <cellStyle name="Migliaia 15 3 5 2 2 3" xfId="45626" xr:uid="{C8E66F7B-80EE-43EB-883E-F2E23B3F9B3B}"/>
    <cellStyle name="Migliaia 15 3 5 2 3" xfId="37673" xr:uid="{EB9A4446-0A6B-4272-A020-22E812986353}"/>
    <cellStyle name="Migliaia 15 3 5 2 4" xfId="42975" xr:uid="{5C4378FA-DB03-431F-9999-074076FF4DB9}"/>
    <cellStyle name="Migliaia 15 3 5 2 5" xfId="14198" xr:uid="{CE6ADBE2-BBFF-4979-B3D3-C3B752AB3D21}"/>
    <cellStyle name="Migliaia 15 3 5 3" xfId="6146" xr:uid="{6C3041CF-B857-4B58-84E7-E3655F4FCA1D}"/>
    <cellStyle name="Migliaia 15 3 5 3 2" xfId="38575" xr:uid="{B30052FC-A7EF-4875-8957-81DC639BFDCD}"/>
    <cellStyle name="Migliaia 15 3 5 3 3" xfId="43877" xr:uid="{A50B9900-4836-4DB9-B2C0-14B981109C22}"/>
    <cellStyle name="Migliaia 15 3 5 3 4" xfId="33195" xr:uid="{0C1447ED-51FF-40E8-A673-7B0A56A7C03D}"/>
    <cellStyle name="Migliaia 15 3 5 3 5" xfId="19926" xr:uid="{CF39F007-F988-40EF-B3C6-9984E811069D}"/>
    <cellStyle name="Migliaia 15 3 5 4" xfId="36092" xr:uid="{56AE81C5-9746-4BF5-AD90-85A2027B452C}"/>
    <cellStyle name="Migliaia 15 3 5 5" xfId="41226" xr:uid="{8AA7019D-4851-46DD-AC72-D198D8043BB0}"/>
    <cellStyle name="Migliaia 15 3 5 6" xfId="16099" xr:uid="{A5E56ED5-A2DF-47F6-AA9A-61429F411BE7}"/>
    <cellStyle name="Migliaia 15 3 5 7" xfId="8260" xr:uid="{B8C60512-9A0E-41EE-B429-64BAE20F162F}"/>
    <cellStyle name="Migliaia 15 3 6" xfId="4923" xr:uid="{1D5A5665-20A8-4010-B6BE-CC7C9D7435FE}"/>
    <cellStyle name="Migliaia 15 3 6 2" xfId="13901" xr:uid="{5088B75D-4B4C-4BAC-8AAE-5A12E078B90C}"/>
    <cellStyle name="Migliaia 15 3 6 2 2" xfId="38576" xr:uid="{02117926-BD2C-44A5-A1B2-6293053D2FA7}"/>
    <cellStyle name="Migliaia 15 3 6 2 3" xfId="43878" xr:uid="{DD9ED174-3985-4B34-AB0F-E79FFE9D81ED}"/>
    <cellStyle name="Migliaia 15 3 6 3" xfId="18723" xr:uid="{FAE251E3-9E2F-4F12-A44B-4111103BDF11}"/>
    <cellStyle name="Migliaia 15 3 6 4" xfId="19927" xr:uid="{A336C3E9-7374-4F12-8DDC-77519D6D56B4}"/>
    <cellStyle name="Migliaia 15 3 6 4 2" xfId="41227" xr:uid="{77EB948E-2AEA-44F0-B34B-DD6DFA064CB2}"/>
    <cellStyle name="Migliaia 15 3 6 5" xfId="16100" xr:uid="{D04FA320-5E0A-447F-8682-F606F7188830}"/>
    <cellStyle name="Migliaia 15 3 6 6" xfId="7845" xr:uid="{97FAE22F-7694-4004-93CF-96ECB7DE0DAD}"/>
    <cellStyle name="Migliaia 15 3 7" xfId="6141" xr:uid="{76D5811D-D168-4737-B64B-386D4C94D7D3}"/>
    <cellStyle name="Migliaia 15 3 7 2" xfId="33196" xr:uid="{725C7AAF-8892-4AB6-B275-E3FEE32E3394}"/>
    <cellStyle name="Migliaia 15 3 7 2 2" xfId="38577" xr:uid="{4238FA93-64EC-4848-8856-24090CE9A882}"/>
    <cellStyle name="Migliaia 15 3 7 2 3" xfId="43879" xr:uid="{88AF4724-1761-4840-90AA-23591146BFDB}"/>
    <cellStyle name="Migliaia 15 3 7 3" xfId="36093" xr:uid="{A443084D-6F24-47EA-AC63-1EE69E7BBCE7}"/>
    <cellStyle name="Migliaia 15 3 7 4" xfId="41228" xr:uid="{52EDE628-774D-4044-AC96-39943BA419EB}"/>
    <cellStyle name="Migliaia 15 3 7 5" xfId="12240" xr:uid="{CCA112BB-E2C6-4AD6-AAB7-73534765989F}"/>
    <cellStyle name="Migliaia 15 3 8" xfId="3197" xr:uid="{BECCB3E2-8A0A-487C-964D-9A075F5A9432}"/>
    <cellStyle name="Migliaia 15 3 8 2" xfId="33197" xr:uid="{703D4EC3-98DB-4B6B-AC3C-740BC567ADA2}"/>
    <cellStyle name="Migliaia 15 3 8 2 2" xfId="38578" xr:uid="{54CA03AE-C1E2-4F6C-8863-C158895728F9}"/>
    <cellStyle name="Migliaia 15 3 8 2 3" xfId="43880" xr:uid="{00BF184E-A4F7-443B-AC4A-24994736A3A1}"/>
    <cellStyle name="Migliaia 15 3 8 3" xfId="36094" xr:uid="{5E5D7CF4-CBF3-4AD0-958A-5E1092D42A99}"/>
    <cellStyle name="Migliaia 15 3 8 4" xfId="41229" xr:uid="{9022CFAC-355B-4193-B4A6-284AFCD79C95}"/>
    <cellStyle name="Migliaia 15 3 8 5" xfId="24338" xr:uid="{3EABDB17-BA7A-4479-ACC5-1ED84CBA7055}"/>
    <cellStyle name="Migliaia 15 3 8 6" xfId="17409" xr:uid="{14495BB6-89B9-4B3F-B2FD-EB222FBC98E3}"/>
    <cellStyle name="Migliaia 15 3 9" xfId="19918" xr:uid="{CF096428-5BDE-4C2F-82FB-775202223F29}"/>
    <cellStyle name="Migliaia 15 4" xfId="1685" xr:uid="{00000000-0005-0000-0000-0000F4020000}"/>
    <cellStyle name="Migliaia 15 4 2" xfId="1686" xr:uid="{00000000-0005-0000-0000-0000F5020000}"/>
    <cellStyle name="Migliaia 15 4 2 2" xfId="4930" xr:uid="{F0315FC7-1B6D-4DCB-9A82-93271EAED387}"/>
    <cellStyle name="Migliaia 15 4 2 2 2" xfId="33198" xr:uid="{0A49BFED-3FD1-40F3-AAAD-4DF062533BB6}"/>
    <cellStyle name="Migliaia 15 4 2 2 2 2" xfId="38579" xr:uid="{15FE8F4A-6C7D-42CF-BDD3-A2639A7705AE}"/>
    <cellStyle name="Migliaia 15 4 2 2 2 3" xfId="43881" xr:uid="{4235525F-2439-43BB-BD7D-0404B39D977D}"/>
    <cellStyle name="Migliaia 15 4 2 2 3" xfId="36095" xr:uid="{876AA161-0D39-4755-AD01-0358D3971840}"/>
    <cellStyle name="Migliaia 15 4 2 2 4" xfId="41230" xr:uid="{D678CC23-7220-4933-B139-10707F46C501}"/>
    <cellStyle name="Migliaia 15 4 2 2 5" xfId="9120" xr:uid="{08009A0D-0411-42B7-A91C-BD7D2F5D3A33}"/>
    <cellStyle name="Migliaia 15 4 2 3" xfId="3204" xr:uid="{D7D70FDB-1670-4614-90A7-3910191D886B}"/>
    <cellStyle name="Migliaia 15 4 2 3 2" xfId="33199" xr:uid="{F7FF87C4-5742-436D-A4C3-45C8D650F781}"/>
    <cellStyle name="Migliaia 15 4 2 3 2 2" xfId="38580" xr:uid="{C6075D65-73C4-4812-9162-A9EB89BF9FF3}"/>
    <cellStyle name="Migliaia 15 4 2 3 2 3" xfId="43882" xr:uid="{1859AF7B-8811-438A-BC9D-B5D6A9CC96AC}"/>
    <cellStyle name="Migliaia 15 4 2 3 3" xfId="36096" xr:uid="{34453133-AC57-47B9-B2AA-2C7229371A69}"/>
    <cellStyle name="Migliaia 15 4 2 3 4" xfId="41231" xr:uid="{77D37543-0143-4EE0-AB5D-6DE1BC0ADFD5}"/>
    <cellStyle name="Migliaia 15 4 2 3 5" xfId="11909" xr:uid="{1799EF63-05F0-45EF-85F4-7612DA0ED60D}"/>
    <cellStyle name="Migliaia 15 4 2 4" xfId="11262" xr:uid="{7EC25FB2-1DA8-4D80-8F80-CA5058E4CA8D}"/>
    <cellStyle name="Migliaia 15 4 2 5" xfId="10763" xr:uid="{4127AC4B-6ECF-4E0A-93C0-8829EE2F7A52}"/>
    <cellStyle name="Migliaia 15 4 2 5 2" xfId="21398" xr:uid="{A2D8743D-2CB8-4BC6-AEF1-02E055AFD249}"/>
    <cellStyle name="Migliaia 15 4 2 5 3" xfId="46211" xr:uid="{99815DE9-BB18-490E-8A20-746DBB447059}"/>
    <cellStyle name="Migliaia 15 4 2 5 4" xfId="50413" xr:uid="{46629FC9-E433-4B57-87D8-72584957D39D}"/>
    <cellStyle name="Migliaia 15 4 2 5 5" xfId="53429" xr:uid="{148571E1-3084-46A9-9822-96954AE1B0DB}"/>
    <cellStyle name="Migliaia 15 4 2 6" xfId="19929" xr:uid="{D74E1B6F-2760-4C77-874F-D05F30A29F7A}"/>
    <cellStyle name="Migliaia 15 4 2 7" xfId="24340" xr:uid="{96CB7F97-AC59-4E45-9D8D-FE7669A75A32}"/>
    <cellStyle name="Migliaia 15 4 2 8" xfId="8519" xr:uid="{FD2BA068-62EA-4FF6-85F5-71F951A3F397}"/>
    <cellStyle name="Migliaia 15 4 3" xfId="4929" xr:uid="{74F9374A-0F94-4442-8850-61E54C977B71}"/>
    <cellStyle name="Migliaia 15 4 3 2" xfId="18175" xr:uid="{8B019767-B1F3-42EF-A955-1C7D80B4D1FB}"/>
    <cellStyle name="Migliaia 15 4 3 2 2" xfId="38581" xr:uid="{00B5773E-0D4C-4110-8EBF-7E92CD4E2CCA}"/>
    <cellStyle name="Migliaia 15 4 3 2 3" xfId="43883" xr:uid="{FC0B8896-3A09-46BC-B9FE-4E20D708E407}"/>
    <cellStyle name="Migliaia 15 4 3 3" xfId="36097" xr:uid="{0C39596F-2AE3-4AAD-BDA7-8312594EB738}"/>
    <cellStyle name="Migliaia 15 4 3 4" xfId="41232" xr:uid="{9584CA4A-AE03-4700-B778-E587640AE6FB}"/>
    <cellStyle name="Migliaia 15 4 3 5" xfId="17407" xr:uid="{AFE243A3-15AC-4333-8555-5C256223B302}"/>
    <cellStyle name="Migliaia 15 4 3 6" xfId="9121" xr:uid="{CE69A2CE-8514-46CA-BCB4-8A375BC4A440}"/>
    <cellStyle name="Migliaia 15 4 4" xfId="6147" xr:uid="{99B47C6C-44E3-432F-BEF7-061E82C9C296}"/>
    <cellStyle name="Migliaia 15 4 4 2" xfId="33200" xr:uid="{225C6E99-BCDD-4A7D-A21C-BADCD06609BF}"/>
    <cellStyle name="Migliaia 15 4 4 2 2" xfId="38582" xr:uid="{CDEDD6E6-0962-4D30-9340-27817EF1D7F7}"/>
    <cellStyle name="Migliaia 15 4 4 2 3" xfId="43884" xr:uid="{93D50303-D849-421F-8E5E-AC543B46C274}"/>
    <cellStyle name="Migliaia 15 4 4 3" xfId="36098" xr:uid="{79F9080E-B9E7-47CE-A4E3-6A4639E34617}"/>
    <cellStyle name="Migliaia 15 4 4 4" xfId="41233" xr:uid="{BCFF5229-2614-4637-B319-FA3511BEE021}"/>
    <cellStyle name="Migliaia 15 4 4 5" xfId="11910" xr:uid="{8262A869-0C79-46BD-B010-CA258380DAE7}"/>
    <cellStyle name="Migliaia 15 4 5" xfId="3203" xr:uid="{3C459EEA-2071-4A48-9706-F3AA822F3A39}"/>
    <cellStyle name="Migliaia 15 4 5 2" xfId="33201" xr:uid="{B5F1F146-AD1E-443C-8907-D57DF38914A0}"/>
    <cellStyle name="Migliaia 15 4 5 2 2" xfId="38583" xr:uid="{D722A848-8E23-4F6D-9D01-57AC030B2A60}"/>
    <cellStyle name="Migliaia 15 4 5 2 3" xfId="43885" xr:uid="{F3A4B3B9-C2EC-4932-A1C1-C2FF657666AE}"/>
    <cellStyle name="Migliaia 15 4 5 3" xfId="36099" xr:uid="{4C9B3F0C-4CD9-4FFB-8EBC-9E3EBCDA3CCE}"/>
    <cellStyle name="Migliaia 15 4 5 4" xfId="41234" xr:uid="{CC916DAA-BD2A-4D9D-B519-B7141A50A5CA}"/>
    <cellStyle name="Migliaia 15 4 5 5" xfId="11261" xr:uid="{25DF2ABC-5AB5-49D2-86D1-1EFCB326376D}"/>
    <cellStyle name="Migliaia 15 4 6" xfId="10762" xr:uid="{09143AFD-0ABB-4F1B-883F-A1DA59BEADFC}"/>
    <cellStyle name="Migliaia 15 4 6 2" xfId="21397" xr:uid="{5251B042-ED16-4026-ADDF-BE0CBF8F1C69}"/>
    <cellStyle name="Migliaia 15 4 6 2 2" xfId="38584" xr:uid="{903DD8CB-B6F7-419B-A9BB-FD08F0604A15}"/>
    <cellStyle name="Migliaia 15 4 6 2 3" xfId="43886" xr:uid="{20CE1D35-53C7-4261-8460-0CD3F7FC5281}"/>
    <cellStyle name="Migliaia 15 4 6 2 4" xfId="33202" xr:uid="{D99B4463-4F33-4E85-82EF-2E7C382C63BD}"/>
    <cellStyle name="Migliaia 15 4 6 3" xfId="36100" xr:uid="{D53F2F64-EE9B-4AC0-9CC7-F7F0FCDAD3DD}"/>
    <cellStyle name="Migliaia 15 4 6 4" xfId="41235" xr:uid="{845009BB-DDAE-4480-968F-9E2F52FA5243}"/>
    <cellStyle name="Migliaia 15 4 6 5" xfId="24341" xr:uid="{D2CCA8C5-76F0-4006-B720-581FB04CE051}"/>
    <cellStyle name="Migliaia 15 4 6 6" xfId="48171" xr:uid="{1D6983AF-E2C4-4213-A661-246918E54E99}"/>
    <cellStyle name="Migliaia 15 4 6 7" xfId="50412" xr:uid="{C7FA1F9B-178B-48DB-9F27-4BDD74053704}"/>
    <cellStyle name="Migliaia 15 4 6 8" xfId="53428" xr:uid="{839A56CC-F103-49C0-AFA5-CB3519C272DA}"/>
    <cellStyle name="Migliaia 15 4 7" xfId="19928" xr:uid="{E8C8E4FC-9621-4925-BE3D-51AA09C436CD}"/>
    <cellStyle name="Migliaia 15 4 7 2" xfId="33203" xr:uid="{A6CF1D92-4817-4F0C-9298-36D0381852C9}"/>
    <cellStyle name="Migliaia 15 4 7 2 2" xfId="38585" xr:uid="{CA13D40F-EC12-42FF-98F3-D2FDC20803AB}"/>
    <cellStyle name="Migliaia 15 4 7 2 3" xfId="43887" xr:uid="{AB2FD64F-D60C-4EF2-A592-673651223788}"/>
    <cellStyle name="Migliaia 15 4 7 3" xfId="36101" xr:uid="{8E1653DB-6071-479E-B5A6-BB4CB250645C}"/>
    <cellStyle name="Migliaia 15 4 7 4" xfId="41236" xr:uid="{4EFF631D-D700-4867-8828-8F3FBD947E39}"/>
    <cellStyle name="Migliaia 15 4 7 5" xfId="24342" xr:uid="{0BBB819A-9B21-4C29-8A5C-F8B85224AA21}"/>
    <cellStyle name="Migliaia 15 4 8" xfId="24339" xr:uid="{83696358-CEE8-462E-953D-7119B70AA20D}"/>
    <cellStyle name="Migliaia 15 4 9" xfId="7329" xr:uid="{B298B8B8-ECDB-49C3-9E3C-6964125295FB}"/>
    <cellStyle name="Migliaia 15 5" xfId="1687" xr:uid="{00000000-0005-0000-0000-0000F6020000}"/>
    <cellStyle name="Migliaia 15 5 2" xfId="4931" xr:uid="{406E4B41-3978-412D-A8EB-3DAE53749793}"/>
    <cellStyle name="Migliaia 15 5 2 2" xfId="18377" xr:uid="{CDC6A4D0-C079-4024-9D34-F2CD41D9A3E4}"/>
    <cellStyle name="Migliaia 15 5 2 2 2" xfId="38586" xr:uid="{98BE843E-DA04-4997-B8FF-443DBBA238D3}"/>
    <cellStyle name="Migliaia 15 5 2 2 3" xfId="43888" xr:uid="{6CCAE07D-6005-4DE8-8FEB-93D8CB634ABE}"/>
    <cellStyle name="Migliaia 15 5 2 3" xfId="19931" xr:uid="{6A9507A3-0A7E-40E9-A86F-75AC01E3353F}"/>
    <cellStyle name="Migliaia 15 5 2 3 2" xfId="36102" xr:uid="{8AA64F52-E913-40E3-ADF8-3720788E40E6}"/>
    <cellStyle name="Migliaia 15 5 2 4" xfId="41237" xr:uid="{E03F0380-96D2-482E-A5AE-3A2E2159DBC6}"/>
    <cellStyle name="Migliaia 15 5 2 5" xfId="16101" xr:uid="{1CECC315-7CD2-48A6-A99B-EF21C5E4E829}"/>
    <cellStyle name="Migliaia 15 5 2 6" xfId="8520" xr:uid="{C0AF20CB-9D0B-4AD1-8448-8EBA53EE0AFC}"/>
    <cellStyle name="Migliaia 15 5 3" xfId="6148" xr:uid="{BAEB0A72-3CED-432B-B54F-15E743DD28F3}"/>
    <cellStyle name="Migliaia 15 5 3 2" xfId="33204" xr:uid="{C1A468E7-D95B-4F87-8541-C795A769D11F}"/>
    <cellStyle name="Migliaia 15 5 3 2 2" xfId="38587" xr:uid="{A1DFF070-3B6D-4E2E-8CEE-49FEA2974945}"/>
    <cellStyle name="Migliaia 15 5 3 2 3" xfId="43889" xr:uid="{D1DAD569-5BBD-4FD1-AA9E-1F1B6DCE1AA1}"/>
    <cellStyle name="Migliaia 15 5 3 3" xfId="36103" xr:uid="{4034F7FB-1731-4316-8082-028602A9FCDE}"/>
    <cellStyle name="Migliaia 15 5 3 4" xfId="41238" xr:uid="{8B0ACE90-4E5B-491B-BA7B-65170AD6B89E}"/>
    <cellStyle name="Migliaia 15 5 3 5" xfId="11263" xr:uid="{58466D27-32F6-4AA0-A93B-F0E4FBBD5558}"/>
    <cellStyle name="Migliaia 15 5 4" xfId="3205" xr:uid="{A1490F85-18DA-4582-A053-BD0899C472C3}"/>
    <cellStyle name="Migliaia 15 5 4 2" xfId="21399" xr:uid="{F9EC2B49-DF8F-4CCF-BB48-FC4AC45C6C88}"/>
    <cellStyle name="Migliaia 15 5 4 2 2" xfId="38588" xr:uid="{D9848CF4-5E00-442D-ACD4-4994ADFE1430}"/>
    <cellStyle name="Migliaia 15 5 4 2 3" xfId="43890" xr:uid="{B57A342A-3D7B-4D3D-85D1-872947390C4F}"/>
    <cellStyle name="Migliaia 15 5 4 2 4" xfId="33205" xr:uid="{B0ECC455-8D57-47DF-8A93-85C4F931EBCA}"/>
    <cellStyle name="Migliaia 15 5 4 3" xfId="36104" xr:uid="{D9EE240B-C4CC-4EF7-8147-045ABAA253AC}"/>
    <cellStyle name="Migliaia 15 5 4 4" xfId="41239" xr:uid="{15FF85F9-02C1-4A67-8AC5-1E7F00DE665A}"/>
    <cellStyle name="Migliaia 15 5 4 5" xfId="24344" xr:uid="{B1D1788A-AD8E-46C6-92A1-F1D951909493}"/>
    <cellStyle name="Migliaia 15 5 4 6" xfId="33089" xr:uid="{9714EC3B-5AE4-4D29-AB26-B7B01383F863}"/>
    <cellStyle name="Migliaia 15 5 4 7" xfId="50414" xr:uid="{4C730DE1-3922-473C-9E11-ACB5C63E4D72}"/>
    <cellStyle name="Migliaia 15 5 4 8" xfId="53430" xr:uid="{E7ADE665-B312-45A4-9B84-8A2FDF0F50C7}"/>
    <cellStyle name="Migliaia 15 5 4 9" xfId="10764" xr:uid="{50C18D8C-6415-49EA-BF7D-D7BE8AC47A69}"/>
    <cellStyle name="Migliaia 15 5 5" xfId="19930" xr:uid="{59CBCC75-CBF0-47B9-90EE-EE4A9D8C9F68}"/>
    <cellStyle name="Migliaia 15 5 5 2" xfId="33206" xr:uid="{612D6F72-9062-44E5-AB21-6E83A9788EF7}"/>
    <cellStyle name="Migliaia 15 5 5 2 2" xfId="38589" xr:uid="{A0642FC7-1CB4-4182-B34F-DFE5DE79C1BD}"/>
    <cellStyle name="Migliaia 15 5 5 2 3" xfId="43891" xr:uid="{78C09E2F-E92A-4BCA-B047-006BF4354802}"/>
    <cellStyle name="Migliaia 15 5 5 3" xfId="36105" xr:uid="{3DDAADC9-4491-4367-A98A-FC6A425B5A63}"/>
    <cellStyle name="Migliaia 15 5 5 4" xfId="41240" xr:uid="{A471E0F8-0214-41BD-BEEC-2C52192C817F}"/>
    <cellStyle name="Migliaia 15 5 5 5" xfId="24345" xr:uid="{F0B2258F-8CE9-4CB2-AC00-264EA0E794EB}"/>
    <cellStyle name="Migliaia 15 5 6" xfId="24346" xr:uid="{EAC7EE6C-315E-414E-9672-2AE70720EF6F}"/>
    <cellStyle name="Migliaia 15 5 6 2" xfId="33207" xr:uid="{DA190A61-34AA-48A0-894C-761697F9E0AF}"/>
    <cellStyle name="Migliaia 15 5 6 2 2" xfId="38590" xr:uid="{2F21BCA3-90D6-4CAC-AC33-84CF97C30373}"/>
    <cellStyle name="Migliaia 15 5 6 2 3" xfId="43892" xr:uid="{A8484B54-A080-4F03-ADEE-444C0E893B33}"/>
    <cellStyle name="Migliaia 15 5 6 3" xfId="36106" xr:uid="{69539C14-30F7-463C-B90B-C30D24D07186}"/>
    <cellStyle name="Migliaia 15 5 6 4" xfId="41241" xr:uid="{F54B652D-CDA4-4C29-86D0-51E4D8F21E1E}"/>
    <cellStyle name="Migliaia 15 5 7" xfId="24343" xr:uid="{37C3FFD0-BF64-4685-A65C-F662C5E34274}"/>
    <cellStyle name="Migliaia 15 5 8" xfId="7330" xr:uid="{A543D059-332E-4B16-9F79-A3D59272FC87}"/>
    <cellStyle name="Migliaia 15 6" xfId="3206" xr:uid="{91C84716-3AB3-47AC-814F-628D07476DA0}"/>
    <cellStyle name="Migliaia 15 6 2" xfId="4932" xr:uid="{41DEB13C-20EF-4157-91D8-656487658DA6}"/>
    <cellStyle name="Migliaia 15 6 2 2" xfId="9893" xr:uid="{73946358-1D0F-43CE-9329-A27CEDCDFAF8}"/>
    <cellStyle name="Migliaia 15 6 2 3" xfId="18674" xr:uid="{E6AA9546-4717-473A-BB41-A57AAA133938}"/>
    <cellStyle name="Migliaia 15 6 2 4" xfId="19933" xr:uid="{C4EDBF7B-3B3F-4EF8-BA80-F2F6D26A87B4}"/>
    <cellStyle name="Migliaia 15 6 2 5" xfId="32313" xr:uid="{686DB2CC-B738-4D1B-8301-4766E072F276}"/>
    <cellStyle name="Migliaia 15 6 2 6" xfId="16103" xr:uid="{5C5CF37B-580E-44AC-8BED-E0D0189E2CA1}"/>
    <cellStyle name="Migliaia 15 6 2 7" xfId="8515" xr:uid="{15DFE0EB-B2B7-47C3-B027-A88F57D55162}"/>
    <cellStyle name="Migliaia 15 6 3" xfId="6149" xr:uid="{F5E79BA5-3C71-44DA-991A-6F3A3698B9D2}"/>
    <cellStyle name="Migliaia 15 6 3 2" xfId="35167" xr:uid="{E3680E98-E574-4F63-B08E-7C2A7F807C15}"/>
    <cellStyle name="Migliaia 15 6 3 2 2" xfId="40325" xr:uid="{FFC783FE-B82F-4498-8CF6-F47623F60559}"/>
    <cellStyle name="Migliaia 15 6 3 2 3" xfId="45627" xr:uid="{A50215F3-16DF-4D05-B958-B3812D371080}"/>
    <cellStyle name="Migliaia 15 6 3 3" xfId="37674" xr:uid="{1F73D95C-3861-4B73-9809-DAF20BD891C4}"/>
    <cellStyle name="Migliaia 15 6 3 4" xfId="42976" xr:uid="{4562C6A3-B2C3-4DA9-8B66-58301540C506}"/>
    <cellStyle name="Migliaia 15 6 3 5" xfId="9656" xr:uid="{B248C432-D489-4608-88F4-81F15FABD68C}"/>
    <cellStyle name="Migliaia 15 6 4" xfId="19932" xr:uid="{EDF20483-B7DA-447C-BCC8-E23106825C09}"/>
    <cellStyle name="Migliaia 15 6 4 2" xfId="38591" xr:uid="{856FE62C-EB8F-4513-B33D-40C5F6DCFDCB}"/>
    <cellStyle name="Migliaia 15 6 4 3" xfId="43893" xr:uid="{FFFC54FF-E489-4287-B71D-86CB4A87551C}"/>
    <cellStyle name="Migliaia 15 6 4 4" xfId="33208" xr:uid="{21065ECC-AF19-4A1A-9926-B1DFFEEAD8C1}"/>
    <cellStyle name="Migliaia 15 6 5" xfId="36107" xr:uid="{FE884AA2-B617-4AA9-A1F4-5DD036E9C322}"/>
    <cellStyle name="Migliaia 15 6 6" xfId="41242" xr:uid="{E6FB7D0C-4B39-45D9-80A5-59757D635509}"/>
    <cellStyle name="Migliaia 15 6 7" xfId="16102" xr:uid="{DFA394D4-90EB-4456-9A39-74B63A3B24F8}"/>
    <cellStyle name="Migliaia 15 6 8" xfId="7325" xr:uid="{C22DC42A-F004-493C-ACB8-64D07B7AC35B}"/>
    <cellStyle name="Migliaia 15 7" xfId="3207" xr:uid="{C2051085-84AA-4FB9-B3A2-8112F538E386}"/>
    <cellStyle name="Migliaia 15 7 2" xfId="4933" xr:uid="{97DD9A87-770D-4E17-9423-B9792975C01C}"/>
    <cellStyle name="Migliaia 15 7 2 2" xfId="35168" xr:uid="{77233111-71DF-4132-B39A-3C13E3BD6034}"/>
    <cellStyle name="Migliaia 15 7 2 2 2" xfId="40326" xr:uid="{9635E57B-0E1F-4262-8BBE-A282881F2E7D}"/>
    <cellStyle name="Migliaia 15 7 2 2 3" xfId="45628" xr:uid="{29CD9648-43EB-4BCE-9387-5FB9F809671C}"/>
    <cellStyle name="Migliaia 15 7 2 3" xfId="37675" xr:uid="{06F1AA65-FCF7-4C13-A5D2-BE1FCBEF267A}"/>
    <cellStyle name="Migliaia 15 7 2 4" xfId="42977" xr:uid="{6882F342-27A7-4E5C-91E9-6D9A6B47DEAB}"/>
    <cellStyle name="Migliaia 15 7 2 5" xfId="14196" xr:uid="{0A07FD1D-100F-49F9-A7EB-5A5440DDB266}"/>
    <cellStyle name="Migliaia 15 7 3" xfId="6150" xr:uid="{9D13C3A7-40DD-4DC9-A1C1-319CB80BC3E1}"/>
    <cellStyle name="Migliaia 15 7 3 2" xfId="38592" xr:uid="{B0CEC19E-3193-434C-954E-CDEC1FC2343C}"/>
    <cellStyle name="Migliaia 15 7 3 3" xfId="43894" xr:uid="{34E9F4E8-3C5A-46E0-839E-61805697986D}"/>
    <cellStyle name="Migliaia 15 7 3 4" xfId="33209" xr:uid="{3F1DA8E6-7BAC-426C-B1AD-B1940613111B}"/>
    <cellStyle name="Migliaia 15 7 3 5" xfId="19934" xr:uid="{D3651384-8636-454E-8D10-8742019EAEF4}"/>
    <cellStyle name="Migliaia 15 7 4" xfId="36108" xr:uid="{D4E69C3B-1A8B-4E54-A367-EEEFA0707C2E}"/>
    <cellStyle name="Migliaia 15 7 5" xfId="41243" xr:uid="{F07389DE-D396-43B4-8909-8D578361C9B9}"/>
    <cellStyle name="Migliaia 15 7 6" xfId="16104" xr:uid="{82DF921F-81C9-498D-9FFE-28E05C34C955}"/>
    <cellStyle name="Migliaia 15 7 7" xfId="8258" xr:uid="{40352F0E-DE47-488C-90B1-133DB4061443}"/>
    <cellStyle name="Migliaia 15 8" xfId="3208" xr:uid="{F9FB3714-966D-4FD4-84D8-F3EEDB8F10D0}"/>
    <cellStyle name="Migliaia 15 8 2" xfId="4934" xr:uid="{34E7FDAB-5CED-485A-BA5F-DDB25AF1A923}"/>
    <cellStyle name="Migliaia 15 8 2 2" xfId="35169" xr:uid="{67B1BC95-9AC0-4A58-88BB-80CA8C9401C7}"/>
    <cellStyle name="Migliaia 15 8 2 2 2" xfId="40327" xr:uid="{311012E3-D276-4BB1-A153-625CEA4F7A3F}"/>
    <cellStyle name="Migliaia 15 8 2 2 3" xfId="45629" xr:uid="{AD984597-3329-4A11-9406-78E290C18142}"/>
    <cellStyle name="Migliaia 15 8 2 3" xfId="37676" xr:uid="{15520B55-D864-44EF-91B0-E81AE0AD7607}"/>
    <cellStyle name="Migliaia 15 8 2 4" xfId="42978" xr:uid="{0E54E2B6-CBBD-4546-8455-CE1C78C4842D}"/>
    <cellStyle name="Migliaia 15 8 2 5" xfId="13899" xr:uid="{7C7BE377-4C25-4F1E-B4C0-AEC680E38782}"/>
    <cellStyle name="Migliaia 15 8 3" xfId="6151" xr:uid="{C46C367F-F677-4C36-AC0E-3E931A673B03}"/>
    <cellStyle name="Migliaia 15 8 3 2" xfId="38593" xr:uid="{E788DFCE-5D09-4061-8A10-4786C4B7F338}"/>
    <cellStyle name="Migliaia 15 8 3 3" xfId="43895" xr:uid="{78B258E9-AB28-4BEB-AFD9-1C3D1209D841}"/>
    <cellStyle name="Migliaia 15 8 3 4" xfId="33210" xr:uid="{E6BE2D53-2319-46F1-B8CC-18811ADE838A}"/>
    <cellStyle name="Migliaia 15 8 3 5" xfId="19935" xr:uid="{43378650-EB70-4468-9779-28A11CB55F2F}"/>
    <cellStyle name="Migliaia 15 8 4" xfId="36109" xr:uid="{0DC367DB-C70F-4686-92FD-D91BACD6B171}"/>
    <cellStyle name="Migliaia 15 8 5" xfId="41244" xr:uid="{B9E900DC-FCE9-4A2E-92ED-52C94EA2167F}"/>
    <cellStyle name="Migliaia 15 8 6" xfId="16105" xr:uid="{2C64FBDB-3FE3-45E5-86F1-63293CAC2349}"/>
    <cellStyle name="Migliaia 15 8 7" xfId="7843" xr:uid="{D40F5D92-DD8D-4C3B-9969-4AD4B48D2D8F}"/>
    <cellStyle name="Migliaia 15 9" xfId="4919" xr:uid="{29D03140-C706-474F-B3A8-566A2EC01030}"/>
    <cellStyle name="Migliaia 15 9 2" xfId="33211" xr:uid="{C8249F94-F5A3-4151-A7E8-21C27EAAFE39}"/>
    <cellStyle name="Migliaia 15 9 2 2" xfId="38594" xr:uid="{9AE1B65F-C3B1-4D7C-AD04-4D261E07C8E9}"/>
    <cellStyle name="Migliaia 15 9 2 3" xfId="43896" xr:uid="{F05446DD-2394-40D9-9C37-ED392EDAC6F4}"/>
    <cellStyle name="Migliaia 15 9 3" xfId="36110" xr:uid="{B01CA184-B9FC-4C79-B0CA-545ED79EAB34}"/>
    <cellStyle name="Migliaia 15 9 4" xfId="41245" xr:uid="{2ACBCD6F-0454-4578-9F60-560173BF612C}"/>
    <cellStyle name="Migliaia 15 9 5" xfId="17147" xr:uid="{186D5303-3F8F-4BAA-8C28-C568FB516A29}"/>
    <cellStyle name="Migliaia 16" xfId="325" xr:uid="{00000000-0005-0000-0000-0000F7020000}"/>
    <cellStyle name="Migliaia 16 10" xfId="6152" xr:uid="{A458F813-D2A8-40BA-9C11-FB508621C721}"/>
    <cellStyle name="Migliaia 16 10 2" xfId="38595" xr:uid="{580FFBBD-6EC9-45B7-BA77-128414CDB4C1}"/>
    <cellStyle name="Migliaia 16 10 3" xfId="43897" xr:uid="{1A4E3B8B-F111-4F77-B3E1-05B0AEC42DCE}"/>
    <cellStyle name="Migliaia 16 10 4" xfId="33212" xr:uid="{6B4A887F-920F-4474-B4B2-FCFB205C13D4}"/>
    <cellStyle name="Migliaia 16 10 5" xfId="19936" xr:uid="{EB13F93B-E979-4758-938C-945A5C438237}"/>
    <cellStyle name="Migliaia 16 11" xfId="3209" xr:uid="{D0E80C30-C1E1-4410-97DE-A42569E1E65E}"/>
    <cellStyle name="Migliaia 16 11 2" xfId="36111" xr:uid="{A23FF212-4C7F-4E1D-A939-D7C90131A548}"/>
    <cellStyle name="Migliaia 16 12" xfId="41246" xr:uid="{E4D5949E-EBFF-494E-B7E1-4DCA133B8C1D}"/>
    <cellStyle name="Migliaia 16 13" xfId="7062" xr:uid="{E9BCFE29-E45D-400C-B93D-B298A40B27F1}"/>
    <cellStyle name="Migliaia 16 2" xfId="326" xr:uid="{00000000-0005-0000-0000-0000F8020000}"/>
    <cellStyle name="Migliaia 16 2 2" xfId="1688" xr:uid="{00000000-0005-0000-0000-0000F9020000}"/>
    <cellStyle name="Migliaia 16 2 2 2" xfId="4937" xr:uid="{E1DD2827-8E5B-4DB5-A199-FEF4BD8CCCE4}"/>
    <cellStyle name="Migliaia 16 2 2 2 2" xfId="14369" xr:uid="{48F4A20E-F1E4-4070-B3BC-A290754EDA14}"/>
    <cellStyle name="Migliaia 16 2 2 2 2 2" xfId="38596" xr:uid="{483DED47-1434-4E37-877C-CB58C6A81953}"/>
    <cellStyle name="Migliaia 16 2 2 2 2 3" xfId="43898" xr:uid="{575A14C4-A833-41E5-AD60-5976B456FAE4}"/>
    <cellStyle name="Migliaia 16 2 2 2 3" xfId="18378" xr:uid="{80923644-EC6E-4E8E-9D85-932BC2E69DA0}"/>
    <cellStyle name="Migliaia 16 2 2 2 4" xfId="19939" xr:uid="{D828F2D0-763D-4811-A6F0-AA28B33822C7}"/>
    <cellStyle name="Migliaia 16 2 2 2 4 2" xfId="41247" xr:uid="{39A4F227-7A83-46B0-B968-F2722EADCE22}"/>
    <cellStyle name="Migliaia 16 2 2 2 5" xfId="16106" xr:uid="{B60F561A-C698-4358-9B46-3A8C0B586E39}"/>
    <cellStyle name="Migliaia 16 2 2 2 6" xfId="8522" xr:uid="{255A2A75-E874-450A-8E7F-B277971E51B5}"/>
    <cellStyle name="Migliaia 16 2 2 3" xfId="6154" xr:uid="{D660994A-5113-4282-AFB3-817CC42605D2}"/>
    <cellStyle name="Migliaia 16 2 2 3 2" xfId="35170" xr:uid="{4AC40687-A37B-4099-BAA0-658C94BEEBA3}"/>
    <cellStyle name="Migliaia 16 2 2 3 2 2" xfId="40328" xr:uid="{B571613A-E271-4F48-8904-85B88238A82A}"/>
    <cellStyle name="Migliaia 16 2 2 3 2 3" xfId="45630" xr:uid="{B26B5A04-E65A-4C70-B0F7-76419BFA3732}"/>
    <cellStyle name="Migliaia 16 2 2 3 3" xfId="37677" xr:uid="{67EF8772-6F3C-4910-B63C-33918878E8CF}"/>
    <cellStyle name="Migliaia 16 2 2 3 4" xfId="42979" xr:uid="{13138C05-CD9C-46C2-BAA1-822B9E657BDC}"/>
    <cellStyle name="Migliaia 16 2 2 3 5" xfId="11598" xr:uid="{CF440F0E-40C9-4C1B-8573-57687949BC45}"/>
    <cellStyle name="Migliaia 16 2 2 4" xfId="3211" xr:uid="{324ED930-B00C-4F15-8EFB-D7046203C253}"/>
    <cellStyle name="Migliaia 16 2 2 4 2" xfId="21400" xr:uid="{21EFAF0C-D56C-4220-A2D5-0023E5CAEC74}"/>
    <cellStyle name="Migliaia 16 2 2 4 3" xfId="47115" xr:uid="{106AA8EA-36D6-4645-A770-BA731C3F807D}"/>
    <cellStyle name="Migliaia 16 2 2 4 4" xfId="50415" xr:uid="{CADF2D6D-2692-479F-B08B-2F545BAEE0F0}"/>
    <cellStyle name="Migliaia 16 2 2 4 5" xfId="53431" xr:uid="{2744779D-CC06-4333-AD68-632394E11433}"/>
    <cellStyle name="Migliaia 16 2 2 4 6" xfId="10765" xr:uid="{AF36D93C-E3F0-4583-B2E7-E61EA757AA1D}"/>
    <cellStyle name="Migliaia 16 2 2 5" xfId="19938" xr:uid="{75793145-35F6-4048-8A4D-EEFD805327A4}"/>
    <cellStyle name="Migliaia 16 2 2 6" xfId="24348" xr:uid="{C89C41FE-786D-43A5-8F33-3C92A1A6B1AB}"/>
    <cellStyle name="Migliaia 16 2 2 7" xfId="7332" xr:uid="{C186AF65-D7A1-4C43-A706-6540EE788DD7}"/>
    <cellStyle name="Migliaia 16 2 3" xfId="3212" xr:uid="{8D050877-C74C-4E3B-BF05-0027D5C5482C}"/>
    <cellStyle name="Migliaia 16 2 3 2" xfId="4938" xr:uid="{25BA2046-E345-4D53-9150-232D9788F847}"/>
    <cellStyle name="Migliaia 16 2 3 2 2" xfId="35171" xr:uid="{0ADF95AA-8E7F-4F53-A2E7-FA64542A98BA}"/>
    <cellStyle name="Migliaia 16 2 3 2 2 2" xfId="40329" xr:uid="{3842A115-FFA5-4368-A80D-2F29E980C933}"/>
    <cellStyle name="Migliaia 16 2 3 2 2 3" xfId="45631" xr:uid="{3CAA23FA-7F6C-46A8-928C-E251B1E21A6F}"/>
    <cellStyle name="Migliaia 16 2 3 2 3" xfId="37678" xr:uid="{E28C9AE9-BF45-4B6C-955E-4C6F83368F85}"/>
    <cellStyle name="Migliaia 16 2 3 2 4" xfId="42980" xr:uid="{82C04E44-41B6-4B9E-9DCC-499CD0299503}"/>
    <cellStyle name="Migliaia 16 2 3 2 5" xfId="14200" xr:uid="{48631341-D131-4E5C-920B-F92DCF614C25}"/>
    <cellStyle name="Migliaia 16 2 3 3" xfId="6155" xr:uid="{E223A856-631D-4177-B855-17F93EF56F47}"/>
    <cellStyle name="Migliaia 16 2 3 3 2" xfId="38597" xr:uid="{3069F65E-99EC-4701-81E5-24B853157E9E}"/>
    <cellStyle name="Migliaia 16 2 3 3 3" xfId="43899" xr:uid="{1D9A3A2B-8644-4F1B-AA8E-91FAF6A16488}"/>
    <cellStyle name="Migliaia 16 2 3 3 4" xfId="33213" xr:uid="{7A6B18F3-5937-4423-9D4A-6AA5A682A712}"/>
    <cellStyle name="Migliaia 16 2 3 3 5" xfId="19940" xr:uid="{129FBC72-626D-4991-9A32-02A98F2A2B54}"/>
    <cellStyle name="Migliaia 16 2 3 4" xfId="36112" xr:uid="{60B6AA46-8355-421E-919D-337470BF36E1}"/>
    <cellStyle name="Migliaia 16 2 3 5" xfId="41248" xr:uid="{560FA2C2-F049-4599-9ACD-EA193946A008}"/>
    <cellStyle name="Migliaia 16 2 3 6" xfId="16107" xr:uid="{F7530E43-7845-472F-B8D6-8657FDBBA7B5}"/>
    <cellStyle name="Migliaia 16 2 3 7" xfId="8262" xr:uid="{AA5ABC2C-BEC1-4235-A529-7800FEF158B9}"/>
    <cellStyle name="Migliaia 16 2 4" xfId="4936" xr:uid="{A6CD6303-25FE-4FA1-980D-0C8F0846086D}"/>
    <cellStyle name="Migliaia 16 2 4 2" xfId="13903" xr:uid="{1C6018B7-30C1-4058-812C-1976E9DFFAB1}"/>
    <cellStyle name="Migliaia 16 2 4 2 2" xfId="38598" xr:uid="{C4FE7BF6-DDBC-462B-9928-095AA55C1FE4}"/>
    <cellStyle name="Migliaia 16 2 4 2 3" xfId="43900" xr:uid="{5447D9B4-5913-4E6A-B937-8E2483F8A772}"/>
    <cellStyle name="Migliaia 16 2 4 3" xfId="18015" xr:uid="{3EB38968-6DF8-48D0-9188-5BAB43520042}"/>
    <cellStyle name="Migliaia 16 2 4 4" xfId="19941" xr:uid="{0884916E-335F-49A4-B63A-D0A0704898EE}"/>
    <cellStyle name="Migliaia 16 2 4 4 2" xfId="41249" xr:uid="{3D0369B8-B3DD-4755-A559-45901E368969}"/>
    <cellStyle name="Migliaia 16 2 4 5" xfId="16108" xr:uid="{A10AD8B7-2E88-4F55-B4B3-66FB036C890E}"/>
    <cellStyle name="Migliaia 16 2 4 6" xfId="7848" xr:uid="{18CE678E-9656-46D4-880C-EA6F1FE3CE29}"/>
    <cellStyle name="Migliaia 16 2 5" xfId="6153" xr:uid="{B2950C2F-0546-4574-A6DD-4BE0709E50BE}"/>
    <cellStyle name="Migliaia 16 2 5 2" xfId="33214" xr:uid="{8DBB98E3-CB5C-409A-97A2-6FDD46E6B63F}"/>
    <cellStyle name="Migliaia 16 2 5 2 2" xfId="38599" xr:uid="{7C8B14BD-951C-425E-B77F-084A5495556F}"/>
    <cellStyle name="Migliaia 16 2 5 2 3" xfId="43901" xr:uid="{38F1C8C5-6D95-4C73-AF4B-A4E8B382EA2E}"/>
    <cellStyle name="Migliaia 16 2 5 3" xfId="36113" xr:uid="{ED133F94-C983-4F5C-8B6C-231ED2EE94AE}"/>
    <cellStyle name="Migliaia 16 2 5 4" xfId="41250" xr:uid="{50B4E326-E5DE-413E-ACAC-12417BD562B0}"/>
    <cellStyle name="Migliaia 16 2 5 5" xfId="13109" xr:uid="{EB0A5617-FDF1-45CA-8775-A64040C2B70A}"/>
    <cellStyle name="Migliaia 16 2 6" xfId="3210" xr:uid="{8368FD26-3CEC-4A82-80D5-403BC16C9C61}"/>
    <cellStyle name="Migliaia 16 2 6 2" xfId="33215" xr:uid="{0E92BFCF-9DD9-4146-8F03-78481DA34BC9}"/>
    <cellStyle name="Migliaia 16 2 6 2 2" xfId="38600" xr:uid="{534B4425-6322-4315-BA6D-1E930D71C1B8}"/>
    <cellStyle name="Migliaia 16 2 6 2 3" xfId="43902" xr:uid="{21DB6734-8A1C-42EE-A389-1C071CA3A89C}"/>
    <cellStyle name="Migliaia 16 2 6 3" xfId="36114" xr:uid="{BF8547DC-1E9A-4326-83A1-64C5FA8E7BE6}"/>
    <cellStyle name="Migliaia 16 2 6 4" xfId="41251" xr:uid="{9D146AFE-343F-42A4-85F7-321F9A49398F}"/>
    <cellStyle name="Migliaia 16 2 6 5" xfId="24349" xr:uid="{CCDF1F01-BB63-45FC-83F3-BF6443298462}"/>
    <cellStyle name="Migliaia 16 2 6 6" xfId="19937" xr:uid="{CB8D31F7-2BA9-40DA-80F9-0594FE977433}"/>
    <cellStyle name="Migliaia 16 2 7" xfId="24347" xr:uid="{DCF8C17D-F1FF-4296-AA7F-D0D534648B1E}"/>
    <cellStyle name="Migliaia 16 2 8" xfId="7063" xr:uid="{20D80B1C-69F5-4D8B-A5A1-04BF3AA5AD33}"/>
    <cellStyle name="Migliaia 16 3" xfId="327" xr:uid="{00000000-0005-0000-0000-0000FA020000}"/>
    <cellStyle name="Migliaia 16 3 10" xfId="24350" xr:uid="{B1101935-AAA4-4E58-A7F1-D2B0CC60E34E}"/>
    <cellStyle name="Migliaia 16 3 11" xfId="16109" xr:uid="{70794D43-0390-4B01-99C5-B9D0E3A7FF6B}"/>
    <cellStyle name="Migliaia 16 3 12" xfId="7064" xr:uid="{AA8E639A-0D6A-4265-B2FD-7C4FE62ADC78}"/>
    <cellStyle name="Migliaia 16 3 2" xfId="328" xr:uid="{00000000-0005-0000-0000-0000FB020000}"/>
    <cellStyle name="Migliaia 16 3 2 2" xfId="1689" xr:uid="{00000000-0005-0000-0000-0000FC020000}"/>
    <cellStyle name="Migliaia 16 3 2 2 2" xfId="4941" xr:uid="{D5C00C69-87FB-428A-B87A-C0A76BFFEBF9}"/>
    <cellStyle name="Migliaia 16 3 2 2 2 2" xfId="18379" xr:uid="{7D027C33-FF8F-49A2-BDB0-FA39C4851CD1}"/>
    <cellStyle name="Migliaia 16 3 2 2 2 2 2" xfId="21844" xr:uid="{A863E0A2-73EB-4A35-AA4B-7DE60306830F}"/>
    <cellStyle name="Migliaia 16 3 2 2 2 2 2 2" xfId="38601" xr:uid="{13602CA6-863D-45E5-847C-973C06EA5570}"/>
    <cellStyle name="Migliaia 16 3 2 2 2 2 3" xfId="43903" xr:uid="{863AF04C-8573-4EED-817E-9C97AF1780B5}"/>
    <cellStyle name="Migliaia 16 3 2 2 2 2 4" xfId="33216" xr:uid="{8793F260-04CE-40B1-AECE-1E94E2378364}"/>
    <cellStyle name="Migliaia 16 3 2 2 2 3" xfId="36115" xr:uid="{F7801852-DE25-4565-BD81-8B6F72DAE665}"/>
    <cellStyle name="Migliaia 16 3 2 2 2 4" xfId="41252" xr:uid="{660B5676-A503-4A0F-B911-AD997596D0BA}"/>
    <cellStyle name="Migliaia 16 3 2 2 2 5" xfId="47450" xr:uid="{29A33919-FE04-46EA-99CD-3E0D0B5EEF58}"/>
    <cellStyle name="Migliaia 16 3 2 2 2 6" xfId="50872" xr:uid="{5CBC10B4-02B1-480E-BA08-BF1EDF727C8A}"/>
    <cellStyle name="Migliaia 16 3 2 2 2 7" xfId="53888" xr:uid="{F9B12965-B0FE-49D3-8AAD-03C05D613A94}"/>
    <cellStyle name="Migliaia 16 3 2 2 2 8" xfId="17645" xr:uid="{1658718C-B791-4456-A8D8-D90BD5D66184}"/>
    <cellStyle name="Migliaia 16 3 2 2 2 9" xfId="11911" xr:uid="{6EA20DDE-EDC5-4B9B-8875-646B719DF6AF}"/>
    <cellStyle name="Migliaia 16 3 2 2 3" xfId="6158" xr:uid="{7ED3B557-4352-409A-B9F7-CA638A0C95DD}"/>
    <cellStyle name="Migliaia 16 3 2 2 3 2" xfId="11686" xr:uid="{9AD16051-B1D7-4575-969B-A079C5F0B6BF}"/>
    <cellStyle name="Migliaia 16 3 2 2 4" xfId="3215" xr:uid="{6BEF3A34-01EF-4ECC-AC62-39BA76C482F6}"/>
    <cellStyle name="Migliaia 16 3 2 2 4 2" xfId="21401" xr:uid="{5CC6138A-3A1E-49C0-97A5-3D671B369EB2}"/>
    <cellStyle name="Migliaia 16 3 2 2 4 3" xfId="47301" xr:uid="{A31D9E93-FD5A-45AC-9127-06517B651F28}"/>
    <cellStyle name="Migliaia 16 3 2 2 4 4" xfId="50416" xr:uid="{DB671147-669F-42F7-A0DB-B0C44606AB16}"/>
    <cellStyle name="Migliaia 16 3 2 2 4 5" xfId="53432" xr:uid="{B0D8FC51-3BDC-4601-ACEA-92AC588D859B}"/>
    <cellStyle name="Migliaia 16 3 2 2 4 6" xfId="10766" xr:uid="{A2CE2A4D-8F58-40F1-A883-166E429C9B73}"/>
    <cellStyle name="Migliaia 16 3 2 2 5" xfId="19944" xr:uid="{DEF6BB5F-0363-47AC-8E2B-0532382ED797}"/>
    <cellStyle name="Migliaia 16 3 2 2 6" xfId="24352" xr:uid="{EFA82FBE-AD4F-45AD-B46F-9778C71017C0}"/>
    <cellStyle name="Migliaia 16 3 2 2 7" xfId="8524" xr:uid="{2991651A-2CC2-4996-B5C0-C716763E8880}"/>
    <cellStyle name="Migliaia 16 3 2 3" xfId="4940" xr:uid="{8C06B9D4-7CA3-4861-B45B-20C32E99E95C}"/>
    <cellStyle name="Migliaia 16 3 2 3 2" xfId="12421" xr:uid="{91FD7417-6EC0-4B07-89ED-22A9667BBBFF}"/>
    <cellStyle name="Migliaia 16 3 2 3 2 2" xfId="38602" xr:uid="{6EA744AC-051D-4220-AE79-98695875EAC7}"/>
    <cellStyle name="Migliaia 16 3 2 3 2 3" xfId="43904" xr:uid="{0C5FC094-8E71-44C9-8B10-35D1EB8F1F35}"/>
    <cellStyle name="Migliaia 16 3 2 3 2 4" xfId="33217" xr:uid="{F84A9AA8-7CD8-4F92-B819-EA70EB62BFDA}"/>
    <cellStyle name="Migliaia 16 3 2 3 3" xfId="11912" xr:uid="{E8780139-44FD-44F8-8DF3-3FA490D21425}"/>
    <cellStyle name="Migliaia 16 3 2 3 4" xfId="19945" xr:uid="{02A59375-880C-4CDD-A01A-99C77FF591C9}"/>
    <cellStyle name="Migliaia 16 3 2 3 4 2" xfId="41253" xr:uid="{9F749291-5D93-4176-B2D9-E17E6DFCA50A}"/>
    <cellStyle name="Migliaia 16 3 2 3 5" xfId="16110" xr:uid="{763DC202-9C01-42B2-AB45-793367135D21}"/>
    <cellStyle name="Migliaia 16 3 2 3 6" xfId="7850" xr:uid="{AD3BC069-8281-402B-B4E3-11EF8680322D}"/>
    <cellStyle name="Migliaia 16 3 2 4" xfId="6157" xr:uid="{BAB117E8-8454-4F3D-AFFD-6E5D20F5C2C3}"/>
    <cellStyle name="Migliaia 16 3 2 4 2" xfId="18064" xr:uid="{1DBB4243-C452-4E03-B21A-BE8D699E4FDA}"/>
    <cellStyle name="Migliaia 16 3 2 4 2 2" xfId="38603" xr:uid="{6EB1CD47-9EF9-4E72-A288-E1EAA55FE58C}"/>
    <cellStyle name="Migliaia 16 3 2 4 2 3" xfId="43905" xr:uid="{97700F0B-DDD5-4D43-9236-6B5E6EF3DD5D}"/>
    <cellStyle name="Migliaia 16 3 2 4 3" xfId="36116" xr:uid="{6706A706-A7E0-4F69-A14D-7790255E9F1F}"/>
    <cellStyle name="Migliaia 16 3 2 4 4" xfId="41254" xr:uid="{908D67BE-E046-4AC4-A266-F79587B28E66}"/>
    <cellStyle name="Migliaia 16 3 2 4 5" xfId="17150" xr:uid="{A07FF433-BBB7-43DF-8332-F184A9DC89DB}"/>
    <cellStyle name="Migliaia 16 3 2 4 6" xfId="11264" xr:uid="{9800D830-6628-4550-B010-2B10505A278B}"/>
    <cellStyle name="Migliaia 16 3 2 5" xfId="3214" xr:uid="{0736BE52-8B4E-4198-BD8D-B2545DBB7C79}"/>
    <cellStyle name="Migliaia 16 3 2 5 2" xfId="33218" xr:uid="{8863A6D2-06FF-4F19-BED2-1BA93BBDC669}"/>
    <cellStyle name="Migliaia 16 3 2 5 2 2" xfId="38604" xr:uid="{52B9FE63-88AF-4116-B369-8C681366C57C}"/>
    <cellStyle name="Migliaia 16 3 2 5 2 3" xfId="43906" xr:uid="{61185E90-0F28-4654-8A06-CD8974F3C975}"/>
    <cellStyle name="Migliaia 16 3 2 5 3" xfId="36117" xr:uid="{22A3FC9B-AA49-4BB9-8ABA-97F8E9E020DD}"/>
    <cellStyle name="Migliaia 16 3 2 5 4" xfId="41255" xr:uid="{532D34B0-C1DE-492E-92DC-2EFA73012F05}"/>
    <cellStyle name="Migliaia 16 3 2 5 5" xfId="17405" xr:uid="{FD46D9CB-2106-4527-9A00-3F2FBE51F953}"/>
    <cellStyle name="Migliaia 16 3 2 6" xfId="19943" xr:uid="{98A686BD-7C89-41A7-A16A-8609BA469430}"/>
    <cellStyle name="Migliaia 16 3 2 6 2" xfId="33219" xr:uid="{C085A391-7B31-499B-8A2B-202E6A74B341}"/>
    <cellStyle name="Migliaia 16 3 2 6 2 2" xfId="38605" xr:uid="{09899627-5D1F-400A-BEAD-2714F4B2B645}"/>
    <cellStyle name="Migliaia 16 3 2 6 2 3" xfId="43907" xr:uid="{3E1CE7C6-D015-4B21-B0FC-98B1CA414FAF}"/>
    <cellStyle name="Migliaia 16 3 2 6 3" xfId="36118" xr:uid="{EA788965-6DB0-4957-81AF-749EA47CC3F4}"/>
    <cellStyle name="Migliaia 16 3 2 6 4" xfId="41256" xr:uid="{59D679EC-8169-4FB4-8E7B-EF2E381F695C}"/>
    <cellStyle name="Migliaia 16 3 2 6 5" xfId="24353" xr:uid="{D9C46003-FEEB-4256-AC90-FF23C52914F4}"/>
    <cellStyle name="Migliaia 16 3 2 7" xfId="24351" xr:uid="{0A91F369-32A4-4C27-BF7D-530C768D7617}"/>
    <cellStyle name="Migliaia 16 3 2 8" xfId="7334" xr:uid="{BA7C866C-91C6-4EE5-A54D-EDA1A619B81E}"/>
    <cellStyle name="Migliaia 16 3 3" xfId="3216" xr:uid="{21A3FBAC-31AF-4780-AAC4-1A173292D86D}"/>
    <cellStyle name="Migliaia 16 3 3 10" xfId="7333" xr:uid="{AEC2CFEE-DF4B-4796-97B5-AEDC729EE8C3}"/>
    <cellStyle name="Migliaia 16 3 3 2" xfId="4942" xr:uid="{2B9D2E43-3C7F-468F-B5AA-DE807D4E18D6}"/>
    <cellStyle name="Migliaia 16 3 3 2 2" xfId="9896" xr:uid="{46B0FB47-1EA7-47FB-A51A-D122288001E4}"/>
    <cellStyle name="Migliaia 16 3 3 2 2 2" xfId="38607" xr:uid="{89D48AFC-2D78-4AA2-8794-17364C99B906}"/>
    <cellStyle name="Migliaia 16 3 3 2 2 3" xfId="43909" xr:uid="{751AE55B-87B1-4671-AF02-1522866A2024}"/>
    <cellStyle name="Migliaia 16 3 3 2 3" xfId="18176" xr:uid="{4705A63F-1A0D-40E3-A473-FF8D48FC1310}"/>
    <cellStyle name="Migliaia 16 3 3 2 4" xfId="19947" xr:uid="{1F22D0C2-07AA-440A-84D1-BC0D988696BB}"/>
    <cellStyle name="Migliaia 16 3 3 2 4 2" xfId="41258" xr:uid="{D069E7A1-BE7C-436E-AF58-A47D5D243354}"/>
    <cellStyle name="Migliaia 16 3 3 2 5" xfId="16112" xr:uid="{0125EB12-9C2D-4340-B71F-006FE75A7E31}"/>
    <cellStyle name="Migliaia 16 3 3 2 6" xfId="8523" xr:uid="{0B52F541-A946-491D-908D-C42304483AC2}"/>
    <cellStyle name="Migliaia 16 3 3 3" xfId="6159" xr:uid="{660E4021-C2B9-4652-9296-9D45E689D00C}"/>
    <cellStyle name="Migliaia 16 3 3 3 2" xfId="33221" xr:uid="{79161D8F-889D-460C-81A3-8F20335154C7}"/>
    <cellStyle name="Migliaia 16 3 3 3 2 2" xfId="38608" xr:uid="{DC8A3ACA-0B18-4C8A-95E8-08AA7F2F194A}"/>
    <cellStyle name="Migliaia 16 3 3 3 2 3" xfId="43910" xr:uid="{5432FED6-267F-47C5-AEB4-B9B8DF96C354}"/>
    <cellStyle name="Migliaia 16 3 3 3 3" xfId="36120" xr:uid="{AAFE74F9-9001-45ED-A72C-9894BA6B0953}"/>
    <cellStyle name="Migliaia 16 3 3 3 4" xfId="41259" xr:uid="{2CA6A201-8965-4EDC-8642-38EBE650975E}"/>
    <cellStyle name="Migliaia 16 3 3 3 5" xfId="9659" xr:uid="{AFC7AD12-C7C0-45BD-A475-2EE4CDAB8952}"/>
    <cellStyle name="Migliaia 16 3 3 4" xfId="19946" xr:uid="{DDFF46A2-E5B1-419D-AB61-46262264F079}"/>
    <cellStyle name="Migliaia 16 3 3 4 2" xfId="33222" xr:uid="{92FE2A99-2E19-432B-910F-2D41DB26BC4F}"/>
    <cellStyle name="Migliaia 16 3 3 4 2 2" xfId="38609" xr:uid="{023E9884-54EB-449E-B14A-C14F61EF206D}"/>
    <cellStyle name="Migliaia 16 3 3 4 2 3" xfId="43911" xr:uid="{805C37D8-AC38-4FAA-B297-7D6A0C45F497}"/>
    <cellStyle name="Migliaia 16 3 3 4 3" xfId="36121" xr:uid="{9BDEE3A5-0C73-4284-9DAA-BAEA927DE310}"/>
    <cellStyle name="Migliaia 16 3 3 4 4" xfId="41260" xr:uid="{3C7F90A0-BF46-44DD-8924-76C544583BA0}"/>
    <cellStyle name="Migliaia 16 3 3 4 5" xfId="24354" xr:uid="{BEF3779F-AE39-4092-81A0-D90ECE3DFDEB}"/>
    <cellStyle name="Migliaia 16 3 3 5" xfId="24355" xr:uid="{37D188C2-2F40-4D43-B686-E5635F2E3BA5}"/>
    <cellStyle name="Migliaia 16 3 3 5 2" xfId="33223" xr:uid="{743817CB-3F79-4390-9F5E-AB0874D73F9F}"/>
    <cellStyle name="Migliaia 16 3 3 5 2 2" xfId="38610" xr:uid="{D63AC7DC-859B-4F98-AC12-9A6A5F72B5DA}"/>
    <cellStyle name="Migliaia 16 3 3 5 2 3" xfId="43912" xr:uid="{8FF7278D-3B75-4664-BFA9-DDCF35997CF7}"/>
    <cellStyle name="Migliaia 16 3 3 5 3" xfId="36122" xr:uid="{D00ED263-FFB4-4AD1-A552-A1913E495F16}"/>
    <cellStyle name="Migliaia 16 3 3 5 4" xfId="41261" xr:uid="{68F055CC-E72C-4929-B10A-8728CAF906BA}"/>
    <cellStyle name="Migliaia 16 3 3 6" xfId="33220" xr:uid="{4572C456-0ABD-47F5-8AFB-96F8835EC85E}"/>
    <cellStyle name="Migliaia 16 3 3 6 2" xfId="38606" xr:uid="{294A6879-D97C-421B-BE05-4449643186CC}"/>
    <cellStyle name="Migliaia 16 3 3 6 3" xfId="43908" xr:uid="{0C996361-8933-4B9D-9D5C-93751BF0145C}"/>
    <cellStyle name="Migliaia 16 3 3 7" xfId="36119" xr:uid="{42E0F65F-FA22-47B4-ABC4-AA7CBC9DD497}"/>
    <cellStyle name="Migliaia 16 3 3 8" xfId="41257" xr:uid="{97195DAA-26AE-4D44-BAC1-CB0DFFCFD670}"/>
    <cellStyle name="Migliaia 16 3 3 9" xfId="16111" xr:uid="{A3CA392C-6659-4531-B0C1-6BE31C77C442}"/>
    <cellStyle name="Migliaia 16 3 4" xfId="3217" xr:uid="{2BC36462-1492-4B99-9ED1-41E3181EECB0}"/>
    <cellStyle name="Migliaia 16 3 4 2" xfId="4943" xr:uid="{20849AFC-71DE-4430-A01C-83EBB7DF3642}"/>
    <cellStyle name="Migliaia 16 3 4 2 2" xfId="14430" xr:uid="{729E1CC7-DE38-4979-9BDF-E419ADA96ABC}"/>
    <cellStyle name="Migliaia 16 3 4 2 3" xfId="18033" xr:uid="{0C3B9A4C-60D7-48F4-AEF2-E833C421C890}"/>
    <cellStyle name="Migliaia 16 3 4 2 4" xfId="19949" xr:uid="{77CCA6E6-852B-48F3-9A95-247582E41990}"/>
    <cellStyle name="Migliaia 16 3 4 2 5" xfId="32314" xr:uid="{D3B016D8-5A60-4B4C-BAB8-D3DEB056AA3D}"/>
    <cellStyle name="Migliaia 16 3 4 2 6" xfId="16114" xr:uid="{2F037308-8C98-45B8-890D-96D666B8F798}"/>
    <cellStyle name="Migliaia 16 3 4 2 7" xfId="8853" xr:uid="{3D73D651-8E51-4E61-A256-85F4271498FB}"/>
    <cellStyle name="Migliaia 16 3 4 3" xfId="6160" xr:uid="{97EF078D-C318-45EA-AAFF-3A421D7EAFB7}"/>
    <cellStyle name="Migliaia 16 3 4 3 2" xfId="35172" xr:uid="{1E4556D5-1C28-48C4-AA7D-CDC5E21556F0}"/>
    <cellStyle name="Migliaia 16 3 4 3 2 2" xfId="40330" xr:uid="{647AD4B4-6769-4C98-8268-0DB22751B549}"/>
    <cellStyle name="Migliaia 16 3 4 3 2 3" xfId="45632" xr:uid="{8E0F2ED4-780D-43CF-B04E-2A43C12BEA87}"/>
    <cellStyle name="Migliaia 16 3 4 3 3" xfId="37679" xr:uid="{C1048131-4340-496D-97C2-F39353451DA1}"/>
    <cellStyle name="Migliaia 16 3 4 3 4" xfId="42981" xr:uid="{08B128DD-7BC0-48B6-9A19-3C782843DF8C}"/>
    <cellStyle name="Migliaia 16 3 4 3 5" xfId="13678" xr:uid="{654AC9E1-7776-4E00-A82E-F39B2AF5B854}"/>
    <cellStyle name="Migliaia 16 3 4 4" xfId="19948" xr:uid="{CE87768F-1727-4084-AAFE-4928E6027F71}"/>
    <cellStyle name="Migliaia 16 3 4 4 2" xfId="38611" xr:uid="{941A5F7E-0A9D-4396-A806-3BFC4852F29A}"/>
    <cellStyle name="Migliaia 16 3 4 4 3" xfId="43913" xr:uid="{36746A1A-29A6-40AD-AB14-590405E9EE3B}"/>
    <cellStyle name="Migliaia 16 3 4 4 4" xfId="33224" xr:uid="{B8BF7D7E-A677-4134-A174-389418E3D5E4}"/>
    <cellStyle name="Migliaia 16 3 4 5" xfId="36123" xr:uid="{F1DF0FD2-D0C5-4D2C-AFF7-ECE698CB630D}"/>
    <cellStyle name="Migliaia 16 3 4 6" xfId="41262" xr:uid="{BB1DFEF6-4CE0-4E15-8E29-839D789807C4}"/>
    <cellStyle name="Migliaia 16 3 4 7" xfId="16113" xr:uid="{1B9794BC-62F3-4BE8-9358-750F59621231}"/>
    <cellStyle name="Migliaia 16 3 4 8" xfId="7663" xr:uid="{6F746281-9CAA-4991-BBB8-6019CCAD0073}"/>
    <cellStyle name="Migliaia 16 3 5" xfId="3218" xr:uid="{A90785C4-DFDF-4332-AC54-1CDA67480740}"/>
    <cellStyle name="Migliaia 16 3 5 2" xfId="4944" xr:uid="{3E5199E1-1F7E-4A2D-9961-E629987FEE54}"/>
    <cellStyle name="Migliaia 16 3 5 2 2" xfId="35173" xr:uid="{C88DE0B6-08C1-4B29-A69A-DAC15D643001}"/>
    <cellStyle name="Migliaia 16 3 5 2 2 2" xfId="40331" xr:uid="{389F3B4B-EE37-4146-8F38-2947D35F26A1}"/>
    <cellStyle name="Migliaia 16 3 5 2 2 3" xfId="45633" xr:uid="{08F3DFB8-1AAC-4348-98D1-87F211FF1CEB}"/>
    <cellStyle name="Migliaia 16 3 5 2 3" xfId="37680" xr:uid="{77ABD28E-8FBF-4D1E-A288-EC5792B97530}"/>
    <cellStyle name="Migliaia 16 3 5 2 4" xfId="42982" xr:uid="{88C51716-65F5-42E9-8C12-B224893401EE}"/>
    <cellStyle name="Migliaia 16 3 5 2 5" xfId="14201" xr:uid="{43501212-D93D-4BCF-B0CA-D8C7F00E146E}"/>
    <cellStyle name="Migliaia 16 3 5 3" xfId="6161" xr:uid="{FC833FDF-BDCD-4896-B72F-B830E950E2DD}"/>
    <cellStyle name="Migliaia 16 3 5 3 2" xfId="38612" xr:uid="{A8DC8F0A-EA71-4572-AD97-8996893F3DC0}"/>
    <cellStyle name="Migliaia 16 3 5 3 3" xfId="43914" xr:uid="{A45D209B-D4EB-4A95-AE22-EB133C5AA682}"/>
    <cellStyle name="Migliaia 16 3 5 3 4" xfId="33225" xr:uid="{5723E308-51DB-41D1-B4A7-903EEDE721F3}"/>
    <cellStyle name="Migliaia 16 3 5 3 5" xfId="19950" xr:uid="{2FC04596-793C-4604-917A-B37EE251375B}"/>
    <cellStyle name="Migliaia 16 3 5 4" xfId="36124" xr:uid="{23B0D030-6B0A-4FC0-9C84-679D08E72CD9}"/>
    <cellStyle name="Migliaia 16 3 5 5" xfId="41263" xr:uid="{617F6816-B0BB-42E6-9746-F0A08280F9F4}"/>
    <cellStyle name="Migliaia 16 3 5 6" xfId="16115" xr:uid="{A4223CC8-C19B-45FE-9F17-DA2B72EB3A30}"/>
    <cellStyle name="Migliaia 16 3 5 7" xfId="8263" xr:uid="{292D34DB-F48D-41E5-BA03-2213FDD66A87}"/>
    <cellStyle name="Migliaia 16 3 6" xfId="4939" xr:uid="{5EA4443C-0496-4476-B8BE-A5CE1F575BE8}"/>
    <cellStyle name="Migliaia 16 3 6 2" xfId="13904" xr:uid="{F75E4FF9-4E17-4C8B-A242-F9865202BAEF}"/>
    <cellStyle name="Migliaia 16 3 6 2 2" xfId="38613" xr:uid="{24B0ABDD-76CF-46FC-B369-0652DCECD64B}"/>
    <cellStyle name="Migliaia 16 3 6 2 3" xfId="43915" xr:uid="{3B33BE0D-56D2-4661-88AB-EFB27FEA1992}"/>
    <cellStyle name="Migliaia 16 3 6 3" xfId="18722" xr:uid="{89D5115E-3963-47C9-A289-7315B5644DC8}"/>
    <cellStyle name="Migliaia 16 3 6 4" xfId="19951" xr:uid="{53A27B17-0297-4045-9623-46FDF3BA264F}"/>
    <cellStyle name="Migliaia 16 3 6 4 2" xfId="41264" xr:uid="{282688B0-D7F9-48E2-B9C6-320424F4A433}"/>
    <cellStyle name="Migliaia 16 3 6 5" xfId="16116" xr:uid="{EEE2977B-0296-4F31-9522-CC24EE552F98}"/>
    <cellStyle name="Migliaia 16 3 6 6" xfId="7849" xr:uid="{7CD7F2B0-63B9-406F-A512-0F56EA4C8104}"/>
    <cellStyle name="Migliaia 16 3 7" xfId="6156" xr:uid="{FBE4E020-7F17-4AE8-A927-05DCC289AC59}"/>
    <cellStyle name="Migliaia 16 3 7 2" xfId="33226" xr:uid="{B4AFDA9D-3910-43A9-956B-1E6D802EAFFF}"/>
    <cellStyle name="Migliaia 16 3 7 2 2" xfId="38614" xr:uid="{07F404D2-A898-468E-B9EF-90D5424C63F2}"/>
    <cellStyle name="Migliaia 16 3 7 2 3" xfId="43916" xr:uid="{A6C7C660-3E5A-42ED-B2A1-EEA1CCD1F3E1}"/>
    <cellStyle name="Migliaia 16 3 7 3" xfId="36125" xr:uid="{A349CDC9-F91F-4868-B9DC-6825E0DFCC79}"/>
    <cellStyle name="Migliaia 16 3 7 4" xfId="41265" xr:uid="{46BB699E-F31D-4FDB-A104-AFA9FA8CAAF3}"/>
    <cellStyle name="Migliaia 16 3 7 5" xfId="12279" xr:uid="{E7B27C3C-5CA0-4E90-BF25-D1569DD63009}"/>
    <cellStyle name="Migliaia 16 3 8" xfId="3213" xr:uid="{37890EC3-B3B9-4EDE-876F-E9882B80912E}"/>
    <cellStyle name="Migliaia 16 3 8 2" xfId="33227" xr:uid="{A475BDCC-C1A1-48FA-8168-9A91B8943EA4}"/>
    <cellStyle name="Migliaia 16 3 8 2 2" xfId="38615" xr:uid="{CDEA2418-E10D-4EA1-AF6E-2361ADBA120D}"/>
    <cellStyle name="Migliaia 16 3 8 2 3" xfId="43917" xr:uid="{43871EA1-C002-4403-97D1-2278CB1CAF99}"/>
    <cellStyle name="Migliaia 16 3 8 3" xfId="36126" xr:uid="{835A928C-9FF5-4789-BAF8-9BF8E486E9D5}"/>
    <cellStyle name="Migliaia 16 3 8 4" xfId="41266" xr:uid="{B1D34873-2CB7-4FD0-81C6-25460582F713}"/>
    <cellStyle name="Migliaia 16 3 8 5" xfId="24356" xr:uid="{FDE3C7F7-A581-438A-8FB9-E8AFDFA9CDE0}"/>
    <cellStyle name="Migliaia 16 3 8 6" xfId="17406" xr:uid="{2E08B518-923F-4965-8CBC-FBB2AC0FA6FA}"/>
    <cellStyle name="Migliaia 16 3 9" xfId="19942" xr:uid="{23376AF9-721D-430D-81A3-788099873787}"/>
    <cellStyle name="Migliaia 16 4" xfId="1690" xr:uid="{00000000-0005-0000-0000-0000FD020000}"/>
    <cellStyle name="Migliaia 16 4 2" xfId="1691" xr:uid="{00000000-0005-0000-0000-0000FE020000}"/>
    <cellStyle name="Migliaia 16 4 2 2" xfId="4946" xr:uid="{33748097-BF56-4AD6-ACE1-6610C0301E59}"/>
    <cellStyle name="Migliaia 16 4 2 2 2" xfId="33228" xr:uid="{EF049D46-69E6-445C-A5BF-7B8F4C7C6305}"/>
    <cellStyle name="Migliaia 16 4 2 2 2 2" xfId="38616" xr:uid="{4B3DD087-D3BC-4C29-B23B-2FD35E67DD25}"/>
    <cellStyle name="Migliaia 16 4 2 2 2 3" xfId="43918" xr:uid="{847B4C3A-D7E6-4CA4-9A9A-F640DDCE1F03}"/>
    <cellStyle name="Migliaia 16 4 2 2 3" xfId="36127" xr:uid="{CF36ACEC-1D23-458A-94BC-BC6419439DF0}"/>
    <cellStyle name="Migliaia 16 4 2 2 4" xfId="41267" xr:uid="{052316EE-13F4-407D-9429-061643E119B2}"/>
    <cellStyle name="Migliaia 16 4 2 2 5" xfId="9122" xr:uid="{12D909C1-7501-4D6A-8B89-11EC5865D1F9}"/>
    <cellStyle name="Migliaia 16 4 2 3" xfId="3220" xr:uid="{4623FA19-E8E2-4B98-88A4-5996386DF123}"/>
    <cellStyle name="Migliaia 16 4 2 3 2" xfId="33229" xr:uid="{351D522F-3D30-4779-8D5A-1F47AC8FC246}"/>
    <cellStyle name="Migliaia 16 4 2 3 2 2" xfId="38617" xr:uid="{F22C6BE1-5EB5-46BA-92D8-72DDAC190353}"/>
    <cellStyle name="Migliaia 16 4 2 3 2 3" xfId="43919" xr:uid="{57530E7E-85F3-4F72-A3E0-D6FA6C76F620}"/>
    <cellStyle name="Migliaia 16 4 2 3 3" xfId="36128" xr:uid="{530A11FE-275F-4EE6-93F5-814E080BE2C6}"/>
    <cellStyle name="Migliaia 16 4 2 3 4" xfId="41268" xr:uid="{45316445-C23B-480F-985A-C3CE4B66F6D6}"/>
    <cellStyle name="Migliaia 16 4 2 3 5" xfId="11913" xr:uid="{5C3FE879-21F7-4731-A580-ED89AFB5E08C}"/>
    <cellStyle name="Migliaia 16 4 2 4" xfId="11266" xr:uid="{FA3956EC-2CBF-4B40-A7B2-6CDC236B0AAD}"/>
    <cellStyle name="Migliaia 16 4 2 5" xfId="10768" xr:uid="{F53E1326-3D9A-4845-B5BE-2143A9D56594}"/>
    <cellStyle name="Migliaia 16 4 2 5 2" xfId="21403" xr:uid="{EAAC8579-F961-497C-82F8-E832E7F2A292}"/>
    <cellStyle name="Migliaia 16 4 2 5 3" xfId="48469" xr:uid="{6F120213-8C88-45CB-A576-B3DD9ADEB271}"/>
    <cellStyle name="Migliaia 16 4 2 5 4" xfId="50418" xr:uid="{4D5CAADE-CC53-40C5-AFBB-DA1F1AF4BABC}"/>
    <cellStyle name="Migliaia 16 4 2 5 5" xfId="53434" xr:uid="{86F8A9D1-37CC-4A67-80B8-A8E7E5A9717D}"/>
    <cellStyle name="Migliaia 16 4 2 6" xfId="19953" xr:uid="{B4A8BFF2-F36E-45D4-95B0-F2E22A416041}"/>
    <cellStyle name="Migliaia 16 4 2 7" xfId="24358" xr:uid="{610079FA-2B62-441F-9B94-F709AA6106B0}"/>
    <cellStyle name="Migliaia 16 4 2 8" xfId="8525" xr:uid="{C5965C10-D731-4894-A4BC-6E21C89DC70D}"/>
    <cellStyle name="Migliaia 16 4 3" xfId="4945" xr:uid="{612FC0C7-567C-48A8-B4C0-28E29EB27411}"/>
    <cellStyle name="Migliaia 16 4 3 2" xfId="18177" xr:uid="{1BFB51EF-1B6C-4E56-9551-7094B3BED1C8}"/>
    <cellStyle name="Migliaia 16 4 3 2 2" xfId="38618" xr:uid="{1942D815-C85E-4D27-8B3E-EC42D3E410AD}"/>
    <cellStyle name="Migliaia 16 4 3 2 3" xfId="43920" xr:uid="{98813566-5EEB-40C2-A4BB-C37296BF6C33}"/>
    <cellStyle name="Migliaia 16 4 3 3" xfId="36129" xr:uid="{BABE4B14-802B-4A2D-967A-D289C7A85396}"/>
    <cellStyle name="Migliaia 16 4 3 4" xfId="41269" xr:uid="{157305A4-BE07-4719-94B3-20FAE68BBD69}"/>
    <cellStyle name="Migliaia 16 4 3 5" xfId="17404" xr:uid="{4DA96E88-3B72-42EB-8589-BA9799272B65}"/>
    <cellStyle name="Migliaia 16 4 3 6" xfId="9123" xr:uid="{AAF6768A-7D5B-4B5D-BCFC-A51BA65340EC}"/>
    <cellStyle name="Migliaia 16 4 4" xfId="6162" xr:uid="{EE0E1019-BA5D-451C-A865-8943731C0874}"/>
    <cellStyle name="Migliaia 16 4 4 2" xfId="33230" xr:uid="{58F236F4-3BE2-4772-9E84-D66435485A88}"/>
    <cellStyle name="Migliaia 16 4 4 2 2" xfId="38619" xr:uid="{10C77992-313B-46D2-BD1D-77C83A829BF5}"/>
    <cellStyle name="Migliaia 16 4 4 2 3" xfId="43921" xr:uid="{FFE78E92-CB06-484C-A433-DB61AEC6BACE}"/>
    <cellStyle name="Migliaia 16 4 4 3" xfId="36130" xr:uid="{7EE82547-7380-46B1-8976-9FB8743BB526}"/>
    <cellStyle name="Migliaia 16 4 4 4" xfId="41270" xr:uid="{4F2B3EAC-39DF-456F-B6AB-A4D84AD508CF}"/>
    <cellStyle name="Migliaia 16 4 4 5" xfId="11914" xr:uid="{65825A56-C770-449F-A8FB-CC3598CF9551}"/>
    <cellStyle name="Migliaia 16 4 5" xfId="3219" xr:uid="{B4233E2A-7FC8-4227-B35D-15BE41C99CDD}"/>
    <cellStyle name="Migliaia 16 4 5 2" xfId="33231" xr:uid="{0887B4BE-A23D-473B-85A4-CDDD49AB6F44}"/>
    <cellStyle name="Migliaia 16 4 5 2 2" xfId="38620" xr:uid="{53F5944A-6008-4497-A4CE-7E1EB0F9C5D1}"/>
    <cellStyle name="Migliaia 16 4 5 2 3" xfId="43922" xr:uid="{8C886214-8CF9-415B-BCFB-74DACBD61771}"/>
    <cellStyle name="Migliaia 16 4 5 3" xfId="36131" xr:uid="{9B4CC388-CD41-4C06-A22B-4F7A9BFF8712}"/>
    <cellStyle name="Migliaia 16 4 5 4" xfId="41271" xr:uid="{DB50DE5E-E273-450F-98B1-E76906F11FCF}"/>
    <cellStyle name="Migliaia 16 4 5 5" xfId="11265" xr:uid="{735D7798-2E00-4BAA-8D24-71674D2E0034}"/>
    <cellStyle name="Migliaia 16 4 6" xfId="10767" xr:uid="{4D068051-EF57-487F-8DAF-D891A94FA382}"/>
    <cellStyle name="Migliaia 16 4 6 2" xfId="21402" xr:uid="{86AC641B-CD78-400C-876D-3450E47832BE}"/>
    <cellStyle name="Migliaia 16 4 6 2 2" xfId="38621" xr:uid="{30A24DDE-C8EB-4C81-8E2C-DE384D77D067}"/>
    <cellStyle name="Migliaia 16 4 6 2 3" xfId="43923" xr:uid="{D960DB82-E540-4D2F-BBF3-9C62EBB6C674}"/>
    <cellStyle name="Migliaia 16 4 6 2 4" xfId="33232" xr:uid="{1FF72B4B-4913-47AC-99B7-8E077EBEFE40}"/>
    <cellStyle name="Migliaia 16 4 6 3" xfId="36132" xr:uid="{23384D03-BEA3-440F-BD32-2E4D43A6DD1F}"/>
    <cellStyle name="Migliaia 16 4 6 4" xfId="41272" xr:uid="{60BF27B0-BEF1-4555-BBC9-B451FBF1A2FE}"/>
    <cellStyle name="Migliaia 16 4 6 5" xfId="24359" xr:uid="{A2C61E78-E862-4BC5-82C1-D466D8EA4265}"/>
    <cellStyle name="Migliaia 16 4 6 6" xfId="46212" xr:uid="{83A3F7B1-2012-47F3-BF67-52F8BB82B620}"/>
    <cellStyle name="Migliaia 16 4 6 7" xfId="50417" xr:uid="{3FF780AA-83F0-4E52-AA35-21F86EE6C8C0}"/>
    <cellStyle name="Migliaia 16 4 6 8" xfId="53433" xr:uid="{78AADC0A-FB9D-4808-90CF-80CF5B81CF9D}"/>
    <cellStyle name="Migliaia 16 4 7" xfId="19952" xr:uid="{0B1B4419-325B-4AB4-B537-424A0DA1DC5B}"/>
    <cellStyle name="Migliaia 16 4 7 2" xfId="33233" xr:uid="{CA334A4F-60B2-4A98-9200-FECD75A24D6C}"/>
    <cellStyle name="Migliaia 16 4 7 2 2" xfId="38622" xr:uid="{CAA26200-D18B-4468-B925-8CF8B140750F}"/>
    <cellStyle name="Migliaia 16 4 7 2 3" xfId="43924" xr:uid="{E41DF771-E208-4F1C-8C9E-6320F392CE13}"/>
    <cellStyle name="Migliaia 16 4 7 3" xfId="36133" xr:uid="{6FBEDDF4-2B5F-46AD-9EDF-A1317C2B2F54}"/>
    <cellStyle name="Migliaia 16 4 7 4" xfId="41273" xr:uid="{A21AA385-D7DE-4959-BF41-FBDB55DFE93C}"/>
    <cellStyle name="Migliaia 16 4 7 5" xfId="24360" xr:uid="{E8342581-B7F5-4024-807A-2A0B4B8652C0}"/>
    <cellStyle name="Migliaia 16 4 8" xfId="24357" xr:uid="{516EC437-531B-4C73-B862-BCA2B08E40B3}"/>
    <cellStyle name="Migliaia 16 4 9" xfId="7335" xr:uid="{A7D9B295-081D-4E8F-B503-0A6F77C72615}"/>
    <cellStyle name="Migliaia 16 5" xfId="1692" xr:uid="{00000000-0005-0000-0000-0000FF020000}"/>
    <cellStyle name="Migliaia 16 5 2" xfId="4947" xr:uid="{FECCBD8E-1D57-4C1D-8A50-26C3EA39370E}"/>
    <cellStyle name="Migliaia 16 5 2 2" xfId="18380" xr:uid="{1365AF44-1F22-4599-8400-C79001BE021F}"/>
    <cellStyle name="Migliaia 16 5 2 2 2" xfId="38623" xr:uid="{51E19B75-2A83-47C2-B96C-3E9E62B0B09D}"/>
    <cellStyle name="Migliaia 16 5 2 2 3" xfId="43925" xr:uid="{CDE1ABDC-7C49-4E1D-B36C-5868C5DF4A5F}"/>
    <cellStyle name="Migliaia 16 5 2 3" xfId="19955" xr:uid="{35887FD6-8349-45FA-9E7F-01D75805A6D0}"/>
    <cellStyle name="Migliaia 16 5 2 3 2" xfId="36134" xr:uid="{C89B62D1-2D04-413F-93B1-79D31F1C0855}"/>
    <cellStyle name="Migliaia 16 5 2 4" xfId="41274" xr:uid="{262800A6-8B95-4323-857A-B85DE6C1D7B2}"/>
    <cellStyle name="Migliaia 16 5 2 5" xfId="16117" xr:uid="{AF898C8E-2FA1-4813-9A7B-EAF444371143}"/>
    <cellStyle name="Migliaia 16 5 2 6" xfId="8526" xr:uid="{8780CFA9-7B3B-40E4-BD15-4F8A9CAF112C}"/>
    <cellStyle name="Migliaia 16 5 3" xfId="6163" xr:uid="{430DC52C-4757-4EEE-A55E-DF1BAAC038BA}"/>
    <cellStyle name="Migliaia 16 5 3 2" xfId="33234" xr:uid="{33C3729D-64AB-4C09-AED7-0E002F971FC8}"/>
    <cellStyle name="Migliaia 16 5 3 2 2" xfId="38624" xr:uid="{637401F0-7111-4425-8284-7DFE8C904AE3}"/>
    <cellStyle name="Migliaia 16 5 3 2 3" xfId="43926" xr:uid="{418B9CEB-B911-4F21-A0DA-3165ECBEF380}"/>
    <cellStyle name="Migliaia 16 5 3 3" xfId="36135" xr:uid="{20F550B9-DF02-4233-A585-2FA40E92CAD8}"/>
    <cellStyle name="Migliaia 16 5 3 4" xfId="41275" xr:uid="{2F6194A5-5E32-4C03-A6B8-0335069A7012}"/>
    <cellStyle name="Migliaia 16 5 3 5" xfId="11267" xr:uid="{B962C6D9-25F9-4201-9A15-0D0E9FB9547F}"/>
    <cellStyle name="Migliaia 16 5 4" xfId="3221" xr:uid="{82A7E26C-C8AC-4C75-B7F2-670D9EDDA009}"/>
    <cellStyle name="Migliaia 16 5 4 2" xfId="21404" xr:uid="{94F883B2-A3B3-4D2C-9D8B-69B70A2651F4}"/>
    <cellStyle name="Migliaia 16 5 4 2 2" xfId="38625" xr:uid="{81C56BD1-FF2A-4B9E-B316-32AA4EED3272}"/>
    <cellStyle name="Migliaia 16 5 4 2 3" xfId="43927" xr:uid="{D519B07A-F7D4-4A3A-B3AC-5D01354B49DF}"/>
    <cellStyle name="Migliaia 16 5 4 2 4" xfId="33235" xr:uid="{DEAA6BEE-5AF9-4F28-8963-18A4EB258881}"/>
    <cellStyle name="Migliaia 16 5 4 3" xfId="36136" xr:uid="{F773D170-757B-4A93-9012-A14B939C4204}"/>
    <cellStyle name="Migliaia 16 5 4 4" xfId="41276" xr:uid="{043085B1-59A2-43E9-AA3F-9F1E4FDEA2A3}"/>
    <cellStyle name="Migliaia 16 5 4 5" xfId="24362" xr:uid="{71816D7A-D4E7-4AC3-83F9-68A6F3C3C3BE}"/>
    <cellStyle name="Migliaia 16 5 4 6" xfId="47894" xr:uid="{75AA1272-A975-41FD-A304-7CB7EA6BBC01}"/>
    <cellStyle name="Migliaia 16 5 4 7" xfId="50419" xr:uid="{8519C745-7528-433A-A924-471D3D537819}"/>
    <cellStyle name="Migliaia 16 5 4 8" xfId="53435" xr:uid="{17886891-2530-4369-8F6A-1B051A064CF4}"/>
    <cellStyle name="Migliaia 16 5 4 9" xfId="10769" xr:uid="{24B15DEE-8D0A-4AB1-94D4-DD4EFF229AF7}"/>
    <cellStyle name="Migliaia 16 5 5" xfId="19954" xr:uid="{AD099A20-F304-440C-8000-A77B280E4673}"/>
    <cellStyle name="Migliaia 16 5 5 2" xfId="33236" xr:uid="{717745CB-C3D2-448C-8EDA-6508BA6B8F25}"/>
    <cellStyle name="Migliaia 16 5 5 2 2" xfId="38626" xr:uid="{10AC867C-9D67-41CF-963F-C1DF7E61BBB5}"/>
    <cellStyle name="Migliaia 16 5 5 2 3" xfId="43928" xr:uid="{BB613216-87C2-45D6-9B81-E2C365C1E860}"/>
    <cellStyle name="Migliaia 16 5 5 3" xfId="36137" xr:uid="{3C0C7346-B776-428E-819D-1743A8E0C639}"/>
    <cellStyle name="Migliaia 16 5 5 4" xfId="41277" xr:uid="{AD803BFF-75D0-43B7-902E-53ABE265D08A}"/>
    <cellStyle name="Migliaia 16 5 5 5" xfId="24363" xr:uid="{DA76A78C-8060-4176-A295-9DDF2D4077EB}"/>
    <cellStyle name="Migliaia 16 5 6" xfId="24364" xr:uid="{474643C1-2187-45DD-8A5E-62DAE1A9962A}"/>
    <cellStyle name="Migliaia 16 5 6 2" xfId="33237" xr:uid="{807017ED-334C-4BD8-9BEB-245DC299564D}"/>
    <cellStyle name="Migliaia 16 5 6 2 2" xfId="38627" xr:uid="{E6598368-A480-459B-88F4-DC3DE73095E5}"/>
    <cellStyle name="Migliaia 16 5 6 2 3" xfId="43929" xr:uid="{2707A2CC-07CF-4BB3-B112-EC238B77C993}"/>
    <cellStyle name="Migliaia 16 5 6 3" xfId="36138" xr:uid="{CAD4F7F4-1F5F-435E-81E1-20F1F10DEB34}"/>
    <cellStyle name="Migliaia 16 5 6 4" xfId="41278" xr:uid="{4B86B498-BCEB-46C1-9220-CDD7707F3E45}"/>
    <cellStyle name="Migliaia 16 5 7" xfId="24361" xr:uid="{0E117C60-DF59-4AB2-A250-1F5BC88BD99A}"/>
    <cellStyle name="Migliaia 16 5 8" xfId="7336" xr:uid="{67876D50-13A9-4EF2-A402-F46AA3E4A10B}"/>
    <cellStyle name="Migliaia 16 6" xfId="3222" xr:uid="{66EDDB79-6AA3-4646-8F38-4D76577588FD}"/>
    <cellStyle name="Migliaia 16 6 2" xfId="4948" xr:uid="{7DB9EAB6-4387-45F8-96C1-93C58C807D5F}"/>
    <cellStyle name="Migliaia 16 6 2 2" xfId="9895" xr:uid="{213CAF51-6AB9-4267-97D8-7D40998AE23B}"/>
    <cellStyle name="Migliaia 16 6 2 3" xfId="18673" xr:uid="{51E1ADCB-EA3B-42A2-9F80-C7EAD9667723}"/>
    <cellStyle name="Migliaia 16 6 2 4" xfId="19957" xr:uid="{A1BF94A8-B27E-4992-8B0D-7FC28ADABEAF}"/>
    <cellStyle name="Migliaia 16 6 2 5" xfId="32315" xr:uid="{FA06763C-E689-4682-8383-7F31DC00B50A}"/>
    <cellStyle name="Migliaia 16 6 2 6" xfId="16119" xr:uid="{AB963D8A-7E37-458B-A978-D7E7FDE88DFA}"/>
    <cellStyle name="Migliaia 16 6 2 7" xfId="8521" xr:uid="{5F91CE8D-2581-4432-956F-6CDB41CCCD42}"/>
    <cellStyle name="Migliaia 16 6 3" xfId="6164" xr:uid="{DBB586DC-B786-4B33-B3B4-E3265610A976}"/>
    <cellStyle name="Migliaia 16 6 3 2" xfId="35174" xr:uid="{5C5E259F-502F-4E83-8E6D-44D2F2DB4519}"/>
    <cellStyle name="Migliaia 16 6 3 2 2" xfId="40332" xr:uid="{02F28DDE-8D98-473B-AA8E-3DCF3651D1DC}"/>
    <cellStyle name="Migliaia 16 6 3 2 3" xfId="45634" xr:uid="{2FAC0A90-DC5F-44E7-A836-5B20C8CEB8B6}"/>
    <cellStyle name="Migliaia 16 6 3 3" xfId="37681" xr:uid="{6C58C55D-D0E0-4CDC-8C1C-8248C3781AF7}"/>
    <cellStyle name="Migliaia 16 6 3 4" xfId="42983" xr:uid="{BBEE9698-CEA4-41DA-AAE5-CD90580D2653}"/>
    <cellStyle name="Migliaia 16 6 3 5" xfId="9658" xr:uid="{17649B34-C24B-49AA-89FA-361BCC1D5416}"/>
    <cellStyle name="Migliaia 16 6 4" xfId="19956" xr:uid="{BCF18FEE-33A5-4F76-BD04-882C1DA72428}"/>
    <cellStyle name="Migliaia 16 6 4 2" xfId="38628" xr:uid="{81BAA3EC-EE2E-41EE-92C2-A105A3354191}"/>
    <cellStyle name="Migliaia 16 6 4 3" xfId="43930" xr:uid="{534C4DE5-23FB-4638-9343-2D0B517ACC09}"/>
    <cellStyle name="Migliaia 16 6 4 4" xfId="33238" xr:uid="{7ABC46CE-9B37-4049-91B5-3C1E1D1D982A}"/>
    <cellStyle name="Migliaia 16 6 5" xfId="36139" xr:uid="{D9E64C45-B0CE-4C64-972C-FF7D8D7BDFEE}"/>
    <cellStyle name="Migliaia 16 6 6" xfId="41279" xr:uid="{B992991A-F906-4D87-A17B-F0DC0765126B}"/>
    <cellStyle name="Migliaia 16 6 7" xfId="16118" xr:uid="{2B38826D-6922-4D84-95BE-D7D44561F76A}"/>
    <cellStyle name="Migliaia 16 6 8" xfId="7331" xr:uid="{53DC7EDE-EF66-47A3-8008-4BE5B848A239}"/>
    <cellStyle name="Migliaia 16 7" xfId="3223" xr:uid="{9116D72B-23F8-4790-BAB6-73152061C4CA}"/>
    <cellStyle name="Migliaia 16 7 2" xfId="4949" xr:uid="{8500CA5C-8D52-4E38-A342-3AFD01F418E4}"/>
    <cellStyle name="Migliaia 16 7 2 2" xfId="35175" xr:uid="{1B4E0CC4-CBCD-49ED-8209-20DB3C0A2E28}"/>
    <cellStyle name="Migliaia 16 7 2 2 2" xfId="40333" xr:uid="{32ED87FC-208F-46E9-9025-91A069EA2143}"/>
    <cellStyle name="Migliaia 16 7 2 2 3" xfId="45635" xr:uid="{4B0B7D04-EB3E-450F-9618-13BEFDBC807D}"/>
    <cellStyle name="Migliaia 16 7 2 3" xfId="37682" xr:uid="{86E680EB-3E3D-4B46-BEAC-F8F34FB1A28C}"/>
    <cellStyle name="Migliaia 16 7 2 4" xfId="42984" xr:uid="{17F527A1-4935-4E0B-B126-64CBC87C3753}"/>
    <cellStyle name="Migliaia 16 7 2 5" xfId="14199" xr:uid="{C9D773B8-FCB5-46A1-8478-83EFA100327B}"/>
    <cellStyle name="Migliaia 16 7 3" xfId="6165" xr:uid="{5376C883-DF44-4A3E-B3E1-A5A04B9F6B36}"/>
    <cellStyle name="Migliaia 16 7 3 2" xfId="38629" xr:uid="{56CD2025-68A3-4C0D-BA8C-702336C37ADB}"/>
    <cellStyle name="Migliaia 16 7 3 3" xfId="43931" xr:uid="{F10666B6-B6BC-482A-9EDF-4B91D3EEAA99}"/>
    <cellStyle name="Migliaia 16 7 3 4" xfId="33239" xr:uid="{181E91D4-E9C0-44E4-AD59-AD03A283CD1A}"/>
    <cellStyle name="Migliaia 16 7 3 5" xfId="19958" xr:uid="{FD590284-4016-4D5C-863F-FE313C7C0827}"/>
    <cellStyle name="Migliaia 16 7 4" xfId="36140" xr:uid="{58F89D82-6A54-4CB5-864D-ECE5667086D8}"/>
    <cellStyle name="Migliaia 16 7 5" xfId="41280" xr:uid="{2E9197E6-DE9F-41EF-ABB9-2FC069F38676}"/>
    <cellStyle name="Migliaia 16 7 6" xfId="16120" xr:uid="{E2DA430F-7327-4687-87A8-FC785D966902}"/>
    <cellStyle name="Migliaia 16 7 7" xfId="8261" xr:uid="{AC96EA17-F0D9-4D97-949B-8697780C06F1}"/>
    <cellStyle name="Migliaia 16 8" xfId="3224" xr:uid="{F5E9D481-4024-4216-B3A7-18E13A81E535}"/>
    <cellStyle name="Migliaia 16 8 2" xfId="4950" xr:uid="{719F73F2-1384-4687-8842-89D1854050D4}"/>
    <cellStyle name="Migliaia 16 8 2 2" xfId="35176" xr:uid="{17D0FD5D-8AB2-405D-B820-000BC5A29547}"/>
    <cellStyle name="Migliaia 16 8 2 2 2" xfId="40334" xr:uid="{AE854CA0-2D3C-4FB2-A53C-EA53090409DB}"/>
    <cellStyle name="Migliaia 16 8 2 2 3" xfId="45636" xr:uid="{56AF987A-7919-4675-81D8-E2CD7C7FF340}"/>
    <cellStyle name="Migliaia 16 8 2 3" xfId="37683" xr:uid="{BA4AB2DC-D25E-4462-9CF1-A28C7D2BD9E6}"/>
    <cellStyle name="Migliaia 16 8 2 4" xfId="42985" xr:uid="{7EE779EC-B4DB-445D-AA91-76BE69F58D32}"/>
    <cellStyle name="Migliaia 16 8 2 5" xfId="13902" xr:uid="{FCDDBEFB-C173-413A-BF4E-40A68A78BC29}"/>
    <cellStyle name="Migliaia 16 8 3" xfId="6166" xr:uid="{AE8F9E46-D909-4E5A-8AA1-D58B68859054}"/>
    <cellStyle name="Migliaia 16 8 3 2" xfId="38630" xr:uid="{459EA9F8-3DA3-4ED2-B7CB-5E030CCFB0EB}"/>
    <cellStyle name="Migliaia 16 8 3 3" xfId="43932" xr:uid="{8AF7B83D-C09A-4FEB-94E9-C6EE1A60CD0E}"/>
    <cellStyle name="Migliaia 16 8 3 4" xfId="33240" xr:uid="{3AF9E119-F5A8-4A6A-8DBF-0EC1FABD8E9B}"/>
    <cellStyle name="Migliaia 16 8 3 5" xfId="19959" xr:uid="{FC4A25FB-22A2-4CE3-9BC8-D9529C65D1DA}"/>
    <cellStyle name="Migliaia 16 8 4" xfId="36141" xr:uid="{49FDFD01-6E25-40E0-B090-32EEEEF86692}"/>
    <cellStyle name="Migliaia 16 8 5" xfId="41281" xr:uid="{FCE85E9B-7410-45D7-880F-C00D738455D7}"/>
    <cellStyle name="Migliaia 16 8 6" xfId="16121" xr:uid="{30222956-8E38-4A66-AFE5-83C5DDDDD8B1}"/>
    <cellStyle name="Migliaia 16 8 7" xfId="7847" xr:uid="{74169595-4600-4DBD-B413-40F6F78D1BCC}"/>
    <cellStyle name="Migliaia 16 9" xfId="4935" xr:uid="{92157AAB-3F43-49E5-A200-E9CBC37921B5}"/>
    <cellStyle name="Migliaia 16 9 2" xfId="33241" xr:uid="{6EB18193-E08B-490E-892C-09A2CCC50E03}"/>
    <cellStyle name="Migliaia 16 9 2 2" xfId="38631" xr:uid="{E0346405-24A5-4973-90DA-EC16A16AD172}"/>
    <cellStyle name="Migliaia 16 9 2 3" xfId="43933" xr:uid="{ECBF548A-6737-4D15-B133-7437002BBEAB}"/>
    <cellStyle name="Migliaia 16 9 3" xfId="36142" xr:uid="{37875761-2694-4AB8-BF3E-9457AD5E13A1}"/>
    <cellStyle name="Migliaia 16 9 4" xfId="41282" xr:uid="{14145234-0DFE-4227-B162-663D80534B9E}"/>
    <cellStyle name="Migliaia 16 9 5" xfId="17149" xr:uid="{51BCFD1C-CFB1-42A6-A6AA-AD5813325560}"/>
    <cellStyle name="Migliaia 17" xfId="329" xr:uid="{00000000-0005-0000-0000-000000030000}"/>
    <cellStyle name="Migliaia 17 10" xfId="6167" xr:uid="{B449B038-E41A-43A1-B283-DD8A34D3ED52}"/>
    <cellStyle name="Migliaia 17 10 2" xfId="38632" xr:uid="{9E8C4C0A-0DA0-4642-9D53-96DAB85B4592}"/>
    <cellStyle name="Migliaia 17 10 3" xfId="43934" xr:uid="{0669F917-DA37-420B-B237-7972D3BC5616}"/>
    <cellStyle name="Migliaia 17 10 4" xfId="33242" xr:uid="{F2239F6F-A775-4814-87DD-55A5B6C3A0B3}"/>
    <cellStyle name="Migliaia 17 10 5" xfId="19960" xr:uid="{8D10313E-BD6D-4B44-9501-2D91AD89C57F}"/>
    <cellStyle name="Migliaia 17 11" xfId="3225" xr:uid="{3046D155-BC93-4761-A084-C4E6361BB75B}"/>
    <cellStyle name="Migliaia 17 11 2" xfId="36143" xr:uid="{40A89BE5-2552-49C6-B7CD-3800EC724B2C}"/>
    <cellStyle name="Migliaia 17 12" xfId="41283" xr:uid="{A988D3D7-D0FB-4867-B681-236D1120DD48}"/>
    <cellStyle name="Migliaia 17 13" xfId="7065" xr:uid="{7E22735B-84BA-4D97-AB47-3B56FD0110CF}"/>
    <cellStyle name="Migliaia 17 2" xfId="330" xr:uid="{00000000-0005-0000-0000-000001030000}"/>
    <cellStyle name="Migliaia 17 2 2" xfId="1693" xr:uid="{00000000-0005-0000-0000-000002030000}"/>
    <cellStyle name="Migliaia 17 2 2 2" xfId="4953" xr:uid="{695FE019-1048-4F96-87E5-CB4E1C1EE737}"/>
    <cellStyle name="Migliaia 17 2 2 2 2" xfId="14370" xr:uid="{54907CFE-2036-4300-91A1-35AC6FF8E76A}"/>
    <cellStyle name="Migliaia 17 2 2 2 2 2" xfId="38633" xr:uid="{D2C73655-C532-40F8-A2D3-C865B7EBCE8C}"/>
    <cellStyle name="Migliaia 17 2 2 2 2 3" xfId="43935" xr:uid="{A318D58B-46B0-4A39-BE2E-0991896970D7}"/>
    <cellStyle name="Migliaia 17 2 2 2 3" xfId="18381" xr:uid="{C75EC32C-3A8B-4561-AFDE-4EBAFF070427}"/>
    <cellStyle name="Migliaia 17 2 2 2 4" xfId="19963" xr:uid="{C04B57C1-32CE-489B-A23C-E55F1089832A}"/>
    <cellStyle name="Migliaia 17 2 2 2 4 2" xfId="41284" xr:uid="{0FCC133E-8B9F-46BB-9EF8-551BFDCDFAF6}"/>
    <cellStyle name="Migliaia 17 2 2 2 5" xfId="16122" xr:uid="{F3FF8562-A7FF-4EEB-B146-44B98ED62041}"/>
    <cellStyle name="Migliaia 17 2 2 2 6" xfId="8528" xr:uid="{A251528A-6481-4940-99B3-DAD2BC84F726}"/>
    <cellStyle name="Migliaia 17 2 2 3" xfId="6169" xr:uid="{59EA1EA9-D1A2-4ADE-96BF-8C4DB3BDBB8C}"/>
    <cellStyle name="Migliaia 17 2 2 3 2" xfId="35177" xr:uid="{0AC0916E-06F8-4BF0-87A2-86D37B6EE8E2}"/>
    <cellStyle name="Migliaia 17 2 2 3 2 2" xfId="40335" xr:uid="{C6A3FA7B-05DF-484D-B53F-2AA83AEB1620}"/>
    <cellStyle name="Migliaia 17 2 2 3 2 3" xfId="45637" xr:uid="{32F368AF-FB11-4772-BA65-2E5905D3A254}"/>
    <cellStyle name="Migliaia 17 2 2 3 3" xfId="37684" xr:uid="{91D98528-7127-44E9-8412-6C6E5D38CF68}"/>
    <cellStyle name="Migliaia 17 2 2 3 4" xfId="42986" xr:uid="{AFFB5D2B-FAB1-4808-8F71-DD8895CCC87A}"/>
    <cellStyle name="Migliaia 17 2 2 3 5" xfId="11599" xr:uid="{F67B5F90-E355-4198-A52C-E1DC05E0C056}"/>
    <cellStyle name="Migliaia 17 2 2 4" xfId="3227" xr:uid="{7703B99E-8B88-4E71-B09F-8CE24733E721}"/>
    <cellStyle name="Migliaia 17 2 2 4 2" xfId="21405" xr:uid="{049D4B03-D639-4DE4-B18E-E5816F6EEF11}"/>
    <cellStyle name="Migliaia 17 2 2 4 3" xfId="46213" xr:uid="{3AB9506D-DE54-48BF-83F9-DDF4D8E158A2}"/>
    <cellStyle name="Migliaia 17 2 2 4 4" xfId="50420" xr:uid="{432C77BA-CC57-47CD-BED3-CCDE674C9EFF}"/>
    <cellStyle name="Migliaia 17 2 2 4 5" xfId="53436" xr:uid="{2B7F8976-2A03-4423-87EB-ED6B39825D66}"/>
    <cellStyle name="Migliaia 17 2 2 4 6" xfId="10770" xr:uid="{FF3E0A22-5FC4-4103-A0EE-8648BF9967CC}"/>
    <cellStyle name="Migliaia 17 2 2 5" xfId="19962" xr:uid="{61B53B67-7480-497B-B76F-27EBD1EB2368}"/>
    <cellStyle name="Migliaia 17 2 2 6" xfId="24366" xr:uid="{075AD09B-80FA-413E-A07D-55A3B94CD123}"/>
    <cellStyle name="Migliaia 17 2 2 7" xfId="7338" xr:uid="{ED944338-38B5-45C1-9A1D-CD6533C2505B}"/>
    <cellStyle name="Migliaia 17 2 3" xfId="3228" xr:uid="{0B847C8A-4DCD-4132-8C9E-CAA77CE9928A}"/>
    <cellStyle name="Migliaia 17 2 3 2" xfId="4954" xr:uid="{A164BD99-8283-40BF-8EB6-539D876E88F1}"/>
    <cellStyle name="Migliaia 17 2 3 2 2" xfId="35178" xr:uid="{956E3ADA-7300-4BEC-AB64-11C7B24239DE}"/>
    <cellStyle name="Migliaia 17 2 3 2 2 2" xfId="40336" xr:uid="{9BD19FEE-06D9-4866-B065-4CEB09D6D4BA}"/>
    <cellStyle name="Migliaia 17 2 3 2 2 3" xfId="45638" xr:uid="{A2DB6B2F-3DB3-4E67-BC56-228F93171424}"/>
    <cellStyle name="Migliaia 17 2 3 2 3" xfId="37685" xr:uid="{D44AA5DC-9B8D-4A34-9288-D27A55651E1A}"/>
    <cellStyle name="Migliaia 17 2 3 2 4" xfId="42987" xr:uid="{D1A33497-CE9F-47BC-88D1-41519A6F4D37}"/>
    <cellStyle name="Migliaia 17 2 3 2 5" xfId="14203" xr:uid="{8B2421FC-B8BD-47D1-8C56-3387CE87F9C5}"/>
    <cellStyle name="Migliaia 17 2 3 3" xfId="6170" xr:uid="{67FCBE1A-BC13-47B3-B5F6-D287E5FCC063}"/>
    <cellStyle name="Migliaia 17 2 3 3 2" xfId="38634" xr:uid="{8A01A3BC-BE06-4756-9650-7E03F2B14611}"/>
    <cellStyle name="Migliaia 17 2 3 3 3" xfId="43936" xr:uid="{C418E403-7F6A-431B-9F5A-3B53FF028854}"/>
    <cellStyle name="Migliaia 17 2 3 3 4" xfId="33243" xr:uid="{6DCC7D6A-A54A-46F2-9A1A-4346EE5E1CEE}"/>
    <cellStyle name="Migliaia 17 2 3 3 5" xfId="19964" xr:uid="{1F09644F-2127-41C6-B046-837605DFD386}"/>
    <cellStyle name="Migliaia 17 2 3 4" xfId="36144" xr:uid="{D3479BF0-BF0D-4337-BC83-1B10E8F53BD3}"/>
    <cellStyle name="Migliaia 17 2 3 5" xfId="41285" xr:uid="{A24D0385-2C88-4333-B018-4335BFA4ADF0}"/>
    <cellStyle name="Migliaia 17 2 3 6" xfId="16123" xr:uid="{06A31656-0AD1-4B20-B7C5-20B706B5A6CD}"/>
    <cellStyle name="Migliaia 17 2 3 7" xfId="8265" xr:uid="{1DCB137C-AC1D-492A-BAF1-525C9C5B96BD}"/>
    <cellStyle name="Migliaia 17 2 4" xfId="4952" xr:uid="{4D730830-2A8D-44F6-891A-BAE705955E6A}"/>
    <cellStyle name="Migliaia 17 2 4 2" xfId="13906" xr:uid="{989A84EA-5BE2-4C80-AE3C-AD7DF189AA11}"/>
    <cellStyle name="Migliaia 17 2 4 2 2" xfId="38635" xr:uid="{6C341AEF-0627-4B64-ABF7-CDC77F9E5361}"/>
    <cellStyle name="Migliaia 17 2 4 2 3" xfId="43937" xr:uid="{77CCFEF7-1BE9-48D1-B722-AF60FDFF8DA2}"/>
    <cellStyle name="Migliaia 17 2 4 3" xfId="18037" xr:uid="{0401657A-EBAB-4EBB-8D9B-45E3FFEBA57B}"/>
    <cellStyle name="Migliaia 17 2 4 4" xfId="19965" xr:uid="{548CB9C6-F236-4DEF-BBE8-5D6F4C4AEFAC}"/>
    <cellStyle name="Migliaia 17 2 4 4 2" xfId="41286" xr:uid="{BBDA4D85-F2E4-4B4C-860B-EABD79C7EA73}"/>
    <cellStyle name="Migliaia 17 2 4 5" xfId="16124" xr:uid="{CDC8DE12-A519-4513-83EB-C2A30B29F4F4}"/>
    <cellStyle name="Migliaia 17 2 4 6" xfId="7852" xr:uid="{3F7DF65C-F761-4829-A9E1-DCCCFFC6D60B}"/>
    <cellStyle name="Migliaia 17 2 5" xfId="6168" xr:uid="{55BF6CD0-2152-456E-9153-6075540BED1F}"/>
    <cellStyle name="Migliaia 17 2 5 2" xfId="33244" xr:uid="{4A16FC28-86E3-4F68-BA24-0EEB308E37CD}"/>
    <cellStyle name="Migliaia 17 2 5 2 2" xfId="38636" xr:uid="{CAA91EE2-43B3-4DE2-BA8E-224C74E8EAB2}"/>
    <cellStyle name="Migliaia 17 2 5 2 3" xfId="43938" xr:uid="{88E32656-36C8-4F37-AB97-E2AAD3A92381}"/>
    <cellStyle name="Migliaia 17 2 5 3" xfId="36145" xr:uid="{54D490FD-227B-4532-BE92-740882516B7D}"/>
    <cellStyle name="Migliaia 17 2 5 4" xfId="41287" xr:uid="{61BA04BF-CF65-43FF-90E8-EB338AEEF5A7}"/>
    <cellStyle name="Migliaia 17 2 5 5" xfId="13110" xr:uid="{F3BCFA3B-BA4A-465F-9AAC-B6A995D6336E}"/>
    <cellStyle name="Migliaia 17 2 6" xfId="3226" xr:uid="{FB3752D8-FD09-45FE-B603-F3340391FA73}"/>
    <cellStyle name="Migliaia 17 2 6 2" xfId="33245" xr:uid="{4E36AF71-972A-4C13-A3DC-66A549876C5B}"/>
    <cellStyle name="Migliaia 17 2 6 2 2" xfId="38637" xr:uid="{44A365DF-6C8C-4EFF-8BB3-292B7C15AF34}"/>
    <cellStyle name="Migliaia 17 2 6 2 3" xfId="43939" xr:uid="{AA75E65D-FED8-4E12-8859-938B0FBF4568}"/>
    <cellStyle name="Migliaia 17 2 6 3" xfId="36146" xr:uid="{A50137B0-B81E-4995-81D5-1D50DC9674AA}"/>
    <cellStyle name="Migliaia 17 2 6 4" xfId="41288" xr:uid="{203866A3-C66E-4128-9560-EE74A3B32DEC}"/>
    <cellStyle name="Migliaia 17 2 6 5" xfId="24367" xr:uid="{3857656E-3261-4C06-8CCC-AF56AD5C5C2E}"/>
    <cellStyle name="Migliaia 17 2 6 6" xfId="19961" xr:uid="{2F06A27F-B493-4048-962B-69CABBB9D0C4}"/>
    <cellStyle name="Migliaia 17 2 7" xfId="24365" xr:uid="{18C4B83E-8793-4404-BC47-0D212B842D42}"/>
    <cellStyle name="Migliaia 17 2 8" xfId="7066" xr:uid="{8F8CF34C-1564-40F9-849C-787625831EDD}"/>
    <cellStyle name="Migliaia 17 3" xfId="331" xr:uid="{00000000-0005-0000-0000-000003030000}"/>
    <cellStyle name="Migliaia 17 3 10" xfId="24368" xr:uid="{DC516846-AF4E-4539-8836-9A537815A8DB}"/>
    <cellStyle name="Migliaia 17 3 11" xfId="16125" xr:uid="{1B32E09C-CF63-4FBC-8244-9C4B1C6688D6}"/>
    <cellStyle name="Migliaia 17 3 12" xfId="7067" xr:uid="{F53F1333-B419-4347-A318-569ACBCBD9B2}"/>
    <cellStyle name="Migliaia 17 3 2" xfId="332" xr:uid="{00000000-0005-0000-0000-000004030000}"/>
    <cellStyle name="Migliaia 17 3 2 2" xfId="1694" xr:uid="{00000000-0005-0000-0000-000005030000}"/>
    <cellStyle name="Migliaia 17 3 2 2 2" xfId="4957" xr:uid="{EAFDC47D-6F89-4548-8DC7-9811C57B3594}"/>
    <cellStyle name="Migliaia 17 3 2 2 2 2" xfId="18382" xr:uid="{67F3E7C7-FF80-4F4F-B2FE-FD3EBC13D3F4}"/>
    <cellStyle name="Migliaia 17 3 2 2 2 2 2" xfId="21845" xr:uid="{2E742B63-7870-41AE-A8C2-35CEF1F8BACF}"/>
    <cellStyle name="Migliaia 17 3 2 2 2 2 2 2" xfId="38638" xr:uid="{35DA64C3-9935-42AD-ABD1-BA31AF46B2E3}"/>
    <cellStyle name="Migliaia 17 3 2 2 2 2 3" xfId="43940" xr:uid="{990690D4-BCF9-4132-BD02-8352FE9D6677}"/>
    <cellStyle name="Migliaia 17 3 2 2 2 2 4" xfId="33246" xr:uid="{ADFC38D2-1034-437E-BA66-3AE13DF970BF}"/>
    <cellStyle name="Migliaia 17 3 2 2 2 3" xfId="36147" xr:uid="{68B8D57B-895C-4683-A85F-916649398E60}"/>
    <cellStyle name="Migliaia 17 3 2 2 2 4" xfId="41289" xr:uid="{77823050-F214-483A-9A18-127B9BB1887B}"/>
    <cellStyle name="Migliaia 17 3 2 2 2 5" xfId="47012" xr:uid="{4BEA76B3-6E5D-4512-AAF9-860EF761BF02}"/>
    <cellStyle name="Migliaia 17 3 2 2 2 6" xfId="50873" xr:uid="{FD777EB7-111F-4CB5-8285-3A6F97B8033F}"/>
    <cellStyle name="Migliaia 17 3 2 2 2 7" xfId="53889" xr:uid="{7830D8BE-4982-4EF4-9998-C0412A9697AB}"/>
    <cellStyle name="Migliaia 17 3 2 2 2 8" xfId="17646" xr:uid="{6EE92FA2-D73A-4760-BB54-DAD6C056A290}"/>
    <cellStyle name="Migliaia 17 3 2 2 2 9" xfId="11915" xr:uid="{FD2E061B-2F60-4510-A8FB-5878B31C274F}"/>
    <cellStyle name="Migliaia 17 3 2 2 3" xfId="6173" xr:uid="{03F2D1A1-C66C-4C0E-8BC7-4884B93EF7C6}"/>
    <cellStyle name="Migliaia 17 3 2 2 3 2" xfId="11687" xr:uid="{EC0DB964-6D20-453A-814C-BEDE0F8D51F9}"/>
    <cellStyle name="Migliaia 17 3 2 2 4" xfId="3231" xr:uid="{48A5F7A4-3E71-4609-812F-59F6D9139260}"/>
    <cellStyle name="Migliaia 17 3 2 2 4 2" xfId="21406" xr:uid="{4FEE47F2-B079-4CA6-9BAF-7A0BBACF7B2B}"/>
    <cellStyle name="Migliaia 17 3 2 2 4 3" xfId="46214" xr:uid="{E1A1C1A5-A544-469C-B6F8-65B5B3075779}"/>
    <cellStyle name="Migliaia 17 3 2 2 4 4" xfId="50421" xr:uid="{EF9EB4EF-C9BD-4CEF-9EA9-364EDECAD4F4}"/>
    <cellStyle name="Migliaia 17 3 2 2 4 5" xfId="53437" xr:uid="{7F97CC5F-E93D-42F0-84E4-572BBDA23CD0}"/>
    <cellStyle name="Migliaia 17 3 2 2 4 6" xfId="10771" xr:uid="{0A5D4B7A-FF3C-460D-B825-2EB50E0EB21C}"/>
    <cellStyle name="Migliaia 17 3 2 2 5" xfId="19968" xr:uid="{C11D27C0-6219-4F92-81B5-D87F0D47C9E2}"/>
    <cellStyle name="Migliaia 17 3 2 2 6" xfId="24370" xr:uid="{E73B8BF7-E080-4F5C-9B98-ACEAF2B7B996}"/>
    <cellStyle name="Migliaia 17 3 2 2 7" xfId="8530" xr:uid="{6E6EDA39-5AD0-4A41-8288-7B8846C9BC26}"/>
    <cellStyle name="Migliaia 17 3 2 3" xfId="4956" xr:uid="{BFD71815-3366-482C-8B9F-6B7E59AC4D32}"/>
    <cellStyle name="Migliaia 17 3 2 3 2" xfId="12420" xr:uid="{6F9D5A9F-E1BA-46CC-9753-E92DDD569DD0}"/>
    <cellStyle name="Migliaia 17 3 2 3 2 2" xfId="38639" xr:uid="{76F9E58A-0528-496F-8498-4580A6EB1332}"/>
    <cellStyle name="Migliaia 17 3 2 3 2 3" xfId="43941" xr:uid="{8CB2741F-2D91-4C0A-BCD0-57389AAFD91C}"/>
    <cellStyle name="Migliaia 17 3 2 3 2 4" xfId="33247" xr:uid="{BFA832D8-FE72-4AE7-91DC-B7D8B84BADDC}"/>
    <cellStyle name="Migliaia 17 3 2 3 3" xfId="11916" xr:uid="{1E890120-C677-4FA7-91C5-D3CAF037500E}"/>
    <cellStyle name="Migliaia 17 3 2 3 4" xfId="19969" xr:uid="{BF69DC16-BDA4-419C-B1FA-03D81FCDDC81}"/>
    <cellStyle name="Migliaia 17 3 2 3 4 2" xfId="41290" xr:uid="{64E5282A-09D0-4650-8DFD-EB19570CCDEA}"/>
    <cellStyle name="Migliaia 17 3 2 3 5" xfId="16126" xr:uid="{3383E7A1-A31A-49C2-BAE2-30DBC5385028}"/>
    <cellStyle name="Migliaia 17 3 2 3 6" xfId="7854" xr:uid="{9A2671AD-2506-4BB0-B235-C11789DD5A6D}"/>
    <cellStyle name="Migliaia 17 3 2 4" xfId="6172" xr:uid="{B9C3E0C3-34CA-4438-ADDD-BFD99F6726B3}"/>
    <cellStyle name="Migliaia 17 3 2 4 2" xfId="18065" xr:uid="{5D0B996D-9F4A-468E-9E19-6E73374A7F55}"/>
    <cellStyle name="Migliaia 17 3 2 4 2 2" xfId="38640" xr:uid="{4E2A999A-2C33-4281-8541-3C8422C5BDB8}"/>
    <cellStyle name="Migliaia 17 3 2 4 2 3" xfId="43942" xr:uid="{82AD9950-8B83-4416-9F01-88C0105E1F29}"/>
    <cellStyle name="Migliaia 17 3 2 4 3" xfId="36148" xr:uid="{6CDA3637-76AA-489C-9928-232F5C134CC9}"/>
    <cellStyle name="Migliaia 17 3 2 4 4" xfId="41291" xr:uid="{9EA56CAA-6F51-4D1A-9293-4B96761C3E02}"/>
    <cellStyle name="Migliaia 17 3 2 4 5" xfId="17152" xr:uid="{37058580-AD0E-48A6-8101-C275CCF46442}"/>
    <cellStyle name="Migliaia 17 3 2 4 6" xfId="11268" xr:uid="{AB248D6D-789F-47D6-88B7-5DE9BFEACC5F}"/>
    <cellStyle name="Migliaia 17 3 2 5" xfId="3230" xr:uid="{2B9C8FD2-44DC-4C24-92A5-3D6D6B051CD1}"/>
    <cellStyle name="Migliaia 17 3 2 5 2" xfId="33248" xr:uid="{43796F83-6292-4746-823C-01513F4AC251}"/>
    <cellStyle name="Migliaia 17 3 2 5 2 2" xfId="38641" xr:uid="{9DDD84B0-9B25-4D68-9528-E993E39E9544}"/>
    <cellStyle name="Migliaia 17 3 2 5 2 3" xfId="43943" xr:uid="{80097DD2-2C57-4283-8733-AECC432D5277}"/>
    <cellStyle name="Migliaia 17 3 2 5 3" xfId="36149" xr:uid="{1D7D8393-0562-4655-9C75-AA4DE7561B84}"/>
    <cellStyle name="Migliaia 17 3 2 5 4" xfId="41292" xr:uid="{FD97BA04-0655-493D-BADF-29CC3590C07B}"/>
    <cellStyle name="Migliaia 17 3 2 5 5" xfId="17402" xr:uid="{7A6BFB72-F1AB-44B3-A334-4C4D456C5704}"/>
    <cellStyle name="Migliaia 17 3 2 6" xfId="19967" xr:uid="{BDD6326C-984E-4F3E-B644-5121FD99D045}"/>
    <cellStyle name="Migliaia 17 3 2 6 2" xfId="33249" xr:uid="{60966B9D-1083-4D22-91BB-B1E073931CBD}"/>
    <cellStyle name="Migliaia 17 3 2 6 2 2" xfId="38642" xr:uid="{34ACA1F3-AB75-485B-B7ED-C2F91EEB12A2}"/>
    <cellStyle name="Migliaia 17 3 2 6 2 3" xfId="43944" xr:uid="{7B2D9822-1884-43B6-B980-3695D40603C4}"/>
    <cellStyle name="Migliaia 17 3 2 6 3" xfId="36150" xr:uid="{2DC455FD-32BC-485C-AAB6-BF7119022913}"/>
    <cellStyle name="Migliaia 17 3 2 6 4" xfId="41293" xr:uid="{EEC08D85-1226-44E9-A191-D1111E691B26}"/>
    <cellStyle name="Migliaia 17 3 2 6 5" xfId="24371" xr:uid="{53A641D1-D732-40E4-A51E-2A7123BD3F3C}"/>
    <cellStyle name="Migliaia 17 3 2 7" xfId="24369" xr:uid="{00E0DE6D-01D2-4959-AB43-BED231203968}"/>
    <cellStyle name="Migliaia 17 3 2 8" xfId="7340" xr:uid="{8B7AEB54-A2E4-435B-82D8-99E6FC38CD18}"/>
    <cellStyle name="Migliaia 17 3 3" xfId="3232" xr:uid="{A80063E3-B088-41B8-9A02-523362C1393B}"/>
    <cellStyle name="Migliaia 17 3 3 10" xfId="7339" xr:uid="{D1E24BC9-A78A-43BF-B9ED-10D1AB47281C}"/>
    <cellStyle name="Migliaia 17 3 3 2" xfId="4958" xr:uid="{C5AAF257-1944-4FD3-8FB6-60DD81F4CFE2}"/>
    <cellStyle name="Migliaia 17 3 3 2 2" xfId="9898" xr:uid="{9747B959-3BD1-45CC-8C2A-4E2986297F9C}"/>
    <cellStyle name="Migliaia 17 3 3 2 2 2" xfId="38644" xr:uid="{CDB0D9C3-62D4-4A67-8B7E-43C61AD06C19}"/>
    <cellStyle name="Migliaia 17 3 3 2 2 3" xfId="43946" xr:uid="{785CC999-4220-436D-B1A1-E2C315A73809}"/>
    <cellStyle name="Migliaia 17 3 3 2 3" xfId="18178" xr:uid="{CC749553-EA74-4BCD-8B00-7D827C0E0CE9}"/>
    <cellStyle name="Migliaia 17 3 3 2 4" xfId="19971" xr:uid="{0A06860B-AFE4-4C62-B731-76677152E67C}"/>
    <cellStyle name="Migliaia 17 3 3 2 4 2" xfId="41295" xr:uid="{9055CDCF-17A2-4100-9876-03088326CB01}"/>
    <cellStyle name="Migliaia 17 3 3 2 5" xfId="16128" xr:uid="{5357F337-7C2B-45A6-88A6-37DFC7CD3BF2}"/>
    <cellStyle name="Migliaia 17 3 3 2 6" xfId="8529" xr:uid="{701A44FA-7557-4F56-9A1D-4A3C7B3B136A}"/>
    <cellStyle name="Migliaia 17 3 3 3" xfId="6174" xr:uid="{CC8B715A-52C4-4EC2-89C0-EB35B3C3E5CE}"/>
    <cellStyle name="Migliaia 17 3 3 3 2" xfId="33251" xr:uid="{7F29D9E0-CF8E-4BA0-BBDD-412513D956E6}"/>
    <cellStyle name="Migliaia 17 3 3 3 2 2" xfId="38645" xr:uid="{77C01EAE-9589-4DC7-9A1A-A1F2E6DA493C}"/>
    <cellStyle name="Migliaia 17 3 3 3 2 3" xfId="43947" xr:uid="{BBC3D8C9-C9D4-4F7B-B167-321BD82DEAEA}"/>
    <cellStyle name="Migliaia 17 3 3 3 3" xfId="36152" xr:uid="{24917D9D-A004-4A35-ACE4-6A265FDB9060}"/>
    <cellStyle name="Migliaia 17 3 3 3 4" xfId="41296" xr:uid="{65F77B2A-E5AF-4329-B5A9-7DF7C51CB82D}"/>
    <cellStyle name="Migliaia 17 3 3 3 5" xfId="9661" xr:uid="{7DB300FD-5344-4583-A7F7-0D17A23A3469}"/>
    <cellStyle name="Migliaia 17 3 3 4" xfId="19970" xr:uid="{347D124B-8EA5-49DB-808A-BEFA10D296D3}"/>
    <cellStyle name="Migliaia 17 3 3 4 2" xfId="33252" xr:uid="{02F33E70-C0AA-4F04-A5BE-1EB377F0C6C2}"/>
    <cellStyle name="Migliaia 17 3 3 4 2 2" xfId="38646" xr:uid="{4F65CA18-854A-4093-961E-37E8A104EB4C}"/>
    <cellStyle name="Migliaia 17 3 3 4 2 3" xfId="43948" xr:uid="{BAAFE9D4-B2E2-4E46-8D0D-00495261173F}"/>
    <cellStyle name="Migliaia 17 3 3 4 3" xfId="36153" xr:uid="{A3160904-16F1-4D2F-A7D2-031983C3523E}"/>
    <cellStyle name="Migliaia 17 3 3 4 4" xfId="41297" xr:uid="{77D74BF0-9C65-4270-91CF-450BF7A74C7C}"/>
    <cellStyle name="Migliaia 17 3 3 4 5" xfId="24372" xr:uid="{5D5DE8C0-AD38-4063-9AFC-F97781D43B59}"/>
    <cellStyle name="Migliaia 17 3 3 5" xfId="24373" xr:uid="{56551602-8A2C-4048-991A-40BB906E2C49}"/>
    <cellStyle name="Migliaia 17 3 3 5 2" xfId="33253" xr:uid="{22B5E680-FCC8-4661-AE03-B03CE2260587}"/>
    <cellStyle name="Migliaia 17 3 3 5 2 2" xfId="38647" xr:uid="{D4FB754A-3FB5-4F43-B104-B9EE128F4DB7}"/>
    <cellStyle name="Migliaia 17 3 3 5 2 3" xfId="43949" xr:uid="{759E8544-15A5-4E79-8472-1C6F3D442523}"/>
    <cellStyle name="Migliaia 17 3 3 5 3" xfId="36154" xr:uid="{82999E6F-E2A6-4592-8429-93582994919B}"/>
    <cellStyle name="Migliaia 17 3 3 5 4" xfId="41298" xr:uid="{4BAB0219-A2F2-4509-BDE0-3BF6964312AF}"/>
    <cellStyle name="Migliaia 17 3 3 6" xfId="33250" xr:uid="{6BBD938D-D7EB-4E54-99B0-9E3BCF9A536D}"/>
    <cellStyle name="Migliaia 17 3 3 6 2" xfId="38643" xr:uid="{CBCDEB96-C12E-4469-B03B-A84B50CAAE12}"/>
    <cellStyle name="Migliaia 17 3 3 6 3" xfId="43945" xr:uid="{A64E350A-6720-493B-95A6-C8639C5090A8}"/>
    <cellStyle name="Migliaia 17 3 3 7" xfId="36151" xr:uid="{ECF4CAD8-85B5-438C-9BB8-DD926AA92D9D}"/>
    <cellStyle name="Migliaia 17 3 3 8" xfId="41294" xr:uid="{11A9447A-06BE-4976-87F2-990BD95E6EBF}"/>
    <cellStyle name="Migliaia 17 3 3 9" xfId="16127" xr:uid="{B960A75C-7828-45FD-97E1-4227427E47ED}"/>
    <cellStyle name="Migliaia 17 3 4" xfId="3233" xr:uid="{8E72B6F0-A2BD-4AE4-8B2A-45ABB98C85D9}"/>
    <cellStyle name="Migliaia 17 3 4 2" xfId="4959" xr:uid="{9867DA51-5C58-4E79-AA12-71F9A24E03C9}"/>
    <cellStyle name="Migliaia 17 3 4 2 2" xfId="14431" xr:uid="{14805276-127D-4361-AE43-1B9093D4CC42}"/>
    <cellStyle name="Migliaia 17 3 4 2 3" xfId="18630" xr:uid="{F8615EF5-93CF-4A02-9A73-4FCA3C914CD4}"/>
    <cellStyle name="Migliaia 17 3 4 2 4" xfId="19973" xr:uid="{A61ADE68-485F-45B4-8558-96F0D14826CA}"/>
    <cellStyle name="Migliaia 17 3 4 2 5" xfId="32316" xr:uid="{5B600506-3B02-4E93-BE2B-C7FD0A5B4812}"/>
    <cellStyle name="Migliaia 17 3 4 2 6" xfId="16130" xr:uid="{B5227A91-678C-47A8-AD9C-4620483C2BBC}"/>
    <cellStyle name="Migliaia 17 3 4 2 7" xfId="8854" xr:uid="{33BEF809-5366-404B-8337-B7C84D656511}"/>
    <cellStyle name="Migliaia 17 3 4 3" xfId="6175" xr:uid="{99FE320E-2D40-43D6-8FE4-2EAF9FE9C851}"/>
    <cellStyle name="Migliaia 17 3 4 3 2" xfId="35179" xr:uid="{00D12E05-04BD-475C-BEFF-BEB0161E3B9B}"/>
    <cellStyle name="Migliaia 17 3 4 3 2 2" xfId="40337" xr:uid="{7C3E32C7-E0B2-497F-BF95-BE1F8FFCB60D}"/>
    <cellStyle name="Migliaia 17 3 4 3 2 3" xfId="45639" xr:uid="{19ED795C-D6A8-4147-902F-09897DF1EE69}"/>
    <cellStyle name="Migliaia 17 3 4 3 3" xfId="37686" xr:uid="{997EE07C-3329-4944-8C61-4387B8CDBAB9}"/>
    <cellStyle name="Migliaia 17 3 4 3 4" xfId="42988" xr:uid="{03BAF29D-D7B2-409C-8CE7-FB0D48272EC2}"/>
    <cellStyle name="Migliaia 17 3 4 3 5" xfId="13679" xr:uid="{93210857-95AC-4E10-A247-EDBA673889C1}"/>
    <cellStyle name="Migliaia 17 3 4 4" xfId="19972" xr:uid="{B906EDB6-AAA1-4DCA-B3FD-B29D6FF32213}"/>
    <cellStyle name="Migliaia 17 3 4 4 2" xfId="38648" xr:uid="{2A99154C-1E66-480B-A958-80F1EC52408A}"/>
    <cellStyle name="Migliaia 17 3 4 4 3" xfId="43950" xr:uid="{054323BB-AC90-4281-8F84-CA02316144BF}"/>
    <cellStyle name="Migliaia 17 3 4 4 4" xfId="33254" xr:uid="{5FC72A7C-6FDA-40C6-B64A-B4B09FD9C2B3}"/>
    <cellStyle name="Migliaia 17 3 4 5" xfId="36155" xr:uid="{29BA9455-43EA-44D8-BBD8-68347DCEA225}"/>
    <cellStyle name="Migliaia 17 3 4 6" xfId="41299" xr:uid="{1EB460CC-71C2-46CC-A078-B5AB6899B864}"/>
    <cellStyle name="Migliaia 17 3 4 7" xfId="16129" xr:uid="{CFDBCF4C-AB3B-479C-86DE-44E135FE5731}"/>
    <cellStyle name="Migliaia 17 3 4 8" xfId="7664" xr:uid="{16A4B8D8-3471-4602-B8F5-AD9129690804}"/>
    <cellStyle name="Migliaia 17 3 5" xfId="3234" xr:uid="{FA61D102-D688-4095-994F-E7644FBC5035}"/>
    <cellStyle name="Migliaia 17 3 5 2" xfId="4960" xr:uid="{975A1586-6716-459C-8B1E-F42FF417E0F1}"/>
    <cellStyle name="Migliaia 17 3 5 2 2" xfId="35180" xr:uid="{8B6E5D17-3B57-4463-99A7-43C9B12EA94D}"/>
    <cellStyle name="Migliaia 17 3 5 2 2 2" xfId="40338" xr:uid="{E4259C3E-2926-4226-A077-B716A7EB0905}"/>
    <cellStyle name="Migliaia 17 3 5 2 2 3" xfId="45640" xr:uid="{2B4897F6-0B82-4E8D-8252-D686B0EE8738}"/>
    <cellStyle name="Migliaia 17 3 5 2 3" xfId="37687" xr:uid="{4A6E6B32-1CE5-437F-AF95-49F8397DE916}"/>
    <cellStyle name="Migliaia 17 3 5 2 4" xfId="42989" xr:uid="{306E8D32-2E5A-4561-82AB-BEE570091B09}"/>
    <cellStyle name="Migliaia 17 3 5 2 5" xfId="14204" xr:uid="{63D81AA6-54DD-413B-BDB0-2B62864ADA37}"/>
    <cellStyle name="Migliaia 17 3 5 3" xfId="6176" xr:uid="{E9256CF4-117D-44BE-B3D0-E174700CC2A2}"/>
    <cellStyle name="Migliaia 17 3 5 3 2" xfId="38649" xr:uid="{8BF509B2-3D8E-4278-8227-B1B69265162B}"/>
    <cellStyle name="Migliaia 17 3 5 3 3" xfId="43951" xr:uid="{ACB54699-A892-403B-BC12-9185C8E99605}"/>
    <cellStyle name="Migliaia 17 3 5 3 4" xfId="33255" xr:uid="{F6094D80-A027-40A8-9B43-7DEBB754118D}"/>
    <cellStyle name="Migliaia 17 3 5 3 5" xfId="19974" xr:uid="{C7839D37-5DFC-43D8-BCF1-A38E306B25D8}"/>
    <cellStyle name="Migliaia 17 3 5 4" xfId="36156" xr:uid="{32C92865-3AD9-49D4-BB51-045C68942DA3}"/>
    <cellStyle name="Migliaia 17 3 5 5" xfId="41300" xr:uid="{C5F1160F-26A9-47BA-BF86-46CF8F9A5995}"/>
    <cellStyle name="Migliaia 17 3 5 6" xfId="16131" xr:uid="{BECDBD3F-89A1-451B-8636-D5638638BEA5}"/>
    <cellStyle name="Migliaia 17 3 5 7" xfId="8266" xr:uid="{A569A431-839E-4CB4-ADF4-773C7DE7DE24}"/>
    <cellStyle name="Migliaia 17 3 6" xfId="4955" xr:uid="{8C261088-6E59-4060-9B7A-9D82E997A473}"/>
    <cellStyle name="Migliaia 17 3 6 2" xfId="13907" xr:uid="{25A3E6B9-6E99-4D87-921A-4F484EFE9D81}"/>
    <cellStyle name="Migliaia 17 3 6 2 2" xfId="38650" xr:uid="{3AE8BF2F-4D2C-437F-BAC7-B37B8F636F71}"/>
    <cellStyle name="Migliaia 17 3 6 2 3" xfId="43952" xr:uid="{6188521A-7711-4354-A3EF-A2DE621C5728}"/>
    <cellStyle name="Migliaia 17 3 6 3" xfId="18151" xr:uid="{899FC44B-FEA1-4841-B268-102716824A4F}"/>
    <cellStyle name="Migliaia 17 3 6 4" xfId="19975" xr:uid="{270BC2E1-8890-42DF-B426-3EF6CDC57427}"/>
    <cellStyle name="Migliaia 17 3 6 4 2" xfId="41301" xr:uid="{47AC783C-42A5-4135-95F1-2B278D3B804E}"/>
    <cellStyle name="Migliaia 17 3 6 5" xfId="16132" xr:uid="{7740FCAC-EFB9-4681-AD32-41E74B4D20F3}"/>
    <cellStyle name="Migliaia 17 3 6 6" xfId="7853" xr:uid="{8F03D81C-5C44-4E77-BF0D-1A1C0940C15C}"/>
    <cellStyle name="Migliaia 17 3 7" xfId="6171" xr:uid="{4D0DAE86-91A0-4490-9FBE-2D8A0CB81B60}"/>
    <cellStyle name="Migliaia 17 3 7 2" xfId="33256" xr:uid="{3A8C9DC8-F7C0-4838-BA50-0711C1879C37}"/>
    <cellStyle name="Migliaia 17 3 7 2 2" xfId="38651" xr:uid="{B6075176-6C5B-4694-B70A-9E9BCAA2F1A7}"/>
    <cellStyle name="Migliaia 17 3 7 2 3" xfId="43953" xr:uid="{59C8B5B0-6534-40CC-ACC7-0FDE635A356F}"/>
    <cellStyle name="Migliaia 17 3 7 3" xfId="36157" xr:uid="{957CF238-BF16-43B3-8125-40F6AE2B3D44}"/>
    <cellStyle name="Migliaia 17 3 7 4" xfId="41302" xr:uid="{466FB695-3BCF-4679-92D2-F3294685AA28}"/>
    <cellStyle name="Migliaia 17 3 7 5" xfId="12278" xr:uid="{B41A2FFD-1ABA-4C6A-AB0E-4AF1A60A760C}"/>
    <cellStyle name="Migliaia 17 3 8" xfId="3229" xr:uid="{4C4F8F08-D78A-406A-AC12-07AFB98FD700}"/>
    <cellStyle name="Migliaia 17 3 8 2" xfId="33257" xr:uid="{7DB13F26-0960-40F3-A4EF-027840C0B2FD}"/>
    <cellStyle name="Migliaia 17 3 8 2 2" xfId="38652" xr:uid="{18FD21B3-C2CF-4FDF-8747-0BE37AB657B6}"/>
    <cellStyle name="Migliaia 17 3 8 2 3" xfId="43954" xr:uid="{83B8A6DD-4A35-404C-B788-797893FDE9E5}"/>
    <cellStyle name="Migliaia 17 3 8 3" xfId="36158" xr:uid="{1A13E3D3-FAD7-4184-AD2F-132528D9F79F}"/>
    <cellStyle name="Migliaia 17 3 8 4" xfId="41303" xr:uid="{37E0417B-B814-4237-9A2A-D12795C41D8F}"/>
    <cellStyle name="Migliaia 17 3 8 5" xfId="24374" xr:uid="{9570EF61-E08E-45AE-A35A-06B9554E7473}"/>
    <cellStyle name="Migliaia 17 3 8 6" xfId="17403" xr:uid="{4FC2E113-7A9D-46E2-B9AB-ADBF257E3857}"/>
    <cellStyle name="Migliaia 17 3 9" xfId="19966" xr:uid="{3551A41F-2308-4D7F-8E27-167C53EE4AB5}"/>
    <cellStyle name="Migliaia 17 4" xfId="1695" xr:uid="{00000000-0005-0000-0000-000006030000}"/>
    <cellStyle name="Migliaia 17 4 2" xfId="1696" xr:uid="{00000000-0005-0000-0000-000007030000}"/>
    <cellStyle name="Migliaia 17 4 2 2" xfId="4962" xr:uid="{EA948EB0-65CE-4A56-91D0-E2FDF1EFEB82}"/>
    <cellStyle name="Migliaia 17 4 2 2 2" xfId="33258" xr:uid="{4061F405-B4D1-4D43-B077-D07DF7FD9F34}"/>
    <cellStyle name="Migliaia 17 4 2 2 2 2" xfId="38653" xr:uid="{65818559-8E5D-4A4C-ABE9-DDD47657BB4B}"/>
    <cellStyle name="Migliaia 17 4 2 2 2 3" xfId="43955" xr:uid="{9FE5E140-B21B-48C0-9574-C7B33B8A94EC}"/>
    <cellStyle name="Migliaia 17 4 2 2 3" xfId="36159" xr:uid="{5A536FF2-3026-4E6C-AE98-0318E30A1FFC}"/>
    <cellStyle name="Migliaia 17 4 2 2 4" xfId="41304" xr:uid="{DBDC592E-89B4-4594-8CF1-0BFB3B499809}"/>
    <cellStyle name="Migliaia 17 4 2 2 5" xfId="9124" xr:uid="{0DE86AC9-EB78-4CBD-92CD-FD23FD7B979B}"/>
    <cellStyle name="Migliaia 17 4 2 3" xfId="3236" xr:uid="{38E83EC4-9AD6-4D1A-BB4F-2967DE7C4D9F}"/>
    <cellStyle name="Migliaia 17 4 2 3 2" xfId="33259" xr:uid="{0B5A7F66-9FA0-44AC-9FCE-A82091A3808B}"/>
    <cellStyle name="Migliaia 17 4 2 3 2 2" xfId="38654" xr:uid="{1ABD01CF-11D8-43D9-B939-FFAFAD18648C}"/>
    <cellStyle name="Migliaia 17 4 2 3 2 3" xfId="43956" xr:uid="{2C75A031-6640-4AFA-9939-DAFD8DC4AC57}"/>
    <cellStyle name="Migliaia 17 4 2 3 3" xfId="36160" xr:uid="{F2AF347D-8195-4EFB-AB3A-11AEF4F3AA7A}"/>
    <cellStyle name="Migliaia 17 4 2 3 4" xfId="41305" xr:uid="{91DE9B65-1E6A-41EF-A5D0-B3A1DF8D92D1}"/>
    <cellStyle name="Migliaia 17 4 2 3 5" xfId="11917" xr:uid="{1026604A-8C7D-4663-9851-C5B993AA6CC0}"/>
    <cellStyle name="Migliaia 17 4 2 4" xfId="11270" xr:uid="{EB074027-DC5F-413D-88D5-B0A2DA8364FF}"/>
    <cellStyle name="Migliaia 17 4 2 5" xfId="10773" xr:uid="{2BD5613F-F85E-4EEE-A18A-E01249A5DB84}"/>
    <cellStyle name="Migliaia 17 4 2 5 2" xfId="21408" xr:uid="{D46373E3-5BE1-4DCA-ADB3-2D5B81F34FE6}"/>
    <cellStyle name="Migliaia 17 4 2 5 3" xfId="46216" xr:uid="{70033626-D9DD-42C6-8D5A-732E9C167C44}"/>
    <cellStyle name="Migliaia 17 4 2 5 4" xfId="50423" xr:uid="{AA8D7321-645D-4BC5-8109-E5801E166BA4}"/>
    <cellStyle name="Migliaia 17 4 2 5 5" xfId="53439" xr:uid="{51F17C15-1656-450F-BC25-2ED31F0E529F}"/>
    <cellStyle name="Migliaia 17 4 2 6" xfId="19977" xr:uid="{EF00231F-87B9-4E85-8C4B-659A2C6EB1FA}"/>
    <cellStyle name="Migliaia 17 4 2 7" xfId="24376" xr:uid="{F8B4573F-3B1E-4115-8158-E40DCD451BA2}"/>
    <cellStyle name="Migliaia 17 4 2 8" xfId="8531" xr:uid="{F39BEE44-8774-4FB5-A290-0124ECF3F99B}"/>
    <cellStyle name="Migliaia 17 4 3" xfId="4961" xr:uid="{8D50FFE8-B994-400F-9759-66E5DCF7E603}"/>
    <cellStyle name="Migliaia 17 4 3 2" xfId="18179" xr:uid="{3E85213C-456E-42DF-9CF3-00D92770FE75}"/>
    <cellStyle name="Migliaia 17 4 3 2 2" xfId="38655" xr:uid="{22DB63BA-77DD-4D20-99F8-6BAB8D5C0A44}"/>
    <cellStyle name="Migliaia 17 4 3 2 3" xfId="43957" xr:uid="{524C9519-BEEC-4382-BB01-4BD68A570A85}"/>
    <cellStyle name="Migliaia 17 4 3 3" xfId="36161" xr:uid="{A9904348-94D7-48BE-8C4B-D736928EE1DA}"/>
    <cellStyle name="Migliaia 17 4 3 4" xfId="41306" xr:uid="{ACA46080-EDA1-4FBC-A429-35FA86A51734}"/>
    <cellStyle name="Migliaia 17 4 3 5" xfId="17401" xr:uid="{2EB8F574-849E-40E8-999C-8D10BFE2F15E}"/>
    <cellStyle name="Migliaia 17 4 3 6" xfId="9125" xr:uid="{FDFA4846-590D-4069-8EA3-CFC45784F95F}"/>
    <cellStyle name="Migliaia 17 4 4" xfId="6177" xr:uid="{4081831F-FEC0-41DD-B863-4210B06B10FF}"/>
    <cellStyle name="Migliaia 17 4 4 2" xfId="33260" xr:uid="{94DF58DB-654C-46CD-A16E-B0ADC435E92B}"/>
    <cellStyle name="Migliaia 17 4 4 2 2" xfId="38656" xr:uid="{B7697C0D-DAC7-4F73-9FA7-0A1EB98EF520}"/>
    <cellStyle name="Migliaia 17 4 4 2 3" xfId="43958" xr:uid="{D6E8B409-5DD5-4F84-944B-1C658A7CE91F}"/>
    <cellStyle name="Migliaia 17 4 4 3" xfId="36162" xr:uid="{74444F30-C178-42F5-AC80-C32054807FE7}"/>
    <cellStyle name="Migliaia 17 4 4 4" xfId="41307" xr:uid="{A9C1524F-8FAD-42C6-920B-B8C87C8CD2CE}"/>
    <cellStyle name="Migliaia 17 4 4 5" xfId="11918" xr:uid="{4340E103-1137-43CA-AD0A-F45F1B37ACF1}"/>
    <cellStyle name="Migliaia 17 4 5" xfId="3235" xr:uid="{6358207B-6C03-42A2-A1E0-B356CCA37138}"/>
    <cellStyle name="Migliaia 17 4 5 2" xfId="33261" xr:uid="{176AED85-2A7F-4400-9BF4-BD210A615CCE}"/>
    <cellStyle name="Migliaia 17 4 5 2 2" xfId="38657" xr:uid="{E47A7365-4CCE-41E8-945F-ABA934FE3EB1}"/>
    <cellStyle name="Migliaia 17 4 5 2 3" xfId="43959" xr:uid="{B076026F-269D-4A67-806E-468F004B6F0F}"/>
    <cellStyle name="Migliaia 17 4 5 3" xfId="36163" xr:uid="{D9D2A683-CA95-48A5-A0E6-B9A54FA44405}"/>
    <cellStyle name="Migliaia 17 4 5 4" xfId="41308" xr:uid="{6F448CAA-343F-4A97-A0A4-021482536502}"/>
    <cellStyle name="Migliaia 17 4 5 5" xfId="11269" xr:uid="{50E15731-58F1-4A70-94E0-98EB2DDF76C8}"/>
    <cellStyle name="Migliaia 17 4 6" xfId="10772" xr:uid="{FB79BF5F-CFE3-4AC9-BBEC-3F7C82548798}"/>
    <cellStyle name="Migliaia 17 4 6 2" xfId="21407" xr:uid="{5F615FCA-1788-4849-8EDB-7A1F7968B216}"/>
    <cellStyle name="Migliaia 17 4 6 2 2" xfId="38658" xr:uid="{9EB8BCCE-9255-43C2-82A2-1E1F4E1452B1}"/>
    <cellStyle name="Migliaia 17 4 6 2 3" xfId="43960" xr:uid="{3FF9313A-5F2C-4D1D-817A-C9259B24F060}"/>
    <cellStyle name="Migliaia 17 4 6 2 4" xfId="33262" xr:uid="{F2B1808D-A855-4838-883E-72D0118A6659}"/>
    <cellStyle name="Migliaia 17 4 6 3" xfId="36164" xr:uid="{BB43EEEA-EA9E-48F0-B868-A0D7237722D7}"/>
    <cellStyle name="Migliaia 17 4 6 4" xfId="41309" xr:uid="{CDB05B42-0D52-4A73-8BA3-CFE4C4825793}"/>
    <cellStyle name="Migliaia 17 4 6 5" xfId="24377" xr:uid="{AF64BAE4-1FE7-4BBB-B291-9A44B9667755}"/>
    <cellStyle name="Migliaia 17 4 6 6" xfId="46215" xr:uid="{BCF761A0-5281-4DDD-ADE5-83FA702DAC47}"/>
    <cellStyle name="Migliaia 17 4 6 7" xfId="50422" xr:uid="{482D063B-4886-48AB-8A1F-C00B72BD379B}"/>
    <cellStyle name="Migliaia 17 4 6 8" xfId="53438" xr:uid="{9C902ACE-E8E0-4332-931B-B7D67B2DB7FE}"/>
    <cellStyle name="Migliaia 17 4 7" xfId="19976" xr:uid="{CE56F9EE-5DB9-4B2D-AE60-5C89BD53F975}"/>
    <cellStyle name="Migliaia 17 4 7 2" xfId="33263" xr:uid="{0D80D5E6-64DB-4A90-A249-20841B19544B}"/>
    <cellStyle name="Migliaia 17 4 7 2 2" xfId="38659" xr:uid="{8203A3E7-C0EF-478D-93DC-023FAD90F108}"/>
    <cellStyle name="Migliaia 17 4 7 2 3" xfId="43961" xr:uid="{4B946A28-0FCC-4720-A822-9EA692E10795}"/>
    <cellStyle name="Migliaia 17 4 7 3" xfId="36165" xr:uid="{B55F1E95-0AF6-4AE0-8B3C-E9F85A4DC240}"/>
    <cellStyle name="Migliaia 17 4 7 4" xfId="41310" xr:uid="{CEF65EB6-50F6-4807-8CEA-FD1C297EC9EE}"/>
    <cellStyle name="Migliaia 17 4 7 5" xfId="24378" xr:uid="{C63C7EFE-5492-4E9B-9B74-5238492A17BC}"/>
    <cellStyle name="Migliaia 17 4 8" xfId="24375" xr:uid="{52BD8CE0-19AB-418F-A215-CE2485DD1F12}"/>
    <cellStyle name="Migliaia 17 4 9" xfId="7341" xr:uid="{6F0F07F6-00AD-439F-A43E-1EFF7EF39245}"/>
    <cellStyle name="Migliaia 17 5" xfId="1697" xr:uid="{00000000-0005-0000-0000-000008030000}"/>
    <cellStyle name="Migliaia 17 5 2" xfId="4963" xr:uid="{85C5DCF9-C859-4531-9C7B-A9BCF7AC412B}"/>
    <cellStyle name="Migliaia 17 5 2 2" xfId="18383" xr:uid="{AE8C7C86-9216-4FDD-AAEF-80664D60AF13}"/>
    <cellStyle name="Migliaia 17 5 2 2 2" xfId="38660" xr:uid="{2AA8F958-DBA6-4167-A4BE-23F449A06526}"/>
    <cellStyle name="Migliaia 17 5 2 2 3" xfId="43962" xr:uid="{9666F595-6F89-43D6-9AA1-BEE69BFCB88B}"/>
    <cellStyle name="Migliaia 17 5 2 3" xfId="19979" xr:uid="{A835E618-8962-47A0-AC5C-F463BE27AD94}"/>
    <cellStyle name="Migliaia 17 5 2 3 2" xfId="36166" xr:uid="{3F64D83C-F851-45E1-AA93-FFF20A749D98}"/>
    <cellStyle name="Migliaia 17 5 2 4" xfId="41311" xr:uid="{C3B929DF-2414-48A4-A732-8AEB1F76DD3B}"/>
    <cellStyle name="Migliaia 17 5 2 5" xfId="16133" xr:uid="{C2161123-CBB3-4AF0-85C2-6D49EDFF8D05}"/>
    <cellStyle name="Migliaia 17 5 2 6" xfId="8532" xr:uid="{865292EF-2F66-44EA-A3C2-95C4C74DAAE3}"/>
    <cellStyle name="Migliaia 17 5 3" xfId="6178" xr:uid="{C19D1431-B0B3-4C4D-8446-6DC11B039C80}"/>
    <cellStyle name="Migliaia 17 5 3 2" xfId="33264" xr:uid="{2BF74C71-E88C-4880-94BF-A4AA689EEA4A}"/>
    <cellStyle name="Migliaia 17 5 3 2 2" xfId="38661" xr:uid="{14CA29B7-62FC-4F08-8C6F-477D6BAE4662}"/>
    <cellStyle name="Migliaia 17 5 3 2 3" xfId="43963" xr:uid="{7290917F-D342-4B67-B8D2-4C99700BAE92}"/>
    <cellStyle name="Migliaia 17 5 3 3" xfId="36167" xr:uid="{6DC3643F-9B49-484F-BC31-9022C1B88A80}"/>
    <cellStyle name="Migliaia 17 5 3 4" xfId="41312" xr:uid="{2632C193-91B9-432C-8E4C-781B1B26D599}"/>
    <cellStyle name="Migliaia 17 5 3 5" xfId="11271" xr:uid="{3FC5DA1F-63BB-4D03-9FC1-D6BF1EFC2BF6}"/>
    <cellStyle name="Migliaia 17 5 4" xfId="3237" xr:uid="{8B1FB564-F176-448E-AF2B-2C1C55D260C9}"/>
    <cellStyle name="Migliaia 17 5 4 2" xfId="21409" xr:uid="{AD7D8ACE-9A2B-47F8-84A0-2DF7B609EE4E}"/>
    <cellStyle name="Migliaia 17 5 4 2 2" xfId="38662" xr:uid="{5FE160C5-1FB1-44C6-9145-2A4079C4AE40}"/>
    <cellStyle name="Migliaia 17 5 4 2 3" xfId="43964" xr:uid="{FAAAAB42-ECCF-42F7-AC32-47890D189BB4}"/>
    <cellStyle name="Migliaia 17 5 4 2 4" xfId="33265" xr:uid="{1F70D9E4-8A0A-4410-AE55-CEC90DAE6392}"/>
    <cellStyle name="Migliaia 17 5 4 3" xfId="36168" xr:uid="{0946D029-A713-4AC0-8CBC-01C5E046DF1D}"/>
    <cellStyle name="Migliaia 17 5 4 4" xfId="41313" xr:uid="{BB614C84-19E1-4226-8C6F-FDBBFF68B6E5}"/>
    <cellStyle name="Migliaia 17 5 4 5" xfId="24380" xr:uid="{838BE503-179B-49EA-B52B-9FF648EF4642}"/>
    <cellStyle name="Migliaia 17 5 4 6" xfId="32299" xr:uid="{C40AEEF3-0530-45D9-BB23-BC072A10C246}"/>
    <cellStyle name="Migliaia 17 5 4 7" xfId="50424" xr:uid="{99D39033-47EB-4002-B4F0-1B37ECE2C03C}"/>
    <cellStyle name="Migliaia 17 5 4 8" xfId="53440" xr:uid="{48979346-1EAA-4813-BA21-7B79AFAB02B7}"/>
    <cellStyle name="Migliaia 17 5 4 9" xfId="10774" xr:uid="{0BACDFC6-BE63-4939-A271-A50CC4DE6006}"/>
    <cellStyle name="Migliaia 17 5 5" xfId="19978" xr:uid="{3F9E7AFA-6FD6-4982-93C1-80361D42864B}"/>
    <cellStyle name="Migliaia 17 5 5 2" xfId="33266" xr:uid="{9B25D6CF-447A-4F7F-ABDE-7474F70931EC}"/>
    <cellStyle name="Migliaia 17 5 5 2 2" xfId="38663" xr:uid="{82C43B24-80AF-4EDC-B6C8-3EE77BF237E9}"/>
    <cellStyle name="Migliaia 17 5 5 2 3" xfId="43965" xr:uid="{0EC206BC-761B-4091-AF22-D5FFCD2FB92B}"/>
    <cellStyle name="Migliaia 17 5 5 3" xfId="36169" xr:uid="{0140C273-0CFA-401B-8ED7-6461A6AAD13C}"/>
    <cellStyle name="Migliaia 17 5 5 4" xfId="41314" xr:uid="{6A118074-354A-4EA1-AD2B-FD5C090D1E6A}"/>
    <cellStyle name="Migliaia 17 5 5 5" xfId="24381" xr:uid="{517F0955-CE3B-4CE3-8B48-2B36C4185769}"/>
    <cellStyle name="Migliaia 17 5 6" xfId="24382" xr:uid="{D903B164-837A-43EB-98AD-A1B4DAFC7817}"/>
    <cellStyle name="Migliaia 17 5 6 2" xfId="33267" xr:uid="{7701231E-E95F-43B4-9453-C8FC714A80DE}"/>
    <cellStyle name="Migliaia 17 5 6 2 2" xfId="38664" xr:uid="{C7A87B69-0033-4D18-A49F-6F528BACEB73}"/>
    <cellStyle name="Migliaia 17 5 6 2 3" xfId="43966" xr:uid="{3C065A06-BA1D-4221-B28C-A1E233DA3F74}"/>
    <cellStyle name="Migliaia 17 5 6 3" xfId="36170" xr:uid="{FB48427D-931E-4811-BD52-87C7FC0E3596}"/>
    <cellStyle name="Migliaia 17 5 6 4" xfId="41315" xr:uid="{251762E0-E6EC-425B-9AE7-604C43B1CAC5}"/>
    <cellStyle name="Migliaia 17 5 7" xfId="24379" xr:uid="{1B8C4579-5D17-45A2-A2AD-0E3CCB2027BF}"/>
    <cellStyle name="Migliaia 17 5 8" xfId="7342" xr:uid="{329D688F-288E-406E-A74E-F76194FD145A}"/>
    <cellStyle name="Migliaia 17 6" xfId="3238" xr:uid="{4DE26CC1-1D91-4FAF-86BA-4722C17A60B7}"/>
    <cellStyle name="Migliaia 17 6 2" xfId="4964" xr:uid="{6C405154-6A46-4C0C-846D-53DBEE1743F2}"/>
    <cellStyle name="Migliaia 17 6 2 2" xfId="9897" xr:uid="{13616DE7-0120-4A81-B8B7-BE2A7DDCCC92}"/>
    <cellStyle name="Migliaia 17 6 2 3" xfId="18672" xr:uid="{BD84A016-6641-4F4F-8CFA-9DAB422A5851}"/>
    <cellStyle name="Migliaia 17 6 2 4" xfId="19981" xr:uid="{0B1C43B3-BF3A-484B-9135-59781EEDEA88}"/>
    <cellStyle name="Migliaia 17 6 2 5" xfId="32317" xr:uid="{E352E30D-51B9-4F80-8CC9-5FBB499C1144}"/>
    <cellStyle name="Migliaia 17 6 2 6" xfId="16135" xr:uid="{AD599E8B-9579-418E-A6DD-F97BE9FF5B78}"/>
    <cellStyle name="Migliaia 17 6 2 7" xfId="8527" xr:uid="{71A8283E-A00E-4B6D-9F8C-3F4C0058A5B2}"/>
    <cellStyle name="Migliaia 17 6 3" xfId="6179" xr:uid="{FCC1FADF-1434-4BAD-9114-E749D59E36E2}"/>
    <cellStyle name="Migliaia 17 6 3 2" xfId="35181" xr:uid="{66FFD332-AEC0-4E13-B040-C7905C831173}"/>
    <cellStyle name="Migliaia 17 6 3 2 2" xfId="40339" xr:uid="{9ECE3CBF-7E0D-4E7B-9DFC-3BC949AF4A69}"/>
    <cellStyle name="Migliaia 17 6 3 2 3" xfId="45641" xr:uid="{48EB361A-DEBD-424D-9FA8-C4A61A1E6850}"/>
    <cellStyle name="Migliaia 17 6 3 3" xfId="37688" xr:uid="{C78F039B-B558-4003-953D-7CE9894A310F}"/>
    <cellStyle name="Migliaia 17 6 3 4" xfId="42990" xr:uid="{BFC91DA7-FFD3-414B-8FCE-66A1E5CC254E}"/>
    <cellStyle name="Migliaia 17 6 3 5" xfId="9660" xr:uid="{2702CC73-7D14-4D9B-B470-C01B880E7728}"/>
    <cellStyle name="Migliaia 17 6 4" xfId="19980" xr:uid="{89BBCF71-3481-4FDF-9429-895FE863CCC6}"/>
    <cellStyle name="Migliaia 17 6 4 2" xfId="38665" xr:uid="{0829433C-29C7-4B91-8B10-4D83FFA031F0}"/>
    <cellStyle name="Migliaia 17 6 4 3" xfId="43967" xr:uid="{356A5BF1-6CC6-42A1-AE5A-F249DC57551D}"/>
    <cellStyle name="Migliaia 17 6 4 4" xfId="33268" xr:uid="{C091C55B-D1ED-4A0C-8DA1-FC9A911B8BA2}"/>
    <cellStyle name="Migliaia 17 6 5" xfId="36171" xr:uid="{7E1B9F28-215F-4E3C-AF85-8A1707A61E1E}"/>
    <cellStyle name="Migliaia 17 6 6" xfId="41316" xr:uid="{94F6852E-E95A-4C2F-B8D5-0A2C33439870}"/>
    <cellStyle name="Migliaia 17 6 7" xfId="16134" xr:uid="{98F142C5-F219-4C20-8C27-032D6CC7ECA7}"/>
    <cellStyle name="Migliaia 17 6 8" xfId="7337" xr:uid="{3B2C4E45-B56B-4F22-821D-BD1014633F73}"/>
    <cellStyle name="Migliaia 17 7" xfId="3239" xr:uid="{CD92DC21-FF47-45E4-A089-FA24C227C465}"/>
    <cellStyle name="Migliaia 17 7 2" xfId="4965" xr:uid="{1E73715D-6A5F-4F26-BD3F-2AE652BF7760}"/>
    <cellStyle name="Migliaia 17 7 2 2" xfId="35182" xr:uid="{AEE52EC8-3137-4D36-82EC-3596D1903DAB}"/>
    <cellStyle name="Migliaia 17 7 2 2 2" xfId="40340" xr:uid="{8BC99FED-FDB5-4ABE-BA3E-223A748BBC5F}"/>
    <cellStyle name="Migliaia 17 7 2 2 3" xfId="45642" xr:uid="{6F5C545D-5E3C-45D5-A78E-40D575E0823F}"/>
    <cellStyle name="Migliaia 17 7 2 3" xfId="37689" xr:uid="{4456D632-B5FC-41AE-83C8-064229BF93B9}"/>
    <cellStyle name="Migliaia 17 7 2 4" xfId="42991" xr:uid="{057DF39F-368F-4066-9854-BB15762D828F}"/>
    <cellStyle name="Migliaia 17 7 2 5" xfId="14202" xr:uid="{BA824A1B-FF85-4BC4-8E40-38C82E089AF4}"/>
    <cellStyle name="Migliaia 17 7 3" xfId="6180" xr:uid="{74626AA6-CBB9-49CA-B849-B6F3A3E695D1}"/>
    <cellStyle name="Migliaia 17 7 3 2" xfId="38666" xr:uid="{ED047387-1284-4889-BFAB-D8161F904455}"/>
    <cellStyle name="Migliaia 17 7 3 3" xfId="43968" xr:uid="{0EAD3359-FE3B-46CC-80C9-FD30DE76499F}"/>
    <cellStyle name="Migliaia 17 7 3 4" xfId="33269" xr:uid="{D9B5F33A-5CA5-4D5E-974D-F757D581A991}"/>
    <cellStyle name="Migliaia 17 7 3 5" xfId="19982" xr:uid="{BC2727CF-ADD3-4B46-BE7C-46DE8D8048E4}"/>
    <cellStyle name="Migliaia 17 7 4" xfId="36172" xr:uid="{33082F20-D815-4811-A831-FEE0876F3F35}"/>
    <cellStyle name="Migliaia 17 7 5" xfId="41317" xr:uid="{20B8E61A-19F8-41DA-8F11-701CC3F61FAC}"/>
    <cellStyle name="Migliaia 17 7 6" xfId="16136" xr:uid="{3748E98A-EBF4-40B7-92EF-8EA85B9CCE05}"/>
    <cellStyle name="Migliaia 17 7 7" xfId="8264" xr:uid="{586B16B4-BC22-461A-B02A-0D9AD73BAFAB}"/>
    <cellStyle name="Migliaia 17 8" xfId="3240" xr:uid="{27BA129C-EE2A-4CE8-B3CC-77F0996D1203}"/>
    <cellStyle name="Migliaia 17 8 2" xfId="4966" xr:uid="{C157ADDC-F69A-4A90-8A04-7CB2043C705F}"/>
    <cellStyle name="Migliaia 17 8 2 2" xfId="35183" xr:uid="{B4E32680-EF84-4F61-9529-D2822E37AEE7}"/>
    <cellStyle name="Migliaia 17 8 2 2 2" xfId="40341" xr:uid="{482C7D39-452B-42EE-ABC9-7E1963DF6D93}"/>
    <cellStyle name="Migliaia 17 8 2 2 3" xfId="45643" xr:uid="{C8F069FF-58A9-4EF5-AD1F-9940947E354D}"/>
    <cellStyle name="Migliaia 17 8 2 3" xfId="37690" xr:uid="{D7B55900-88A5-43EC-8500-40432BB04BFC}"/>
    <cellStyle name="Migliaia 17 8 2 4" xfId="42992" xr:uid="{2A9A5B11-B095-4691-919B-839F3716E2E7}"/>
    <cellStyle name="Migliaia 17 8 2 5" xfId="13905" xr:uid="{82612CEE-5F50-4C31-B0B5-69D2D6C2142C}"/>
    <cellStyle name="Migliaia 17 8 3" xfId="6181" xr:uid="{2750B2C4-F597-45FF-84B2-54122E95EA12}"/>
    <cellStyle name="Migliaia 17 8 3 2" xfId="38667" xr:uid="{6AF14182-B629-457C-BE50-1699C64B764B}"/>
    <cellStyle name="Migliaia 17 8 3 3" xfId="43969" xr:uid="{09232286-1F50-4FD9-909C-D9816013EF09}"/>
    <cellStyle name="Migliaia 17 8 3 4" xfId="33270" xr:uid="{FD4F8C47-895A-4751-8802-C59B24559377}"/>
    <cellStyle name="Migliaia 17 8 3 5" xfId="19983" xr:uid="{8A5164E7-DDAF-49CB-BA50-6BC830B40941}"/>
    <cellStyle name="Migliaia 17 8 4" xfId="36173" xr:uid="{5B654AF7-84C0-4735-BC0C-55527C08E09E}"/>
    <cellStyle name="Migliaia 17 8 5" xfId="41318" xr:uid="{BFEED062-FC46-4F4A-BFC3-F20AEC9885D5}"/>
    <cellStyle name="Migliaia 17 8 6" xfId="16137" xr:uid="{A7E4A316-A9C8-43DF-860A-9C5EACFD2591}"/>
    <cellStyle name="Migliaia 17 8 7" xfId="7851" xr:uid="{37F6C097-BDE2-423D-9859-1D3A97971E8C}"/>
    <cellStyle name="Migliaia 17 9" xfId="4951" xr:uid="{3B01EF58-5995-47A2-BF0B-D0E7DDEC5F71}"/>
    <cellStyle name="Migliaia 17 9 2" xfId="33271" xr:uid="{CD0FCFD3-2726-4D00-B57C-F273560EFABD}"/>
    <cellStyle name="Migliaia 17 9 2 2" xfId="38668" xr:uid="{3EFC08D2-4934-4EE0-8177-C19FF1A85198}"/>
    <cellStyle name="Migliaia 17 9 2 3" xfId="43970" xr:uid="{7FC1C557-3E5A-4C36-8AF4-AC4991F5F12A}"/>
    <cellStyle name="Migliaia 17 9 3" xfId="36174" xr:uid="{BEEA5689-804E-4236-9B31-A8E951C5CA72}"/>
    <cellStyle name="Migliaia 17 9 4" xfId="41319" xr:uid="{146E63DC-AB5E-434C-9F4E-4EF7A42AD6B0}"/>
    <cellStyle name="Migliaia 17 9 5" xfId="17151" xr:uid="{5059C4F0-C006-4BC5-A3AF-5C2020314C80}"/>
    <cellStyle name="Migliaia 18" xfId="333" xr:uid="{00000000-0005-0000-0000-000009030000}"/>
    <cellStyle name="Migliaia 18 10" xfId="6182" xr:uid="{36F4397E-53D2-4029-A735-5FA42F1809EE}"/>
    <cellStyle name="Migliaia 18 10 2" xfId="38669" xr:uid="{07352BD3-E7E3-4F6D-8308-8EBB8A8D699D}"/>
    <cellStyle name="Migliaia 18 10 3" xfId="43971" xr:uid="{5E1A0CA7-251A-4211-9311-382057B9A08A}"/>
    <cellStyle name="Migliaia 18 10 4" xfId="33272" xr:uid="{C4C5BEA9-B9D6-43BB-9A33-2421AD7BDF1E}"/>
    <cellStyle name="Migliaia 18 10 5" xfId="19984" xr:uid="{43AB8E17-5C40-4BB5-AC0A-F76D1C3D272C}"/>
    <cellStyle name="Migliaia 18 11" xfId="3241" xr:uid="{E1980C94-BECB-4725-A3DC-DADD294D717B}"/>
    <cellStyle name="Migliaia 18 11 2" xfId="36175" xr:uid="{43FEA7D9-6496-420B-89DC-4C9340DA5BFD}"/>
    <cellStyle name="Migliaia 18 12" xfId="41320" xr:uid="{E51F50AA-7062-4BA8-A2CE-4644DB813F76}"/>
    <cellStyle name="Migliaia 18 13" xfId="7068" xr:uid="{9D67F6F4-07B7-4B62-9CBB-C5908F011424}"/>
    <cellStyle name="Migliaia 18 2" xfId="334" xr:uid="{00000000-0005-0000-0000-00000A030000}"/>
    <cellStyle name="Migliaia 18 2 2" xfId="1698" xr:uid="{00000000-0005-0000-0000-00000B030000}"/>
    <cellStyle name="Migliaia 18 2 2 2" xfId="4969" xr:uid="{A71E8641-E7CA-411E-9CA4-8900CA4196B8}"/>
    <cellStyle name="Migliaia 18 2 2 2 2" xfId="14371" xr:uid="{DE48CE36-9B29-44F1-A600-1247A1198329}"/>
    <cellStyle name="Migliaia 18 2 2 2 2 2" xfId="38670" xr:uid="{CD6B4C17-B35D-4489-8AA0-6A04522BB076}"/>
    <cellStyle name="Migliaia 18 2 2 2 2 3" xfId="43972" xr:uid="{BCD5543E-6753-440B-BDCF-C29FE7210C4D}"/>
    <cellStyle name="Migliaia 18 2 2 2 3" xfId="18384" xr:uid="{16AF4FCB-0E37-461F-B436-2F5EA80CCAF6}"/>
    <cellStyle name="Migliaia 18 2 2 2 4" xfId="19987" xr:uid="{59DC6ACE-A830-418E-A142-FF4343E17A73}"/>
    <cellStyle name="Migliaia 18 2 2 2 4 2" xfId="41321" xr:uid="{F483A4F8-9A37-4C15-8D14-3941020165F4}"/>
    <cellStyle name="Migliaia 18 2 2 2 5" xfId="16138" xr:uid="{546D2DE4-425B-4C8B-AF2C-F128D9146622}"/>
    <cellStyle name="Migliaia 18 2 2 2 6" xfId="8534" xr:uid="{4C018A12-CE66-46E3-BC6C-4EDB8D9AC4FF}"/>
    <cellStyle name="Migliaia 18 2 2 3" xfId="6184" xr:uid="{AA3AE2D2-A546-476A-A26F-908A55AEBCBE}"/>
    <cellStyle name="Migliaia 18 2 2 3 2" xfId="35184" xr:uid="{FD7B3B73-BE6D-4605-BB60-F41C1FE743D6}"/>
    <cellStyle name="Migliaia 18 2 2 3 2 2" xfId="40342" xr:uid="{D4807848-7558-4D92-AB56-37DAE7160F04}"/>
    <cellStyle name="Migliaia 18 2 2 3 2 3" xfId="45644" xr:uid="{C791E1B2-EDE9-4796-95CE-A384DBFF66BB}"/>
    <cellStyle name="Migliaia 18 2 2 3 3" xfId="37691" xr:uid="{C1E63225-C040-4D4B-8B46-2A1E8E083F0B}"/>
    <cellStyle name="Migliaia 18 2 2 3 4" xfId="42993" xr:uid="{026B24FC-90A4-4087-8B7D-FDD556C50104}"/>
    <cellStyle name="Migliaia 18 2 2 3 5" xfId="11600" xr:uid="{27C487E6-8FB6-4F4F-9641-0B1A8B21A468}"/>
    <cellStyle name="Migliaia 18 2 2 4" xfId="3243" xr:uid="{16468B8A-E153-47DF-AACF-DACAE5BF140D}"/>
    <cellStyle name="Migliaia 18 2 2 4 2" xfId="21410" xr:uid="{9DE25AF1-85A8-4927-B44A-62920A4B84BE}"/>
    <cellStyle name="Migliaia 18 2 2 4 3" xfId="24248" xr:uid="{CE0B43BC-64B2-40AE-8833-AA0E684602BC}"/>
    <cellStyle name="Migliaia 18 2 2 4 4" xfId="50425" xr:uid="{1DAA2822-418D-4210-9542-B06A2C7DB08E}"/>
    <cellStyle name="Migliaia 18 2 2 4 5" xfId="53441" xr:uid="{1AA3F0C8-5878-40CC-AB29-57FE937860A5}"/>
    <cellStyle name="Migliaia 18 2 2 4 6" xfId="10775" xr:uid="{D472331D-D401-4EC2-B7C5-CFC48C48890C}"/>
    <cellStyle name="Migliaia 18 2 2 5" xfId="19986" xr:uid="{F226DDC8-352C-40E9-8CF2-98FC75C2661B}"/>
    <cellStyle name="Migliaia 18 2 2 6" xfId="24384" xr:uid="{AD3E127E-4D72-4F9E-8EF4-6C2CBC3F6E7E}"/>
    <cellStyle name="Migliaia 18 2 2 7" xfId="7344" xr:uid="{D0F57906-1151-4CD7-8105-B93AF51BA4F2}"/>
    <cellStyle name="Migliaia 18 2 3" xfId="3244" xr:uid="{259C5CCE-5155-401E-A417-4339BBD49EA4}"/>
    <cellStyle name="Migliaia 18 2 3 2" xfId="4970" xr:uid="{45CF8233-509F-4388-87FE-F73AB72A4433}"/>
    <cellStyle name="Migliaia 18 2 3 2 2" xfId="35185" xr:uid="{47B4A5FD-1CC3-46FC-8EDD-42683FEAB7CE}"/>
    <cellStyle name="Migliaia 18 2 3 2 2 2" xfId="40343" xr:uid="{340E7D2D-BC75-4506-849A-E5374903BFD8}"/>
    <cellStyle name="Migliaia 18 2 3 2 2 3" xfId="45645" xr:uid="{D40C5D95-8C65-48B5-AE26-A0976E642E5A}"/>
    <cellStyle name="Migliaia 18 2 3 2 3" xfId="37692" xr:uid="{96CD9757-4868-43C7-9E75-EE6198A70BBB}"/>
    <cellStyle name="Migliaia 18 2 3 2 4" xfId="42994" xr:uid="{7EF79479-AD34-4EEF-A083-0131ED96F6EF}"/>
    <cellStyle name="Migliaia 18 2 3 2 5" xfId="14206" xr:uid="{AAE879C7-4802-4154-8E45-9CE901BEEFF1}"/>
    <cellStyle name="Migliaia 18 2 3 3" xfId="6185" xr:uid="{7E1CBE8C-3EEB-4485-B3F2-3BEA2C707E79}"/>
    <cellStyle name="Migliaia 18 2 3 3 2" xfId="38671" xr:uid="{F6F41B03-B2CE-48ED-ABB5-2E22ABB5058C}"/>
    <cellStyle name="Migliaia 18 2 3 3 3" xfId="43973" xr:uid="{9476F0B3-7D0C-4602-8C4C-C6CD527CA109}"/>
    <cellStyle name="Migliaia 18 2 3 3 4" xfId="33273" xr:uid="{FA25E04D-1028-44F1-BF7D-AC204BE83DA9}"/>
    <cellStyle name="Migliaia 18 2 3 3 5" xfId="19988" xr:uid="{275E030A-6CBC-42DA-BF31-B93924E60717}"/>
    <cellStyle name="Migliaia 18 2 3 4" xfId="36176" xr:uid="{F8F9CF8B-335F-4FBE-9623-3EC98452652C}"/>
    <cellStyle name="Migliaia 18 2 3 5" xfId="41322" xr:uid="{6DED6DF9-3E88-45D6-AD3D-2F8FBA710104}"/>
    <cellStyle name="Migliaia 18 2 3 6" xfId="16139" xr:uid="{7A295940-62E0-46BD-8F69-9CB46B16D161}"/>
    <cellStyle name="Migliaia 18 2 3 7" xfId="8268" xr:uid="{1851E33F-20BB-4230-AEF4-AD45DFA73E69}"/>
    <cellStyle name="Migliaia 18 2 4" xfId="4968" xr:uid="{1404A246-297D-4A47-9EE6-B70F5C069C22}"/>
    <cellStyle name="Migliaia 18 2 4 2" xfId="13909" xr:uid="{9D1592C4-39A5-429C-A867-CE21C1E6771E}"/>
    <cellStyle name="Migliaia 18 2 4 2 2" xfId="38672" xr:uid="{4CEB250E-A637-4244-AD3C-90D1DD631F0B}"/>
    <cellStyle name="Migliaia 18 2 4 2 3" xfId="43974" xr:uid="{06FEFDF8-F12E-4C31-98D2-596901BA88F4}"/>
    <cellStyle name="Migliaia 18 2 4 3" xfId="18285" xr:uid="{444B1BE0-F1DF-4E55-9FC1-9E0A91A903C7}"/>
    <cellStyle name="Migliaia 18 2 4 4" xfId="19989" xr:uid="{61B3D180-7622-4A50-8597-A9AEC53CD2B0}"/>
    <cellStyle name="Migliaia 18 2 4 4 2" xfId="41323" xr:uid="{D534000A-5316-4143-A42E-E0A26EBE001C}"/>
    <cellStyle name="Migliaia 18 2 4 5" xfId="16140" xr:uid="{CC1A21C6-21B1-43BC-89C7-A5F8DDB6BE85}"/>
    <cellStyle name="Migliaia 18 2 4 6" xfId="7856" xr:uid="{33D009F8-756B-4BBF-B6E7-84454E92D1F8}"/>
    <cellStyle name="Migliaia 18 2 5" xfId="6183" xr:uid="{21B9BB6A-2983-4B41-9CBE-72C15599D672}"/>
    <cellStyle name="Migliaia 18 2 5 2" xfId="33274" xr:uid="{7811234A-85EA-413F-830F-7FE04823AFF3}"/>
    <cellStyle name="Migliaia 18 2 5 2 2" xfId="38673" xr:uid="{33C1B2A2-F0E2-454D-8877-8124D5003F0A}"/>
    <cellStyle name="Migliaia 18 2 5 2 3" xfId="43975" xr:uid="{F5DF6B65-2E4A-4ECE-B157-A5DE4C4774C7}"/>
    <cellStyle name="Migliaia 18 2 5 3" xfId="36177" xr:uid="{38586A8B-4446-4150-87A1-29C9234F40DE}"/>
    <cellStyle name="Migliaia 18 2 5 4" xfId="41324" xr:uid="{69C321A6-200E-4D49-9BFA-13364EE119B0}"/>
    <cellStyle name="Migliaia 18 2 5 5" xfId="13111" xr:uid="{65C6AC8D-43C7-4D29-BFA3-E78572D12FE3}"/>
    <cellStyle name="Migliaia 18 2 6" xfId="3242" xr:uid="{5F30935A-B8D3-4E40-A511-758B78429BE0}"/>
    <cellStyle name="Migliaia 18 2 6 2" xfId="33275" xr:uid="{3FDFF647-5CDF-4486-A284-1E9819A79F23}"/>
    <cellStyle name="Migliaia 18 2 6 2 2" xfId="38674" xr:uid="{533D29BD-1542-4D94-BCE6-673B20C3588C}"/>
    <cellStyle name="Migliaia 18 2 6 2 3" xfId="43976" xr:uid="{8CFAABCE-2AC8-4A66-80D3-7B97FB0D3B0C}"/>
    <cellStyle name="Migliaia 18 2 6 3" xfId="36178" xr:uid="{96514600-A07C-468A-B07A-A3432F90DC45}"/>
    <cellStyle name="Migliaia 18 2 6 4" xfId="41325" xr:uid="{2E031840-2C54-44E3-9395-44B95DB2855B}"/>
    <cellStyle name="Migliaia 18 2 6 5" xfId="24385" xr:uid="{48535E4E-ADF5-45A5-9215-823AF5E58C54}"/>
    <cellStyle name="Migliaia 18 2 6 6" xfId="19985" xr:uid="{0F3F889A-B59E-40D8-ACAF-2C512B24B109}"/>
    <cellStyle name="Migliaia 18 2 7" xfId="24383" xr:uid="{09123246-14D1-4491-8741-3356B6791FF3}"/>
    <cellStyle name="Migliaia 18 2 8" xfId="7069" xr:uid="{2E9F8BC5-1E76-4532-B49D-0BEDC3BFD8A8}"/>
    <cellStyle name="Migliaia 18 3" xfId="335" xr:uid="{00000000-0005-0000-0000-00000C030000}"/>
    <cellStyle name="Migliaia 18 3 10" xfId="24386" xr:uid="{681A1F59-0D97-4866-B813-8B111DF65E7D}"/>
    <cellStyle name="Migliaia 18 3 11" xfId="16141" xr:uid="{3C9790FB-596F-404B-B392-68F23180FF02}"/>
    <cellStyle name="Migliaia 18 3 12" xfId="7070" xr:uid="{12085CDC-B5E6-49DC-999F-C9B778B3AF46}"/>
    <cellStyle name="Migliaia 18 3 2" xfId="336" xr:uid="{00000000-0005-0000-0000-00000D030000}"/>
    <cellStyle name="Migliaia 18 3 2 2" xfId="1699" xr:uid="{00000000-0005-0000-0000-00000E030000}"/>
    <cellStyle name="Migliaia 18 3 2 2 2" xfId="4973" xr:uid="{55FF77B5-B280-4A7F-B6F9-FCC79EF42BBD}"/>
    <cellStyle name="Migliaia 18 3 2 2 2 2" xfId="18385" xr:uid="{591CF16B-EF9F-41F4-BB1C-B0473CB05228}"/>
    <cellStyle name="Migliaia 18 3 2 2 2 2 2" xfId="21846" xr:uid="{89702E85-AD43-488D-B828-8276169C9C28}"/>
    <cellStyle name="Migliaia 18 3 2 2 2 2 2 2" xfId="38675" xr:uid="{A7A949B4-3F1D-4480-AE71-DB07C3F2D2C9}"/>
    <cellStyle name="Migliaia 18 3 2 2 2 2 3" xfId="43977" xr:uid="{D37C0711-C9C5-4C30-9AFC-A50A72A55B1E}"/>
    <cellStyle name="Migliaia 18 3 2 2 2 2 4" xfId="33276" xr:uid="{53185B97-9E21-49D8-9BF4-F57CEE3A96BE}"/>
    <cellStyle name="Migliaia 18 3 2 2 2 3" xfId="36179" xr:uid="{E7A5C9A8-DC79-4637-B6CA-D4C9032AB308}"/>
    <cellStyle name="Migliaia 18 3 2 2 2 4" xfId="41326" xr:uid="{BB2718B4-B866-4251-884F-5B94E399387F}"/>
    <cellStyle name="Migliaia 18 3 2 2 2 5" xfId="47610" xr:uid="{8F19EE86-63C3-483D-8C91-4EC0FC110E28}"/>
    <cellStyle name="Migliaia 18 3 2 2 2 6" xfId="50874" xr:uid="{63E8AF17-E313-49C4-8591-8032AE7D7517}"/>
    <cellStyle name="Migliaia 18 3 2 2 2 7" xfId="53890" xr:uid="{CE9360B0-118E-4F84-99BE-D07A50D7EB90}"/>
    <cellStyle name="Migliaia 18 3 2 2 2 8" xfId="17647" xr:uid="{4DB67D3F-E1F4-4CAE-BE58-E1BFCDB8B171}"/>
    <cellStyle name="Migliaia 18 3 2 2 2 9" xfId="11919" xr:uid="{3360417C-6ED2-4932-9C2F-71143127BE4B}"/>
    <cellStyle name="Migliaia 18 3 2 2 3" xfId="6188" xr:uid="{0DA875BA-3D75-4924-94FB-B39D7544A924}"/>
    <cellStyle name="Migliaia 18 3 2 2 3 2" xfId="11688" xr:uid="{EA8A5357-FC9E-49DD-A248-79E6718EF1FB}"/>
    <cellStyle name="Migliaia 18 3 2 2 4" xfId="3247" xr:uid="{A405EDCB-D416-4927-8743-A9D12C6D3421}"/>
    <cellStyle name="Migliaia 18 3 2 2 4 2" xfId="21411" xr:uid="{C3A99BA2-50BC-4D89-BABB-BC36D303829C}"/>
    <cellStyle name="Migliaia 18 3 2 2 4 3" xfId="46217" xr:uid="{434EC7BF-0D99-40B0-9B8C-E6B713F01C01}"/>
    <cellStyle name="Migliaia 18 3 2 2 4 4" xfId="50426" xr:uid="{AF9EB816-B322-4119-B3FD-2ADF4F46C9C4}"/>
    <cellStyle name="Migliaia 18 3 2 2 4 5" xfId="53442" xr:uid="{B23FA60C-C5FC-4FAA-B988-600781194CE2}"/>
    <cellStyle name="Migliaia 18 3 2 2 4 6" xfId="10776" xr:uid="{447F5304-3893-47E6-8E03-58A3C0982D40}"/>
    <cellStyle name="Migliaia 18 3 2 2 5" xfId="19992" xr:uid="{A151D3A8-2221-4DA2-9DD1-CCF9D77A659D}"/>
    <cellStyle name="Migliaia 18 3 2 2 6" xfId="24388" xr:uid="{4651FDEF-E554-4C68-8113-FAD8273C008C}"/>
    <cellStyle name="Migliaia 18 3 2 2 7" xfId="8536" xr:uid="{7BF2E9AA-0A88-45E5-A7D3-73FDF494C545}"/>
    <cellStyle name="Migliaia 18 3 2 3" xfId="4972" xr:uid="{7ED9093F-318D-4552-B1EC-C780F0CAE4CC}"/>
    <cellStyle name="Migliaia 18 3 2 3 2" xfId="12228" xr:uid="{13D97EB3-F524-4DD4-A133-86E6914EBB45}"/>
    <cellStyle name="Migliaia 18 3 2 3 2 2" xfId="38676" xr:uid="{A3F63A6B-8348-4879-B2F9-E054984FD240}"/>
    <cellStyle name="Migliaia 18 3 2 3 2 3" xfId="43978" xr:uid="{3EAE37C9-1107-420B-BF08-8A93F4C3223D}"/>
    <cellStyle name="Migliaia 18 3 2 3 2 4" xfId="33277" xr:uid="{7A710BFE-AA98-4E5C-B140-2136FA416D6F}"/>
    <cellStyle name="Migliaia 18 3 2 3 3" xfId="11920" xr:uid="{D9217884-147D-488B-A8EC-21518CFF7B91}"/>
    <cellStyle name="Migliaia 18 3 2 3 4" xfId="19993" xr:uid="{027C3AE5-62B0-4F1B-92F7-714B4A827443}"/>
    <cellStyle name="Migliaia 18 3 2 3 4 2" xfId="41327" xr:uid="{6E18E3D0-FEBB-4067-9982-7AF25555F2F8}"/>
    <cellStyle name="Migliaia 18 3 2 3 5" xfId="16142" xr:uid="{7883E0A3-AE8D-438B-A8BC-41FE043306A3}"/>
    <cellStyle name="Migliaia 18 3 2 3 6" xfId="7858" xr:uid="{85B8C7F7-1FD5-4624-9112-721C24958D4D}"/>
    <cellStyle name="Migliaia 18 3 2 4" xfId="6187" xr:uid="{B6FD2D44-EFF2-4E51-8929-DFC10D1ED45E}"/>
    <cellStyle name="Migliaia 18 3 2 4 2" xfId="18066" xr:uid="{4300E6EA-2F1D-4413-A08E-C742B2B51079}"/>
    <cellStyle name="Migliaia 18 3 2 4 2 2" xfId="38677" xr:uid="{8CAB0851-29FB-453A-9EF0-87C97CB522E5}"/>
    <cellStyle name="Migliaia 18 3 2 4 2 3" xfId="43979" xr:uid="{11198D05-EE15-4C1E-A96A-7A0BB4772296}"/>
    <cellStyle name="Migliaia 18 3 2 4 3" xfId="36180" xr:uid="{C611A11B-B61B-4A84-8978-CCA75C070B07}"/>
    <cellStyle name="Migliaia 18 3 2 4 4" xfId="41328" xr:uid="{1217C062-B334-47D5-8FC9-5B9EE749E553}"/>
    <cellStyle name="Migliaia 18 3 2 4 5" xfId="17154" xr:uid="{D1F35E32-64C7-4182-BA4D-9CB013708E0F}"/>
    <cellStyle name="Migliaia 18 3 2 4 6" xfId="11272" xr:uid="{53039961-4C18-4373-9268-924408EA620F}"/>
    <cellStyle name="Migliaia 18 3 2 5" xfId="3246" xr:uid="{FC030BE4-6931-41B1-A709-FC9C4F953837}"/>
    <cellStyle name="Migliaia 18 3 2 5 2" xfId="33278" xr:uid="{56A1F0CC-CA6A-41BB-887B-82C3D13B5BBC}"/>
    <cellStyle name="Migliaia 18 3 2 5 2 2" xfId="38678" xr:uid="{710CFF4D-40D7-4369-8E99-0A43EDBB4BFD}"/>
    <cellStyle name="Migliaia 18 3 2 5 2 3" xfId="43980" xr:uid="{EDCB2FAC-0CB8-4985-A53C-9C22B87C88B5}"/>
    <cellStyle name="Migliaia 18 3 2 5 3" xfId="36181" xr:uid="{A55B125F-4646-4697-9630-CCD21C3C95DE}"/>
    <cellStyle name="Migliaia 18 3 2 5 4" xfId="41329" xr:uid="{5FDAF3E5-C5D0-4B79-8656-DFEF09125621}"/>
    <cellStyle name="Migliaia 18 3 2 5 5" xfId="17399" xr:uid="{DFFD9AEF-5946-4727-8058-3DD7439F80FF}"/>
    <cellStyle name="Migliaia 18 3 2 6" xfId="19991" xr:uid="{76D4E2AE-F182-4EA3-9551-DAB851954CCC}"/>
    <cellStyle name="Migliaia 18 3 2 6 2" xfId="33279" xr:uid="{9B799969-CBE9-433F-AE44-CA4BC61DB0BE}"/>
    <cellStyle name="Migliaia 18 3 2 6 2 2" xfId="38679" xr:uid="{434FE026-4CEA-4DF4-9AE1-52BD336E855A}"/>
    <cellStyle name="Migliaia 18 3 2 6 2 3" xfId="43981" xr:uid="{B0450F28-F000-49D5-92F7-1728E9D847FB}"/>
    <cellStyle name="Migliaia 18 3 2 6 3" xfId="36182" xr:uid="{A884A10D-6B47-4A3D-A226-12BD576A480A}"/>
    <cellStyle name="Migliaia 18 3 2 6 4" xfId="41330" xr:uid="{D5648A08-58BD-46AE-B4D4-E978604D71FD}"/>
    <cellStyle name="Migliaia 18 3 2 6 5" xfId="24389" xr:uid="{2EAAC100-561E-4F2B-8E0D-2FFDEA3283B5}"/>
    <cellStyle name="Migliaia 18 3 2 7" xfId="24387" xr:uid="{C6B1DB9C-3512-4C0B-9D21-D284D050D38A}"/>
    <cellStyle name="Migliaia 18 3 2 8" xfId="7346" xr:uid="{A1629FEF-98C8-492F-9432-07D41357A911}"/>
    <cellStyle name="Migliaia 18 3 3" xfId="3248" xr:uid="{430B9F98-81F4-4DE4-9E7B-CC42C9FA1FB0}"/>
    <cellStyle name="Migliaia 18 3 3 10" xfId="7345" xr:uid="{5C48C6CB-03C6-4540-87D6-2053E4996974}"/>
    <cellStyle name="Migliaia 18 3 3 2" xfId="4974" xr:uid="{156C09C0-292F-4410-80BE-6124317C1B1A}"/>
    <cellStyle name="Migliaia 18 3 3 2 2" xfId="9900" xr:uid="{91BCD279-3937-46BD-8416-082888BCB9AE}"/>
    <cellStyle name="Migliaia 18 3 3 2 2 2" xfId="38681" xr:uid="{DBE520A1-2B12-40C6-994D-EAA1C3241550}"/>
    <cellStyle name="Migliaia 18 3 3 2 2 3" xfId="43983" xr:uid="{C85E1CAA-6091-4212-9EF6-0B36DE896FEA}"/>
    <cellStyle name="Migliaia 18 3 3 2 3" xfId="18180" xr:uid="{C27DC687-03DB-431E-9379-3EF588A7D317}"/>
    <cellStyle name="Migliaia 18 3 3 2 4" xfId="19995" xr:uid="{EDE35325-1F09-467D-807D-47145F5EAEF2}"/>
    <cellStyle name="Migliaia 18 3 3 2 4 2" xfId="41332" xr:uid="{C2AF6FC2-D245-48D3-BC12-D782EB5CD9AD}"/>
    <cellStyle name="Migliaia 18 3 3 2 5" xfId="16144" xr:uid="{0F50E41C-AA2D-4D80-BDE3-6059D6591260}"/>
    <cellStyle name="Migliaia 18 3 3 2 6" xfId="8535" xr:uid="{9E482B97-BA7F-43B3-B64E-5A93E568DC3A}"/>
    <cellStyle name="Migliaia 18 3 3 3" xfId="6189" xr:uid="{7B963DDB-A511-4C50-8C4D-F52EA317543F}"/>
    <cellStyle name="Migliaia 18 3 3 3 2" xfId="33281" xr:uid="{F8F5265C-7DA8-4CE7-9FF9-7F19D20CC46E}"/>
    <cellStyle name="Migliaia 18 3 3 3 2 2" xfId="38682" xr:uid="{B1CCBD7C-B29D-4E68-AF80-E238D758B1D4}"/>
    <cellStyle name="Migliaia 18 3 3 3 2 3" xfId="43984" xr:uid="{F07DE647-91A1-4A65-A02A-2899186D641C}"/>
    <cellStyle name="Migliaia 18 3 3 3 3" xfId="36184" xr:uid="{A46B7CFE-0336-421A-8825-C9A48F1FB953}"/>
    <cellStyle name="Migliaia 18 3 3 3 4" xfId="41333" xr:uid="{DE337EE4-B085-425F-93BB-48C4D29E12EE}"/>
    <cellStyle name="Migliaia 18 3 3 3 5" xfId="9663" xr:uid="{68D9AF52-E7DD-44E5-9591-B24482213A96}"/>
    <cellStyle name="Migliaia 18 3 3 4" xfId="19994" xr:uid="{37FFB616-62DC-4AB2-A30A-56B4CC14DB94}"/>
    <cellStyle name="Migliaia 18 3 3 4 2" xfId="33282" xr:uid="{DE1FAB86-A99E-4926-AA4C-EDCF8A529EFB}"/>
    <cellStyle name="Migliaia 18 3 3 4 2 2" xfId="38683" xr:uid="{AB0A081A-4B92-4CE8-834F-CF68E3E0F28B}"/>
    <cellStyle name="Migliaia 18 3 3 4 2 3" xfId="43985" xr:uid="{D042C98A-13B3-4386-9A3A-CE538118A025}"/>
    <cellStyle name="Migliaia 18 3 3 4 3" xfId="36185" xr:uid="{9E670F0A-1425-45A4-A0D9-9550663FB2A8}"/>
    <cellStyle name="Migliaia 18 3 3 4 4" xfId="41334" xr:uid="{8079C364-21DE-43E7-8F88-CF2458C5E6F0}"/>
    <cellStyle name="Migliaia 18 3 3 4 5" xfId="24390" xr:uid="{84AD111A-149D-4D22-9B2C-5767480BB02F}"/>
    <cellStyle name="Migliaia 18 3 3 5" xfId="24391" xr:uid="{4951700B-40C2-4493-B584-0AD38B67172D}"/>
    <cellStyle name="Migliaia 18 3 3 5 2" xfId="33283" xr:uid="{0EA71F77-067F-4D77-83A4-41059CBF6441}"/>
    <cellStyle name="Migliaia 18 3 3 5 2 2" xfId="38684" xr:uid="{E1C8B9D9-AFFE-4689-B032-630E32DEADEF}"/>
    <cellStyle name="Migliaia 18 3 3 5 2 3" xfId="43986" xr:uid="{20BEE44F-42C5-4B10-A1ED-0D8EA7B41D68}"/>
    <cellStyle name="Migliaia 18 3 3 5 3" xfId="36186" xr:uid="{533E9D5B-66A7-4A28-B92D-71E2FA2B57AF}"/>
    <cellStyle name="Migliaia 18 3 3 5 4" xfId="41335" xr:uid="{3B7F4615-9969-4F10-95E1-D2D0D6A976CC}"/>
    <cellStyle name="Migliaia 18 3 3 6" xfId="33280" xr:uid="{2877E676-48DE-43B5-B7B4-F995349CF5AC}"/>
    <cellStyle name="Migliaia 18 3 3 6 2" xfId="38680" xr:uid="{38E98E1B-65FF-41A2-B067-05862A14C40B}"/>
    <cellStyle name="Migliaia 18 3 3 6 3" xfId="43982" xr:uid="{AF05C728-3C87-45D0-9383-64B1463B7A39}"/>
    <cellStyle name="Migliaia 18 3 3 7" xfId="36183" xr:uid="{2BF6BA0E-9B7B-410F-B281-F901EB750583}"/>
    <cellStyle name="Migliaia 18 3 3 8" xfId="41331" xr:uid="{3297A982-DC62-4EF5-B04E-5DB455225BD9}"/>
    <cellStyle name="Migliaia 18 3 3 9" xfId="16143" xr:uid="{7B37D553-6F14-41C4-B161-1A3C144BD800}"/>
    <cellStyle name="Migliaia 18 3 4" xfId="3249" xr:uid="{F5F6F761-2D0E-4D86-8F87-37956FAF3AA6}"/>
    <cellStyle name="Migliaia 18 3 4 2" xfId="4975" xr:uid="{156AFBDD-1C9B-4CE9-B4D4-E8A357EDF98D}"/>
    <cellStyle name="Migliaia 18 3 4 2 2" xfId="14432" xr:uid="{D0DE9AD0-CC1E-4C61-8EE0-CB67E69B6909}"/>
    <cellStyle name="Migliaia 18 3 4 2 3" xfId="18044" xr:uid="{5007053C-9401-4741-86AC-E95E9BAA32F1}"/>
    <cellStyle name="Migliaia 18 3 4 2 4" xfId="19997" xr:uid="{79DCA7D9-CF90-4C8B-AEAD-B3EDE5CA40F9}"/>
    <cellStyle name="Migliaia 18 3 4 2 5" xfId="32318" xr:uid="{0A2B3F01-919A-45F0-B1B8-80B69AB2E964}"/>
    <cellStyle name="Migliaia 18 3 4 2 6" xfId="16146" xr:uid="{2A371200-7ED6-453A-9B7B-A28D548AF661}"/>
    <cellStyle name="Migliaia 18 3 4 2 7" xfId="8855" xr:uid="{86B6569F-1F56-48E0-8621-68F5459948D5}"/>
    <cellStyle name="Migliaia 18 3 4 3" xfId="6190" xr:uid="{260D90DD-FD82-4E5D-83EA-C12406F7F007}"/>
    <cellStyle name="Migliaia 18 3 4 3 2" xfId="35186" xr:uid="{FC92268E-73FF-4A4F-AF5A-B63352BDF687}"/>
    <cellStyle name="Migliaia 18 3 4 3 2 2" xfId="40344" xr:uid="{A1C2D0A8-802F-4FAB-B8E1-900FE9F0A9EF}"/>
    <cellStyle name="Migliaia 18 3 4 3 2 3" xfId="45646" xr:uid="{AAB7558C-8A2C-4593-B3C7-8D8916493ED9}"/>
    <cellStyle name="Migliaia 18 3 4 3 3" xfId="37693" xr:uid="{2165DD4A-83BE-4A2E-A85E-ABDB7A0E2898}"/>
    <cellStyle name="Migliaia 18 3 4 3 4" xfId="42995" xr:uid="{0EC0C5B5-8B8A-4CEB-823A-EBA072679CB0}"/>
    <cellStyle name="Migliaia 18 3 4 3 5" xfId="13680" xr:uid="{4DA67D68-20E5-4C19-83A4-30D6AE21CDE6}"/>
    <cellStyle name="Migliaia 18 3 4 4" xfId="19996" xr:uid="{A77675EF-4DB9-4271-AEC2-A51E3E1996B2}"/>
    <cellStyle name="Migliaia 18 3 4 4 2" xfId="38685" xr:uid="{A368F075-79B7-4890-AFD8-C763840DFBD9}"/>
    <cellStyle name="Migliaia 18 3 4 4 3" xfId="43987" xr:uid="{2B8A67CF-B9AC-4B09-8861-3293CE25D9D4}"/>
    <cellStyle name="Migliaia 18 3 4 4 4" xfId="33284" xr:uid="{F733BED8-9C5B-431C-8DA1-2A2C9B682001}"/>
    <cellStyle name="Migliaia 18 3 4 5" xfId="36187" xr:uid="{70D1D39D-88FE-4AC2-9106-39176744AD20}"/>
    <cellStyle name="Migliaia 18 3 4 6" xfId="41336" xr:uid="{B751D560-248C-4976-A1F8-094ED407E59D}"/>
    <cellStyle name="Migliaia 18 3 4 7" xfId="16145" xr:uid="{E664C4C6-F13F-4D97-989C-19DEF0A97374}"/>
    <cellStyle name="Migliaia 18 3 4 8" xfId="7665" xr:uid="{BF9A5024-504A-4A4A-9011-AC8D6C3CDD01}"/>
    <cellStyle name="Migliaia 18 3 5" xfId="3250" xr:uid="{D5FAE978-7003-4C46-A043-FCC3D4781EC9}"/>
    <cellStyle name="Migliaia 18 3 5 2" xfId="4976" xr:uid="{3E5E59C9-1C93-4DFF-82B8-D71C12297645}"/>
    <cellStyle name="Migliaia 18 3 5 2 2" xfId="35187" xr:uid="{2529F158-71D4-4C48-B533-2D90E24677AC}"/>
    <cellStyle name="Migliaia 18 3 5 2 2 2" xfId="40345" xr:uid="{DB4D5E1F-5308-4561-96B2-AB8D6D7415CA}"/>
    <cellStyle name="Migliaia 18 3 5 2 2 3" xfId="45647" xr:uid="{FAE84243-E3A5-437F-BEFB-18001616F148}"/>
    <cellStyle name="Migliaia 18 3 5 2 3" xfId="37694" xr:uid="{415C2A3B-C2DF-42B6-852F-BEC3FAC42D98}"/>
    <cellStyle name="Migliaia 18 3 5 2 4" xfId="42996" xr:uid="{0050AE0A-31EC-4378-9568-983228942821}"/>
    <cellStyle name="Migliaia 18 3 5 2 5" xfId="14207" xr:uid="{8AAF2B73-0E5C-4236-B967-73BB816E00C7}"/>
    <cellStyle name="Migliaia 18 3 5 3" xfId="6191" xr:uid="{79ACBB37-7CC4-4D6C-B59D-437DF2CFF59E}"/>
    <cellStyle name="Migliaia 18 3 5 3 2" xfId="38686" xr:uid="{F9FF17A5-F0BF-4C2B-B1B1-801237090AD6}"/>
    <cellStyle name="Migliaia 18 3 5 3 3" xfId="43988" xr:uid="{5030830B-DAA0-4180-AF8E-40337FB4BE34}"/>
    <cellStyle name="Migliaia 18 3 5 3 4" xfId="33285" xr:uid="{80409918-F10C-400B-8190-80DAD98A1F1B}"/>
    <cellStyle name="Migliaia 18 3 5 3 5" xfId="19998" xr:uid="{F3F13EC2-046B-4BA6-92A5-337846FB045B}"/>
    <cellStyle name="Migliaia 18 3 5 4" xfId="36188" xr:uid="{5B00A7EB-E3F6-492E-B8E7-9799F9A0BA41}"/>
    <cellStyle name="Migliaia 18 3 5 5" xfId="41337" xr:uid="{51562B16-CB99-4E2A-B98B-36BDB31EDA7A}"/>
    <cellStyle name="Migliaia 18 3 5 6" xfId="16147" xr:uid="{EAE26CB2-B575-4A58-8C7B-32450FF8C49B}"/>
    <cellStyle name="Migliaia 18 3 5 7" xfId="8269" xr:uid="{864908D9-F661-4492-9233-955E283107D6}"/>
    <cellStyle name="Migliaia 18 3 6" xfId="4971" xr:uid="{A251C484-39B1-480B-A25D-02ABBC4FAFA7}"/>
    <cellStyle name="Migliaia 18 3 6 2" xfId="13910" xr:uid="{FBE68077-3505-4F04-B374-F4265EC5816E}"/>
    <cellStyle name="Migliaia 18 3 6 2 2" xfId="38687" xr:uid="{30A580E2-CB6E-43AE-BF48-BB85BF2D5B1E}"/>
    <cellStyle name="Migliaia 18 3 6 2 3" xfId="43989" xr:uid="{DAC9447B-5494-4BFA-AB19-78E12A381159}"/>
    <cellStyle name="Migliaia 18 3 6 3" xfId="18721" xr:uid="{8D2F1551-EFE6-4905-9F1B-249B5BDC5A41}"/>
    <cellStyle name="Migliaia 18 3 6 4" xfId="19999" xr:uid="{EFB88A77-A737-48B5-A698-19D60852ED7D}"/>
    <cellStyle name="Migliaia 18 3 6 4 2" xfId="41338" xr:uid="{4F3D91CD-6BB7-43C6-BF9E-A9402868C722}"/>
    <cellStyle name="Migliaia 18 3 6 5" xfId="16148" xr:uid="{DEEC6800-FA44-41E0-B14D-E146B1BF3D42}"/>
    <cellStyle name="Migliaia 18 3 6 6" xfId="7857" xr:uid="{EF6231B3-6866-40B8-A940-E877448162DC}"/>
    <cellStyle name="Migliaia 18 3 7" xfId="6186" xr:uid="{86055873-FA63-4967-A37C-5BC95402A521}"/>
    <cellStyle name="Migliaia 18 3 7 2" xfId="33286" xr:uid="{793D35A3-80BB-402E-99F7-BC7E116A8286}"/>
    <cellStyle name="Migliaia 18 3 7 2 2" xfId="38688" xr:uid="{5C432C09-5139-43DE-951A-213D61845012}"/>
    <cellStyle name="Migliaia 18 3 7 2 3" xfId="43990" xr:uid="{10854C25-8965-4E42-BECF-284410FF14FC}"/>
    <cellStyle name="Migliaia 18 3 7 3" xfId="36189" xr:uid="{6B58DF25-66C7-4F00-9B59-6833322ABF66}"/>
    <cellStyle name="Migliaia 18 3 7 4" xfId="41339" xr:uid="{FCEA5F38-F740-4F14-89F2-29A7CAAEDC3C}"/>
    <cellStyle name="Migliaia 18 3 7 5" xfId="11170" xr:uid="{BF60A7EB-EC19-4FA3-A184-DD13D545862E}"/>
    <cellStyle name="Migliaia 18 3 8" xfId="3245" xr:uid="{C18AA86D-3A41-48BC-9780-FA515A7B1EDF}"/>
    <cellStyle name="Migliaia 18 3 8 2" xfId="33287" xr:uid="{C7378154-5640-4B66-B951-456D3DBAAB33}"/>
    <cellStyle name="Migliaia 18 3 8 2 2" xfId="38689" xr:uid="{A104C502-C8A3-49BE-86AD-D81CC40D8A48}"/>
    <cellStyle name="Migliaia 18 3 8 2 3" xfId="43991" xr:uid="{C03E6606-E740-4A6E-9A13-F4E3D877E74F}"/>
    <cellStyle name="Migliaia 18 3 8 3" xfId="36190" xr:uid="{8E323BBC-C397-4340-BF22-9604D8A16C68}"/>
    <cellStyle name="Migliaia 18 3 8 4" xfId="41340" xr:uid="{D532BE1D-D25E-444C-AD15-72E3C515719E}"/>
    <cellStyle name="Migliaia 18 3 8 5" xfId="24392" xr:uid="{11FD7864-56A0-4CC7-9FD0-1F17AFD53A63}"/>
    <cellStyle name="Migliaia 18 3 8 6" xfId="17400" xr:uid="{0BF0BCBC-2652-44F9-B836-DA8333D288B0}"/>
    <cellStyle name="Migliaia 18 3 9" xfId="19990" xr:uid="{E05CDBB1-A375-48F1-8DCF-229351CD9FE0}"/>
    <cellStyle name="Migliaia 18 4" xfId="1700" xr:uid="{00000000-0005-0000-0000-00000F030000}"/>
    <cellStyle name="Migliaia 18 4 2" xfId="1701" xr:uid="{00000000-0005-0000-0000-000010030000}"/>
    <cellStyle name="Migliaia 18 4 2 2" xfId="4978" xr:uid="{CB6C5291-2053-48BC-B6E4-9E3E503A7291}"/>
    <cellStyle name="Migliaia 18 4 2 2 2" xfId="33288" xr:uid="{6652A917-6E8D-4D19-A472-0AC3A923B30C}"/>
    <cellStyle name="Migliaia 18 4 2 2 2 2" xfId="38690" xr:uid="{8ADBF6D3-E9AA-4239-B0CF-F46A5451550A}"/>
    <cellStyle name="Migliaia 18 4 2 2 2 3" xfId="43992" xr:uid="{05AD4C3E-F368-4FA8-AB3E-481110AD0465}"/>
    <cellStyle name="Migliaia 18 4 2 2 3" xfId="36191" xr:uid="{C4009F50-1EE3-4004-925E-0A0E4B51E905}"/>
    <cellStyle name="Migliaia 18 4 2 2 4" xfId="41341" xr:uid="{C639436F-CE8C-4BC9-8AF5-E873F420B60B}"/>
    <cellStyle name="Migliaia 18 4 2 2 5" xfId="9126" xr:uid="{41F88C5D-5A84-4F00-B1FA-BC56475A8992}"/>
    <cellStyle name="Migliaia 18 4 2 3" xfId="3252" xr:uid="{C25EADA2-F88D-4E27-9E3E-A9381DE8B3AA}"/>
    <cellStyle name="Migliaia 18 4 2 3 2" xfId="33289" xr:uid="{3954B6AC-47A9-48B1-9976-5AC692FD979B}"/>
    <cellStyle name="Migliaia 18 4 2 3 2 2" xfId="38691" xr:uid="{187D9318-177E-4A84-AD09-4935FB0529D5}"/>
    <cellStyle name="Migliaia 18 4 2 3 2 3" xfId="43993" xr:uid="{96F0A4E4-2A52-4AC7-8371-AB07EAE8CFA6}"/>
    <cellStyle name="Migliaia 18 4 2 3 3" xfId="36192" xr:uid="{5BCA4BBE-CF45-4012-8B99-B8BADFD1CC2E}"/>
    <cellStyle name="Migliaia 18 4 2 3 4" xfId="41342" xr:uid="{2BA2DA17-26A4-4E39-98C6-192796CB8759}"/>
    <cellStyle name="Migliaia 18 4 2 3 5" xfId="11921" xr:uid="{69596C02-9D77-4D78-A2A8-E034B892A291}"/>
    <cellStyle name="Migliaia 18 4 2 4" xfId="11274" xr:uid="{4F68CEA1-CC97-4706-B51C-B535A7C62315}"/>
    <cellStyle name="Migliaia 18 4 2 5" xfId="10778" xr:uid="{9B03D567-7DC9-4BB7-906A-C0DA7E90B5E2}"/>
    <cellStyle name="Migliaia 18 4 2 5 2" xfId="21413" xr:uid="{F5A9518C-6EE2-426F-B16E-5802EA342AEC}"/>
    <cellStyle name="Migliaia 18 4 2 5 3" xfId="46218" xr:uid="{59FC0CD8-3356-4CA8-AD77-D4AD6C9959A4}"/>
    <cellStyle name="Migliaia 18 4 2 5 4" xfId="50428" xr:uid="{FB95E301-6A56-4421-B06C-F01BCB830EE8}"/>
    <cellStyle name="Migliaia 18 4 2 5 5" xfId="53444" xr:uid="{9A85C897-3D01-4358-884A-AACC1522C4DD}"/>
    <cellStyle name="Migliaia 18 4 2 6" xfId="20001" xr:uid="{30CF0E08-3D1E-43AA-95EF-B57F9549716F}"/>
    <cellStyle name="Migliaia 18 4 2 7" xfId="24394" xr:uid="{DB0C426F-7752-480E-98DB-30E88FD6ECA5}"/>
    <cellStyle name="Migliaia 18 4 2 8" xfId="8537" xr:uid="{4049AE9B-6944-46A9-B1FB-97558265EFAF}"/>
    <cellStyle name="Migliaia 18 4 3" xfId="4977" xr:uid="{C642B941-0DA9-46F6-9D7C-81EFB3C2EE7B}"/>
    <cellStyle name="Migliaia 18 4 3 2" xfId="18181" xr:uid="{B8B08D11-1095-40ED-8771-8CFD207F0730}"/>
    <cellStyle name="Migliaia 18 4 3 2 2" xfId="38692" xr:uid="{D98654C8-82E1-428E-BFA3-1DEDA133DAB7}"/>
    <cellStyle name="Migliaia 18 4 3 2 3" xfId="43994" xr:uid="{65F7A44E-25CB-4E56-896F-A8316F57AFFA}"/>
    <cellStyle name="Migliaia 18 4 3 3" xfId="36193" xr:uid="{0B9BEB65-7A7E-4F7F-93BB-BD087D781920}"/>
    <cellStyle name="Migliaia 18 4 3 4" xfId="41343" xr:uid="{05F50C14-E06C-49EF-AD9B-B9CE480CDD31}"/>
    <cellStyle name="Migliaia 18 4 3 5" xfId="17398" xr:uid="{17687B9D-3236-4ABC-B87F-EA3FADCD39BC}"/>
    <cellStyle name="Migliaia 18 4 3 6" xfId="9127" xr:uid="{F1F32696-5EC2-416B-94F3-56371523F735}"/>
    <cellStyle name="Migliaia 18 4 4" xfId="6192" xr:uid="{E6C8AD2C-FF1B-455F-9EFC-38183A76351F}"/>
    <cellStyle name="Migliaia 18 4 4 2" xfId="33290" xr:uid="{2365273E-A21A-4760-A909-1E10852C8846}"/>
    <cellStyle name="Migliaia 18 4 4 2 2" xfId="38693" xr:uid="{245A66CC-9C1B-4E5F-BA8E-E22EC796B105}"/>
    <cellStyle name="Migliaia 18 4 4 2 3" xfId="43995" xr:uid="{B279A33D-4657-4D47-944B-8383B69B744A}"/>
    <cellStyle name="Migliaia 18 4 4 3" xfId="36194" xr:uid="{4AEBB073-5F74-498A-B454-9F4430E74F9F}"/>
    <cellStyle name="Migliaia 18 4 4 4" xfId="41344" xr:uid="{2CBBC549-6E82-4E12-A93F-FE90923717C5}"/>
    <cellStyle name="Migliaia 18 4 4 5" xfId="11922" xr:uid="{5761EB8D-5CB1-4DEA-AE48-F6FFA3108812}"/>
    <cellStyle name="Migliaia 18 4 5" xfId="3251" xr:uid="{A7158CD3-8D23-4D72-93AF-9956B8CB27DE}"/>
    <cellStyle name="Migliaia 18 4 5 2" xfId="33291" xr:uid="{C1CB386F-8D88-4087-9D2F-CF96ADAE96EA}"/>
    <cellStyle name="Migliaia 18 4 5 2 2" xfId="38694" xr:uid="{35FDE9D8-F432-42DB-8C08-FD240137D1BE}"/>
    <cellStyle name="Migliaia 18 4 5 2 3" xfId="43996" xr:uid="{98BE0F5D-1E5F-4F4E-9685-5BCDD6C95076}"/>
    <cellStyle name="Migliaia 18 4 5 3" xfId="36195" xr:uid="{FC9C1A0A-0855-433E-BB0F-DD967E2FD1B1}"/>
    <cellStyle name="Migliaia 18 4 5 4" xfId="41345" xr:uid="{6741FC72-5A98-4F13-B19A-F27C4D4DFA9A}"/>
    <cellStyle name="Migliaia 18 4 5 5" xfId="11273" xr:uid="{8B8946A6-AC75-4C2B-8ECB-BFF4D8824766}"/>
    <cellStyle name="Migliaia 18 4 6" xfId="10777" xr:uid="{655FB8CB-F257-4259-BCD4-39CB791CF61C}"/>
    <cellStyle name="Migliaia 18 4 6 2" xfId="21412" xr:uid="{B8265A67-1F1A-4AE6-8778-9CC146B5165D}"/>
    <cellStyle name="Migliaia 18 4 6 2 2" xfId="38695" xr:uid="{F36D4736-CAA3-424C-B178-EBB567303379}"/>
    <cellStyle name="Migliaia 18 4 6 2 3" xfId="43997" xr:uid="{1D74F439-B913-4563-9E78-BE96600A99F8}"/>
    <cellStyle name="Migliaia 18 4 6 2 4" xfId="33292" xr:uid="{947D8056-B786-48F4-9929-63A64A37F907}"/>
    <cellStyle name="Migliaia 18 4 6 3" xfId="36196" xr:uid="{3916CF03-08DD-4F3F-8513-007D061A37BF}"/>
    <cellStyle name="Migliaia 18 4 6 4" xfId="41346" xr:uid="{CE3BC043-3294-47B8-B4E3-FFA850C26192}"/>
    <cellStyle name="Migliaia 18 4 6 5" xfId="24395" xr:uid="{EF1CAD11-BE77-4402-BD10-188ED7C51A0A}"/>
    <cellStyle name="Migliaia 18 4 6 6" xfId="47302" xr:uid="{9CF971EB-CD00-40E7-9E0A-E460A4D70DBC}"/>
    <cellStyle name="Migliaia 18 4 6 7" xfId="50427" xr:uid="{FE41136D-B87D-463B-B1D1-94BB8F3F58BD}"/>
    <cellStyle name="Migliaia 18 4 6 8" xfId="53443" xr:uid="{7659857D-FA3E-4E91-A98C-EB23B0377ECA}"/>
    <cellStyle name="Migliaia 18 4 7" xfId="20000" xr:uid="{99FFC4DB-1D65-4029-9FC3-A35B4C7C40B7}"/>
    <cellStyle name="Migliaia 18 4 7 2" xfId="33293" xr:uid="{5A166ED8-C0E9-4292-B3C3-20C77E35C078}"/>
    <cellStyle name="Migliaia 18 4 7 2 2" xfId="38696" xr:uid="{AA2ACEFF-BDA0-4809-ADBD-2F21B5DB5807}"/>
    <cellStyle name="Migliaia 18 4 7 2 3" xfId="43998" xr:uid="{9ABCFE30-847A-4D1F-92BD-ED684DE431DE}"/>
    <cellStyle name="Migliaia 18 4 7 3" xfId="36197" xr:uid="{7DC9BFED-F91E-4B3D-9AA2-FEB484BF4925}"/>
    <cellStyle name="Migliaia 18 4 7 4" xfId="41347" xr:uid="{C46B2583-8619-4679-943B-8C2886AC00E7}"/>
    <cellStyle name="Migliaia 18 4 7 5" xfId="24396" xr:uid="{98EDC7CC-8E73-4A29-8BD6-21507DF4F0B1}"/>
    <cellStyle name="Migliaia 18 4 8" xfId="24393" xr:uid="{FB6A0F4B-8D9D-4324-9C9C-A6415DBD4E7A}"/>
    <cellStyle name="Migliaia 18 4 9" xfId="7347" xr:uid="{5A147507-4BD4-4D51-B195-52B05AA8881A}"/>
    <cellStyle name="Migliaia 18 5" xfId="1702" xr:uid="{00000000-0005-0000-0000-000011030000}"/>
    <cellStyle name="Migliaia 18 5 2" xfId="4979" xr:uid="{E297393A-EC80-4BB4-853A-F766CA6B4C3A}"/>
    <cellStyle name="Migliaia 18 5 2 2" xfId="18386" xr:uid="{AB51F75D-AB03-4893-B0F0-BBE7A33C9DA9}"/>
    <cellStyle name="Migliaia 18 5 2 2 2" xfId="38697" xr:uid="{A67B46C6-2351-4EBA-B9CA-ADC5CB554369}"/>
    <cellStyle name="Migliaia 18 5 2 2 3" xfId="43999" xr:uid="{DF5F43C4-BDF2-471F-BE77-690C112B83E0}"/>
    <cellStyle name="Migliaia 18 5 2 3" xfId="20003" xr:uid="{3F0002BA-05AD-4377-B69C-2D4BA1880AA3}"/>
    <cellStyle name="Migliaia 18 5 2 3 2" xfId="36198" xr:uid="{3E26E249-E078-4F5A-B0D9-A089E76ED8E0}"/>
    <cellStyle name="Migliaia 18 5 2 4" xfId="41348" xr:uid="{87ADCE75-71BA-4BA3-B780-2B5107EE53C4}"/>
    <cellStyle name="Migliaia 18 5 2 5" xfId="16149" xr:uid="{50DDA30C-4924-484B-B67D-DA45157593C8}"/>
    <cellStyle name="Migliaia 18 5 2 6" xfId="8538" xr:uid="{3B1AE94A-ED18-44E2-A136-0BD33FA96829}"/>
    <cellStyle name="Migliaia 18 5 3" xfId="6193" xr:uid="{394108E8-E9BC-47C0-BFEC-6A27180EC848}"/>
    <cellStyle name="Migliaia 18 5 3 2" xfId="33294" xr:uid="{F4EBB68E-286C-4D7F-91B6-48718CBE046F}"/>
    <cellStyle name="Migliaia 18 5 3 2 2" xfId="38698" xr:uid="{0CC9DA3A-4101-4F26-AECB-6CF65D6B8083}"/>
    <cellStyle name="Migliaia 18 5 3 2 3" xfId="44000" xr:uid="{12F22B00-F94A-4CBB-A019-8F97891CA101}"/>
    <cellStyle name="Migliaia 18 5 3 3" xfId="36199" xr:uid="{E4589A08-008D-408A-B3FE-13DD3CA534B5}"/>
    <cellStyle name="Migliaia 18 5 3 4" xfId="41349" xr:uid="{19DFCF1B-86E4-47F7-9B11-84F97E9A5DB3}"/>
    <cellStyle name="Migliaia 18 5 3 5" xfId="11275" xr:uid="{79D33FF0-71BE-48AD-B4C4-5EA664E8E3E8}"/>
    <cellStyle name="Migliaia 18 5 4" xfId="3253" xr:uid="{74D5BC7B-ABC9-4CB8-B50B-B541E1D07398}"/>
    <cellStyle name="Migliaia 18 5 4 2" xfId="21414" xr:uid="{DFDA2728-A687-46C7-92AD-B9F3A153846D}"/>
    <cellStyle name="Migliaia 18 5 4 2 2" xfId="38699" xr:uid="{D95811D3-DAD0-4208-BFC5-189C3C944794}"/>
    <cellStyle name="Migliaia 18 5 4 2 3" xfId="44001" xr:uid="{D1E38AB0-C210-469F-A4C3-50998D1464D0}"/>
    <cellStyle name="Migliaia 18 5 4 2 4" xfId="33295" xr:uid="{8441F492-4988-4E2B-A541-3B717565DF16}"/>
    <cellStyle name="Migliaia 18 5 4 3" xfId="36200" xr:uid="{78D3DD12-E2B3-4CF2-B0A0-FA72A29C566C}"/>
    <cellStyle name="Migliaia 18 5 4 4" xfId="41350" xr:uid="{83567279-CF99-4250-90FB-EE767427DAFE}"/>
    <cellStyle name="Migliaia 18 5 4 5" xfId="24398" xr:uid="{C60EEC17-A325-4909-B3AF-92C28B28950F}"/>
    <cellStyle name="Migliaia 18 5 4 6" xfId="47895" xr:uid="{1B80AC08-FF37-4FA3-8EBE-A007712520E5}"/>
    <cellStyle name="Migliaia 18 5 4 7" xfId="50429" xr:uid="{0D1F57AD-BF70-4E2C-8574-F46A42A020C8}"/>
    <cellStyle name="Migliaia 18 5 4 8" xfId="53445" xr:uid="{3DC8128A-75C3-438B-8F91-B63BBAD341DC}"/>
    <cellStyle name="Migliaia 18 5 4 9" xfId="10779" xr:uid="{21B3D448-C28D-40C2-AB0F-4C8ACB68B283}"/>
    <cellStyle name="Migliaia 18 5 5" xfId="20002" xr:uid="{996F1C14-3653-4EF9-BD55-510883316C3A}"/>
    <cellStyle name="Migliaia 18 5 5 2" xfId="33296" xr:uid="{1B13C5B4-BC0F-42C4-902C-610B09C7530E}"/>
    <cellStyle name="Migliaia 18 5 5 2 2" xfId="38700" xr:uid="{9EB763E0-2785-4BDA-A802-12CF673CAD61}"/>
    <cellStyle name="Migliaia 18 5 5 2 3" xfId="44002" xr:uid="{8F31B599-EFD3-4075-AB62-B9B253C5BABC}"/>
    <cellStyle name="Migliaia 18 5 5 3" xfId="36201" xr:uid="{793F8D02-C9B5-488D-AFA8-08ABCC6C1A85}"/>
    <cellStyle name="Migliaia 18 5 5 4" xfId="41351" xr:uid="{8E98A27F-AE5C-4EED-A0FC-486FAB2D24FD}"/>
    <cellStyle name="Migliaia 18 5 5 5" xfId="24399" xr:uid="{0C9EFD97-B940-44FF-AA4A-D9A21AB75505}"/>
    <cellStyle name="Migliaia 18 5 6" xfId="24400" xr:uid="{4B9DAC7A-93C7-4B2B-AA59-3383BCB1EED0}"/>
    <cellStyle name="Migliaia 18 5 6 2" xfId="33297" xr:uid="{82E63DDD-D5A0-44A6-923B-31C202CEBCBB}"/>
    <cellStyle name="Migliaia 18 5 6 2 2" xfId="38701" xr:uid="{630FAC23-1692-4F57-90D1-245C6B6A66D6}"/>
    <cellStyle name="Migliaia 18 5 6 2 3" xfId="44003" xr:uid="{A4FA18E1-FB06-4DD4-BD2C-DF4F8DE21389}"/>
    <cellStyle name="Migliaia 18 5 6 3" xfId="36202" xr:uid="{8809781D-3F11-42F2-AFE6-FCA3A0320309}"/>
    <cellStyle name="Migliaia 18 5 6 4" xfId="41352" xr:uid="{B47160B1-C5CF-44FC-9587-8AD72D4E994C}"/>
    <cellStyle name="Migliaia 18 5 7" xfId="24397" xr:uid="{A4FF38FE-E0D1-484C-9187-5205415F264B}"/>
    <cellStyle name="Migliaia 18 5 8" xfId="7348" xr:uid="{FC92DDCB-EB0A-4B60-AB7F-4A26DBE22052}"/>
    <cellStyle name="Migliaia 18 6" xfId="3254" xr:uid="{3498BE42-B814-4C83-B7FD-9D05ED71684E}"/>
    <cellStyle name="Migliaia 18 6 2" xfId="4980" xr:uid="{4A83D9D6-647E-4AE2-AE6D-B898F24326A4}"/>
    <cellStyle name="Migliaia 18 6 2 2" xfId="9899" xr:uid="{274AA407-8B03-4352-9B8D-E1A785A368C8}"/>
    <cellStyle name="Migliaia 18 6 2 3" xfId="18671" xr:uid="{643953AC-64FA-4E9C-A527-B8B233AE51ED}"/>
    <cellStyle name="Migliaia 18 6 2 4" xfId="20005" xr:uid="{0C6C71C5-1136-4BB9-9711-93FFC38D6449}"/>
    <cellStyle name="Migliaia 18 6 2 5" xfId="32319" xr:uid="{71F1A15A-52A8-4B9C-BB3A-8F5FFEBEB3A8}"/>
    <cellStyle name="Migliaia 18 6 2 6" xfId="16151" xr:uid="{87BB119A-FC39-4918-832B-1E61AD93CA27}"/>
    <cellStyle name="Migliaia 18 6 2 7" xfId="8533" xr:uid="{1B1D2710-74F9-47CA-BD13-09A43E9146D3}"/>
    <cellStyle name="Migliaia 18 6 3" xfId="6194" xr:uid="{595170DD-7BCA-4302-9C2B-23DE8AA19F08}"/>
    <cellStyle name="Migliaia 18 6 3 2" xfId="35188" xr:uid="{CAA1A526-3F74-4CEB-A544-7C6C37215F11}"/>
    <cellStyle name="Migliaia 18 6 3 2 2" xfId="40346" xr:uid="{F1685436-F79D-45F6-B49F-154D1AB601E8}"/>
    <cellStyle name="Migliaia 18 6 3 2 3" xfId="45648" xr:uid="{90F92983-A6E2-4700-ABF9-A1DFBF4B84D6}"/>
    <cellStyle name="Migliaia 18 6 3 3" xfId="37695" xr:uid="{09C4C73B-DD10-463D-9E35-034B1CAB27EC}"/>
    <cellStyle name="Migliaia 18 6 3 4" xfId="42997" xr:uid="{7DF28D8B-D05C-4CC3-BCC1-55745ED5C8AC}"/>
    <cellStyle name="Migliaia 18 6 3 5" xfId="9662" xr:uid="{36FBFE96-5CDF-4731-913A-01AE1FEC11B9}"/>
    <cellStyle name="Migliaia 18 6 4" xfId="20004" xr:uid="{6DBCDE9A-B595-425C-9D5C-11335501709A}"/>
    <cellStyle name="Migliaia 18 6 4 2" xfId="38702" xr:uid="{CC575593-3818-4D6C-8B94-7B0DF92EC86D}"/>
    <cellStyle name="Migliaia 18 6 4 3" xfId="44004" xr:uid="{E8063FFF-0DFF-42F3-A7C9-FCD46C4F5651}"/>
    <cellStyle name="Migliaia 18 6 4 4" xfId="33298" xr:uid="{38E0F131-2371-4790-ACF4-DB3162D03260}"/>
    <cellStyle name="Migliaia 18 6 5" xfId="36203" xr:uid="{001C1B2E-E0F1-4662-933C-C1E65B535271}"/>
    <cellStyle name="Migliaia 18 6 6" xfId="41353" xr:uid="{45785412-F610-4C5B-91D9-B18A40A79F4D}"/>
    <cellStyle name="Migliaia 18 6 7" xfId="16150" xr:uid="{EEBCDBDA-249D-4EF0-A65D-6E8826173A60}"/>
    <cellStyle name="Migliaia 18 6 8" xfId="7343" xr:uid="{2C1168BB-3E92-462C-AD8D-FB7D01355293}"/>
    <cellStyle name="Migliaia 18 7" xfId="3255" xr:uid="{206CE5AF-B63C-475E-9426-19CB5C7EF6A1}"/>
    <cellStyle name="Migliaia 18 7 2" xfId="4981" xr:uid="{657C8964-6238-4F06-A362-2B3D9DB238D6}"/>
    <cellStyle name="Migliaia 18 7 2 2" xfId="35189" xr:uid="{56653F05-7FCE-4E65-BD25-2B5C811E5471}"/>
    <cellStyle name="Migliaia 18 7 2 2 2" xfId="40347" xr:uid="{8E200BF2-7FBC-4D4C-8DF2-372294629BA0}"/>
    <cellStyle name="Migliaia 18 7 2 2 3" xfId="45649" xr:uid="{F5B18389-177E-46F3-B94E-5520F4E5FD63}"/>
    <cellStyle name="Migliaia 18 7 2 3" xfId="37696" xr:uid="{E20A15DC-99C7-483D-94DF-5A0C7EF83603}"/>
    <cellStyle name="Migliaia 18 7 2 4" xfId="42998" xr:uid="{7311C135-143D-45C3-B63B-478276160B9C}"/>
    <cellStyle name="Migliaia 18 7 2 5" xfId="14205" xr:uid="{D4C712AF-B14A-4C82-9F89-2444E7BE0B9D}"/>
    <cellStyle name="Migliaia 18 7 3" xfId="6195" xr:uid="{5AEBC77C-D365-432E-A1A8-C0E33617CA18}"/>
    <cellStyle name="Migliaia 18 7 3 2" xfId="38703" xr:uid="{52C64ADC-0763-4BD0-BD07-5A8B27522272}"/>
    <cellStyle name="Migliaia 18 7 3 3" xfId="44005" xr:uid="{09B8DD8D-1D53-4725-B415-087D12E5A910}"/>
    <cellStyle name="Migliaia 18 7 3 4" xfId="33299" xr:uid="{DE7FDAFD-0D8C-4B13-BE6F-DFD95C317997}"/>
    <cellStyle name="Migliaia 18 7 3 5" xfId="20006" xr:uid="{B2800E0F-355A-4187-9CF9-B5A3D7A4C54D}"/>
    <cellStyle name="Migliaia 18 7 4" xfId="36204" xr:uid="{0C5C988E-557B-47FF-B012-176821BEB0CA}"/>
    <cellStyle name="Migliaia 18 7 5" xfId="41354" xr:uid="{0C5A1683-E27E-4726-A118-D84229E4F267}"/>
    <cellStyle name="Migliaia 18 7 6" xfId="16152" xr:uid="{BFA2BD0C-E2D1-42F5-849E-A6A8E842811C}"/>
    <cellStyle name="Migliaia 18 7 7" xfId="8267" xr:uid="{A0042DB1-3E54-4F73-9158-17863CA41CC0}"/>
    <cellStyle name="Migliaia 18 8" xfId="3256" xr:uid="{6D1929A2-F3D2-4667-B144-AF276F38C545}"/>
    <cellStyle name="Migliaia 18 8 2" xfId="4982" xr:uid="{EDAE835E-7130-43B1-9258-0F1DF4940E4D}"/>
    <cellStyle name="Migliaia 18 8 2 2" xfId="35190" xr:uid="{66C74D1C-DD0C-47D3-935D-5BAB36C364DE}"/>
    <cellStyle name="Migliaia 18 8 2 2 2" xfId="40348" xr:uid="{3C68F9A8-0AFD-4952-A3CB-9C6D25AE1774}"/>
    <cellStyle name="Migliaia 18 8 2 2 3" xfId="45650" xr:uid="{D78BE253-5859-4D43-B58B-4851B7A5A276}"/>
    <cellStyle name="Migliaia 18 8 2 3" xfId="37697" xr:uid="{EEE10B04-D97D-46DF-9305-27B62A4A41C6}"/>
    <cellStyle name="Migliaia 18 8 2 4" xfId="42999" xr:uid="{318231D4-70DA-48B3-B4CB-9B177447002C}"/>
    <cellStyle name="Migliaia 18 8 2 5" xfId="13908" xr:uid="{67FBB53C-B260-40E3-86EA-FE65BAC72109}"/>
    <cellStyle name="Migliaia 18 8 3" xfId="6196" xr:uid="{08C5AA62-83C5-4B77-9684-48FECFC26092}"/>
    <cellStyle name="Migliaia 18 8 3 2" xfId="38704" xr:uid="{2B9E1853-B830-4394-84C8-5B18F4016B1F}"/>
    <cellStyle name="Migliaia 18 8 3 3" xfId="44006" xr:uid="{B95CF518-91FE-4C10-AC5D-E85D7589DB22}"/>
    <cellStyle name="Migliaia 18 8 3 4" xfId="33300" xr:uid="{BA95BE91-40A0-407A-956D-5A743C7A36EC}"/>
    <cellStyle name="Migliaia 18 8 3 5" xfId="20007" xr:uid="{A2BC7AA9-D569-42FD-8F2E-A39662548AEE}"/>
    <cellStyle name="Migliaia 18 8 4" xfId="36205" xr:uid="{7F3FED12-6AB2-4220-9C6A-63E38E8C6FA5}"/>
    <cellStyle name="Migliaia 18 8 5" xfId="41355" xr:uid="{BA9BE426-EB33-497E-87F4-98552B247504}"/>
    <cellStyle name="Migliaia 18 8 6" xfId="16153" xr:uid="{2DF86487-24BE-4D62-B84A-58803B357B9D}"/>
    <cellStyle name="Migliaia 18 8 7" xfId="7855" xr:uid="{DE682423-EBFC-4E05-A213-DCEE8522F1BB}"/>
    <cellStyle name="Migliaia 18 9" xfId="4967" xr:uid="{55F06D92-48AB-43F3-9B9C-87408D17C528}"/>
    <cellStyle name="Migliaia 18 9 2" xfId="33301" xr:uid="{D1D281F9-7A48-4005-BB27-E7E489446162}"/>
    <cellStyle name="Migliaia 18 9 2 2" xfId="38705" xr:uid="{D8FF94D1-D464-4AA3-9260-3686D7E62AD8}"/>
    <cellStyle name="Migliaia 18 9 2 3" xfId="44007" xr:uid="{F75C8D24-B11A-4C11-A56C-93C06BFB17FE}"/>
    <cellStyle name="Migliaia 18 9 3" xfId="36206" xr:uid="{AC9F9359-B98F-4901-84F8-093E1386F75F}"/>
    <cellStyle name="Migliaia 18 9 4" xfId="41356" xr:uid="{1F8481CD-70F4-4BC9-8055-92E738840BD8}"/>
    <cellStyle name="Migliaia 18 9 5" xfId="17153" xr:uid="{468122B8-2167-4393-B30A-F46B2195DA42}"/>
    <cellStyle name="Migliaia 19" xfId="337" xr:uid="{00000000-0005-0000-0000-000012030000}"/>
    <cellStyle name="Migliaia 19 10" xfId="6197" xr:uid="{C2AF1743-B07D-4726-B6A6-5F02C1CDC405}"/>
    <cellStyle name="Migliaia 19 10 2" xfId="38706" xr:uid="{2658C8A4-BE7F-450A-B5E3-1B35E1A11769}"/>
    <cellStyle name="Migliaia 19 10 3" xfId="44008" xr:uid="{3D7059F5-73DE-450E-8AAA-24C7FD5973F8}"/>
    <cellStyle name="Migliaia 19 10 4" xfId="33302" xr:uid="{D6CA8D78-2431-4224-95FB-70D7DC425A07}"/>
    <cellStyle name="Migliaia 19 10 5" xfId="20008" xr:uid="{0B6F59EC-7989-4E89-BDEF-A62A005350A7}"/>
    <cellStyle name="Migliaia 19 11" xfId="3257" xr:uid="{AB62268D-6912-4A2A-893D-E7EBC2DD6476}"/>
    <cellStyle name="Migliaia 19 11 2" xfId="36207" xr:uid="{215AC61D-4453-4055-B230-7F6C022FFFCA}"/>
    <cellStyle name="Migliaia 19 12" xfId="41357" xr:uid="{0A1DD245-6827-4971-92C6-C932FEF70640}"/>
    <cellStyle name="Migliaia 19 13" xfId="7071" xr:uid="{33891F14-4403-489E-81AA-557B08F7A800}"/>
    <cellStyle name="Migliaia 19 2" xfId="338" xr:uid="{00000000-0005-0000-0000-000013030000}"/>
    <cellStyle name="Migliaia 19 2 2" xfId="1703" xr:uid="{00000000-0005-0000-0000-000014030000}"/>
    <cellStyle name="Migliaia 19 2 2 2" xfId="4985" xr:uid="{E7BD9BEB-9AAB-418B-9D86-2BD326F53B24}"/>
    <cellStyle name="Migliaia 19 2 2 2 2" xfId="14372" xr:uid="{EB329AD8-BF55-4909-941F-AFCFB0EF5CB5}"/>
    <cellStyle name="Migliaia 19 2 2 2 2 2" xfId="38707" xr:uid="{78EEE48B-82CB-41ED-8B64-C2E229636F6C}"/>
    <cellStyle name="Migliaia 19 2 2 2 2 3" xfId="44009" xr:uid="{E9AD26BE-5F2B-4D4B-9C8C-F08F1E4DE908}"/>
    <cellStyle name="Migliaia 19 2 2 2 3" xfId="18387" xr:uid="{D9AF0AB8-A095-4F3B-8018-561DF25E161F}"/>
    <cellStyle name="Migliaia 19 2 2 2 4" xfId="20011" xr:uid="{AD745BDB-2EAA-4E24-87DB-81DDF62D2C83}"/>
    <cellStyle name="Migliaia 19 2 2 2 4 2" xfId="41358" xr:uid="{3FE8F544-6275-4611-99FD-A8440FE3786D}"/>
    <cellStyle name="Migliaia 19 2 2 2 5" xfId="16154" xr:uid="{ACC728A3-CD77-442D-94B9-B12BCEA02F16}"/>
    <cellStyle name="Migliaia 19 2 2 2 6" xfId="8540" xr:uid="{9E1B864F-C346-4BDE-A4AD-87FA808C0006}"/>
    <cellStyle name="Migliaia 19 2 2 3" xfId="6199" xr:uid="{5BA40000-DAC1-4889-AAB7-7B27DA42DB75}"/>
    <cellStyle name="Migliaia 19 2 2 3 2" xfId="35191" xr:uid="{92829383-6004-45A8-A402-EA261C510CAC}"/>
    <cellStyle name="Migliaia 19 2 2 3 2 2" xfId="40349" xr:uid="{9250C7ED-4776-4FD9-B301-E3DFFE96A3CD}"/>
    <cellStyle name="Migliaia 19 2 2 3 2 3" xfId="45651" xr:uid="{DAAB0BF6-508E-46E4-890F-783CF0A6BCDF}"/>
    <cellStyle name="Migliaia 19 2 2 3 3" xfId="37698" xr:uid="{F37C246A-5827-48DD-BA72-B24566A99AE7}"/>
    <cellStyle name="Migliaia 19 2 2 3 4" xfId="43000" xr:uid="{DC51E967-0C40-4757-83F1-A4DBA1DB0CE1}"/>
    <cellStyle name="Migliaia 19 2 2 3 5" xfId="11601" xr:uid="{EFB4BA9F-17B5-4A78-90B9-8006C5DC4B83}"/>
    <cellStyle name="Migliaia 19 2 2 4" xfId="3259" xr:uid="{4A40C458-532A-4333-BC84-0F5988C66984}"/>
    <cellStyle name="Migliaia 19 2 2 4 2" xfId="21415" xr:uid="{7931B141-5A0B-4EB6-A38A-84BDBF81C88F}"/>
    <cellStyle name="Migliaia 19 2 2 4 3" xfId="46219" xr:uid="{E69FA679-4E3D-4C1B-9176-6CDF880E327F}"/>
    <cellStyle name="Migliaia 19 2 2 4 4" xfId="50430" xr:uid="{457DBC7D-DC26-4F37-9289-1C77DF5C2BEE}"/>
    <cellStyle name="Migliaia 19 2 2 4 5" xfId="53446" xr:uid="{1639B9D7-4449-499D-88A9-9D6379223219}"/>
    <cellStyle name="Migliaia 19 2 2 4 6" xfId="10780" xr:uid="{A2068905-6933-44B9-B0FC-FDDE1BDC35F9}"/>
    <cellStyle name="Migliaia 19 2 2 5" xfId="20010" xr:uid="{E589DA89-4BF4-415F-B6EB-97FFE92D3D8D}"/>
    <cellStyle name="Migliaia 19 2 2 6" xfId="24402" xr:uid="{385EDC80-D31E-42C1-B3E1-9C1F605BECC5}"/>
    <cellStyle name="Migliaia 19 2 2 7" xfId="7350" xr:uid="{E6BFB5D5-D476-4FB1-A35F-3E700C7C9F5C}"/>
    <cellStyle name="Migliaia 19 2 3" xfId="3260" xr:uid="{93D562CB-150D-44C1-8FB4-39996E533BE7}"/>
    <cellStyle name="Migliaia 19 2 3 2" xfId="4986" xr:uid="{B96B279A-42E6-478A-9B7C-DB4BB94B714A}"/>
    <cellStyle name="Migliaia 19 2 3 2 2" xfId="35192" xr:uid="{60ECB5F1-B02C-4850-B1AA-303438DD2483}"/>
    <cellStyle name="Migliaia 19 2 3 2 2 2" xfId="40350" xr:uid="{DC36C656-A4EB-41D6-8EE7-B899C6220D30}"/>
    <cellStyle name="Migliaia 19 2 3 2 2 3" xfId="45652" xr:uid="{AB098A76-19DA-4E04-87EE-2C9959346F10}"/>
    <cellStyle name="Migliaia 19 2 3 2 3" xfId="37699" xr:uid="{E3D11CAF-BD46-4645-BC69-D5A0C2355D21}"/>
    <cellStyle name="Migliaia 19 2 3 2 4" xfId="43001" xr:uid="{EDA444F5-B534-46AC-9C6B-A3758AB48290}"/>
    <cellStyle name="Migliaia 19 2 3 2 5" xfId="14209" xr:uid="{16DE83D3-348E-4CAC-A493-B7B2D5D4FBF6}"/>
    <cellStyle name="Migliaia 19 2 3 3" xfId="6200" xr:uid="{E1A81C96-9813-49A0-958C-201DCF294027}"/>
    <cellStyle name="Migliaia 19 2 3 3 2" xfId="38708" xr:uid="{4774AA61-03CA-43A8-8937-8CD6D754A753}"/>
    <cellStyle name="Migliaia 19 2 3 3 3" xfId="44010" xr:uid="{837103F6-4DBA-4232-8E51-074D9B3D6AF3}"/>
    <cellStyle name="Migliaia 19 2 3 3 4" xfId="33303" xr:uid="{F05D2A9F-42D3-4D5B-85E3-B9988F3EF2D6}"/>
    <cellStyle name="Migliaia 19 2 3 3 5" xfId="20012" xr:uid="{B1185B14-64CA-4D6B-A841-66E773B653EE}"/>
    <cellStyle name="Migliaia 19 2 3 4" xfId="36208" xr:uid="{B801EA2F-32DB-4A64-8FEA-CEF9CA390C71}"/>
    <cellStyle name="Migliaia 19 2 3 5" xfId="41359" xr:uid="{9D5CD27E-73F1-4017-AC01-C71391C6538C}"/>
    <cellStyle name="Migliaia 19 2 3 6" xfId="16155" xr:uid="{B2FE1429-E10E-4B6F-9570-F97053A2DB1E}"/>
    <cellStyle name="Migliaia 19 2 3 7" xfId="8271" xr:uid="{2AA0577D-2B01-4C28-BB61-4845744C05B7}"/>
    <cellStyle name="Migliaia 19 2 4" xfId="4984" xr:uid="{C793143C-B402-42D0-AB28-3BD64F5249B6}"/>
    <cellStyle name="Migliaia 19 2 4 2" xfId="13912" xr:uid="{B6BDB3AE-C0E6-4FA8-A54F-98C08289EAC4}"/>
    <cellStyle name="Migliaia 19 2 4 2 2" xfId="38709" xr:uid="{619E0895-D217-451E-B61D-BB88331DCEB0}"/>
    <cellStyle name="Migliaia 19 2 4 2 3" xfId="44011" xr:uid="{46B627F4-8854-4F8A-9E27-85FF6E16AC57}"/>
    <cellStyle name="Migliaia 19 2 4 3" xfId="18620" xr:uid="{055BA807-2AF3-4B1B-9F64-805D5101C3DB}"/>
    <cellStyle name="Migliaia 19 2 4 4" xfId="20013" xr:uid="{095C0B2D-0E2A-426E-8454-3131C4DA3026}"/>
    <cellStyle name="Migliaia 19 2 4 4 2" xfId="41360" xr:uid="{7182C418-170E-46CE-8C77-0B195D1F8A62}"/>
    <cellStyle name="Migliaia 19 2 4 5" xfId="16156" xr:uid="{386FA3B7-5CC0-4D12-A684-6EA49A63EC63}"/>
    <cellStyle name="Migliaia 19 2 4 6" xfId="7860" xr:uid="{1C9C7EFF-FA94-49F1-B435-54358D6108AF}"/>
    <cellStyle name="Migliaia 19 2 5" xfId="6198" xr:uid="{AF0B5318-5D52-4428-BF2C-AC1DED89A204}"/>
    <cellStyle name="Migliaia 19 2 5 2" xfId="33304" xr:uid="{0E4B1240-3F52-4ED4-8614-D44B8F790776}"/>
    <cellStyle name="Migliaia 19 2 5 2 2" xfId="38710" xr:uid="{E23FE35B-636C-4904-ACB2-43117858EF45}"/>
    <cellStyle name="Migliaia 19 2 5 2 3" xfId="44012" xr:uid="{496E3D7B-38E3-45F9-889F-DA1CFEA2E5D7}"/>
    <cellStyle name="Migliaia 19 2 5 3" xfId="36209" xr:uid="{C2903C8A-C31C-4A6B-AA99-5C49A795664D}"/>
    <cellStyle name="Migliaia 19 2 5 4" xfId="41361" xr:uid="{29D6E7F6-C414-43EA-A55E-3C2F97848989}"/>
    <cellStyle name="Migliaia 19 2 5 5" xfId="13112" xr:uid="{0CB7EEAC-800B-4894-A9F3-1145C9234EE5}"/>
    <cellStyle name="Migliaia 19 2 6" xfId="3258" xr:uid="{85FE3AEE-D9F4-40E3-89FB-A1E14EEBD672}"/>
    <cellStyle name="Migliaia 19 2 6 2" xfId="33305" xr:uid="{007F6701-EBEA-4D37-BCA8-52AB575CA11B}"/>
    <cellStyle name="Migliaia 19 2 6 2 2" xfId="38711" xr:uid="{FE4086D8-E9FA-4CEA-BFE3-975BAA00779B}"/>
    <cellStyle name="Migliaia 19 2 6 2 3" xfId="44013" xr:uid="{B33DD25B-F7C5-4793-B740-1BBC321FFBC3}"/>
    <cellStyle name="Migliaia 19 2 6 3" xfId="36210" xr:uid="{ADA2DDA4-12EB-41C8-869B-B4EE3AA5AF5C}"/>
    <cellStyle name="Migliaia 19 2 6 4" xfId="41362" xr:uid="{F0C6DF97-650E-4745-B326-DFE608B320F3}"/>
    <cellStyle name="Migliaia 19 2 6 5" xfId="24403" xr:uid="{9C96E56D-9B76-49A7-A04F-529406A0FD8F}"/>
    <cellStyle name="Migliaia 19 2 6 6" xfId="20009" xr:uid="{997EDC78-E137-47C4-89B8-BFBD0DC84337}"/>
    <cellStyle name="Migliaia 19 2 7" xfId="24401" xr:uid="{925CC520-9E09-4E62-8036-F42D68B51135}"/>
    <cellStyle name="Migliaia 19 2 8" xfId="7072" xr:uid="{C60606A8-CD82-4790-8EE1-1F7BF688FA69}"/>
    <cellStyle name="Migliaia 19 3" xfId="339" xr:uid="{00000000-0005-0000-0000-000015030000}"/>
    <cellStyle name="Migliaia 19 3 10" xfId="24404" xr:uid="{B11E87CB-E87B-4ABC-B8EF-00D5D46D1B69}"/>
    <cellStyle name="Migliaia 19 3 11" xfId="16157" xr:uid="{9A8A9BCD-6513-44E1-B2AB-2254F6E064D4}"/>
    <cellStyle name="Migliaia 19 3 12" xfId="7073" xr:uid="{5B6384EC-9299-458D-8399-4AEB9533AFA8}"/>
    <cellStyle name="Migliaia 19 3 2" xfId="340" xr:uid="{00000000-0005-0000-0000-000016030000}"/>
    <cellStyle name="Migliaia 19 3 2 2" xfId="1704" xr:uid="{00000000-0005-0000-0000-000017030000}"/>
    <cellStyle name="Migliaia 19 3 2 2 2" xfId="4989" xr:uid="{A1BAE3DD-820A-49AF-AA68-4C3930EA6216}"/>
    <cellStyle name="Migliaia 19 3 2 2 2 2" xfId="18388" xr:uid="{7E64B54C-9224-4D10-9EA9-C7082F9206ED}"/>
    <cellStyle name="Migliaia 19 3 2 2 2 2 2" xfId="21847" xr:uid="{CAE7CDF4-7FF6-4755-9018-EF55BB4BF0C1}"/>
    <cellStyle name="Migliaia 19 3 2 2 2 2 2 2" xfId="38712" xr:uid="{A565763F-C24A-4147-B22E-AD4B5548AD36}"/>
    <cellStyle name="Migliaia 19 3 2 2 2 2 3" xfId="44014" xr:uid="{C3A597A6-AE90-407F-A357-2F9CDC3FA20E}"/>
    <cellStyle name="Migliaia 19 3 2 2 2 2 4" xfId="33306" xr:uid="{CC95B84A-5E28-455A-8850-906ACC7C4341}"/>
    <cellStyle name="Migliaia 19 3 2 2 2 3" xfId="36211" xr:uid="{91E5648B-2C3E-4789-AC9D-4F688E9B5F3D}"/>
    <cellStyle name="Migliaia 19 3 2 2 2 4" xfId="41363" xr:uid="{45B10680-EB8B-4C7B-9397-9DE71801415D}"/>
    <cellStyle name="Migliaia 19 3 2 2 2 5" xfId="48034" xr:uid="{4F54FD58-3706-49B3-BBAB-E378FD809D7B}"/>
    <cellStyle name="Migliaia 19 3 2 2 2 6" xfId="50875" xr:uid="{6E4CABF9-7D3D-41A6-90E9-322E8A6DC967}"/>
    <cellStyle name="Migliaia 19 3 2 2 2 7" xfId="53891" xr:uid="{0B513F68-70D5-462F-9718-EA27FBED58F8}"/>
    <cellStyle name="Migliaia 19 3 2 2 2 8" xfId="17648" xr:uid="{B3311226-1EFC-4C7C-9195-13232BC31F0F}"/>
    <cellStyle name="Migliaia 19 3 2 2 2 9" xfId="11923" xr:uid="{0D18327A-5B93-4DCF-A073-1AA73216A880}"/>
    <cellStyle name="Migliaia 19 3 2 2 3" xfId="6203" xr:uid="{491965D6-8099-40DA-BE0F-6272D26187E1}"/>
    <cellStyle name="Migliaia 19 3 2 2 3 2" xfId="11689" xr:uid="{7C0CB161-0732-4DDA-A977-2F36D117F8DE}"/>
    <cellStyle name="Migliaia 19 3 2 2 4" xfId="3263" xr:uid="{3401942F-8864-444A-9B47-92F0FE77A196}"/>
    <cellStyle name="Migliaia 19 3 2 2 4 2" xfId="21416" xr:uid="{7102D77A-A898-4F17-B540-94B98B3A212C}"/>
    <cellStyle name="Migliaia 19 3 2 2 4 3" xfId="48470" xr:uid="{4E7AD688-25DA-4B6A-AA60-A4C79B54F2BD}"/>
    <cellStyle name="Migliaia 19 3 2 2 4 4" xfId="50431" xr:uid="{E4DAD1D1-9450-4111-97AB-5BC8EF1D555C}"/>
    <cellStyle name="Migliaia 19 3 2 2 4 5" xfId="53447" xr:uid="{80127767-BD27-464B-BFEB-9983514A6BF9}"/>
    <cellStyle name="Migliaia 19 3 2 2 4 6" xfId="10781" xr:uid="{AABF90C6-D4B7-41E9-8749-A216FCDAD21B}"/>
    <cellStyle name="Migliaia 19 3 2 2 5" xfId="20016" xr:uid="{9A32B558-8643-4E65-B3CC-D774A853F65F}"/>
    <cellStyle name="Migliaia 19 3 2 2 6" xfId="24406" xr:uid="{FEDB7C9A-5AB3-4280-B2AE-ED33EFF31782}"/>
    <cellStyle name="Migliaia 19 3 2 2 7" xfId="8542" xr:uid="{03BB0E86-6F00-43CB-AFED-8B977C1EE595}"/>
    <cellStyle name="Migliaia 19 3 2 3" xfId="4988" xr:uid="{AAC3B8DD-58FE-4913-BE27-C5214A88C764}"/>
    <cellStyle name="Migliaia 19 3 2 3 2" xfId="11104" xr:uid="{2A9D8D9C-8B1B-40B1-B3E4-97BB5812C00E}"/>
    <cellStyle name="Migliaia 19 3 2 3 2 2" xfId="38713" xr:uid="{39E3FC52-F8D0-47C9-807F-683F65C443D5}"/>
    <cellStyle name="Migliaia 19 3 2 3 2 3" xfId="44015" xr:uid="{6CDB5EB9-0529-4590-BC4B-2FF4EE2D3E90}"/>
    <cellStyle name="Migliaia 19 3 2 3 2 4" xfId="33307" xr:uid="{7F3CEFF9-D6AA-4D10-AB53-1C656176AB6F}"/>
    <cellStyle name="Migliaia 19 3 2 3 3" xfId="11924" xr:uid="{31F01D6C-FF74-45EC-A8EE-59812A0DA611}"/>
    <cellStyle name="Migliaia 19 3 2 3 4" xfId="20017" xr:uid="{542C5E9D-87DF-4CD3-8F40-3EF5A49B5E72}"/>
    <cellStyle name="Migliaia 19 3 2 3 4 2" xfId="41364" xr:uid="{2B30DF0C-F7A4-412E-804B-194BD75736B2}"/>
    <cellStyle name="Migliaia 19 3 2 3 5" xfId="16158" xr:uid="{7ABB8FC3-4956-41B3-BAFB-4BFF0D3F3148}"/>
    <cellStyle name="Migliaia 19 3 2 3 6" xfId="7862" xr:uid="{5E9DE3C0-831B-4ACD-AFA6-1B8ADDEF2EE9}"/>
    <cellStyle name="Migliaia 19 3 2 4" xfId="6202" xr:uid="{77E51C55-6F86-4456-AC6C-E8FCD54AB083}"/>
    <cellStyle name="Migliaia 19 3 2 4 2" xfId="18067" xr:uid="{7435E20C-BC2D-436F-BA6F-63DA30C7FB80}"/>
    <cellStyle name="Migliaia 19 3 2 4 2 2" xfId="38714" xr:uid="{4FA9751E-1FBF-4D55-A1F2-1A9C5A579199}"/>
    <cellStyle name="Migliaia 19 3 2 4 2 3" xfId="44016" xr:uid="{4F09331D-8CB9-4106-9B1C-15249CADED67}"/>
    <cellStyle name="Migliaia 19 3 2 4 3" xfId="36212" xr:uid="{2B2DD447-B6D2-429C-9C4C-F7FF43646A99}"/>
    <cellStyle name="Migliaia 19 3 2 4 4" xfId="41365" xr:uid="{F51EE2EC-01F0-4669-9CE9-9A0806A40777}"/>
    <cellStyle name="Migliaia 19 3 2 4 5" xfId="17156" xr:uid="{6412584E-E599-423E-B8BF-682EB4297981}"/>
    <cellStyle name="Migliaia 19 3 2 4 6" xfId="11276" xr:uid="{D6750727-CD26-4763-8135-80512D98954A}"/>
    <cellStyle name="Migliaia 19 3 2 5" xfId="3262" xr:uid="{2BD6D86B-BC73-42BD-B1EA-B22170EA6BE9}"/>
    <cellStyle name="Migliaia 19 3 2 5 2" xfId="33308" xr:uid="{3477D35B-78BD-4CEB-9937-A2869B240140}"/>
    <cellStyle name="Migliaia 19 3 2 5 2 2" xfId="38715" xr:uid="{415E4272-F93C-416F-8C83-949E3EAD78F1}"/>
    <cellStyle name="Migliaia 19 3 2 5 2 3" xfId="44017" xr:uid="{CDEED874-6B76-4242-82F9-74045E16908B}"/>
    <cellStyle name="Migliaia 19 3 2 5 3" xfId="36213" xr:uid="{82C518B0-DF99-4923-A0CC-AB7A4E5F6307}"/>
    <cellStyle name="Migliaia 19 3 2 5 4" xfId="41366" xr:uid="{8081A9DA-2D2B-4CA4-9641-6B8217B767AD}"/>
    <cellStyle name="Migliaia 19 3 2 5 5" xfId="17396" xr:uid="{F639D3CD-B95A-4E85-B848-BB77F889BFB5}"/>
    <cellStyle name="Migliaia 19 3 2 6" xfId="20015" xr:uid="{06765607-E8FE-42E7-99B0-434810FB4616}"/>
    <cellStyle name="Migliaia 19 3 2 6 2" xfId="33309" xr:uid="{163934BF-6DE2-4DE6-BA4E-E89550D3DECF}"/>
    <cellStyle name="Migliaia 19 3 2 6 2 2" xfId="38716" xr:uid="{9D557F40-EE71-4804-B82D-6C91B9136695}"/>
    <cellStyle name="Migliaia 19 3 2 6 2 3" xfId="44018" xr:uid="{EDE35FC6-CA39-462D-9D45-F391085967F8}"/>
    <cellStyle name="Migliaia 19 3 2 6 3" xfId="36214" xr:uid="{6FAF8CD7-F346-40BB-B330-28ECE479E624}"/>
    <cellStyle name="Migliaia 19 3 2 6 4" xfId="41367" xr:uid="{77883306-BD26-4B3D-B1C1-2B2730E944B4}"/>
    <cellStyle name="Migliaia 19 3 2 6 5" xfId="24407" xr:uid="{7CECC288-A491-4854-974B-DD621F6A3947}"/>
    <cellStyle name="Migliaia 19 3 2 7" xfId="24405" xr:uid="{D65EA606-3954-4D7E-B30E-57E5F1544688}"/>
    <cellStyle name="Migliaia 19 3 2 8" xfId="7352" xr:uid="{D163855C-2D64-4290-BC34-033855794801}"/>
    <cellStyle name="Migliaia 19 3 3" xfId="3264" xr:uid="{95E934C0-2E91-490A-A54A-8CB19BB87552}"/>
    <cellStyle name="Migliaia 19 3 3 10" xfId="7351" xr:uid="{3963F2B3-A43B-43EC-804F-EABBBE604DE3}"/>
    <cellStyle name="Migliaia 19 3 3 2" xfId="4990" xr:uid="{C3BED81C-BE51-42DC-8EE0-4D6331C7903C}"/>
    <cellStyle name="Migliaia 19 3 3 2 2" xfId="9902" xr:uid="{B959FC3E-85F6-40DD-B729-0629C26EF1FE}"/>
    <cellStyle name="Migliaia 19 3 3 2 2 2" xfId="38718" xr:uid="{50D0D446-0547-470F-89AA-0FACE5504E51}"/>
    <cellStyle name="Migliaia 19 3 3 2 2 3" xfId="44020" xr:uid="{369266F0-2C9F-43DC-9B2C-99E58FCC35BE}"/>
    <cellStyle name="Migliaia 19 3 3 2 3" xfId="18182" xr:uid="{5753F73F-B7E2-42DC-A5FB-4C43F111C377}"/>
    <cellStyle name="Migliaia 19 3 3 2 4" xfId="20019" xr:uid="{D010FCF2-F5A0-4C58-9290-886226E199E9}"/>
    <cellStyle name="Migliaia 19 3 3 2 4 2" xfId="41369" xr:uid="{AF9F8D65-EDC4-41AE-A108-4CA39AC02DB7}"/>
    <cellStyle name="Migliaia 19 3 3 2 5" xfId="16160" xr:uid="{A092A9D3-7EF7-4F5B-8292-05ED2D76771E}"/>
    <cellStyle name="Migliaia 19 3 3 2 6" xfId="8541" xr:uid="{C8585DBC-2384-45BE-B2AA-D9F6023B8F77}"/>
    <cellStyle name="Migliaia 19 3 3 3" xfId="6204" xr:uid="{B42D0791-23A0-4522-B2D4-0FB9D408F63C}"/>
    <cellStyle name="Migliaia 19 3 3 3 2" xfId="33311" xr:uid="{4E730F4B-53B5-4A1F-884C-7D2F45FB28FA}"/>
    <cellStyle name="Migliaia 19 3 3 3 2 2" xfId="38719" xr:uid="{9226303F-E0FA-47E5-A4D2-3019B3312E8E}"/>
    <cellStyle name="Migliaia 19 3 3 3 2 3" xfId="44021" xr:uid="{6F4FA5B6-3522-4E44-B6D9-18C2A86E5277}"/>
    <cellStyle name="Migliaia 19 3 3 3 3" xfId="36216" xr:uid="{A4E62C0B-ACFD-4000-8625-AA34C2CD7485}"/>
    <cellStyle name="Migliaia 19 3 3 3 4" xfId="41370" xr:uid="{D17B946D-F8D3-41FD-817E-16BFBEF8561C}"/>
    <cellStyle name="Migliaia 19 3 3 3 5" xfId="9665" xr:uid="{33FF5600-03A0-4B1F-8D06-DC25D191CD7F}"/>
    <cellStyle name="Migliaia 19 3 3 4" xfId="20018" xr:uid="{205FC833-C287-4EC0-8795-B5FE9098849D}"/>
    <cellStyle name="Migliaia 19 3 3 4 2" xfId="33312" xr:uid="{C03898B3-298A-48D0-ABF3-36199B5066D5}"/>
    <cellStyle name="Migliaia 19 3 3 4 2 2" xfId="38720" xr:uid="{82B74096-7987-4C4D-AF63-79F6C72B86BC}"/>
    <cellStyle name="Migliaia 19 3 3 4 2 3" xfId="44022" xr:uid="{6229A847-4D7F-402A-B460-8E0B77B9189F}"/>
    <cellStyle name="Migliaia 19 3 3 4 3" xfId="36217" xr:uid="{3460253B-1FB6-499A-9C3B-B301BE9CB3B6}"/>
    <cellStyle name="Migliaia 19 3 3 4 4" xfId="41371" xr:uid="{CB4211F8-2DFC-40C8-BE6A-5BCA36898F12}"/>
    <cellStyle name="Migliaia 19 3 3 4 5" xfId="24408" xr:uid="{F555238A-EBA8-4730-8824-EA39C16658A8}"/>
    <cellStyle name="Migliaia 19 3 3 5" xfId="24409" xr:uid="{167E4B83-9C85-4115-874B-97AAFA5E0F78}"/>
    <cellStyle name="Migliaia 19 3 3 5 2" xfId="33313" xr:uid="{B5BB0DD3-0A83-4706-9DC8-53440778194E}"/>
    <cellStyle name="Migliaia 19 3 3 5 2 2" xfId="38721" xr:uid="{082F1FEC-A1F3-4DFD-84A4-C908553A1B84}"/>
    <cellStyle name="Migliaia 19 3 3 5 2 3" xfId="44023" xr:uid="{9283E4E7-A390-4501-AD4E-57D171ECA8DE}"/>
    <cellStyle name="Migliaia 19 3 3 5 3" xfId="36218" xr:uid="{81594651-CE07-4A6B-87EB-5B77320A89A4}"/>
    <cellStyle name="Migliaia 19 3 3 5 4" xfId="41372" xr:uid="{32A2FF99-DD29-417D-AB44-DD830A57576B}"/>
    <cellStyle name="Migliaia 19 3 3 6" xfId="33310" xr:uid="{D79FC2D4-4C18-4947-A8C9-8A2090C7EC9A}"/>
    <cellStyle name="Migliaia 19 3 3 6 2" xfId="38717" xr:uid="{C8800881-733A-4E4C-959D-5BD5EE1256D0}"/>
    <cellStyle name="Migliaia 19 3 3 6 3" xfId="44019" xr:uid="{D281916C-5557-4407-BD61-F30AC1089DED}"/>
    <cellStyle name="Migliaia 19 3 3 7" xfId="36215" xr:uid="{BB955A4F-1CCA-4428-8C76-109D7E170F99}"/>
    <cellStyle name="Migliaia 19 3 3 8" xfId="41368" xr:uid="{6E23ADE0-1137-4781-B814-B28BF1064002}"/>
    <cellStyle name="Migliaia 19 3 3 9" xfId="16159" xr:uid="{E6879DEB-D352-46F8-AACF-867C280B7458}"/>
    <cellStyle name="Migliaia 19 3 4" xfId="3265" xr:uid="{7AE4E268-5745-47EA-A3A7-1B75C330C6F2}"/>
    <cellStyle name="Migliaia 19 3 4 2" xfId="4991" xr:uid="{C43FD034-2D57-4E28-BA33-8811DD7D8BF2}"/>
    <cellStyle name="Migliaia 19 3 4 2 2" xfId="14433" xr:uid="{64AAB4EC-E513-4552-9FFC-C94FF7A86B30}"/>
    <cellStyle name="Migliaia 19 3 4 2 3" xfId="18125" xr:uid="{04834807-0E05-4F60-9114-C8A878E67004}"/>
    <cellStyle name="Migliaia 19 3 4 2 4" xfId="20021" xr:uid="{DF5EE6BD-FC0F-45F5-9628-44E478EAAAA5}"/>
    <cellStyle name="Migliaia 19 3 4 2 5" xfId="32320" xr:uid="{E3E3EB9C-68B4-4F31-8E43-6FF1EED4D586}"/>
    <cellStyle name="Migliaia 19 3 4 2 6" xfId="16162" xr:uid="{FE00FE4D-F263-4F6E-A5A1-C2D7BF606247}"/>
    <cellStyle name="Migliaia 19 3 4 2 7" xfId="8856" xr:uid="{E6359A4E-4730-48CE-B9E1-823EBC5DD857}"/>
    <cellStyle name="Migliaia 19 3 4 3" xfId="6205" xr:uid="{66ECF252-D3A6-4BEF-A3B2-38A11E62F731}"/>
    <cellStyle name="Migliaia 19 3 4 3 2" xfId="35193" xr:uid="{A8B2E4C4-3516-44EC-9B4A-118212C87BF5}"/>
    <cellStyle name="Migliaia 19 3 4 3 2 2" xfId="40351" xr:uid="{ED7A801A-3702-4531-BC71-0DA4D6969F40}"/>
    <cellStyle name="Migliaia 19 3 4 3 2 3" xfId="45653" xr:uid="{75A8AEF4-FECB-423F-94A7-EFF57534EEDA}"/>
    <cellStyle name="Migliaia 19 3 4 3 3" xfId="37700" xr:uid="{7D339279-6F1B-4EA1-B5F7-2F1F3EAE5EC1}"/>
    <cellStyle name="Migliaia 19 3 4 3 4" xfId="43002" xr:uid="{0836829D-B087-40A2-9528-6444A4F77B70}"/>
    <cellStyle name="Migliaia 19 3 4 3 5" xfId="13681" xr:uid="{4A61832F-D473-4173-BA32-7F7DD00C76A6}"/>
    <cellStyle name="Migliaia 19 3 4 4" xfId="20020" xr:uid="{C8B1E694-9B76-403A-8FA7-D2057BBCD1DB}"/>
    <cellStyle name="Migliaia 19 3 4 4 2" xfId="38722" xr:uid="{42CE11EE-F492-455C-AFD8-B58A2F484DCE}"/>
    <cellStyle name="Migliaia 19 3 4 4 3" xfId="44024" xr:uid="{3BE973E0-7ABF-4E6D-A558-C62B25A545C6}"/>
    <cellStyle name="Migliaia 19 3 4 4 4" xfId="33314" xr:uid="{4554F24A-ADFC-492A-9760-A0D9E00528B3}"/>
    <cellStyle name="Migliaia 19 3 4 5" xfId="36219" xr:uid="{D7BB8408-9F1A-4FF1-8500-567A2E4D07BD}"/>
    <cellStyle name="Migliaia 19 3 4 6" xfId="41373" xr:uid="{1688D238-C9DE-45AF-8BD7-FB21148E429D}"/>
    <cellStyle name="Migliaia 19 3 4 7" xfId="16161" xr:uid="{0903A2CA-5CA0-439A-971D-D544BEA44EDA}"/>
    <cellStyle name="Migliaia 19 3 4 8" xfId="7666" xr:uid="{A668A322-D5A9-4395-AA77-089DDCAD28B5}"/>
    <cellStyle name="Migliaia 19 3 5" xfId="3266" xr:uid="{7DBC6E18-9DCF-4DF2-B801-CA13363F3EA5}"/>
    <cellStyle name="Migliaia 19 3 5 2" xfId="4992" xr:uid="{B09A3B84-BB0E-4386-AD27-CCCBEC6CCD7F}"/>
    <cellStyle name="Migliaia 19 3 5 2 2" xfId="35194" xr:uid="{F7AB143F-84F2-49FE-A362-44A38CBFF97C}"/>
    <cellStyle name="Migliaia 19 3 5 2 2 2" xfId="40352" xr:uid="{FAF7A392-E252-4904-9D42-16FA7E54F589}"/>
    <cellStyle name="Migliaia 19 3 5 2 2 3" xfId="45654" xr:uid="{23674197-229B-4EE8-9157-6BDABC253F9C}"/>
    <cellStyle name="Migliaia 19 3 5 2 3" xfId="37701" xr:uid="{DB7E587D-1A26-485C-841C-F7F444FAA991}"/>
    <cellStyle name="Migliaia 19 3 5 2 4" xfId="43003" xr:uid="{FC624441-5BA4-4589-BC4B-D0C616A0DA7A}"/>
    <cellStyle name="Migliaia 19 3 5 2 5" xfId="14210" xr:uid="{BD7C26B5-6059-471C-B57A-B94C947B7E13}"/>
    <cellStyle name="Migliaia 19 3 5 3" xfId="6206" xr:uid="{885B50DB-7E80-4EEC-8866-2842E19F13F7}"/>
    <cellStyle name="Migliaia 19 3 5 3 2" xfId="38723" xr:uid="{233A7816-E0B9-4E81-BAB8-D01E568EF771}"/>
    <cellStyle name="Migliaia 19 3 5 3 3" xfId="44025" xr:uid="{EE6E16A8-EA85-44C1-9437-668879829C25}"/>
    <cellStyle name="Migliaia 19 3 5 3 4" xfId="33315" xr:uid="{32A852DA-89B5-4F5C-A4E6-D4AF910664CA}"/>
    <cellStyle name="Migliaia 19 3 5 3 5" xfId="20022" xr:uid="{FD7F8732-F4DC-40FF-8789-5FADBE497F23}"/>
    <cellStyle name="Migliaia 19 3 5 4" xfId="36220" xr:uid="{720051DF-5FE5-4CA8-A0D4-B88ABCF9C360}"/>
    <cellStyle name="Migliaia 19 3 5 5" xfId="41374" xr:uid="{08274A0A-A148-46B3-8F56-2F48D1229D7B}"/>
    <cellStyle name="Migliaia 19 3 5 6" xfId="16163" xr:uid="{4006E7C7-7D1F-4940-8D36-6F764103C04D}"/>
    <cellStyle name="Migliaia 19 3 5 7" xfId="8272" xr:uid="{12F25D0D-5B92-439F-B122-CE532E3D7572}"/>
    <cellStyle name="Migliaia 19 3 6" xfId="4987" xr:uid="{49C4597E-B242-4533-A086-C6465140A1F1}"/>
    <cellStyle name="Migliaia 19 3 6 2" xfId="13913" xr:uid="{4534FF77-5F4F-475D-A55B-E97E99903106}"/>
    <cellStyle name="Migliaia 19 3 6 2 2" xfId="38724" xr:uid="{DD4EEB33-7415-4568-866F-AE16FA19EEF9}"/>
    <cellStyle name="Migliaia 19 3 6 2 3" xfId="44026" xr:uid="{FEE89E05-7BA5-40B6-B8CA-A1AADBFE57C7}"/>
    <cellStyle name="Migliaia 19 3 6 3" xfId="18284" xr:uid="{4E5E1C55-EE00-41F8-8681-7DEF9AE08FC9}"/>
    <cellStyle name="Migliaia 19 3 6 4" xfId="20023" xr:uid="{B636A309-4C43-456E-AE46-85C1408CCBFC}"/>
    <cellStyle name="Migliaia 19 3 6 4 2" xfId="41375" xr:uid="{91DC4194-9F11-4CFD-9724-90E7A7A340EC}"/>
    <cellStyle name="Migliaia 19 3 6 5" xfId="16164" xr:uid="{0195F767-FD19-456A-880E-B637217D243B}"/>
    <cellStyle name="Migliaia 19 3 6 6" xfId="7861" xr:uid="{8B085D41-0E6E-4E6A-A35A-7669FE2F3476}"/>
    <cellStyle name="Migliaia 19 3 7" xfId="6201" xr:uid="{590C9D33-19A5-44AB-A278-CFCB3369BEC6}"/>
    <cellStyle name="Migliaia 19 3 7 2" xfId="33316" xr:uid="{789A6294-4653-4A96-8B19-A43619A9338C}"/>
    <cellStyle name="Migliaia 19 3 7 2 2" xfId="38725" xr:uid="{93978D2B-E222-4AEF-A2D8-1BF07CF1C2CC}"/>
    <cellStyle name="Migliaia 19 3 7 2 3" xfId="44027" xr:uid="{0499B81E-4D6A-4398-A096-D2FB7719A7B2}"/>
    <cellStyle name="Migliaia 19 3 7 3" xfId="36221" xr:uid="{4FCA7A6B-8D21-40C0-87DC-F01C4038ED96}"/>
    <cellStyle name="Migliaia 19 3 7 4" xfId="41376" xr:uid="{1F4389E1-D324-4F11-BEC3-6AD26E70319F}"/>
    <cellStyle name="Migliaia 19 3 7 5" xfId="11153" xr:uid="{24FFCA82-F75B-45C5-9B52-5D953EC1FAF0}"/>
    <cellStyle name="Migliaia 19 3 8" xfId="3261" xr:uid="{D1585B06-D85F-4FD1-9716-BA81838D8BEA}"/>
    <cellStyle name="Migliaia 19 3 8 2" xfId="33317" xr:uid="{B0DFA7A9-6DFE-47CC-ACBE-AE4DA870707E}"/>
    <cellStyle name="Migliaia 19 3 8 2 2" xfId="38726" xr:uid="{55D1ACD7-7BB6-43BE-9079-5D748AD2B522}"/>
    <cellStyle name="Migliaia 19 3 8 2 3" xfId="44028" xr:uid="{DC81B492-6270-4BF6-9BF4-9C2548ECE0A7}"/>
    <cellStyle name="Migliaia 19 3 8 3" xfId="36222" xr:uid="{061E00C2-2E68-4571-9690-590F7AC6DA0C}"/>
    <cellStyle name="Migliaia 19 3 8 4" xfId="41377" xr:uid="{D8C2AFE7-5B8E-48D3-A947-319E36BC2CCA}"/>
    <cellStyle name="Migliaia 19 3 8 5" xfId="24410" xr:uid="{D80F8E62-D46E-4885-95A4-79F9F32969B0}"/>
    <cellStyle name="Migliaia 19 3 8 6" xfId="17397" xr:uid="{8B61653D-DF12-4419-971B-00375EBE74B6}"/>
    <cellStyle name="Migliaia 19 3 9" xfId="20014" xr:uid="{1C0BDB71-3426-4777-AFDA-F2D0468604C7}"/>
    <cellStyle name="Migliaia 19 4" xfId="1705" xr:uid="{00000000-0005-0000-0000-000018030000}"/>
    <cellStyle name="Migliaia 19 4 2" xfId="1706" xr:uid="{00000000-0005-0000-0000-000019030000}"/>
    <cellStyle name="Migliaia 19 4 2 2" xfId="4994" xr:uid="{9A7E0493-C426-4B43-A10C-65DFF4630C10}"/>
    <cellStyle name="Migliaia 19 4 2 2 2" xfId="33318" xr:uid="{A3B6B49A-08B2-4A16-9A1C-44BE7801EAB6}"/>
    <cellStyle name="Migliaia 19 4 2 2 2 2" xfId="38727" xr:uid="{D02D64BD-66AB-4F14-8BFE-BB758BD4A3FB}"/>
    <cellStyle name="Migliaia 19 4 2 2 2 3" xfId="44029" xr:uid="{1883EDFD-C52E-439F-8D4E-A601E6530E7D}"/>
    <cellStyle name="Migliaia 19 4 2 2 3" xfId="36223" xr:uid="{15BE44CA-189D-4B55-8005-B6197EFB2A9B}"/>
    <cellStyle name="Migliaia 19 4 2 2 4" xfId="41378" xr:uid="{A978B24E-6DC2-4919-8BCA-25104FB0F86E}"/>
    <cellStyle name="Migliaia 19 4 2 2 5" xfId="9128" xr:uid="{D42879A1-9C59-4879-8546-2B1B0821FD6A}"/>
    <cellStyle name="Migliaia 19 4 2 3" xfId="3268" xr:uid="{0331420F-C1C0-4F70-8B65-7C19B75EA04A}"/>
    <cellStyle name="Migliaia 19 4 2 3 2" xfId="33319" xr:uid="{BBCD78B1-DFA6-4FDB-BC67-48FA8D5D1055}"/>
    <cellStyle name="Migliaia 19 4 2 3 2 2" xfId="38728" xr:uid="{ABB59DB7-D1B7-42DE-A232-7F78D47261E4}"/>
    <cellStyle name="Migliaia 19 4 2 3 2 3" xfId="44030" xr:uid="{F9DD283C-5854-404E-B77C-D63FF187C2AB}"/>
    <cellStyle name="Migliaia 19 4 2 3 3" xfId="36224" xr:uid="{90F423C1-A7F2-4E46-8818-F6395F68AE4D}"/>
    <cellStyle name="Migliaia 19 4 2 3 4" xfId="41379" xr:uid="{212AC411-B139-4B65-9281-F59EC5D1245D}"/>
    <cellStyle name="Migliaia 19 4 2 3 5" xfId="11925" xr:uid="{5AF50A60-10BB-47CD-BC90-7BB4FA1691B6}"/>
    <cellStyle name="Migliaia 19 4 2 4" xfId="11278" xr:uid="{7F97FBE8-639F-457D-9749-2CB19D52465A}"/>
    <cellStyle name="Migliaia 19 4 2 5" xfId="10783" xr:uid="{0BC90DA6-6C2D-43A6-9482-E0100B9D2EE0}"/>
    <cellStyle name="Migliaia 19 4 2 5 2" xfId="21418" xr:uid="{E18FAECE-E9A5-49B4-B3AA-AAEAD1A5EA51}"/>
    <cellStyle name="Migliaia 19 4 2 5 3" xfId="47510" xr:uid="{A915D1EE-C591-4211-8A74-EAE0FAC11A84}"/>
    <cellStyle name="Migliaia 19 4 2 5 4" xfId="50433" xr:uid="{F3DA111E-5CFA-47F2-B4E7-CC4984341588}"/>
    <cellStyle name="Migliaia 19 4 2 5 5" xfId="53449" xr:uid="{780218B4-E7A9-4CCF-9B2A-EE4E3871C0D9}"/>
    <cellStyle name="Migliaia 19 4 2 6" xfId="20025" xr:uid="{A065521C-9111-420A-9E6A-239C1F73CAED}"/>
    <cellStyle name="Migliaia 19 4 2 7" xfId="24412" xr:uid="{421F4B0F-E300-4FA2-BE45-51FD85D50ED6}"/>
    <cellStyle name="Migliaia 19 4 2 8" xfId="8543" xr:uid="{8F617E21-1BDA-48A3-B9B3-3F530C4EB201}"/>
    <cellStyle name="Migliaia 19 4 3" xfId="4993" xr:uid="{8E2B633E-7A4D-4718-A1C5-F4F5A6A43BA4}"/>
    <cellStyle name="Migliaia 19 4 3 2" xfId="18183" xr:uid="{AF1A9A07-DAB9-4EEA-BACC-D2266945B990}"/>
    <cellStyle name="Migliaia 19 4 3 2 2" xfId="38729" xr:uid="{32407F9A-BD9E-4DF2-84D7-788E5CD8CF72}"/>
    <cellStyle name="Migliaia 19 4 3 2 3" xfId="44031" xr:uid="{112AE0F2-8B94-48A4-B731-77DF762B24EC}"/>
    <cellStyle name="Migliaia 19 4 3 3" xfId="36225" xr:uid="{A9F2169A-FCA2-45FE-93E0-B491D4DB096D}"/>
    <cellStyle name="Migliaia 19 4 3 4" xfId="41380" xr:uid="{864375CB-702B-4327-907F-40C74F79F30C}"/>
    <cellStyle name="Migliaia 19 4 3 5" xfId="17395" xr:uid="{BD8B0A27-FBF1-4687-8ABC-CF4898C47DDB}"/>
    <cellStyle name="Migliaia 19 4 3 6" xfId="9129" xr:uid="{8783F385-74FD-42C7-B46F-73BF03F01F95}"/>
    <cellStyle name="Migliaia 19 4 4" xfId="6207" xr:uid="{4009F911-1E47-417E-9639-404C56AFD691}"/>
    <cellStyle name="Migliaia 19 4 4 2" xfId="33320" xr:uid="{2DC0711B-F414-45B3-93D0-8B9D5C9CFE2C}"/>
    <cellStyle name="Migliaia 19 4 4 2 2" xfId="38730" xr:uid="{CF75503A-61A8-4C7D-8280-DE06DF2034A3}"/>
    <cellStyle name="Migliaia 19 4 4 2 3" xfId="44032" xr:uid="{BE161814-B243-4357-82EC-90128F529384}"/>
    <cellStyle name="Migliaia 19 4 4 3" xfId="36226" xr:uid="{06346F87-7A21-44D3-ACA0-39D15FDB07F5}"/>
    <cellStyle name="Migliaia 19 4 4 4" xfId="41381" xr:uid="{A499EEE9-1B11-48A7-9003-26C55B85F33A}"/>
    <cellStyle name="Migliaia 19 4 4 5" xfId="11926" xr:uid="{440F1549-8ABF-4382-A7C4-CF8B6B5B5043}"/>
    <cellStyle name="Migliaia 19 4 5" xfId="3267" xr:uid="{48EFFAB1-8DE9-48F6-89BA-FE2089E96E51}"/>
    <cellStyle name="Migliaia 19 4 5 2" xfId="33321" xr:uid="{BAECF780-258D-4114-8F58-D2064BAB3DC4}"/>
    <cellStyle name="Migliaia 19 4 5 2 2" xfId="38731" xr:uid="{C7F3E419-0E03-4B71-B936-A485E48127DE}"/>
    <cellStyle name="Migliaia 19 4 5 2 3" xfId="44033" xr:uid="{FF71E524-E24B-43E2-A825-1E30C97BF310}"/>
    <cellStyle name="Migliaia 19 4 5 3" xfId="36227" xr:uid="{1DF9FD80-BE0F-4EE3-A257-8C7AE0C6AADA}"/>
    <cellStyle name="Migliaia 19 4 5 4" xfId="41382" xr:uid="{6488D82C-ADDD-471A-B575-50FC8A7F587D}"/>
    <cellStyle name="Migliaia 19 4 5 5" xfId="11277" xr:uid="{E7867458-88D9-402F-92E0-F57F93799DCA}"/>
    <cellStyle name="Migliaia 19 4 6" xfId="10782" xr:uid="{685334C2-DAC1-4141-AA26-462E4CE737F2}"/>
    <cellStyle name="Migliaia 19 4 6 2" xfId="21417" xr:uid="{68C2ED6B-FB48-4F2E-96D8-EE3E5E1FD94C}"/>
    <cellStyle name="Migliaia 19 4 6 2 2" xfId="38732" xr:uid="{0A2824EC-ADD7-4526-BFD4-452634E2C8E5}"/>
    <cellStyle name="Migliaia 19 4 6 2 3" xfId="44034" xr:uid="{BE47BBAE-ADCF-4380-AD8C-242F6805AB77}"/>
    <cellStyle name="Migliaia 19 4 6 2 4" xfId="33322" xr:uid="{F0572057-5651-4F00-A0AE-560BD8410843}"/>
    <cellStyle name="Migliaia 19 4 6 3" xfId="36228" xr:uid="{121DC5C7-6331-4642-9AD5-E2A3E298F93A}"/>
    <cellStyle name="Migliaia 19 4 6 4" xfId="41383" xr:uid="{507AB781-D461-4547-B738-1EC138CC3E34}"/>
    <cellStyle name="Migliaia 19 4 6 5" xfId="24413" xr:uid="{2E9E7209-A566-4CB6-9971-7B0C18D17ACE}"/>
    <cellStyle name="Migliaia 19 4 6 6" xfId="25356" xr:uid="{A2DD55E7-B1E5-4BD8-BCE7-E6AA66008F18}"/>
    <cellStyle name="Migliaia 19 4 6 7" xfId="50432" xr:uid="{6C2ADE09-73E0-48E1-830F-A64B105961BB}"/>
    <cellStyle name="Migliaia 19 4 6 8" xfId="53448" xr:uid="{53ED3FC4-5B36-46DE-93D1-382B074EAE5F}"/>
    <cellStyle name="Migliaia 19 4 7" xfId="20024" xr:uid="{9A123EBE-B7AF-4281-A4F4-8C06557FC750}"/>
    <cellStyle name="Migliaia 19 4 7 2" xfId="33323" xr:uid="{C9A64987-AA63-4F71-9CE5-B692E91A268A}"/>
    <cellStyle name="Migliaia 19 4 7 2 2" xfId="38733" xr:uid="{0C1AAD1C-A7AD-4012-AECE-4A39A18767AA}"/>
    <cellStyle name="Migliaia 19 4 7 2 3" xfId="44035" xr:uid="{2AAA7D85-4352-4070-BB8F-C6FB882E8818}"/>
    <cellStyle name="Migliaia 19 4 7 3" xfId="36229" xr:uid="{473E0AE4-55FE-400A-8F8B-2E2F0F825CD0}"/>
    <cellStyle name="Migliaia 19 4 7 4" xfId="41384" xr:uid="{91048FCE-E965-42FA-B508-517B45362E16}"/>
    <cellStyle name="Migliaia 19 4 7 5" xfId="24414" xr:uid="{A390FB7D-14B3-4E29-AF81-9D7FBFA28317}"/>
    <cellStyle name="Migliaia 19 4 8" xfId="24411" xr:uid="{8490E49C-14BD-45C6-A544-8AD5F0276C55}"/>
    <cellStyle name="Migliaia 19 4 9" xfId="7353" xr:uid="{EBC4F6A8-5630-4EA5-A67A-41CA3BB62B6B}"/>
    <cellStyle name="Migliaia 19 5" xfId="1707" xr:uid="{00000000-0005-0000-0000-00001A030000}"/>
    <cellStyle name="Migliaia 19 5 2" xfId="4995" xr:uid="{6C3915C5-B17E-43D0-8D4A-A8D692791784}"/>
    <cellStyle name="Migliaia 19 5 2 2" xfId="18389" xr:uid="{B7CF790D-4B89-4DA6-A117-A001F7E1332A}"/>
    <cellStyle name="Migliaia 19 5 2 2 2" xfId="38734" xr:uid="{6C86CE4D-BE6D-49A5-BA6C-E4B555A6CB29}"/>
    <cellStyle name="Migliaia 19 5 2 2 3" xfId="44036" xr:uid="{66281E05-9F28-439E-8CF2-BF0B42BB4E5B}"/>
    <cellStyle name="Migliaia 19 5 2 3" xfId="20027" xr:uid="{BB5CD387-E616-46D0-B5CD-EB485C3C2789}"/>
    <cellStyle name="Migliaia 19 5 2 3 2" xfId="36230" xr:uid="{C9392C77-188B-4CE8-909F-64631258E84D}"/>
    <cellStyle name="Migliaia 19 5 2 4" xfId="41385" xr:uid="{F3AA3698-D0AE-48E3-923F-7377B6A68903}"/>
    <cellStyle name="Migliaia 19 5 2 5" xfId="16165" xr:uid="{0636802F-CC55-4CE3-91AE-CAC4BBE78DA6}"/>
    <cellStyle name="Migliaia 19 5 2 6" xfId="8544" xr:uid="{40CC1468-1C7C-449C-8C4B-F531D0AE5A01}"/>
    <cellStyle name="Migliaia 19 5 3" xfId="6208" xr:uid="{6337CDC3-6F42-4890-8DDC-D92BCB0691A6}"/>
    <cellStyle name="Migliaia 19 5 3 2" xfId="33324" xr:uid="{B8E7C28F-C655-4DB0-BD8D-A9C7C5E4F8F0}"/>
    <cellStyle name="Migliaia 19 5 3 2 2" xfId="38735" xr:uid="{D997939B-95AC-41FD-A213-16E230B3E66D}"/>
    <cellStyle name="Migliaia 19 5 3 2 3" xfId="44037" xr:uid="{683255F6-DA7C-4EAE-87A1-3ED9A87DE886}"/>
    <cellStyle name="Migliaia 19 5 3 3" xfId="36231" xr:uid="{DCF364AF-E3DF-4469-AEEF-32E1E2D67D94}"/>
    <cellStyle name="Migliaia 19 5 3 4" xfId="41386" xr:uid="{31ADEE18-C402-4CCB-A949-80170CAC42E9}"/>
    <cellStyle name="Migliaia 19 5 3 5" xfId="11279" xr:uid="{618337C7-24BE-4AB4-B646-79DA8DFF26AA}"/>
    <cellStyle name="Migliaia 19 5 4" xfId="3269" xr:uid="{900A732B-E6FB-4C98-80FD-512C52368D6D}"/>
    <cellStyle name="Migliaia 19 5 4 2" xfId="21419" xr:uid="{9829B61A-B1B6-4280-B4A1-F54FBC0A52F7}"/>
    <cellStyle name="Migliaia 19 5 4 2 2" xfId="38736" xr:uid="{80375388-E257-424E-BDF3-86288F13E576}"/>
    <cellStyle name="Migliaia 19 5 4 2 3" xfId="44038" xr:uid="{B048E96F-DAF4-41E1-BDF9-9DAFF6810836}"/>
    <cellStyle name="Migliaia 19 5 4 2 4" xfId="33325" xr:uid="{6E71E114-14B0-4A6F-A08B-A92C40A3DA52}"/>
    <cellStyle name="Migliaia 19 5 4 3" xfId="36232" xr:uid="{23E34F39-B90E-48F5-8D04-5FDA5002DEBB}"/>
    <cellStyle name="Migliaia 19 5 4 4" xfId="41387" xr:uid="{FA84B9F7-1F5D-4353-A5AA-E38A1AEDD55F}"/>
    <cellStyle name="Migliaia 19 5 4 5" xfId="24416" xr:uid="{1CB7599E-6903-48D2-8E8E-2A4913A12985}"/>
    <cellStyle name="Migliaia 19 5 4 6" xfId="46641" xr:uid="{8D140FF8-F284-4517-BCCE-900D6A75CFD4}"/>
    <cellStyle name="Migliaia 19 5 4 7" xfId="50434" xr:uid="{C0C3E1D8-7D9A-4858-BB96-9B8CE44DA882}"/>
    <cellStyle name="Migliaia 19 5 4 8" xfId="53450" xr:uid="{9FA208F5-8C93-4D79-99AC-AF16C5C8251E}"/>
    <cellStyle name="Migliaia 19 5 4 9" xfId="10784" xr:uid="{A94E93BD-224C-4516-922F-B76236B75A70}"/>
    <cellStyle name="Migliaia 19 5 5" xfId="20026" xr:uid="{097642FD-A81D-4FE0-8BFA-F8E23473A998}"/>
    <cellStyle name="Migliaia 19 5 5 2" xfId="33326" xr:uid="{DFD1899C-E2AC-4207-8A9D-333807010F26}"/>
    <cellStyle name="Migliaia 19 5 5 2 2" xfId="38737" xr:uid="{0A731911-99E8-4417-B445-A717F3F312EA}"/>
    <cellStyle name="Migliaia 19 5 5 2 3" xfId="44039" xr:uid="{3A752BB4-F6D3-4930-B459-EC82E8FBA724}"/>
    <cellStyle name="Migliaia 19 5 5 3" xfId="36233" xr:uid="{70A75A2D-3D3F-48F9-980A-3A190FC5DFE0}"/>
    <cellStyle name="Migliaia 19 5 5 4" xfId="41388" xr:uid="{B39459B7-07ED-4AF7-A9C0-AE4B7FA32B71}"/>
    <cellStyle name="Migliaia 19 5 5 5" xfId="24417" xr:uid="{00EE7565-3381-4F9E-9E7B-061636DEAE97}"/>
    <cellStyle name="Migliaia 19 5 6" xfId="24418" xr:uid="{AE406D2F-88F6-4632-A902-9541F50D1FB6}"/>
    <cellStyle name="Migliaia 19 5 6 2" xfId="33327" xr:uid="{8B2B073B-A9F4-492D-B75E-73B274147B8E}"/>
    <cellStyle name="Migliaia 19 5 6 2 2" xfId="38738" xr:uid="{07CA01FD-7CAA-4A14-BFE1-81EFE90E87F4}"/>
    <cellStyle name="Migliaia 19 5 6 2 3" xfId="44040" xr:uid="{D817383D-FFF7-4862-86B2-559399CB9BA9}"/>
    <cellStyle name="Migliaia 19 5 6 3" xfId="36234" xr:uid="{67975F22-F13D-44C0-A323-8CA3645BD125}"/>
    <cellStyle name="Migliaia 19 5 6 4" xfId="41389" xr:uid="{281F5DE0-ADA4-44FB-B90E-212454AEFB97}"/>
    <cellStyle name="Migliaia 19 5 7" xfId="24415" xr:uid="{F77CB3E2-F500-4500-9437-9FB41F4D984A}"/>
    <cellStyle name="Migliaia 19 5 8" xfId="7354" xr:uid="{F7FCBE2B-BA32-4F27-86D8-ECEA8D97D9A9}"/>
    <cellStyle name="Migliaia 19 6" xfId="3270" xr:uid="{9E9B04EA-73B5-4D5F-AD77-19BC7159F5F6}"/>
    <cellStyle name="Migliaia 19 6 2" xfId="4996" xr:uid="{BEF9BF70-E567-427B-A749-B4BF012B562E}"/>
    <cellStyle name="Migliaia 19 6 2 2" xfId="9901" xr:uid="{E7BA0BA0-8373-4BFD-925E-1204A804741C}"/>
    <cellStyle name="Migliaia 19 6 2 3" xfId="18670" xr:uid="{8A43E0D0-0149-49F4-AD47-C1DA9E46157E}"/>
    <cellStyle name="Migliaia 19 6 2 4" xfId="20029" xr:uid="{92DD9B66-38CA-4BE4-8A66-35830E9A80D5}"/>
    <cellStyle name="Migliaia 19 6 2 5" xfId="32321" xr:uid="{21EA5E36-24E4-4288-B809-1451ACA059BD}"/>
    <cellStyle name="Migliaia 19 6 2 6" xfId="16167" xr:uid="{A7C799AA-D5C5-4D8A-A733-7195E2C8D7AA}"/>
    <cellStyle name="Migliaia 19 6 2 7" xfId="8539" xr:uid="{872DE083-59CF-462E-A3DE-FC770E01A54C}"/>
    <cellStyle name="Migliaia 19 6 3" xfId="6209" xr:uid="{AA3B5161-7F66-4F29-9650-14FB5D09038A}"/>
    <cellStyle name="Migliaia 19 6 3 2" xfId="35195" xr:uid="{688B643C-5B42-48E1-9246-DB6A89527A08}"/>
    <cellStyle name="Migliaia 19 6 3 2 2" xfId="40353" xr:uid="{7E328D6F-033C-4946-8219-D2963A202C8F}"/>
    <cellStyle name="Migliaia 19 6 3 2 3" xfId="45655" xr:uid="{3C5FA514-621E-4B37-BFE8-AC2F09FFBEC0}"/>
    <cellStyle name="Migliaia 19 6 3 3" xfId="37702" xr:uid="{CF919D72-EED1-4A8B-90A9-357700CABCBA}"/>
    <cellStyle name="Migliaia 19 6 3 4" xfId="43004" xr:uid="{2C43DFBB-FACE-4FC5-9409-943B395A05A9}"/>
    <cellStyle name="Migliaia 19 6 3 5" xfId="9664" xr:uid="{A11F4D50-BCDD-49E4-9AAC-F248D0F44E40}"/>
    <cellStyle name="Migliaia 19 6 4" xfId="20028" xr:uid="{55873864-4A84-4E32-927D-9E10F507B627}"/>
    <cellStyle name="Migliaia 19 6 4 2" xfId="38739" xr:uid="{BAA85C4E-EDCB-4BDF-B838-7EF0E5FA68B9}"/>
    <cellStyle name="Migliaia 19 6 4 3" xfId="44041" xr:uid="{AF79CA51-B8D1-4553-8593-B98D56CCB7AB}"/>
    <cellStyle name="Migliaia 19 6 4 4" xfId="33328" xr:uid="{8C1CF259-6744-47D4-8C73-4D504CE42AD1}"/>
    <cellStyle name="Migliaia 19 6 5" xfId="36235" xr:uid="{0A3C2C0C-F4FA-43AE-A424-7BA558578C72}"/>
    <cellStyle name="Migliaia 19 6 6" xfId="41390" xr:uid="{06D5E3DB-F62E-4CD7-A757-383E451801EE}"/>
    <cellStyle name="Migliaia 19 6 7" xfId="16166" xr:uid="{497BF3DF-BE9F-4EFD-9E04-050F6F78342D}"/>
    <cellStyle name="Migliaia 19 6 8" xfId="7349" xr:uid="{54770B47-5106-465C-A7BC-3AE53F5B45A6}"/>
    <cellStyle name="Migliaia 19 7" xfId="3271" xr:uid="{AF4F06DB-E708-406F-ABF3-550629CB2981}"/>
    <cellStyle name="Migliaia 19 7 2" xfId="4997" xr:uid="{25F5E1BD-2A63-4269-B98E-1FB3CC9225E7}"/>
    <cellStyle name="Migliaia 19 7 2 2" xfId="35196" xr:uid="{BF6C4F3A-28D7-40CF-8454-05A68064D552}"/>
    <cellStyle name="Migliaia 19 7 2 2 2" xfId="40354" xr:uid="{8E93AB57-B516-4B71-9A0B-2BE0A45E82B0}"/>
    <cellStyle name="Migliaia 19 7 2 2 3" xfId="45656" xr:uid="{FA1A310D-6C06-4967-9732-0189D1F6B7AE}"/>
    <cellStyle name="Migliaia 19 7 2 3" xfId="37703" xr:uid="{0B2C1D80-0FE9-40E2-A394-3BA62BEF96B1}"/>
    <cellStyle name="Migliaia 19 7 2 4" xfId="43005" xr:uid="{DA0B3067-1043-4BCE-9FE9-B8B2B4F9A0BE}"/>
    <cellStyle name="Migliaia 19 7 2 5" xfId="14208" xr:uid="{04CC0476-68F8-48FE-B0B9-D1A7ABA07F03}"/>
    <cellStyle name="Migliaia 19 7 3" xfId="6210" xr:uid="{55BDB78C-303D-4D0E-AD1D-619FA0383594}"/>
    <cellStyle name="Migliaia 19 7 3 2" xfId="38740" xr:uid="{255870B3-0735-4BEB-B923-32839B2EDB1D}"/>
    <cellStyle name="Migliaia 19 7 3 3" xfId="44042" xr:uid="{3A75D4B4-DD98-441F-810A-D734A363567A}"/>
    <cellStyle name="Migliaia 19 7 3 4" xfId="33329" xr:uid="{19F4541A-7F6B-496A-BF41-6EFF4BCE5B5A}"/>
    <cellStyle name="Migliaia 19 7 3 5" xfId="20030" xr:uid="{4C31C687-C765-4065-AAF6-CB9228CCD430}"/>
    <cellStyle name="Migliaia 19 7 4" xfId="36236" xr:uid="{4641B8FF-6010-4AF9-A9E3-10430C431DDD}"/>
    <cellStyle name="Migliaia 19 7 5" xfId="41391" xr:uid="{22B2BF61-A236-49AC-BD64-A6E0F83547E8}"/>
    <cellStyle name="Migliaia 19 7 6" xfId="16168" xr:uid="{49C7D5D8-F4C7-4217-9BCB-9F241B29A93A}"/>
    <cellStyle name="Migliaia 19 7 7" xfId="8270" xr:uid="{BEFBF744-9311-4E1B-9383-A10993ADD9B0}"/>
    <cellStyle name="Migliaia 19 8" xfId="3272" xr:uid="{5566C951-33FE-44D7-A4E8-F43C5A3EF700}"/>
    <cellStyle name="Migliaia 19 8 2" xfId="4998" xr:uid="{B8CC2568-7246-4347-916C-67F7C6ABC2A9}"/>
    <cellStyle name="Migliaia 19 8 2 2" xfId="35197" xr:uid="{80C2ABA9-004E-4C6C-BC7D-DF2D31A822D5}"/>
    <cellStyle name="Migliaia 19 8 2 2 2" xfId="40355" xr:uid="{8E9E0D33-0E8B-40EA-B60E-6F6B0E297765}"/>
    <cellStyle name="Migliaia 19 8 2 2 3" xfId="45657" xr:uid="{D9CA7C40-05D5-4A9E-B9F1-31E024932925}"/>
    <cellStyle name="Migliaia 19 8 2 3" xfId="37704" xr:uid="{B5E8B5B6-40DD-4EEC-BB8E-D08C2678FF54}"/>
    <cellStyle name="Migliaia 19 8 2 4" xfId="43006" xr:uid="{68FB98FF-0B3A-4C8B-9C1B-1903A5C3E968}"/>
    <cellStyle name="Migliaia 19 8 2 5" xfId="13911" xr:uid="{F6A67192-6A7C-4AFA-B65C-CB2B8C73BEE3}"/>
    <cellStyle name="Migliaia 19 8 3" xfId="6211" xr:uid="{BA7C29A5-E350-40E2-A6C7-2C692546E808}"/>
    <cellStyle name="Migliaia 19 8 3 2" xfId="38741" xr:uid="{0AEDEF3C-BB9D-4533-8119-BF0B1F38D2B4}"/>
    <cellStyle name="Migliaia 19 8 3 3" xfId="44043" xr:uid="{90B16E7F-8B3D-44FD-A9DA-A07529EE3986}"/>
    <cellStyle name="Migliaia 19 8 3 4" xfId="33330" xr:uid="{AE0E5C99-575E-4330-94D9-57E06691E2F2}"/>
    <cellStyle name="Migliaia 19 8 3 5" xfId="20031" xr:uid="{33A75AD8-3FDC-4AE4-A979-57E0DFB79786}"/>
    <cellStyle name="Migliaia 19 8 4" xfId="36237" xr:uid="{3B72A9A1-4B70-477E-B761-C8E770E1BD94}"/>
    <cellStyle name="Migliaia 19 8 5" xfId="41392" xr:uid="{C5AA8C2D-1954-4F0E-BC35-A436155AD194}"/>
    <cellStyle name="Migliaia 19 8 6" xfId="16169" xr:uid="{B7CACCDC-BF75-4E5F-9D0D-0F7D64E00304}"/>
    <cellStyle name="Migliaia 19 8 7" xfId="7859" xr:uid="{C2D395DD-64E1-4B4B-A554-04551546AA07}"/>
    <cellStyle name="Migliaia 19 9" xfId="4983" xr:uid="{5F3156E5-6723-4E6B-A76C-941F804F61BC}"/>
    <cellStyle name="Migliaia 19 9 2" xfId="33331" xr:uid="{94F1A84B-3C73-45E1-9BF6-0C9084279039}"/>
    <cellStyle name="Migliaia 19 9 2 2" xfId="38742" xr:uid="{76C9448F-71DE-4516-A5EE-947F75D72A95}"/>
    <cellStyle name="Migliaia 19 9 2 3" xfId="44044" xr:uid="{D5983B7A-812E-46F4-8294-3C61C35F8C2F}"/>
    <cellStyle name="Migliaia 19 9 3" xfId="36238" xr:uid="{FBC2D0F9-03F0-40D1-87C3-F5D7A85E7C5E}"/>
    <cellStyle name="Migliaia 19 9 4" xfId="41393" xr:uid="{91D85D67-B73C-4890-966B-CB95C0C1A0A0}"/>
    <cellStyle name="Migliaia 19 9 5" xfId="17155" xr:uid="{A6CA0B53-920C-430E-9463-C8AF544F5F93}"/>
    <cellStyle name="Migliaia 2" xfId="341" xr:uid="{00000000-0005-0000-0000-00001B030000}"/>
    <cellStyle name="Migliaia 2 10" xfId="4999" xr:uid="{1480CEB5-1E07-4C79-8572-8D3FB29E028C}"/>
    <cellStyle name="Migliaia 2 10 2" xfId="33333" xr:uid="{5259A681-EB37-401C-873D-850A99293890}"/>
    <cellStyle name="Migliaia 2 10 2 2" xfId="38744" xr:uid="{B2C27B2F-0A60-4668-842C-2379C9111A09}"/>
    <cellStyle name="Migliaia 2 10 2 3" xfId="44046" xr:uid="{FC82B226-C1B0-425A-9B5E-F0BFE9A7A96F}"/>
    <cellStyle name="Migliaia 2 10 3" xfId="36240" xr:uid="{54272243-0B1B-476B-9C1A-B3316468EAF6}"/>
    <cellStyle name="Migliaia 2 10 4" xfId="41395" xr:uid="{168F3A47-A8B8-445C-AD71-24863FDCCA63}"/>
    <cellStyle name="Migliaia 2 10 5" xfId="17157" xr:uid="{50AB3997-EF98-477D-B36E-B24E5C3BB31F}"/>
    <cellStyle name="Migliaia 2 11" xfId="6212" xr:uid="{E2A3FF69-2D76-49D2-860F-7E229160CB45}"/>
    <cellStyle name="Migliaia 2 11 2" xfId="38743" xr:uid="{F2624769-4AE4-42E5-92C7-F70B9C223DE4}"/>
    <cellStyle name="Migliaia 2 11 3" xfId="44045" xr:uid="{76F776ED-1B2E-46FC-9DED-4D10FB8881EE}"/>
    <cellStyle name="Migliaia 2 11 4" xfId="33332" xr:uid="{C64F5166-0B70-4F66-9D6D-FBB65B3DACB4}"/>
    <cellStyle name="Migliaia 2 11 5" xfId="20032" xr:uid="{776BF45B-35CF-4726-8F40-8787048BACC0}"/>
    <cellStyle name="Migliaia 2 12" xfId="3273" xr:uid="{D9B214DA-C113-486E-9C50-6BFF5CF73B48}"/>
    <cellStyle name="Migliaia 2 12 2" xfId="36239" xr:uid="{C20EB4FE-3AB6-4D92-8929-AD08C6C1ABD0}"/>
    <cellStyle name="Migliaia 2 13" xfId="41394" xr:uid="{A439D3C7-09EA-45FA-A41F-A3D5B3E6FFA4}"/>
    <cellStyle name="Migliaia 2 14" xfId="7074" xr:uid="{46C11791-1B9F-4CC3-9D79-5E38325D1470}"/>
    <cellStyle name="Migliaia 2 2" xfId="342" xr:uid="{00000000-0005-0000-0000-00001C030000}"/>
    <cellStyle name="Migliaia 2 2 2" xfId="343" xr:uid="{00000000-0005-0000-0000-00001D030000}"/>
    <cellStyle name="Migliaia 2 2 2 2" xfId="1708" xr:uid="{00000000-0005-0000-0000-00001E030000}"/>
    <cellStyle name="Migliaia 2 2 2 2 2" xfId="5002" xr:uid="{4151EF42-B990-4EA4-A64D-394F5CA3E2F9}"/>
    <cellStyle name="Migliaia 2 2 2 2 2 2" xfId="14373" xr:uid="{634B9219-E15F-43D6-ACCF-AD7CA4AE05A7}"/>
    <cellStyle name="Migliaia 2 2 2 2 2 2 2" xfId="40356" xr:uid="{400E14BC-391D-4DF8-A163-E0D04DADDEEE}"/>
    <cellStyle name="Migliaia 2 2 2 2 2 2 3" xfId="45658" xr:uid="{F4C9394C-0D96-492C-814B-261DC88D2D18}"/>
    <cellStyle name="Migliaia 2 2 2 2 2 3" xfId="18390" xr:uid="{5356D76D-C968-42B9-BD1F-A45DC1FC35F6}"/>
    <cellStyle name="Migliaia 2 2 2 2 2 3 2" xfId="21848" xr:uid="{6D2BF530-FECE-4CC1-A4B3-072E6A7EBC4E}"/>
    <cellStyle name="Migliaia 2 2 2 2 2 3 3" xfId="37705" xr:uid="{FB23BE44-55ED-4815-A489-246342FC59F0}"/>
    <cellStyle name="Migliaia 2 2 2 2 2 4" xfId="43007" xr:uid="{FDD52600-6612-4217-A03C-74B21C631537}"/>
    <cellStyle name="Migliaia 2 2 2 2 2 5" xfId="46299" xr:uid="{D175D9FE-E1CC-46C4-9706-1ABCBC946822}"/>
    <cellStyle name="Migliaia 2 2 2 2 2 6" xfId="50876" xr:uid="{21416358-302D-4CF7-BE7C-86C06E772A00}"/>
    <cellStyle name="Migliaia 2 2 2 2 2 7" xfId="53892" xr:uid="{0AC4011B-DED9-4D53-8984-1F822949AD6B}"/>
    <cellStyle name="Migliaia 2 2 2 2 2 8" xfId="11927" xr:uid="{E6B9DBA3-3B8E-4239-A384-69527A97D92A}"/>
    <cellStyle name="Migliaia 2 2 2 2 3" xfId="6215" xr:uid="{C9B664DE-3406-4329-AC2B-3BA5854A637C}"/>
    <cellStyle name="Migliaia 2 2 2 2 3 2" xfId="12321" xr:uid="{D2269481-46FE-4CE1-8758-2FEFB2B8BBB0}"/>
    <cellStyle name="Migliaia 2 2 2 2 4" xfId="3276" xr:uid="{27A40D0C-C092-4C67-89EA-E2BF5349A4E2}"/>
    <cellStyle name="Migliaia 2 2 2 2 4 2" xfId="21420" xr:uid="{CAB4D01A-4EFC-4AA0-A682-8C9D0E2C5476}"/>
    <cellStyle name="Migliaia 2 2 2 2 4 3" xfId="48032" xr:uid="{52FE6ECF-5F26-4AF9-86C1-37E5F8AB3296}"/>
    <cellStyle name="Migliaia 2 2 2 2 4 4" xfId="50435" xr:uid="{2DA0DB26-5C7C-48CC-BBD8-7294A0A3E612}"/>
    <cellStyle name="Migliaia 2 2 2 2 4 5" xfId="53451" xr:uid="{575757EE-20DF-4F56-BED4-911EDA53D38D}"/>
    <cellStyle name="Migliaia 2 2 2 2 4 6" xfId="10785" xr:uid="{39409F43-428D-4E1F-9770-2362BEB7FB0C}"/>
    <cellStyle name="Migliaia 2 2 2 2 5" xfId="20035" xr:uid="{BA3B9CAE-8CE1-4CBC-B02D-CE53B1917E1B}"/>
    <cellStyle name="Migliaia 2 2 2 2 6" xfId="24420" xr:uid="{6E81679C-07A5-4FC7-9F6D-55060E62D762}"/>
    <cellStyle name="Migliaia 2 2 2 2 7" xfId="48879" xr:uid="{C993A4CE-CBA9-4226-BA2D-992947409206}"/>
    <cellStyle name="Migliaia 2 2 2 2 8" xfId="49785" xr:uid="{B5E6BF6A-3DB6-4607-91E7-A0AC733D93F9}"/>
    <cellStyle name="Migliaia 2 2 2 2 9" xfId="8546" xr:uid="{039A1A85-E66D-4BC5-A634-215B12AAF005}"/>
    <cellStyle name="Migliaia 2 2 2 3" xfId="5001" xr:uid="{909FAF59-2F5D-45F8-B7F2-5DF77332F382}"/>
    <cellStyle name="Migliaia 2 2 2 3 2" xfId="13916" xr:uid="{327786BB-1CA0-4C4A-9B82-E0FC1E6E189D}"/>
    <cellStyle name="Migliaia 2 2 2 3 2 2" xfId="38746" xr:uid="{50268C34-3EB5-4512-980B-940FF5AFBFBC}"/>
    <cellStyle name="Migliaia 2 2 2 3 2 3" xfId="44048" xr:uid="{0B9B06C9-F0F9-4740-B439-C236B8576FEF}"/>
    <cellStyle name="Migliaia 2 2 2 3 3" xfId="18391" xr:uid="{6FE3F1AA-EC49-4C61-B1F8-B529794AAECF}"/>
    <cellStyle name="Migliaia 2 2 2 3 4" xfId="20036" xr:uid="{E1BA81FE-C021-4007-A482-26851C6B14CA}"/>
    <cellStyle name="Migliaia 2 2 2 3 4 2" xfId="41397" xr:uid="{ADB5545D-A72C-4251-8775-659AF11563E4}"/>
    <cellStyle name="Migliaia 2 2 2 3 5" xfId="16170" xr:uid="{0F95FBF8-F09D-43EE-92DA-55DEE89AE3F9}"/>
    <cellStyle name="Migliaia 2 2 2 3 6" xfId="7865" xr:uid="{9F4D753C-F63F-4DA7-B4CA-6F84F1A47087}"/>
    <cellStyle name="Migliaia 2 2 2 4" xfId="6214" xr:uid="{C8872AF5-4A70-4ABC-A8A7-72D0B07CCC90}"/>
    <cellStyle name="Migliaia 2 2 2 4 2" xfId="35198" xr:uid="{6D22EC10-B13B-415E-9154-6C2C6E725E6B}"/>
    <cellStyle name="Migliaia 2 2 2 4 2 2" xfId="40357" xr:uid="{43DCC28B-BA13-40E4-B125-3E13302E745D}"/>
    <cellStyle name="Migliaia 2 2 2 4 2 3" xfId="45659" xr:uid="{2CF09856-0E22-4455-83D7-1D75D30F75E3}"/>
    <cellStyle name="Migliaia 2 2 2 4 3" xfId="37706" xr:uid="{1B5C71F2-9770-4FD7-AEDC-EE8F2D0F7D76}"/>
    <cellStyle name="Migliaia 2 2 2 4 4" xfId="43008" xr:uid="{601265C3-7DE8-429F-9BD6-6D551EEB2162}"/>
    <cellStyle name="Migliaia 2 2 2 4 5" xfId="13424" xr:uid="{7386B26A-F341-4C69-8266-7FEB61228F3A}"/>
    <cellStyle name="Migliaia 2 2 2 5" xfId="3275" xr:uid="{1EB91DD0-EC1B-452B-8B94-3EB9A3794F69}"/>
    <cellStyle name="Migliaia 2 2 2 5 2" xfId="20034" xr:uid="{ADAF22FB-D013-4D46-936D-5B704C293AC5}"/>
    <cellStyle name="Migliaia 2 2 2 6" xfId="24419" xr:uid="{559A39E9-1294-4080-8CE9-B74883D48836}"/>
    <cellStyle name="Migliaia 2 2 2 7" xfId="7356" xr:uid="{B3ACA9F7-2734-4258-8725-2E75E48A5EDA}"/>
    <cellStyle name="Migliaia 2 2 3" xfId="1709" xr:uid="{00000000-0005-0000-0000-00001F030000}"/>
    <cellStyle name="Migliaia 2 2 3 2" xfId="5003" xr:uid="{01E80628-C824-494C-936A-0574AB80B482}"/>
    <cellStyle name="Migliaia 2 2 3 2 2" xfId="14212" xr:uid="{41D82864-9966-4DBF-8A9C-D8B4EE70FE68}"/>
    <cellStyle name="Migliaia 2 2 3 2 2 2" xfId="38747" xr:uid="{D6CF6732-0D3D-45F4-9E8D-D2A68BB437D9}"/>
    <cellStyle name="Migliaia 2 2 3 2 2 3" xfId="44049" xr:uid="{CDA0D9FB-DDA3-40C0-9E2F-6734FFDDB591}"/>
    <cellStyle name="Migliaia 2 2 3 2 3" xfId="18392" xr:uid="{A968516C-DC7B-47EF-962B-3963726D60B8}"/>
    <cellStyle name="Migliaia 2 2 3 2 3 2" xfId="21849" xr:uid="{DBDFB638-B052-4500-8372-9F7FD10B5021}"/>
    <cellStyle name="Migliaia 2 2 3 2 3 3" xfId="36242" xr:uid="{608A97D5-355D-43A1-8490-99067CB8C4F4}"/>
    <cellStyle name="Migliaia 2 2 3 2 4" xfId="41398" xr:uid="{A54566AB-2EB9-4093-B2AE-439CCCAA1B39}"/>
    <cellStyle name="Migliaia 2 2 3 2 5" xfId="34229" xr:uid="{43996A90-122E-4CF3-ADFC-919FC88D9C3C}"/>
    <cellStyle name="Migliaia 2 2 3 2 6" xfId="50877" xr:uid="{92F08A41-E251-495E-A371-D49505A5ACDC}"/>
    <cellStyle name="Migliaia 2 2 3 2 7" xfId="53893" xr:uid="{FDA94FBE-1235-4F94-B625-D969D85F1346}"/>
    <cellStyle name="Migliaia 2 2 3 2 8" xfId="11928" xr:uid="{C3939CA6-45C3-4CFD-AF33-841938793915}"/>
    <cellStyle name="Migliaia 2 2 3 3" xfId="6216" xr:uid="{E1BC3190-97DF-4C15-A597-B73A2D70083F}"/>
    <cellStyle name="Migliaia 2 2 3 3 2" xfId="12361" xr:uid="{1C5B7197-5FEB-463A-A363-CDB2D3DB1D79}"/>
    <cellStyle name="Migliaia 2 2 3 4" xfId="3277" xr:uid="{C7CBA413-010A-43CB-97D0-248DE553800E}"/>
    <cellStyle name="Migliaia 2 2 3 4 2" xfId="21421" xr:uid="{CFDD191F-A6C2-4A2E-873A-810FDA81F502}"/>
    <cellStyle name="Migliaia 2 2 3 4 3" xfId="32311" xr:uid="{8AA7EAC8-7A01-4494-A1F3-B28374884CBB}"/>
    <cellStyle name="Migliaia 2 2 3 4 4" xfId="50436" xr:uid="{F27E1E43-FC0D-4B8D-812A-F6C4D721ADB1}"/>
    <cellStyle name="Migliaia 2 2 3 4 5" xfId="53452" xr:uid="{5765B041-AA08-4C4B-8123-4719EE610DBC}"/>
    <cellStyle name="Migliaia 2 2 3 4 6" xfId="10786" xr:uid="{1D39699C-5029-425B-861D-033FAE8AF85F}"/>
    <cellStyle name="Migliaia 2 2 3 5" xfId="20037" xr:uid="{4518C99B-33B4-4BA0-B7AD-E9851CF1B4C4}"/>
    <cellStyle name="Migliaia 2 2 3 6" xfId="24421" xr:uid="{6DEAC35A-0284-439A-AD26-718FB366EF82}"/>
    <cellStyle name="Migliaia 2 2 3 7" xfId="8274" xr:uid="{6F9EBFAD-01BA-4C5A-AD2B-384788C66D3B}"/>
    <cellStyle name="Migliaia 2 2 4" xfId="3278" xr:uid="{3D5921FC-0AD1-48B0-A019-A9DA0E364A2A}"/>
    <cellStyle name="Migliaia 2 2 4 2" xfId="5004" xr:uid="{FDFB4F86-09F9-40DF-AA98-CFA4057DC610}"/>
    <cellStyle name="Migliaia 2 2 4 2 2" xfId="35199" xr:uid="{F9026A45-0502-4139-B406-91B84F8AAEDD}"/>
    <cellStyle name="Migliaia 2 2 4 2 2 2" xfId="40358" xr:uid="{FC015540-03A4-4CCA-8C05-A24ECDA8DE3A}"/>
    <cellStyle name="Migliaia 2 2 4 2 2 3" xfId="45660" xr:uid="{B3510D9A-36C7-4174-AC80-C6C69AD107F1}"/>
    <cellStyle name="Migliaia 2 2 4 2 3" xfId="37707" xr:uid="{AD8613F2-32B9-4882-844E-5A5AD52FABB4}"/>
    <cellStyle name="Migliaia 2 2 4 2 4" xfId="43009" xr:uid="{C0CAB8EC-EB94-4306-8367-C48CD69F51A5}"/>
    <cellStyle name="Migliaia 2 2 4 2 5" xfId="13915" xr:uid="{BDD5D86C-D37C-4DE0-A4AB-A569EDF16618}"/>
    <cellStyle name="Migliaia 2 2 4 3" xfId="6217" xr:uid="{21AFA343-1DC7-460D-A31D-639A802EBC7E}"/>
    <cellStyle name="Migliaia 2 2 4 3 2" xfId="38748" xr:uid="{6E9A2AFD-F220-4BFB-B036-4B2B8D4A0B8C}"/>
    <cellStyle name="Migliaia 2 2 4 3 3" xfId="44050" xr:uid="{79C7EB68-1384-4319-8349-51EE9FFA6351}"/>
    <cellStyle name="Migliaia 2 2 4 3 4" xfId="33335" xr:uid="{E7B13EB4-4E8F-4CF7-99E6-C79252946433}"/>
    <cellStyle name="Migliaia 2 2 4 3 5" xfId="20038" xr:uid="{A0677FDB-FBA4-40CB-843F-24AC4FA621F4}"/>
    <cellStyle name="Migliaia 2 2 4 4" xfId="36243" xr:uid="{389A1875-749B-4BFA-9C79-5D310B37F0D6}"/>
    <cellStyle name="Migliaia 2 2 4 5" xfId="41399" xr:uid="{BE606A08-AA59-4803-A4B7-411D48BBC2DC}"/>
    <cellStyle name="Migliaia 2 2 4 6" xfId="16171" xr:uid="{46942864-3D3A-4715-BA29-71D6206C761A}"/>
    <cellStyle name="Migliaia 2 2 4 7" xfId="7864" xr:uid="{22F5CFD2-C1C3-4551-9136-68009288CF83}"/>
    <cellStyle name="Migliaia 2 2 5" xfId="5000" xr:uid="{7FC49C26-C1A9-4FB4-B783-69D167268BA9}"/>
    <cellStyle name="Migliaia 2 2 5 2" xfId="33336" xr:uid="{21BD6EB9-BAE7-4F11-991A-FE6168510A53}"/>
    <cellStyle name="Migliaia 2 2 5 2 2" xfId="38749" xr:uid="{5EC8219C-DBA6-4828-862E-D2C2789588F0}"/>
    <cellStyle name="Migliaia 2 2 5 2 3" xfId="44051" xr:uid="{F1FB615B-6A86-4A4B-90F9-88CD4C1A1184}"/>
    <cellStyle name="Migliaia 2 2 5 3" xfId="36244" xr:uid="{00BF8782-5BFA-4773-8FA6-B05C34021889}"/>
    <cellStyle name="Migliaia 2 2 5 4" xfId="41400" xr:uid="{0F0498C4-104D-40DD-9883-365408396277}"/>
    <cellStyle name="Migliaia 2 2 5 5" xfId="13113" xr:uid="{82F527F3-5841-45D2-9650-F093E2B88549}"/>
    <cellStyle name="Migliaia 2 2 6" xfId="6213" xr:uid="{E99B7043-BBBD-4ED5-9F1B-376533687FEF}"/>
    <cellStyle name="Migliaia 2 2 6 2" xfId="38745" xr:uid="{E2907E9B-4BB7-464F-BA40-A828F4FEA6A5}"/>
    <cellStyle name="Migliaia 2 2 6 3" xfId="44047" xr:uid="{EEE55B37-A448-42B9-A9CC-1697A6D5BAA6}"/>
    <cellStyle name="Migliaia 2 2 6 4" xfId="33334" xr:uid="{DFBBCCF2-AD28-448F-A0B1-59B168C6F938}"/>
    <cellStyle name="Migliaia 2 2 6 5" xfId="20033" xr:uid="{F42B524A-6A34-4FFA-9C1B-83269BDE2F4E}"/>
    <cellStyle name="Migliaia 2 2 7" xfId="3274" xr:uid="{8E4D8616-416F-4F8B-84CE-4463CE69F919}"/>
    <cellStyle name="Migliaia 2 2 7 2" xfId="36241" xr:uid="{D55A64BB-4819-4E7D-9C18-35715BF895C9}"/>
    <cellStyle name="Migliaia 2 2 8" xfId="41396" xr:uid="{1DDC7795-A460-4415-9E58-AD3FABCB59DF}"/>
    <cellStyle name="Migliaia 2 2 9" xfId="7075" xr:uid="{F1337438-DC36-4938-87C2-0691AF7BEA35}"/>
    <cellStyle name="Migliaia 2 3" xfId="344" xr:uid="{00000000-0005-0000-0000-000020030000}"/>
    <cellStyle name="Migliaia 2 3 2" xfId="345" xr:uid="{00000000-0005-0000-0000-000021030000}"/>
    <cellStyle name="Migliaia 2 3 2 2" xfId="1710" xr:uid="{00000000-0005-0000-0000-000022030000}"/>
    <cellStyle name="Migliaia 2 3 2 2 2" xfId="5007" xr:uid="{23FD522D-2D1F-4361-8EEB-80C70AB7C9B6}"/>
    <cellStyle name="Migliaia 2 3 2 2 2 2" xfId="14374" xr:uid="{4EABF0AA-515B-471B-939E-AE0B2C457C3C}"/>
    <cellStyle name="Migliaia 2 3 2 2 2 2 2" xfId="40359" xr:uid="{33E81392-3E0D-40B5-A508-7330CB850B2D}"/>
    <cellStyle name="Migliaia 2 3 2 2 2 2 3" xfId="45661" xr:uid="{32FFE910-2DB4-4C8E-8C18-5EAE7415CD9A}"/>
    <cellStyle name="Migliaia 2 3 2 2 2 3" xfId="18393" xr:uid="{3E6A2B54-FE88-4C84-B6C2-778EA3DED3CD}"/>
    <cellStyle name="Migliaia 2 3 2 2 2 3 2" xfId="21850" xr:uid="{B346645F-2A1E-4BC0-81DE-003C3DCB447C}"/>
    <cellStyle name="Migliaia 2 3 2 2 2 3 3" xfId="37708" xr:uid="{41D79DE5-A80E-4724-A19E-C0253A1B2B42}"/>
    <cellStyle name="Migliaia 2 3 2 2 2 4" xfId="43010" xr:uid="{B4D968D3-455F-4608-83A6-8A1A503BF7B1}"/>
    <cellStyle name="Migliaia 2 3 2 2 2 5" xfId="48102" xr:uid="{761EA916-CECF-43E0-BE3C-6721CCAC798E}"/>
    <cellStyle name="Migliaia 2 3 2 2 2 6" xfId="50878" xr:uid="{D8F0360F-777A-4E29-8848-020F536B873B}"/>
    <cellStyle name="Migliaia 2 3 2 2 2 7" xfId="53894" xr:uid="{4C315017-F0BB-4862-87C7-BFF9F94DFF86}"/>
    <cellStyle name="Migliaia 2 3 2 2 2 8" xfId="11929" xr:uid="{9E7712A9-FC2D-4E58-A263-341A8E1EE7E5}"/>
    <cellStyle name="Migliaia 2 3 2 2 3" xfId="6220" xr:uid="{CFE0DA81-A6B2-4F4B-A137-CB592F01CAF8}"/>
    <cellStyle name="Migliaia 2 3 2 2 3 2" xfId="12320" xr:uid="{5C190C4E-EEAC-4502-9E69-6195C3652DBD}"/>
    <cellStyle name="Migliaia 2 3 2 2 4" xfId="3281" xr:uid="{46959D5D-19D9-46C3-AE7C-4377508B6F29}"/>
    <cellStyle name="Migliaia 2 3 2 2 4 2" xfId="21422" xr:uid="{AD6F2EA0-DFC2-4F0F-8F95-C6837B5C90FD}"/>
    <cellStyle name="Migliaia 2 3 2 2 4 3" xfId="48237" xr:uid="{BB82D588-6CE2-4C7E-B042-183595EA261A}"/>
    <cellStyle name="Migliaia 2 3 2 2 4 4" xfId="50437" xr:uid="{AA10A300-0AB9-4C7E-B996-A1426F9F6DF7}"/>
    <cellStyle name="Migliaia 2 3 2 2 4 5" xfId="53453" xr:uid="{9A961663-4E68-4C78-ACD2-B50942CBB37B}"/>
    <cellStyle name="Migliaia 2 3 2 2 4 6" xfId="10787" xr:uid="{E9D074DC-21EC-4D6B-9909-44401B1EC832}"/>
    <cellStyle name="Migliaia 2 3 2 2 5" xfId="20041" xr:uid="{277D31A5-A4B2-4BAA-831A-C0C1E97EC72A}"/>
    <cellStyle name="Migliaia 2 3 2 2 6" xfId="24423" xr:uid="{E3DE3A4B-55D9-40E2-BD61-02071F0C15CA}"/>
    <cellStyle name="Migliaia 2 3 2 2 7" xfId="48880" xr:uid="{1531DA26-93F0-4266-B1D7-2FD07232DD72}"/>
    <cellStyle name="Migliaia 2 3 2 2 8" xfId="49786" xr:uid="{0AE33CBE-35F5-4055-B27D-362582745849}"/>
    <cellStyle name="Migliaia 2 3 2 2 9" xfId="8547" xr:uid="{C7321832-4C68-4527-9E8F-3EE59151B027}"/>
    <cellStyle name="Migliaia 2 3 2 3" xfId="5006" xr:uid="{90607764-0333-47FE-8ADD-08043CADD077}"/>
    <cellStyle name="Migliaia 2 3 2 3 2" xfId="13918" xr:uid="{87B6CF00-5BFD-487E-94B9-CF62605EA4EB}"/>
    <cellStyle name="Migliaia 2 3 2 3 2 2" xfId="38751" xr:uid="{9D8865E1-60CA-489D-AE63-CEFBC2C03D50}"/>
    <cellStyle name="Migliaia 2 3 2 3 2 3" xfId="44053" xr:uid="{F7E3E1E4-32C2-4238-8DEA-BC2DF2AF00E2}"/>
    <cellStyle name="Migliaia 2 3 2 3 3" xfId="18394" xr:uid="{F3935CFD-B2E7-4D7A-9659-ED164322E0BA}"/>
    <cellStyle name="Migliaia 2 3 2 3 4" xfId="20042" xr:uid="{1C9A0EF9-7EB5-4710-A37B-E02A1C08727D}"/>
    <cellStyle name="Migliaia 2 3 2 3 4 2" xfId="41402" xr:uid="{2235B3F9-EE6C-4616-BE3B-AFD2A1A12726}"/>
    <cellStyle name="Migliaia 2 3 2 3 5" xfId="16172" xr:uid="{0CF55406-B8AC-461F-9F9D-7FB0EDA80A59}"/>
    <cellStyle name="Migliaia 2 3 2 3 6" xfId="7867" xr:uid="{72E1BF35-0858-4F5E-90AE-6F6EB73AE265}"/>
    <cellStyle name="Migliaia 2 3 2 4" xfId="6219" xr:uid="{39D79570-887C-4031-BE1A-84DF0F37F61B}"/>
    <cellStyle name="Migliaia 2 3 2 4 2" xfId="35200" xr:uid="{87E1C5F8-7EA9-40E2-BA42-59999D3091EC}"/>
    <cellStyle name="Migliaia 2 3 2 4 2 2" xfId="40360" xr:uid="{4CBAC95D-F3C4-4101-AD14-512479F22E7B}"/>
    <cellStyle name="Migliaia 2 3 2 4 2 3" xfId="45662" xr:uid="{ACE6B89A-A956-4C1E-AB11-AC7685A84EF0}"/>
    <cellStyle name="Migliaia 2 3 2 4 3" xfId="37709" xr:uid="{47F7759C-2F54-4FB7-8EEF-C424D2D1DB41}"/>
    <cellStyle name="Migliaia 2 3 2 4 4" xfId="43011" xr:uid="{732AE90D-36F6-4D4C-BE24-416C50D238EC}"/>
    <cellStyle name="Migliaia 2 3 2 4 5" xfId="13425" xr:uid="{627494CC-6B9E-4EFC-ABC2-24D1E1F9ED66}"/>
    <cellStyle name="Migliaia 2 3 2 5" xfId="3280" xr:uid="{D21DD2B8-0CC5-449D-A615-A2CEA3998AE9}"/>
    <cellStyle name="Migliaia 2 3 2 5 2" xfId="20040" xr:uid="{1F3342D6-695B-42C8-9E71-09C5531E02F4}"/>
    <cellStyle name="Migliaia 2 3 2 6" xfId="24422" xr:uid="{61956F49-E230-4AA6-9051-8F1399F89A5D}"/>
    <cellStyle name="Migliaia 2 3 2 7" xfId="7357" xr:uid="{B9162646-3E61-45D4-A31B-AE16D1A3BAD2}"/>
    <cellStyle name="Migliaia 2 3 3" xfId="1711" xr:uid="{00000000-0005-0000-0000-000023030000}"/>
    <cellStyle name="Migliaia 2 3 3 2" xfId="5008" xr:uid="{32E7F843-F741-464B-92D9-9D98A020FAD1}"/>
    <cellStyle name="Migliaia 2 3 3 2 2" xfId="14213" xr:uid="{64E764AA-A75A-4073-BDCF-C52135B0E42E}"/>
    <cellStyle name="Migliaia 2 3 3 2 2 2" xfId="38752" xr:uid="{E9C22E07-0751-4BEA-9BE9-E51425F5AF46}"/>
    <cellStyle name="Migliaia 2 3 3 2 2 3" xfId="44054" xr:uid="{422F67EA-3F9E-4827-BF05-5BA70CF6DD43}"/>
    <cellStyle name="Migliaia 2 3 3 2 3" xfId="18395" xr:uid="{28A6C0A4-0EC3-44D3-920D-E8C0264E3ABF}"/>
    <cellStyle name="Migliaia 2 3 3 2 3 2" xfId="21851" xr:uid="{F3022CC2-6970-43E5-A284-B3EE0086B3FE}"/>
    <cellStyle name="Migliaia 2 3 3 2 3 3" xfId="36246" xr:uid="{04F2884F-EAD8-472C-82D2-262BB4131988}"/>
    <cellStyle name="Migliaia 2 3 3 2 4" xfId="41403" xr:uid="{4B3ADBF8-3923-43DE-9CC4-6308A376AFFF}"/>
    <cellStyle name="Migliaia 2 3 3 2 5" xfId="46745" xr:uid="{98604482-C3E5-4176-9064-748C0BA4B85C}"/>
    <cellStyle name="Migliaia 2 3 3 2 6" xfId="50879" xr:uid="{04E790E9-EEC2-4B17-96D8-A5C934669C1C}"/>
    <cellStyle name="Migliaia 2 3 3 2 7" xfId="53895" xr:uid="{90C9F93C-5E82-4A33-B797-1D7C5D93DB85}"/>
    <cellStyle name="Migliaia 2 3 3 2 8" xfId="11930" xr:uid="{5ECF33B0-32F0-47E3-A5B3-5C8934352680}"/>
    <cellStyle name="Migliaia 2 3 3 3" xfId="6221" xr:uid="{CBED6DD8-C44F-4484-ADDF-27053AA8F4D9}"/>
    <cellStyle name="Migliaia 2 3 3 3 2" xfId="12206" xr:uid="{16EA82D8-46BC-4F56-9FC0-C916745E8CA9}"/>
    <cellStyle name="Migliaia 2 3 3 4" xfId="3282" xr:uid="{58CB81B8-7558-4515-99EF-269EE35CBD77}"/>
    <cellStyle name="Migliaia 2 3 3 4 2" xfId="21423" xr:uid="{53E77737-E01E-462E-A80F-BA851369D4F3}"/>
    <cellStyle name="Migliaia 2 3 3 4 3" xfId="46220" xr:uid="{8838C759-18F3-4F48-9014-74B7145CB6CE}"/>
    <cellStyle name="Migliaia 2 3 3 4 4" xfId="50438" xr:uid="{7BBA7246-AF7F-4160-A81E-919BB565683D}"/>
    <cellStyle name="Migliaia 2 3 3 4 5" xfId="53454" xr:uid="{21B9C977-9381-445F-8A49-8418F76AD605}"/>
    <cellStyle name="Migliaia 2 3 3 4 6" xfId="10788" xr:uid="{BD1AEBAB-84B7-4AC8-9CCD-45111CD1FD79}"/>
    <cellStyle name="Migliaia 2 3 3 5" xfId="20043" xr:uid="{3A6EF7C2-0D95-4E5F-A477-92C234960B75}"/>
    <cellStyle name="Migliaia 2 3 3 6" xfId="24424" xr:uid="{D66C38E9-1D24-4C1A-B81A-F8CA6DCFFDB7}"/>
    <cellStyle name="Migliaia 2 3 3 7" xfId="8275" xr:uid="{4E154A4D-0F88-4961-9BFA-BBE13C6757DE}"/>
    <cellStyle name="Migliaia 2 3 4" xfId="3283" xr:uid="{1046049D-0618-453C-8721-E7E3AFA1BBC5}"/>
    <cellStyle name="Migliaia 2 3 4 2" xfId="5009" xr:uid="{B06C11EE-4197-421B-B65A-F2F6E68134C9}"/>
    <cellStyle name="Migliaia 2 3 4 2 2" xfId="35201" xr:uid="{62537689-733E-407C-9977-DDB19CD25A23}"/>
    <cellStyle name="Migliaia 2 3 4 2 2 2" xfId="40361" xr:uid="{7816C2CA-1DE9-4C3D-ABFD-14C7800EF0C1}"/>
    <cellStyle name="Migliaia 2 3 4 2 2 3" xfId="45663" xr:uid="{6F0848A5-8F3C-4C71-921F-C6B3A8D6E8DA}"/>
    <cellStyle name="Migliaia 2 3 4 2 3" xfId="37710" xr:uid="{7C5FC91A-63FB-4E68-A103-E61DB032C598}"/>
    <cellStyle name="Migliaia 2 3 4 2 4" xfId="43012" xr:uid="{6BDCBD88-0A95-49F5-853F-33C53A10D233}"/>
    <cellStyle name="Migliaia 2 3 4 2 5" xfId="13917" xr:uid="{8D38F847-41E6-4001-B0E1-13C57F20BA7B}"/>
    <cellStyle name="Migliaia 2 3 4 3" xfId="6222" xr:uid="{4E13B1AE-3BFC-4C3C-8CC9-9AC679DF91EF}"/>
    <cellStyle name="Migliaia 2 3 4 3 2" xfId="38753" xr:uid="{DDC512B7-7612-4D0B-AA06-A6C5203A952E}"/>
    <cellStyle name="Migliaia 2 3 4 3 3" xfId="44055" xr:uid="{B8CAB0BE-2679-4C77-AC6E-6E229EF06A79}"/>
    <cellStyle name="Migliaia 2 3 4 3 4" xfId="33338" xr:uid="{11F52A5A-028F-49DB-9B58-DC3104695454}"/>
    <cellStyle name="Migliaia 2 3 4 3 5" xfId="20044" xr:uid="{63E31A92-4655-4715-96AA-61AACD8C62F1}"/>
    <cellStyle name="Migliaia 2 3 4 4" xfId="36247" xr:uid="{E7160A3A-081E-4C3A-A07F-AEBE477418C6}"/>
    <cellStyle name="Migliaia 2 3 4 5" xfId="41404" xr:uid="{B5089F96-9C2E-42CE-9D58-D311BB477DE0}"/>
    <cellStyle name="Migliaia 2 3 4 6" xfId="16173" xr:uid="{CBF2C6C3-DEF0-48CE-8CFA-A88577EB0CD7}"/>
    <cellStyle name="Migliaia 2 3 4 7" xfId="7866" xr:uid="{5A496B8A-7265-4F59-A8EC-9059852C57C3}"/>
    <cellStyle name="Migliaia 2 3 5" xfId="5005" xr:uid="{FE31A036-F8A8-4D03-A7EB-D665C8849A76}"/>
    <cellStyle name="Migliaia 2 3 5 2" xfId="33339" xr:uid="{C8BF8B99-CF52-4885-8EDF-48E72B2BA22C}"/>
    <cellStyle name="Migliaia 2 3 5 2 2" xfId="38754" xr:uid="{56BDE571-79C8-4EF8-BFFB-EBDACF366AF8}"/>
    <cellStyle name="Migliaia 2 3 5 2 3" xfId="44056" xr:uid="{E14F59FC-74AF-4CDA-9552-619F723ABCD0}"/>
    <cellStyle name="Migliaia 2 3 5 3" xfId="36248" xr:uid="{DF419E1B-AD3C-4989-A3F9-ACAD12B0F689}"/>
    <cellStyle name="Migliaia 2 3 5 4" xfId="41405" xr:uid="{610F5657-492E-45B4-866A-AA41000A013A}"/>
    <cellStyle name="Migliaia 2 3 5 5" xfId="13114" xr:uid="{313DDAC7-B3DE-44F2-8A28-EEC98135726C}"/>
    <cellStyle name="Migliaia 2 3 6" xfId="6218" xr:uid="{F415DDD9-26DC-4E6A-8F43-27B2BA59D7A2}"/>
    <cellStyle name="Migliaia 2 3 6 2" xfId="38750" xr:uid="{0BDCBA4D-4E6D-49BF-9E74-8B8956C8BD88}"/>
    <cellStyle name="Migliaia 2 3 6 3" xfId="44052" xr:uid="{2B4B1203-743F-4607-A2CE-DFE403C01910}"/>
    <cellStyle name="Migliaia 2 3 6 4" xfId="33337" xr:uid="{3F74DDFA-21E4-47C9-846C-435EFC61B321}"/>
    <cellStyle name="Migliaia 2 3 6 5" xfId="20039" xr:uid="{29398D2B-297E-4E7C-B410-0C8D9398C4DE}"/>
    <cellStyle name="Migliaia 2 3 7" xfId="3279" xr:uid="{6A53BADA-415B-42DD-91A8-5A6BAE9B0D2D}"/>
    <cellStyle name="Migliaia 2 3 7 2" xfId="36245" xr:uid="{7EFEF9FD-EA3C-40F6-A85C-65536C3ABBE2}"/>
    <cellStyle name="Migliaia 2 3 8" xfId="41401" xr:uid="{41B3BC09-7B01-4B76-8204-F941FBD3A4A2}"/>
    <cellStyle name="Migliaia 2 3 9" xfId="7076" xr:uid="{C4A315EF-6789-435A-83FD-63EEF8883597}"/>
    <cellStyle name="Migliaia 2 4" xfId="346" xr:uid="{00000000-0005-0000-0000-000024030000}"/>
    <cellStyle name="Migliaia 2 4 10" xfId="24425" xr:uid="{94909370-37FC-4EF1-BB1F-4B3BC62776BE}"/>
    <cellStyle name="Migliaia 2 4 11" xfId="16174" xr:uid="{27E50699-F19E-4808-BB93-F802378E38C2}"/>
    <cellStyle name="Migliaia 2 4 12" xfId="7077" xr:uid="{A0F4F46B-0797-436D-91F5-F18AE1855D21}"/>
    <cellStyle name="Migliaia 2 4 2" xfId="347" xr:uid="{00000000-0005-0000-0000-000025030000}"/>
    <cellStyle name="Migliaia 2 4 2 2" xfId="1712" xr:uid="{00000000-0005-0000-0000-000026030000}"/>
    <cellStyle name="Migliaia 2 4 2 2 2" xfId="5012" xr:uid="{E8E4F5F2-E2AB-42E8-A528-C5B8C0F01698}"/>
    <cellStyle name="Migliaia 2 4 2 2 2 2" xfId="18396" xr:uid="{3887D09A-46CA-4159-B5FF-3D5B4AC5233A}"/>
    <cellStyle name="Migliaia 2 4 2 2 2 2 2" xfId="21852" xr:uid="{9A5FCCF4-A082-49CB-8C4F-E0D38363DAAA}"/>
    <cellStyle name="Migliaia 2 4 2 2 2 2 2 2" xfId="38755" xr:uid="{992AECA4-EF4D-4ABB-88EB-946585A1FF8A}"/>
    <cellStyle name="Migliaia 2 4 2 2 2 2 3" xfId="44057" xr:uid="{B4ECD0EB-AB7B-4BE0-AB14-DB46F84C44B0}"/>
    <cellStyle name="Migliaia 2 4 2 2 2 2 4" xfId="33340" xr:uid="{861887CA-5ECD-40F0-94C1-615ED97865DE}"/>
    <cellStyle name="Migliaia 2 4 2 2 2 3" xfId="36249" xr:uid="{E8FA4111-974B-4C23-99EB-B3771CDB4516}"/>
    <cellStyle name="Migliaia 2 4 2 2 2 4" xfId="41406" xr:uid="{B65AE30D-F993-470C-97DD-0B49653A3F6B}"/>
    <cellStyle name="Migliaia 2 4 2 2 2 5" xfId="32369" xr:uid="{033097A5-1487-449B-8901-1BB1B682E379}"/>
    <cellStyle name="Migliaia 2 4 2 2 2 6" xfId="50880" xr:uid="{3B63C355-E090-4EE2-8C58-F644CAA4D6B5}"/>
    <cellStyle name="Migliaia 2 4 2 2 2 7" xfId="53896" xr:uid="{C151AE7F-ABBC-414A-AF2B-34935448F595}"/>
    <cellStyle name="Migliaia 2 4 2 2 2 8" xfId="17649" xr:uid="{F5D8B2FF-8BA3-45BF-A6EF-A1B01305E346}"/>
    <cellStyle name="Migliaia 2 4 2 2 2 9" xfId="11931" xr:uid="{C81C21F8-8B94-4ACD-B0BF-7E64941094DA}"/>
    <cellStyle name="Migliaia 2 4 2 2 3" xfId="6225" xr:uid="{32AAB6BA-F6BD-4F97-88BD-E82E2FE18686}"/>
    <cellStyle name="Migliaia 2 4 2 2 3 2" xfId="11135" xr:uid="{E7B8923D-5FD3-4245-B82E-BAB032A938BE}"/>
    <cellStyle name="Migliaia 2 4 2 2 4" xfId="3286" xr:uid="{93EBDA48-AC11-4098-A9DE-A4321B82135D}"/>
    <cellStyle name="Migliaia 2 4 2 2 4 2" xfId="21424" xr:uid="{22E08E11-3A2F-4E6C-A135-872E163714C5}"/>
    <cellStyle name="Migliaia 2 4 2 2 4 3" xfId="48173" xr:uid="{B311725B-E0A8-4478-887E-41C82A872CB0}"/>
    <cellStyle name="Migliaia 2 4 2 2 4 4" xfId="50439" xr:uid="{773C6CDB-6A54-4F57-BD27-CCE65CD3451C}"/>
    <cellStyle name="Migliaia 2 4 2 2 4 5" xfId="53455" xr:uid="{6B36D3D4-FDA0-407C-B26D-BE7F20D49047}"/>
    <cellStyle name="Migliaia 2 4 2 2 4 6" xfId="10789" xr:uid="{DEFC1065-1017-4544-9D44-0E1CB54EC221}"/>
    <cellStyle name="Migliaia 2 4 2 2 5" xfId="20047" xr:uid="{3FA2CD42-4E42-4DEB-8CDA-4F94BC29A48C}"/>
    <cellStyle name="Migliaia 2 4 2 2 6" xfId="24427" xr:uid="{F7B10CC9-4B8D-4D35-92F5-88CFD862F6F8}"/>
    <cellStyle name="Migliaia 2 4 2 2 7" xfId="8549" xr:uid="{67F136E0-79D8-47F5-9E7D-CF8B0A5CBFDF}"/>
    <cellStyle name="Migliaia 2 4 2 3" xfId="5011" xr:uid="{EFB12892-107F-4990-BE20-6C86ABA3CE33}"/>
    <cellStyle name="Migliaia 2 4 2 3 2" xfId="11656" xr:uid="{F8F18FBA-5E87-46B2-92C2-C130BB255D50}"/>
    <cellStyle name="Migliaia 2 4 2 3 2 2" xfId="38756" xr:uid="{D4C8504A-E16C-47C7-AF25-7B9E5205838D}"/>
    <cellStyle name="Migliaia 2 4 2 3 2 3" xfId="44058" xr:uid="{2F59D9A1-E42E-45EB-A1F5-60409F80C7FE}"/>
    <cellStyle name="Migliaia 2 4 2 3 2 4" xfId="33341" xr:uid="{8ACF2B1C-467C-4785-8718-83BC02487F48}"/>
    <cellStyle name="Migliaia 2 4 2 3 3" xfId="11932" xr:uid="{436C3C78-9C83-4408-AF68-1C9C99C1D1CB}"/>
    <cellStyle name="Migliaia 2 4 2 3 4" xfId="20048" xr:uid="{8B1260B5-EECA-4538-B49F-E6BA5B1A1DA0}"/>
    <cellStyle name="Migliaia 2 4 2 3 4 2" xfId="41407" xr:uid="{C7CF1141-1858-4DF7-BF8F-EBCC044AFFD6}"/>
    <cellStyle name="Migliaia 2 4 2 3 5" xfId="16175" xr:uid="{5AA603F1-C11D-42CD-849B-17EE80C16677}"/>
    <cellStyle name="Migliaia 2 4 2 3 6" xfId="7869" xr:uid="{3FFA4FFF-91C6-4CE2-BBFF-41642650A566}"/>
    <cellStyle name="Migliaia 2 4 2 4" xfId="6224" xr:uid="{346D6FCC-A8B2-4A45-8C76-ABCB6081163D}"/>
    <cellStyle name="Migliaia 2 4 2 4 2" xfId="18068" xr:uid="{BCEBEC2F-EF0A-47B2-8784-72FA0E746B75}"/>
    <cellStyle name="Migliaia 2 4 2 4 2 2" xfId="38757" xr:uid="{9D634947-2E62-4682-9892-9B33FC491852}"/>
    <cellStyle name="Migliaia 2 4 2 4 2 3" xfId="44059" xr:uid="{AF23BEF5-FFC7-4F2A-AF0A-805B02D3874E}"/>
    <cellStyle name="Migliaia 2 4 2 4 3" xfId="36250" xr:uid="{5AEE5AEA-0E91-4482-A819-D416562EBA8B}"/>
    <cellStyle name="Migliaia 2 4 2 4 4" xfId="41408" xr:uid="{23967B0A-0EED-496B-B242-E2953D463882}"/>
    <cellStyle name="Migliaia 2 4 2 4 5" xfId="17158" xr:uid="{7235D10B-EB52-4446-94DF-B998AC2E2359}"/>
    <cellStyle name="Migliaia 2 4 2 4 6" xfId="11280" xr:uid="{C7A99DA0-44F2-49C8-85F2-781A3FF72582}"/>
    <cellStyle name="Migliaia 2 4 2 5" xfId="3285" xr:uid="{D4B547F0-ED5F-46EE-A72A-C6C01C6C62E7}"/>
    <cellStyle name="Migliaia 2 4 2 5 2" xfId="33342" xr:uid="{F639744C-3CA3-49A7-9707-A30F11550FC5}"/>
    <cellStyle name="Migliaia 2 4 2 5 2 2" xfId="38758" xr:uid="{DF01655E-8E80-40F5-A421-0191FE21F5B8}"/>
    <cellStyle name="Migliaia 2 4 2 5 2 3" xfId="44060" xr:uid="{0FF647B3-1478-43F2-89C2-DDF65017606F}"/>
    <cellStyle name="Migliaia 2 4 2 5 3" xfId="36251" xr:uid="{D42C274C-9DFB-4EAA-8FCF-9A7950CF2208}"/>
    <cellStyle name="Migliaia 2 4 2 5 4" xfId="41409" xr:uid="{01B45585-2ED5-4505-A35C-F8C63AA6D3AA}"/>
    <cellStyle name="Migliaia 2 4 2 5 5" xfId="17393" xr:uid="{99B6405E-8577-46BF-9DCE-69AD5BFC6753}"/>
    <cellStyle name="Migliaia 2 4 2 6" xfId="20046" xr:uid="{382BE7FF-80E1-4669-976E-12FEE110776D}"/>
    <cellStyle name="Migliaia 2 4 2 6 2" xfId="33343" xr:uid="{79BA1B1A-FF34-4C55-B3E8-F59DFB3CC183}"/>
    <cellStyle name="Migliaia 2 4 2 6 2 2" xfId="38759" xr:uid="{49EE6B11-F658-4A81-A002-5B1FD76629E4}"/>
    <cellStyle name="Migliaia 2 4 2 6 2 3" xfId="44061" xr:uid="{076A9673-A5F0-4116-8E99-021A20E4C246}"/>
    <cellStyle name="Migliaia 2 4 2 6 3" xfId="36252" xr:uid="{F6A0F061-82B8-4218-AD85-AB4BFC72493B}"/>
    <cellStyle name="Migliaia 2 4 2 6 4" xfId="41410" xr:uid="{8B7655C1-2F8D-4597-BE3E-367A45A2570B}"/>
    <cellStyle name="Migliaia 2 4 2 6 5" xfId="24428" xr:uid="{C4820288-4F45-4886-86D9-2E706AC1B7EB}"/>
    <cellStyle name="Migliaia 2 4 2 7" xfId="24426" xr:uid="{88A9C379-64F3-455A-A07F-CF9274E5AFF5}"/>
    <cellStyle name="Migliaia 2 4 2 8" xfId="7359" xr:uid="{612D6CC2-A562-4C53-8B73-4441D76CEAC4}"/>
    <cellStyle name="Migliaia 2 4 3" xfId="3287" xr:uid="{6773787C-506C-4F7A-B3F4-FC25C2A3FD3D}"/>
    <cellStyle name="Migliaia 2 4 3 10" xfId="7358" xr:uid="{33311101-B47F-4D14-8BE9-8654DDFABB91}"/>
    <cellStyle name="Migliaia 2 4 3 2" xfId="5013" xr:uid="{A7C3AE6B-5FE9-4093-BB37-ABF4D206E5DD}"/>
    <cellStyle name="Migliaia 2 4 3 2 2" xfId="9904" xr:uid="{7E724A2F-7358-4297-9D72-983DA515017E}"/>
    <cellStyle name="Migliaia 2 4 3 2 2 2" xfId="38761" xr:uid="{B40B8A87-B4BC-41AE-96E5-5C466E4D8CD4}"/>
    <cellStyle name="Migliaia 2 4 3 2 2 3" xfId="44063" xr:uid="{0ED910AF-3FD3-4064-82D7-429284062633}"/>
    <cellStyle name="Migliaia 2 4 3 2 3" xfId="18184" xr:uid="{AF719FB3-17AF-48DD-8F14-F23D3DF8E195}"/>
    <cellStyle name="Migliaia 2 4 3 2 4" xfId="20050" xr:uid="{529C2AD4-6323-46CF-8D41-B3812FF1D0B5}"/>
    <cellStyle name="Migliaia 2 4 3 2 4 2" xfId="41412" xr:uid="{DEDA3555-3706-4C93-88BC-E68146B878C8}"/>
    <cellStyle name="Migliaia 2 4 3 2 5" xfId="16177" xr:uid="{F484160D-299A-4BB3-9B04-1D668D93A0AE}"/>
    <cellStyle name="Migliaia 2 4 3 2 6" xfId="8548" xr:uid="{8B3BE295-ACF6-40FD-AA2A-4F401E980870}"/>
    <cellStyle name="Migliaia 2 4 3 3" xfId="6226" xr:uid="{B93834EA-3B72-4FB4-B87D-7E85C51B412B}"/>
    <cellStyle name="Migliaia 2 4 3 3 2" xfId="33346" xr:uid="{5221B6C7-411D-4011-8F1A-D3D91C41B0F5}"/>
    <cellStyle name="Migliaia 2 4 3 3 2 2" xfId="38762" xr:uid="{C54E360C-47A1-46A3-A461-8E225EE7D3B4}"/>
    <cellStyle name="Migliaia 2 4 3 3 2 3" xfId="44064" xr:uid="{66608664-8596-4F64-A212-2CA47352DF68}"/>
    <cellStyle name="Migliaia 2 4 3 3 3" xfId="36255" xr:uid="{9EDF88B3-F947-438F-A8E4-C3F8B67C2884}"/>
    <cellStyle name="Migliaia 2 4 3 3 4" xfId="41413" xr:uid="{FB1A2B40-EA7C-4FE0-AAB0-22E8C3936B9F}"/>
    <cellStyle name="Migliaia 2 4 3 3 5" xfId="9667" xr:uid="{65CE8DA6-61AD-44E4-B4D8-DF4B7E1ACE4E}"/>
    <cellStyle name="Migliaia 2 4 3 4" xfId="20049" xr:uid="{A552C4D9-95A7-41FB-86AF-FB46CDB003E3}"/>
    <cellStyle name="Migliaia 2 4 3 4 2" xfId="33347" xr:uid="{1D97894A-302F-4670-B098-4AD749B01A62}"/>
    <cellStyle name="Migliaia 2 4 3 4 2 2" xfId="38763" xr:uid="{CA24E057-3D4B-429D-86B8-8AB924354887}"/>
    <cellStyle name="Migliaia 2 4 3 4 2 3" xfId="44065" xr:uid="{67201CC9-23D9-4BD3-A085-F62037275CDA}"/>
    <cellStyle name="Migliaia 2 4 3 4 3" xfId="36256" xr:uid="{4017E7A9-ED21-4D29-ADE0-07F5A40703B1}"/>
    <cellStyle name="Migliaia 2 4 3 4 4" xfId="41414" xr:uid="{2016016F-51B5-46E2-ADA6-D012E84CAB54}"/>
    <cellStyle name="Migliaia 2 4 3 4 5" xfId="24431" xr:uid="{FDA70345-49FC-49EC-9336-C6B661EB29FC}"/>
    <cellStyle name="Migliaia 2 4 3 5" xfId="24432" xr:uid="{46EAECE5-CF4A-480B-BF57-DC832A50573F}"/>
    <cellStyle name="Migliaia 2 4 3 5 2" xfId="33348" xr:uid="{6BBAF128-D852-48F7-ABBD-AF0BDB5BDC3A}"/>
    <cellStyle name="Migliaia 2 4 3 5 2 2" xfId="38764" xr:uid="{40E32D22-3E08-4B8D-B832-777C15E61ACD}"/>
    <cellStyle name="Migliaia 2 4 3 5 2 3" xfId="44066" xr:uid="{FC9DAF4C-3A2E-4D2E-8C60-C99A0539397C}"/>
    <cellStyle name="Migliaia 2 4 3 5 3" xfId="36257" xr:uid="{53AADF98-7F07-4257-8DE1-D2AF4A2F90EF}"/>
    <cellStyle name="Migliaia 2 4 3 5 4" xfId="41415" xr:uid="{45F795BD-1C5C-4B8A-90A5-6329C2ABA1D6}"/>
    <cellStyle name="Migliaia 2 4 3 6" xfId="33344" xr:uid="{7FBA321B-8B62-447C-A810-4C93F21CD62F}"/>
    <cellStyle name="Migliaia 2 4 3 6 2" xfId="38760" xr:uid="{E87B10FF-0BAB-46FC-9B15-162A9F377FA8}"/>
    <cellStyle name="Migliaia 2 4 3 6 3" xfId="44062" xr:uid="{8742B7FB-AF23-4ED0-9F8A-CDC8B808CD11}"/>
    <cellStyle name="Migliaia 2 4 3 7" xfId="36253" xr:uid="{EDAB03F0-5CFA-43B7-94AA-EDD7CC57E81C}"/>
    <cellStyle name="Migliaia 2 4 3 8" xfId="41411" xr:uid="{00103DEA-A384-42F5-9FBA-D12136C22335}"/>
    <cellStyle name="Migliaia 2 4 3 9" xfId="16176" xr:uid="{7C4BEDAC-EB2D-4C81-ABCD-7B42F63B23B8}"/>
    <cellStyle name="Migliaia 2 4 4" xfId="3288" xr:uid="{D2F8B913-FBFB-4260-BAE9-4FBC8FEF9287}"/>
    <cellStyle name="Migliaia 2 4 4 2" xfId="5014" xr:uid="{B1876A30-D678-4F59-96E5-F988C599CC7C}"/>
    <cellStyle name="Migliaia 2 4 4 2 2" xfId="14434" xr:uid="{B4BD31E3-0000-4C9A-80E1-75EEA80D129F}"/>
    <cellStyle name="Migliaia 2 4 4 2 3" xfId="18589" xr:uid="{9078020F-B7E1-4A23-A602-66FF5573E8CA}"/>
    <cellStyle name="Migliaia 2 4 4 2 4" xfId="20052" xr:uid="{74FC741A-3919-4D57-B9A6-C045A60D95E8}"/>
    <cellStyle name="Migliaia 2 4 4 2 5" xfId="32322" xr:uid="{B9557279-1178-4BDE-8C6C-4BFCC4BEF6C2}"/>
    <cellStyle name="Migliaia 2 4 4 2 6" xfId="16179" xr:uid="{AB1C2D0B-1316-4D43-ACBC-0B2151CC0F66}"/>
    <cellStyle name="Migliaia 2 4 4 2 7" xfId="8857" xr:uid="{280EEA2F-1A54-41D7-B82D-689CC0CD609D}"/>
    <cellStyle name="Migliaia 2 4 4 3" xfId="6227" xr:uid="{D5863DA8-CD6C-45C2-85F3-94261CC78BBE}"/>
    <cellStyle name="Migliaia 2 4 4 3 2" xfId="35202" xr:uid="{94C4657A-E0A1-4D34-A912-2BC73AC7F2DD}"/>
    <cellStyle name="Migliaia 2 4 4 3 2 2" xfId="40362" xr:uid="{73202DB0-B273-4534-BD8D-A3016E3A7476}"/>
    <cellStyle name="Migliaia 2 4 4 3 2 3" xfId="45664" xr:uid="{A0D43821-C2FE-42C6-BBB4-57BDE450F0F6}"/>
    <cellStyle name="Migliaia 2 4 4 3 3" xfId="37711" xr:uid="{60270A5A-76A2-4D24-B0E2-C6E0A4C2F9DA}"/>
    <cellStyle name="Migliaia 2 4 4 3 4" xfId="43013" xr:uid="{8ABD8B41-968E-4E26-8540-263B091CF81B}"/>
    <cellStyle name="Migliaia 2 4 4 3 5" xfId="13682" xr:uid="{A969A554-101C-469E-BEF7-6FD6EE6193E5}"/>
    <cellStyle name="Migliaia 2 4 4 4" xfId="20051" xr:uid="{F0CD82CE-64C8-475F-B996-BA9806E9C452}"/>
    <cellStyle name="Migliaia 2 4 4 4 2" xfId="38765" xr:uid="{58B6522E-2259-4FB3-B42A-2E9869D6B336}"/>
    <cellStyle name="Migliaia 2 4 4 4 3" xfId="44067" xr:uid="{C0DBF095-D419-406C-8DA4-7496632EA762}"/>
    <cellStyle name="Migliaia 2 4 4 4 4" xfId="33349" xr:uid="{ACE10792-828A-43FA-A3ED-3CED8395ACCF}"/>
    <cellStyle name="Migliaia 2 4 4 5" xfId="36258" xr:uid="{8223D4B5-31FC-47E8-8E79-A8267FB52427}"/>
    <cellStyle name="Migliaia 2 4 4 6" xfId="41416" xr:uid="{37CDC8DF-0DB1-4DD7-9639-83EDBFFB0D17}"/>
    <cellStyle name="Migliaia 2 4 4 7" xfId="16178" xr:uid="{E3E25CFD-38F4-4772-92AB-DB769AF8F304}"/>
    <cellStyle name="Migliaia 2 4 4 8" xfId="7667" xr:uid="{9BC72672-DC5C-4504-8678-9335A09B1CAB}"/>
    <cellStyle name="Migliaia 2 4 5" xfId="3289" xr:uid="{FCFD3830-21C6-43C7-B379-F69622E682A8}"/>
    <cellStyle name="Migliaia 2 4 5 2" xfId="5015" xr:uid="{2B448884-D15D-4649-B059-209AEADDFBE6}"/>
    <cellStyle name="Migliaia 2 4 5 2 2" xfId="35203" xr:uid="{6972551A-C47C-4583-8A00-C2236609F367}"/>
    <cellStyle name="Migliaia 2 4 5 2 2 2" xfId="40363" xr:uid="{A14D3FA1-3E9D-475F-B063-736C0643DCBB}"/>
    <cellStyle name="Migliaia 2 4 5 2 2 3" xfId="45665" xr:uid="{FFB9E733-2F55-49F3-A4FA-2FC687E678CB}"/>
    <cellStyle name="Migliaia 2 4 5 2 3" xfId="37712" xr:uid="{F8137B25-7A75-4A98-97F3-94473AB24D14}"/>
    <cellStyle name="Migliaia 2 4 5 2 4" xfId="43014" xr:uid="{E36284A7-BD3E-44AF-8610-9B8C05C6BED4}"/>
    <cellStyle name="Migliaia 2 4 5 2 5" xfId="14214" xr:uid="{2FD9437C-392F-4915-9FE7-DB596354F8E6}"/>
    <cellStyle name="Migliaia 2 4 5 3" xfId="6228" xr:uid="{3669D17E-14F2-41E8-B4F2-7185758F6B06}"/>
    <cellStyle name="Migliaia 2 4 5 3 2" xfId="38766" xr:uid="{B122BB19-1E71-44D4-A751-031805CB91B5}"/>
    <cellStyle name="Migliaia 2 4 5 3 3" xfId="44068" xr:uid="{FC7633DD-6FFE-4A22-BB7C-5DC0F44E913B}"/>
    <cellStyle name="Migliaia 2 4 5 3 4" xfId="33350" xr:uid="{54700EC5-AA76-4F87-894E-C2C00C332B55}"/>
    <cellStyle name="Migliaia 2 4 5 3 5" xfId="20053" xr:uid="{B1333D1D-6CE5-459F-B876-149EC204BF5B}"/>
    <cellStyle name="Migliaia 2 4 5 4" xfId="36259" xr:uid="{6409B427-BA28-4565-ADA6-4E8C7A368FA1}"/>
    <cellStyle name="Migliaia 2 4 5 5" xfId="41417" xr:uid="{3F8DEE61-DCD8-433C-8593-17BF9681C9B1}"/>
    <cellStyle name="Migliaia 2 4 5 6" xfId="16180" xr:uid="{0040A0FA-FB8E-4A77-8CF2-D0D36C857743}"/>
    <cellStyle name="Migliaia 2 4 5 7" xfId="8276" xr:uid="{6D23EB6D-D052-489E-A237-DB52B803EDE4}"/>
    <cellStyle name="Migliaia 2 4 6" xfId="5010" xr:uid="{73A036D0-27F8-4D04-90F1-CB92AC6BCB96}"/>
    <cellStyle name="Migliaia 2 4 6 2" xfId="13919" xr:uid="{4A164075-7745-41BD-AD69-DD9F7C26476E}"/>
    <cellStyle name="Migliaia 2 4 6 2 2" xfId="38767" xr:uid="{30985A6E-67E2-429C-8B98-D793506F20C4}"/>
    <cellStyle name="Migliaia 2 4 6 2 3" xfId="44069" xr:uid="{7A760A8D-B128-47E1-B156-B3809157D4D9}"/>
    <cellStyle name="Migliaia 2 4 6 3" xfId="18720" xr:uid="{BC33D941-5F45-42C1-92E0-7277D2C64BBE}"/>
    <cellStyle name="Migliaia 2 4 6 4" xfId="20054" xr:uid="{6D9AEB66-CE48-494A-A031-4B6B6803FC9F}"/>
    <cellStyle name="Migliaia 2 4 6 4 2" xfId="41418" xr:uid="{6F3CCB5A-93C7-45FF-82E9-6C1EF84764E7}"/>
    <cellStyle name="Migliaia 2 4 6 5" xfId="16181" xr:uid="{BF33451C-8D43-46FE-92C9-0F784703B777}"/>
    <cellStyle name="Migliaia 2 4 6 6" xfId="7868" xr:uid="{BAB9AB5E-7F57-4C35-AF2F-692A6678AFED}"/>
    <cellStyle name="Migliaia 2 4 7" xfId="6223" xr:uid="{8966786E-3C56-48F6-8867-236387508E69}"/>
    <cellStyle name="Migliaia 2 4 7 2" xfId="33352" xr:uid="{DA9D35F4-05CE-4116-A638-C6D781575DFF}"/>
    <cellStyle name="Migliaia 2 4 7 2 2" xfId="38768" xr:uid="{60B370FB-E041-4580-9D0F-9242E95F1D78}"/>
    <cellStyle name="Migliaia 2 4 7 2 3" xfId="44070" xr:uid="{03C22B0F-E2C1-4869-A06B-0D150D9B0AF0}"/>
    <cellStyle name="Migliaia 2 4 7 3" xfId="36261" xr:uid="{144F4996-9E31-4D39-A2E0-6BC5E268EACC}"/>
    <cellStyle name="Migliaia 2 4 7 4" xfId="41419" xr:uid="{2402890A-BB50-444B-AA6E-024D1C25278A}"/>
    <cellStyle name="Migliaia 2 4 7 5" xfId="12242" xr:uid="{1FBD43FC-4D0C-4560-9CCD-75E71B147D20}"/>
    <cellStyle name="Migliaia 2 4 8" xfId="3284" xr:uid="{17716854-2421-4F77-85A3-548D80B88D03}"/>
    <cellStyle name="Migliaia 2 4 8 2" xfId="33353" xr:uid="{42BE69ED-CF88-49CB-89FF-AA9FD527ADC3}"/>
    <cellStyle name="Migliaia 2 4 8 2 2" xfId="38769" xr:uid="{654D7A9B-2A2E-459C-BCB2-98A433427E5F}"/>
    <cellStyle name="Migliaia 2 4 8 2 3" xfId="44071" xr:uid="{9E77719C-C75C-4085-BD2B-4452CA64BC6F}"/>
    <cellStyle name="Migliaia 2 4 8 3" xfId="36262" xr:uid="{19626D6B-B5AC-4472-8168-F4105A048CCE}"/>
    <cellStyle name="Migliaia 2 4 8 4" xfId="41420" xr:uid="{24FAE28B-F397-4ECE-B7A5-DAD6AE02EA45}"/>
    <cellStyle name="Migliaia 2 4 8 5" xfId="24437" xr:uid="{EA77457D-14D2-4FAD-BA60-9A9C1185BD73}"/>
    <cellStyle name="Migliaia 2 4 8 6" xfId="17394" xr:uid="{99EDB5BF-EC0A-4EFA-A969-3F59E56F88CE}"/>
    <cellStyle name="Migliaia 2 4 9" xfId="20045" xr:uid="{9029E69C-6145-47C9-8CAA-8C2345F5BB6C}"/>
    <cellStyle name="Migliaia 2 5" xfId="1713" xr:uid="{00000000-0005-0000-0000-000027030000}"/>
    <cellStyle name="Migliaia 2 5 2" xfId="1714" xr:uid="{00000000-0005-0000-0000-000028030000}"/>
    <cellStyle name="Migliaia 2 5 2 2" xfId="5017" xr:uid="{44FADA94-FF22-4C65-B658-685C6E8AF8AD}"/>
    <cellStyle name="Migliaia 2 5 2 2 2" xfId="33354" xr:uid="{5B9E3598-DA5D-4854-A6A4-59FA7F44DBBB}"/>
    <cellStyle name="Migliaia 2 5 2 2 2 2" xfId="38770" xr:uid="{F6892D53-8174-4702-8062-6667C474B68C}"/>
    <cellStyle name="Migliaia 2 5 2 2 2 3" xfId="44072" xr:uid="{F5D1BD8D-C45F-460C-B406-A6FAB247C18E}"/>
    <cellStyle name="Migliaia 2 5 2 2 3" xfId="36263" xr:uid="{F6B52846-A4A4-46E8-B85F-ADB65EC56CBA}"/>
    <cellStyle name="Migliaia 2 5 2 2 4" xfId="41421" xr:uid="{5BED2311-2989-4E69-8404-E8A61183CC13}"/>
    <cellStyle name="Migliaia 2 5 2 2 5" xfId="9130" xr:uid="{E63E56B8-A03C-4E21-B3CE-9C5F90504AF5}"/>
    <cellStyle name="Migliaia 2 5 2 3" xfId="3291" xr:uid="{8022DF06-7796-4E28-85CC-7F90D6FDC2F9}"/>
    <cellStyle name="Migliaia 2 5 2 3 2" xfId="33355" xr:uid="{301F22E5-B1BE-4F09-B9C9-70A29B13B7C3}"/>
    <cellStyle name="Migliaia 2 5 2 3 2 2" xfId="38771" xr:uid="{B723307E-10E6-4288-8470-301972E79663}"/>
    <cellStyle name="Migliaia 2 5 2 3 2 3" xfId="44073" xr:uid="{8D8C63EF-B84E-424A-B341-CE6686D9B5EB}"/>
    <cellStyle name="Migliaia 2 5 2 3 3" xfId="36264" xr:uid="{2A2DA942-3B2E-4600-A0EC-2372F976B051}"/>
    <cellStyle name="Migliaia 2 5 2 3 4" xfId="41422" xr:uid="{C8A1A566-293C-4C9E-85B4-B4F3A8213FE9}"/>
    <cellStyle name="Migliaia 2 5 2 3 5" xfId="11933" xr:uid="{DE3624DB-86D3-4D36-BB6B-4F26BCA13C2D}"/>
    <cellStyle name="Migliaia 2 5 2 4" xfId="11282" xr:uid="{095D5B4A-78A6-4898-9598-C0F9AABF46E0}"/>
    <cellStyle name="Migliaia 2 5 2 5" xfId="10791" xr:uid="{2725919E-A49A-4219-8C4E-0F3C043A5D24}"/>
    <cellStyle name="Migliaia 2 5 2 5 2" xfId="21426" xr:uid="{28F1D639-91B5-41D3-836F-112D5C95C151}"/>
    <cellStyle name="Migliaia 2 5 2 5 3" xfId="48091" xr:uid="{4A7F872B-DE84-4C49-8D08-91EC3E42F48A}"/>
    <cellStyle name="Migliaia 2 5 2 5 4" xfId="50441" xr:uid="{9E5578B7-F6BA-43EA-80AD-0A96AB9785E0}"/>
    <cellStyle name="Migliaia 2 5 2 5 5" xfId="53457" xr:uid="{0D24BFF7-9571-4731-BA74-F76063E84BA9}"/>
    <cellStyle name="Migliaia 2 5 2 6" xfId="20056" xr:uid="{76357BE1-9A77-464E-965E-6E6FBF24D1A5}"/>
    <cellStyle name="Migliaia 2 5 2 7" xfId="24439" xr:uid="{B4FC2360-4408-4838-9FC8-27F2C750B564}"/>
    <cellStyle name="Migliaia 2 5 2 8" xfId="8550" xr:uid="{EA1CDAD3-DAE6-419A-AD7C-8CC4A6775DE2}"/>
    <cellStyle name="Migliaia 2 5 3" xfId="5016" xr:uid="{849FD1B5-8348-4CD9-ACB8-1C41D81D6DF2}"/>
    <cellStyle name="Migliaia 2 5 3 2" xfId="18185" xr:uid="{5034C0FF-5C0F-4544-BE1F-5F6D5D334000}"/>
    <cellStyle name="Migliaia 2 5 3 2 2" xfId="38772" xr:uid="{2559E454-0057-45BF-9B16-0C2AC2C2DEF8}"/>
    <cellStyle name="Migliaia 2 5 3 2 3" xfId="44074" xr:uid="{CA1A1379-D7F2-42D9-83BD-346C0916795D}"/>
    <cellStyle name="Migliaia 2 5 3 3" xfId="36265" xr:uid="{F944EE3F-38CE-4DD1-B0F1-ED46EB8534E4}"/>
    <cellStyle name="Migliaia 2 5 3 4" xfId="41423" xr:uid="{173E9DE0-7C77-4AFE-825E-8C7EDE9B0AF1}"/>
    <cellStyle name="Migliaia 2 5 3 5" xfId="17392" xr:uid="{ED3E643A-C26C-490D-B8A4-4AAD46D0CF02}"/>
    <cellStyle name="Migliaia 2 5 3 6" xfId="9131" xr:uid="{3A309D89-CA57-4309-A589-7B436A2013A4}"/>
    <cellStyle name="Migliaia 2 5 4" xfId="6229" xr:uid="{8B7CC546-7B11-46C8-AA2B-08089385C232}"/>
    <cellStyle name="Migliaia 2 5 4 2" xfId="33357" xr:uid="{F33F8C18-A7F6-4BD4-9D08-7BAC70D816B6}"/>
    <cellStyle name="Migliaia 2 5 4 2 2" xfId="38773" xr:uid="{6135C2F2-4D2D-48AE-8609-A70248F4CB44}"/>
    <cellStyle name="Migliaia 2 5 4 2 3" xfId="44075" xr:uid="{6C5680B6-6775-413C-BD98-8263AEF4D730}"/>
    <cellStyle name="Migliaia 2 5 4 3" xfId="36266" xr:uid="{F663F975-F764-42C3-AE93-4B2A42C0FEED}"/>
    <cellStyle name="Migliaia 2 5 4 4" xfId="41424" xr:uid="{CDD4E958-650F-4332-A7DF-A22DB1CD9EAB}"/>
    <cellStyle name="Migliaia 2 5 4 5" xfId="11934" xr:uid="{6934B792-02A2-4458-91B8-0C01078DAFBF}"/>
    <cellStyle name="Migliaia 2 5 5" xfId="3290" xr:uid="{22768DDA-9E50-40D6-920D-86E954561F62}"/>
    <cellStyle name="Migliaia 2 5 5 2" xfId="33358" xr:uid="{0602F257-C246-4069-B7EE-EC49BCECF9F2}"/>
    <cellStyle name="Migliaia 2 5 5 2 2" xfId="38774" xr:uid="{2A85D31E-E588-46D7-96E9-9880E8D4D5F7}"/>
    <cellStyle name="Migliaia 2 5 5 2 3" xfId="44076" xr:uid="{DBAB0D6E-624C-4A56-AF72-31322487B022}"/>
    <cellStyle name="Migliaia 2 5 5 3" xfId="36267" xr:uid="{D3294D43-972C-4906-B963-F5D072EC077A}"/>
    <cellStyle name="Migliaia 2 5 5 4" xfId="41425" xr:uid="{6B096E8C-9AF5-40A0-BA9A-DC71B3618672}"/>
    <cellStyle name="Migliaia 2 5 5 5" xfId="11281" xr:uid="{9F8DA251-393A-43D5-B2FD-58D9D3EB278B}"/>
    <cellStyle name="Migliaia 2 5 6" xfId="10790" xr:uid="{5A874BFF-95F9-4E33-AF92-4575DD2D12F1}"/>
    <cellStyle name="Migliaia 2 5 6 2" xfId="21425" xr:uid="{FE9AAD73-3D9B-4650-9A65-AD09BF95F8C6}"/>
    <cellStyle name="Migliaia 2 5 6 2 2" xfId="38775" xr:uid="{B035FB42-620D-4AA1-9513-88FD91390469}"/>
    <cellStyle name="Migliaia 2 5 6 2 3" xfId="44077" xr:uid="{E6AEA4BF-D397-4AA8-8AB0-6C71E4BF21CA}"/>
    <cellStyle name="Migliaia 2 5 6 2 4" xfId="33359" xr:uid="{A19CB3C7-7CF1-4A8A-AFCD-108910A52172}"/>
    <cellStyle name="Migliaia 2 5 6 3" xfId="36268" xr:uid="{67E9550D-D10F-4328-9D61-A05C3B66EAF8}"/>
    <cellStyle name="Migliaia 2 5 6 4" xfId="41426" xr:uid="{5A98DFDE-F46B-4ACF-84C0-24369B4AC3F0}"/>
    <cellStyle name="Migliaia 2 5 6 5" xfId="24445" xr:uid="{2B2BDA9F-897C-4A8A-B3CE-91C9C3D20218}"/>
    <cellStyle name="Migliaia 2 5 6 6" xfId="46990" xr:uid="{C386F55A-BFD6-4D82-8A63-8CC1AB778500}"/>
    <cellStyle name="Migliaia 2 5 6 7" xfId="50440" xr:uid="{0B0D1FEF-9EFF-4263-8FBC-52C6EB2BF757}"/>
    <cellStyle name="Migliaia 2 5 6 8" xfId="53456" xr:uid="{5F72D8DD-7FF2-476D-8D44-9FFE639F9EC9}"/>
    <cellStyle name="Migliaia 2 5 7" xfId="20055" xr:uid="{C43E9343-91FD-4B27-AA16-FE8D4953EF7B}"/>
    <cellStyle name="Migliaia 2 5 7 2" xfId="33360" xr:uid="{F1E51331-765E-4ADB-8458-265657B3FDA3}"/>
    <cellStyle name="Migliaia 2 5 7 2 2" xfId="38776" xr:uid="{E010D85F-BBB5-4A9F-B176-E182285FC34C}"/>
    <cellStyle name="Migliaia 2 5 7 2 3" xfId="44078" xr:uid="{F295DCE4-BA0C-4820-8191-8198351A48D3}"/>
    <cellStyle name="Migliaia 2 5 7 3" xfId="36269" xr:uid="{1BD07E4A-F7DF-4856-A703-A9C849E19BA3}"/>
    <cellStyle name="Migliaia 2 5 7 4" xfId="41427" xr:uid="{EE91D510-3527-49E5-9962-60BA0FF9FF38}"/>
    <cellStyle name="Migliaia 2 5 7 5" xfId="24446" xr:uid="{2DA02DCD-CE67-46C4-A87F-A46839E90230}"/>
    <cellStyle name="Migliaia 2 5 8" xfId="24438" xr:uid="{461E4296-B618-47C3-A7F1-BF50E9315302}"/>
    <cellStyle name="Migliaia 2 5 9" xfId="7360" xr:uid="{A3D9DDA7-DDD1-4979-9CC1-DE8308DE16A7}"/>
    <cellStyle name="Migliaia 2 6" xfId="1715" xr:uid="{00000000-0005-0000-0000-000029030000}"/>
    <cellStyle name="Migliaia 2 6 2" xfId="5018" xr:uid="{3D8FD8E2-0E5F-42AD-BC74-2A09D49DBDC6}"/>
    <cellStyle name="Migliaia 2 6 2 2" xfId="18397" xr:uid="{4A02D837-2E8A-44B5-84B9-F2F46026CDB0}"/>
    <cellStyle name="Migliaia 2 6 2 2 2" xfId="38777" xr:uid="{5EDD9192-23F5-42A1-BA75-406A789019F2}"/>
    <cellStyle name="Migliaia 2 6 2 2 3" xfId="44079" xr:uid="{987896E6-09A8-400C-820D-BA96863CA9C3}"/>
    <cellStyle name="Migliaia 2 6 2 3" xfId="20058" xr:uid="{B9DD8D7C-077A-4047-911F-0271962E3990}"/>
    <cellStyle name="Migliaia 2 6 2 3 2" xfId="36270" xr:uid="{3E43F844-CD25-4F1C-A5C3-D1633130510F}"/>
    <cellStyle name="Migliaia 2 6 2 4" xfId="41428" xr:uid="{35A905DC-F1F6-4910-B7C5-CA2044861537}"/>
    <cellStyle name="Migliaia 2 6 2 5" xfId="16182" xr:uid="{A5D19AFA-1C63-401C-A5D6-82A4BB78781A}"/>
    <cellStyle name="Migliaia 2 6 2 6" xfId="8551" xr:uid="{432113FB-DC29-4019-9AEF-4983B5447753}"/>
    <cellStyle name="Migliaia 2 6 3" xfId="6230" xr:uid="{8CFB1711-6679-4C73-A0B6-62BBBB00EA8C}"/>
    <cellStyle name="Migliaia 2 6 3 2" xfId="33362" xr:uid="{68B6A305-4E4D-4D06-9F32-93A3F4E452D9}"/>
    <cellStyle name="Migliaia 2 6 3 2 2" xfId="38778" xr:uid="{A0CF6E6B-D51F-4EFB-B897-F604A8FA3F52}"/>
    <cellStyle name="Migliaia 2 6 3 2 3" xfId="44080" xr:uid="{D32B0D67-F824-4DFC-844C-BEBB2AAFE225}"/>
    <cellStyle name="Migliaia 2 6 3 3" xfId="36271" xr:uid="{BB09F04F-43A7-4FDB-B340-0C7A86443B76}"/>
    <cellStyle name="Migliaia 2 6 3 4" xfId="41429" xr:uid="{6BB848FE-9286-4C3E-81C8-97D825225C9E}"/>
    <cellStyle name="Migliaia 2 6 3 5" xfId="11283" xr:uid="{76A6960A-050A-446C-B646-5D63515C26A7}"/>
    <cellStyle name="Migliaia 2 6 4" xfId="3292" xr:uid="{13E20299-CEF5-4C30-91A4-C2E5DFBD7A7A}"/>
    <cellStyle name="Migliaia 2 6 4 2" xfId="21427" xr:uid="{1B2E4373-3235-4C5D-B874-C1BC6B580213}"/>
    <cellStyle name="Migliaia 2 6 4 2 2" xfId="38779" xr:uid="{EA56E3A3-4B70-45A7-9785-9E43A9047B84}"/>
    <cellStyle name="Migliaia 2 6 4 2 3" xfId="44081" xr:uid="{14CE69CA-6945-4FF3-B1FA-EBA72CF07AB0}"/>
    <cellStyle name="Migliaia 2 6 4 2 4" xfId="33363" xr:uid="{72FF53FE-7740-4117-BA3D-87692A1E61F3}"/>
    <cellStyle name="Migliaia 2 6 4 3" xfId="36272" xr:uid="{6690B0B5-F47D-4519-B16F-EA3354B47EEA}"/>
    <cellStyle name="Migliaia 2 6 4 4" xfId="41430" xr:uid="{067FACF6-66DA-4412-A3F0-802E0992781F}"/>
    <cellStyle name="Migliaia 2 6 4 5" xfId="24450" xr:uid="{56B14DB1-5CFD-44C4-A6C3-C73273080188}"/>
    <cellStyle name="Migliaia 2 6 4 6" xfId="46642" xr:uid="{02828E1F-53A4-4774-B3CA-02E7C405800A}"/>
    <cellStyle name="Migliaia 2 6 4 7" xfId="50442" xr:uid="{07CD19F0-EB1A-4FF6-8071-7C204E4B14FD}"/>
    <cellStyle name="Migliaia 2 6 4 8" xfId="53458" xr:uid="{97AACED4-52AF-4773-A611-3B4C3CBE0FEC}"/>
    <cellStyle name="Migliaia 2 6 4 9" xfId="10792" xr:uid="{E861EF3C-BCBE-4011-B728-A785C95B291B}"/>
    <cellStyle name="Migliaia 2 6 5" xfId="20057" xr:uid="{955FECE2-1E2A-4102-97DF-037E544E6D4D}"/>
    <cellStyle name="Migliaia 2 6 5 2" xfId="33364" xr:uid="{70314BFF-EF07-453C-8A08-E3FB30FFCF9D}"/>
    <cellStyle name="Migliaia 2 6 5 2 2" xfId="38780" xr:uid="{43CE75A3-8E6C-4949-AB54-E1CE2393FED2}"/>
    <cellStyle name="Migliaia 2 6 5 2 3" xfId="44082" xr:uid="{D60A781C-2CED-45BA-B7BC-FB5FD40CA145}"/>
    <cellStyle name="Migliaia 2 6 5 3" xfId="36273" xr:uid="{8C91583D-4D16-4FC6-A0F4-77E978B6C791}"/>
    <cellStyle name="Migliaia 2 6 5 4" xfId="41431" xr:uid="{07661FD2-135A-4971-BD53-8A9FC283EEB8}"/>
    <cellStyle name="Migliaia 2 6 5 5" xfId="24451" xr:uid="{52BF00B2-8437-4AE1-B6C8-215A6C71D244}"/>
    <cellStyle name="Migliaia 2 6 6" xfId="24452" xr:uid="{087C5178-6ED8-42E8-B34D-AB9CBF88022C}"/>
    <cellStyle name="Migliaia 2 6 6 2" xfId="33365" xr:uid="{91612340-E1F1-4C17-9A57-C06BA43335E8}"/>
    <cellStyle name="Migliaia 2 6 6 2 2" xfId="38781" xr:uid="{10AA59C7-9AB9-41FE-A3CF-9C9758D6F09E}"/>
    <cellStyle name="Migliaia 2 6 6 2 3" xfId="44083" xr:uid="{BCC29380-45AA-4F3D-B26F-81C8B8370C31}"/>
    <cellStyle name="Migliaia 2 6 6 3" xfId="36274" xr:uid="{8447AE36-E6CB-4C1C-946B-A8334F711E2A}"/>
    <cellStyle name="Migliaia 2 6 6 4" xfId="41432" xr:uid="{2981C7F4-C366-4FA4-8B3C-A50BD5C26AED}"/>
    <cellStyle name="Migliaia 2 6 7" xfId="24447" xr:uid="{05D33622-BF2D-4D12-BB73-7663E766B191}"/>
    <cellStyle name="Migliaia 2 6 8" xfId="7361" xr:uid="{90BCD6CC-9019-4179-9FBD-D4D15513AA6A}"/>
    <cellStyle name="Migliaia 2 7" xfId="3293" xr:uid="{78903D78-8E1C-4A87-9C1C-3DCCB9D8732C}"/>
    <cellStyle name="Migliaia 2 7 2" xfId="5019" xr:uid="{7CCE4399-0168-4BFB-B938-FC5996119C9A}"/>
    <cellStyle name="Migliaia 2 7 2 2" xfId="9903" xr:uid="{EE43F49B-6489-482B-BFFF-0A8D9712A16D}"/>
    <cellStyle name="Migliaia 2 7 2 3" xfId="18669" xr:uid="{EEA65477-5CAD-49BE-BB20-8BF23455A1A7}"/>
    <cellStyle name="Migliaia 2 7 2 4" xfId="20060" xr:uid="{724B6FA3-5DA0-4C5C-B1DD-5B8668C1A090}"/>
    <cellStyle name="Migliaia 2 7 2 5" xfId="32325" xr:uid="{1A75DCEB-6299-4B71-A745-26AE42DD88CF}"/>
    <cellStyle name="Migliaia 2 7 2 6" xfId="16184" xr:uid="{B44A3509-F1CA-4B9C-97BD-1FD2776F3AE6}"/>
    <cellStyle name="Migliaia 2 7 2 7" xfId="8545" xr:uid="{AC6EBD31-DF03-4083-9106-15715F3A5799}"/>
    <cellStyle name="Migliaia 2 7 3" xfId="6231" xr:uid="{4E0449D4-F979-45B5-8C2D-5851662595C3}"/>
    <cellStyle name="Migliaia 2 7 3 2" xfId="35204" xr:uid="{59BE1629-7379-4184-8822-8EA6296D4A91}"/>
    <cellStyle name="Migliaia 2 7 3 2 2" xfId="40364" xr:uid="{B207E0D1-ABCA-46EF-A39A-2912430C3354}"/>
    <cellStyle name="Migliaia 2 7 3 2 3" xfId="45666" xr:uid="{3485CC75-43F2-472F-AFAC-8B1B128D45AF}"/>
    <cellStyle name="Migliaia 2 7 3 3" xfId="37713" xr:uid="{C96BBE19-FF21-44C2-8694-FE724A5C5016}"/>
    <cellStyle name="Migliaia 2 7 3 4" xfId="43015" xr:uid="{94C32676-D146-445D-BF80-52B8FAF39986}"/>
    <cellStyle name="Migliaia 2 7 3 5" xfId="9666" xr:uid="{D691E924-F008-45D2-B103-F04CFF042105}"/>
    <cellStyle name="Migliaia 2 7 4" xfId="20059" xr:uid="{C46704B5-FA41-47EC-9D8E-A2D19BD7DF81}"/>
    <cellStyle name="Migliaia 2 7 4 2" xfId="38782" xr:uid="{3A239D58-6322-4F8B-B973-B6430E5EECD5}"/>
    <cellStyle name="Migliaia 2 7 4 3" xfId="44084" xr:uid="{1C91332B-5AF0-49F2-A296-54B111812119}"/>
    <cellStyle name="Migliaia 2 7 4 4" xfId="33366" xr:uid="{8842D231-97AE-4B12-AF52-2D418AE3C2A0}"/>
    <cellStyle name="Migliaia 2 7 5" xfId="36275" xr:uid="{0B5A9BBD-2E87-4AF4-B84F-2C1108D9DA3A}"/>
    <cellStyle name="Migliaia 2 7 6" xfId="41433" xr:uid="{56962C13-DD4F-4A7C-9CF2-B436C75967F7}"/>
    <cellStyle name="Migliaia 2 7 7" xfId="16183" xr:uid="{9A061F21-62B0-4833-BE5F-EAA2C34462F5}"/>
    <cellStyle name="Migliaia 2 7 8" xfId="7355" xr:uid="{69B14685-1C49-45F0-9480-2C4E0E4E0DDC}"/>
    <cellStyle name="Migliaia 2 8" xfId="3294" xr:uid="{86ECFAAB-FAD6-472A-9E67-E31D3269714B}"/>
    <cellStyle name="Migliaia 2 8 2" xfId="5020" xr:uid="{3720FAC7-423A-4FD8-9816-A274ED2C4B3A}"/>
    <cellStyle name="Migliaia 2 8 2 2" xfId="35205" xr:uid="{B554A710-CE58-4CB3-8290-FFF3D7C1A5D1}"/>
    <cellStyle name="Migliaia 2 8 2 2 2" xfId="40365" xr:uid="{018E913D-9346-416D-9010-4A7F9CEC0FE2}"/>
    <cellStyle name="Migliaia 2 8 2 2 3" xfId="45667" xr:uid="{817FB4EA-D030-48FD-8C37-66A236FD10B8}"/>
    <cellStyle name="Migliaia 2 8 2 3" xfId="37714" xr:uid="{5C5DB4C1-9BBE-4F9A-BEB3-653FDC8A763B}"/>
    <cellStyle name="Migliaia 2 8 2 4" xfId="43016" xr:uid="{88A6049F-B2B1-4370-9C17-A694457E57C5}"/>
    <cellStyle name="Migliaia 2 8 2 5" xfId="14211" xr:uid="{31ACF652-9AFF-420D-8694-BB115D2BA26B}"/>
    <cellStyle name="Migliaia 2 8 3" xfId="6232" xr:uid="{150BF95C-39C8-48A7-9237-8E01383320D7}"/>
    <cellStyle name="Migliaia 2 8 3 2" xfId="38783" xr:uid="{A09ABF34-A033-4D01-B330-9294DA5A0117}"/>
    <cellStyle name="Migliaia 2 8 3 3" xfId="44085" xr:uid="{FE49A8DF-90A2-441A-9CBB-E4803A4B5125}"/>
    <cellStyle name="Migliaia 2 8 3 4" xfId="33367" xr:uid="{640AAEBA-B6EB-47FA-B7B4-481D3C76AD2C}"/>
    <cellStyle name="Migliaia 2 8 3 5" xfId="20061" xr:uid="{6A89695E-0A24-46B1-A6D3-2F8032412FA2}"/>
    <cellStyle name="Migliaia 2 8 4" xfId="36276" xr:uid="{71D6A228-5524-42FD-BEAB-33B39CE6E223}"/>
    <cellStyle name="Migliaia 2 8 5" xfId="41434" xr:uid="{B44E6F58-27CD-4B58-B96E-B02DC5C392B9}"/>
    <cellStyle name="Migliaia 2 8 6" xfId="16185" xr:uid="{070619B1-336B-4E07-852B-6353C4626989}"/>
    <cellStyle name="Migliaia 2 8 7" xfId="8273" xr:uid="{7B63F6AF-C52C-4868-99DB-8F431D6C5218}"/>
    <cellStyle name="Migliaia 2 9" xfId="3295" xr:uid="{B053A15E-2E9B-4371-875E-87510B4B7718}"/>
    <cellStyle name="Migliaia 2 9 2" xfId="5021" xr:uid="{444ADB4F-8060-4F06-B335-28548C8F684E}"/>
    <cellStyle name="Migliaia 2 9 2 2" xfId="35206" xr:uid="{619C9F1A-464A-4534-9A59-25172FF288AB}"/>
    <cellStyle name="Migliaia 2 9 2 2 2" xfId="40366" xr:uid="{214C7EDF-1A15-4DBA-AA28-5058C45D1CBF}"/>
    <cellStyle name="Migliaia 2 9 2 2 3" xfId="45668" xr:uid="{C590079A-02B1-492F-AFD1-A245EEDE081D}"/>
    <cellStyle name="Migliaia 2 9 2 3" xfId="37715" xr:uid="{2D321364-0FEC-4EFD-94A1-A263FEEFAA5B}"/>
    <cellStyle name="Migliaia 2 9 2 4" xfId="43017" xr:uid="{E688B1EA-90DD-4F15-B7A4-721704A2D139}"/>
    <cellStyle name="Migliaia 2 9 2 5" xfId="13914" xr:uid="{9DBAD143-85E6-46CB-8D0E-566C93710B83}"/>
    <cellStyle name="Migliaia 2 9 3" xfId="6233" xr:uid="{31997909-8540-4461-B1B6-FF13B8551299}"/>
    <cellStyle name="Migliaia 2 9 3 2" xfId="38784" xr:uid="{252B9866-0250-44F6-A67A-6156BC5A7DD5}"/>
    <cellStyle name="Migliaia 2 9 3 3" xfId="44086" xr:uid="{3C6C16A2-BC56-452B-8194-DAD4538D7895}"/>
    <cellStyle name="Migliaia 2 9 3 4" xfId="33368" xr:uid="{96D28798-0259-4CA7-ADF0-D0E4735CFCB3}"/>
    <cellStyle name="Migliaia 2 9 3 5" xfId="20062" xr:uid="{3A9E3403-4048-4EF6-9A70-F56264B4A479}"/>
    <cellStyle name="Migliaia 2 9 4" xfId="36277" xr:uid="{7E82CF76-F294-40E2-B9CB-3E8B633A3CE1}"/>
    <cellStyle name="Migliaia 2 9 5" xfId="41435" xr:uid="{CBBC8EF1-0DBF-45C7-99AF-B355AF41EFAC}"/>
    <cellStyle name="Migliaia 2 9 6" xfId="16186" xr:uid="{C5C582A7-2AC3-4553-B439-CB3EEBC3AA75}"/>
    <cellStyle name="Migliaia 2 9 7" xfId="7863" xr:uid="{586D940F-7A11-4792-A64B-C0C552534433}"/>
    <cellStyle name="Migliaia 2_Domestico_reg&amp;naz" xfId="348" xr:uid="{00000000-0005-0000-0000-00002A030000}"/>
    <cellStyle name="Migliaia 20" xfId="349" xr:uid="{00000000-0005-0000-0000-00002B030000}"/>
    <cellStyle name="Migliaia 20 10" xfId="6234" xr:uid="{09C1254B-4066-4040-AEC8-96E67004F079}"/>
    <cellStyle name="Migliaia 20 10 2" xfId="38785" xr:uid="{76DD6C0C-C974-4F97-8660-AAB5D4D87C75}"/>
    <cellStyle name="Migliaia 20 10 3" xfId="44087" xr:uid="{3F15227A-115E-467A-AED6-4E815D01B1B3}"/>
    <cellStyle name="Migliaia 20 10 4" xfId="33369" xr:uid="{F710BA1B-8E09-4A78-AEA0-CE7035EBD0B1}"/>
    <cellStyle name="Migliaia 20 10 5" xfId="20063" xr:uid="{6217A06B-06E4-494D-B9A7-27431E06A727}"/>
    <cellStyle name="Migliaia 20 11" xfId="3296" xr:uid="{51E0C443-0B0E-477A-A1B7-543751C10135}"/>
    <cellStyle name="Migliaia 20 11 2" xfId="36278" xr:uid="{2A6207CB-7F82-46FC-BCF3-09F4D3ECD8BB}"/>
    <cellStyle name="Migliaia 20 12" xfId="41436" xr:uid="{E972BDFC-4F25-4492-AC68-A926932CE431}"/>
    <cellStyle name="Migliaia 20 13" xfId="7078" xr:uid="{C985E475-B773-4E72-91B0-33E4F5C31830}"/>
    <cellStyle name="Migliaia 20 2" xfId="350" xr:uid="{00000000-0005-0000-0000-00002C030000}"/>
    <cellStyle name="Migliaia 20 2 2" xfId="1716" xr:uid="{00000000-0005-0000-0000-00002D030000}"/>
    <cellStyle name="Migliaia 20 2 2 2" xfId="5024" xr:uid="{4483A384-E81A-458E-8460-16A4CF5F83AE}"/>
    <cellStyle name="Migliaia 20 2 2 2 2" xfId="14375" xr:uid="{88FDFF7F-5D1F-49E2-9AFA-E23373482D75}"/>
    <cellStyle name="Migliaia 20 2 2 2 2 2" xfId="38786" xr:uid="{C40E469A-D110-42D6-A9CC-1B547ABA1F41}"/>
    <cellStyle name="Migliaia 20 2 2 2 2 3" xfId="44088" xr:uid="{BE72FC88-2621-4EDE-86F1-85A5118B3C67}"/>
    <cellStyle name="Migliaia 20 2 2 2 3" xfId="18398" xr:uid="{D085BBA0-A566-469D-AE27-143654F7FAC7}"/>
    <cellStyle name="Migliaia 20 2 2 2 4" xfId="20066" xr:uid="{8A590F44-731B-4192-821D-7949F328313F}"/>
    <cellStyle name="Migliaia 20 2 2 2 4 2" xfId="41437" xr:uid="{8EF95C7A-5039-4C93-A234-49959869E09D}"/>
    <cellStyle name="Migliaia 20 2 2 2 5" xfId="16187" xr:uid="{7D26BC8C-281F-4F74-A48D-A0E5CA54F172}"/>
    <cellStyle name="Migliaia 20 2 2 2 6" xfId="8553" xr:uid="{30742BC3-1094-4CC9-BE89-6CFBB42EF8F6}"/>
    <cellStyle name="Migliaia 20 2 2 3" xfId="6236" xr:uid="{8DAA7853-6C5C-4B96-9F8D-6048623EA17E}"/>
    <cellStyle name="Migliaia 20 2 2 3 2" xfId="35207" xr:uid="{F47C2681-93F9-46B1-B2BE-F0121A3B6EE2}"/>
    <cellStyle name="Migliaia 20 2 2 3 2 2" xfId="40367" xr:uid="{BF668FBF-F8EE-48E3-980B-74EB3F9DF5F1}"/>
    <cellStyle name="Migliaia 20 2 2 3 2 3" xfId="45669" xr:uid="{7E3DCF9E-5D73-4670-B6FD-EB77C9C5E4ED}"/>
    <cellStyle name="Migliaia 20 2 2 3 3" xfId="37716" xr:uid="{D5C58352-07B5-4259-A7CC-E80E19813802}"/>
    <cellStyle name="Migliaia 20 2 2 3 4" xfId="43018" xr:uid="{1A279B86-7699-4A1B-8A81-45F15572E7AB}"/>
    <cellStyle name="Migliaia 20 2 2 3 5" xfId="11602" xr:uid="{53B78297-7F65-496B-9C0C-3ED242ABCFB8}"/>
    <cellStyle name="Migliaia 20 2 2 4" xfId="3298" xr:uid="{BEA27ECB-21E2-4490-A30F-4137FD2E0B61}"/>
    <cellStyle name="Migliaia 20 2 2 4 2" xfId="21428" xr:uid="{8F8694E2-93B2-4862-80CF-02C83CBEA4C9}"/>
    <cellStyle name="Migliaia 20 2 2 4 3" xfId="33782" xr:uid="{DB51A685-FE78-4E79-B39A-BFB451F0D5BB}"/>
    <cellStyle name="Migliaia 20 2 2 4 4" xfId="50443" xr:uid="{0CC440D1-ED6E-40B0-9249-4F076D2C7A3D}"/>
    <cellStyle name="Migliaia 20 2 2 4 5" xfId="53459" xr:uid="{BCF27F57-FCB8-4EB6-B9BF-2A425F5A3B05}"/>
    <cellStyle name="Migliaia 20 2 2 4 6" xfId="10793" xr:uid="{C031A717-8F78-44BB-B677-70E1277DEA78}"/>
    <cellStyle name="Migliaia 20 2 2 5" xfId="20065" xr:uid="{C950557D-C313-465E-A207-04839FD43781}"/>
    <cellStyle name="Migliaia 20 2 2 6" xfId="24458" xr:uid="{2F945B28-224D-49A3-845F-C9B39CD49CDE}"/>
    <cellStyle name="Migliaia 20 2 2 7" xfId="7363" xr:uid="{CF06589C-84C2-43B9-A0CC-B85B0BEF66A1}"/>
    <cellStyle name="Migliaia 20 2 3" xfId="3299" xr:uid="{4C2C4986-E553-4008-87E4-209F6EB137BE}"/>
    <cellStyle name="Migliaia 20 2 3 2" xfId="5025" xr:uid="{0CD160EE-02EC-41AB-9FB4-51E75B9D74B4}"/>
    <cellStyle name="Migliaia 20 2 3 2 2" xfId="35208" xr:uid="{AFE56817-7F53-4436-A33A-06316BC44ED7}"/>
    <cellStyle name="Migliaia 20 2 3 2 2 2" xfId="40368" xr:uid="{1E7CF647-2F0A-45A4-BAB4-5AF38CAA1ED2}"/>
    <cellStyle name="Migliaia 20 2 3 2 2 3" xfId="45670" xr:uid="{10FD98AC-7433-4556-BCA1-A16491C89969}"/>
    <cellStyle name="Migliaia 20 2 3 2 3" xfId="37717" xr:uid="{E34D0A21-CC95-4B1D-BF85-7AB8EF34FD47}"/>
    <cellStyle name="Migliaia 20 2 3 2 4" xfId="43019" xr:uid="{EC243582-84A7-4299-9D18-D9F4067CFEFE}"/>
    <cellStyle name="Migliaia 20 2 3 2 5" xfId="14216" xr:uid="{D8693E71-F8F9-4BAF-9860-0133930022DF}"/>
    <cellStyle name="Migliaia 20 2 3 3" xfId="6237" xr:uid="{C41AEA15-B0A9-4053-8E36-222FA2906A01}"/>
    <cellStyle name="Migliaia 20 2 3 3 2" xfId="38787" xr:uid="{9B730F06-363F-4E43-93B7-44D55FE9DAA6}"/>
    <cellStyle name="Migliaia 20 2 3 3 3" xfId="44089" xr:uid="{A3A45162-2267-4076-9F16-8754BDDE8A07}"/>
    <cellStyle name="Migliaia 20 2 3 3 4" xfId="33371" xr:uid="{D109DFEA-6405-4148-87FA-2B04733B77BA}"/>
    <cellStyle name="Migliaia 20 2 3 3 5" xfId="20067" xr:uid="{BA63D5D9-EC81-44CC-8D66-3D79F3FDF5E9}"/>
    <cellStyle name="Migliaia 20 2 3 4" xfId="36280" xr:uid="{8795E217-1A34-4042-ABCC-FA0366BF8880}"/>
    <cellStyle name="Migliaia 20 2 3 5" xfId="41438" xr:uid="{7F10D9AC-AF5D-4707-B06B-3F403B054F4F}"/>
    <cellStyle name="Migliaia 20 2 3 6" xfId="16188" xr:uid="{630840ED-6968-4115-91F6-E6F8BC6C7378}"/>
    <cellStyle name="Migliaia 20 2 3 7" xfId="8278" xr:uid="{11EE2C72-32C9-4D58-BE4F-F72AF59AC700}"/>
    <cellStyle name="Migliaia 20 2 4" xfId="5023" xr:uid="{E690E513-41D2-4F5F-B2D0-3A977F8ABB90}"/>
    <cellStyle name="Migliaia 20 2 4 2" xfId="13921" xr:uid="{240FA36D-0ED3-4F18-8E10-C935A687685D}"/>
    <cellStyle name="Migliaia 20 2 4 2 2" xfId="38788" xr:uid="{A53040BF-41F6-403A-A535-68D9D60094F0}"/>
    <cellStyle name="Migliaia 20 2 4 2 3" xfId="44090" xr:uid="{B20DE2C4-5CC6-478D-A914-7FF97E8B42EF}"/>
    <cellStyle name="Migliaia 20 2 4 3" xfId="18719" xr:uid="{95E30E9D-9C15-4127-90BE-341F86C5FEDC}"/>
    <cellStyle name="Migliaia 20 2 4 4" xfId="20068" xr:uid="{38060229-A978-45F9-A009-F64761E57CC8}"/>
    <cellStyle name="Migliaia 20 2 4 4 2" xfId="41439" xr:uid="{E72DB524-F588-412D-92B2-E902EFB013A9}"/>
    <cellStyle name="Migliaia 20 2 4 5" xfId="16189" xr:uid="{3398D8AF-8665-4F50-9A65-DE8B025CAD89}"/>
    <cellStyle name="Migliaia 20 2 4 6" xfId="7871" xr:uid="{5C945C41-0018-4B8D-9627-65FED1F85F1E}"/>
    <cellStyle name="Migliaia 20 2 5" xfId="6235" xr:uid="{FF37BF19-91B6-4B3E-A92E-127F81DA7260}"/>
    <cellStyle name="Migliaia 20 2 5 2" xfId="33372" xr:uid="{3774D4EC-28C7-4CF1-849D-478D597DF977}"/>
    <cellStyle name="Migliaia 20 2 5 2 2" xfId="38789" xr:uid="{D2A45269-FD21-4316-8820-9B9813605618}"/>
    <cellStyle name="Migliaia 20 2 5 2 3" xfId="44091" xr:uid="{6B3B4FCF-1727-44AE-BFC1-FD18E90E98A7}"/>
    <cellStyle name="Migliaia 20 2 5 3" xfId="36281" xr:uid="{AF001F02-0956-450C-B298-933E1EADFCC1}"/>
    <cellStyle name="Migliaia 20 2 5 4" xfId="41440" xr:uid="{D4DE2673-ABD6-49E8-BF57-1D7406395089}"/>
    <cellStyle name="Migliaia 20 2 5 5" xfId="13115" xr:uid="{3147E584-E1B4-4A12-B4C1-F81F8DACD4A8}"/>
    <cellStyle name="Migliaia 20 2 6" xfId="3297" xr:uid="{7F3C78A9-AE06-4C91-9E2C-AAEEEABDBC72}"/>
    <cellStyle name="Migliaia 20 2 6 2" xfId="33373" xr:uid="{5675B69B-3D54-4D62-BA01-E944E9B68225}"/>
    <cellStyle name="Migliaia 20 2 6 2 2" xfId="38790" xr:uid="{C7DFF3EA-2DE6-4926-AE09-CFBADA1BEEBF}"/>
    <cellStyle name="Migliaia 20 2 6 2 3" xfId="44092" xr:uid="{AEDDDDCA-5F7A-489E-8BD6-0051340B7BF4}"/>
    <cellStyle name="Migliaia 20 2 6 3" xfId="36282" xr:uid="{7779A5A2-03E2-4617-BB8B-CB4356831D7F}"/>
    <cellStyle name="Migliaia 20 2 6 4" xfId="41441" xr:uid="{545F1D60-7680-41D2-9BF6-A4385DF82330}"/>
    <cellStyle name="Migliaia 20 2 6 5" xfId="24461" xr:uid="{9271C1FD-AA47-4249-95BE-19F40FB0A590}"/>
    <cellStyle name="Migliaia 20 2 6 6" xfId="20064" xr:uid="{09AA98A5-1EDC-468E-AFDE-AE12B98C2AE3}"/>
    <cellStyle name="Migliaia 20 2 7" xfId="24457" xr:uid="{3435B057-6D4B-426D-9C9F-9D72C7373992}"/>
    <cellStyle name="Migliaia 20 2 8" xfId="7079" xr:uid="{269FF50A-CAD5-4C6F-A8D0-F4A2B720FF13}"/>
    <cellStyle name="Migliaia 20 3" xfId="351" xr:uid="{00000000-0005-0000-0000-00002E030000}"/>
    <cellStyle name="Migliaia 20 3 10" xfId="24462" xr:uid="{A17C928C-3AB5-427B-8155-E0C11ED29699}"/>
    <cellStyle name="Migliaia 20 3 11" xfId="16190" xr:uid="{0085834A-B4BC-4E8F-9254-0B9A1770D6BE}"/>
    <cellStyle name="Migliaia 20 3 12" xfId="7080" xr:uid="{C1DA829C-A7B1-4E46-8F26-CB5C0039DA54}"/>
    <cellStyle name="Migliaia 20 3 2" xfId="352" xr:uid="{00000000-0005-0000-0000-00002F030000}"/>
    <cellStyle name="Migliaia 20 3 2 2" xfId="1717" xr:uid="{00000000-0005-0000-0000-000030030000}"/>
    <cellStyle name="Migliaia 20 3 2 2 2" xfId="5028" xr:uid="{E6FCE665-6B03-4854-BAFC-9D6DF9752672}"/>
    <cellStyle name="Migliaia 20 3 2 2 2 2" xfId="18399" xr:uid="{8BD545CE-BDCC-47E5-A826-8958ECB34B8A}"/>
    <cellStyle name="Migliaia 20 3 2 2 2 2 2" xfId="21853" xr:uid="{86BE38A1-87E0-4990-B31B-C5748BB43CAB}"/>
    <cellStyle name="Migliaia 20 3 2 2 2 2 2 2" xfId="38791" xr:uid="{69698E00-9997-4AC0-B3F7-393520D34D13}"/>
    <cellStyle name="Migliaia 20 3 2 2 2 2 3" xfId="44093" xr:uid="{3E3B7347-83EC-41D4-8076-7613BDAE7E63}"/>
    <cellStyle name="Migliaia 20 3 2 2 2 2 4" xfId="33374" xr:uid="{9B826E4A-21C7-4D5E-9221-04BB2AC381CA}"/>
    <cellStyle name="Migliaia 20 3 2 2 2 3" xfId="36283" xr:uid="{489CFB81-4E00-43E9-8E1F-180B34AE1765}"/>
    <cellStyle name="Migliaia 20 3 2 2 2 4" xfId="41442" xr:uid="{A2CFB6ED-B99B-49D0-A706-9EB8C4993BCB}"/>
    <cellStyle name="Migliaia 20 3 2 2 2 5" xfId="33410" xr:uid="{2AD93B0A-D472-4EAF-81AD-7C2A64652639}"/>
    <cellStyle name="Migliaia 20 3 2 2 2 6" xfId="50881" xr:uid="{6E2DD9F2-E3B0-4873-B6E7-EEC5E9DE4E5F}"/>
    <cellStyle name="Migliaia 20 3 2 2 2 7" xfId="53897" xr:uid="{141E300C-7AD7-4989-A1BA-833FCDBB1A4B}"/>
    <cellStyle name="Migliaia 20 3 2 2 2 8" xfId="17650" xr:uid="{9C8D73F4-14D0-4B29-9992-EAA1B8A44BFA}"/>
    <cellStyle name="Migliaia 20 3 2 2 2 9" xfId="11935" xr:uid="{DB8D743D-BE2F-4EA6-968C-7536B86BFA66}"/>
    <cellStyle name="Migliaia 20 3 2 2 3" xfId="6240" xr:uid="{57CE9A27-30DB-436C-BF92-68F3E852652C}"/>
    <cellStyle name="Migliaia 20 3 2 2 3 2" xfId="11671" xr:uid="{5A0C01CC-5C22-40FD-A29A-BA66239AC47D}"/>
    <cellStyle name="Migliaia 20 3 2 2 4" xfId="3302" xr:uid="{F74D9D9D-625F-4285-A195-459E63E670BC}"/>
    <cellStyle name="Migliaia 20 3 2 2 4 2" xfId="21429" xr:uid="{11C4FB04-4A9E-48F6-B0F1-7249603B682F}"/>
    <cellStyle name="Migliaia 20 3 2 2 4 3" xfId="47063" xr:uid="{F38DFD9D-1076-4125-A11C-2D2A7B03006F}"/>
    <cellStyle name="Migliaia 20 3 2 2 4 4" xfId="50444" xr:uid="{547268B3-28AC-4142-8060-C3BEF0FDDFEE}"/>
    <cellStyle name="Migliaia 20 3 2 2 4 5" xfId="53460" xr:uid="{264EAAFA-1672-47AF-8E23-12A65001D48D}"/>
    <cellStyle name="Migliaia 20 3 2 2 4 6" xfId="10794" xr:uid="{5FF074A4-5EB6-4068-9559-6964886301F3}"/>
    <cellStyle name="Migliaia 20 3 2 2 5" xfId="20071" xr:uid="{F6BB960D-4AA8-4D3F-9C78-A8A765A8F3B6}"/>
    <cellStyle name="Migliaia 20 3 2 2 6" xfId="24464" xr:uid="{1C224087-0A54-4488-9509-65EB2DF4EDD6}"/>
    <cellStyle name="Migliaia 20 3 2 2 7" xfId="8555" xr:uid="{BDDB9F06-A3FF-4EE9-82C6-D098ACC64F80}"/>
    <cellStyle name="Migliaia 20 3 2 3" xfId="5027" xr:uid="{8A8376F0-2401-4CFE-A451-CA53D0A8F04D}"/>
    <cellStyle name="Migliaia 20 3 2 3 2" xfId="12227" xr:uid="{E5D030C1-D702-42BD-A656-43BB87ACAF49}"/>
    <cellStyle name="Migliaia 20 3 2 3 2 2" xfId="38792" xr:uid="{14D9856F-F27D-4A4D-BC60-2A36AFFA102E}"/>
    <cellStyle name="Migliaia 20 3 2 3 2 3" xfId="44094" xr:uid="{8C468954-1D19-48B0-A34A-2A6BAAF192E1}"/>
    <cellStyle name="Migliaia 20 3 2 3 2 4" xfId="33375" xr:uid="{F96F718D-3CDA-4221-B534-CEAE5B2B96D7}"/>
    <cellStyle name="Migliaia 20 3 2 3 3" xfId="11936" xr:uid="{D708CCA0-30D5-4223-B75E-D1FE29478E81}"/>
    <cellStyle name="Migliaia 20 3 2 3 4" xfId="20072" xr:uid="{1831CCD9-D791-45F6-90B1-CF8C8AD5F6D4}"/>
    <cellStyle name="Migliaia 20 3 2 3 4 2" xfId="41443" xr:uid="{7527B870-C5B9-42DB-A79A-CD0B05026379}"/>
    <cellStyle name="Migliaia 20 3 2 3 5" xfId="16191" xr:uid="{4410F69F-71E0-44B6-8615-A277F8BEAEC6}"/>
    <cellStyle name="Migliaia 20 3 2 3 6" xfId="7873" xr:uid="{5AAB10DC-FCC2-4926-9347-B8E3321A3A25}"/>
    <cellStyle name="Migliaia 20 3 2 4" xfId="6239" xr:uid="{47707BAA-DEA3-40FD-8145-10731F90B767}"/>
    <cellStyle name="Migliaia 20 3 2 4 2" xfId="18069" xr:uid="{82D3D426-5560-4480-8B2F-F0BEBF89A972}"/>
    <cellStyle name="Migliaia 20 3 2 4 2 2" xfId="38793" xr:uid="{0E86FAC4-5699-4E9D-9FD7-12061A69A8B9}"/>
    <cellStyle name="Migliaia 20 3 2 4 2 3" xfId="44095" xr:uid="{C2082BF6-F645-4028-8E98-16621CC0507A}"/>
    <cellStyle name="Migliaia 20 3 2 4 3" xfId="36284" xr:uid="{08CEBBE6-FB5D-4C06-A433-63A29C8C35A2}"/>
    <cellStyle name="Migliaia 20 3 2 4 4" xfId="41444" xr:uid="{FA8FFA2D-E369-4A4A-9351-75FB9141C034}"/>
    <cellStyle name="Migliaia 20 3 2 4 5" xfId="17160" xr:uid="{70D8E08A-5E6A-45D1-8D38-C8633644F0EE}"/>
    <cellStyle name="Migliaia 20 3 2 4 6" xfId="11284" xr:uid="{278E56E6-2B74-4AAD-B989-50818BEB44F6}"/>
    <cellStyle name="Migliaia 20 3 2 5" xfId="3301" xr:uid="{B25961CB-D410-45B9-B077-5028FFE1B82F}"/>
    <cellStyle name="Migliaia 20 3 2 5 2" xfId="33376" xr:uid="{AD579B22-BC14-429B-97F1-0338EF0520C3}"/>
    <cellStyle name="Migliaia 20 3 2 5 2 2" xfId="38794" xr:uid="{A161C357-4789-49D9-B55C-E46311A32332}"/>
    <cellStyle name="Migliaia 20 3 2 5 2 3" xfId="44096" xr:uid="{30DC804B-4B3E-43B1-A965-B9F6936C5882}"/>
    <cellStyle name="Migliaia 20 3 2 5 3" xfId="36285" xr:uid="{D6FE94FF-A6F5-47A6-B574-200BB286272F}"/>
    <cellStyle name="Migliaia 20 3 2 5 4" xfId="41445" xr:uid="{20A22DBD-2809-4171-B924-EDB40EF3A280}"/>
    <cellStyle name="Migliaia 20 3 2 5 5" xfId="17390" xr:uid="{815E4FF7-3C87-4A51-8C50-16AC753BE700}"/>
    <cellStyle name="Migliaia 20 3 2 6" xfId="20070" xr:uid="{0DD90139-23ED-46D1-B498-F4FCF85F46A7}"/>
    <cellStyle name="Migliaia 20 3 2 6 2" xfId="33377" xr:uid="{E94146A6-52A6-4D1A-A0A4-19930607887A}"/>
    <cellStyle name="Migliaia 20 3 2 6 2 2" xfId="38795" xr:uid="{510BFE7F-4BB2-4C07-9CC6-5E6882AD3214}"/>
    <cellStyle name="Migliaia 20 3 2 6 2 3" xfId="44097" xr:uid="{DA03918C-FAE7-41D0-B988-1160F1379F35}"/>
    <cellStyle name="Migliaia 20 3 2 6 3" xfId="36286" xr:uid="{CF2D3AC7-F64E-48BE-92FA-1B9C11F1507E}"/>
    <cellStyle name="Migliaia 20 3 2 6 4" xfId="41446" xr:uid="{07759690-12A9-4D49-80FE-BC6C86B7F225}"/>
    <cellStyle name="Migliaia 20 3 2 6 5" xfId="24465" xr:uid="{25464AC2-3D96-4183-879C-19D1B47C14ED}"/>
    <cellStyle name="Migliaia 20 3 2 7" xfId="24463" xr:uid="{C66F03A7-3F9C-4F3C-B0AF-D9B17FAFD92C}"/>
    <cellStyle name="Migliaia 20 3 2 8" xfId="7365" xr:uid="{B8554499-9ECF-4F6D-9F3F-AAD59E769EFC}"/>
    <cellStyle name="Migliaia 20 3 3" xfId="3303" xr:uid="{0A7F90EE-771F-4DC2-B84D-11BB559D1429}"/>
    <cellStyle name="Migliaia 20 3 3 10" xfId="7364" xr:uid="{17B6D7B0-9193-4D17-AC17-2951A6AF8886}"/>
    <cellStyle name="Migliaia 20 3 3 2" xfId="5029" xr:uid="{6E96B5C7-43CC-465F-94A6-CB6A4C61889A}"/>
    <cellStyle name="Migliaia 20 3 3 2 2" xfId="9906" xr:uid="{C08D98CF-B599-4CE6-8AC6-26E19664F3B1}"/>
    <cellStyle name="Migliaia 20 3 3 2 2 2" xfId="38797" xr:uid="{F4CC941E-68DC-4865-9202-29DE40B17708}"/>
    <cellStyle name="Migliaia 20 3 3 2 2 3" xfId="44099" xr:uid="{8BAFC7DB-091F-4159-8D1B-3B40E0983847}"/>
    <cellStyle name="Migliaia 20 3 3 2 3" xfId="18186" xr:uid="{6FEF4D3F-4348-4639-A5CC-5B2C2EE7EBF9}"/>
    <cellStyle name="Migliaia 20 3 3 2 4" xfId="20074" xr:uid="{475CB908-5C93-459C-8FAA-EE03DBC50EB2}"/>
    <cellStyle name="Migliaia 20 3 3 2 4 2" xfId="41448" xr:uid="{EAEDF548-3F0B-4ECF-BAD0-93B35BF3851E}"/>
    <cellStyle name="Migliaia 20 3 3 2 5" xfId="16193" xr:uid="{C50B3CD1-74AB-450F-99F6-7B665561CC72}"/>
    <cellStyle name="Migliaia 20 3 3 2 6" xfId="8554" xr:uid="{115B8379-FC69-41FD-AE6E-F1B342985B61}"/>
    <cellStyle name="Migliaia 20 3 3 3" xfId="6241" xr:uid="{1584519A-704C-49C9-BFEE-0111DBF08D03}"/>
    <cellStyle name="Migliaia 20 3 3 3 2" xfId="33379" xr:uid="{A17583D3-BA04-4FA0-BE8B-915D8D0502B1}"/>
    <cellStyle name="Migliaia 20 3 3 3 2 2" xfId="38798" xr:uid="{C6D28FCC-5FF0-475E-8DD8-C7276A26F623}"/>
    <cellStyle name="Migliaia 20 3 3 3 2 3" xfId="44100" xr:uid="{70ECDD93-CED2-4D0D-B38C-6B20563848B7}"/>
    <cellStyle name="Migliaia 20 3 3 3 3" xfId="36288" xr:uid="{FA1E8770-8860-451B-8587-36BFF65E60B3}"/>
    <cellStyle name="Migliaia 20 3 3 3 4" xfId="41449" xr:uid="{79EBE2F3-633C-4074-88EC-BC1EDAEDF5A1}"/>
    <cellStyle name="Migliaia 20 3 3 3 5" xfId="9669" xr:uid="{B968158F-7243-463A-8C62-9BE226677763}"/>
    <cellStyle name="Migliaia 20 3 3 4" xfId="20073" xr:uid="{65E4927C-D330-4AE6-9609-DAC9C5028FD5}"/>
    <cellStyle name="Migliaia 20 3 3 4 2" xfId="33380" xr:uid="{942E6642-4EC1-41D1-A580-8831D28BC801}"/>
    <cellStyle name="Migliaia 20 3 3 4 2 2" xfId="38799" xr:uid="{329CE132-3AA2-418B-B6AC-D32A378AD3E0}"/>
    <cellStyle name="Migliaia 20 3 3 4 2 3" xfId="44101" xr:uid="{CEA7D693-FF0A-4B3B-9898-42C941910FF5}"/>
    <cellStyle name="Migliaia 20 3 3 4 3" xfId="36289" xr:uid="{432EEDEC-3DB1-4C3F-A598-A8785C46986E}"/>
    <cellStyle name="Migliaia 20 3 3 4 4" xfId="41450" xr:uid="{A1D711AE-72AC-4731-B6E3-6E6A768414C9}"/>
    <cellStyle name="Migliaia 20 3 3 4 5" xfId="24466" xr:uid="{C165E444-1A40-4D8C-9B03-83D69D84EBB4}"/>
    <cellStyle name="Migliaia 20 3 3 5" xfId="24467" xr:uid="{2D187CA7-328C-4857-AC00-CB27CCB256E4}"/>
    <cellStyle name="Migliaia 20 3 3 5 2" xfId="33381" xr:uid="{900B0004-3534-48AD-A40A-20BAE56151AD}"/>
    <cellStyle name="Migliaia 20 3 3 5 2 2" xfId="38800" xr:uid="{EAF6EEA0-D669-4B4A-9B93-3D200A394485}"/>
    <cellStyle name="Migliaia 20 3 3 5 2 3" xfId="44102" xr:uid="{03C3F5C4-7A7B-4787-9E2D-52DA0AE01190}"/>
    <cellStyle name="Migliaia 20 3 3 5 3" xfId="36290" xr:uid="{AB07E5E5-3D9C-4362-865F-5FDE0077218F}"/>
    <cellStyle name="Migliaia 20 3 3 5 4" xfId="41451" xr:uid="{62A161BA-C478-4101-A4F0-E7019BFBA4DC}"/>
    <cellStyle name="Migliaia 20 3 3 6" xfId="33378" xr:uid="{8EF0CF96-FEB5-4A2A-9246-A3379A5F7DFF}"/>
    <cellStyle name="Migliaia 20 3 3 6 2" xfId="38796" xr:uid="{36F36B6F-0DC0-4333-BE36-3EA684FCF596}"/>
    <cellStyle name="Migliaia 20 3 3 6 3" xfId="44098" xr:uid="{3880DD36-5495-403F-B017-C16661F60806}"/>
    <cellStyle name="Migliaia 20 3 3 7" xfId="36287" xr:uid="{72960EF2-3A26-4686-8CFC-304DB8ECA012}"/>
    <cellStyle name="Migliaia 20 3 3 8" xfId="41447" xr:uid="{8C7C277E-6656-4A9F-9293-B1725853CAEF}"/>
    <cellStyle name="Migliaia 20 3 3 9" xfId="16192" xr:uid="{B02018EA-AA95-43CA-8605-5D9FF5497731}"/>
    <cellStyle name="Migliaia 20 3 4" xfId="3304" xr:uid="{D40C12FB-7BE6-4B5C-B430-28748EF6E8CF}"/>
    <cellStyle name="Migliaia 20 3 4 2" xfId="5030" xr:uid="{AEA51B74-8505-48C0-B779-50D67A7C9DA4}"/>
    <cellStyle name="Migliaia 20 3 4 2 2" xfId="14435" xr:uid="{E0E16F88-4484-4359-A982-AC348A760F16}"/>
    <cellStyle name="Migliaia 20 3 4 2 3" xfId="18145" xr:uid="{A4A12C54-C714-46E5-88BC-3B5C26561766}"/>
    <cellStyle name="Migliaia 20 3 4 2 4" xfId="20076" xr:uid="{FDD89D5F-E57C-4161-8CFC-ED654CA66F77}"/>
    <cellStyle name="Migliaia 20 3 4 2 5" xfId="32331" xr:uid="{544F4D19-FE41-4080-B04A-E4CA67C0A811}"/>
    <cellStyle name="Migliaia 20 3 4 2 6" xfId="16195" xr:uid="{61DEAB6D-31CF-4336-A239-3B9D52751962}"/>
    <cellStyle name="Migliaia 20 3 4 2 7" xfId="8858" xr:uid="{AEC22804-151F-4396-A8F0-111B17B0E171}"/>
    <cellStyle name="Migliaia 20 3 4 3" xfId="6242" xr:uid="{E63B86CD-E5CA-43EB-8FB5-344E37318619}"/>
    <cellStyle name="Migliaia 20 3 4 3 2" xfId="35209" xr:uid="{92F1AACE-5712-4D4F-A42A-36E63FD9DD4C}"/>
    <cellStyle name="Migliaia 20 3 4 3 2 2" xfId="40369" xr:uid="{56DBF920-FEAF-4821-8E19-DB12EC1750FF}"/>
    <cellStyle name="Migliaia 20 3 4 3 2 3" xfId="45671" xr:uid="{166E0073-67B6-4E45-9BAD-6A09FD0317CF}"/>
    <cellStyle name="Migliaia 20 3 4 3 3" xfId="37718" xr:uid="{3AEBEC8C-376E-4FB4-A892-AF45B27AC5D1}"/>
    <cellStyle name="Migliaia 20 3 4 3 4" xfId="43020" xr:uid="{2CE7A09E-6172-403E-BDCE-24DD8C0C4EE0}"/>
    <cellStyle name="Migliaia 20 3 4 3 5" xfId="13683" xr:uid="{695BB32C-C6A7-410D-87B7-6662C32745E6}"/>
    <cellStyle name="Migliaia 20 3 4 4" xfId="20075" xr:uid="{0DEE9D9B-AA64-4486-A9B9-56B464CE099C}"/>
    <cellStyle name="Migliaia 20 3 4 4 2" xfId="38801" xr:uid="{490963D0-3955-4EBB-A67E-A1AC18516F4E}"/>
    <cellStyle name="Migliaia 20 3 4 4 3" xfId="44103" xr:uid="{FE4892AE-9AAB-4734-9630-5DE3D9FE7522}"/>
    <cellStyle name="Migliaia 20 3 4 4 4" xfId="33382" xr:uid="{DD4EEBFC-2228-4662-884C-9ACA57861E88}"/>
    <cellStyle name="Migliaia 20 3 4 5" xfId="36291" xr:uid="{A4CFB204-CA52-4B19-959E-37C0C7179EE4}"/>
    <cellStyle name="Migliaia 20 3 4 6" xfId="41452" xr:uid="{66A25FAD-156F-43AF-96F9-08F3A2AED1B1}"/>
    <cellStyle name="Migliaia 20 3 4 7" xfId="16194" xr:uid="{B056467A-E05E-47BD-9164-973B3CC88E13}"/>
    <cellStyle name="Migliaia 20 3 4 8" xfId="7668" xr:uid="{84B627EA-4F04-4943-848E-07B620DD8E27}"/>
    <cellStyle name="Migliaia 20 3 5" xfId="3305" xr:uid="{5A1F4818-424A-472C-BBF0-0C2DF6112EA4}"/>
    <cellStyle name="Migliaia 20 3 5 2" xfId="5031" xr:uid="{F2C81148-6863-410D-97FA-676C0B29DACB}"/>
    <cellStyle name="Migliaia 20 3 5 2 2" xfId="35210" xr:uid="{D2B24583-5599-4BF0-82F6-1323DCBC59B4}"/>
    <cellStyle name="Migliaia 20 3 5 2 2 2" xfId="40370" xr:uid="{983C6D1C-6892-4166-AE89-3BE59A68A45A}"/>
    <cellStyle name="Migliaia 20 3 5 2 2 3" xfId="45672" xr:uid="{3238683F-F38E-4B4A-8681-2C54F8EF763C}"/>
    <cellStyle name="Migliaia 20 3 5 2 3" xfId="37719" xr:uid="{FD2DCA4C-F908-4B27-8D4A-3DD90942703A}"/>
    <cellStyle name="Migliaia 20 3 5 2 4" xfId="43021" xr:uid="{3FA88A4F-27B7-4043-956C-D79C06C4BC06}"/>
    <cellStyle name="Migliaia 20 3 5 2 5" xfId="14217" xr:uid="{1F6B242F-D0AE-48FD-B8B1-3AF9D344DC73}"/>
    <cellStyle name="Migliaia 20 3 5 3" xfId="6243" xr:uid="{07C5F843-C900-4F07-A1FB-60B5A5FBDB15}"/>
    <cellStyle name="Migliaia 20 3 5 3 2" xfId="38802" xr:uid="{EF9951E2-B783-4598-A93A-C8E0AAAADEB5}"/>
    <cellStyle name="Migliaia 20 3 5 3 3" xfId="44104" xr:uid="{4B154156-53E8-41AB-B75C-50FDEF86FB6A}"/>
    <cellStyle name="Migliaia 20 3 5 3 4" xfId="33383" xr:uid="{48CC5265-E324-4F8D-A38D-E8980B648F19}"/>
    <cellStyle name="Migliaia 20 3 5 3 5" xfId="20077" xr:uid="{9E9BD431-FCF6-44BD-8477-0D5BCED5FC3C}"/>
    <cellStyle name="Migliaia 20 3 5 4" xfId="36292" xr:uid="{35AF5AD3-F090-497D-9230-1347684DCD81}"/>
    <cellStyle name="Migliaia 20 3 5 5" xfId="41453" xr:uid="{EAC45F60-0258-472C-B585-A85A534D031E}"/>
    <cellStyle name="Migliaia 20 3 5 6" xfId="16196" xr:uid="{CBAFFB81-6BD3-4C52-9296-8D83E23E111A}"/>
    <cellStyle name="Migliaia 20 3 5 7" xfId="8279" xr:uid="{1D1577AE-4F77-4F31-9BBD-6DE927211A0E}"/>
    <cellStyle name="Migliaia 20 3 6" xfId="5026" xr:uid="{82106CB1-518C-4F8C-8A1B-63A867B346BD}"/>
    <cellStyle name="Migliaia 20 3 6 2" xfId="13922" xr:uid="{D9A7239A-11BD-4AA8-A93B-876A5ECC28E3}"/>
    <cellStyle name="Migliaia 20 3 6 2 2" xfId="38803" xr:uid="{6BEF767A-5E24-4A90-BFB5-BA154C20D708}"/>
    <cellStyle name="Migliaia 20 3 6 2 3" xfId="44105" xr:uid="{8E868E35-562B-4145-9D4B-D273656D3E0B}"/>
    <cellStyle name="Migliaia 20 3 6 3" xfId="18718" xr:uid="{0174797A-0AEB-4E79-86BF-5E704437EBD2}"/>
    <cellStyle name="Migliaia 20 3 6 4" xfId="20078" xr:uid="{16DEDFFF-169D-478C-8B02-5E13A9C5F4FD}"/>
    <cellStyle name="Migliaia 20 3 6 4 2" xfId="41454" xr:uid="{3CBBAAC3-9E10-4E42-95AD-5C89A77987A0}"/>
    <cellStyle name="Migliaia 20 3 6 5" xfId="16197" xr:uid="{2235003E-A579-4614-B77B-45F1AA73248F}"/>
    <cellStyle name="Migliaia 20 3 6 6" xfId="7872" xr:uid="{30EF9DB3-2345-4A55-9959-D4C7787C4B27}"/>
    <cellStyle name="Migliaia 20 3 7" xfId="6238" xr:uid="{2B403D09-B6CD-418E-A250-A2EF9F538168}"/>
    <cellStyle name="Migliaia 20 3 7 2" xfId="33384" xr:uid="{86570340-1575-4F21-97D2-36B7F45458B1}"/>
    <cellStyle name="Migliaia 20 3 7 2 2" xfId="38804" xr:uid="{A9457E08-7C68-4F58-B49D-B74778451D9A}"/>
    <cellStyle name="Migliaia 20 3 7 2 3" xfId="44106" xr:uid="{3D34D163-9A84-4B2D-9B4B-BAE557B302C5}"/>
    <cellStyle name="Migliaia 20 3 7 3" xfId="36293" xr:uid="{67E40F71-52AD-43E8-89BA-B8237C55F234}"/>
    <cellStyle name="Migliaia 20 3 7 4" xfId="41455" xr:uid="{6B7FF468-076F-42F5-9F3B-B46D37048A32}"/>
    <cellStyle name="Migliaia 20 3 7 5" xfId="11519" xr:uid="{740375E0-5047-40AA-AE09-AE9F61604E07}"/>
    <cellStyle name="Migliaia 20 3 8" xfId="3300" xr:uid="{C9285DF3-A1A0-4BE7-A8CE-BD69AE65FECD}"/>
    <cellStyle name="Migliaia 20 3 8 2" xfId="33385" xr:uid="{367863E1-FB5C-4EC4-A185-B0CF573526B2}"/>
    <cellStyle name="Migliaia 20 3 8 2 2" xfId="38805" xr:uid="{993E1E83-CCE5-4581-B7A2-211C0DF3C856}"/>
    <cellStyle name="Migliaia 20 3 8 2 3" xfId="44107" xr:uid="{2BA5BE46-7C64-46EA-9B00-5DF34F7CA38D}"/>
    <cellStyle name="Migliaia 20 3 8 3" xfId="36294" xr:uid="{2712F54D-86B7-49F5-8C2B-0AFCD5F16BA3}"/>
    <cellStyle name="Migliaia 20 3 8 4" xfId="41456" xr:uid="{F7B6EA70-2BDD-4AF0-A580-9976FC82CE9A}"/>
    <cellStyle name="Migliaia 20 3 8 5" xfId="24468" xr:uid="{2B1D5394-8CE8-4467-8650-5274207EE8B7}"/>
    <cellStyle name="Migliaia 20 3 8 6" xfId="17391" xr:uid="{375343C9-9EB9-4BF3-B058-7B25B5408B25}"/>
    <cellStyle name="Migliaia 20 3 9" xfId="20069" xr:uid="{57D9BAAC-6A5B-49DC-962E-9E6310557B9C}"/>
    <cellStyle name="Migliaia 20 4" xfId="1718" xr:uid="{00000000-0005-0000-0000-000031030000}"/>
    <cellStyle name="Migliaia 20 4 2" xfId="1719" xr:uid="{00000000-0005-0000-0000-000032030000}"/>
    <cellStyle name="Migliaia 20 4 2 2" xfId="5033" xr:uid="{55B599D6-0F1A-47A0-B4C9-80786FA520F6}"/>
    <cellStyle name="Migliaia 20 4 2 2 2" xfId="33386" xr:uid="{2DBD3820-2CE5-4F7F-8181-9ADC41BCB3D0}"/>
    <cellStyle name="Migliaia 20 4 2 2 2 2" xfId="38806" xr:uid="{348E2E19-D1BC-4597-BDA9-182FCD6BFF80}"/>
    <cellStyle name="Migliaia 20 4 2 2 2 3" xfId="44108" xr:uid="{0F00F63C-CA14-4B56-BB32-FF497FACE7F5}"/>
    <cellStyle name="Migliaia 20 4 2 2 3" xfId="36295" xr:uid="{84CD1C53-A8F0-4461-A004-DE743E566703}"/>
    <cellStyle name="Migliaia 20 4 2 2 4" xfId="41457" xr:uid="{CE5B6616-BCEA-4807-95AE-FDE073DB957B}"/>
    <cellStyle name="Migliaia 20 4 2 2 5" xfId="9132" xr:uid="{CA246449-D33F-47ED-9001-496362F969F9}"/>
    <cellStyle name="Migliaia 20 4 2 3" xfId="3307" xr:uid="{6198E792-1BEF-4FC3-BDE0-BA62190CB66F}"/>
    <cellStyle name="Migliaia 20 4 2 3 2" xfId="33387" xr:uid="{2344B976-6A07-44C8-840E-BE78A7D3FF33}"/>
    <cellStyle name="Migliaia 20 4 2 3 2 2" xfId="38807" xr:uid="{FCD72A5A-7C10-4CC0-9689-661DE4879757}"/>
    <cellStyle name="Migliaia 20 4 2 3 2 3" xfId="44109" xr:uid="{3195810D-E6C7-4C88-A205-BF3674C7AD02}"/>
    <cellStyle name="Migliaia 20 4 2 3 3" xfId="36296" xr:uid="{4DBDE5D0-4465-472B-8F73-0190952B5EE0}"/>
    <cellStyle name="Migliaia 20 4 2 3 4" xfId="41458" xr:uid="{E77183AC-FBF7-4FD0-A3A9-7AF685246DAF}"/>
    <cellStyle name="Migliaia 20 4 2 3 5" xfId="11937" xr:uid="{60B6EAE8-A632-4C04-8FA8-4B225BF90A18}"/>
    <cellStyle name="Migliaia 20 4 2 4" xfId="11286" xr:uid="{E6CCE3C1-3E12-4FC1-B971-A51651BB8705}"/>
    <cellStyle name="Migliaia 20 4 2 5" xfId="10796" xr:uid="{7E144E6E-4A76-436E-B98E-271995D410CB}"/>
    <cellStyle name="Migliaia 20 4 2 5 2" xfId="21431" xr:uid="{A4F40495-26BE-41D7-AF58-80A441104C5D}"/>
    <cellStyle name="Migliaia 20 4 2 5 3" xfId="47597" xr:uid="{809345C9-1945-4AA0-8F07-B8F77FB722BC}"/>
    <cellStyle name="Migliaia 20 4 2 5 4" xfId="50446" xr:uid="{3652EEFE-25E3-4621-AD68-1F066BF91B32}"/>
    <cellStyle name="Migliaia 20 4 2 5 5" xfId="53462" xr:uid="{A80E0D08-10A8-428E-A95D-69F5389EC3C4}"/>
    <cellStyle name="Migliaia 20 4 2 6" xfId="20080" xr:uid="{6C7273F0-1AAF-4EE8-990D-9575C8785C7C}"/>
    <cellStyle name="Migliaia 20 4 2 7" xfId="24470" xr:uid="{73D4164A-17DB-41FA-9FE5-1AEE7C0C0F9C}"/>
    <cellStyle name="Migliaia 20 4 2 8" xfId="8556" xr:uid="{C27AB129-1A6F-498A-9B47-D590BF68BA61}"/>
    <cellStyle name="Migliaia 20 4 3" xfId="5032" xr:uid="{8E31D9DF-A807-4FC7-9B3E-D5749C7DDAB2}"/>
    <cellStyle name="Migliaia 20 4 3 2" xfId="18187" xr:uid="{08B187E4-AD24-4D32-A8E4-50FEAF9599F5}"/>
    <cellStyle name="Migliaia 20 4 3 2 2" xfId="38808" xr:uid="{95700F47-09A4-435A-8DAA-2503CB725F6C}"/>
    <cellStyle name="Migliaia 20 4 3 2 3" xfId="44110" xr:uid="{237C3B9C-CC19-4589-90C6-86CD6E6DF721}"/>
    <cellStyle name="Migliaia 20 4 3 3" xfId="36297" xr:uid="{461E3629-A884-4DBB-8B68-ADAF4A9EBFB1}"/>
    <cellStyle name="Migliaia 20 4 3 4" xfId="41459" xr:uid="{D8174299-8304-4228-93B7-D59BAAA830FB}"/>
    <cellStyle name="Migliaia 20 4 3 5" xfId="17389" xr:uid="{6848CBDF-6B26-49A2-923E-5CC1EC565863}"/>
    <cellStyle name="Migliaia 20 4 3 6" xfId="9133" xr:uid="{DB095A99-73D8-4869-800C-042B2F3FFAF1}"/>
    <cellStyle name="Migliaia 20 4 4" xfId="6244" xr:uid="{E62C35C4-36E2-42F4-AAFC-E3F161E8831D}"/>
    <cellStyle name="Migliaia 20 4 4 2" xfId="33388" xr:uid="{4E45E283-FCF2-45CD-BC1F-06FC83F719DF}"/>
    <cellStyle name="Migliaia 20 4 4 2 2" xfId="38809" xr:uid="{B8C2FDFC-E18B-4B39-ACB8-4C49ABEF3E71}"/>
    <cellStyle name="Migliaia 20 4 4 2 3" xfId="44111" xr:uid="{B910F16B-125E-466D-BC6E-55CE09CAD279}"/>
    <cellStyle name="Migliaia 20 4 4 3" xfId="36298" xr:uid="{D538A14D-38FE-4AF1-BA6C-B56EC835764A}"/>
    <cellStyle name="Migliaia 20 4 4 4" xfId="41460" xr:uid="{C7C2D3CC-29AD-44C8-B6B7-10588A66422B}"/>
    <cellStyle name="Migliaia 20 4 4 5" xfId="11938" xr:uid="{C94F591F-230F-42A2-A591-BFD98CF82A5A}"/>
    <cellStyle name="Migliaia 20 4 5" xfId="3306" xr:uid="{4FB76E85-52CF-42E2-91A0-1574BD4A21EA}"/>
    <cellStyle name="Migliaia 20 4 5 2" xfId="33389" xr:uid="{A6FA1CB4-6D3B-4536-B6DB-5AE95BD830F8}"/>
    <cellStyle name="Migliaia 20 4 5 2 2" xfId="38810" xr:uid="{85EDF34F-D4CD-470B-A1F0-DFB0A7BF1F69}"/>
    <cellStyle name="Migliaia 20 4 5 2 3" xfId="44112" xr:uid="{D75F5CD3-85B5-4FBD-BC7A-74FD16633764}"/>
    <cellStyle name="Migliaia 20 4 5 3" xfId="36299" xr:uid="{D8F6796C-5799-4D58-A930-BD4462DB90CE}"/>
    <cellStyle name="Migliaia 20 4 5 4" xfId="41461" xr:uid="{0421B033-85D8-4878-A2D4-68EA60C237B4}"/>
    <cellStyle name="Migliaia 20 4 5 5" xfId="11285" xr:uid="{EFEC93F0-D56A-4216-9547-CDC9029B82BC}"/>
    <cellStyle name="Migliaia 20 4 6" xfId="10795" xr:uid="{22C06E4F-D0C3-4131-92FC-A56746EFD9B2}"/>
    <cellStyle name="Migliaia 20 4 6 2" xfId="21430" xr:uid="{FAF70D45-00D1-4F94-B161-5F7F818E2BEC}"/>
    <cellStyle name="Migliaia 20 4 6 2 2" xfId="38811" xr:uid="{03EC2F8D-35EE-4C0F-9B30-6AE14AA41DD4}"/>
    <cellStyle name="Migliaia 20 4 6 2 3" xfId="44113" xr:uid="{8F142D2E-48E3-4E07-BCB3-17DBE58E87D5}"/>
    <cellStyle name="Migliaia 20 4 6 2 4" xfId="33390" xr:uid="{CBE19217-5732-4E24-A92B-7F23358E9BC4}"/>
    <cellStyle name="Migliaia 20 4 6 3" xfId="36300" xr:uid="{A5E53078-D4C4-4E42-95EE-91A3227CA073}"/>
    <cellStyle name="Migliaia 20 4 6 4" xfId="41462" xr:uid="{8F903584-A493-45F5-AD61-26DF3B6CF910}"/>
    <cellStyle name="Migliaia 20 4 6 5" xfId="24471" xr:uid="{E4A6FC9C-900F-4FFA-8C6B-6ED55C9B2D43}"/>
    <cellStyle name="Migliaia 20 4 6 6" xfId="23998" xr:uid="{425BF0D1-1743-410F-AB4D-15A08B0B06BE}"/>
    <cellStyle name="Migliaia 20 4 6 7" xfId="50445" xr:uid="{ACE72984-6098-42E8-9708-3A78DCD8B9E6}"/>
    <cellStyle name="Migliaia 20 4 6 8" xfId="53461" xr:uid="{8F48F2DA-55E5-4A62-BBA7-0FAB44EECD35}"/>
    <cellStyle name="Migliaia 20 4 7" xfId="20079" xr:uid="{2EB98910-4A28-4246-8473-493875E183A5}"/>
    <cellStyle name="Migliaia 20 4 7 2" xfId="33391" xr:uid="{7B2E2E11-3F02-41E2-8214-60315B9CEC1D}"/>
    <cellStyle name="Migliaia 20 4 7 2 2" xfId="38812" xr:uid="{AF1E1A0A-5EC8-4EEE-98F7-DC261562DC37}"/>
    <cellStyle name="Migliaia 20 4 7 2 3" xfId="44114" xr:uid="{EBD238B5-0AEB-4CB9-B74E-C0A86C1E1512}"/>
    <cellStyle name="Migliaia 20 4 7 3" xfId="36301" xr:uid="{AFF6C592-DD31-4135-83CF-60CE0AC39727}"/>
    <cellStyle name="Migliaia 20 4 7 4" xfId="41463" xr:uid="{BCD7742A-FF7E-425C-8843-E03F6F9A0FDE}"/>
    <cellStyle name="Migliaia 20 4 7 5" xfId="24472" xr:uid="{48C5FF43-0468-4949-B539-C7DFF7BFAA90}"/>
    <cellStyle name="Migliaia 20 4 8" xfId="24469" xr:uid="{BE4276C7-6D5A-42CD-926E-9F738232424A}"/>
    <cellStyle name="Migliaia 20 4 9" xfId="7366" xr:uid="{52626DEB-E889-4C04-8E36-FA8FA4069380}"/>
    <cellStyle name="Migliaia 20 5" xfId="1720" xr:uid="{00000000-0005-0000-0000-000033030000}"/>
    <cellStyle name="Migliaia 20 5 2" xfId="5034" xr:uid="{62DCAD72-A3E1-41D8-BFC0-DEDB4B6B5BFB}"/>
    <cellStyle name="Migliaia 20 5 2 2" xfId="18400" xr:uid="{7F91B91D-41E3-40B9-8CC0-67FE47883FF6}"/>
    <cellStyle name="Migliaia 20 5 2 2 2" xfId="38813" xr:uid="{8C14607A-9D15-4733-BD7D-B7301566E870}"/>
    <cellStyle name="Migliaia 20 5 2 2 3" xfId="44115" xr:uid="{4F984951-0E3D-42CC-A0B5-8365E1FE52B6}"/>
    <cellStyle name="Migliaia 20 5 2 3" xfId="20082" xr:uid="{68E3A6FE-D174-44C0-AC89-63DBDA4ACBB0}"/>
    <cellStyle name="Migliaia 20 5 2 3 2" xfId="36302" xr:uid="{0B6003E0-4E95-4274-86FD-AC8E20E18EAD}"/>
    <cellStyle name="Migliaia 20 5 2 4" xfId="41464" xr:uid="{729EC048-C6D0-47F1-923B-05C66397FAD0}"/>
    <cellStyle name="Migliaia 20 5 2 5" xfId="16198" xr:uid="{DE2DF801-1332-4592-B0C3-05AC485893A7}"/>
    <cellStyle name="Migliaia 20 5 2 6" xfId="8557" xr:uid="{0E5E7799-AD29-4420-936F-1ECA78196D64}"/>
    <cellStyle name="Migliaia 20 5 3" xfId="6245" xr:uid="{7A073B44-02F7-4CA3-867C-8E07F664BF8C}"/>
    <cellStyle name="Migliaia 20 5 3 2" xfId="33392" xr:uid="{A7A55122-3C2D-4C18-BD24-CE7E98B29FA7}"/>
    <cellStyle name="Migliaia 20 5 3 2 2" xfId="38814" xr:uid="{B4A48336-4700-4B02-AB63-C61722DCE77B}"/>
    <cellStyle name="Migliaia 20 5 3 2 3" xfId="44116" xr:uid="{2064FA2A-62CF-4EA9-A62A-C959F4399B8D}"/>
    <cellStyle name="Migliaia 20 5 3 3" xfId="36303" xr:uid="{55FB2C5F-887F-4DF6-BBA3-50308D525A61}"/>
    <cellStyle name="Migliaia 20 5 3 4" xfId="41465" xr:uid="{04B569C3-396B-421A-BE44-CF319C5BE521}"/>
    <cellStyle name="Migliaia 20 5 3 5" xfId="11287" xr:uid="{8CC2F80D-812D-4749-A2E5-F3CCEAE9E12E}"/>
    <cellStyle name="Migliaia 20 5 4" xfId="3308" xr:uid="{D269DE0E-1204-4BA1-9773-495E1939A0E6}"/>
    <cellStyle name="Migliaia 20 5 4 2" xfId="21432" xr:uid="{20485113-7C35-44DD-A681-293E1DE2FD85}"/>
    <cellStyle name="Migliaia 20 5 4 2 2" xfId="38815" xr:uid="{1B1595A1-934A-40EE-91CA-810828ACED6D}"/>
    <cellStyle name="Migliaia 20 5 4 2 3" xfId="44117" xr:uid="{DCAFA341-2D8E-44C2-9DAA-7A4F87A577AF}"/>
    <cellStyle name="Migliaia 20 5 4 2 4" xfId="33393" xr:uid="{C3F907CA-D951-4012-BBD4-5E75E9E1972A}"/>
    <cellStyle name="Migliaia 20 5 4 3" xfId="36304" xr:uid="{DFB26D98-C88B-4D64-AD16-1708E68F70F6}"/>
    <cellStyle name="Migliaia 20 5 4 4" xfId="41466" xr:uid="{71D26F7F-B56E-4D8D-A012-53D0E2DC5D1E}"/>
    <cellStyle name="Migliaia 20 5 4 5" xfId="24474" xr:uid="{3D5722A8-5C5E-4163-AAFA-7E5EAA0EA4AF}"/>
    <cellStyle name="Migliaia 20 5 4 6" xfId="46221" xr:uid="{294D649D-4CDC-4957-962D-F5F87BF14188}"/>
    <cellStyle name="Migliaia 20 5 4 7" xfId="50447" xr:uid="{05019B25-E7C7-4A6A-A5F3-C1270E96F857}"/>
    <cellStyle name="Migliaia 20 5 4 8" xfId="53463" xr:uid="{09F82BBE-2A07-434A-9617-F45E1D10E828}"/>
    <cellStyle name="Migliaia 20 5 4 9" xfId="10797" xr:uid="{C9AC7AA4-E09F-4C92-BE19-06CDDD3A4E4C}"/>
    <cellStyle name="Migliaia 20 5 5" xfId="20081" xr:uid="{ACF91A89-492E-4486-9360-40A591C25E4D}"/>
    <cellStyle name="Migliaia 20 5 5 2" xfId="33394" xr:uid="{3C430579-FD5F-47F3-9958-AC1FAEC9E8B0}"/>
    <cellStyle name="Migliaia 20 5 5 2 2" xfId="38816" xr:uid="{8E0FE531-4894-4458-9854-783E96606E51}"/>
    <cellStyle name="Migliaia 20 5 5 2 3" xfId="44118" xr:uid="{AC5AA3FA-E8D8-4E82-AF06-A2BA01C37D2C}"/>
    <cellStyle name="Migliaia 20 5 5 3" xfId="36305" xr:uid="{857ACCFF-DBA7-4853-928E-95C9C5911E0A}"/>
    <cellStyle name="Migliaia 20 5 5 4" xfId="41467" xr:uid="{58555082-1E32-40B0-9F08-9BAAA2AA5670}"/>
    <cellStyle name="Migliaia 20 5 5 5" xfId="24475" xr:uid="{2569E531-745A-4CFE-9ED0-1A2FCA76EA74}"/>
    <cellStyle name="Migliaia 20 5 6" xfId="24476" xr:uid="{A4F46834-6DCE-47F4-BFF2-BFF667357559}"/>
    <cellStyle name="Migliaia 20 5 6 2" xfId="33395" xr:uid="{01136076-DF55-4DD4-AEB3-D2223F3BD586}"/>
    <cellStyle name="Migliaia 20 5 6 2 2" xfId="38817" xr:uid="{5FA94E0F-3DB5-481C-AE35-83E121246E90}"/>
    <cellStyle name="Migliaia 20 5 6 2 3" xfId="44119" xr:uid="{91B0C37D-73BD-429E-A26E-E255AE01790F}"/>
    <cellStyle name="Migliaia 20 5 6 3" xfId="36306" xr:uid="{BE484817-280A-4E68-BA9B-6B5679CCF866}"/>
    <cellStyle name="Migliaia 20 5 6 4" xfId="41468" xr:uid="{28BF6858-D849-4FE7-9016-3064D1E0EB2C}"/>
    <cellStyle name="Migliaia 20 5 7" xfId="24473" xr:uid="{06E5FC23-CB2E-4152-A506-3A717C437A4B}"/>
    <cellStyle name="Migliaia 20 5 8" xfId="7367" xr:uid="{10C6F656-9563-497D-931E-5C64F2757F39}"/>
    <cellStyle name="Migliaia 20 6" xfId="3309" xr:uid="{296237C1-5732-4F74-B462-E3CB81252811}"/>
    <cellStyle name="Migliaia 20 6 2" xfId="5035" xr:uid="{4F82EDEE-56ED-4DE6-993E-81BF894A71EB}"/>
    <cellStyle name="Migliaia 20 6 2 2" xfId="9905" xr:uid="{A7358FE8-8062-41C3-A622-2F13FE9F500A}"/>
    <cellStyle name="Migliaia 20 6 2 3" xfId="18668" xr:uid="{4CABEB96-3804-4D99-BA1E-AB38CC7EC21E}"/>
    <cellStyle name="Migliaia 20 6 2 4" xfId="20084" xr:uid="{1C18D841-3D28-4327-BC04-211BAF42367C}"/>
    <cellStyle name="Migliaia 20 6 2 5" xfId="32332" xr:uid="{445F7882-A0F5-4B3D-8721-D685895643E8}"/>
    <cellStyle name="Migliaia 20 6 2 6" xfId="16200" xr:uid="{1736580D-FC0F-4857-B3EF-18572F929C70}"/>
    <cellStyle name="Migliaia 20 6 2 7" xfId="8552" xr:uid="{5D97FBF7-3915-45BB-B0C6-FE75CEC9149C}"/>
    <cellStyle name="Migliaia 20 6 3" xfId="6246" xr:uid="{A1D21CD8-AD83-4063-9F10-B884C5B34114}"/>
    <cellStyle name="Migliaia 20 6 3 2" xfId="35211" xr:uid="{9B05BDB0-583D-4F1F-A5A5-EA0CC171FD58}"/>
    <cellStyle name="Migliaia 20 6 3 2 2" xfId="40371" xr:uid="{0796B2BC-3819-41B1-BF32-38116254769E}"/>
    <cellStyle name="Migliaia 20 6 3 2 3" xfId="45673" xr:uid="{EF37FE9C-3EC5-4797-99AD-238270E1BAC2}"/>
    <cellStyle name="Migliaia 20 6 3 3" xfId="37720" xr:uid="{74083A16-3637-41B9-AAAE-6BDB0D85E0DC}"/>
    <cellStyle name="Migliaia 20 6 3 4" xfId="43022" xr:uid="{E87383CE-7DB7-427A-8CE5-EF4ED9066F14}"/>
    <cellStyle name="Migliaia 20 6 3 5" xfId="9668" xr:uid="{8EC3A63F-F755-4F84-A652-4F07EC54684E}"/>
    <cellStyle name="Migliaia 20 6 4" xfId="20083" xr:uid="{DAAE0188-65E4-452F-B50C-92FD3EA29778}"/>
    <cellStyle name="Migliaia 20 6 4 2" xfId="38818" xr:uid="{1DFD2B8D-3CC6-405B-9B8B-DC5AF4F20196}"/>
    <cellStyle name="Migliaia 20 6 4 3" xfId="44120" xr:uid="{DAF0F077-AE8F-4FA4-86F8-CB5D9217010D}"/>
    <cellStyle name="Migliaia 20 6 4 4" xfId="33396" xr:uid="{8E1E3B97-F630-42D5-8DAB-E4328FCF5913}"/>
    <cellStyle name="Migliaia 20 6 5" xfId="36307" xr:uid="{36512790-EF34-4815-81A7-46D28C73C66C}"/>
    <cellStyle name="Migliaia 20 6 6" xfId="41469" xr:uid="{F68090DB-88D5-44A9-8045-B4C0D1D9F8BD}"/>
    <cellStyle name="Migliaia 20 6 7" xfId="16199" xr:uid="{138E4DFE-E95B-4F6D-9F13-0595DBCF0671}"/>
    <cellStyle name="Migliaia 20 6 8" xfId="7362" xr:uid="{923AD168-15CE-47CF-A8D7-13062B3ED87E}"/>
    <cellStyle name="Migliaia 20 7" xfId="3310" xr:uid="{3CEEC087-4381-4CE3-812A-34883EFBB942}"/>
    <cellStyle name="Migliaia 20 7 2" xfId="5036" xr:uid="{954216DC-3C37-4552-B5BE-0F1106148363}"/>
    <cellStyle name="Migliaia 20 7 2 2" xfId="35212" xr:uid="{6A9AFA5B-0428-4EB5-B8F2-1EE6DA6D9E3B}"/>
    <cellStyle name="Migliaia 20 7 2 2 2" xfId="40372" xr:uid="{A4D9A003-2D2A-4CC4-B5F4-EF42BD677590}"/>
    <cellStyle name="Migliaia 20 7 2 2 3" xfId="45674" xr:uid="{E875F2AC-91C1-4364-ABB9-9B2FF3F3497B}"/>
    <cellStyle name="Migliaia 20 7 2 3" xfId="37721" xr:uid="{A07C798C-0FBE-49AF-A6A7-DECFEA19547E}"/>
    <cellStyle name="Migliaia 20 7 2 4" xfId="43023" xr:uid="{EADE4A53-ED63-41E7-8B5E-9311DFE6CE94}"/>
    <cellStyle name="Migliaia 20 7 2 5" xfId="14215" xr:uid="{FA9F3EB5-A386-4CB2-8622-99D53EC6B2BD}"/>
    <cellStyle name="Migliaia 20 7 3" xfId="6247" xr:uid="{1B32164D-5C4B-4935-83BD-2FB943213B5C}"/>
    <cellStyle name="Migliaia 20 7 3 2" xfId="38819" xr:uid="{4D9B48A6-B9D4-42D4-AECC-1D8BB309C769}"/>
    <cellStyle name="Migliaia 20 7 3 3" xfId="44121" xr:uid="{83188FE0-0C6E-4452-8B73-2A1C60FDE716}"/>
    <cellStyle name="Migliaia 20 7 3 4" xfId="33397" xr:uid="{B3F86D25-E504-40D5-9868-8863E72B5EF7}"/>
    <cellStyle name="Migliaia 20 7 3 5" xfId="20085" xr:uid="{FA5EAFC3-8679-4E5A-B05E-33399EAD69E8}"/>
    <cellStyle name="Migliaia 20 7 4" xfId="36308" xr:uid="{610AD601-CDB4-4EEC-B0C1-3D3A519257E8}"/>
    <cellStyle name="Migliaia 20 7 5" xfId="41470" xr:uid="{E6DA250E-F490-43AA-81E8-643D46D171DB}"/>
    <cellStyle name="Migliaia 20 7 6" xfId="16201" xr:uid="{E95E430D-B3B5-4FF1-92D9-C4E63ACB0E27}"/>
    <cellStyle name="Migliaia 20 7 7" xfId="8277" xr:uid="{AC6A60F5-935F-4672-AA9B-3DCFA062D6F4}"/>
    <cellStyle name="Migliaia 20 8" xfId="3311" xr:uid="{46DE2A6C-7107-487B-8C2B-1F3B39DEEEDC}"/>
    <cellStyle name="Migliaia 20 8 2" xfId="5037" xr:uid="{24F5D9C6-7EBB-42C4-8D25-26C19035FB39}"/>
    <cellStyle name="Migliaia 20 8 2 2" xfId="35213" xr:uid="{1C55A5BC-2A25-4AA7-97BE-F574FFF4ED01}"/>
    <cellStyle name="Migliaia 20 8 2 2 2" xfId="40373" xr:uid="{53BAE9BA-E8FE-48BC-A214-019CA91DB5E4}"/>
    <cellStyle name="Migliaia 20 8 2 2 3" xfId="45675" xr:uid="{5C6C22D6-4224-4570-8471-B5127B247858}"/>
    <cellStyle name="Migliaia 20 8 2 3" xfId="37722" xr:uid="{A9654578-DEDD-4535-BBB0-EDE671CD37AC}"/>
    <cellStyle name="Migliaia 20 8 2 4" xfId="43024" xr:uid="{52362CDA-75B1-4679-AF4E-10D08F692592}"/>
    <cellStyle name="Migliaia 20 8 2 5" xfId="13920" xr:uid="{0C3873DE-24B9-4660-AF02-BB0D7A7358A8}"/>
    <cellStyle name="Migliaia 20 8 3" xfId="6248" xr:uid="{77B3E8F7-493D-4B01-9C45-7309AF54A430}"/>
    <cellStyle name="Migliaia 20 8 3 2" xfId="38820" xr:uid="{52DBA2B1-B7BF-4B54-B2C5-8F96E348103E}"/>
    <cellStyle name="Migliaia 20 8 3 3" xfId="44122" xr:uid="{1E1EB5EA-25F5-48DA-AD7C-61C88131A4AC}"/>
    <cellStyle name="Migliaia 20 8 3 4" xfId="33398" xr:uid="{DA421708-31E3-4F82-B73B-13330E8CD70A}"/>
    <cellStyle name="Migliaia 20 8 3 5" xfId="20086" xr:uid="{D4993376-7E3F-4463-9BF3-B1CCA7055DB5}"/>
    <cellStyle name="Migliaia 20 8 4" xfId="36309" xr:uid="{C1D76805-13CE-4253-A4F2-D73D9AC66EA0}"/>
    <cellStyle name="Migliaia 20 8 5" xfId="41471" xr:uid="{87DF9B89-8F0C-4F71-ACC5-34A9DBF6454F}"/>
    <cellStyle name="Migliaia 20 8 6" xfId="16202" xr:uid="{ACB00563-22A0-420E-8FFC-ED3318695144}"/>
    <cellStyle name="Migliaia 20 8 7" xfId="7870" xr:uid="{DD0129C0-BD16-4364-8237-62CE8F9EDBA7}"/>
    <cellStyle name="Migliaia 20 9" xfId="5022" xr:uid="{349F239B-35CE-4E19-B6A6-8CDD139D0B48}"/>
    <cellStyle name="Migliaia 20 9 2" xfId="33399" xr:uid="{1EC1B860-A92A-4CAB-93DB-1266CD85A246}"/>
    <cellStyle name="Migliaia 20 9 2 2" xfId="38821" xr:uid="{A7CAF994-132F-457E-925D-FE99AD2232A4}"/>
    <cellStyle name="Migliaia 20 9 2 3" xfId="44123" xr:uid="{2E80D3A3-D211-4C99-B9B3-2CB62F2136EA}"/>
    <cellStyle name="Migliaia 20 9 3" xfId="36310" xr:uid="{B6DB3E30-7D61-493F-9645-3E9AFB7ED219}"/>
    <cellStyle name="Migliaia 20 9 4" xfId="41472" xr:uid="{94576BF3-3F3A-444B-81D3-2D66B3DCB7AF}"/>
    <cellStyle name="Migliaia 20 9 5" xfId="17159" xr:uid="{8E146335-06DA-46C8-83E9-607518BFA0C3}"/>
    <cellStyle name="Migliaia 21" xfId="353" xr:uid="{00000000-0005-0000-0000-000034030000}"/>
    <cellStyle name="Migliaia 21 10" xfId="6249" xr:uid="{0FB7782E-BEFA-4EEB-8806-3C83422CBF48}"/>
    <cellStyle name="Migliaia 21 10 2" xfId="38822" xr:uid="{03729584-FD9F-4541-915C-1A200232ABDA}"/>
    <cellStyle name="Migliaia 21 10 3" xfId="44124" xr:uid="{44E7D53E-7077-4136-84EF-82E05F06531E}"/>
    <cellStyle name="Migliaia 21 10 4" xfId="33400" xr:uid="{93F2A882-642A-479B-820B-D9CCC4AC2949}"/>
    <cellStyle name="Migliaia 21 10 5" xfId="20087" xr:uid="{2F9D50C8-575C-4B38-910D-1B8F4A32B2F4}"/>
    <cellStyle name="Migliaia 21 11" xfId="3312" xr:uid="{C9CF1305-8FC0-4A7E-BFBE-B3C41D4BE0AA}"/>
    <cellStyle name="Migliaia 21 11 2" xfId="36311" xr:uid="{E9B94A55-157B-4D10-BE27-16894AF7B434}"/>
    <cellStyle name="Migliaia 21 12" xfId="41473" xr:uid="{E240CBDC-DC2D-422E-AECD-577DC7F0C745}"/>
    <cellStyle name="Migliaia 21 13" xfId="7081" xr:uid="{57E94CED-529A-42C6-8B5E-B6D426ADC09B}"/>
    <cellStyle name="Migliaia 21 2" xfId="354" xr:uid="{00000000-0005-0000-0000-000035030000}"/>
    <cellStyle name="Migliaia 21 2 2" xfId="1721" xr:uid="{00000000-0005-0000-0000-000036030000}"/>
    <cellStyle name="Migliaia 21 2 2 2" xfId="5040" xr:uid="{52E24966-FF95-4AF5-9A7A-BC860DD6F00E}"/>
    <cellStyle name="Migliaia 21 2 2 2 2" xfId="14376" xr:uid="{0CDAEB7A-7DD8-43CC-AFB2-7F89539621F7}"/>
    <cellStyle name="Migliaia 21 2 2 2 2 2" xfId="38823" xr:uid="{48D74EF8-70CB-45E1-A501-7A4A67BC3E88}"/>
    <cellStyle name="Migliaia 21 2 2 2 2 3" xfId="44125" xr:uid="{05FC83B7-C170-48C2-B614-2AF0020F8926}"/>
    <cellStyle name="Migliaia 21 2 2 2 3" xfId="18401" xr:uid="{55466CAF-820C-404D-8821-53FCBE73BB41}"/>
    <cellStyle name="Migliaia 21 2 2 2 4" xfId="20090" xr:uid="{7C166B8C-41E4-4DF9-B8DD-B45915780016}"/>
    <cellStyle name="Migliaia 21 2 2 2 4 2" xfId="41474" xr:uid="{53CBEC1A-609A-436E-89E4-C277E41B04C6}"/>
    <cellStyle name="Migliaia 21 2 2 2 5" xfId="16203" xr:uid="{2897E3E1-F77A-400A-A001-FF923C84A061}"/>
    <cellStyle name="Migliaia 21 2 2 2 6" xfId="8559" xr:uid="{028B4E96-8151-43A7-BCCB-A5A096C19DEB}"/>
    <cellStyle name="Migliaia 21 2 2 3" xfId="6251" xr:uid="{537733BF-50BC-4CEE-93DA-238EBCC3A8D1}"/>
    <cellStyle name="Migliaia 21 2 2 3 2" xfId="35214" xr:uid="{279CFA5F-13A9-4AE7-97E1-3480BAA1B23E}"/>
    <cellStyle name="Migliaia 21 2 2 3 2 2" xfId="40374" xr:uid="{82FF20FA-16AA-424D-8B36-6AF4934072D0}"/>
    <cellStyle name="Migliaia 21 2 2 3 2 3" xfId="45676" xr:uid="{124DA464-E603-4FEE-88A2-F62A94AC8EB2}"/>
    <cellStyle name="Migliaia 21 2 2 3 3" xfId="37723" xr:uid="{53C8B06A-C0C6-4A7E-AA1C-D117C1DE9FF1}"/>
    <cellStyle name="Migliaia 21 2 2 3 4" xfId="43025" xr:uid="{4A027FE7-390B-4D25-8326-882ECE98B674}"/>
    <cellStyle name="Migliaia 21 2 2 3 5" xfId="11603" xr:uid="{61C91B6E-6663-4452-AA61-1E11E016020F}"/>
    <cellStyle name="Migliaia 21 2 2 4" xfId="3314" xr:uid="{3B645AC5-F6C8-49F6-A329-D7E7C3F4067B}"/>
    <cellStyle name="Migliaia 21 2 2 4 2" xfId="21433" xr:uid="{F7F182BC-A6E7-467D-A4FE-4FD7C7906D51}"/>
    <cellStyle name="Migliaia 21 2 2 4 3" xfId="46222" xr:uid="{6FC049D7-0980-4E23-B204-8B82822DCB66}"/>
    <cellStyle name="Migliaia 21 2 2 4 4" xfId="50448" xr:uid="{5616FB77-2D5F-4CC8-B131-59429942865E}"/>
    <cellStyle name="Migliaia 21 2 2 4 5" xfId="53464" xr:uid="{DD3E7CD3-ECC9-4899-AC94-D8B5C60F36DB}"/>
    <cellStyle name="Migliaia 21 2 2 4 6" xfId="10798" xr:uid="{3082B86B-C8C7-46D2-B017-C974A2B15F73}"/>
    <cellStyle name="Migliaia 21 2 2 5" xfId="20089" xr:uid="{5095EB6F-7873-4877-B426-CE22F310E6FD}"/>
    <cellStyle name="Migliaia 21 2 2 6" xfId="24482" xr:uid="{FCA5B8C5-1ADC-41B5-B38C-460B5A3E2E69}"/>
    <cellStyle name="Migliaia 21 2 2 7" xfId="7369" xr:uid="{BD16C7E2-ABEC-4D4F-AEDA-71324582D627}"/>
    <cellStyle name="Migliaia 21 2 3" xfId="3315" xr:uid="{EA46F009-DAE7-4EAC-82F2-7F3928F9EBB9}"/>
    <cellStyle name="Migliaia 21 2 3 2" xfId="5041" xr:uid="{EBCF2A52-58C7-4121-865F-F91BADF4AB34}"/>
    <cellStyle name="Migliaia 21 2 3 2 2" xfId="35215" xr:uid="{84CAB279-11A7-4AE7-83A0-9A9FB6681DCE}"/>
    <cellStyle name="Migliaia 21 2 3 2 2 2" xfId="40375" xr:uid="{9CEF1E25-FFAD-437C-A9ED-46DB0CC72B64}"/>
    <cellStyle name="Migliaia 21 2 3 2 2 3" xfId="45677" xr:uid="{91983DB7-460F-40D2-9147-D0B6FEF5DB88}"/>
    <cellStyle name="Migliaia 21 2 3 2 3" xfId="37724" xr:uid="{1D5E9EE3-A2D7-4BBA-A49E-0B211C2C3975}"/>
    <cellStyle name="Migliaia 21 2 3 2 4" xfId="43026" xr:uid="{13D7D934-151C-4DD0-8E57-C08C01278E74}"/>
    <cellStyle name="Migliaia 21 2 3 2 5" xfId="14219" xr:uid="{C04E9EB6-22CD-457E-964B-3A6C8F161393}"/>
    <cellStyle name="Migliaia 21 2 3 3" xfId="6252" xr:uid="{F6457064-DBC1-4AA8-9739-B748772F472D}"/>
    <cellStyle name="Migliaia 21 2 3 3 2" xfId="38824" xr:uid="{D7C4CB2D-2B1C-434B-AEAB-D814E6D4A7B6}"/>
    <cellStyle name="Migliaia 21 2 3 3 3" xfId="44126" xr:uid="{7C814B93-A665-48FE-8AD4-FC847B83D93D}"/>
    <cellStyle name="Migliaia 21 2 3 3 4" xfId="33402" xr:uid="{2831D57D-EED4-4435-BAAC-887E3A8A32A6}"/>
    <cellStyle name="Migliaia 21 2 3 3 5" xfId="20091" xr:uid="{E5491610-0E1A-471C-9EF9-CBAB0BAF210D}"/>
    <cellStyle name="Migliaia 21 2 3 4" xfId="36313" xr:uid="{B6814982-9C65-4C90-A7C1-30D7B1BB78FA}"/>
    <cellStyle name="Migliaia 21 2 3 5" xfId="41475" xr:uid="{0808E38B-DFD6-4EE1-8878-E00B11301A87}"/>
    <cellStyle name="Migliaia 21 2 3 6" xfId="16204" xr:uid="{C69C9B5B-7071-43B1-B8C4-E5C8661666F4}"/>
    <cellStyle name="Migliaia 21 2 3 7" xfId="8281" xr:uid="{B4F801D2-BFB8-4B8C-81F9-820FD2BED321}"/>
    <cellStyle name="Migliaia 21 2 4" xfId="5039" xr:uid="{5522608E-6653-45AF-AE79-3BC1EDDDF7A3}"/>
    <cellStyle name="Migliaia 21 2 4 2" xfId="13924" xr:uid="{2B6652DC-923A-412A-AFD1-66616B76F85D}"/>
    <cellStyle name="Migliaia 21 2 4 2 2" xfId="38825" xr:uid="{C7E57959-57FB-4609-960B-876CB16A0F68}"/>
    <cellStyle name="Migliaia 21 2 4 2 3" xfId="44127" xr:uid="{9DCB2226-A911-4DCF-9D83-8999EDE4687C}"/>
    <cellStyle name="Migliaia 21 2 4 3" xfId="18152" xr:uid="{0CE51A34-45BC-4759-AEC5-0F3D709773A8}"/>
    <cellStyle name="Migliaia 21 2 4 4" xfId="20092" xr:uid="{614D115A-BB66-46B5-9CAC-0D8FA4636A3F}"/>
    <cellStyle name="Migliaia 21 2 4 4 2" xfId="41476" xr:uid="{2E3BC82A-4939-4F3D-9DAB-1801E4A09AC6}"/>
    <cellStyle name="Migliaia 21 2 4 5" xfId="16205" xr:uid="{A0381871-D2F3-4720-8E19-75C22B4D1C20}"/>
    <cellStyle name="Migliaia 21 2 4 6" xfId="7875" xr:uid="{9BEBB932-F00A-4DC4-97A9-4C84DDF05F1C}"/>
    <cellStyle name="Migliaia 21 2 5" xfId="6250" xr:uid="{9EEFC486-20C1-48A4-957D-E417437B9293}"/>
    <cellStyle name="Migliaia 21 2 5 2" xfId="33403" xr:uid="{5F588A73-CBAC-443E-B056-F56DD8D54284}"/>
    <cellStyle name="Migliaia 21 2 5 2 2" xfId="38826" xr:uid="{2CA4E447-8477-4804-8DE6-1DB6C387FA65}"/>
    <cellStyle name="Migliaia 21 2 5 2 3" xfId="44128" xr:uid="{7C906517-CE4E-4B83-9A55-CFF657DBB8A0}"/>
    <cellStyle name="Migliaia 21 2 5 3" xfId="36314" xr:uid="{F7C27C51-AAD1-48CC-9440-1630A0799313}"/>
    <cellStyle name="Migliaia 21 2 5 4" xfId="41477" xr:uid="{44F8B014-FA6B-4B16-A024-FAE6F80085A2}"/>
    <cellStyle name="Migliaia 21 2 5 5" xfId="13116" xr:uid="{0C7ABF63-CE28-4295-855E-D2A3C66DAC0B}"/>
    <cellStyle name="Migliaia 21 2 6" xfId="3313" xr:uid="{F061E7E2-9A88-4D4F-86E4-DCD9CA9BE905}"/>
    <cellStyle name="Migliaia 21 2 6 2" xfId="33404" xr:uid="{4252C723-72BE-4BA5-9B53-9384E87800D6}"/>
    <cellStyle name="Migliaia 21 2 6 2 2" xfId="38827" xr:uid="{008C24D8-59AB-48B2-850C-9E91BFDC6B22}"/>
    <cellStyle name="Migliaia 21 2 6 2 3" xfId="44129" xr:uid="{128AF1A4-403C-495B-B1AF-0FE2A61ECC92}"/>
    <cellStyle name="Migliaia 21 2 6 3" xfId="36315" xr:uid="{608359B5-E712-498B-9EF8-2016FCA35BF4}"/>
    <cellStyle name="Migliaia 21 2 6 4" xfId="41478" xr:uid="{68362DBE-F172-4DBB-BEF0-CEEC435CD770}"/>
    <cellStyle name="Migliaia 21 2 6 5" xfId="24484" xr:uid="{22EB576C-A921-4FDD-91CD-818AFBF59C49}"/>
    <cellStyle name="Migliaia 21 2 6 6" xfId="20088" xr:uid="{F9DAE92D-DB39-4653-8A44-98E34737DF02}"/>
    <cellStyle name="Migliaia 21 2 7" xfId="24481" xr:uid="{867DC829-47BF-4667-A8D1-A553D62C4765}"/>
    <cellStyle name="Migliaia 21 2 8" xfId="7082" xr:uid="{62E330CC-12AA-4CDF-9A60-FBE74D06BE76}"/>
    <cellStyle name="Migliaia 21 3" xfId="355" xr:uid="{00000000-0005-0000-0000-000037030000}"/>
    <cellStyle name="Migliaia 21 3 10" xfId="24485" xr:uid="{B88D3D80-EC19-4BF9-8E04-EA91712D0FD1}"/>
    <cellStyle name="Migliaia 21 3 11" xfId="16206" xr:uid="{01AAC6A0-8056-4368-9668-9D424FB8665A}"/>
    <cellStyle name="Migliaia 21 3 12" xfId="7083" xr:uid="{19EB89E2-2940-4773-B6AA-E085EF13DB53}"/>
    <cellStyle name="Migliaia 21 3 2" xfId="356" xr:uid="{00000000-0005-0000-0000-000038030000}"/>
    <cellStyle name="Migliaia 21 3 2 2" xfId="1722" xr:uid="{00000000-0005-0000-0000-000039030000}"/>
    <cellStyle name="Migliaia 21 3 2 2 2" xfId="5044" xr:uid="{C7AE619D-EDF4-4A56-AB0D-6709B5B1EA21}"/>
    <cellStyle name="Migliaia 21 3 2 2 2 2" xfId="18402" xr:uid="{7DF6A245-1766-4C70-A52E-6905EEEDA761}"/>
    <cellStyle name="Migliaia 21 3 2 2 2 2 2" xfId="21854" xr:uid="{34CBF59A-DF75-4EE4-908E-00EC371D518D}"/>
    <cellStyle name="Migliaia 21 3 2 2 2 2 2 2" xfId="38828" xr:uid="{BAA0FA09-84DD-4504-96B8-943433E7117F}"/>
    <cellStyle name="Migliaia 21 3 2 2 2 2 3" xfId="44130" xr:uid="{82B9B805-5A6F-4CF1-8DFF-B23817EF4D95}"/>
    <cellStyle name="Migliaia 21 3 2 2 2 2 4" xfId="33405" xr:uid="{685062B9-8E32-4FA9-856E-CF7CED0CDD2B}"/>
    <cellStyle name="Migliaia 21 3 2 2 2 3" xfId="36316" xr:uid="{4A8EF1F1-5363-4024-8642-38F04D731D6E}"/>
    <cellStyle name="Migliaia 21 3 2 2 2 4" xfId="41479" xr:uid="{2A3037F1-7F24-4ADE-A8FC-F9FE957F239B}"/>
    <cellStyle name="Migliaia 21 3 2 2 2 5" xfId="46300" xr:uid="{A14B34F3-FB77-4BDA-977D-AC64BFB0DF6E}"/>
    <cellStyle name="Migliaia 21 3 2 2 2 6" xfId="50882" xr:uid="{DD07C4A8-AD24-4E1D-8281-F06CF32EC20A}"/>
    <cellStyle name="Migliaia 21 3 2 2 2 7" xfId="53898" xr:uid="{EA2A9B8C-ED9C-461B-9CE5-22FA67E23EEE}"/>
    <cellStyle name="Migliaia 21 3 2 2 2 8" xfId="17651" xr:uid="{D1FE466F-611A-4DB0-BEBB-D4CBC2FEAD04}"/>
    <cellStyle name="Migliaia 21 3 2 2 2 9" xfId="11939" xr:uid="{A3218C6C-AE44-4F48-922E-4C5A97D15BEB}"/>
    <cellStyle name="Migliaia 21 3 2 2 3" xfId="6255" xr:uid="{F6D77B14-A0CF-4FE1-95E0-D9682E68B853}"/>
    <cellStyle name="Migliaia 21 3 2 2 3 2" xfId="11136" xr:uid="{EBD2EA78-5B79-41D2-B1A2-6CDBFE20738B}"/>
    <cellStyle name="Migliaia 21 3 2 2 4" xfId="3318" xr:uid="{5E688E01-D45B-4FCE-AF8A-B8968DFEF586}"/>
    <cellStyle name="Migliaia 21 3 2 2 4 2" xfId="21434" xr:uid="{E447EC3B-F105-4EAC-A13B-9319CD10C23A}"/>
    <cellStyle name="Migliaia 21 3 2 2 4 3" xfId="46223" xr:uid="{91DC077A-40D5-4756-AC74-9BC72E42B37E}"/>
    <cellStyle name="Migliaia 21 3 2 2 4 4" xfId="50449" xr:uid="{0D80B489-E131-4D2F-9DF2-EFDBFF43AB19}"/>
    <cellStyle name="Migliaia 21 3 2 2 4 5" xfId="53465" xr:uid="{E4B8D477-E837-4DA3-8A1F-5B2C11FAC422}"/>
    <cellStyle name="Migliaia 21 3 2 2 4 6" xfId="10799" xr:uid="{00821078-9461-44E6-9E31-A3F8CAFD8DD3}"/>
    <cellStyle name="Migliaia 21 3 2 2 5" xfId="20095" xr:uid="{FAB86412-E3A6-4849-8D96-43D1559CC9AB}"/>
    <cellStyle name="Migliaia 21 3 2 2 6" xfId="24487" xr:uid="{80C9B030-587A-412D-9D28-2BD25464CC6F}"/>
    <cellStyle name="Migliaia 21 3 2 2 7" xfId="8561" xr:uid="{CC610509-FB5E-49FE-A259-50AD13676FFA}"/>
    <cellStyle name="Migliaia 21 3 2 3" xfId="5043" xr:uid="{28CAA0CE-F9FF-42F0-9F0A-EA165F8466DB}"/>
    <cellStyle name="Migliaia 21 3 2 3 2" xfId="12419" xr:uid="{1C4B723D-1DA5-4225-922D-23C05E29C26B}"/>
    <cellStyle name="Migliaia 21 3 2 3 2 2" xfId="38829" xr:uid="{2E4435EA-CB87-41F8-ACEE-7AC1E421E9F2}"/>
    <cellStyle name="Migliaia 21 3 2 3 2 3" xfId="44131" xr:uid="{07748584-140C-48C5-B10E-76268B25BADC}"/>
    <cellStyle name="Migliaia 21 3 2 3 2 4" xfId="33406" xr:uid="{1C92D3D1-6BAE-4FCC-B216-06292A811973}"/>
    <cellStyle name="Migliaia 21 3 2 3 3" xfId="11940" xr:uid="{BBD25828-3124-4B84-A0B7-85BF7EDFA64F}"/>
    <cellStyle name="Migliaia 21 3 2 3 4" xfId="20096" xr:uid="{C6924488-8E44-404A-8727-07CB4CD1AE66}"/>
    <cellStyle name="Migliaia 21 3 2 3 4 2" xfId="41480" xr:uid="{85B1D867-99B4-478E-998C-5F6D8082A31A}"/>
    <cellStyle name="Migliaia 21 3 2 3 5" xfId="16207" xr:uid="{FC4D7611-0102-4695-BDB4-53CB36C9F7AE}"/>
    <cellStyle name="Migliaia 21 3 2 3 6" xfId="7877" xr:uid="{9D58B7A8-31F8-4FF5-B06E-AB45D9B3EADC}"/>
    <cellStyle name="Migliaia 21 3 2 4" xfId="6254" xr:uid="{DFAE36FF-88BA-4D2F-87D0-97E1F851794C}"/>
    <cellStyle name="Migliaia 21 3 2 4 2" xfId="18070" xr:uid="{319D9EF1-5392-4FB0-A635-D7407384C210}"/>
    <cellStyle name="Migliaia 21 3 2 4 2 2" xfId="38830" xr:uid="{D8FCFCF8-6C2B-489C-BE30-5CE16231DCA3}"/>
    <cellStyle name="Migliaia 21 3 2 4 2 3" xfId="44132" xr:uid="{92433760-1D35-4DA6-AA0E-27907B5A608E}"/>
    <cellStyle name="Migliaia 21 3 2 4 3" xfId="36317" xr:uid="{D7FA78F5-6425-4840-A41D-EAE8BA764099}"/>
    <cellStyle name="Migliaia 21 3 2 4 4" xfId="41481" xr:uid="{5BF16C2A-594C-40F4-B491-89D23DA846D9}"/>
    <cellStyle name="Migliaia 21 3 2 4 5" xfId="17162" xr:uid="{DC2E193F-3200-4EA8-972B-E8C187069E65}"/>
    <cellStyle name="Migliaia 21 3 2 4 6" xfId="11288" xr:uid="{D54B1FC6-27FE-499D-81C7-D86818AAD136}"/>
    <cellStyle name="Migliaia 21 3 2 5" xfId="3317" xr:uid="{C0686725-049F-4CDD-A05D-496633EF123B}"/>
    <cellStyle name="Migliaia 21 3 2 5 2" xfId="33407" xr:uid="{44FF3760-3DAB-4C7E-9188-D36AC2D22502}"/>
    <cellStyle name="Migliaia 21 3 2 5 2 2" xfId="38831" xr:uid="{6C31BAE1-217E-4046-BC10-41B6B2571204}"/>
    <cellStyle name="Migliaia 21 3 2 5 2 3" xfId="44133" xr:uid="{0184050B-0773-46B3-940B-79B353703497}"/>
    <cellStyle name="Migliaia 21 3 2 5 3" xfId="36318" xr:uid="{FF8869A5-65D5-423E-809B-6FE91CA4124F}"/>
    <cellStyle name="Migliaia 21 3 2 5 4" xfId="41482" xr:uid="{0006E639-A4EB-4697-8C19-1F568D981473}"/>
    <cellStyle name="Migliaia 21 3 2 5 5" xfId="17387" xr:uid="{6769E13D-A8EA-4A68-8D3C-2BAB3CA761F1}"/>
    <cellStyle name="Migliaia 21 3 2 6" xfId="20094" xr:uid="{4160EA15-ABDE-420C-A3B4-EA93AE73F25F}"/>
    <cellStyle name="Migliaia 21 3 2 6 2" xfId="33408" xr:uid="{D48D61FB-7A92-4A5B-9454-8955D25B2491}"/>
    <cellStyle name="Migliaia 21 3 2 6 2 2" xfId="38832" xr:uid="{8E19EB4A-0BCF-4831-8ABA-D63457072141}"/>
    <cellStyle name="Migliaia 21 3 2 6 2 3" xfId="44134" xr:uid="{54772AB2-D858-44D4-875A-48D305D31320}"/>
    <cellStyle name="Migliaia 21 3 2 6 3" xfId="36319" xr:uid="{3C282E60-3818-4EDB-A3B3-0F82E342C114}"/>
    <cellStyle name="Migliaia 21 3 2 6 4" xfId="41483" xr:uid="{145741E6-448B-4488-85E8-A1C9065CA3CC}"/>
    <cellStyle name="Migliaia 21 3 2 6 5" xfId="24490" xr:uid="{7A414CE9-1FD3-4532-AAB9-EBC3B6250CB4}"/>
    <cellStyle name="Migliaia 21 3 2 7" xfId="24486" xr:uid="{D44283A5-11A0-4BB2-ADBE-D2F62E3D171A}"/>
    <cellStyle name="Migliaia 21 3 2 8" xfId="7371" xr:uid="{DCF6191A-D3C7-4738-A97E-3F9BF5680392}"/>
    <cellStyle name="Migliaia 21 3 3" xfId="3319" xr:uid="{540E0EA5-B5B1-4EA4-99B4-26289FBAEFAA}"/>
    <cellStyle name="Migliaia 21 3 3 10" xfId="7370" xr:uid="{F9860AE5-2D95-4FF3-A121-FDF25DDABBDC}"/>
    <cellStyle name="Migliaia 21 3 3 2" xfId="5045" xr:uid="{DA74A868-F718-496D-852A-6AFF7FC73CC6}"/>
    <cellStyle name="Migliaia 21 3 3 2 2" xfId="9908" xr:uid="{F2ADA903-A436-4C78-8594-F7ABF07334D4}"/>
    <cellStyle name="Migliaia 21 3 3 2 2 2" xfId="38834" xr:uid="{F07D8E5F-B85B-4D61-9783-28CACD68E39E}"/>
    <cellStyle name="Migliaia 21 3 3 2 2 3" xfId="44136" xr:uid="{EB7C7212-8BB8-4976-978B-EFED5330E664}"/>
    <cellStyle name="Migliaia 21 3 3 2 3" xfId="18188" xr:uid="{8C5DF503-63BD-491B-878A-F54408022D40}"/>
    <cellStyle name="Migliaia 21 3 3 2 4" xfId="20098" xr:uid="{F54C0471-E0A6-4D72-951D-FE0F417488F7}"/>
    <cellStyle name="Migliaia 21 3 3 2 4 2" xfId="41485" xr:uid="{A776FED5-32D0-4720-9380-48D9FBF01F3E}"/>
    <cellStyle name="Migliaia 21 3 3 2 5" xfId="16209" xr:uid="{05761D8F-B30E-4C28-9DD4-C5B2F2D1C486}"/>
    <cellStyle name="Migliaia 21 3 3 2 6" xfId="8560" xr:uid="{1D61CBF0-04B2-4B6D-BF1D-8D75866773AD}"/>
    <cellStyle name="Migliaia 21 3 3 3" xfId="6256" xr:uid="{44CB5395-55E4-4F46-A385-89AE86C4DDE9}"/>
    <cellStyle name="Migliaia 21 3 3 3 2" xfId="33411" xr:uid="{467A388D-A1B5-44AA-B701-6CB54C3F45AB}"/>
    <cellStyle name="Migliaia 21 3 3 3 2 2" xfId="38835" xr:uid="{FC134B53-483A-43DD-924B-433C52B4C05F}"/>
    <cellStyle name="Migliaia 21 3 3 3 2 3" xfId="44137" xr:uid="{C8357D9F-96C0-4066-8224-9EE01AD04E99}"/>
    <cellStyle name="Migliaia 21 3 3 3 3" xfId="36322" xr:uid="{35AA1A12-E7EF-4C66-AF57-3FCDFF02AD37}"/>
    <cellStyle name="Migliaia 21 3 3 3 4" xfId="41486" xr:uid="{ED168BB4-BC04-4CFE-BACA-813E11935162}"/>
    <cellStyle name="Migliaia 21 3 3 3 5" xfId="9671" xr:uid="{92295F55-4659-4A76-B334-C13D4615288E}"/>
    <cellStyle name="Migliaia 21 3 3 4" xfId="20097" xr:uid="{2BB3EF51-B458-4C03-900F-A1AFA0E7528E}"/>
    <cellStyle name="Migliaia 21 3 3 4 2" xfId="33412" xr:uid="{59B1B61C-CBD9-44B1-8261-6ED56A708521}"/>
    <cellStyle name="Migliaia 21 3 3 4 2 2" xfId="38836" xr:uid="{E9B0947C-0A25-445B-97D0-649B8B3A2456}"/>
    <cellStyle name="Migliaia 21 3 3 4 2 3" xfId="44138" xr:uid="{1ACBB861-F703-44FE-BB8D-8ADE10396FEE}"/>
    <cellStyle name="Migliaia 21 3 3 4 3" xfId="36323" xr:uid="{31366A24-3BAE-4E32-A3A3-9B8B0475D49D}"/>
    <cellStyle name="Migliaia 21 3 3 4 4" xfId="41487" xr:uid="{3532E4E7-C33E-461F-8628-33008F907F95}"/>
    <cellStyle name="Migliaia 21 3 3 4 5" xfId="24492" xr:uid="{2BFEEBEF-6435-4911-9484-A44207B45DE9}"/>
    <cellStyle name="Migliaia 21 3 3 5" xfId="24493" xr:uid="{03F009AA-59A3-4D5C-BE01-AE00E7BA42B3}"/>
    <cellStyle name="Migliaia 21 3 3 5 2" xfId="33413" xr:uid="{DDB55F9D-AE83-4409-B8EE-4A2BDAECAC07}"/>
    <cellStyle name="Migliaia 21 3 3 5 2 2" xfId="38837" xr:uid="{9DEE23A8-C2BD-4783-8668-DC9534B605A9}"/>
    <cellStyle name="Migliaia 21 3 3 5 2 3" xfId="44139" xr:uid="{0FE84D19-5BE4-42A4-B191-7B0E04741531}"/>
    <cellStyle name="Migliaia 21 3 3 5 3" xfId="36324" xr:uid="{C9BE2407-6676-4036-A81D-A41435A73573}"/>
    <cellStyle name="Migliaia 21 3 3 5 4" xfId="41488" xr:uid="{1FD7903D-E52C-4A97-8A3B-99F990D97B9C}"/>
    <cellStyle name="Migliaia 21 3 3 6" xfId="33409" xr:uid="{9E0D5A98-F811-453C-A93C-C198379A4AF8}"/>
    <cellStyle name="Migliaia 21 3 3 6 2" xfId="38833" xr:uid="{0D2D1F44-8DE9-4E79-953D-273F753D502C}"/>
    <cellStyle name="Migliaia 21 3 3 6 3" xfId="44135" xr:uid="{9CBA8A8A-1338-4AE9-8680-12D54BEE172B}"/>
    <cellStyle name="Migliaia 21 3 3 7" xfId="36320" xr:uid="{B8C957FE-8F62-44C6-922D-28E21A2FBE69}"/>
    <cellStyle name="Migliaia 21 3 3 8" xfId="41484" xr:uid="{158DDC90-E48B-407B-B3C3-7B4B92380D03}"/>
    <cellStyle name="Migliaia 21 3 3 9" xfId="16208" xr:uid="{97D8DF6E-6CB3-43B5-A013-C41EBC5E1BAA}"/>
    <cellStyle name="Migliaia 21 3 4" xfId="3320" xr:uid="{A53CB779-96D0-4D5D-8251-676464F4E035}"/>
    <cellStyle name="Migliaia 21 3 4 2" xfId="5046" xr:uid="{3A468C53-9E22-470E-AA29-98D6A863039D}"/>
    <cellStyle name="Migliaia 21 3 4 2 2" xfId="14436" xr:uid="{1805437C-6EBA-4791-A5A8-911E247752E7}"/>
    <cellStyle name="Migliaia 21 3 4 2 3" xfId="18040" xr:uid="{016869C5-F2A0-4223-B94D-52A29A97D6BF}"/>
    <cellStyle name="Migliaia 21 3 4 2 4" xfId="20100" xr:uid="{DE42A4E8-30F2-45A9-A5BC-716487C3C61E}"/>
    <cellStyle name="Migliaia 21 3 4 2 5" xfId="32337" xr:uid="{C49AE72C-0652-4261-ADD7-28CF8433BD9E}"/>
    <cellStyle name="Migliaia 21 3 4 2 6" xfId="16211" xr:uid="{21E4D23F-A496-4D42-9A6E-8EE3072561AE}"/>
    <cellStyle name="Migliaia 21 3 4 2 7" xfId="8859" xr:uid="{EEC2C314-9D32-4A44-B6A6-76511272C4C6}"/>
    <cellStyle name="Migliaia 21 3 4 3" xfId="6257" xr:uid="{5E1B00F5-73BA-4AEC-9CC8-91C5206DFCF3}"/>
    <cellStyle name="Migliaia 21 3 4 3 2" xfId="35216" xr:uid="{17408D08-A070-48A3-9807-72A41A94620C}"/>
    <cellStyle name="Migliaia 21 3 4 3 2 2" xfId="40376" xr:uid="{FBE20220-D78C-4BBD-A5DD-255E07E3FA82}"/>
    <cellStyle name="Migliaia 21 3 4 3 2 3" xfId="45678" xr:uid="{F29E4F50-6867-4F22-A213-BB6DEB351EF1}"/>
    <cellStyle name="Migliaia 21 3 4 3 3" xfId="37725" xr:uid="{9E1B2DDA-3EF4-4E01-9163-9D9B20DC70DA}"/>
    <cellStyle name="Migliaia 21 3 4 3 4" xfId="43027" xr:uid="{8E36A26B-B577-4893-8975-53AAF419C1C0}"/>
    <cellStyle name="Migliaia 21 3 4 3 5" xfId="13684" xr:uid="{036251C0-3CCC-427A-8F45-6DF1B0C665C3}"/>
    <cellStyle name="Migliaia 21 3 4 4" xfId="20099" xr:uid="{AD6666C8-088E-475C-ADBC-DC3AA0F4181F}"/>
    <cellStyle name="Migliaia 21 3 4 4 2" xfId="38838" xr:uid="{48A18B92-5E29-477A-8D88-4E87AAACBED3}"/>
    <cellStyle name="Migliaia 21 3 4 4 3" xfId="44140" xr:uid="{2C04439F-0FB4-4CD8-B1C0-187ABD50CA93}"/>
    <cellStyle name="Migliaia 21 3 4 4 4" xfId="33414" xr:uid="{BC3DD563-1F8E-4633-8E88-757F911C6146}"/>
    <cellStyle name="Migliaia 21 3 4 5" xfId="36325" xr:uid="{63E85AC1-D46E-4EC9-8BCD-D50E5FE6D37A}"/>
    <cellStyle name="Migliaia 21 3 4 6" xfId="41489" xr:uid="{9C7A4D75-5A1B-4496-AA73-117B799DF28B}"/>
    <cellStyle name="Migliaia 21 3 4 7" xfId="16210" xr:uid="{7377036C-024C-49AC-8234-015E160334A2}"/>
    <cellStyle name="Migliaia 21 3 4 8" xfId="7669" xr:uid="{16B967F6-B867-455E-90C2-6DC255A85B95}"/>
    <cellStyle name="Migliaia 21 3 5" xfId="3321" xr:uid="{69098685-12AE-4E29-819B-965AC767F5DB}"/>
    <cellStyle name="Migliaia 21 3 5 2" xfId="5047" xr:uid="{B6A682CA-D6CD-4DE9-AFDF-63733D5BC0F1}"/>
    <cellStyle name="Migliaia 21 3 5 2 2" xfId="35217" xr:uid="{4BDB1259-0887-4B53-A469-8A27037E0088}"/>
    <cellStyle name="Migliaia 21 3 5 2 2 2" xfId="40377" xr:uid="{41991C20-7EA7-412F-8A24-32A55CFC2FD9}"/>
    <cellStyle name="Migliaia 21 3 5 2 2 3" xfId="45679" xr:uid="{608241C3-EB9A-4854-8541-33BCDDD7ECD3}"/>
    <cellStyle name="Migliaia 21 3 5 2 3" xfId="37726" xr:uid="{C44FA92A-C62A-43CB-A2B1-BED590A62BC8}"/>
    <cellStyle name="Migliaia 21 3 5 2 4" xfId="43028" xr:uid="{A17E6681-1C7B-47EF-A436-6619C1030237}"/>
    <cellStyle name="Migliaia 21 3 5 2 5" xfId="14220" xr:uid="{D5B7AB7C-3D6C-48EC-8101-CFAC6BD17C41}"/>
    <cellStyle name="Migliaia 21 3 5 3" xfId="6258" xr:uid="{5DE37C34-A8EC-4495-B716-366B8DC387A6}"/>
    <cellStyle name="Migliaia 21 3 5 3 2" xfId="38839" xr:uid="{03CFD7FE-9DEC-411A-BAC5-6306169C9A36}"/>
    <cellStyle name="Migliaia 21 3 5 3 3" xfId="44141" xr:uid="{EB181652-B56B-455B-87F3-9762CF94EF67}"/>
    <cellStyle name="Migliaia 21 3 5 3 4" xfId="33415" xr:uid="{17D5F704-129C-4796-BF16-C8787546765E}"/>
    <cellStyle name="Migliaia 21 3 5 3 5" xfId="20101" xr:uid="{64E36036-7A20-472A-9BE9-578D95FF3A79}"/>
    <cellStyle name="Migliaia 21 3 5 4" xfId="36326" xr:uid="{1378025C-F3CB-46E1-99A7-55AF4F715607}"/>
    <cellStyle name="Migliaia 21 3 5 5" xfId="41490" xr:uid="{F1947456-4B06-4959-A9F1-2479249D5B32}"/>
    <cellStyle name="Migliaia 21 3 5 6" xfId="16212" xr:uid="{3D91B889-DAD8-471C-B01E-9BA3332D71E0}"/>
    <cellStyle name="Migliaia 21 3 5 7" xfId="8282" xr:uid="{353B0700-2AF3-4970-8DB8-FA0B9700FDFA}"/>
    <cellStyle name="Migliaia 21 3 6" xfId="5042" xr:uid="{F62EE68A-B2F6-41CC-A7B1-C465CB75ADCC}"/>
    <cellStyle name="Migliaia 21 3 6 2" xfId="13925" xr:uid="{8A52DE15-A614-47CC-BA30-B40315715308}"/>
    <cellStyle name="Migliaia 21 3 6 2 2" xfId="38840" xr:uid="{49A9FB59-3217-4FEC-BF6E-BC006A0AE93A}"/>
    <cellStyle name="Migliaia 21 3 6 2 3" xfId="44142" xr:uid="{1D6E76C7-CE6A-4E37-BDAD-5140DFBEAE2C}"/>
    <cellStyle name="Migliaia 21 3 6 3" xfId="18717" xr:uid="{9D7A3898-5D37-48B1-B2CE-D4C3ABC4460C}"/>
    <cellStyle name="Migliaia 21 3 6 4" xfId="20102" xr:uid="{6DF42C29-DC0D-4748-9663-5005DAF89DA2}"/>
    <cellStyle name="Migliaia 21 3 6 4 2" xfId="41491" xr:uid="{06994EFD-9B12-487D-87E8-BF5EE901BAAB}"/>
    <cellStyle name="Migliaia 21 3 6 5" xfId="16213" xr:uid="{97A5B8E9-D542-4FBC-A50F-EA797A0A0D82}"/>
    <cellStyle name="Migliaia 21 3 6 6" xfId="7876" xr:uid="{42587BF5-C75E-41BC-AB83-29E7C4FD434E}"/>
    <cellStyle name="Migliaia 21 3 7" xfId="6253" xr:uid="{DAA17F0C-5E87-4F63-87D0-313F214C6A1E}"/>
    <cellStyle name="Migliaia 21 3 7 2" xfId="33416" xr:uid="{30E5405E-8A0F-4B27-BA5E-D03816AE1963}"/>
    <cellStyle name="Migliaia 21 3 7 2 2" xfId="38841" xr:uid="{DDBE1406-31E6-4DE3-A5BD-30D519A78D67}"/>
    <cellStyle name="Migliaia 21 3 7 2 3" xfId="44143" xr:uid="{3FA9FDF1-2D23-4962-80D7-CE9E3D1684F0}"/>
    <cellStyle name="Migliaia 21 3 7 3" xfId="36327" xr:uid="{F70D4011-DC60-4936-9E28-1BDEECF21D2A}"/>
    <cellStyle name="Migliaia 21 3 7 4" xfId="41492" xr:uid="{B8BB01F9-F3B6-441A-A5DC-D566F3C27900}"/>
    <cellStyle name="Migliaia 21 3 7 5" xfId="11129" xr:uid="{567E5AD6-D6DC-4577-9C68-25CCAFCC12C3}"/>
    <cellStyle name="Migliaia 21 3 8" xfId="3316" xr:uid="{6BE365EF-29D9-4F54-8BAE-32AEE66A0629}"/>
    <cellStyle name="Migliaia 21 3 8 2" xfId="33417" xr:uid="{57E92BD9-BD69-445F-8EBF-2A2A954CC7E8}"/>
    <cellStyle name="Migliaia 21 3 8 2 2" xfId="38842" xr:uid="{51D98E83-BF85-45ED-9511-6752A69E4643}"/>
    <cellStyle name="Migliaia 21 3 8 2 3" xfId="44144" xr:uid="{2258A6DA-7EE1-4F54-8EC4-D5EF6E880C34}"/>
    <cellStyle name="Migliaia 21 3 8 3" xfId="36328" xr:uid="{B713FBDD-21C2-487A-B7DF-0E647788204E}"/>
    <cellStyle name="Migliaia 21 3 8 4" xfId="41493" xr:uid="{B820268D-736C-4533-9DC8-15852E08CA0F}"/>
    <cellStyle name="Migliaia 21 3 8 5" xfId="24495" xr:uid="{731758AF-DF85-459E-8ACD-6D89158160F9}"/>
    <cellStyle name="Migliaia 21 3 8 6" xfId="17388" xr:uid="{EBF7EDCE-E2E6-497A-A5AC-79BDDA9CFC86}"/>
    <cellStyle name="Migliaia 21 3 9" xfId="20093" xr:uid="{B50AF417-D0FF-4266-9718-1E619D12D468}"/>
    <cellStyle name="Migliaia 21 4" xfId="1723" xr:uid="{00000000-0005-0000-0000-00003A030000}"/>
    <cellStyle name="Migliaia 21 4 2" xfId="1724" xr:uid="{00000000-0005-0000-0000-00003B030000}"/>
    <cellStyle name="Migliaia 21 4 2 2" xfId="5049" xr:uid="{156C1FFD-48B6-4EE0-AE6D-86F0150C1256}"/>
    <cellStyle name="Migliaia 21 4 2 2 2" xfId="33418" xr:uid="{41FC44EF-DFA6-4B09-8C3C-1FAC46B45FEF}"/>
    <cellStyle name="Migliaia 21 4 2 2 2 2" xfId="38843" xr:uid="{E66FAA17-E0E1-4C7B-AB33-6BD94BE0B0AF}"/>
    <cellStyle name="Migliaia 21 4 2 2 2 3" xfId="44145" xr:uid="{B3DE8B8E-1CA5-4873-8168-140A9F99EAC8}"/>
    <cellStyle name="Migliaia 21 4 2 2 3" xfId="36329" xr:uid="{2C3F0D0B-0623-46CD-A983-31C3AC6D1827}"/>
    <cellStyle name="Migliaia 21 4 2 2 4" xfId="41494" xr:uid="{07BA937E-ED6E-4A7F-B6D0-0800193526CD}"/>
    <cellStyle name="Migliaia 21 4 2 2 5" xfId="9134" xr:uid="{A72D48E5-6B58-4844-A698-C457A2212B4F}"/>
    <cellStyle name="Migliaia 21 4 2 3" xfId="3323" xr:uid="{ED8E8514-5B17-4D9B-8C8C-0661865EFAF2}"/>
    <cellStyle name="Migliaia 21 4 2 3 2" xfId="33419" xr:uid="{C040354D-7D30-47B3-A80D-CA5181438BBC}"/>
    <cellStyle name="Migliaia 21 4 2 3 2 2" xfId="38844" xr:uid="{994652EC-59A1-4FF9-A367-0A90843ABA5C}"/>
    <cellStyle name="Migliaia 21 4 2 3 2 3" xfId="44146" xr:uid="{5228D0C5-8CA0-451D-8626-F01F56D5158C}"/>
    <cellStyle name="Migliaia 21 4 2 3 3" xfId="36330" xr:uid="{99D7FA59-462F-435A-9216-CA63206DD633}"/>
    <cellStyle name="Migliaia 21 4 2 3 4" xfId="41495" xr:uid="{403BD0E2-9215-44CC-B033-9F4B67FE4A44}"/>
    <cellStyle name="Migliaia 21 4 2 3 5" xfId="11941" xr:uid="{75A44A5C-D30C-4B76-A4C7-39C6329AAB63}"/>
    <cellStyle name="Migliaia 21 4 2 4" xfId="11290" xr:uid="{881D0B48-080C-4957-B3F9-BA9E2E6079A5}"/>
    <cellStyle name="Migliaia 21 4 2 5" xfId="10801" xr:uid="{8DEE4F0C-D4D2-430B-B4D7-538795454FCB}"/>
    <cellStyle name="Migliaia 21 4 2 5 2" xfId="21436" xr:uid="{626B366E-166E-416E-97B8-7CA4A3FDD593}"/>
    <cellStyle name="Migliaia 21 4 2 5 3" xfId="46224" xr:uid="{207596AC-9406-40F4-991F-874D49A51557}"/>
    <cellStyle name="Migliaia 21 4 2 5 4" xfId="50451" xr:uid="{55C5B2D8-49C4-4642-9CBA-8090D31959F8}"/>
    <cellStyle name="Migliaia 21 4 2 5 5" xfId="53467" xr:uid="{5FEAB276-3102-4D90-BA5A-5B9A1C87CAFD}"/>
    <cellStyle name="Migliaia 21 4 2 6" xfId="20104" xr:uid="{59CA6CCF-6796-4199-9B73-DD58A4D4CA47}"/>
    <cellStyle name="Migliaia 21 4 2 7" xfId="24497" xr:uid="{35379FFA-0EBC-42EE-BE78-0E0007270B8C}"/>
    <cellStyle name="Migliaia 21 4 2 8" xfId="8562" xr:uid="{6923BDF4-2998-4256-B106-EA3A71606163}"/>
    <cellStyle name="Migliaia 21 4 3" xfId="5048" xr:uid="{7FC48A8E-33A1-4064-896E-CEB51C3DD8A4}"/>
    <cellStyle name="Migliaia 21 4 3 2" xfId="18189" xr:uid="{88D43F65-9839-435B-96D0-69A52764AE22}"/>
    <cellStyle name="Migliaia 21 4 3 2 2" xfId="38845" xr:uid="{A5B85D80-60FE-4DB4-BED9-0960ADDDE9D7}"/>
    <cellStyle name="Migliaia 21 4 3 2 3" xfId="44147" xr:uid="{6CA145E0-7C10-4138-B88C-8D0DBC23F797}"/>
    <cellStyle name="Migliaia 21 4 3 3" xfId="36331" xr:uid="{2C73D9FD-AFAD-409C-A20E-8AEF17815AB1}"/>
    <cellStyle name="Migliaia 21 4 3 4" xfId="41496" xr:uid="{B454A31D-58EC-47BE-9371-B361947F6333}"/>
    <cellStyle name="Migliaia 21 4 3 5" xfId="17386" xr:uid="{2D4D6F70-F5DD-4443-9987-D8A69878DBC6}"/>
    <cellStyle name="Migliaia 21 4 3 6" xfId="9135" xr:uid="{0BF1DEFD-C1C0-429A-8E55-8BB2A9413C4D}"/>
    <cellStyle name="Migliaia 21 4 4" xfId="6259" xr:uid="{CDA02F9B-6EEC-41B8-B512-E73BEAC7FD63}"/>
    <cellStyle name="Migliaia 21 4 4 2" xfId="33420" xr:uid="{E14EE7EA-1018-4BA1-AAEE-986326C5B83B}"/>
    <cellStyle name="Migliaia 21 4 4 2 2" xfId="38846" xr:uid="{793F80CD-2D81-4237-A1AC-4F802714B8BC}"/>
    <cellStyle name="Migliaia 21 4 4 2 3" xfId="44148" xr:uid="{84EEF8C7-3692-4B4E-BF61-187D446044B6}"/>
    <cellStyle name="Migliaia 21 4 4 3" xfId="36332" xr:uid="{C049DAA7-328D-41D9-9348-9ED2B97C315C}"/>
    <cellStyle name="Migliaia 21 4 4 4" xfId="41497" xr:uid="{E2BD9C19-FDC3-4CE8-B2E7-EABDE6920F83}"/>
    <cellStyle name="Migliaia 21 4 4 5" xfId="11942" xr:uid="{56CAF995-C826-4CAA-8443-0FFB6619F71E}"/>
    <cellStyle name="Migliaia 21 4 5" xfId="3322" xr:uid="{C71FE6CC-60EC-4E18-9E5F-70BC5B3A7018}"/>
    <cellStyle name="Migliaia 21 4 5 2" xfId="33421" xr:uid="{1663C80E-8808-4EED-9351-C3F1B51048F8}"/>
    <cellStyle name="Migliaia 21 4 5 2 2" xfId="38847" xr:uid="{D861CD20-4CC2-49D4-B43A-D8E5A0661F1B}"/>
    <cellStyle name="Migliaia 21 4 5 2 3" xfId="44149" xr:uid="{506D0E7A-3A4C-403C-A8CB-FF57F059DFC6}"/>
    <cellStyle name="Migliaia 21 4 5 3" xfId="36333" xr:uid="{E74CF137-731E-4A00-A258-7DD57F9BA3A2}"/>
    <cellStyle name="Migliaia 21 4 5 4" xfId="41498" xr:uid="{1B6CAF3A-DB94-40DC-8870-CF24AE14579B}"/>
    <cellStyle name="Migliaia 21 4 5 5" xfId="11289" xr:uid="{1BC09DE9-E857-4F92-A646-5DB3F6B725FA}"/>
    <cellStyle name="Migliaia 21 4 6" xfId="10800" xr:uid="{C3364BAC-7BB5-4C59-B9C0-1BDE11DB5ADB}"/>
    <cellStyle name="Migliaia 21 4 6 2" xfId="21435" xr:uid="{D6920716-937C-4B47-A10C-76D07AAB328E}"/>
    <cellStyle name="Migliaia 21 4 6 2 2" xfId="38848" xr:uid="{51231424-4C9D-432D-AAC5-D536941595DF}"/>
    <cellStyle name="Migliaia 21 4 6 2 3" xfId="44150" xr:uid="{6BB4E530-57B4-4A35-BA17-6CDC693010D7}"/>
    <cellStyle name="Migliaia 21 4 6 2 4" xfId="33422" xr:uid="{4C262F55-0546-4482-8D78-F0727FD96BF0}"/>
    <cellStyle name="Migliaia 21 4 6 3" xfId="36334" xr:uid="{312C219F-AA17-40BB-9621-8249F06909CC}"/>
    <cellStyle name="Migliaia 21 4 6 4" xfId="41499" xr:uid="{8412AD67-5981-41FB-BFFC-AB685284366A}"/>
    <cellStyle name="Migliaia 21 4 6 5" xfId="24500" xr:uid="{750145DE-201E-4FBC-A4DF-F41069F79262}"/>
    <cellStyle name="Migliaia 21 4 6 6" xfId="47303" xr:uid="{9617500A-EDDC-471B-B3C1-9695CE663988}"/>
    <cellStyle name="Migliaia 21 4 6 7" xfId="50450" xr:uid="{5C6C7604-E1B8-4E55-B38C-2A641C7C88A8}"/>
    <cellStyle name="Migliaia 21 4 6 8" xfId="53466" xr:uid="{44C9843B-FDD8-45F1-9451-9E71B29006B7}"/>
    <cellStyle name="Migliaia 21 4 7" xfId="20103" xr:uid="{D8756ED3-6DDE-4425-BF70-807961BB3E9C}"/>
    <cellStyle name="Migliaia 21 4 7 2" xfId="33423" xr:uid="{A97AF22D-024C-48D7-BDA1-0C948CD6DA44}"/>
    <cellStyle name="Migliaia 21 4 7 2 2" xfId="38849" xr:uid="{965191C4-B267-4C17-A1B4-464900ED8F07}"/>
    <cellStyle name="Migliaia 21 4 7 2 3" xfId="44151" xr:uid="{D552A3C5-AFC2-4523-A084-53645951EF0E}"/>
    <cellStyle name="Migliaia 21 4 7 3" xfId="36335" xr:uid="{FFFA17DF-5CB7-497B-BB65-C520E82E8688}"/>
    <cellStyle name="Migliaia 21 4 7 4" xfId="41500" xr:uid="{1162E543-173F-47E1-9C57-AFB3A83CA458}"/>
    <cellStyle name="Migliaia 21 4 7 5" xfId="24501" xr:uid="{B40AFE3C-2559-4F31-B975-4826B3F38A38}"/>
    <cellStyle name="Migliaia 21 4 8" xfId="24496" xr:uid="{D75ABF5C-223B-4BA9-A2FE-40A6D8B0CD1F}"/>
    <cellStyle name="Migliaia 21 4 9" xfId="7372" xr:uid="{4C421B5D-BF20-46F2-A726-78D065C3F8B5}"/>
    <cellStyle name="Migliaia 21 5" xfId="1725" xr:uid="{00000000-0005-0000-0000-00003C030000}"/>
    <cellStyle name="Migliaia 21 5 2" xfId="5050" xr:uid="{472F496E-1632-4BC1-89AD-7FFEDA9F92E1}"/>
    <cellStyle name="Migliaia 21 5 2 2" xfId="18403" xr:uid="{646E33C4-0E70-4FC9-B17A-166CD50B50A7}"/>
    <cellStyle name="Migliaia 21 5 2 2 2" xfId="38850" xr:uid="{958803B2-D672-45F5-B79F-8BE6115A33F9}"/>
    <cellStyle name="Migliaia 21 5 2 2 3" xfId="44152" xr:uid="{4F2B17A2-556F-49B4-BED0-BFCCA655E83F}"/>
    <cellStyle name="Migliaia 21 5 2 3" xfId="20106" xr:uid="{DF7DF7B3-D586-4465-85DB-0B1968A85B7F}"/>
    <cellStyle name="Migliaia 21 5 2 3 2" xfId="36336" xr:uid="{87C2DA4A-B1C8-42A9-ACD7-E418B0C49C47}"/>
    <cellStyle name="Migliaia 21 5 2 4" xfId="41501" xr:uid="{FA7FD107-60D9-4602-95B9-2B8C6696F500}"/>
    <cellStyle name="Migliaia 21 5 2 5" xfId="16214" xr:uid="{B46C9479-AA75-4C0C-BE3C-E7E48974B97C}"/>
    <cellStyle name="Migliaia 21 5 2 6" xfId="8563" xr:uid="{5924AF7C-54F8-4301-9F45-D327569C6931}"/>
    <cellStyle name="Migliaia 21 5 3" xfId="6260" xr:uid="{960969E8-E141-4242-9662-558EF56CF93A}"/>
    <cellStyle name="Migliaia 21 5 3 2" xfId="33424" xr:uid="{60D1ACC5-5F1F-4E25-A029-1CF23B1A48E7}"/>
    <cellStyle name="Migliaia 21 5 3 2 2" xfId="38851" xr:uid="{C176CC85-4D70-42B8-9AE6-97E27A05265F}"/>
    <cellStyle name="Migliaia 21 5 3 2 3" xfId="44153" xr:uid="{4F94B08A-0BE1-4AA6-A6A1-DDBDFD19433F}"/>
    <cellStyle name="Migliaia 21 5 3 3" xfId="36337" xr:uid="{805BEC3E-5AA4-48CD-80DB-9804BC5EC430}"/>
    <cellStyle name="Migliaia 21 5 3 4" xfId="41502" xr:uid="{5C949840-A0E2-4518-9802-86FFF2E01512}"/>
    <cellStyle name="Migliaia 21 5 3 5" xfId="11291" xr:uid="{E46FF083-05DB-4E0E-9A0B-4E94769262CD}"/>
    <cellStyle name="Migliaia 21 5 4" xfId="3324" xr:uid="{5829B7B6-C347-4511-8281-A4D919BA7089}"/>
    <cellStyle name="Migliaia 21 5 4 2" xfId="21437" xr:uid="{D9C932E7-2835-4423-B936-A8DC0BFE42C9}"/>
    <cellStyle name="Migliaia 21 5 4 2 2" xfId="38852" xr:uid="{D7ADE83A-DACE-4554-90A2-10A4204E743A}"/>
    <cellStyle name="Migliaia 21 5 4 2 3" xfId="44154" xr:uid="{2F3030B7-1C77-48EB-AEAF-0D5792B36E61}"/>
    <cellStyle name="Migliaia 21 5 4 2 4" xfId="33425" xr:uid="{91150013-86D8-4A8F-97CF-6561034085F1}"/>
    <cellStyle name="Migliaia 21 5 4 3" xfId="36338" xr:uid="{4EBEF6AC-75AC-4557-A278-AD5E3CC07B99}"/>
    <cellStyle name="Migliaia 21 5 4 4" xfId="41503" xr:uid="{DDBD0B2D-2956-4CC2-B8D0-4735218E40DF}"/>
    <cellStyle name="Migliaia 21 5 4 5" xfId="24503" xr:uid="{77CC07A4-3168-42E3-AF45-294963878F9A}"/>
    <cellStyle name="Migliaia 21 5 4 6" xfId="47896" xr:uid="{E872AFAC-2FCD-4B5B-803A-7A5E5C2EE60B}"/>
    <cellStyle name="Migliaia 21 5 4 7" xfId="50452" xr:uid="{219F8D47-0F69-4033-8996-E32A6372D65B}"/>
    <cellStyle name="Migliaia 21 5 4 8" xfId="53468" xr:uid="{864516B3-C03B-48F4-8FEB-51339E2A5056}"/>
    <cellStyle name="Migliaia 21 5 4 9" xfId="10802" xr:uid="{FE21283A-66D3-4C1C-A641-6BC0FDC1F757}"/>
    <cellStyle name="Migliaia 21 5 5" xfId="20105" xr:uid="{A2126022-129D-46A0-A9D0-B2E8F3D0149C}"/>
    <cellStyle name="Migliaia 21 5 5 2" xfId="33426" xr:uid="{0237DB3C-EED4-4233-A4DE-970F5E747B6B}"/>
    <cellStyle name="Migliaia 21 5 5 2 2" xfId="38853" xr:uid="{7D2179E0-F934-449D-B369-BC08097F9520}"/>
    <cellStyle name="Migliaia 21 5 5 2 3" xfId="44155" xr:uid="{82CF2F97-915A-4342-B0A7-F3820BB78E4B}"/>
    <cellStyle name="Migliaia 21 5 5 3" xfId="36339" xr:uid="{18B4701B-2D2A-42E7-BBE9-CDD9D05484F7}"/>
    <cellStyle name="Migliaia 21 5 5 4" xfId="41504" xr:uid="{F5B6A4A0-8E39-49E2-82EB-599422F2C1A4}"/>
    <cellStyle name="Migliaia 21 5 5 5" xfId="24504" xr:uid="{4FEC3A43-E765-4361-BEC5-478D90E46244}"/>
    <cellStyle name="Migliaia 21 5 6" xfId="24505" xr:uid="{623CA48A-46BB-4318-8019-4A2474F38F21}"/>
    <cellStyle name="Migliaia 21 5 6 2" xfId="33427" xr:uid="{B425B007-D712-4DAE-A122-767B3625889D}"/>
    <cellStyle name="Migliaia 21 5 6 2 2" xfId="38854" xr:uid="{E074DEA9-1418-42C5-8209-E8E35534D044}"/>
    <cellStyle name="Migliaia 21 5 6 2 3" xfId="44156" xr:uid="{349B23EF-0976-4717-8F69-245F0EADBDB8}"/>
    <cellStyle name="Migliaia 21 5 6 3" xfId="36340" xr:uid="{E36CE19E-51D6-43D9-AC68-34B3F10D68D3}"/>
    <cellStyle name="Migliaia 21 5 6 4" xfId="41505" xr:uid="{28AD6B0B-477E-45C1-B9B1-94C920E97FB1}"/>
    <cellStyle name="Migliaia 21 5 7" xfId="24502" xr:uid="{D93558B5-3103-4F43-BB93-2F2BFF6242E5}"/>
    <cellStyle name="Migliaia 21 5 8" xfId="7373" xr:uid="{54F0A62D-5E4C-4326-9865-7183DDB54D34}"/>
    <cellStyle name="Migliaia 21 6" xfId="3325" xr:uid="{ECAF671F-B70A-43D0-AA99-3FDE8AD644DB}"/>
    <cellStyle name="Migliaia 21 6 2" xfId="5051" xr:uid="{352D5B97-72FC-4D45-BE96-C5523226265F}"/>
    <cellStyle name="Migliaia 21 6 2 2" xfId="9907" xr:uid="{A4DF607F-8885-4A10-8473-C6A12C81EFE6}"/>
    <cellStyle name="Migliaia 21 6 2 3" xfId="18667" xr:uid="{8DC1839E-761E-4BF0-BEEE-E09D54E6FB99}"/>
    <cellStyle name="Migliaia 21 6 2 4" xfId="20108" xr:uid="{DE1B47B2-A629-48F1-8971-F1CC282FF9CE}"/>
    <cellStyle name="Migliaia 21 6 2 5" xfId="32339" xr:uid="{988FD4BF-B3B4-4ACE-9D16-AC9DABCB81F9}"/>
    <cellStyle name="Migliaia 21 6 2 6" xfId="16216" xr:uid="{5261FD09-044C-4709-A542-15ED81100ADE}"/>
    <cellStyle name="Migliaia 21 6 2 7" xfId="8558" xr:uid="{43C0FCE9-4CB5-4ACE-9ABF-4EEF4181D078}"/>
    <cellStyle name="Migliaia 21 6 3" xfId="6261" xr:uid="{25A99DB3-ADAA-4A53-A0BD-063FA563032E}"/>
    <cellStyle name="Migliaia 21 6 3 2" xfId="35218" xr:uid="{B4726C31-B63F-48B8-BFA3-017794BCD347}"/>
    <cellStyle name="Migliaia 21 6 3 2 2" xfId="40378" xr:uid="{39B6FE10-47A2-4910-9966-A9CA5F622DA4}"/>
    <cellStyle name="Migliaia 21 6 3 2 3" xfId="45680" xr:uid="{359A2921-7AF0-4415-87EA-E0EEF9B10CEF}"/>
    <cellStyle name="Migliaia 21 6 3 3" xfId="37727" xr:uid="{8782121E-85E2-4358-8D3B-07232E4C3A16}"/>
    <cellStyle name="Migliaia 21 6 3 4" xfId="43029" xr:uid="{18C7E8A0-EFF7-4441-8D88-8B98F44EE68D}"/>
    <cellStyle name="Migliaia 21 6 3 5" xfId="9670" xr:uid="{18A70A2E-F064-4B83-9361-678818CFDA3B}"/>
    <cellStyle name="Migliaia 21 6 4" xfId="20107" xr:uid="{75F7D2EB-571F-4EF5-8777-D81A6A61F6C7}"/>
    <cellStyle name="Migliaia 21 6 4 2" xfId="38855" xr:uid="{EAA8ABF3-0AC4-4A8B-B150-02B4A5B3D358}"/>
    <cellStyle name="Migliaia 21 6 4 3" xfId="44157" xr:uid="{009BB201-1E90-48C5-8054-F838421A50DC}"/>
    <cellStyle name="Migliaia 21 6 4 4" xfId="33428" xr:uid="{4B64B9D1-645F-4ECC-9BEA-12A83230005A}"/>
    <cellStyle name="Migliaia 21 6 5" xfId="36341" xr:uid="{AD005266-7507-46CB-AF7C-A4268474AF65}"/>
    <cellStyle name="Migliaia 21 6 6" xfId="41506" xr:uid="{A2BAD3C5-9D02-4A00-91CE-B41CF5673517}"/>
    <cellStyle name="Migliaia 21 6 7" xfId="16215" xr:uid="{3D7E7559-9603-424D-B9E5-9AC20F9BE8DE}"/>
    <cellStyle name="Migliaia 21 6 8" xfId="7368" xr:uid="{CCF2DA76-E566-4E95-AF0A-4E3D271278D7}"/>
    <cellStyle name="Migliaia 21 7" xfId="3326" xr:uid="{6508234A-4998-4265-B2DB-EB1652F0212C}"/>
    <cellStyle name="Migliaia 21 7 2" xfId="5052" xr:uid="{B3887E29-9014-4C60-A0B4-BD5D8CC835ED}"/>
    <cellStyle name="Migliaia 21 7 2 2" xfId="35219" xr:uid="{99FFE49A-1621-44D9-8A6D-5C43FDB339F1}"/>
    <cellStyle name="Migliaia 21 7 2 2 2" xfId="40379" xr:uid="{A8E7BA47-6683-4A86-82EF-103757E27CB9}"/>
    <cellStyle name="Migliaia 21 7 2 2 3" xfId="45681" xr:uid="{B209013B-6403-4760-91FC-7E01B3ED01D0}"/>
    <cellStyle name="Migliaia 21 7 2 3" xfId="37728" xr:uid="{5D36A6D8-866E-4C8A-A2E7-2A8F6EA4BE61}"/>
    <cellStyle name="Migliaia 21 7 2 4" xfId="43030" xr:uid="{DEA5065C-5457-43E4-8E5B-ACF5D3393B13}"/>
    <cellStyle name="Migliaia 21 7 2 5" xfId="14218" xr:uid="{AF7B6379-4307-4734-B318-A172CDD7CECE}"/>
    <cellStyle name="Migliaia 21 7 3" xfId="6262" xr:uid="{05AE909A-FBFD-47FF-ADEA-A8DA081E25A1}"/>
    <cellStyle name="Migliaia 21 7 3 2" xfId="38856" xr:uid="{8760777D-29DD-4FCB-AD27-BB9692403C36}"/>
    <cellStyle name="Migliaia 21 7 3 3" xfId="44158" xr:uid="{2EB81A30-D25A-4ECC-82A3-A857B5369CAB}"/>
    <cellStyle name="Migliaia 21 7 3 4" xfId="33429" xr:uid="{410CE5E3-593A-4035-8D4C-12AC9E162A96}"/>
    <cellStyle name="Migliaia 21 7 3 5" xfId="20109" xr:uid="{4B05448C-3F70-4971-87E1-744445FF13E2}"/>
    <cellStyle name="Migliaia 21 7 4" xfId="36342" xr:uid="{5DC765B3-F4A6-4EC1-A397-718C5E41FFE6}"/>
    <cellStyle name="Migliaia 21 7 5" xfId="41507" xr:uid="{3360BA72-5F25-4B55-8833-7AB061A80589}"/>
    <cellStyle name="Migliaia 21 7 6" xfId="16217" xr:uid="{C048D265-F4F0-491B-8094-384BB4530FCF}"/>
    <cellStyle name="Migliaia 21 7 7" xfId="8280" xr:uid="{9616B8E8-8B13-4620-9C71-2DAE7D1600AB}"/>
    <cellStyle name="Migliaia 21 8" xfId="3327" xr:uid="{A482A192-6B8D-475D-BD86-35FDAADD76A8}"/>
    <cellStyle name="Migliaia 21 8 2" xfId="5053" xr:uid="{BA5F1B89-64B0-487E-B827-68507A7739BF}"/>
    <cellStyle name="Migliaia 21 8 2 2" xfId="35220" xr:uid="{95A20EF2-A4FF-47AC-9771-A20B7CD41F6D}"/>
    <cellStyle name="Migliaia 21 8 2 2 2" xfId="40380" xr:uid="{5659660A-B76C-4919-8436-B2FB6AA1C080}"/>
    <cellStyle name="Migliaia 21 8 2 2 3" xfId="45682" xr:uid="{5DCF0FE9-F171-4D86-86CF-D2B3DDF371BA}"/>
    <cellStyle name="Migliaia 21 8 2 3" xfId="37729" xr:uid="{06E9BBF5-9288-491E-8405-1C9E0E02AA00}"/>
    <cellStyle name="Migliaia 21 8 2 4" xfId="43031" xr:uid="{9AC04DC5-164F-4243-9EF1-D5994A3714D7}"/>
    <cellStyle name="Migliaia 21 8 2 5" xfId="13923" xr:uid="{A3B44CB2-47E7-441A-89FE-2FA741E254A7}"/>
    <cellStyle name="Migliaia 21 8 3" xfId="6263" xr:uid="{808F3C51-DDA0-46FA-9AE4-C4CA8124FA71}"/>
    <cellStyle name="Migliaia 21 8 3 2" xfId="38857" xr:uid="{1F738B59-485A-4F6D-B8EB-DC69C522FD7B}"/>
    <cellStyle name="Migliaia 21 8 3 3" xfId="44159" xr:uid="{F9BA02E1-870F-4A39-8638-1706EE1F54DF}"/>
    <cellStyle name="Migliaia 21 8 3 4" xfId="33430" xr:uid="{67D3E516-DB37-4A9A-8CEF-E208AC524CC4}"/>
    <cellStyle name="Migliaia 21 8 3 5" xfId="20110" xr:uid="{C5BDF980-B433-4261-90AD-3E4276AE96DD}"/>
    <cellStyle name="Migliaia 21 8 4" xfId="36343" xr:uid="{D7F290F9-11E2-42CE-8385-22934ADCA4DC}"/>
    <cellStyle name="Migliaia 21 8 5" xfId="41508" xr:uid="{74BE4920-A177-42C1-BE43-E76B8E773DF2}"/>
    <cellStyle name="Migliaia 21 8 6" xfId="16218" xr:uid="{3A17FBB0-D69A-4334-BF2A-5811E050FDC8}"/>
    <cellStyle name="Migliaia 21 8 7" xfId="7874" xr:uid="{18BECA86-6F87-4838-B678-6F9F06B117DC}"/>
    <cellStyle name="Migliaia 21 9" xfId="5038" xr:uid="{1B43D3F2-8DA0-4CC7-86D1-0003A2251DAA}"/>
    <cellStyle name="Migliaia 21 9 2" xfId="33431" xr:uid="{80D27CE6-8C91-40D4-857A-49CE062E8B62}"/>
    <cellStyle name="Migliaia 21 9 2 2" xfId="38858" xr:uid="{E2E01CEB-68EF-4728-91F3-ABCA310979C0}"/>
    <cellStyle name="Migliaia 21 9 2 3" xfId="44160" xr:uid="{4CDCEE66-76CA-44B8-ACA4-6FC10F8D1824}"/>
    <cellStyle name="Migliaia 21 9 3" xfId="36344" xr:uid="{DF4479BC-A863-4A41-8816-F361AD95FF28}"/>
    <cellStyle name="Migliaia 21 9 4" xfId="41509" xr:uid="{EF7058C2-10F4-40D3-B7BE-5F0B5799341E}"/>
    <cellStyle name="Migliaia 21 9 5" xfId="17161" xr:uid="{40345381-E90A-4727-84E4-0A473D92C104}"/>
    <cellStyle name="Migliaia 22" xfId="357" xr:uid="{00000000-0005-0000-0000-00003D030000}"/>
    <cellStyle name="Migliaia 22 10" xfId="6264" xr:uid="{7B8F8C49-B2A0-4D53-931C-CB3BDB9495A3}"/>
    <cellStyle name="Migliaia 22 10 2" xfId="38859" xr:uid="{1C09DC23-420F-4A90-8742-58092E91B462}"/>
    <cellStyle name="Migliaia 22 10 3" xfId="44161" xr:uid="{D607C849-BF07-4EEF-B524-6E6A3AD6F17A}"/>
    <cellStyle name="Migliaia 22 10 4" xfId="33432" xr:uid="{13619049-FC2E-47D2-BDDB-8CB0506A160B}"/>
    <cellStyle name="Migliaia 22 10 5" xfId="20111" xr:uid="{DE4AE0C1-2D2E-43C2-8F19-65450DB3927D}"/>
    <cellStyle name="Migliaia 22 11" xfId="3328" xr:uid="{C3F83E1B-58EC-4573-A3F2-0B289F37D2EF}"/>
    <cellStyle name="Migliaia 22 11 2" xfId="36345" xr:uid="{81001CA0-1BFC-4BF0-B590-C0892EDB528C}"/>
    <cellStyle name="Migliaia 22 12" xfId="41510" xr:uid="{C57928F5-2820-43DC-B9C1-5D4C5405678E}"/>
    <cellStyle name="Migliaia 22 13" xfId="7084" xr:uid="{9DE53D3E-3C67-4CEB-A5F5-8DFEA57DF84A}"/>
    <cellStyle name="Migliaia 22 2" xfId="358" xr:uid="{00000000-0005-0000-0000-00003E030000}"/>
    <cellStyle name="Migliaia 22 2 2" xfId="1726" xr:uid="{00000000-0005-0000-0000-00003F030000}"/>
    <cellStyle name="Migliaia 22 2 2 2" xfId="5056" xr:uid="{A5350673-A475-4179-A190-D7D6E9BA905B}"/>
    <cellStyle name="Migliaia 22 2 2 2 2" xfId="14377" xr:uid="{C7570FA3-19FF-4BD2-B5D8-9242A168A363}"/>
    <cellStyle name="Migliaia 22 2 2 2 2 2" xfId="38860" xr:uid="{4DC27DD3-D9B8-456C-900F-D9B7CE5E179E}"/>
    <cellStyle name="Migliaia 22 2 2 2 2 3" xfId="44162" xr:uid="{C2AE0844-1514-42EC-BE2F-94C68F170C06}"/>
    <cellStyle name="Migliaia 22 2 2 2 3" xfId="18404" xr:uid="{01C15A31-CDBF-4C4A-A2F6-5BCD8312165A}"/>
    <cellStyle name="Migliaia 22 2 2 2 4" xfId="20114" xr:uid="{93CF236C-262D-499B-ADE3-78D69DBDCAD5}"/>
    <cellStyle name="Migliaia 22 2 2 2 4 2" xfId="41511" xr:uid="{E6FFB71B-3353-4E5F-8BC6-4EAFC4DD3FCC}"/>
    <cellStyle name="Migliaia 22 2 2 2 5" xfId="16219" xr:uid="{060E16DA-0D7A-43E4-9426-7773D9A302AB}"/>
    <cellStyle name="Migliaia 22 2 2 2 6" xfId="8565" xr:uid="{9E512D6D-1967-4C2B-935E-B166D8D245A8}"/>
    <cellStyle name="Migliaia 22 2 2 3" xfId="6266" xr:uid="{0592CE43-4B5F-49E7-8E2D-4384228913BC}"/>
    <cellStyle name="Migliaia 22 2 2 3 2" xfId="35221" xr:uid="{3457653B-DF81-44E2-AFF9-948004D39450}"/>
    <cellStyle name="Migliaia 22 2 2 3 2 2" xfId="40381" xr:uid="{ABF9EE8A-90E4-4C78-9347-53C62714DBDB}"/>
    <cellStyle name="Migliaia 22 2 2 3 2 3" xfId="45683" xr:uid="{0D09CEC3-B347-436F-B0EE-BF3D9FF130F5}"/>
    <cellStyle name="Migliaia 22 2 2 3 3" xfId="37730" xr:uid="{7DAA3445-A282-4CF0-8FA9-69EE01E90244}"/>
    <cellStyle name="Migliaia 22 2 2 3 4" xfId="43032" xr:uid="{F1EA8FC4-C60D-44F5-AE3A-DA1E50A27CF8}"/>
    <cellStyle name="Migliaia 22 2 2 3 5" xfId="11604" xr:uid="{3B3FEF2A-B0BE-4E35-B753-9390BFB8C566}"/>
    <cellStyle name="Migliaia 22 2 2 4" xfId="3330" xr:uid="{9D92E237-8B22-4F84-ADF6-FFC9335626D7}"/>
    <cellStyle name="Migliaia 22 2 2 4 2" xfId="21438" xr:uid="{98645C90-4F84-4D69-B5BF-44CA559C93B7}"/>
    <cellStyle name="Migliaia 22 2 2 4 3" xfId="46225" xr:uid="{06533ED8-B601-4173-A287-ABCE851BA2CE}"/>
    <cellStyle name="Migliaia 22 2 2 4 4" xfId="50453" xr:uid="{5E83698B-189E-47F8-8AAF-72157906E57F}"/>
    <cellStyle name="Migliaia 22 2 2 4 5" xfId="53469" xr:uid="{48E77426-BB41-49AA-8C05-7C3DB3553891}"/>
    <cellStyle name="Migliaia 22 2 2 4 6" xfId="10803" xr:uid="{D24C1FF9-9FCF-4D2C-BC46-EA0F49F6DFF0}"/>
    <cellStyle name="Migliaia 22 2 2 5" xfId="20113" xr:uid="{93037B72-1D26-48F3-90EE-F97C50D5CF0A}"/>
    <cellStyle name="Migliaia 22 2 2 6" xfId="24510" xr:uid="{7EF0069D-4E5A-4D8A-B231-B9CDECAD2422}"/>
    <cellStyle name="Migliaia 22 2 2 7" xfId="7375" xr:uid="{23DCF0D1-13EE-4817-8DA1-19F96E746D4F}"/>
    <cellStyle name="Migliaia 22 2 3" xfId="3331" xr:uid="{7CBC0202-8B37-4AB4-950C-71DEADF0871E}"/>
    <cellStyle name="Migliaia 22 2 3 2" xfId="5057" xr:uid="{C72A19A1-FDB3-4903-9E8D-6F798694F380}"/>
    <cellStyle name="Migliaia 22 2 3 2 2" xfId="35222" xr:uid="{DCAF3680-B71C-4EBD-AD03-5E5B83F80536}"/>
    <cellStyle name="Migliaia 22 2 3 2 2 2" xfId="40382" xr:uid="{1D7D0226-6B5B-43F1-88FD-16C9A5D05D7C}"/>
    <cellStyle name="Migliaia 22 2 3 2 2 3" xfId="45684" xr:uid="{9E102FD9-8CF0-4B9E-AC2A-41552E52D33D}"/>
    <cellStyle name="Migliaia 22 2 3 2 3" xfId="37731" xr:uid="{992EB706-AAD9-4058-BECA-96583DF44C07}"/>
    <cellStyle name="Migliaia 22 2 3 2 4" xfId="43033" xr:uid="{816E57E5-E6F6-47FC-A598-1B46BC705551}"/>
    <cellStyle name="Migliaia 22 2 3 2 5" xfId="14222" xr:uid="{843BA993-87A3-4051-A7E0-CA40F0657B16}"/>
    <cellStyle name="Migliaia 22 2 3 3" xfId="6267" xr:uid="{04AD14A0-B348-45B9-B4F7-5857C09CFABB}"/>
    <cellStyle name="Migliaia 22 2 3 3 2" xfId="38861" xr:uid="{D9B8FCCF-6816-4886-8958-944D4517084A}"/>
    <cellStyle name="Migliaia 22 2 3 3 3" xfId="44163" xr:uid="{21D4EE3C-7C8E-42E4-8963-CB0FFF288BAB}"/>
    <cellStyle name="Migliaia 22 2 3 3 4" xfId="33433" xr:uid="{7BA15618-A162-4198-BCC8-71DC867E3248}"/>
    <cellStyle name="Migliaia 22 2 3 3 5" xfId="20115" xr:uid="{1D68C72A-DDEC-42F8-8106-B412902C1A5D}"/>
    <cellStyle name="Migliaia 22 2 3 4" xfId="36346" xr:uid="{E23BD688-9705-4837-B99B-558FEA906D05}"/>
    <cellStyle name="Migliaia 22 2 3 5" xfId="41512" xr:uid="{CD9E53FB-6DA0-4C45-BA5A-5FC566E8BAC6}"/>
    <cellStyle name="Migliaia 22 2 3 6" xfId="16220" xr:uid="{DC050AB5-3B61-486D-93B9-F66A3EF6CC76}"/>
    <cellStyle name="Migliaia 22 2 3 7" xfId="8284" xr:uid="{A9B5C4DE-627D-4049-A60D-8F9449C6E46F}"/>
    <cellStyle name="Migliaia 22 2 4" xfId="5055" xr:uid="{B05D9D27-E4DE-4CA8-AA30-DFBCF9EFCE37}"/>
    <cellStyle name="Migliaia 22 2 4 2" xfId="13927" xr:uid="{96752953-96B7-4A3C-A89F-B9D35717D99E}"/>
    <cellStyle name="Migliaia 22 2 4 2 2" xfId="38862" xr:uid="{B329BE6C-B08F-4892-A756-BF3CF37E07AF}"/>
    <cellStyle name="Migliaia 22 2 4 2 3" xfId="44164" xr:uid="{C980BB2F-DE77-4A21-BD35-58DB9EC34CDF}"/>
    <cellStyle name="Migliaia 22 2 4 3" xfId="18716" xr:uid="{D87EF7B4-81A4-4F0D-8081-4152270950A6}"/>
    <cellStyle name="Migliaia 22 2 4 4" xfId="20116" xr:uid="{AF8A39C1-96B9-4440-B5ED-B2353807058A}"/>
    <cellStyle name="Migliaia 22 2 4 4 2" xfId="41513" xr:uid="{71F044BF-4907-47E5-AA84-60CEE78A18AF}"/>
    <cellStyle name="Migliaia 22 2 4 5" xfId="16221" xr:uid="{1DB29326-A1C9-47C2-9937-B37797FF1398}"/>
    <cellStyle name="Migliaia 22 2 4 6" xfId="7879" xr:uid="{A04BF348-32CD-42AB-ABD8-40D82197FCC9}"/>
    <cellStyle name="Migliaia 22 2 5" xfId="6265" xr:uid="{BC6F054C-20BC-46B5-82C2-04F7A13BF32C}"/>
    <cellStyle name="Migliaia 22 2 5 2" xfId="33434" xr:uid="{A0648717-EF8B-4E07-9724-2CF6E2E7614D}"/>
    <cellStyle name="Migliaia 22 2 5 2 2" xfId="38863" xr:uid="{78EEC6CC-72A8-45F4-BDA1-C9B8A9BAF4EE}"/>
    <cellStyle name="Migliaia 22 2 5 2 3" xfId="44165" xr:uid="{866C5090-D7AD-4526-9DE6-36FAD5427640}"/>
    <cellStyle name="Migliaia 22 2 5 3" xfId="36347" xr:uid="{F0DE9380-A175-4C69-824F-C5D2D0FCCF24}"/>
    <cellStyle name="Migliaia 22 2 5 4" xfId="41514" xr:uid="{90DC709F-75F1-4BC2-AB58-B2F8F0ACB2EB}"/>
    <cellStyle name="Migliaia 22 2 5 5" xfId="13117" xr:uid="{F17BAE6B-9B83-4F0D-B4B3-62D7DB727122}"/>
    <cellStyle name="Migliaia 22 2 6" xfId="3329" xr:uid="{F583C249-00C9-42FC-99EE-7D69D4F1D2E9}"/>
    <cellStyle name="Migliaia 22 2 6 2" xfId="33435" xr:uid="{79D8C499-C285-4BBA-B92A-139F1683D096}"/>
    <cellStyle name="Migliaia 22 2 6 2 2" xfId="38864" xr:uid="{35CCD824-35C4-4556-8588-28853842297B}"/>
    <cellStyle name="Migliaia 22 2 6 2 3" xfId="44166" xr:uid="{7AAD3E47-5EBF-4B93-9241-CB5ACF325C9A}"/>
    <cellStyle name="Migliaia 22 2 6 3" xfId="36348" xr:uid="{448FDD81-E983-45CC-A01B-3CA20C6D8A92}"/>
    <cellStyle name="Migliaia 22 2 6 4" xfId="41515" xr:uid="{2903DA1E-E973-4022-9C56-1847F59CEFE7}"/>
    <cellStyle name="Migliaia 22 2 6 5" xfId="24511" xr:uid="{DB736570-0E16-4EEE-B605-4C742993C1DB}"/>
    <cellStyle name="Migliaia 22 2 6 6" xfId="20112" xr:uid="{13B5C7D2-E92D-4E1C-873A-56886605997B}"/>
    <cellStyle name="Migliaia 22 2 7" xfId="24509" xr:uid="{7B9A7A6E-1A77-4D68-9A73-66328C8CC17E}"/>
    <cellStyle name="Migliaia 22 2 8" xfId="7085" xr:uid="{DC0015A8-C09F-4397-80F9-69ABAB68D779}"/>
    <cellStyle name="Migliaia 22 3" xfId="359" xr:uid="{00000000-0005-0000-0000-000040030000}"/>
    <cellStyle name="Migliaia 22 3 10" xfId="24512" xr:uid="{0F2D30D8-ED30-4BAD-87F3-7739586E6950}"/>
    <cellStyle name="Migliaia 22 3 11" xfId="16222" xr:uid="{138EC9BF-853A-46BD-882B-1143709EF2A5}"/>
    <cellStyle name="Migliaia 22 3 12" xfId="7086" xr:uid="{3A627672-1D85-4696-8A22-886D6F53A617}"/>
    <cellStyle name="Migliaia 22 3 2" xfId="360" xr:uid="{00000000-0005-0000-0000-000041030000}"/>
    <cellStyle name="Migliaia 22 3 2 2" xfId="1727" xr:uid="{00000000-0005-0000-0000-000042030000}"/>
    <cellStyle name="Migliaia 22 3 2 2 2" xfId="5060" xr:uid="{3CDF23C8-745C-48B2-9C1D-A143CC09FF71}"/>
    <cellStyle name="Migliaia 22 3 2 2 2 2" xfId="18405" xr:uid="{CF6A3C66-85D8-4CFC-8EB6-E959D7F581E2}"/>
    <cellStyle name="Migliaia 22 3 2 2 2 2 2" xfId="21855" xr:uid="{11F86825-F83A-4682-A3E1-88A436C29668}"/>
    <cellStyle name="Migliaia 22 3 2 2 2 2 2 2" xfId="38865" xr:uid="{D54907F1-D3B8-45F6-911E-656F63A242F9}"/>
    <cellStyle name="Migliaia 22 3 2 2 2 2 3" xfId="44167" xr:uid="{E93C96F6-D6EB-4C43-BEB3-3891F61C9ACE}"/>
    <cellStyle name="Migliaia 22 3 2 2 2 2 4" xfId="33436" xr:uid="{C93DE0B3-4CD0-428E-8C1A-46FDAC3752A2}"/>
    <cellStyle name="Migliaia 22 3 2 2 2 3" xfId="36349" xr:uid="{A2F9E9BE-C4F2-4692-868C-BABB0784718F}"/>
    <cellStyle name="Migliaia 22 3 2 2 2 4" xfId="41516" xr:uid="{3B36ED33-A353-4FEF-8BD2-0FF43F9AC8E5}"/>
    <cellStyle name="Migliaia 22 3 2 2 2 5" xfId="47755" xr:uid="{5A9C807B-514D-4B22-9C16-C3E4FC471F4A}"/>
    <cellStyle name="Migliaia 22 3 2 2 2 6" xfId="50883" xr:uid="{1D3EAD9B-A4D4-43A3-B166-C0953156959F}"/>
    <cellStyle name="Migliaia 22 3 2 2 2 7" xfId="53899" xr:uid="{C965ABE3-97A9-4EB7-8F65-0D3E49EA02CE}"/>
    <cellStyle name="Migliaia 22 3 2 2 2 8" xfId="17652" xr:uid="{7A5B5DB4-8707-4657-9AEF-852D7A8F3AE1}"/>
    <cellStyle name="Migliaia 22 3 2 2 2 9" xfId="11943" xr:uid="{DA8CD76B-9660-4740-95A6-40F059D1B18E}"/>
    <cellStyle name="Migliaia 22 3 2 2 3" xfId="6270" xr:uid="{2B956C0A-961A-4B81-B265-3203E6E5AC1C}"/>
    <cellStyle name="Migliaia 22 3 2 2 3 2" xfId="11672" xr:uid="{C22BE33A-8ABF-4B8A-AB2A-6C91ADCC6229}"/>
    <cellStyle name="Migliaia 22 3 2 2 4" xfId="3334" xr:uid="{CAD69BC7-11C3-48A3-9240-BA0AC0CBCC46}"/>
    <cellStyle name="Migliaia 22 3 2 2 4 2" xfId="21439" xr:uid="{78234D5D-1620-40BB-BB61-9EAE1DA48A17}"/>
    <cellStyle name="Migliaia 22 3 2 2 4 3" xfId="48471" xr:uid="{084475FA-3CBB-4E18-AF97-82B6AA9302C6}"/>
    <cellStyle name="Migliaia 22 3 2 2 4 4" xfId="50454" xr:uid="{6780A236-FAD6-43AE-8C53-3128A2E4784A}"/>
    <cellStyle name="Migliaia 22 3 2 2 4 5" xfId="53470" xr:uid="{77B2C056-B955-4F13-9E7A-CF38A1BB5ABD}"/>
    <cellStyle name="Migliaia 22 3 2 2 4 6" xfId="10804" xr:uid="{71E532AD-2212-466B-9C21-873F7C197F67}"/>
    <cellStyle name="Migliaia 22 3 2 2 5" xfId="20119" xr:uid="{322DBD62-0E88-4C05-80CA-2FD1545CEB31}"/>
    <cellStyle name="Migliaia 22 3 2 2 6" xfId="24514" xr:uid="{BA0EEEC1-3BE9-4EA9-B653-D1AAA55C6F6A}"/>
    <cellStyle name="Migliaia 22 3 2 2 7" xfId="8567" xr:uid="{5A250004-9C9C-477F-B67C-0318098EE6D9}"/>
    <cellStyle name="Migliaia 22 3 2 3" xfId="5059" xr:uid="{2343FBCA-C814-4CC3-96D8-E98EF4DA87A2}"/>
    <cellStyle name="Migliaia 22 3 2 3 2" xfId="12418" xr:uid="{80AD4835-73CD-47DA-B591-844A6789A162}"/>
    <cellStyle name="Migliaia 22 3 2 3 2 2" xfId="38866" xr:uid="{8683EF51-0F6F-4A69-B4B4-6D34F62D9251}"/>
    <cellStyle name="Migliaia 22 3 2 3 2 3" xfId="44168" xr:uid="{8453E78E-17F3-4D76-8E85-4E0D6F22F3CD}"/>
    <cellStyle name="Migliaia 22 3 2 3 2 4" xfId="33437" xr:uid="{F3732350-3BD3-4EB9-8E95-24C9491BA7FA}"/>
    <cellStyle name="Migliaia 22 3 2 3 3" xfId="11944" xr:uid="{5EE880B6-94FE-4768-A63C-316468A6F63E}"/>
    <cellStyle name="Migliaia 22 3 2 3 4" xfId="20120" xr:uid="{584D4771-C0C0-410D-97E6-F12C0C012C94}"/>
    <cellStyle name="Migliaia 22 3 2 3 4 2" xfId="41517" xr:uid="{DD83A14D-5909-407A-BE20-B96B724D8D6B}"/>
    <cellStyle name="Migliaia 22 3 2 3 5" xfId="16223" xr:uid="{0A915689-CF1B-4915-A7D3-96C02A90DBC5}"/>
    <cellStyle name="Migliaia 22 3 2 3 6" xfId="7881" xr:uid="{41C991F0-BB23-4A88-8EAB-C0220B6ED06D}"/>
    <cellStyle name="Migliaia 22 3 2 4" xfId="6269" xr:uid="{B5DE0208-71FD-4431-A27C-88DEA0E145DD}"/>
    <cellStyle name="Migliaia 22 3 2 4 2" xfId="18071" xr:uid="{8018F8F4-DEEB-42A2-9857-610ACF6BC205}"/>
    <cellStyle name="Migliaia 22 3 2 4 2 2" xfId="38867" xr:uid="{8813C31A-DB6B-4E54-B942-C39AC0738486}"/>
    <cellStyle name="Migliaia 22 3 2 4 2 3" xfId="44169" xr:uid="{D7634EF6-ED6B-4C21-89F9-FE863E3F1166}"/>
    <cellStyle name="Migliaia 22 3 2 4 3" xfId="36350" xr:uid="{681AABA1-AEEE-46B8-9EB3-0CEBF6F9CC1D}"/>
    <cellStyle name="Migliaia 22 3 2 4 4" xfId="41518" xr:uid="{5A1C6464-797E-44B0-A385-08D36B9FB50E}"/>
    <cellStyle name="Migliaia 22 3 2 4 5" xfId="17164" xr:uid="{0D69B53A-B2FC-47B6-BC59-8FF8544AB383}"/>
    <cellStyle name="Migliaia 22 3 2 4 6" xfId="11292" xr:uid="{ECB5D7F8-EC44-4833-BA93-CF5FF470A2B3}"/>
    <cellStyle name="Migliaia 22 3 2 5" xfId="3333" xr:uid="{A40DC061-E273-43AC-B3D5-6392FECAD914}"/>
    <cellStyle name="Migliaia 22 3 2 5 2" xfId="33438" xr:uid="{ED96EF5E-233C-4BC7-963B-01AA4A718E55}"/>
    <cellStyle name="Migliaia 22 3 2 5 2 2" xfId="38868" xr:uid="{23374D13-52A8-4139-94CA-C91A608B6D2A}"/>
    <cellStyle name="Migliaia 22 3 2 5 2 3" xfId="44170" xr:uid="{42AABC75-0E62-4A6A-AD5D-2FA9878224D6}"/>
    <cellStyle name="Migliaia 22 3 2 5 3" xfId="36351" xr:uid="{3F460710-AE15-4E77-A674-9CC2B42F6013}"/>
    <cellStyle name="Migliaia 22 3 2 5 4" xfId="41519" xr:uid="{5C4AAF51-6678-41C6-9ADC-71072E4055B9}"/>
    <cellStyle name="Migliaia 22 3 2 5 5" xfId="17384" xr:uid="{958E6E3C-9AC4-49F2-BF0F-5A5BA5F66CA6}"/>
    <cellStyle name="Migliaia 22 3 2 6" xfId="20118" xr:uid="{3B7DBC3D-576E-4943-8813-3974DAD8E05E}"/>
    <cellStyle name="Migliaia 22 3 2 6 2" xfId="33439" xr:uid="{C3129B1F-AD61-402F-96CC-DC50AA98219F}"/>
    <cellStyle name="Migliaia 22 3 2 6 2 2" xfId="38869" xr:uid="{921F5823-6BB3-49AE-A8FC-6A6032ACAB2C}"/>
    <cellStyle name="Migliaia 22 3 2 6 2 3" xfId="44171" xr:uid="{0B64C2F8-62F6-438A-B538-EA4F2AF1715A}"/>
    <cellStyle name="Migliaia 22 3 2 6 3" xfId="36352" xr:uid="{5EA1C897-77F9-42FD-B8AF-91EED3B4FF2A}"/>
    <cellStyle name="Migliaia 22 3 2 6 4" xfId="41520" xr:uid="{9ACB41CD-73A8-44FC-A48B-59B76AB5B1B8}"/>
    <cellStyle name="Migliaia 22 3 2 6 5" xfId="24515" xr:uid="{80D3D2BF-CCEF-47F4-8BA0-A0BF05F0777C}"/>
    <cellStyle name="Migliaia 22 3 2 7" xfId="24513" xr:uid="{7A211DCC-9F12-4F9B-BB77-D3FA1D0F5516}"/>
    <cellStyle name="Migliaia 22 3 2 8" xfId="7377" xr:uid="{4092EA11-8EDD-46C9-8925-058C69554575}"/>
    <cellStyle name="Migliaia 22 3 3" xfId="3335" xr:uid="{A1E2654E-49DF-411A-BF75-223DF39C98AC}"/>
    <cellStyle name="Migliaia 22 3 3 10" xfId="7376" xr:uid="{8DC0C6A6-10DA-4EE5-8A78-54AB973AC034}"/>
    <cellStyle name="Migliaia 22 3 3 2" xfId="5061" xr:uid="{5BB3EB7E-9EC9-4538-B6ED-293563E9578E}"/>
    <cellStyle name="Migliaia 22 3 3 2 2" xfId="9910" xr:uid="{A60E4E05-7D45-4C76-B8EA-4E7460B20C33}"/>
    <cellStyle name="Migliaia 22 3 3 2 2 2" xfId="38871" xr:uid="{CE20F668-48B6-40EC-8747-1CDD0D87F491}"/>
    <cellStyle name="Migliaia 22 3 3 2 2 3" xfId="44173" xr:uid="{6DBAFCBD-ABA1-4DB2-82EF-27CECF6996FC}"/>
    <cellStyle name="Migliaia 22 3 3 2 3" xfId="18190" xr:uid="{980FB3EB-C3C8-426B-99B5-9B9D266DF963}"/>
    <cellStyle name="Migliaia 22 3 3 2 4" xfId="20122" xr:uid="{F569F5A4-24E4-4E08-9372-57C2401ACDAF}"/>
    <cellStyle name="Migliaia 22 3 3 2 4 2" xfId="41522" xr:uid="{1E6B7838-E26E-479C-AA81-F67FDABE6445}"/>
    <cellStyle name="Migliaia 22 3 3 2 5" xfId="16225" xr:uid="{74C9AA97-9724-48C7-A52B-8D7BD08A65A3}"/>
    <cellStyle name="Migliaia 22 3 3 2 6" xfId="8566" xr:uid="{8259A1B9-F353-4FAC-BA5E-FEAAA8EEB2BE}"/>
    <cellStyle name="Migliaia 22 3 3 3" xfId="6271" xr:uid="{B101B36E-7B3A-4B81-B7C0-96B4ACD910B2}"/>
    <cellStyle name="Migliaia 22 3 3 3 2" xfId="33441" xr:uid="{4CA01D0C-25D2-4F80-B4B7-7F01737C3829}"/>
    <cellStyle name="Migliaia 22 3 3 3 2 2" xfId="38872" xr:uid="{D05D3322-77DE-40F1-9AD7-1E809251E4B2}"/>
    <cellStyle name="Migliaia 22 3 3 3 2 3" xfId="44174" xr:uid="{E4765582-A18E-4932-B8B0-BC5AB82A8AC4}"/>
    <cellStyle name="Migliaia 22 3 3 3 3" xfId="36354" xr:uid="{2B01EC35-8BA0-48CB-83EC-19EA2C11E3B6}"/>
    <cellStyle name="Migliaia 22 3 3 3 4" xfId="41523" xr:uid="{1DBBC420-C02C-44E0-8407-62305EAA811E}"/>
    <cellStyle name="Migliaia 22 3 3 3 5" xfId="9673" xr:uid="{4A27565F-34C3-4EAD-9B30-181936F20B45}"/>
    <cellStyle name="Migliaia 22 3 3 4" xfId="20121" xr:uid="{E1A29C73-6EF4-4312-A99C-BEBE9B5105C6}"/>
    <cellStyle name="Migliaia 22 3 3 4 2" xfId="33442" xr:uid="{3E6DECC1-47EB-4DA6-8B17-6769FA665555}"/>
    <cellStyle name="Migliaia 22 3 3 4 2 2" xfId="38873" xr:uid="{4E4329B3-62EE-457E-A75E-47CB90B574A3}"/>
    <cellStyle name="Migliaia 22 3 3 4 2 3" xfId="44175" xr:uid="{83D48805-D8E1-4D62-9B70-2072101ABDA8}"/>
    <cellStyle name="Migliaia 22 3 3 4 3" xfId="36355" xr:uid="{3265FF17-2C79-4AC3-8C5B-E74FC4CCF340}"/>
    <cellStyle name="Migliaia 22 3 3 4 4" xfId="41524" xr:uid="{7B0110C3-D157-4EB9-B09B-989395AFAF04}"/>
    <cellStyle name="Migliaia 22 3 3 4 5" xfId="24516" xr:uid="{9317AA49-B2DF-445F-A275-60445CE00FB2}"/>
    <cellStyle name="Migliaia 22 3 3 5" xfId="24517" xr:uid="{40977049-0588-4C17-BC09-0581CA93D55B}"/>
    <cellStyle name="Migliaia 22 3 3 5 2" xfId="33443" xr:uid="{94B38179-964C-4A54-B10D-65C729C7B86C}"/>
    <cellStyle name="Migliaia 22 3 3 5 2 2" xfId="38874" xr:uid="{C284BCFC-EC86-4426-80D5-7851DD2000BE}"/>
    <cellStyle name="Migliaia 22 3 3 5 2 3" xfId="44176" xr:uid="{773A2522-DA3C-4B29-BA8E-50B780799D3E}"/>
    <cellStyle name="Migliaia 22 3 3 5 3" xfId="36356" xr:uid="{7771FBE3-2296-401B-9DEA-17D11A37C593}"/>
    <cellStyle name="Migliaia 22 3 3 5 4" xfId="41525" xr:uid="{2D112EF0-B885-4683-B9B0-6E533FB6686C}"/>
    <cellStyle name="Migliaia 22 3 3 6" xfId="33440" xr:uid="{91A6644F-DBD8-4827-A8F9-7688FFE472AF}"/>
    <cellStyle name="Migliaia 22 3 3 6 2" xfId="38870" xr:uid="{8C0AB618-FA58-4DC0-9301-BF5E9A463986}"/>
    <cellStyle name="Migliaia 22 3 3 6 3" xfId="44172" xr:uid="{4FBFC008-847E-4AD5-8B84-3D4E0D58EC68}"/>
    <cellStyle name="Migliaia 22 3 3 7" xfId="36353" xr:uid="{69E77FDF-74C6-4AF8-9784-C24FD8E707A4}"/>
    <cellStyle name="Migliaia 22 3 3 8" xfId="41521" xr:uid="{6A29C8C3-1C9A-4A84-A4AB-45FF0C5DB5F2}"/>
    <cellStyle name="Migliaia 22 3 3 9" xfId="16224" xr:uid="{A4D4E8DB-19B5-464F-B058-43174DDB525F}"/>
    <cellStyle name="Migliaia 22 3 4" xfId="3336" xr:uid="{8C00FB03-F44B-4EEB-A3F7-8CCAAF9730FD}"/>
    <cellStyle name="Migliaia 22 3 4 2" xfId="5062" xr:uid="{C1D654F7-427E-46B2-B606-2C4DBB8760A8}"/>
    <cellStyle name="Migliaia 22 3 4 2 2" xfId="14437" xr:uid="{49C792AF-C2B6-4305-A68B-8312E1D40FA9}"/>
    <cellStyle name="Migliaia 22 3 4 2 3" xfId="18126" xr:uid="{83F7DAEE-76AD-48DB-A0E2-43753618B3AB}"/>
    <cellStyle name="Migliaia 22 3 4 2 4" xfId="20124" xr:uid="{F1DB4556-9CE9-438A-BF3F-F5C5C1370507}"/>
    <cellStyle name="Migliaia 22 3 4 2 5" xfId="32342" xr:uid="{5C42DBE2-8680-4722-848D-541EF5CC1959}"/>
    <cellStyle name="Migliaia 22 3 4 2 6" xfId="16227" xr:uid="{6E62A2B7-F8D8-427C-8B56-99C9B70B1B65}"/>
    <cellStyle name="Migliaia 22 3 4 2 7" xfId="8860" xr:uid="{22422297-BAF8-4393-96AE-238190A15F2B}"/>
    <cellStyle name="Migliaia 22 3 4 3" xfId="6272" xr:uid="{E1D668FD-7F81-4078-A2EA-DDC811785E2D}"/>
    <cellStyle name="Migliaia 22 3 4 3 2" xfId="35223" xr:uid="{E174E7FB-4F22-4E81-9793-8F824ACA8142}"/>
    <cellStyle name="Migliaia 22 3 4 3 2 2" xfId="40383" xr:uid="{2CDD49D1-E82A-447A-BEC7-337DD58486E7}"/>
    <cellStyle name="Migliaia 22 3 4 3 2 3" xfId="45685" xr:uid="{A5679A01-AA2E-40DD-8AB1-6ED28ABDAF4F}"/>
    <cellStyle name="Migliaia 22 3 4 3 3" xfId="37732" xr:uid="{FF9C8F63-05FF-4EAE-9552-471363D02A79}"/>
    <cellStyle name="Migliaia 22 3 4 3 4" xfId="43034" xr:uid="{31C736EB-E70C-437C-8390-397C8ACAB06B}"/>
    <cellStyle name="Migliaia 22 3 4 3 5" xfId="13685" xr:uid="{13A2A528-FA27-46A0-8FAB-A7DD54C4CDE1}"/>
    <cellStyle name="Migliaia 22 3 4 4" xfId="20123" xr:uid="{8ADBBB5C-E21C-40F6-8779-A560635DE85F}"/>
    <cellStyle name="Migliaia 22 3 4 4 2" xfId="38875" xr:uid="{4CDE1323-3FF8-4797-AE69-6865C5BBFF2D}"/>
    <cellStyle name="Migliaia 22 3 4 4 3" xfId="44177" xr:uid="{8E8E4E1E-45CF-40EA-B94C-207A5F60AF63}"/>
    <cellStyle name="Migliaia 22 3 4 4 4" xfId="33444" xr:uid="{65C7ADE1-3945-4397-9D68-D5573879F966}"/>
    <cellStyle name="Migliaia 22 3 4 5" xfId="36357" xr:uid="{733EF417-ABB1-449F-BD82-E6C32F88F0D0}"/>
    <cellStyle name="Migliaia 22 3 4 6" xfId="41526" xr:uid="{72E3F1F6-23DD-4417-8D66-B5F4EC627BE4}"/>
    <cellStyle name="Migliaia 22 3 4 7" xfId="16226" xr:uid="{CAB91AB3-4C53-4045-9D39-0530ED0675BD}"/>
    <cellStyle name="Migliaia 22 3 4 8" xfId="7670" xr:uid="{E1AF7C6D-C9DB-4C70-A98D-5977BFDFE961}"/>
    <cellStyle name="Migliaia 22 3 5" xfId="3337" xr:uid="{06EC39BB-C8F0-40A3-8F4A-06366556E5BE}"/>
    <cellStyle name="Migliaia 22 3 5 2" xfId="5063" xr:uid="{B39B86A5-1E46-4C22-A9DE-BF217C31AE73}"/>
    <cellStyle name="Migliaia 22 3 5 2 2" xfId="35224" xr:uid="{548B9FC7-023A-4878-ADB0-84ED995E7E7A}"/>
    <cellStyle name="Migliaia 22 3 5 2 2 2" xfId="40384" xr:uid="{91F80915-A122-4B94-BF2F-04CD92988467}"/>
    <cellStyle name="Migliaia 22 3 5 2 2 3" xfId="45686" xr:uid="{1303821C-BE0D-4B10-B26B-7F57A15B17E4}"/>
    <cellStyle name="Migliaia 22 3 5 2 3" xfId="37733" xr:uid="{552F6BF5-4FD4-4751-95AE-5C2B228F5965}"/>
    <cellStyle name="Migliaia 22 3 5 2 4" xfId="43035" xr:uid="{F7EE72CA-A1AC-4051-9292-195D6050D2F8}"/>
    <cellStyle name="Migliaia 22 3 5 2 5" xfId="14223" xr:uid="{1AE4836F-4C92-41E5-9D20-E5605B2C59A0}"/>
    <cellStyle name="Migliaia 22 3 5 3" xfId="6273" xr:uid="{2C02C813-F0AF-4619-A258-1CACBCD3426B}"/>
    <cellStyle name="Migliaia 22 3 5 3 2" xfId="38876" xr:uid="{F79F5ACB-816F-4E4B-8FDA-A8C924B4489F}"/>
    <cellStyle name="Migliaia 22 3 5 3 3" xfId="44178" xr:uid="{9C870DCA-572B-4420-A9AB-018156CE1C51}"/>
    <cellStyle name="Migliaia 22 3 5 3 4" xfId="33445" xr:uid="{6CE57C9D-3A0C-4220-889C-E7299208F02D}"/>
    <cellStyle name="Migliaia 22 3 5 3 5" xfId="20125" xr:uid="{2283EA3B-13A8-48D7-A3FE-8B800D35660D}"/>
    <cellStyle name="Migliaia 22 3 5 4" xfId="36358" xr:uid="{212AD912-9638-458D-8495-4E31FAFF3D76}"/>
    <cellStyle name="Migliaia 22 3 5 5" xfId="41527" xr:uid="{DE5D3AD7-2E8E-44B1-8590-A627EB33996E}"/>
    <cellStyle name="Migliaia 22 3 5 6" xfId="16228" xr:uid="{EBE58F67-059B-453E-BB16-E506564ED778}"/>
    <cellStyle name="Migliaia 22 3 5 7" xfId="8285" xr:uid="{C19F6CCD-DDBD-4BD1-B641-DA9C9D509389}"/>
    <cellStyle name="Migliaia 22 3 6" xfId="5058" xr:uid="{4C6EBCF4-0E2F-4C06-B40C-9831EB5C602F}"/>
    <cellStyle name="Migliaia 22 3 6 2" xfId="13928" xr:uid="{3DD42705-B886-434F-B9CC-B39639D75350}"/>
    <cellStyle name="Migliaia 22 3 6 2 2" xfId="38877" xr:uid="{530E665F-90D0-403A-AA06-4E9BC5EB6C7C}"/>
    <cellStyle name="Migliaia 22 3 6 2 3" xfId="44179" xr:uid="{F47D084E-9CFB-465E-A7EC-E93DD1FF52C8}"/>
    <cellStyle name="Migliaia 22 3 6 3" xfId="18619" xr:uid="{F199E4E1-C2ED-4B9E-8E79-67CBC0C66918}"/>
    <cellStyle name="Migliaia 22 3 6 4" xfId="20126" xr:uid="{ECEC84E2-ED55-44BA-A2D9-D35390287A58}"/>
    <cellStyle name="Migliaia 22 3 6 4 2" xfId="41528" xr:uid="{EDDA11B7-302E-4A69-B4B5-49C0D0218A86}"/>
    <cellStyle name="Migliaia 22 3 6 5" xfId="16229" xr:uid="{41831A9A-4CE1-4AC0-A96C-C715C3B409C5}"/>
    <cellStyle name="Migliaia 22 3 6 6" xfId="7880" xr:uid="{99400DCF-22AB-4E1E-A710-5BC9A2C5E35D}"/>
    <cellStyle name="Migliaia 22 3 7" xfId="6268" xr:uid="{3FBC9893-F415-4083-9F56-74AC877B35FF}"/>
    <cellStyle name="Migliaia 22 3 7 2" xfId="33446" xr:uid="{2EEE142D-12E5-47F1-9C7B-52966AB545BD}"/>
    <cellStyle name="Migliaia 22 3 7 2 2" xfId="38878" xr:uid="{E0AC091A-D324-48CC-8B7D-6A0A39D2A4F0}"/>
    <cellStyle name="Migliaia 22 3 7 2 3" xfId="44180" xr:uid="{3CFB611A-39F2-49B7-B63F-F1C2DE574C34}"/>
    <cellStyle name="Migliaia 22 3 7 3" xfId="36359" xr:uid="{081DEC0A-5AC7-428A-B530-84602F882795}"/>
    <cellStyle name="Migliaia 22 3 7 4" xfId="41529" xr:uid="{7900DA73-CB51-4547-8480-1FC3CA9362DE}"/>
    <cellStyle name="Migliaia 22 3 7 5" xfId="11507" xr:uid="{A5CA1049-EF3E-4A9D-AF3A-EE83418A0461}"/>
    <cellStyle name="Migliaia 22 3 8" xfId="3332" xr:uid="{40091126-1D4E-4707-8200-8467A5223480}"/>
    <cellStyle name="Migliaia 22 3 8 2" xfId="33447" xr:uid="{48870746-7C2D-4B3A-9A0B-2297C7FB5F2B}"/>
    <cellStyle name="Migliaia 22 3 8 2 2" xfId="38879" xr:uid="{16916B0A-A135-4642-B6A0-EBD9E8E1BA7E}"/>
    <cellStyle name="Migliaia 22 3 8 2 3" xfId="44181" xr:uid="{8DC193B5-2DD8-484D-9429-2C4AC3E78F9B}"/>
    <cellStyle name="Migliaia 22 3 8 3" xfId="36360" xr:uid="{90C2D4AB-C8BA-460D-BF49-F952685E511B}"/>
    <cellStyle name="Migliaia 22 3 8 4" xfId="41530" xr:uid="{92910563-04AE-4070-898B-2E3B0C8F0FAD}"/>
    <cellStyle name="Migliaia 22 3 8 5" xfId="24518" xr:uid="{19723297-74D2-4746-987A-AB3C0268C129}"/>
    <cellStyle name="Migliaia 22 3 8 6" xfId="17385" xr:uid="{7A544F46-FB2C-47D3-9D90-7CFAB919F71A}"/>
    <cellStyle name="Migliaia 22 3 9" xfId="20117" xr:uid="{5221CDEC-761F-4F86-B54A-0A1CE1B68799}"/>
    <cellStyle name="Migliaia 22 4" xfId="1728" xr:uid="{00000000-0005-0000-0000-000043030000}"/>
    <cellStyle name="Migliaia 22 4 2" xfId="1729" xr:uid="{00000000-0005-0000-0000-000044030000}"/>
    <cellStyle name="Migliaia 22 4 2 2" xfId="5065" xr:uid="{724E4D2E-2A92-4729-AAF4-C54ADBE04CC2}"/>
    <cellStyle name="Migliaia 22 4 2 2 2" xfId="33448" xr:uid="{93886E63-DF57-40E6-AA01-14B2FE4FE259}"/>
    <cellStyle name="Migliaia 22 4 2 2 2 2" xfId="38880" xr:uid="{ED3AB8A6-E575-4ABA-BCCB-18E5D2723C28}"/>
    <cellStyle name="Migliaia 22 4 2 2 2 3" xfId="44182" xr:uid="{0A3F224C-704C-4D91-AC1C-68979A9BDA60}"/>
    <cellStyle name="Migliaia 22 4 2 2 3" xfId="36361" xr:uid="{D71F99ED-4810-4BFC-8AAC-49E611FC8E4B}"/>
    <cellStyle name="Migliaia 22 4 2 2 4" xfId="41531" xr:uid="{BF3B7C0C-491F-480A-8590-190C42D0FFE5}"/>
    <cellStyle name="Migliaia 22 4 2 2 5" xfId="9136" xr:uid="{C09302E4-7DF6-446A-A446-A517C1A7F86F}"/>
    <cellStyle name="Migliaia 22 4 2 3" xfId="3339" xr:uid="{7CB945AA-A52B-4728-89A8-9683D771AC64}"/>
    <cellStyle name="Migliaia 22 4 2 3 2" xfId="33449" xr:uid="{C39B2B36-2AD9-41EC-B51A-6B80F9294939}"/>
    <cellStyle name="Migliaia 22 4 2 3 2 2" xfId="38881" xr:uid="{41ECBD6B-E8B2-476D-82F6-C4957BD564C7}"/>
    <cellStyle name="Migliaia 22 4 2 3 2 3" xfId="44183" xr:uid="{81E4C84F-B51B-4358-94A7-91D647869528}"/>
    <cellStyle name="Migliaia 22 4 2 3 3" xfId="36362" xr:uid="{850EA073-5887-4591-97BB-9DB8D2BEA413}"/>
    <cellStyle name="Migliaia 22 4 2 3 4" xfId="41532" xr:uid="{C79D2E56-FF0C-4DB7-970C-B75C0060DEC9}"/>
    <cellStyle name="Migliaia 22 4 2 3 5" xfId="11945" xr:uid="{2A9ED632-BAC1-459E-B203-8129DEF7969B}"/>
    <cellStyle name="Migliaia 22 4 2 4" xfId="11294" xr:uid="{E981CCEA-20AF-42C6-A30B-6938B7A1103B}"/>
    <cellStyle name="Migliaia 22 4 2 5" xfId="10806" xr:uid="{C526781A-E7BE-40D5-9E63-CBA02BCC88F0}"/>
    <cellStyle name="Migliaia 22 4 2 5 2" xfId="21441" xr:uid="{97188C30-416B-4D20-BCE5-7DCD91D4C180}"/>
    <cellStyle name="Migliaia 22 4 2 5 3" xfId="36388" xr:uid="{0E566F47-F65B-47B5-9316-0495B981147E}"/>
    <cellStyle name="Migliaia 22 4 2 5 4" xfId="50456" xr:uid="{DE80C0C8-BD89-4644-A6E0-8D0C1C8E28B3}"/>
    <cellStyle name="Migliaia 22 4 2 5 5" xfId="53472" xr:uid="{25F92D9A-7264-40D6-9AC2-BFB905D22E1A}"/>
    <cellStyle name="Migliaia 22 4 2 6" xfId="20128" xr:uid="{EB8EA70D-56BD-40B2-86AC-F9C287F01BC4}"/>
    <cellStyle name="Migliaia 22 4 2 7" xfId="24520" xr:uid="{BA6B6BB1-D306-4A14-B37B-A8721BFCFDCC}"/>
    <cellStyle name="Migliaia 22 4 2 8" xfId="8568" xr:uid="{1CC407BC-EAF2-433A-BE92-C3C04EE9CED6}"/>
    <cellStyle name="Migliaia 22 4 3" xfId="5064" xr:uid="{2D3C9CD6-294F-4BD6-B461-843814F508C9}"/>
    <cellStyle name="Migliaia 22 4 3 2" xfId="18191" xr:uid="{AA4D1297-A40D-45D5-9E7D-B947EDB6B12D}"/>
    <cellStyle name="Migliaia 22 4 3 2 2" xfId="38882" xr:uid="{3B43313E-C7D9-4C87-A6E2-2B88E81B3626}"/>
    <cellStyle name="Migliaia 22 4 3 2 3" xfId="44184" xr:uid="{FEAAEF19-85C4-42EF-A2FA-C12FBDC0C40B}"/>
    <cellStyle name="Migliaia 22 4 3 3" xfId="36363" xr:uid="{D20B8A9E-4892-4383-AF42-6F39434866E6}"/>
    <cellStyle name="Migliaia 22 4 3 4" xfId="41533" xr:uid="{FC6F9B96-F900-4697-B31F-077F759C0A4D}"/>
    <cellStyle name="Migliaia 22 4 3 5" xfId="17383" xr:uid="{36312DEC-1F7D-4BA4-920F-1C87EA8A8D3F}"/>
    <cellStyle name="Migliaia 22 4 3 6" xfId="9137" xr:uid="{D1985DDD-3877-4245-B6DF-DA585C8BB5F4}"/>
    <cellStyle name="Migliaia 22 4 4" xfId="6274" xr:uid="{47F9FF08-FA1D-44A5-BACC-A4EAEF5B48CE}"/>
    <cellStyle name="Migliaia 22 4 4 2" xfId="33450" xr:uid="{319ADDC9-B0C3-4FA2-A89E-604E25DBC76C}"/>
    <cellStyle name="Migliaia 22 4 4 2 2" xfId="38883" xr:uid="{E97D1980-D310-4949-838E-D8222650E5A6}"/>
    <cellStyle name="Migliaia 22 4 4 2 3" xfId="44185" xr:uid="{023DE7EF-F2F6-4BBC-BB55-67AF8F3B1E74}"/>
    <cellStyle name="Migliaia 22 4 4 3" xfId="36364" xr:uid="{8EAB9E37-90C8-40E6-899C-881C6F4C0738}"/>
    <cellStyle name="Migliaia 22 4 4 4" xfId="41534" xr:uid="{7149EA2F-5370-485B-8E0B-FD146871EC06}"/>
    <cellStyle name="Migliaia 22 4 4 5" xfId="11946" xr:uid="{7D837BF6-7462-42FE-AA0E-3D3114DAB15D}"/>
    <cellStyle name="Migliaia 22 4 5" xfId="3338" xr:uid="{8B77EB63-3288-46C7-BEF2-5F1B15DA980A}"/>
    <cellStyle name="Migliaia 22 4 5 2" xfId="33451" xr:uid="{FCB1D6E7-9D11-4B7A-86DA-B52382BF877C}"/>
    <cellStyle name="Migliaia 22 4 5 2 2" xfId="38884" xr:uid="{4757A238-5CB6-43CF-A76B-45083C856911}"/>
    <cellStyle name="Migliaia 22 4 5 2 3" xfId="44186" xr:uid="{58B0B72B-3137-4BD1-B932-5604798A4A4D}"/>
    <cellStyle name="Migliaia 22 4 5 3" xfId="36365" xr:uid="{7DAB2387-95A2-4BBD-BB36-00048E40651C}"/>
    <cellStyle name="Migliaia 22 4 5 4" xfId="41535" xr:uid="{887E136B-562C-457B-93D7-6F76ADCF7A96}"/>
    <cellStyle name="Migliaia 22 4 5 5" xfId="11293" xr:uid="{3700DEBE-2CA7-4C92-BF74-D57E728A9FDC}"/>
    <cellStyle name="Migliaia 22 4 6" xfId="10805" xr:uid="{AAB454A6-6E73-4BDD-8168-8E99086CF846}"/>
    <cellStyle name="Migliaia 22 4 6 2" xfId="21440" xr:uid="{74D7F588-E31B-4E3D-A6DA-B9782CCEF13A}"/>
    <cellStyle name="Migliaia 22 4 6 2 2" xfId="38885" xr:uid="{1271C81F-9C66-49C2-A714-73B76DBA6858}"/>
    <cellStyle name="Migliaia 22 4 6 2 3" xfId="44187" xr:uid="{49AE1153-EF44-44EF-BE8A-55F622FE6914}"/>
    <cellStyle name="Migliaia 22 4 6 2 4" xfId="33452" xr:uid="{DCC9F154-1569-4906-8A7F-548077571D0A}"/>
    <cellStyle name="Migliaia 22 4 6 3" xfId="36366" xr:uid="{0B2FAA8A-D785-4C93-9E02-129F6A83D1EF}"/>
    <cellStyle name="Migliaia 22 4 6 4" xfId="41536" xr:uid="{CE57BC74-75E6-43DA-B38B-8F8424BB411B}"/>
    <cellStyle name="Migliaia 22 4 6 5" xfId="24521" xr:uid="{8881A4F9-BC68-4CE5-B3DE-DF96647BCA7E}"/>
    <cellStyle name="Migliaia 22 4 6 6" xfId="25352" xr:uid="{9C720066-D259-48CD-8D14-86CC2BD1CCA1}"/>
    <cellStyle name="Migliaia 22 4 6 7" xfId="50455" xr:uid="{3C016E9F-A540-4C62-97BF-E9B208D4C3F4}"/>
    <cellStyle name="Migliaia 22 4 6 8" xfId="53471" xr:uid="{C98761AF-29B7-48D2-8CAA-E262BDF753C2}"/>
    <cellStyle name="Migliaia 22 4 7" xfId="20127" xr:uid="{786ECA0D-1E56-4D6A-ABED-F5CB7665EB9E}"/>
    <cellStyle name="Migliaia 22 4 7 2" xfId="33453" xr:uid="{DBE12F9C-D5E2-47E0-B748-32DC8B389BEF}"/>
    <cellStyle name="Migliaia 22 4 7 2 2" xfId="38886" xr:uid="{3D0A08EF-51AA-436D-8B60-0543F149635C}"/>
    <cellStyle name="Migliaia 22 4 7 2 3" xfId="44188" xr:uid="{F394379F-0906-4D7E-AD35-5BD406F9D0F9}"/>
    <cellStyle name="Migliaia 22 4 7 3" xfId="36367" xr:uid="{4837199D-1B26-4E5E-B225-85993CD3E154}"/>
    <cellStyle name="Migliaia 22 4 7 4" xfId="41537" xr:uid="{0290F5C9-23EE-4089-9BE5-2054201F4AC0}"/>
    <cellStyle name="Migliaia 22 4 7 5" xfId="24522" xr:uid="{26ACB4E3-74A8-4E66-A473-FDC900E468B5}"/>
    <cellStyle name="Migliaia 22 4 8" xfId="24519" xr:uid="{19621A05-9327-49F4-9A04-CB0F9DD91D7F}"/>
    <cellStyle name="Migliaia 22 4 9" xfId="7378" xr:uid="{77B48FCF-6DC8-45A1-9B23-91F7DE0B11CD}"/>
    <cellStyle name="Migliaia 22 5" xfId="1730" xr:uid="{00000000-0005-0000-0000-000045030000}"/>
    <cellStyle name="Migliaia 22 5 2" xfId="5066" xr:uid="{36E440E5-3E1B-42CC-88E0-CDD0F1F9D73B}"/>
    <cellStyle name="Migliaia 22 5 2 2" xfId="18406" xr:uid="{DB741C70-4AC3-4C0F-BD5F-7392CD021AD8}"/>
    <cellStyle name="Migliaia 22 5 2 2 2" xfId="38887" xr:uid="{DFA0BE25-91DF-4042-A2D7-8A8C9DB58256}"/>
    <cellStyle name="Migliaia 22 5 2 2 3" xfId="44189" xr:uid="{300DE76B-5844-44A8-866C-64E8D6156B46}"/>
    <cellStyle name="Migliaia 22 5 2 3" xfId="20130" xr:uid="{A9C916E0-7791-4917-A844-ACC5ECFE6BBD}"/>
    <cellStyle name="Migliaia 22 5 2 3 2" xfId="36368" xr:uid="{C49A26B1-11D9-4B5D-AB62-3F1ECF85F260}"/>
    <cellStyle name="Migliaia 22 5 2 4" xfId="41538" xr:uid="{4BABF91E-3634-41AE-BE63-5631E5AA21C9}"/>
    <cellStyle name="Migliaia 22 5 2 5" xfId="16230" xr:uid="{C8CD340A-A379-42AE-B6A0-320ADA532BE9}"/>
    <cellStyle name="Migliaia 22 5 2 6" xfId="8569" xr:uid="{5206B4D9-2A25-45F4-9C83-67404C15F540}"/>
    <cellStyle name="Migliaia 22 5 3" xfId="6275" xr:uid="{C084079A-C597-4A0A-B8E7-4F3318863CD7}"/>
    <cellStyle name="Migliaia 22 5 3 2" xfId="33454" xr:uid="{B63DD59A-BA88-4EF7-BDCA-DB1CB5C1E9B9}"/>
    <cellStyle name="Migliaia 22 5 3 2 2" xfId="38888" xr:uid="{720A8297-A1EE-403F-B98F-91E525FAC0EF}"/>
    <cellStyle name="Migliaia 22 5 3 2 3" xfId="44190" xr:uid="{3778907B-4DD2-4AE6-8B6A-17E75AA370C1}"/>
    <cellStyle name="Migliaia 22 5 3 3" xfId="36369" xr:uid="{F33D7F45-7D8B-41B1-A865-EAB7B7904049}"/>
    <cellStyle name="Migliaia 22 5 3 4" xfId="41539" xr:uid="{F6F0774E-2670-4577-823E-2EC3F67C3A16}"/>
    <cellStyle name="Migliaia 22 5 3 5" xfId="11295" xr:uid="{72D93E77-82FB-4605-B59B-21F8D345331D}"/>
    <cellStyle name="Migliaia 22 5 4" xfId="3340" xr:uid="{84F467B0-780A-4649-8980-E1A6A4B33600}"/>
    <cellStyle name="Migliaia 22 5 4 2" xfId="21442" xr:uid="{4ECEB516-16A0-48C5-82C5-5D78906AAFA6}"/>
    <cellStyle name="Migliaia 22 5 4 2 2" xfId="38889" xr:uid="{8AC5508D-C214-4617-932E-7B9EF11B2FE5}"/>
    <cellStyle name="Migliaia 22 5 4 2 3" xfId="44191" xr:uid="{76AB80DC-7180-49E4-9C3C-0179CFFB18D2}"/>
    <cellStyle name="Migliaia 22 5 4 2 4" xfId="33455" xr:uid="{EB94A5B4-8AF0-430E-9C1B-B6E79F218CB9}"/>
    <cellStyle name="Migliaia 22 5 4 3" xfId="36370" xr:uid="{0390854C-E4FC-4D0B-A49E-3D26A4D3BC78}"/>
    <cellStyle name="Migliaia 22 5 4 4" xfId="41540" xr:uid="{4CA0E2B9-E6B2-455A-8DD6-EAF969DB1444}"/>
    <cellStyle name="Migliaia 22 5 4 5" xfId="24524" xr:uid="{D2295129-52C4-4338-85D7-104046C30898}"/>
    <cellStyle name="Migliaia 22 5 4 6" xfId="46643" xr:uid="{358FB16A-0ECF-4FAE-AFC3-291B67384DD8}"/>
    <cellStyle name="Migliaia 22 5 4 7" xfId="50457" xr:uid="{C3CD74DC-94A4-49E4-8C68-47073542FB77}"/>
    <cellStyle name="Migliaia 22 5 4 8" xfId="53473" xr:uid="{D852783C-1C6C-4D3A-85B6-1CE7091A395F}"/>
    <cellStyle name="Migliaia 22 5 4 9" xfId="10807" xr:uid="{3590AC93-6732-4593-A04F-F7614A7AF748}"/>
    <cellStyle name="Migliaia 22 5 5" xfId="20129" xr:uid="{94DB0E1F-F171-436D-9142-53EADFB67554}"/>
    <cellStyle name="Migliaia 22 5 5 2" xfId="33456" xr:uid="{D380A10C-CA60-41B1-9DD8-CC5C9FDBDCB5}"/>
    <cellStyle name="Migliaia 22 5 5 2 2" xfId="38890" xr:uid="{AEF5DDDF-84BB-4E25-B6FF-7168DFDE6EC6}"/>
    <cellStyle name="Migliaia 22 5 5 2 3" xfId="44192" xr:uid="{FAB69388-A9B7-4382-890D-817676F9275C}"/>
    <cellStyle name="Migliaia 22 5 5 3" xfId="36371" xr:uid="{9D5B19E8-C660-4E9F-8FD4-5C9D8F2F6F8C}"/>
    <cellStyle name="Migliaia 22 5 5 4" xfId="41541" xr:uid="{F25741FD-55CC-4539-93E0-6308F2E13B0D}"/>
    <cellStyle name="Migliaia 22 5 5 5" xfId="24525" xr:uid="{9B3419BC-235D-4D8C-BFEC-A7EF1809C72C}"/>
    <cellStyle name="Migliaia 22 5 6" xfId="24526" xr:uid="{E690318B-6F17-41EA-98E5-85C872F9125D}"/>
    <cellStyle name="Migliaia 22 5 6 2" xfId="33457" xr:uid="{66A2D68F-93D9-4C65-A57C-5A9A0DA890B7}"/>
    <cellStyle name="Migliaia 22 5 6 2 2" xfId="38891" xr:uid="{300A6F69-3167-4F5F-BB4E-F0DA2724E240}"/>
    <cellStyle name="Migliaia 22 5 6 2 3" xfId="44193" xr:uid="{FBDC7D54-71D7-4F7A-8F62-81E89E58044A}"/>
    <cellStyle name="Migliaia 22 5 6 3" xfId="36372" xr:uid="{B34ED716-AE6F-4D42-8D4C-562C97BF126D}"/>
    <cellStyle name="Migliaia 22 5 6 4" xfId="41542" xr:uid="{AA4DA30B-8209-4C13-A4DC-93D5E2FA8A8D}"/>
    <cellStyle name="Migliaia 22 5 7" xfId="24523" xr:uid="{20BBCAB8-A0BE-4493-B6B4-37F6C91E9CF3}"/>
    <cellStyle name="Migliaia 22 5 8" xfId="7379" xr:uid="{3E3497A4-B11D-438E-85F7-C8BB245263B8}"/>
    <cellStyle name="Migliaia 22 6" xfId="3341" xr:uid="{91A0C010-520E-4D84-A5AF-3DCDFAE8AC41}"/>
    <cellStyle name="Migliaia 22 6 2" xfId="5067" xr:uid="{1D065E4B-B94D-4C7A-8983-E2FCEECD527B}"/>
    <cellStyle name="Migliaia 22 6 2 2" xfId="9909" xr:uid="{DD5551DC-891B-4A1E-9C5F-98906F2957BA}"/>
    <cellStyle name="Migliaia 22 6 2 3" xfId="18666" xr:uid="{8F3CEDB1-C6AE-4C69-BEC1-6A30F96B3C8C}"/>
    <cellStyle name="Migliaia 22 6 2 4" xfId="20132" xr:uid="{14A348C2-D798-4038-BCA6-6B6C64722B4B}"/>
    <cellStyle name="Migliaia 22 6 2 5" xfId="32343" xr:uid="{6A7F6FDC-30F5-4863-B1AB-8A4463A243BF}"/>
    <cellStyle name="Migliaia 22 6 2 6" xfId="16232" xr:uid="{1693ADDA-B3B8-4AA2-A9B5-561EECA9A83D}"/>
    <cellStyle name="Migliaia 22 6 2 7" xfId="8564" xr:uid="{816025E1-A341-4F7C-A099-310FDAE5FF68}"/>
    <cellStyle name="Migliaia 22 6 3" xfId="6276" xr:uid="{C1758B73-E2CD-4062-A508-CE35916F50CF}"/>
    <cellStyle name="Migliaia 22 6 3 2" xfId="35225" xr:uid="{E639A2EA-FB3E-4C92-99F1-190F5844B43C}"/>
    <cellStyle name="Migliaia 22 6 3 2 2" xfId="40385" xr:uid="{316D4F2B-D2C2-4910-BB29-405021F9C6A3}"/>
    <cellStyle name="Migliaia 22 6 3 2 3" xfId="45687" xr:uid="{2502692A-7E8B-47D7-9F81-FC9F0709E3CA}"/>
    <cellStyle name="Migliaia 22 6 3 3" xfId="37734" xr:uid="{39D4A44D-931F-4DAD-8EEF-304DE91CAD52}"/>
    <cellStyle name="Migliaia 22 6 3 4" xfId="43036" xr:uid="{28023B60-9685-4DA7-9E7F-1590C9FD4535}"/>
    <cellStyle name="Migliaia 22 6 3 5" xfId="9672" xr:uid="{A100D153-9698-456B-A635-E15154739358}"/>
    <cellStyle name="Migliaia 22 6 4" xfId="20131" xr:uid="{0E2D0C9F-2906-4247-9E53-3E14F8E332B1}"/>
    <cellStyle name="Migliaia 22 6 4 2" xfId="38892" xr:uid="{EC138E83-11F2-4AD4-91AC-15A371BAAE0B}"/>
    <cellStyle name="Migliaia 22 6 4 3" xfId="44194" xr:uid="{49DF875F-8F08-4D6D-8732-863CFFBAB50C}"/>
    <cellStyle name="Migliaia 22 6 4 4" xfId="33458" xr:uid="{3A178F5B-D750-4729-B34F-52200424D71A}"/>
    <cellStyle name="Migliaia 22 6 5" xfId="36373" xr:uid="{6FAF89DF-A0F3-44A7-9BAB-B6D9FA97F8A0}"/>
    <cellStyle name="Migliaia 22 6 6" xfId="41543" xr:uid="{B39E0D2D-99A1-4596-8280-0E5BFF354E54}"/>
    <cellStyle name="Migliaia 22 6 7" xfId="16231" xr:uid="{F6A5D34B-E89A-4781-8686-4FD31737B8E6}"/>
    <cellStyle name="Migliaia 22 6 8" xfId="7374" xr:uid="{11035187-3D3A-4AD9-9B0F-AF720B034894}"/>
    <cellStyle name="Migliaia 22 7" xfId="3342" xr:uid="{2C30C323-2657-44DD-A4C3-38AF9C3F3DFA}"/>
    <cellStyle name="Migliaia 22 7 2" xfId="5068" xr:uid="{841389E4-48BE-406D-BAF0-91D7F513CA3D}"/>
    <cellStyle name="Migliaia 22 7 2 2" xfId="35226" xr:uid="{AE403DBF-32C3-4C33-93EC-DC9894764107}"/>
    <cellStyle name="Migliaia 22 7 2 2 2" xfId="40386" xr:uid="{F698E40B-3AD4-4773-8DB9-60E179BA36DE}"/>
    <cellStyle name="Migliaia 22 7 2 2 3" xfId="45688" xr:uid="{4542764F-B67E-414D-8D2E-1BAB95FDD873}"/>
    <cellStyle name="Migliaia 22 7 2 3" xfId="37735" xr:uid="{BD92ED35-B89C-4C78-95B3-3B3C80FE877D}"/>
    <cellStyle name="Migliaia 22 7 2 4" xfId="43037" xr:uid="{FA86010E-3394-48AB-9BD0-0D9AB386547F}"/>
    <cellStyle name="Migliaia 22 7 2 5" xfId="14221" xr:uid="{91C5DF92-06E0-47CD-956A-D0696F085EA3}"/>
    <cellStyle name="Migliaia 22 7 3" xfId="6277" xr:uid="{EB1DF051-CB3A-47F3-AAEE-4A5B1CE81A3B}"/>
    <cellStyle name="Migliaia 22 7 3 2" xfId="38893" xr:uid="{4BE363B2-E578-4FFC-9151-1C4263C6C473}"/>
    <cellStyle name="Migliaia 22 7 3 3" xfId="44195" xr:uid="{444E6AD8-D82B-42AB-BB38-C551D165464F}"/>
    <cellStyle name="Migliaia 22 7 3 4" xfId="33459" xr:uid="{F22A523F-601C-44E1-9BD4-59AF4E017994}"/>
    <cellStyle name="Migliaia 22 7 3 5" xfId="20133" xr:uid="{8D11A1D2-847E-4188-B212-DADC225F46A9}"/>
    <cellStyle name="Migliaia 22 7 4" xfId="36374" xr:uid="{0FE94E2B-27B0-4E33-9BCA-6E114E8AD7E9}"/>
    <cellStyle name="Migliaia 22 7 5" xfId="41544" xr:uid="{E5616E48-EA51-43E7-A5BC-24EFB8735B90}"/>
    <cellStyle name="Migliaia 22 7 6" xfId="16233" xr:uid="{D4AD568F-C51F-4EB9-8170-0843006C0EA4}"/>
    <cellStyle name="Migliaia 22 7 7" xfId="8283" xr:uid="{7D1AB9FD-5522-4B41-BC46-333DF940A1F9}"/>
    <cellStyle name="Migliaia 22 8" xfId="3343" xr:uid="{31520409-7D59-4108-B5BF-8C44E5F65887}"/>
    <cellStyle name="Migliaia 22 8 2" xfId="5069" xr:uid="{574A1607-C19D-4AB2-BE0D-7686258B5523}"/>
    <cellStyle name="Migliaia 22 8 2 2" xfId="35227" xr:uid="{DB11C3B3-EE37-45F1-989B-DEAC16A53F5C}"/>
    <cellStyle name="Migliaia 22 8 2 2 2" xfId="40387" xr:uid="{CE4C4299-3E17-465A-A276-9023B5A68158}"/>
    <cellStyle name="Migliaia 22 8 2 2 3" xfId="45689" xr:uid="{3B71CC08-7017-4611-BEB4-EC61B33B715D}"/>
    <cellStyle name="Migliaia 22 8 2 3" xfId="37736" xr:uid="{9F40857F-72A9-4CB8-A7EB-2235F8D59F2B}"/>
    <cellStyle name="Migliaia 22 8 2 4" xfId="43038" xr:uid="{75203089-43B6-407C-83A6-7DCE3767FEDC}"/>
    <cellStyle name="Migliaia 22 8 2 5" xfId="13926" xr:uid="{C0F378BA-845A-49A2-8FDA-24C01138F524}"/>
    <cellStyle name="Migliaia 22 8 3" xfId="6278" xr:uid="{A1700A42-F812-47AD-887C-5662246578E9}"/>
    <cellStyle name="Migliaia 22 8 3 2" xfId="38894" xr:uid="{8904F46E-93C0-42D3-B19F-6207928B43A4}"/>
    <cellStyle name="Migliaia 22 8 3 3" xfId="44196" xr:uid="{3D8008BF-5C60-4173-887D-3F203DF4FF18}"/>
    <cellStyle name="Migliaia 22 8 3 4" xfId="33460" xr:uid="{8A1E5C81-CDF3-463D-B15E-AF9460E82C8E}"/>
    <cellStyle name="Migliaia 22 8 3 5" xfId="20134" xr:uid="{C9B38DF6-DEFF-4703-9CC6-E123767F920C}"/>
    <cellStyle name="Migliaia 22 8 4" xfId="36375" xr:uid="{05568236-E346-4BF7-9D9C-D4292596C76A}"/>
    <cellStyle name="Migliaia 22 8 5" xfId="41545" xr:uid="{BB49B3CC-4FCF-4A4A-8314-58288C85E26E}"/>
    <cellStyle name="Migliaia 22 8 6" xfId="16234" xr:uid="{79DFEEFD-9C70-431B-B319-4D1D731F33D1}"/>
    <cellStyle name="Migliaia 22 8 7" xfId="7878" xr:uid="{D8A31864-DA8C-4C63-8B7C-C9EFDDE5F558}"/>
    <cellStyle name="Migliaia 22 9" xfId="5054" xr:uid="{68044B97-E450-4CC2-B538-EC4DF42B5C0A}"/>
    <cellStyle name="Migliaia 22 9 2" xfId="33461" xr:uid="{AC3E8D71-7EA6-445D-A76F-B1BD506671B7}"/>
    <cellStyle name="Migliaia 22 9 2 2" xfId="38895" xr:uid="{47B2A74E-61E0-4FAA-9AF7-8AC51EF5AEA1}"/>
    <cellStyle name="Migliaia 22 9 2 3" xfId="44197" xr:uid="{822DF026-F07C-4180-8C86-1AC0A4D48CFB}"/>
    <cellStyle name="Migliaia 22 9 3" xfId="36376" xr:uid="{56359045-0574-4104-91E7-A2DEC4B08DC5}"/>
    <cellStyle name="Migliaia 22 9 4" xfId="41546" xr:uid="{73A28618-AB4D-445F-86F6-44E71AB6DCE4}"/>
    <cellStyle name="Migliaia 22 9 5" xfId="17163" xr:uid="{18EFFFC2-332E-4787-B694-6A424822D4DC}"/>
    <cellStyle name="Migliaia 23" xfId="361" xr:uid="{00000000-0005-0000-0000-000046030000}"/>
    <cellStyle name="Migliaia 23 10" xfId="6279" xr:uid="{74AD1F8B-9AE5-420F-B737-B84FF838142C}"/>
    <cellStyle name="Migliaia 23 10 2" xfId="38896" xr:uid="{B96354D4-BBB6-48F2-A559-291BF5AA1678}"/>
    <cellStyle name="Migliaia 23 10 3" xfId="44198" xr:uid="{16F9C210-A15E-4032-B657-EC1336510898}"/>
    <cellStyle name="Migliaia 23 10 4" xfId="33462" xr:uid="{FBFE8DDD-4972-4B12-8131-24B9E9A96AB3}"/>
    <cellStyle name="Migliaia 23 10 5" xfId="20135" xr:uid="{DBE18D5C-310E-4ECE-A11A-D54B52E09C73}"/>
    <cellStyle name="Migliaia 23 11" xfId="3344" xr:uid="{8395800A-CAA4-4D67-9F53-6F2E880EFCE3}"/>
    <cellStyle name="Migliaia 23 11 2" xfId="36377" xr:uid="{2C359F89-89F6-4A4E-B14C-BB2E9C0936FA}"/>
    <cellStyle name="Migliaia 23 12" xfId="41547" xr:uid="{2E07641A-634D-4920-BA0C-D23C722BDA46}"/>
    <cellStyle name="Migliaia 23 13" xfId="7087" xr:uid="{6C942A74-DA8B-4BA6-BB59-D6587F7B2D8E}"/>
    <cellStyle name="Migliaia 23 2" xfId="362" xr:uid="{00000000-0005-0000-0000-000047030000}"/>
    <cellStyle name="Migliaia 23 2 2" xfId="1731" xr:uid="{00000000-0005-0000-0000-000048030000}"/>
    <cellStyle name="Migliaia 23 2 2 2" xfId="5072" xr:uid="{140672B1-8B70-45A1-A328-9AE47E3F1EBD}"/>
    <cellStyle name="Migliaia 23 2 2 2 2" xfId="14378" xr:uid="{E3DA639B-0F8F-406C-8359-E83339419BA9}"/>
    <cellStyle name="Migliaia 23 2 2 2 2 2" xfId="38897" xr:uid="{363AE95C-E04E-4351-A2A3-7CC1A010F9AA}"/>
    <cellStyle name="Migliaia 23 2 2 2 2 3" xfId="44199" xr:uid="{3690AE0B-1E48-444E-B25D-318796D5BF44}"/>
    <cellStyle name="Migliaia 23 2 2 2 3" xfId="18407" xr:uid="{ADB8C956-C31D-49E3-95E9-753AB1689241}"/>
    <cellStyle name="Migliaia 23 2 2 2 4" xfId="20138" xr:uid="{403E3E91-832D-4855-8952-819902D00B44}"/>
    <cellStyle name="Migliaia 23 2 2 2 4 2" xfId="41548" xr:uid="{B9AF788A-4F65-41B4-AB4C-05476E73CBB7}"/>
    <cellStyle name="Migliaia 23 2 2 2 5" xfId="16235" xr:uid="{4D322C45-C846-451D-8C3E-64A0064992EA}"/>
    <cellStyle name="Migliaia 23 2 2 2 6" xfId="8571" xr:uid="{638A2722-8FC9-4F5C-BE63-7553A03E6742}"/>
    <cellStyle name="Migliaia 23 2 2 3" xfId="6281" xr:uid="{66F6422B-0090-4D72-A1CC-1A103822939F}"/>
    <cellStyle name="Migliaia 23 2 2 3 2" xfId="35228" xr:uid="{D8A50027-769D-44BA-96DA-46D18391AC89}"/>
    <cellStyle name="Migliaia 23 2 2 3 2 2" xfId="40388" xr:uid="{D382F804-732B-40E8-8639-2B5BCC0448A8}"/>
    <cellStyle name="Migliaia 23 2 2 3 2 3" xfId="45690" xr:uid="{6A9454B4-B4B9-4CA9-B3E7-DC7D1D625693}"/>
    <cellStyle name="Migliaia 23 2 2 3 3" xfId="37737" xr:uid="{8179540C-AA57-4C95-B332-88B97B494D8B}"/>
    <cellStyle name="Migliaia 23 2 2 3 4" xfId="43039" xr:uid="{8445AD90-61C8-4F28-9ED0-39CDA9D85127}"/>
    <cellStyle name="Migliaia 23 2 2 3 5" xfId="11605" xr:uid="{E3553D5C-302B-48A2-BA83-230410807D79}"/>
    <cellStyle name="Migliaia 23 2 2 4" xfId="3346" xr:uid="{14E636B9-7E4D-48A5-BA77-254685C43443}"/>
    <cellStyle name="Migliaia 23 2 2 4 2" xfId="21443" xr:uid="{2D88168E-4D07-4055-A438-1F41A5E153A9}"/>
    <cellStyle name="Migliaia 23 2 2 4 3" xfId="47032" xr:uid="{6603A2BF-CF41-41B1-9174-3CB03FE4577D}"/>
    <cellStyle name="Migliaia 23 2 2 4 4" xfId="50458" xr:uid="{5E0B38DF-92D9-4C00-B0ED-48399CB3D67E}"/>
    <cellStyle name="Migliaia 23 2 2 4 5" xfId="53474" xr:uid="{474869C3-85F3-460B-909E-92442F46287A}"/>
    <cellStyle name="Migliaia 23 2 2 4 6" xfId="10808" xr:uid="{6FA9863F-65F9-4EF1-907C-0222AA9930A7}"/>
    <cellStyle name="Migliaia 23 2 2 5" xfId="20137" xr:uid="{24765071-607B-475A-96A0-745DB86DF4A7}"/>
    <cellStyle name="Migliaia 23 2 2 6" xfId="24530" xr:uid="{1F995F48-BE99-4CAA-81FC-B4FE299F443E}"/>
    <cellStyle name="Migliaia 23 2 2 7" xfId="7381" xr:uid="{C0D4633C-CD88-49AA-BA4B-35C4FDF1CEE3}"/>
    <cellStyle name="Migliaia 23 2 3" xfId="3347" xr:uid="{D019C600-8175-48BC-AA3F-2EFC42B43625}"/>
    <cellStyle name="Migliaia 23 2 3 2" xfId="5073" xr:uid="{71A45631-E4EF-4DE4-89F0-5746738C5082}"/>
    <cellStyle name="Migliaia 23 2 3 2 2" xfId="35229" xr:uid="{AE5F5445-230D-4B78-A597-3FAE8286B2B0}"/>
    <cellStyle name="Migliaia 23 2 3 2 2 2" xfId="40389" xr:uid="{62EAFF4E-A50A-4D63-9AB9-AED4497D6711}"/>
    <cellStyle name="Migliaia 23 2 3 2 2 3" xfId="45691" xr:uid="{3A2EC01B-30B0-4589-A4F8-917F86C65109}"/>
    <cellStyle name="Migliaia 23 2 3 2 3" xfId="37738" xr:uid="{DEEA6F77-7F67-4667-BEA9-4DAD4B2FA53D}"/>
    <cellStyle name="Migliaia 23 2 3 2 4" xfId="43040" xr:uid="{222510A4-6756-4D9E-9FAE-15EC2644A0CE}"/>
    <cellStyle name="Migliaia 23 2 3 2 5" xfId="14225" xr:uid="{9E3463E6-9641-45BB-872A-B4195CF3006A}"/>
    <cellStyle name="Migliaia 23 2 3 3" xfId="6282" xr:uid="{28B20B3B-2E7A-437B-A7C7-4E8EDE4FCC8A}"/>
    <cellStyle name="Migliaia 23 2 3 3 2" xfId="38898" xr:uid="{98DDBACC-5A44-49DF-860A-2E56D61FD68D}"/>
    <cellStyle name="Migliaia 23 2 3 3 3" xfId="44200" xr:uid="{9A7F0E27-98AF-4E5E-A975-04BB7CB83B7D}"/>
    <cellStyle name="Migliaia 23 2 3 3 4" xfId="33463" xr:uid="{0BF1A402-4194-468F-95F2-2EEE8915C805}"/>
    <cellStyle name="Migliaia 23 2 3 3 5" xfId="20139" xr:uid="{D1021190-6FB5-4887-B65D-F6EC8CD3597D}"/>
    <cellStyle name="Migliaia 23 2 3 4" xfId="36378" xr:uid="{D9E24BDE-BAF0-4570-9F5D-0652D85523C6}"/>
    <cellStyle name="Migliaia 23 2 3 5" xfId="41549" xr:uid="{2907E6EE-DAC5-46D9-84D8-E41660DD2044}"/>
    <cellStyle name="Migliaia 23 2 3 6" xfId="16236" xr:uid="{739358C1-6EE4-47EF-8F7B-C4A76A7D7961}"/>
    <cellStyle name="Migliaia 23 2 3 7" xfId="8287" xr:uid="{51A5B017-A37A-4285-81A2-C669C9B0190D}"/>
    <cellStyle name="Migliaia 23 2 4" xfId="5071" xr:uid="{637316DE-4845-4471-B463-CA2AA79D796E}"/>
    <cellStyle name="Migliaia 23 2 4 2" xfId="13930" xr:uid="{9C5849FE-4E55-465B-BB7C-14216D641F72}"/>
    <cellStyle name="Migliaia 23 2 4 2 2" xfId="38899" xr:uid="{3C88705C-AFAF-458A-92D5-B075EF3AC236}"/>
    <cellStyle name="Migliaia 23 2 4 2 3" xfId="44201" xr:uid="{09477B20-34EA-4E30-9F47-F9D7AC3B8375}"/>
    <cellStyle name="Migliaia 23 2 4 3" xfId="18016" xr:uid="{562261D3-B096-451D-8E33-FD5D8127E074}"/>
    <cellStyle name="Migliaia 23 2 4 4" xfId="20140" xr:uid="{97720E5B-F840-45C4-88F0-C6A0B9436327}"/>
    <cellStyle name="Migliaia 23 2 4 4 2" xfId="41550" xr:uid="{083ABBD9-6BF7-4A3E-86FB-A4C7027CA2B9}"/>
    <cellStyle name="Migliaia 23 2 4 5" xfId="16237" xr:uid="{74224204-0DCD-4034-AF86-9C751A55DBB9}"/>
    <cellStyle name="Migliaia 23 2 4 6" xfId="7883" xr:uid="{249655BA-A4A1-48E9-B16C-000285AE1A33}"/>
    <cellStyle name="Migliaia 23 2 5" xfId="6280" xr:uid="{861E1B12-B0E5-48FA-9ED9-161061B5D140}"/>
    <cellStyle name="Migliaia 23 2 5 2" xfId="33464" xr:uid="{394DBDC8-A2E9-4087-9297-D7164505FD84}"/>
    <cellStyle name="Migliaia 23 2 5 2 2" xfId="38900" xr:uid="{1FF7D6BE-0CB3-4F0A-9704-F9A3C711CECA}"/>
    <cellStyle name="Migliaia 23 2 5 2 3" xfId="44202" xr:uid="{B4E51B37-2606-4198-8393-AA96A355E600}"/>
    <cellStyle name="Migliaia 23 2 5 3" xfId="36380" xr:uid="{5626A190-E9B2-4093-ADB7-0968EA834E05}"/>
    <cellStyle name="Migliaia 23 2 5 4" xfId="41551" xr:uid="{0D191B08-DDC7-429C-BEAA-5B0A41E0FDD9}"/>
    <cellStyle name="Migliaia 23 2 5 5" xfId="13118" xr:uid="{9A64AE1A-74AC-4253-B9D3-72AB3787EFDC}"/>
    <cellStyle name="Migliaia 23 2 6" xfId="3345" xr:uid="{4E13C629-3A39-43B7-90A6-0C62E08C7C03}"/>
    <cellStyle name="Migliaia 23 2 6 2" xfId="33465" xr:uid="{7227D7C8-1978-4F48-BE95-CED18847FFED}"/>
    <cellStyle name="Migliaia 23 2 6 2 2" xfId="38901" xr:uid="{B9A22D47-DE3A-4FC9-96D1-DC171C710041}"/>
    <cellStyle name="Migliaia 23 2 6 2 3" xfId="44203" xr:uid="{0F498336-534D-4C92-AA0F-4A3C23EEA39A}"/>
    <cellStyle name="Migliaia 23 2 6 3" xfId="36381" xr:uid="{1BAE0690-76BF-4825-A8C3-352A6611DA73}"/>
    <cellStyle name="Migliaia 23 2 6 4" xfId="41552" xr:uid="{FCB52B48-2D5E-4596-B443-54335BF330E3}"/>
    <cellStyle name="Migliaia 23 2 6 5" xfId="24533" xr:uid="{A9F4603E-C9F1-49A4-A814-74B1D1ADE93B}"/>
    <cellStyle name="Migliaia 23 2 6 6" xfId="20136" xr:uid="{C787F21D-F2B8-4B80-A30F-B4C052E87E53}"/>
    <cellStyle name="Migliaia 23 2 7" xfId="24529" xr:uid="{351F6120-60F5-47DA-88B5-B923D2EA2E14}"/>
    <cellStyle name="Migliaia 23 2 8" xfId="7088" xr:uid="{7BD897AE-37F6-4CD1-A597-520E08FE6E48}"/>
    <cellStyle name="Migliaia 23 3" xfId="363" xr:uid="{00000000-0005-0000-0000-000049030000}"/>
    <cellStyle name="Migliaia 23 3 10" xfId="24534" xr:uid="{353F1259-BA1C-44B2-BD0D-9FC37981FA23}"/>
    <cellStyle name="Migliaia 23 3 11" xfId="16238" xr:uid="{9ABBB6DB-0B02-434D-B217-6740A52DB358}"/>
    <cellStyle name="Migliaia 23 3 12" xfId="7089" xr:uid="{98B68C64-4E2A-477B-837B-CC640C193DBE}"/>
    <cellStyle name="Migliaia 23 3 2" xfId="364" xr:uid="{00000000-0005-0000-0000-00004A030000}"/>
    <cellStyle name="Migliaia 23 3 2 2" xfId="1732" xr:uid="{00000000-0005-0000-0000-00004B030000}"/>
    <cellStyle name="Migliaia 23 3 2 2 2" xfId="5076" xr:uid="{BA084B25-51EC-4885-AB0B-019E2E4CEFB5}"/>
    <cellStyle name="Migliaia 23 3 2 2 2 2" xfId="18408" xr:uid="{6E48BC4C-A6F4-4397-AF7A-FCF0920F5E97}"/>
    <cellStyle name="Migliaia 23 3 2 2 2 2 2" xfId="21856" xr:uid="{F95CF0EF-D0F2-4153-894D-18C9DE328CAD}"/>
    <cellStyle name="Migliaia 23 3 2 2 2 2 2 2" xfId="38902" xr:uid="{BB94E0F2-00BA-4C16-8FCC-BD804B5E59FE}"/>
    <cellStyle name="Migliaia 23 3 2 2 2 2 3" xfId="44204" xr:uid="{03E0C8D0-3C40-4F5E-BFDA-96BF42D0A8CF}"/>
    <cellStyle name="Migliaia 23 3 2 2 2 2 4" xfId="33466" xr:uid="{21878DB8-0D65-48CD-AEF7-8C372E837683}"/>
    <cellStyle name="Migliaia 23 3 2 2 2 3" xfId="36382" xr:uid="{792CD56B-DDD0-426B-8D65-58208126C695}"/>
    <cellStyle name="Migliaia 23 3 2 2 2 4" xfId="41553" xr:uid="{6110767A-9D69-452D-B22C-CC5B961D8352}"/>
    <cellStyle name="Migliaia 23 3 2 2 2 5" xfId="47815" xr:uid="{F9D84151-FEAF-44D3-AA20-6B648377C693}"/>
    <cellStyle name="Migliaia 23 3 2 2 2 6" xfId="50884" xr:uid="{28769605-FFDD-42F0-BD40-5F7FFA9F967F}"/>
    <cellStyle name="Migliaia 23 3 2 2 2 7" xfId="53900" xr:uid="{1A40EC16-63E7-4298-A9A3-2220D01BF20D}"/>
    <cellStyle name="Migliaia 23 3 2 2 2 8" xfId="17653" xr:uid="{EA224084-770D-4EA2-90F9-90555D92ECB4}"/>
    <cellStyle name="Migliaia 23 3 2 2 2 9" xfId="11947" xr:uid="{AF092060-F860-4815-8329-A60B88DDF500}"/>
    <cellStyle name="Migliaia 23 3 2 2 3" xfId="6285" xr:uid="{39D1E4DD-EAEA-468A-959A-C71B912FBA67}"/>
    <cellStyle name="Migliaia 23 3 2 2 3 2" xfId="11137" xr:uid="{DC2075AC-2FC2-4C53-91EC-0918EEF7D9DE}"/>
    <cellStyle name="Migliaia 23 3 2 2 4" xfId="3350" xr:uid="{5DA15E8D-B939-403D-91B6-DB452A56D7F6}"/>
    <cellStyle name="Migliaia 23 3 2 2 4 2" xfId="21444" xr:uid="{D78A13F8-DC24-4035-9A54-59A4875BA38B}"/>
    <cellStyle name="Migliaia 23 3 2 2 4 3" xfId="47407" xr:uid="{3F5AEF21-BC61-4F7C-8A5B-DC06F3B7C247}"/>
    <cellStyle name="Migliaia 23 3 2 2 4 4" xfId="50459" xr:uid="{36921008-FEE2-400B-88E2-FF2ED7D85C20}"/>
    <cellStyle name="Migliaia 23 3 2 2 4 5" xfId="53475" xr:uid="{911E92FA-4982-4D77-A05D-C019CC883F41}"/>
    <cellStyle name="Migliaia 23 3 2 2 4 6" xfId="10809" xr:uid="{B9A377B8-6019-407A-BCA0-3814EF351992}"/>
    <cellStyle name="Migliaia 23 3 2 2 5" xfId="20143" xr:uid="{27B0ABB1-3144-4A0A-B040-8D87B84E65F8}"/>
    <cellStyle name="Migliaia 23 3 2 2 6" xfId="24536" xr:uid="{A18EA77A-6164-4E6A-820E-4E74AC56F759}"/>
    <cellStyle name="Migliaia 23 3 2 2 7" xfId="8573" xr:uid="{28A23733-2B8A-4D2B-BDB1-0768E1E8925C}"/>
    <cellStyle name="Migliaia 23 3 2 3" xfId="5075" xr:uid="{0C257D61-29E7-420D-94D6-2540219B3090}"/>
    <cellStyle name="Migliaia 23 3 2 3 2" xfId="12417" xr:uid="{4290F138-3EB2-417B-9854-495AFF892BB4}"/>
    <cellStyle name="Migliaia 23 3 2 3 2 2" xfId="38903" xr:uid="{E08F7E3A-776C-4AC8-AE0E-171B6665435B}"/>
    <cellStyle name="Migliaia 23 3 2 3 2 3" xfId="44205" xr:uid="{BB3E98D7-7F8F-4FE2-A401-278312E1D515}"/>
    <cellStyle name="Migliaia 23 3 2 3 2 4" xfId="33467" xr:uid="{65523C03-940B-4FCC-B8C2-EBB069912FBF}"/>
    <cellStyle name="Migliaia 23 3 2 3 3" xfId="11948" xr:uid="{6233FB40-8DC0-49F2-B31C-7B336FA77A4F}"/>
    <cellStyle name="Migliaia 23 3 2 3 4" xfId="20144" xr:uid="{9DD8E0ED-0497-4790-9E12-C1871A4EEC22}"/>
    <cellStyle name="Migliaia 23 3 2 3 4 2" xfId="41554" xr:uid="{47682248-AA7F-44AD-838D-77BD85DFCD17}"/>
    <cellStyle name="Migliaia 23 3 2 3 5" xfId="16239" xr:uid="{F5733F74-08CD-4B68-ADE1-B32BD4B7B9C4}"/>
    <cellStyle name="Migliaia 23 3 2 3 6" xfId="7885" xr:uid="{9B78FF29-D193-4FB6-8E4C-6AA1D3B897F3}"/>
    <cellStyle name="Migliaia 23 3 2 4" xfId="6284" xr:uid="{7F3BE6ED-4F6D-4FB9-9D01-188E6708AA8F}"/>
    <cellStyle name="Migliaia 23 3 2 4 2" xfId="18072" xr:uid="{FE93D435-08D8-42DA-A2FF-3EA43040E239}"/>
    <cellStyle name="Migliaia 23 3 2 4 2 2" xfId="38904" xr:uid="{2D2B16B3-E4B5-42B3-ABD8-100CE41EA0EF}"/>
    <cellStyle name="Migliaia 23 3 2 4 2 3" xfId="44206" xr:uid="{AC6E54A8-4693-4515-8FC5-838A63E623F8}"/>
    <cellStyle name="Migliaia 23 3 2 4 3" xfId="36384" xr:uid="{0AC57D98-8095-4EBB-84B2-02956239B4B5}"/>
    <cellStyle name="Migliaia 23 3 2 4 4" xfId="41555" xr:uid="{1A85B5A5-43FC-4B33-BC69-799C47224451}"/>
    <cellStyle name="Migliaia 23 3 2 4 5" xfId="17166" xr:uid="{137325D2-CB18-48C9-9A78-CDB84CC0DA5D}"/>
    <cellStyle name="Migliaia 23 3 2 4 6" xfId="11296" xr:uid="{6731B431-FA1A-4EF8-BD44-55B48C71876B}"/>
    <cellStyle name="Migliaia 23 3 2 5" xfId="3349" xr:uid="{4B87460B-46FB-4422-BC67-B5A570986A90}"/>
    <cellStyle name="Migliaia 23 3 2 5 2" xfId="33468" xr:uid="{817F1E1E-F846-4E2F-8266-10BA9A092928}"/>
    <cellStyle name="Migliaia 23 3 2 5 2 2" xfId="38905" xr:uid="{9568912B-B210-4581-9297-75589F5CE330}"/>
    <cellStyle name="Migliaia 23 3 2 5 2 3" xfId="44207" xr:uid="{18B765ED-94F2-4B41-9ADF-E113C4E07954}"/>
    <cellStyle name="Migliaia 23 3 2 5 3" xfId="36385" xr:uid="{8601D11F-BA9F-4B19-BFBA-BA35F61B9D5D}"/>
    <cellStyle name="Migliaia 23 3 2 5 4" xfId="41556" xr:uid="{3B0DD195-54B0-4526-B001-73C38F5272A7}"/>
    <cellStyle name="Migliaia 23 3 2 5 5" xfId="17381" xr:uid="{CCA0FBC3-A9FF-4382-BF09-5A0D2555C825}"/>
    <cellStyle name="Migliaia 23 3 2 6" xfId="20142" xr:uid="{17775373-5953-4B30-828C-A32FD072B04A}"/>
    <cellStyle name="Migliaia 23 3 2 6 2" xfId="33469" xr:uid="{E8D0C258-5CFB-48BE-B5C5-65A36806A837}"/>
    <cellStyle name="Migliaia 23 3 2 6 2 2" xfId="38906" xr:uid="{A42EB449-0FE5-4092-843E-6C90C69124B0}"/>
    <cellStyle name="Migliaia 23 3 2 6 2 3" xfId="44208" xr:uid="{67966FCC-09A7-44BC-8914-F28FA27A2C8F}"/>
    <cellStyle name="Migliaia 23 3 2 6 3" xfId="36386" xr:uid="{63FA442E-D998-4071-A3E4-897F91337CB5}"/>
    <cellStyle name="Migliaia 23 3 2 6 4" xfId="41557" xr:uid="{1924F74A-FECF-40C5-94D6-CA18CABAE92F}"/>
    <cellStyle name="Migliaia 23 3 2 6 5" xfId="24539" xr:uid="{E2096406-8379-4A3C-B050-9C5DDDD2CB7D}"/>
    <cellStyle name="Migliaia 23 3 2 7" xfId="24535" xr:uid="{E382E1F3-CCC9-4744-A09E-C677BB988870}"/>
    <cellStyle name="Migliaia 23 3 2 8" xfId="7383" xr:uid="{95A4D5C8-4E9F-4FB2-B93B-EEB5998FF21C}"/>
    <cellStyle name="Migliaia 23 3 3" xfId="3351" xr:uid="{F5CAA26E-513C-46AC-9506-32C3EDC4656F}"/>
    <cellStyle name="Migliaia 23 3 3 10" xfId="7382" xr:uid="{AFA01EF4-3F54-4A34-AD31-DB24CC24005F}"/>
    <cellStyle name="Migliaia 23 3 3 2" xfId="5077" xr:uid="{2FDBDC06-4C52-4D0C-A281-ECE47AABE79B}"/>
    <cellStyle name="Migliaia 23 3 3 2 2" xfId="9912" xr:uid="{3B48C6EF-35E5-45DE-8BCB-DD2B642353C1}"/>
    <cellStyle name="Migliaia 23 3 3 2 2 2" xfId="38908" xr:uid="{C9D29934-E67A-4D1F-A9BE-447A1404B7B3}"/>
    <cellStyle name="Migliaia 23 3 3 2 2 3" xfId="44210" xr:uid="{167774B3-FC60-471E-B735-209C29E88BE1}"/>
    <cellStyle name="Migliaia 23 3 3 2 3" xfId="18192" xr:uid="{96C50D04-509C-40F4-B848-DA524FB61898}"/>
    <cellStyle name="Migliaia 23 3 3 2 4" xfId="20146" xr:uid="{8E8231C9-ABAD-4110-ACCF-023426FD9FDB}"/>
    <cellStyle name="Migliaia 23 3 3 2 4 2" xfId="41559" xr:uid="{DE82CFDE-FCBA-4E07-8399-921EB7634AAF}"/>
    <cellStyle name="Migliaia 23 3 3 2 5" xfId="16241" xr:uid="{09D7A558-BF0F-481E-99AA-D2E728456F98}"/>
    <cellStyle name="Migliaia 23 3 3 2 6" xfId="8572" xr:uid="{D809A72A-759F-427C-8902-C7C39C60F995}"/>
    <cellStyle name="Migliaia 23 3 3 3" xfId="6286" xr:uid="{C0F1AC9C-9D7A-4B27-9440-3925D078DB94}"/>
    <cellStyle name="Migliaia 23 3 3 3 2" xfId="33472" xr:uid="{D950F18A-4622-4935-8A45-B2016531BC50}"/>
    <cellStyle name="Migliaia 23 3 3 3 2 2" xfId="38909" xr:uid="{93E27D2C-9372-4FB9-88C3-058EA34B78C9}"/>
    <cellStyle name="Migliaia 23 3 3 3 2 3" xfId="44211" xr:uid="{53AAAC5E-8C5A-4E44-9C0B-D074B6DDE000}"/>
    <cellStyle name="Migliaia 23 3 3 3 3" xfId="36389" xr:uid="{11026C33-7E9B-434C-A3B3-CEFB826A4D7F}"/>
    <cellStyle name="Migliaia 23 3 3 3 4" xfId="41560" xr:uid="{3F615DA7-D73E-4794-9A14-4230C4061ECF}"/>
    <cellStyle name="Migliaia 23 3 3 3 5" xfId="9675" xr:uid="{DE0C4128-8DAF-4DCC-9998-DD855E2F3249}"/>
    <cellStyle name="Migliaia 23 3 3 4" xfId="20145" xr:uid="{BDF4C30C-DFBA-497F-A66D-88AB4ED21531}"/>
    <cellStyle name="Migliaia 23 3 3 4 2" xfId="33473" xr:uid="{2C65D7BB-20FF-4279-AFCE-AC0DE6370E48}"/>
    <cellStyle name="Migliaia 23 3 3 4 2 2" xfId="38910" xr:uid="{AC270FA3-2233-4F8A-8AC9-5C1DCA0A72A8}"/>
    <cellStyle name="Migliaia 23 3 3 4 2 3" xfId="44212" xr:uid="{81335987-1862-4D02-B015-F969969B0A1D}"/>
    <cellStyle name="Migliaia 23 3 3 4 3" xfId="36390" xr:uid="{1799B195-93A5-4FBA-9D17-A312E0F4B233}"/>
    <cellStyle name="Migliaia 23 3 3 4 4" xfId="41561" xr:uid="{46928932-C483-4129-B943-E81AC75DF585}"/>
    <cellStyle name="Migliaia 23 3 3 4 5" xfId="24541" xr:uid="{7405B533-B2C8-4F75-9AF2-4BE435C9FC2F}"/>
    <cellStyle name="Migliaia 23 3 3 5" xfId="24542" xr:uid="{F5F5800E-F31C-4F7D-9F3E-6448A8693E5C}"/>
    <cellStyle name="Migliaia 23 3 3 5 2" xfId="33474" xr:uid="{0E4A1907-FA0D-4BCC-8753-4C9A06D3A5DB}"/>
    <cellStyle name="Migliaia 23 3 3 5 2 2" xfId="38911" xr:uid="{CB3E665E-3A98-476E-B575-6C13BEB8FF0C}"/>
    <cellStyle name="Migliaia 23 3 3 5 2 3" xfId="44213" xr:uid="{2CAC6CD3-AF6D-46BE-947C-41EE666089EC}"/>
    <cellStyle name="Migliaia 23 3 3 5 3" xfId="36391" xr:uid="{DBFBC08E-6099-4ABE-A6C9-6D9FF4DF8513}"/>
    <cellStyle name="Migliaia 23 3 3 5 4" xfId="41562" xr:uid="{E4B501D8-79E8-4367-B96C-CA6F848AA1F3}"/>
    <cellStyle name="Migliaia 23 3 3 6" xfId="33470" xr:uid="{B2A44ACC-06FE-4F5E-B770-1208DF055305}"/>
    <cellStyle name="Migliaia 23 3 3 6 2" xfId="38907" xr:uid="{33300161-E8A6-4CFF-B2A7-9AE2D447A17D}"/>
    <cellStyle name="Migliaia 23 3 3 6 3" xfId="44209" xr:uid="{13B79606-A4F5-4F70-8030-50671EE7E834}"/>
    <cellStyle name="Migliaia 23 3 3 7" xfId="36387" xr:uid="{A75CE6A1-AFA1-4E59-A1B5-72968315F850}"/>
    <cellStyle name="Migliaia 23 3 3 8" xfId="41558" xr:uid="{DCA0906B-3F9F-49AA-956D-079D62FFEAD3}"/>
    <cellStyle name="Migliaia 23 3 3 9" xfId="16240" xr:uid="{6B3DA995-DE38-4E4A-8861-8EEE169F13A4}"/>
    <cellStyle name="Migliaia 23 3 4" xfId="3352" xr:uid="{7EFE7FDE-044A-4497-81FE-7CE58FB92F83}"/>
    <cellStyle name="Migliaia 23 3 4 2" xfId="5078" xr:uid="{53183939-FEC7-4152-8ABA-B12E88B45479}"/>
    <cellStyle name="Migliaia 23 3 4 2 2" xfId="14438" xr:uid="{D327EB5B-F4B4-43A4-B6E7-E753AB19097C}"/>
    <cellStyle name="Migliaia 23 3 4 2 3" xfId="18587" xr:uid="{21B7B6FD-923A-49B4-B609-BC84745D8E3C}"/>
    <cellStyle name="Migliaia 23 3 4 2 4" xfId="20148" xr:uid="{2D5B9D6E-3FB2-4E6C-8FC9-7383B40C89F3}"/>
    <cellStyle name="Migliaia 23 3 4 2 5" xfId="32344" xr:uid="{59562E55-F225-44CF-B163-56790C9CBAF5}"/>
    <cellStyle name="Migliaia 23 3 4 2 6" xfId="16243" xr:uid="{B59B39E3-865B-42A8-85AC-14AE47FC556C}"/>
    <cellStyle name="Migliaia 23 3 4 2 7" xfId="8861" xr:uid="{B7B86898-3E53-4983-80A1-EF2BD6C34650}"/>
    <cellStyle name="Migliaia 23 3 4 3" xfId="6287" xr:uid="{6CC3ADB9-AFF7-44C4-AD64-5921593B8D27}"/>
    <cellStyle name="Migliaia 23 3 4 3 2" xfId="35230" xr:uid="{90C8A932-D018-41C1-9389-BE2BD5F8F1D6}"/>
    <cellStyle name="Migliaia 23 3 4 3 2 2" xfId="40390" xr:uid="{F410ED8E-950B-40B6-B901-50B6D6E53131}"/>
    <cellStyle name="Migliaia 23 3 4 3 2 3" xfId="45692" xr:uid="{2883DC40-5908-4E88-9502-0ACBEE918D47}"/>
    <cellStyle name="Migliaia 23 3 4 3 3" xfId="37739" xr:uid="{D3F4D6C7-8B5E-4071-A6B6-B8B56ABC50EE}"/>
    <cellStyle name="Migliaia 23 3 4 3 4" xfId="43041" xr:uid="{8B0B8B24-A66B-4E6D-8033-7925E38D04A1}"/>
    <cellStyle name="Migliaia 23 3 4 3 5" xfId="13686" xr:uid="{557EBDD2-AFCC-4E68-B892-BB7F30579A08}"/>
    <cellStyle name="Migliaia 23 3 4 4" xfId="20147" xr:uid="{0DFF6F87-9D10-4A34-B0D9-5DC4FBFD8063}"/>
    <cellStyle name="Migliaia 23 3 4 4 2" xfId="38912" xr:uid="{5CC688BC-5584-4560-83F8-9D5BAEAC8A65}"/>
    <cellStyle name="Migliaia 23 3 4 4 3" xfId="44214" xr:uid="{632EAA40-4E42-43AB-9586-212C55D73E59}"/>
    <cellStyle name="Migliaia 23 3 4 4 4" xfId="33475" xr:uid="{F74CC27D-11D5-42EB-93BB-67ED30339CD2}"/>
    <cellStyle name="Migliaia 23 3 4 5" xfId="36392" xr:uid="{CB296534-E1EB-44A3-BB99-9B69CC45C336}"/>
    <cellStyle name="Migliaia 23 3 4 6" xfId="41563" xr:uid="{A70D8182-0CF4-4191-BDC5-6549075729C9}"/>
    <cellStyle name="Migliaia 23 3 4 7" xfId="16242" xr:uid="{1ABC2C69-D576-43D7-8D32-E98A3E68739B}"/>
    <cellStyle name="Migliaia 23 3 4 8" xfId="7671" xr:uid="{42B63AB2-FB3F-40F3-AE44-5D1013CB7482}"/>
    <cellStyle name="Migliaia 23 3 5" xfId="3353" xr:uid="{A958D2A4-9B9E-48E3-9D2E-2CAF9C0A84B7}"/>
    <cellStyle name="Migliaia 23 3 5 2" xfId="5079" xr:uid="{0C149721-58FA-4169-9216-E3924EA86FC0}"/>
    <cellStyle name="Migliaia 23 3 5 2 2" xfId="35231" xr:uid="{CF02DE68-4C6E-4DE5-81CE-D63D7EC9C6B5}"/>
    <cellStyle name="Migliaia 23 3 5 2 2 2" xfId="40391" xr:uid="{5B12DED5-A04B-4373-937C-8B98ECBBBB66}"/>
    <cellStyle name="Migliaia 23 3 5 2 2 3" xfId="45693" xr:uid="{1125E7E9-B557-4D47-B3A1-A9844428A599}"/>
    <cellStyle name="Migliaia 23 3 5 2 3" xfId="37740" xr:uid="{EC3B22FE-092B-4E55-B2FA-C93F6ECCED33}"/>
    <cellStyle name="Migliaia 23 3 5 2 4" xfId="43042" xr:uid="{F5F2DD17-0399-4783-BFD4-9716514FCF5B}"/>
    <cellStyle name="Migliaia 23 3 5 2 5" xfId="14226" xr:uid="{2420A7D0-D287-4827-A033-6053AEC2C0FE}"/>
    <cellStyle name="Migliaia 23 3 5 3" xfId="6288" xr:uid="{4B79E509-419C-4EA7-BF9D-0B39B7822643}"/>
    <cellStyle name="Migliaia 23 3 5 3 2" xfId="38913" xr:uid="{DF173671-5A1A-4269-8140-96DB21408FF6}"/>
    <cellStyle name="Migliaia 23 3 5 3 3" xfId="44215" xr:uid="{AD8F5599-BD28-48FB-BCF9-91F94C7E4941}"/>
    <cellStyle name="Migliaia 23 3 5 3 4" xfId="33476" xr:uid="{76313403-7234-4800-9351-DBD000892ED8}"/>
    <cellStyle name="Migliaia 23 3 5 3 5" xfId="20149" xr:uid="{11377698-5C86-4D00-87A1-CB8B31A194DD}"/>
    <cellStyle name="Migliaia 23 3 5 4" xfId="36393" xr:uid="{2ACE2753-FAC0-4971-BF5F-9AF907C05179}"/>
    <cellStyle name="Migliaia 23 3 5 5" xfId="41564" xr:uid="{3A781636-510D-4A20-9C33-4F3D1C99D4A5}"/>
    <cellStyle name="Migliaia 23 3 5 6" xfId="16244" xr:uid="{7F97FC0E-33D4-4368-97C5-A33131463400}"/>
    <cellStyle name="Migliaia 23 3 5 7" xfId="8288" xr:uid="{28567E51-0A9A-4308-A482-353AD9351D11}"/>
    <cellStyle name="Migliaia 23 3 6" xfId="5074" xr:uid="{F057EA29-38A4-4EF1-B15E-64203704C2A3}"/>
    <cellStyle name="Migliaia 23 3 6 2" xfId="13931" xr:uid="{43F9A1E4-D28F-43B1-88FF-FE02BBBB44F2}"/>
    <cellStyle name="Migliaia 23 3 6 2 2" xfId="38914" xr:uid="{0A88D8AD-9F9C-456D-A291-0B3B11A75BD9}"/>
    <cellStyle name="Migliaia 23 3 6 2 3" xfId="44216" xr:uid="{01D11832-22A3-44F7-AC36-CB262E549E22}"/>
    <cellStyle name="Migliaia 23 3 6 3" xfId="18554" xr:uid="{7A3AF8B1-9D8D-40F8-86EE-818C359CCB82}"/>
    <cellStyle name="Migliaia 23 3 6 4" xfId="20150" xr:uid="{54F08AE7-85B8-424E-92DE-23AF6C3CEDAE}"/>
    <cellStyle name="Migliaia 23 3 6 4 2" xfId="41565" xr:uid="{F2324294-AAB2-49CD-AF8A-6FDF0E5CA511}"/>
    <cellStyle name="Migliaia 23 3 6 5" xfId="16245" xr:uid="{9114D398-67BF-4BD9-8D74-F2AB892EBAC7}"/>
    <cellStyle name="Migliaia 23 3 6 6" xfId="7884" xr:uid="{4C8249FF-3736-469F-A2AB-9F1083413ADD}"/>
    <cellStyle name="Migliaia 23 3 7" xfId="6283" xr:uid="{BA8DEE73-5745-4004-99FF-D64A6B96E56C}"/>
    <cellStyle name="Migliaia 23 3 7 2" xfId="33477" xr:uid="{F1329551-429F-44CF-BCA1-FF2E966D5E4C}"/>
    <cellStyle name="Migliaia 23 3 7 2 2" xfId="38915" xr:uid="{31E21344-940E-4EA9-8C1B-BA5EBBA1D6EB}"/>
    <cellStyle name="Migliaia 23 3 7 2 3" xfId="44217" xr:uid="{EA8688AD-9B1D-470B-8872-10089D1BDCD5}"/>
    <cellStyle name="Migliaia 23 3 7 3" xfId="36394" xr:uid="{0060E35A-5F1B-43EB-8312-AFC2C6D1B221}"/>
    <cellStyle name="Migliaia 23 3 7 4" xfId="41566" xr:uid="{90A30AD1-00F0-4E1D-824B-7C0AEF10FFDF}"/>
    <cellStyle name="Migliaia 23 3 7 5" xfId="12243" xr:uid="{0321D2D0-3EC5-400A-AEEC-73BE37C63478}"/>
    <cellStyle name="Migliaia 23 3 8" xfId="3348" xr:uid="{6FEDFFAB-E591-4B1F-8C25-64781607E26A}"/>
    <cellStyle name="Migliaia 23 3 8 2" xfId="33478" xr:uid="{64463837-E479-41DD-A22B-AB5E46844795}"/>
    <cellStyle name="Migliaia 23 3 8 2 2" xfId="38916" xr:uid="{AC9CE0B3-B55A-4935-8537-3CE78C484495}"/>
    <cellStyle name="Migliaia 23 3 8 2 3" xfId="44218" xr:uid="{5351411B-F547-46B2-9A1C-55AB0FA8A829}"/>
    <cellStyle name="Migliaia 23 3 8 3" xfId="36395" xr:uid="{9435CA4C-ADD6-4025-8912-1FFF4D00436E}"/>
    <cellStyle name="Migliaia 23 3 8 4" xfId="41567" xr:uid="{D6AC2AA1-72D6-482B-883A-905865D429D0}"/>
    <cellStyle name="Migliaia 23 3 8 5" xfId="24545" xr:uid="{0C6E7D36-C60A-4436-BFAA-C863FCFF86D6}"/>
    <cellStyle name="Migliaia 23 3 8 6" xfId="17382" xr:uid="{5DB6A586-21CF-4882-B3FB-D0AB3C8E886C}"/>
    <cellStyle name="Migliaia 23 3 9" xfId="20141" xr:uid="{0DA44B55-2BED-490B-B0F5-26CA9510E945}"/>
    <cellStyle name="Migliaia 23 4" xfId="1733" xr:uid="{00000000-0005-0000-0000-00004C030000}"/>
    <cellStyle name="Migliaia 23 4 2" xfId="1734" xr:uid="{00000000-0005-0000-0000-00004D030000}"/>
    <cellStyle name="Migliaia 23 4 2 2" xfId="5081" xr:uid="{8CB3B490-6F3B-4BF9-B628-644C1442076A}"/>
    <cellStyle name="Migliaia 23 4 2 2 2" xfId="33479" xr:uid="{7824A845-EA6C-433D-8464-E3A73B8E27B3}"/>
    <cellStyle name="Migliaia 23 4 2 2 2 2" xfId="38917" xr:uid="{FBCFD59A-CD32-43F2-9961-1071B1541240}"/>
    <cellStyle name="Migliaia 23 4 2 2 2 3" xfId="44219" xr:uid="{7E9AEC66-0AE1-40F8-A217-F529102C986C}"/>
    <cellStyle name="Migliaia 23 4 2 2 3" xfId="36396" xr:uid="{B49F898C-3F5B-42B2-804F-895EE9F9C5D7}"/>
    <cellStyle name="Migliaia 23 4 2 2 4" xfId="41568" xr:uid="{84C55E95-70B3-4620-A8D1-7AF4311D3CC4}"/>
    <cellStyle name="Migliaia 23 4 2 2 5" xfId="9138" xr:uid="{A08AB985-EC14-4636-BC61-74ABF6249060}"/>
    <cellStyle name="Migliaia 23 4 2 3" xfId="3355" xr:uid="{7547138C-DC09-46A4-8B79-D4DEA4501A5A}"/>
    <cellStyle name="Migliaia 23 4 2 3 2" xfId="33480" xr:uid="{9493CCB1-8905-4997-9C3F-0942DA1423C0}"/>
    <cellStyle name="Migliaia 23 4 2 3 2 2" xfId="38918" xr:uid="{E0E7B296-AF47-4FC2-8A4D-7318CAED5251}"/>
    <cellStyle name="Migliaia 23 4 2 3 2 3" xfId="44220" xr:uid="{4D77B252-391A-49ED-8187-9862AD2F365E}"/>
    <cellStyle name="Migliaia 23 4 2 3 3" xfId="36397" xr:uid="{DED3234E-5506-440F-A6AE-A9720C991F58}"/>
    <cellStyle name="Migliaia 23 4 2 3 4" xfId="41569" xr:uid="{0018CAB5-F390-422C-9AAD-AE0821F73B3D}"/>
    <cellStyle name="Migliaia 23 4 2 3 5" xfId="11949" xr:uid="{9A24062F-1156-420B-AD57-14EAAD1424F6}"/>
    <cellStyle name="Migliaia 23 4 2 4" xfId="11298" xr:uid="{8D526E2A-F7B5-4BA7-89DF-7C5772B71791}"/>
    <cellStyle name="Migliaia 23 4 2 5" xfId="10811" xr:uid="{71F5BB28-8A74-4ABA-A91D-650DC1F5596A}"/>
    <cellStyle name="Migliaia 23 4 2 5 2" xfId="21446" xr:uid="{10619E8C-CB0E-4A9E-BBF8-32C461CDEB95}"/>
    <cellStyle name="Migliaia 23 4 2 5 3" xfId="46226" xr:uid="{8BF45317-18E7-43D9-B309-D66456AB1F44}"/>
    <cellStyle name="Migliaia 23 4 2 5 4" xfId="50461" xr:uid="{27D0BB71-F592-4C47-A419-A3B8F1CB7886}"/>
    <cellStyle name="Migliaia 23 4 2 5 5" xfId="53477" xr:uid="{ED146245-65E7-48F9-B009-2A62FE90B1F2}"/>
    <cellStyle name="Migliaia 23 4 2 6" xfId="20152" xr:uid="{EFA65435-7D00-432D-BE94-8E7876EEF72D}"/>
    <cellStyle name="Migliaia 23 4 2 7" xfId="24547" xr:uid="{E46A6AD4-B670-4C94-9469-E8AC0EC209BC}"/>
    <cellStyle name="Migliaia 23 4 2 8" xfId="8574" xr:uid="{F1DB3DE5-9AB3-473A-BC79-67716A4C83C8}"/>
    <cellStyle name="Migliaia 23 4 3" xfId="5080" xr:uid="{5DEE2DB6-5EFB-4DEF-ACFC-C54AEB5F3DE0}"/>
    <cellStyle name="Migliaia 23 4 3 2" xfId="18193" xr:uid="{C2E7C96F-F708-4DED-A602-134F242D97BA}"/>
    <cellStyle name="Migliaia 23 4 3 2 2" xfId="38919" xr:uid="{9BFE94A9-8269-4B93-9743-A8FB007EDE52}"/>
    <cellStyle name="Migliaia 23 4 3 2 3" xfId="44221" xr:uid="{0ABED518-B978-41C7-9AB5-4C8FCD737D60}"/>
    <cellStyle name="Migliaia 23 4 3 3" xfId="36398" xr:uid="{370B8629-344C-46EE-A1CE-4E65759B1A80}"/>
    <cellStyle name="Migliaia 23 4 3 4" xfId="41570" xr:uid="{1F13C979-2137-4C35-BDCD-96E927166EA9}"/>
    <cellStyle name="Migliaia 23 4 3 5" xfId="17380" xr:uid="{E52EDAC9-4A79-4168-A5F0-CB599DE90170}"/>
    <cellStyle name="Migliaia 23 4 3 6" xfId="9139" xr:uid="{28B81953-C3EF-4A07-A2F0-325331B22279}"/>
    <cellStyle name="Migliaia 23 4 4" xfId="6289" xr:uid="{5B2ED913-0572-49C3-92C9-DDE9C0B9F517}"/>
    <cellStyle name="Migliaia 23 4 4 2" xfId="33481" xr:uid="{ED54AFC4-F836-4764-A6C8-1636FE2BE2A3}"/>
    <cellStyle name="Migliaia 23 4 4 2 2" xfId="38920" xr:uid="{F2F2158F-37CE-453D-9866-C44DDD90B143}"/>
    <cellStyle name="Migliaia 23 4 4 2 3" xfId="44222" xr:uid="{DA8A6419-EC51-4AF4-AFFD-84FD258DD396}"/>
    <cellStyle name="Migliaia 23 4 4 3" xfId="36399" xr:uid="{38916D04-656B-4433-B705-E310FD2B92AB}"/>
    <cellStyle name="Migliaia 23 4 4 4" xfId="41571" xr:uid="{B0E4DDD1-FABA-4A68-A99B-61B79C43DFF5}"/>
    <cellStyle name="Migliaia 23 4 4 5" xfId="11950" xr:uid="{B783C93C-D565-4618-8427-F5DFC723667B}"/>
    <cellStyle name="Migliaia 23 4 5" xfId="3354" xr:uid="{FBDE4AD2-8FB0-44FC-8C16-072BA24B6412}"/>
    <cellStyle name="Migliaia 23 4 5 2" xfId="33482" xr:uid="{02A40ADB-F865-4A8B-A9C2-9137384D2D55}"/>
    <cellStyle name="Migliaia 23 4 5 2 2" xfId="38921" xr:uid="{DBBD7018-574C-4437-8E87-ACD0A2272494}"/>
    <cellStyle name="Migliaia 23 4 5 2 3" xfId="44223" xr:uid="{0F71DF9C-8636-4357-ABA5-902392727A2A}"/>
    <cellStyle name="Migliaia 23 4 5 3" xfId="36400" xr:uid="{CBA00FC0-2A5C-4022-B697-52CBB7226FFD}"/>
    <cellStyle name="Migliaia 23 4 5 4" xfId="41572" xr:uid="{A30778DF-E1F2-4E57-B9E9-AD15CC2B07F8}"/>
    <cellStyle name="Migliaia 23 4 5 5" xfId="11297" xr:uid="{C36B1359-E846-4C7B-BCCE-F86336CD0AEB}"/>
    <cellStyle name="Migliaia 23 4 6" xfId="10810" xr:uid="{9999056D-F1B8-4691-9978-9EE0B2A24767}"/>
    <cellStyle name="Migliaia 23 4 6 2" xfId="21445" xr:uid="{B763B32F-48DF-4206-8AB6-300F1E52A610}"/>
    <cellStyle name="Migliaia 23 4 6 2 2" xfId="38922" xr:uid="{6C45B6BD-6C72-420E-AB0D-A874F02F60A3}"/>
    <cellStyle name="Migliaia 23 4 6 2 3" xfId="44224" xr:uid="{6A42E6CA-69A6-4CB8-9099-F53A9A8FB203}"/>
    <cellStyle name="Migliaia 23 4 6 2 4" xfId="33483" xr:uid="{EA116003-03B9-440C-A6BA-90F9CCD3A5AE}"/>
    <cellStyle name="Migliaia 23 4 6 3" xfId="36401" xr:uid="{AE3A670E-919B-4591-AA4A-3BE7D182EB50}"/>
    <cellStyle name="Migliaia 23 4 6 4" xfId="41573" xr:uid="{DE73BC2A-62FC-4252-BA4D-C138DFA2A581}"/>
    <cellStyle name="Migliaia 23 4 6 5" xfId="24548" xr:uid="{DD0F9614-122E-4EFA-87F8-95FAB5E4B6EE}"/>
    <cellStyle name="Migliaia 23 4 6 6" xfId="47363" xr:uid="{71A0DC92-6A80-4E00-8B38-819C07ADAE6E}"/>
    <cellStyle name="Migliaia 23 4 6 7" xfId="50460" xr:uid="{F3118A8C-87E0-4F80-9ABE-A941A3761FD8}"/>
    <cellStyle name="Migliaia 23 4 6 8" xfId="53476" xr:uid="{ED11C3C0-136D-4A45-9FD9-9C89DA6B2290}"/>
    <cellStyle name="Migliaia 23 4 7" xfId="20151" xr:uid="{A8D6F0E4-B8C3-4ECA-A79B-72F9FE7CE326}"/>
    <cellStyle name="Migliaia 23 4 7 2" xfId="33484" xr:uid="{2E9BDBE2-1A25-4E75-B843-BE14ECEF8E61}"/>
    <cellStyle name="Migliaia 23 4 7 2 2" xfId="38923" xr:uid="{381B6EC5-2D3E-4F3D-BCCB-D44AC132F86A}"/>
    <cellStyle name="Migliaia 23 4 7 2 3" xfId="44225" xr:uid="{6433F660-FFAC-43BD-9E66-96865EA3C29C}"/>
    <cellStyle name="Migliaia 23 4 7 3" xfId="36402" xr:uid="{74D1D671-891C-4B48-9AC2-F08DEC8D161C}"/>
    <cellStyle name="Migliaia 23 4 7 4" xfId="41574" xr:uid="{893C99C2-A639-461E-9C61-677679003CA3}"/>
    <cellStyle name="Migliaia 23 4 7 5" xfId="24549" xr:uid="{FAB2FD67-7718-4F7D-9362-256544F68029}"/>
    <cellStyle name="Migliaia 23 4 8" xfId="24546" xr:uid="{92E183F6-BF84-4E35-8C1F-B01536C48A05}"/>
    <cellStyle name="Migliaia 23 4 9" xfId="7384" xr:uid="{285A2D89-A5B1-4B05-858B-B19A209835AA}"/>
    <cellStyle name="Migliaia 23 5" xfId="1735" xr:uid="{00000000-0005-0000-0000-00004E030000}"/>
    <cellStyle name="Migliaia 23 5 2" xfId="5082" xr:uid="{0A3BB8AB-7325-4192-BCC5-AE1B23C55E6C}"/>
    <cellStyle name="Migliaia 23 5 2 2" xfId="18409" xr:uid="{4C9C2107-8E93-4FA6-9653-F81B9230DAB5}"/>
    <cellStyle name="Migliaia 23 5 2 2 2" xfId="38924" xr:uid="{62112776-66AC-45CD-B90D-7FD9561E09E8}"/>
    <cellStyle name="Migliaia 23 5 2 2 3" xfId="44226" xr:uid="{06CA36BC-91C8-4871-A429-379C8DAA749B}"/>
    <cellStyle name="Migliaia 23 5 2 3" xfId="20154" xr:uid="{7821DD73-95FB-40FA-B40A-7A9617C6D2A2}"/>
    <cellStyle name="Migliaia 23 5 2 3 2" xfId="36403" xr:uid="{CFC6C02F-6C5B-46EB-B459-6CC902B96E1F}"/>
    <cellStyle name="Migliaia 23 5 2 4" xfId="41575" xr:uid="{D8C678A1-296D-430A-9A15-FD570CB0103D}"/>
    <cellStyle name="Migliaia 23 5 2 5" xfId="16246" xr:uid="{5E483A37-B2C0-41C2-B50C-030B83AAA653}"/>
    <cellStyle name="Migliaia 23 5 2 6" xfId="8575" xr:uid="{77154DFE-0B11-4001-B29B-57681F0B6173}"/>
    <cellStyle name="Migliaia 23 5 3" xfId="6290" xr:uid="{705C4927-AD8B-40C9-8C77-74E8D865358A}"/>
    <cellStyle name="Migliaia 23 5 3 2" xfId="33485" xr:uid="{9D54D6E3-B374-4EC9-BD7A-13C3B81C7ABD}"/>
    <cellStyle name="Migliaia 23 5 3 2 2" xfId="38925" xr:uid="{0AF481F0-395E-4A20-BA79-D2D5E9B7BF54}"/>
    <cellStyle name="Migliaia 23 5 3 2 3" xfId="44227" xr:uid="{02038A62-A52C-4102-B411-D0B29A377782}"/>
    <cellStyle name="Migliaia 23 5 3 3" xfId="36404" xr:uid="{BD704F37-E1DC-411A-A458-DC75417A3291}"/>
    <cellStyle name="Migliaia 23 5 3 4" xfId="41576" xr:uid="{64A32B71-5305-4A98-BF2C-CA34FC5864A4}"/>
    <cellStyle name="Migliaia 23 5 3 5" xfId="11299" xr:uid="{36E47130-B30D-455A-A93C-4CDD120D54EA}"/>
    <cellStyle name="Migliaia 23 5 4" xfId="3356" xr:uid="{640102C3-14A9-4C81-98B9-B4D1FE681522}"/>
    <cellStyle name="Migliaia 23 5 4 2" xfId="21447" xr:uid="{A989C699-1A03-4B42-A3AA-63F472E93412}"/>
    <cellStyle name="Migliaia 23 5 4 2 2" xfId="38926" xr:uid="{10CCBD1F-E66D-4064-87D7-34FD4247400D}"/>
    <cellStyle name="Migliaia 23 5 4 2 3" xfId="44228" xr:uid="{6773B43B-5AB0-4AD7-BBED-B56BF8AA8ECC}"/>
    <cellStyle name="Migliaia 23 5 4 2 4" xfId="33486" xr:uid="{5F1ACAD6-BEE5-4B8D-88C3-B2B8820F6C4B}"/>
    <cellStyle name="Migliaia 23 5 4 3" xfId="36405" xr:uid="{DF9B74D6-E3C1-4249-85F5-34DB6DE3154F}"/>
    <cellStyle name="Migliaia 23 5 4 4" xfId="41577" xr:uid="{9FD7B838-1D84-4D38-89C2-61B904198D9E}"/>
    <cellStyle name="Migliaia 23 5 4 5" xfId="24551" xr:uid="{62A2FD4F-6764-4CE8-8381-40079B501D80}"/>
    <cellStyle name="Migliaia 23 5 4 6" xfId="47598" xr:uid="{1BFBBC09-5383-4D3E-B1BC-3118BB4AF65B}"/>
    <cellStyle name="Migliaia 23 5 4 7" xfId="50462" xr:uid="{36B6EFF0-5CA7-4887-804C-37A23A85A558}"/>
    <cellStyle name="Migliaia 23 5 4 8" xfId="53478" xr:uid="{55A82178-5DC2-4E73-9402-521FDE5AC409}"/>
    <cellStyle name="Migliaia 23 5 4 9" xfId="10812" xr:uid="{2B773A7A-5F68-4E76-A940-80EF1B9A7E4E}"/>
    <cellStyle name="Migliaia 23 5 5" xfId="20153" xr:uid="{85FC8BE2-0DC1-4C8B-9BD1-158CF3E99C79}"/>
    <cellStyle name="Migliaia 23 5 5 2" xfId="33487" xr:uid="{261A1BCA-DDFE-48C2-8F1D-E142098AB3DF}"/>
    <cellStyle name="Migliaia 23 5 5 2 2" xfId="38927" xr:uid="{0FA05289-C5C9-41C5-BD3A-31F001B068EE}"/>
    <cellStyle name="Migliaia 23 5 5 2 3" xfId="44229" xr:uid="{8B36F2A4-9812-47D5-AF4B-E716667359D6}"/>
    <cellStyle name="Migliaia 23 5 5 3" xfId="36406" xr:uid="{D92B1C7F-CD2F-465C-9D82-BA54DBFFFBB8}"/>
    <cellStyle name="Migliaia 23 5 5 4" xfId="41578" xr:uid="{05A0579C-8D16-4F9D-91EE-4F63423822C4}"/>
    <cellStyle name="Migliaia 23 5 5 5" xfId="24552" xr:uid="{64D65E0E-7355-4A14-8796-91D0FBCB148B}"/>
    <cellStyle name="Migliaia 23 5 6" xfId="24553" xr:uid="{D9206944-8EE7-49F3-AC29-16FD3043BDC2}"/>
    <cellStyle name="Migliaia 23 5 6 2" xfId="33488" xr:uid="{F80421CF-4DB4-49F9-A5BC-7B245604EA13}"/>
    <cellStyle name="Migliaia 23 5 6 2 2" xfId="38928" xr:uid="{B31E1958-4FAD-4F07-8EDF-CFA9CE92333C}"/>
    <cellStyle name="Migliaia 23 5 6 2 3" xfId="44230" xr:uid="{A79F8F63-0E66-4C1F-8259-456F0748CCD8}"/>
    <cellStyle name="Migliaia 23 5 6 3" xfId="36407" xr:uid="{514C3CA2-3C9B-41F6-B855-8CF49A52CB4B}"/>
    <cellStyle name="Migliaia 23 5 6 4" xfId="41579" xr:uid="{1EAB6AC3-90A2-4B05-B249-392D6D4A7CE1}"/>
    <cellStyle name="Migliaia 23 5 7" xfId="24550" xr:uid="{F22D669F-BF6F-40C9-A6DC-6E94E8A02DCF}"/>
    <cellStyle name="Migliaia 23 5 8" xfId="7385" xr:uid="{67042327-40EF-4B29-8DC6-59C015736B9A}"/>
    <cellStyle name="Migliaia 23 6" xfId="3357" xr:uid="{CAE7D4C2-8DA7-47F9-B246-E2CA468A6103}"/>
    <cellStyle name="Migliaia 23 6 2" xfId="5083" xr:uid="{70B0E786-CB26-4B50-BF70-7AEF933BFEA9}"/>
    <cellStyle name="Migliaia 23 6 2 2" xfId="9911" xr:uid="{6CC0F13B-CD53-40C0-8B9A-35E88D2C0600}"/>
    <cellStyle name="Migliaia 23 6 2 3" xfId="18665" xr:uid="{40027B05-EC3E-415A-9BA6-3CFE1501CEAD}"/>
    <cellStyle name="Migliaia 23 6 2 4" xfId="20156" xr:uid="{F5529511-2356-4C36-B37E-4F142A2BF840}"/>
    <cellStyle name="Migliaia 23 6 2 5" xfId="32346" xr:uid="{6ED1C7DF-D88A-42AE-8700-F5A2B24A69EF}"/>
    <cellStyle name="Migliaia 23 6 2 6" xfId="16248" xr:uid="{53A46E8B-CCE6-4C3E-AF83-FAD6BF116A22}"/>
    <cellStyle name="Migliaia 23 6 2 7" xfId="8570" xr:uid="{AC815414-1E6F-4BA4-9134-1593F7B6FD83}"/>
    <cellStyle name="Migliaia 23 6 3" xfId="6291" xr:uid="{B141A771-D338-4AEE-8707-E2B61D535572}"/>
    <cellStyle name="Migliaia 23 6 3 2" xfId="35232" xr:uid="{EBCBF037-BFC9-400C-94E1-25B6F789E20D}"/>
    <cellStyle name="Migliaia 23 6 3 2 2" xfId="40392" xr:uid="{C6DD8B42-A0EC-45F3-B7F7-0DBFCBD081F9}"/>
    <cellStyle name="Migliaia 23 6 3 2 3" xfId="45694" xr:uid="{AB6C8E4F-88C2-4EFB-BDED-096E637CF16F}"/>
    <cellStyle name="Migliaia 23 6 3 3" xfId="37741" xr:uid="{B3BC8C4C-89D7-4D1D-B969-BD4BCDCEAB61}"/>
    <cellStyle name="Migliaia 23 6 3 4" xfId="43043" xr:uid="{3B20445B-2B8B-49AC-AD8C-8F5C99F2C395}"/>
    <cellStyle name="Migliaia 23 6 3 5" xfId="9674" xr:uid="{62E95FEF-EFC2-45CB-BD92-06DA0DAB2AA8}"/>
    <cellStyle name="Migliaia 23 6 4" xfId="20155" xr:uid="{C41B4A6B-ADF3-4CED-BE59-E6F69E48D760}"/>
    <cellStyle name="Migliaia 23 6 4 2" xfId="38929" xr:uid="{B839E9F2-8C05-4F8F-9B01-0F038025CB75}"/>
    <cellStyle name="Migliaia 23 6 4 3" xfId="44231" xr:uid="{0953429D-23F2-435E-8E2E-B9605F2B2DAA}"/>
    <cellStyle name="Migliaia 23 6 4 4" xfId="33489" xr:uid="{F4A900F3-20FB-4ED6-8892-DF189C6052C8}"/>
    <cellStyle name="Migliaia 23 6 5" xfId="36408" xr:uid="{755FE988-B689-47E6-A70F-60A46ED76F79}"/>
    <cellStyle name="Migliaia 23 6 6" xfId="41580" xr:uid="{782E7A3D-668D-4430-8C0F-1B65C19DDFD8}"/>
    <cellStyle name="Migliaia 23 6 7" xfId="16247" xr:uid="{6CB350E5-26EF-4DDE-911A-5330F15CCD8C}"/>
    <cellStyle name="Migliaia 23 6 8" xfId="7380" xr:uid="{2708C824-DF99-4D22-A983-1A82DCE8C393}"/>
    <cellStyle name="Migliaia 23 7" xfId="3358" xr:uid="{F8C53622-E09F-4C33-A5EC-0BCC1861F78F}"/>
    <cellStyle name="Migliaia 23 7 2" xfId="5084" xr:uid="{0D08A2AB-E076-4937-8C4E-AB6A6BC7F666}"/>
    <cellStyle name="Migliaia 23 7 2 2" xfId="35233" xr:uid="{F73ACDBC-8427-475A-AD4E-985905ED2E08}"/>
    <cellStyle name="Migliaia 23 7 2 2 2" xfId="40393" xr:uid="{22A90F8E-0999-4225-9CB4-85BE417EA0FC}"/>
    <cellStyle name="Migliaia 23 7 2 2 3" xfId="45695" xr:uid="{F0E19E3A-1C6F-4A2C-94F5-BC36AD8B2982}"/>
    <cellStyle name="Migliaia 23 7 2 3" xfId="37742" xr:uid="{E2117C41-A3FC-4C6A-9044-C23555B12C15}"/>
    <cellStyle name="Migliaia 23 7 2 4" xfId="43044" xr:uid="{C6B17B93-0FC6-47A5-BEAB-9D43AB9BE719}"/>
    <cellStyle name="Migliaia 23 7 2 5" xfId="14224" xr:uid="{665961DB-9757-426B-A9A5-7334887BA250}"/>
    <cellStyle name="Migliaia 23 7 3" xfId="6292" xr:uid="{FA55DAB8-B3C4-430A-BA7D-85747A204216}"/>
    <cellStyle name="Migliaia 23 7 3 2" xfId="38930" xr:uid="{0153AD19-B29A-4050-AE40-898350C18F62}"/>
    <cellStyle name="Migliaia 23 7 3 3" xfId="44232" xr:uid="{225F4A90-0590-4AF3-B016-151F4AD57F88}"/>
    <cellStyle name="Migliaia 23 7 3 4" xfId="33490" xr:uid="{245CC0F4-953D-48D3-B174-F63E7EB1C00D}"/>
    <cellStyle name="Migliaia 23 7 3 5" xfId="20157" xr:uid="{D998BF1A-CDDB-4D0B-8EF3-4806D278CB95}"/>
    <cellStyle name="Migliaia 23 7 4" xfId="36409" xr:uid="{A8969DAC-0AC9-45F7-BF2C-3F02431A8EE4}"/>
    <cellStyle name="Migliaia 23 7 5" xfId="41581" xr:uid="{88D84FF6-0653-4AA9-897E-2F8A3E68C58F}"/>
    <cellStyle name="Migliaia 23 7 6" xfId="16249" xr:uid="{D396DECE-B03D-4FDF-A367-92AF29172BF3}"/>
    <cellStyle name="Migliaia 23 7 7" xfId="8286" xr:uid="{B77695A5-C96D-48D1-B594-D7F0D96C4241}"/>
    <cellStyle name="Migliaia 23 8" xfId="3359" xr:uid="{DE1DED74-167C-4376-AF42-E09C5DD16271}"/>
    <cellStyle name="Migliaia 23 8 2" xfId="5085" xr:uid="{A78563D9-45B1-4773-8F92-1C21CB322B20}"/>
    <cellStyle name="Migliaia 23 8 2 2" xfId="35234" xr:uid="{08D624A0-3437-4AD1-9E60-058252EC3D80}"/>
    <cellStyle name="Migliaia 23 8 2 2 2" xfId="40394" xr:uid="{F74364A9-E538-407C-908C-16759BDB4EFB}"/>
    <cellStyle name="Migliaia 23 8 2 2 3" xfId="45696" xr:uid="{15828F6C-E2B9-4A7D-8672-7A691E233D12}"/>
    <cellStyle name="Migliaia 23 8 2 3" xfId="37743" xr:uid="{7D150E8A-D59A-4946-A31E-317A96958866}"/>
    <cellStyle name="Migliaia 23 8 2 4" xfId="43045" xr:uid="{A1923263-329D-4342-9554-0BDD875615A9}"/>
    <cellStyle name="Migliaia 23 8 2 5" xfId="13929" xr:uid="{E2AB1D06-171D-423C-813D-0D697538E524}"/>
    <cellStyle name="Migliaia 23 8 3" xfId="6293" xr:uid="{8B487B41-6B61-4E93-9245-109C672348E3}"/>
    <cellStyle name="Migliaia 23 8 3 2" xfId="38931" xr:uid="{0B59FA1F-4B48-434B-8E64-26DD9137EE5A}"/>
    <cellStyle name="Migliaia 23 8 3 3" xfId="44233" xr:uid="{EBC21A7D-8306-4BEF-9DF6-69253A007F2F}"/>
    <cellStyle name="Migliaia 23 8 3 4" xfId="33491" xr:uid="{FECB6C98-E8E1-428D-A50A-D101F5B85890}"/>
    <cellStyle name="Migliaia 23 8 3 5" xfId="20158" xr:uid="{03C128AB-A2F6-4A25-B9B8-90A4F0DEC285}"/>
    <cellStyle name="Migliaia 23 8 4" xfId="36410" xr:uid="{2F2A2A7B-D821-410D-A306-33AFD99D5554}"/>
    <cellStyle name="Migliaia 23 8 5" xfId="41582" xr:uid="{3820949C-992F-4002-8C96-A1FF4D5C50E5}"/>
    <cellStyle name="Migliaia 23 8 6" xfId="16250" xr:uid="{E134AE8C-3CB3-43FD-9402-D3CA9EDC0D86}"/>
    <cellStyle name="Migliaia 23 8 7" xfId="7882" xr:uid="{D31ECE9B-5228-416A-B49F-AA15B3AFCCDE}"/>
    <cellStyle name="Migliaia 23 9" xfId="5070" xr:uid="{D83F71BE-7ED3-4194-AACA-6328BEEB6A9C}"/>
    <cellStyle name="Migliaia 23 9 2" xfId="33492" xr:uid="{31059A72-C6EC-4948-969E-6EC49AA9E83D}"/>
    <cellStyle name="Migliaia 23 9 2 2" xfId="38932" xr:uid="{71E51032-150B-4C32-B949-189DA2B0EB49}"/>
    <cellStyle name="Migliaia 23 9 2 3" xfId="44234" xr:uid="{89D3ED25-1D35-4C34-A58D-27101711F92B}"/>
    <cellStyle name="Migliaia 23 9 3" xfId="36411" xr:uid="{93686BE3-14FD-4A8B-9EE2-A1E8C89C800F}"/>
    <cellStyle name="Migliaia 23 9 4" xfId="41583" xr:uid="{35883EAD-B2DE-4E04-A68B-18C8E07B178F}"/>
    <cellStyle name="Migliaia 23 9 5" xfId="17165" xr:uid="{751092B1-4818-435C-B51D-2E5AD95CA486}"/>
    <cellStyle name="Migliaia 24" xfId="365" xr:uid="{00000000-0005-0000-0000-00004F030000}"/>
    <cellStyle name="Migliaia 24 10" xfId="6294" xr:uid="{804172B7-7DA0-4511-8B35-64DE385C4D32}"/>
    <cellStyle name="Migliaia 24 10 2" xfId="38933" xr:uid="{C07EBB81-439F-43F8-833C-33591591B42B}"/>
    <cellStyle name="Migliaia 24 10 3" xfId="44235" xr:uid="{1E1A1CBC-226E-407F-BE2C-41A244051598}"/>
    <cellStyle name="Migliaia 24 10 4" xfId="33493" xr:uid="{BAA50BB9-63E8-46E7-BC95-C2AA69ED9F7E}"/>
    <cellStyle name="Migliaia 24 10 5" xfId="20159" xr:uid="{C1C97AA9-CA0A-4548-8255-3E714DE23E44}"/>
    <cellStyle name="Migliaia 24 11" xfId="3360" xr:uid="{6300AF5C-E8B2-41E5-AE04-F58A29367E02}"/>
    <cellStyle name="Migliaia 24 11 2" xfId="36412" xr:uid="{132BEC8D-B454-4800-9AC8-102F0ECB6040}"/>
    <cellStyle name="Migliaia 24 12" xfId="41584" xr:uid="{0A921E70-F539-4F36-AD5E-9FB232266BB2}"/>
    <cellStyle name="Migliaia 24 13" xfId="7090" xr:uid="{48D3051A-B32E-4414-A54C-266046FEBD4A}"/>
    <cellStyle name="Migliaia 24 2" xfId="366" xr:uid="{00000000-0005-0000-0000-000050030000}"/>
    <cellStyle name="Migliaia 24 2 2" xfId="1736" xr:uid="{00000000-0005-0000-0000-000051030000}"/>
    <cellStyle name="Migliaia 24 2 2 2" xfId="5088" xr:uid="{8CA8A00D-DCD1-4392-BCF9-E999551FEA80}"/>
    <cellStyle name="Migliaia 24 2 2 2 2" xfId="14379" xr:uid="{89DC1057-5541-40AA-A35B-E893E68430C2}"/>
    <cellStyle name="Migliaia 24 2 2 2 2 2" xfId="38934" xr:uid="{62AF1562-5951-400B-B860-9E5631C91FFB}"/>
    <cellStyle name="Migliaia 24 2 2 2 2 3" xfId="44236" xr:uid="{13A54176-4FC1-4B33-AF0C-B7F1FBFA87BD}"/>
    <cellStyle name="Migliaia 24 2 2 2 3" xfId="18410" xr:uid="{591F406B-5B41-436B-AEC4-1DA18FB1CCDA}"/>
    <cellStyle name="Migliaia 24 2 2 2 4" xfId="20162" xr:uid="{AA21A63A-B7EA-4AAC-98A2-5D5494EC6969}"/>
    <cellStyle name="Migliaia 24 2 2 2 4 2" xfId="41585" xr:uid="{4687BF42-6BF3-4147-BCA9-B266E89D2885}"/>
    <cellStyle name="Migliaia 24 2 2 2 5" xfId="16251" xr:uid="{98489AA4-DB16-404F-88A6-90C5003E1A63}"/>
    <cellStyle name="Migliaia 24 2 2 2 6" xfId="8577" xr:uid="{BAA01424-45D8-4AEC-80D5-EBF004862034}"/>
    <cellStyle name="Migliaia 24 2 2 3" xfId="6296" xr:uid="{16D2A3D6-30A6-48E1-A62A-05166B03D3D5}"/>
    <cellStyle name="Migliaia 24 2 2 3 2" xfId="35235" xr:uid="{1B3383F1-478D-47F3-80FC-5534418C3A69}"/>
    <cellStyle name="Migliaia 24 2 2 3 2 2" xfId="40395" xr:uid="{BE245422-2393-4ED4-AF28-03D55060DA5C}"/>
    <cellStyle name="Migliaia 24 2 2 3 2 3" xfId="45697" xr:uid="{ADC584CE-62C6-45AD-8F2B-913709BD9484}"/>
    <cellStyle name="Migliaia 24 2 2 3 3" xfId="37744" xr:uid="{8A772720-35B4-4527-A611-B50BE5B41F87}"/>
    <cellStyle name="Migliaia 24 2 2 3 4" xfId="43046" xr:uid="{437266A1-0B92-47FE-8DDA-2A733D345AFB}"/>
    <cellStyle name="Migliaia 24 2 2 3 5" xfId="11606" xr:uid="{CB6BEC60-1A47-4400-93E6-C476CE26FDF6}"/>
    <cellStyle name="Migliaia 24 2 2 4" xfId="3362" xr:uid="{DA8B609C-D394-4CEC-A1A6-CA9EFD0E6BB4}"/>
    <cellStyle name="Migliaia 24 2 2 4 2" xfId="21448" xr:uid="{B613A379-A1F5-445B-90AB-2E8212E6B205}"/>
    <cellStyle name="Migliaia 24 2 2 4 3" xfId="37524" xr:uid="{DA816861-5B91-4856-97F6-70586D0326C7}"/>
    <cellStyle name="Migliaia 24 2 2 4 4" xfId="50463" xr:uid="{D7BBC778-985C-4EA5-A9BC-FEF7F0A7012B}"/>
    <cellStyle name="Migliaia 24 2 2 4 5" xfId="53479" xr:uid="{5B8AC1F4-272F-4BB6-8147-E46647DA63FF}"/>
    <cellStyle name="Migliaia 24 2 2 4 6" xfId="10813" xr:uid="{AEF29D5B-917E-4BEE-9AC1-157A077CC581}"/>
    <cellStyle name="Migliaia 24 2 2 5" xfId="20161" xr:uid="{786B930B-5F33-498A-B90A-24D8BC0581A4}"/>
    <cellStyle name="Migliaia 24 2 2 6" xfId="24555" xr:uid="{B77D0BC2-0594-4B8C-8BD9-B94E57DA985D}"/>
    <cellStyle name="Migliaia 24 2 2 7" xfId="7387" xr:uid="{653F9000-0486-483E-8558-5F29895B6C74}"/>
    <cellStyle name="Migliaia 24 2 3" xfId="3363" xr:uid="{00DDCB34-F2D0-4679-94BD-AD5A17FE11AB}"/>
    <cellStyle name="Migliaia 24 2 3 2" xfId="5089" xr:uid="{D7E05CD6-1A5E-4135-9BC3-F5D310774F39}"/>
    <cellStyle name="Migliaia 24 2 3 2 2" xfId="35236" xr:uid="{E8DDA9F0-E291-47C1-BBF9-AF8C471A138D}"/>
    <cellStyle name="Migliaia 24 2 3 2 2 2" xfId="40396" xr:uid="{878E958D-3D87-4723-8B26-55FC5D940B31}"/>
    <cellStyle name="Migliaia 24 2 3 2 2 3" xfId="45698" xr:uid="{D59CC6B1-F167-4DC6-8505-6AA0162BA2BB}"/>
    <cellStyle name="Migliaia 24 2 3 2 3" xfId="37745" xr:uid="{3DEBA8F8-8791-41BA-AFAA-F5C1D246BE9C}"/>
    <cellStyle name="Migliaia 24 2 3 2 4" xfId="43047" xr:uid="{34987C71-E7D7-44C6-A713-BB6E39D8B356}"/>
    <cellStyle name="Migliaia 24 2 3 2 5" xfId="14228" xr:uid="{4BB698CC-22AB-4384-B72A-C17E19611336}"/>
    <cellStyle name="Migliaia 24 2 3 3" xfId="6297" xr:uid="{BD56904A-EFA2-411B-B801-EA9B4310EC20}"/>
    <cellStyle name="Migliaia 24 2 3 3 2" xfId="38935" xr:uid="{959D3AE4-41A5-4DD4-BA56-3A31056B597F}"/>
    <cellStyle name="Migliaia 24 2 3 3 3" xfId="44237" xr:uid="{CC8BB397-D0DF-4A63-8E43-D83547E74EA3}"/>
    <cellStyle name="Migliaia 24 2 3 3 4" xfId="33494" xr:uid="{ABD43C33-8802-48E2-AD93-B5E627967180}"/>
    <cellStyle name="Migliaia 24 2 3 3 5" xfId="20163" xr:uid="{B417CA49-1E60-4B24-85A2-23BE2B1ED4C5}"/>
    <cellStyle name="Migliaia 24 2 3 4" xfId="36413" xr:uid="{4D013083-E12C-4851-A6B6-046D247DB698}"/>
    <cellStyle name="Migliaia 24 2 3 5" xfId="41586" xr:uid="{A488F537-3C7E-4CD7-B874-13E5A9136F81}"/>
    <cellStyle name="Migliaia 24 2 3 6" xfId="16252" xr:uid="{2D1C70FD-46B9-48AB-AB92-01E34FC4AA0A}"/>
    <cellStyle name="Migliaia 24 2 3 7" xfId="8290" xr:uid="{C47D5470-DD08-4398-A2AA-616FA6711BC3}"/>
    <cellStyle name="Migliaia 24 2 4" xfId="5087" xr:uid="{9E46BDC2-95E8-4E85-B623-F157160B3E50}"/>
    <cellStyle name="Migliaia 24 2 4 2" xfId="13933" xr:uid="{CE0C881B-6EBE-48D3-A85F-3FF0FA1817E3}"/>
    <cellStyle name="Migliaia 24 2 4 2 2" xfId="38936" xr:uid="{3593BE71-F381-4283-B43B-A0A700D28F82}"/>
    <cellStyle name="Migliaia 24 2 4 2 3" xfId="44238" xr:uid="{5913DEFE-FEB9-4AC3-A727-F983B9FB9FBA}"/>
    <cellStyle name="Migliaia 24 2 4 3" xfId="18618" xr:uid="{6BDAE04C-C3E3-4D23-9A7B-1E4255B0195D}"/>
    <cellStyle name="Migliaia 24 2 4 4" xfId="20164" xr:uid="{8F1D5F5E-5C06-4F10-9983-FEAAB445443D}"/>
    <cellStyle name="Migliaia 24 2 4 4 2" xfId="41587" xr:uid="{69828757-5910-4CD0-BB1B-83AB7482B38C}"/>
    <cellStyle name="Migliaia 24 2 4 5" xfId="16253" xr:uid="{7505667D-CFBF-45AC-8D39-758E77FD4545}"/>
    <cellStyle name="Migliaia 24 2 4 6" xfId="7887" xr:uid="{90437CF6-F9B5-4DC1-889B-9EE2E8F7175E}"/>
    <cellStyle name="Migliaia 24 2 5" xfId="6295" xr:uid="{5FEC5F60-CAF7-4022-AEC9-B1618A45CFFC}"/>
    <cellStyle name="Migliaia 24 2 5 2" xfId="33495" xr:uid="{2258244B-1298-4168-962F-6740DB4D4FA8}"/>
    <cellStyle name="Migliaia 24 2 5 2 2" xfId="38937" xr:uid="{E44BC480-A027-4BC4-B53D-B03D9EC3EC4A}"/>
    <cellStyle name="Migliaia 24 2 5 2 3" xfId="44239" xr:uid="{7FC051B1-971B-4DB2-8D2A-B94FD240041F}"/>
    <cellStyle name="Migliaia 24 2 5 3" xfId="36414" xr:uid="{C20EAAC3-A6CE-4F18-B599-21072C63D051}"/>
    <cellStyle name="Migliaia 24 2 5 4" xfId="41588" xr:uid="{62BBA7AE-A57F-4AF7-A2F9-7F218966D2C5}"/>
    <cellStyle name="Migliaia 24 2 5 5" xfId="13119" xr:uid="{C0857B33-3ED4-4DBB-8BE2-E3D6C268F462}"/>
    <cellStyle name="Migliaia 24 2 6" xfId="3361" xr:uid="{F813B574-F5C8-4103-9EF0-94D495765F4E}"/>
    <cellStyle name="Migliaia 24 2 6 2" xfId="33496" xr:uid="{C1F96C3B-C4D2-4119-8323-E10BB3D3F45C}"/>
    <cellStyle name="Migliaia 24 2 6 2 2" xfId="38938" xr:uid="{2D5104B6-A517-4CD0-A037-66939FE43E68}"/>
    <cellStyle name="Migliaia 24 2 6 2 3" xfId="44240" xr:uid="{F1ED8593-BBD9-433F-A262-B8C8152C9F7F}"/>
    <cellStyle name="Migliaia 24 2 6 3" xfId="36415" xr:uid="{571ADCFB-C11A-4C5F-8489-590FA6F3CDAE}"/>
    <cellStyle name="Migliaia 24 2 6 4" xfId="41589" xr:uid="{11C363F9-842B-4C46-8D95-C6CE495199FD}"/>
    <cellStyle name="Migliaia 24 2 6 5" xfId="24556" xr:uid="{E6C69DAB-4485-470E-87E0-68F16D9E222C}"/>
    <cellStyle name="Migliaia 24 2 6 6" xfId="20160" xr:uid="{D4720FF1-BD13-4ADD-BF6F-5F39256E2C07}"/>
    <cellStyle name="Migliaia 24 2 7" xfId="24554" xr:uid="{EF0958FE-E4F0-428C-90C0-2FBDEDAF0027}"/>
    <cellStyle name="Migliaia 24 2 8" xfId="7091" xr:uid="{E44B6167-F479-4832-B682-3C9541849F0B}"/>
    <cellStyle name="Migliaia 24 3" xfId="367" xr:uid="{00000000-0005-0000-0000-000052030000}"/>
    <cellStyle name="Migliaia 24 3 10" xfId="24557" xr:uid="{CA982F79-C575-4A13-94CC-7F526C149897}"/>
    <cellStyle name="Migliaia 24 3 11" xfId="16254" xr:uid="{9F67CA68-0AD7-4AF3-ABAE-62FCEC3C3664}"/>
    <cellStyle name="Migliaia 24 3 12" xfId="7092" xr:uid="{109E2E25-E6EF-4EFF-A4D3-D5728CD93592}"/>
    <cellStyle name="Migliaia 24 3 2" xfId="368" xr:uid="{00000000-0005-0000-0000-000053030000}"/>
    <cellStyle name="Migliaia 24 3 2 2" xfId="1737" xr:uid="{00000000-0005-0000-0000-000054030000}"/>
    <cellStyle name="Migliaia 24 3 2 2 2" xfId="5092" xr:uid="{5C547C73-7BAA-4DA2-A19E-A4C5582F48B2}"/>
    <cellStyle name="Migliaia 24 3 2 2 2 2" xfId="18411" xr:uid="{1543B144-DA31-4359-9132-4090FFDBA356}"/>
    <cellStyle name="Migliaia 24 3 2 2 2 2 2" xfId="21857" xr:uid="{61CDDB78-881F-4AE4-B75E-EEC260647FC5}"/>
    <cellStyle name="Migliaia 24 3 2 2 2 2 2 2" xfId="38939" xr:uid="{740553F8-E272-4884-B386-7C71C6798F78}"/>
    <cellStyle name="Migliaia 24 3 2 2 2 2 3" xfId="44241" xr:uid="{E080BAF5-9C30-4718-A5D6-98CDAE3BDF61}"/>
    <cellStyle name="Migliaia 24 3 2 2 2 2 4" xfId="33497" xr:uid="{E833FFCC-8CF7-47C2-9A25-216929BE862B}"/>
    <cellStyle name="Migliaia 24 3 2 2 2 3" xfId="36416" xr:uid="{ECD7AA6F-67D4-42E6-80A4-A95CC56E0A08}"/>
    <cellStyle name="Migliaia 24 3 2 2 2 4" xfId="41590" xr:uid="{29E94EE5-1F67-4FFB-9F4C-FC46B75EAB1E}"/>
    <cellStyle name="Migliaia 24 3 2 2 2 5" xfId="46301" xr:uid="{41DC48C5-9277-47D7-B109-54D26D623299}"/>
    <cellStyle name="Migliaia 24 3 2 2 2 6" xfId="50885" xr:uid="{DE7AB520-CD9C-4B07-98B5-502781E3DA08}"/>
    <cellStyle name="Migliaia 24 3 2 2 2 7" xfId="53901" xr:uid="{19FF5B37-B00D-4352-8EA2-E9DC5104CF1A}"/>
    <cellStyle name="Migliaia 24 3 2 2 2 8" xfId="17654" xr:uid="{584F528F-2E1F-40C0-9B95-DFE5E74550A4}"/>
    <cellStyle name="Migliaia 24 3 2 2 2 9" xfId="11951" xr:uid="{AC1849A7-3470-4EF0-990F-B7822B73D062}"/>
    <cellStyle name="Migliaia 24 3 2 2 3" xfId="6300" xr:uid="{39E957C0-725D-4A54-AB31-25C406BF948C}"/>
    <cellStyle name="Migliaia 24 3 2 2 3 2" xfId="11673" xr:uid="{2A3BEDDC-7A06-4EFB-9FE2-7B56FF62D362}"/>
    <cellStyle name="Migliaia 24 3 2 2 4" xfId="3366" xr:uid="{E1CB6B32-815A-43FE-8ED7-751AFC81F853}"/>
    <cellStyle name="Migliaia 24 3 2 2 4 2" xfId="21449" xr:uid="{1B90CC0D-34F0-4C0E-9192-5F13F02FD661}"/>
    <cellStyle name="Migliaia 24 3 2 2 4 3" xfId="47042" xr:uid="{E03AC752-5BB2-4898-98BF-3F12D513C98D}"/>
    <cellStyle name="Migliaia 24 3 2 2 4 4" xfId="50464" xr:uid="{E48B0457-90C2-45D5-9E30-37ED20812FBF}"/>
    <cellStyle name="Migliaia 24 3 2 2 4 5" xfId="53480" xr:uid="{0930FE1F-9C92-4964-AFEC-C68BC939777F}"/>
    <cellStyle name="Migliaia 24 3 2 2 4 6" xfId="10814" xr:uid="{1FA60B98-3C66-46C2-86F4-97EBFFDC5CBF}"/>
    <cellStyle name="Migliaia 24 3 2 2 5" xfId="20167" xr:uid="{18354F6C-B69A-4C47-A01E-2F7EB8EFF04B}"/>
    <cellStyle name="Migliaia 24 3 2 2 6" xfId="24559" xr:uid="{E6717D38-4BA5-49CE-88B6-A859247194B0}"/>
    <cellStyle name="Migliaia 24 3 2 2 7" xfId="8579" xr:uid="{34D7AAB7-55EE-4F6C-8230-21A484691895}"/>
    <cellStyle name="Migliaia 24 3 2 3" xfId="5091" xr:uid="{DC4CBF6D-6A15-4FA2-9061-022DC1269AFA}"/>
    <cellStyle name="Migliaia 24 3 2 3 2" xfId="12416" xr:uid="{2E49C118-F8F5-4F12-9C10-691C101A9AA0}"/>
    <cellStyle name="Migliaia 24 3 2 3 2 2" xfId="38940" xr:uid="{6B9942F7-65F9-4C62-B70A-9C087304A82B}"/>
    <cellStyle name="Migliaia 24 3 2 3 2 3" xfId="44242" xr:uid="{2EDFD88F-031D-4A16-9361-CDB34C9318C0}"/>
    <cellStyle name="Migliaia 24 3 2 3 2 4" xfId="33498" xr:uid="{D3DD24EE-AD70-4FB7-8D6C-45F78E8D57C0}"/>
    <cellStyle name="Migliaia 24 3 2 3 3" xfId="11952" xr:uid="{D638A02C-38E7-42E0-889F-FA613AE3A092}"/>
    <cellStyle name="Migliaia 24 3 2 3 4" xfId="20168" xr:uid="{2EF1AC21-0E67-4DC1-B62D-5A1EAFBA9E1B}"/>
    <cellStyle name="Migliaia 24 3 2 3 4 2" xfId="41591" xr:uid="{2F1FFA8D-26DB-4972-90F9-D92000A6DED8}"/>
    <cellStyle name="Migliaia 24 3 2 3 5" xfId="16255" xr:uid="{107C5E4F-4175-4AFA-9E56-93F906977FA5}"/>
    <cellStyle name="Migliaia 24 3 2 3 6" xfId="7889" xr:uid="{F901D794-2A44-4E1B-A092-A023C417E2E5}"/>
    <cellStyle name="Migliaia 24 3 2 4" xfId="6299" xr:uid="{91BF71F5-CBAF-432F-98C9-08118ABE273D}"/>
    <cellStyle name="Migliaia 24 3 2 4 2" xfId="18073" xr:uid="{70D56CA2-BDF4-488E-823E-09A19C002502}"/>
    <cellStyle name="Migliaia 24 3 2 4 2 2" xfId="38941" xr:uid="{1C7CBD9E-A775-488E-B602-8C879200B8A1}"/>
    <cellStyle name="Migliaia 24 3 2 4 2 3" xfId="44243" xr:uid="{FE55F5E2-27B4-4C86-B4C7-91BB3E73B67D}"/>
    <cellStyle name="Migliaia 24 3 2 4 3" xfId="36417" xr:uid="{964D1323-DBE5-43C2-B765-FBA4C8A71FFB}"/>
    <cellStyle name="Migliaia 24 3 2 4 4" xfId="41592" xr:uid="{7BE12F8D-CC87-47AE-9CF5-F37A0D3C5DD3}"/>
    <cellStyle name="Migliaia 24 3 2 4 5" xfId="17168" xr:uid="{DFEA36B4-09FA-4965-BE02-6564E11760CB}"/>
    <cellStyle name="Migliaia 24 3 2 4 6" xfId="11300" xr:uid="{A5DBC939-339D-4CE4-BA13-A2820C927918}"/>
    <cellStyle name="Migliaia 24 3 2 5" xfId="3365" xr:uid="{EB69BF82-0E63-44EA-9762-FE189CE16B02}"/>
    <cellStyle name="Migliaia 24 3 2 5 2" xfId="33499" xr:uid="{CCB168BF-A0F8-43D1-B5DD-A46CAD232E07}"/>
    <cellStyle name="Migliaia 24 3 2 5 2 2" xfId="38942" xr:uid="{4771A827-D886-4637-91A8-5691468B9BEC}"/>
    <cellStyle name="Migliaia 24 3 2 5 2 3" xfId="44244" xr:uid="{60FAF889-6E4D-47DB-B5DF-E787F20D92B0}"/>
    <cellStyle name="Migliaia 24 3 2 5 3" xfId="36418" xr:uid="{C8C86FAC-945A-4DFB-BFCE-E66300DFFEE7}"/>
    <cellStyle name="Migliaia 24 3 2 5 4" xfId="41593" xr:uid="{02A38238-803D-4DED-A580-D9CC0B33B8B5}"/>
    <cellStyle name="Migliaia 24 3 2 5 5" xfId="17378" xr:uid="{7FBF97E0-3D9C-4FE9-91B8-5E992A7CF5AA}"/>
    <cellStyle name="Migliaia 24 3 2 6" xfId="20166" xr:uid="{06FD4F81-5FA0-4347-A62D-4E4DCF56A6BD}"/>
    <cellStyle name="Migliaia 24 3 2 6 2" xfId="33500" xr:uid="{3809AD6C-8158-46CB-A3EE-B9A8499E55CE}"/>
    <cellStyle name="Migliaia 24 3 2 6 2 2" xfId="38943" xr:uid="{DE8E8CF6-4831-49BD-909E-519550ADF5F0}"/>
    <cellStyle name="Migliaia 24 3 2 6 2 3" xfId="44245" xr:uid="{CCAE0301-7417-41A1-AF67-8487C61E20F6}"/>
    <cellStyle name="Migliaia 24 3 2 6 3" xfId="36419" xr:uid="{8999FF5E-7224-4777-812C-B18987E6EEC1}"/>
    <cellStyle name="Migliaia 24 3 2 6 4" xfId="41594" xr:uid="{E62E0C56-E968-4C0F-8143-2B70B47A850E}"/>
    <cellStyle name="Migliaia 24 3 2 6 5" xfId="24560" xr:uid="{C69F17F4-DF0E-4949-8162-2E49E5C57A1C}"/>
    <cellStyle name="Migliaia 24 3 2 7" xfId="24558" xr:uid="{6578B36B-EA03-405E-A5F8-857ECC842E58}"/>
    <cellStyle name="Migliaia 24 3 2 8" xfId="7389" xr:uid="{7A919875-4DC7-464E-9683-57E18C522109}"/>
    <cellStyle name="Migliaia 24 3 3" xfId="3367" xr:uid="{5080D7CB-DC55-42CD-891C-084F41F6BAB7}"/>
    <cellStyle name="Migliaia 24 3 3 10" xfId="7388" xr:uid="{39FC4D7F-571A-4700-BC85-4D2266FAAFBD}"/>
    <cellStyle name="Migliaia 24 3 3 2" xfId="5093" xr:uid="{DBBDB7FF-D1EC-4EF9-A1A2-F754098ABDB3}"/>
    <cellStyle name="Migliaia 24 3 3 2 2" xfId="9914" xr:uid="{BF582176-05D3-4EE9-ACCB-D12978124382}"/>
    <cellStyle name="Migliaia 24 3 3 2 2 2" xfId="38945" xr:uid="{7485B303-3124-4E3F-930F-8D50D1ACB0D1}"/>
    <cellStyle name="Migliaia 24 3 3 2 2 3" xfId="44247" xr:uid="{C478E30B-6836-42C9-9854-2145C34DEA06}"/>
    <cellStyle name="Migliaia 24 3 3 2 3" xfId="18194" xr:uid="{3B70E422-CF9C-474F-838A-E96786189CDF}"/>
    <cellStyle name="Migliaia 24 3 3 2 4" xfId="20170" xr:uid="{5936ECF2-CFE4-4D40-A146-A6395DF8995D}"/>
    <cellStyle name="Migliaia 24 3 3 2 4 2" xfId="41596" xr:uid="{F7CD7989-7F73-4963-863D-4CB3757B1268}"/>
    <cellStyle name="Migliaia 24 3 3 2 5" xfId="16257" xr:uid="{D72181E3-23DC-460C-962C-2A4C5308816D}"/>
    <cellStyle name="Migliaia 24 3 3 2 6" xfId="8578" xr:uid="{8E8C4ADC-8076-4B9E-9957-1A9A1E957685}"/>
    <cellStyle name="Migliaia 24 3 3 3" xfId="6301" xr:uid="{00E34DDA-B235-4423-9A24-4649321A08B5}"/>
    <cellStyle name="Migliaia 24 3 3 3 2" xfId="33502" xr:uid="{53CE48B7-1F95-4006-9416-7C8C10785450}"/>
    <cellStyle name="Migliaia 24 3 3 3 2 2" xfId="38946" xr:uid="{F1797AC4-4706-4570-A449-0CED8488F1DE}"/>
    <cellStyle name="Migliaia 24 3 3 3 2 3" xfId="44248" xr:uid="{13DB31C7-EE6A-4A6C-9B3C-0D6ACDC3EDE1}"/>
    <cellStyle name="Migliaia 24 3 3 3 3" xfId="36421" xr:uid="{CF928FBE-132F-4822-AEC1-562AFCC6BD70}"/>
    <cellStyle name="Migliaia 24 3 3 3 4" xfId="41597" xr:uid="{5E2B2230-AB83-40B3-A9CC-E429BF2A98D4}"/>
    <cellStyle name="Migliaia 24 3 3 3 5" xfId="9677" xr:uid="{DF244F4A-EBC1-4BBA-A57E-F6AED0E5B997}"/>
    <cellStyle name="Migliaia 24 3 3 4" xfId="20169" xr:uid="{150FF41C-3908-4A5B-95A7-B92860FDBD0B}"/>
    <cellStyle name="Migliaia 24 3 3 4 2" xfId="33503" xr:uid="{42E0E349-B045-4998-87BB-BE61E88508CA}"/>
    <cellStyle name="Migliaia 24 3 3 4 2 2" xfId="38947" xr:uid="{D29104BB-4CA0-48FA-85E8-C523C4DB2E2A}"/>
    <cellStyle name="Migliaia 24 3 3 4 2 3" xfId="44249" xr:uid="{FDE12FF4-B2F4-44F6-BD96-07ECB1CB0C08}"/>
    <cellStyle name="Migliaia 24 3 3 4 3" xfId="36422" xr:uid="{831A5647-C72A-47F1-BE1E-3739E4C956A3}"/>
    <cellStyle name="Migliaia 24 3 3 4 4" xfId="41598" xr:uid="{EAADE0D6-AB62-46B2-A00F-9F59D0DABFA4}"/>
    <cellStyle name="Migliaia 24 3 3 4 5" xfId="24561" xr:uid="{B64D0C84-03F5-433B-9B3F-EA02088E3EEB}"/>
    <cellStyle name="Migliaia 24 3 3 5" xfId="24562" xr:uid="{6EF9A295-7976-470D-A754-005CAB44D023}"/>
    <cellStyle name="Migliaia 24 3 3 5 2" xfId="33504" xr:uid="{54F3E16B-0AEB-49E4-B091-9C09EDB3206F}"/>
    <cellStyle name="Migliaia 24 3 3 5 2 2" xfId="38948" xr:uid="{7C72640D-AB65-47E8-9EA8-BAAFEDE438BD}"/>
    <cellStyle name="Migliaia 24 3 3 5 2 3" xfId="44250" xr:uid="{9798D2B8-4B29-419A-BC57-BB4F1A4C928D}"/>
    <cellStyle name="Migliaia 24 3 3 5 3" xfId="36423" xr:uid="{DFE4C316-F58D-49E8-A6EE-96FA1E62006E}"/>
    <cellStyle name="Migliaia 24 3 3 5 4" xfId="41599" xr:uid="{AED7C61C-9801-45DB-8F2D-42CDBEB10120}"/>
    <cellStyle name="Migliaia 24 3 3 6" xfId="33501" xr:uid="{EC267B39-F1AB-4E86-8341-E187D8013908}"/>
    <cellStyle name="Migliaia 24 3 3 6 2" xfId="38944" xr:uid="{E771CB15-6EDB-4950-8F52-B64F6CA289C0}"/>
    <cellStyle name="Migliaia 24 3 3 6 3" xfId="44246" xr:uid="{6F0F5E30-AFB7-4F56-A608-EC7C56EFE0D2}"/>
    <cellStyle name="Migliaia 24 3 3 7" xfId="36420" xr:uid="{3FAF5335-0ED1-439F-832C-132DC19CD105}"/>
    <cellStyle name="Migliaia 24 3 3 8" xfId="41595" xr:uid="{60E16F33-8CC5-488D-B0EF-CAA1F6751438}"/>
    <cellStyle name="Migliaia 24 3 3 9" xfId="16256" xr:uid="{460B7D96-D34C-46A7-9442-1438E3B6F96C}"/>
    <cellStyle name="Migliaia 24 3 4" xfId="3368" xr:uid="{69FA4E9E-9F66-40BB-8029-2AD9978FA728}"/>
    <cellStyle name="Migliaia 24 3 4 2" xfId="5094" xr:uid="{CAFC1F73-75AF-43D3-9E2A-B9D87C9C499F}"/>
    <cellStyle name="Migliaia 24 3 4 2 2" xfId="14439" xr:uid="{19ADDE76-9141-4F5E-AA30-0541A7EF977F}"/>
    <cellStyle name="Migliaia 24 3 4 2 3" xfId="18588" xr:uid="{B3445049-3F1F-450B-A52F-C85D0EDC2F5D}"/>
    <cellStyle name="Migliaia 24 3 4 2 4" xfId="20172" xr:uid="{68368BEE-4A13-4F46-9584-4449115F099B}"/>
    <cellStyle name="Migliaia 24 3 4 2 5" xfId="32347" xr:uid="{21BA9152-1DAD-4D2B-9002-CB58A5F09AEE}"/>
    <cellStyle name="Migliaia 24 3 4 2 6" xfId="16259" xr:uid="{1C3C4FFF-0001-4DEA-96F9-31C0FF7D62ED}"/>
    <cellStyle name="Migliaia 24 3 4 2 7" xfId="8862" xr:uid="{FAAC6ABB-92D4-441D-8EF5-DC1C2AFF34DE}"/>
    <cellStyle name="Migliaia 24 3 4 3" xfId="6302" xr:uid="{E809EBA2-44D0-4602-8451-F732832BCCF7}"/>
    <cellStyle name="Migliaia 24 3 4 3 2" xfId="35237" xr:uid="{D9994005-BD5D-4B5D-98FB-89985C7C2801}"/>
    <cellStyle name="Migliaia 24 3 4 3 2 2" xfId="40397" xr:uid="{FB0162B9-2EF5-45AD-B9FE-EE94293067CF}"/>
    <cellStyle name="Migliaia 24 3 4 3 2 3" xfId="45699" xr:uid="{091D3CF0-7154-42ED-AD43-50212BEFF526}"/>
    <cellStyle name="Migliaia 24 3 4 3 3" xfId="37746" xr:uid="{7776A0F3-589C-4C8B-9F94-EFC1941640C3}"/>
    <cellStyle name="Migliaia 24 3 4 3 4" xfId="43048" xr:uid="{289257AC-9B29-4ED8-AB64-4FB6B350B7A9}"/>
    <cellStyle name="Migliaia 24 3 4 3 5" xfId="13687" xr:uid="{23FBE108-AE64-4892-85F1-6402E2562495}"/>
    <cellStyle name="Migliaia 24 3 4 4" xfId="20171" xr:uid="{F49952E5-8222-4E15-AD04-740AB50B9A97}"/>
    <cellStyle name="Migliaia 24 3 4 4 2" xfId="38949" xr:uid="{8A865408-A53A-4979-8432-ADEB018DC3A7}"/>
    <cellStyle name="Migliaia 24 3 4 4 3" xfId="44251" xr:uid="{2BB4A405-8A1B-4ECE-8ABE-37557280F0A7}"/>
    <cellStyle name="Migliaia 24 3 4 4 4" xfId="33505" xr:uid="{994E23A8-3127-4A35-899E-BC53312F0F6F}"/>
    <cellStyle name="Migliaia 24 3 4 5" xfId="36424" xr:uid="{FD0BC3FE-6FFA-400D-9321-CCFDC3AA3D9C}"/>
    <cellStyle name="Migliaia 24 3 4 6" xfId="41600" xr:uid="{B576F88C-F960-445C-B608-1F0BB9DF82B5}"/>
    <cellStyle name="Migliaia 24 3 4 7" xfId="16258" xr:uid="{D4D9F791-AC12-4116-BC7F-16641ECF8A78}"/>
    <cellStyle name="Migliaia 24 3 4 8" xfId="7672" xr:uid="{C1EB15C3-2806-45E8-AA2E-172186BF7D10}"/>
    <cellStyle name="Migliaia 24 3 5" xfId="3369" xr:uid="{F362443F-12C6-4175-BB5F-46439D7850E8}"/>
    <cellStyle name="Migliaia 24 3 5 2" xfId="5095" xr:uid="{02CE5BEC-58E4-4B6B-BD08-2DBB87C18838}"/>
    <cellStyle name="Migliaia 24 3 5 2 2" xfId="35238" xr:uid="{483C1295-FACE-44CE-A942-42DF4901C18B}"/>
    <cellStyle name="Migliaia 24 3 5 2 2 2" xfId="40398" xr:uid="{BF3C3723-2C29-4BD1-AB68-5FC697BD1D81}"/>
    <cellStyle name="Migliaia 24 3 5 2 2 3" xfId="45700" xr:uid="{14D70866-7A7C-4A18-8A64-720A8D6CD261}"/>
    <cellStyle name="Migliaia 24 3 5 2 3" xfId="37747" xr:uid="{6C4A28A8-F820-4FCE-A4D6-68FB6CD7916F}"/>
    <cellStyle name="Migliaia 24 3 5 2 4" xfId="43049" xr:uid="{E64C7CFB-F76F-4BEF-A917-FA71B9634AAC}"/>
    <cellStyle name="Migliaia 24 3 5 2 5" xfId="14229" xr:uid="{8D27ED0C-F8B7-4220-BD08-063837623240}"/>
    <cellStyle name="Migliaia 24 3 5 3" xfId="6303" xr:uid="{5397E758-4CEE-4BD1-95D4-A750A6A0BB99}"/>
    <cellStyle name="Migliaia 24 3 5 3 2" xfId="38950" xr:uid="{0DF4FCAE-469E-4BF8-B553-F8D1A94FB804}"/>
    <cellStyle name="Migliaia 24 3 5 3 3" xfId="44252" xr:uid="{2DDF9C8A-4AB9-4D76-8032-EE6768C18BFB}"/>
    <cellStyle name="Migliaia 24 3 5 3 4" xfId="33506" xr:uid="{3E052C36-3FDC-4090-8243-417299AF4B07}"/>
    <cellStyle name="Migliaia 24 3 5 3 5" xfId="20173" xr:uid="{52CFD061-502C-42F2-859C-563285CEDB54}"/>
    <cellStyle name="Migliaia 24 3 5 4" xfId="36425" xr:uid="{683144DA-9034-4D54-9FE7-0D029312531F}"/>
    <cellStyle name="Migliaia 24 3 5 5" xfId="41601" xr:uid="{0C6E5B66-6827-4C95-88F6-16E61F67C573}"/>
    <cellStyle name="Migliaia 24 3 5 6" xfId="16260" xr:uid="{5FDB352B-299E-4123-ABC4-FFB51EFFCB6E}"/>
    <cellStyle name="Migliaia 24 3 5 7" xfId="8291" xr:uid="{7E0739F3-651F-40A4-8B32-E161A85A96F9}"/>
    <cellStyle name="Migliaia 24 3 6" xfId="5090" xr:uid="{A45AD157-4B1F-469F-84CE-1FFF66ABE1DF}"/>
    <cellStyle name="Migliaia 24 3 6 2" xfId="13934" xr:uid="{E16FD8F7-CF47-412A-AA6F-0D81E51F87FD}"/>
    <cellStyle name="Migliaia 24 3 6 2 2" xfId="38951" xr:uid="{25761ECB-95B2-4FD2-B2AE-475CA7A41FE9}"/>
    <cellStyle name="Migliaia 24 3 6 2 3" xfId="44253" xr:uid="{281B7FCF-6FCE-4DED-BAA5-FBAE1273E642}"/>
    <cellStyle name="Migliaia 24 3 6 3" xfId="18017" xr:uid="{D694BF3C-5C75-4973-8629-D95777527E63}"/>
    <cellStyle name="Migliaia 24 3 6 4" xfId="20174" xr:uid="{5315E724-E4DD-4F09-89BB-CB9C5203FE68}"/>
    <cellStyle name="Migliaia 24 3 6 4 2" xfId="41602" xr:uid="{C493499A-8810-424C-85AB-615A7499D601}"/>
    <cellStyle name="Migliaia 24 3 6 5" xfId="16261" xr:uid="{61D98CB6-117A-42CE-BC19-40EAF80B00E4}"/>
    <cellStyle name="Migliaia 24 3 6 6" xfId="7888" xr:uid="{FF9C2630-1580-4A9B-A106-1F8CAF119E4D}"/>
    <cellStyle name="Migliaia 24 3 7" xfId="6298" xr:uid="{75187E9A-83D9-4BAD-A87F-87DA361FED76}"/>
    <cellStyle name="Migliaia 24 3 7 2" xfId="33507" xr:uid="{EA9BA37A-9980-49F7-A9BA-7DDE8C9A84F7}"/>
    <cellStyle name="Migliaia 24 3 7 2 2" xfId="38952" xr:uid="{AA9EBAE5-BFF7-4C41-B7FA-BDBF3F22B10D}"/>
    <cellStyle name="Migliaia 24 3 7 2 3" xfId="44254" xr:uid="{6FFA0E89-67A3-4189-8720-3F80B3050D3D}"/>
    <cellStyle name="Migliaia 24 3 7 3" xfId="36426" xr:uid="{B70A4FA2-BCC3-4B89-BCBA-843F24211A79}"/>
    <cellStyle name="Migliaia 24 3 7 4" xfId="41603" xr:uid="{82C6A6E9-1B0B-466E-92AC-810995C9317F}"/>
    <cellStyle name="Migliaia 24 3 7 5" xfId="12280" xr:uid="{291BF857-8E07-4ABA-9581-06E60ABD72C7}"/>
    <cellStyle name="Migliaia 24 3 8" xfId="3364" xr:uid="{32525DFB-9303-4830-839D-36B1027D9C80}"/>
    <cellStyle name="Migliaia 24 3 8 2" xfId="33508" xr:uid="{3D534D0C-3861-4FBD-8D87-CF11405EAABF}"/>
    <cellStyle name="Migliaia 24 3 8 2 2" xfId="38953" xr:uid="{BB59BEED-9FBB-4ECF-8AEC-0EBAA0439D88}"/>
    <cellStyle name="Migliaia 24 3 8 2 3" xfId="44255" xr:uid="{381281EA-05A1-49D3-A90F-712C4F10E8E4}"/>
    <cellStyle name="Migliaia 24 3 8 3" xfId="36427" xr:uid="{C59492A6-B59D-4269-97D8-EFE0D66BE668}"/>
    <cellStyle name="Migliaia 24 3 8 4" xfId="41604" xr:uid="{9D5620B2-E2BD-475E-AB3C-0AD228FF09C1}"/>
    <cellStyle name="Migliaia 24 3 8 5" xfId="24563" xr:uid="{5AFFFFCF-5095-49A3-871C-F658AD9871BD}"/>
    <cellStyle name="Migliaia 24 3 8 6" xfId="17379" xr:uid="{C3AA07BB-9C6D-47F7-AA25-B971CE847856}"/>
    <cellStyle name="Migliaia 24 3 9" xfId="20165" xr:uid="{59C4C65C-C58C-4610-98C5-47B27AB24FB2}"/>
    <cellStyle name="Migliaia 24 4" xfId="1738" xr:uid="{00000000-0005-0000-0000-000055030000}"/>
    <cellStyle name="Migliaia 24 4 2" xfId="1739" xr:uid="{00000000-0005-0000-0000-000056030000}"/>
    <cellStyle name="Migliaia 24 4 2 2" xfId="5097" xr:uid="{CFF64CEE-E5D3-459B-8783-CC5187D3EA82}"/>
    <cellStyle name="Migliaia 24 4 2 2 2" xfId="33509" xr:uid="{A54D9DE1-9435-42D0-9966-FF7C00179AF9}"/>
    <cellStyle name="Migliaia 24 4 2 2 2 2" xfId="38954" xr:uid="{B7BBC24A-DF3D-47F7-975D-D0E3F891A696}"/>
    <cellStyle name="Migliaia 24 4 2 2 2 3" xfId="44256" xr:uid="{FEEAD5E5-98FE-4BA6-B5AB-B888095CC72B}"/>
    <cellStyle name="Migliaia 24 4 2 2 3" xfId="36428" xr:uid="{E5AD0167-4106-4E1F-AC43-1F512C69B81D}"/>
    <cellStyle name="Migliaia 24 4 2 2 4" xfId="41605" xr:uid="{265A28C9-F3A6-4403-924B-4A72B4F67593}"/>
    <cellStyle name="Migliaia 24 4 2 2 5" xfId="9140" xr:uid="{703D285F-83A8-4F8E-AD6A-4B4381470508}"/>
    <cellStyle name="Migliaia 24 4 2 3" xfId="3371" xr:uid="{EDB00360-2F12-4585-AD67-48B5AC187662}"/>
    <cellStyle name="Migliaia 24 4 2 3 2" xfId="33510" xr:uid="{F557822C-D09D-40CD-8881-AA55CEE65FA0}"/>
    <cellStyle name="Migliaia 24 4 2 3 2 2" xfId="38955" xr:uid="{643CF57D-78F7-4205-BBF6-6364BDD126AD}"/>
    <cellStyle name="Migliaia 24 4 2 3 2 3" xfId="44257" xr:uid="{7DEF0F7B-BF48-4014-9F04-1EDB10B7310E}"/>
    <cellStyle name="Migliaia 24 4 2 3 3" xfId="36429" xr:uid="{C418DEB1-1A51-4344-8FEA-FDFD2353F23B}"/>
    <cellStyle name="Migliaia 24 4 2 3 4" xfId="41606" xr:uid="{C5F54FCD-8860-4248-AA78-17C9DE20B804}"/>
    <cellStyle name="Migliaia 24 4 2 3 5" xfId="11953" xr:uid="{DC613FBB-B95A-47F4-8070-F00D4819F472}"/>
    <cellStyle name="Migliaia 24 4 2 4" xfId="11302" xr:uid="{AA94757A-7CAC-4648-A797-9247123E6CA5}"/>
    <cellStyle name="Migliaia 24 4 2 5" xfId="10816" xr:uid="{FE13542D-D497-4D24-B5D5-D4609DB5ABE7}"/>
    <cellStyle name="Migliaia 24 4 2 5 2" xfId="21451" xr:uid="{7CEAA743-3BD2-4F08-93F4-593555186456}"/>
    <cellStyle name="Migliaia 24 4 2 5 3" xfId="47386" xr:uid="{EC6A30E0-14D7-4690-AA1D-2540AC98B585}"/>
    <cellStyle name="Migliaia 24 4 2 5 4" xfId="50466" xr:uid="{A06846AD-9489-4803-B672-366E90F07DF8}"/>
    <cellStyle name="Migliaia 24 4 2 5 5" xfId="53482" xr:uid="{AB0BD9FA-1DF5-4025-BB3F-FF0AEFAD07C3}"/>
    <cellStyle name="Migliaia 24 4 2 6" xfId="20176" xr:uid="{FCFF112A-AD90-49CB-B3B4-075971612FD3}"/>
    <cellStyle name="Migliaia 24 4 2 7" xfId="24565" xr:uid="{F0AA644F-8085-4806-8E3A-50F2B95A41EE}"/>
    <cellStyle name="Migliaia 24 4 2 8" xfId="8580" xr:uid="{B45105B3-0AA9-42C1-9C67-A7820903144D}"/>
    <cellStyle name="Migliaia 24 4 3" xfId="5096" xr:uid="{00DEA2FE-CC5F-42CD-849F-5D5A174EE1E6}"/>
    <cellStyle name="Migliaia 24 4 3 2" xfId="18195" xr:uid="{F0153962-E808-4643-B061-87CD8E8608A3}"/>
    <cellStyle name="Migliaia 24 4 3 2 2" xfId="38956" xr:uid="{0D37F394-ACA6-4D59-B796-6318D8C4ABD9}"/>
    <cellStyle name="Migliaia 24 4 3 2 3" xfId="44258" xr:uid="{F0CBF0FB-D6A9-485B-8D35-1CDDB9A5D126}"/>
    <cellStyle name="Migliaia 24 4 3 3" xfId="36430" xr:uid="{FA0A2E54-D1A2-4239-A897-969B7DA1D14B}"/>
    <cellStyle name="Migliaia 24 4 3 4" xfId="41607" xr:uid="{3BDBDF1B-5D79-45CE-9B4F-B4CEA1CECF62}"/>
    <cellStyle name="Migliaia 24 4 3 5" xfId="17377" xr:uid="{00425247-40D8-45BF-AAA6-8365814581B6}"/>
    <cellStyle name="Migliaia 24 4 3 6" xfId="9141" xr:uid="{E058D7D3-D8E0-4368-A3E7-AC37E978C24D}"/>
    <cellStyle name="Migliaia 24 4 4" xfId="6304" xr:uid="{94ED669E-EDE8-4613-806B-B8A4AFED2D1B}"/>
    <cellStyle name="Migliaia 24 4 4 2" xfId="33511" xr:uid="{365FFE34-53E6-4CF6-BED8-22419396CA2A}"/>
    <cellStyle name="Migliaia 24 4 4 2 2" xfId="38957" xr:uid="{68E796DD-7E75-45D9-BB09-B6FC04383294}"/>
    <cellStyle name="Migliaia 24 4 4 2 3" xfId="44259" xr:uid="{AC9C98B7-E8DB-4096-BFFA-82D92C07CECC}"/>
    <cellStyle name="Migliaia 24 4 4 3" xfId="36431" xr:uid="{7140E8C3-1C4E-4F5A-BDCF-9E1D88ED1B37}"/>
    <cellStyle name="Migliaia 24 4 4 4" xfId="41608" xr:uid="{F5B3D0A4-9F71-4DD4-94FD-1DCE15C49450}"/>
    <cellStyle name="Migliaia 24 4 4 5" xfId="11954" xr:uid="{3C4226D9-EACC-4BE8-BFD1-9C617120592A}"/>
    <cellStyle name="Migliaia 24 4 5" xfId="3370" xr:uid="{6019BAB4-8615-428F-864B-C5B30728FBE8}"/>
    <cellStyle name="Migliaia 24 4 5 2" xfId="33512" xr:uid="{F148E4DE-0BAC-48CD-8D8C-E9B797FFB845}"/>
    <cellStyle name="Migliaia 24 4 5 2 2" xfId="38958" xr:uid="{E157D036-40ED-4E6C-ACE3-6381434CA72C}"/>
    <cellStyle name="Migliaia 24 4 5 2 3" xfId="44260" xr:uid="{34B72D4B-7067-4F7F-A6C3-C5324D5296C9}"/>
    <cellStyle name="Migliaia 24 4 5 3" xfId="36432" xr:uid="{95F672BE-A916-4E2B-A3CE-EEDDB99DF276}"/>
    <cellStyle name="Migliaia 24 4 5 4" xfId="41609" xr:uid="{D3892DBC-29BB-4FDA-A1F6-BA8E98BC543C}"/>
    <cellStyle name="Migliaia 24 4 5 5" xfId="11301" xr:uid="{84D116CE-A851-4799-80A5-8ECE3C10C3E0}"/>
    <cellStyle name="Migliaia 24 4 6" xfId="10815" xr:uid="{CCDBED45-99A5-47A2-88E9-F7DB601B827A}"/>
    <cellStyle name="Migliaia 24 4 6 2" xfId="21450" xr:uid="{96115C3C-46B6-424E-A3C9-60C00A5244A7}"/>
    <cellStyle name="Migliaia 24 4 6 2 2" xfId="38959" xr:uid="{A3AF51F1-5537-4760-94F0-0FE0445CF6CB}"/>
    <cellStyle name="Migliaia 24 4 6 2 3" xfId="44261" xr:uid="{CD2CF63F-74D7-403A-AE89-C6D5E42DC72D}"/>
    <cellStyle name="Migliaia 24 4 6 2 4" xfId="33513" xr:uid="{C98FAA10-EC57-4219-BAC8-A6055E6862C1}"/>
    <cellStyle name="Migliaia 24 4 6 3" xfId="36433" xr:uid="{5E5A494E-D94C-4DCD-9604-C27B29CCCF71}"/>
    <cellStyle name="Migliaia 24 4 6 4" xfId="41610" xr:uid="{1E97300B-4DB7-4347-877D-44A4FE5E9498}"/>
    <cellStyle name="Migliaia 24 4 6 5" xfId="24566" xr:uid="{C958716E-9744-4CCF-B6ED-6EFE13388621}"/>
    <cellStyle name="Migliaia 24 4 6 6" xfId="46644" xr:uid="{F73DD1C7-9925-4C29-998B-780C12E19350}"/>
    <cellStyle name="Migliaia 24 4 6 7" xfId="50465" xr:uid="{8DACBA5C-E5A3-474A-B834-6540621D42F9}"/>
    <cellStyle name="Migliaia 24 4 6 8" xfId="53481" xr:uid="{86770EEE-D242-424F-BBB1-611B79512F50}"/>
    <cellStyle name="Migliaia 24 4 7" xfId="20175" xr:uid="{2A6AF626-A9D0-4B4E-AB33-B0741D910CB9}"/>
    <cellStyle name="Migliaia 24 4 7 2" xfId="33514" xr:uid="{42411B4D-87A8-4567-A290-046815FE4336}"/>
    <cellStyle name="Migliaia 24 4 7 2 2" xfId="38960" xr:uid="{97873933-1EF7-4800-826E-D5FB3C87DA36}"/>
    <cellStyle name="Migliaia 24 4 7 2 3" xfId="44262" xr:uid="{2769745D-A33E-4F43-A595-3CD9AA22CB25}"/>
    <cellStyle name="Migliaia 24 4 7 3" xfId="36434" xr:uid="{3411A9F8-2F40-4756-8BA7-F9ADE28B1444}"/>
    <cellStyle name="Migliaia 24 4 7 4" xfId="41611" xr:uid="{CCA916A9-1A1F-4FD7-A0AC-4A8A7A3B0B98}"/>
    <cellStyle name="Migliaia 24 4 7 5" xfId="24567" xr:uid="{7BBD0D46-9323-484F-80C0-556A5F67FC0A}"/>
    <cellStyle name="Migliaia 24 4 8" xfId="24564" xr:uid="{2403CDE5-52F2-4E72-A59A-E2FA20BCF92C}"/>
    <cellStyle name="Migliaia 24 4 9" xfId="7390" xr:uid="{C38DF961-2202-4301-A5FB-EB0F55618D0F}"/>
    <cellStyle name="Migliaia 24 5" xfId="1740" xr:uid="{00000000-0005-0000-0000-000057030000}"/>
    <cellStyle name="Migliaia 24 5 2" xfId="5098" xr:uid="{E6A8A29D-1CBD-4A83-AE16-C1A06670B2C6}"/>
    <cellStyle name="Migliaia 24 5 2 2" xfId="18412" xr:uid="{FE302BDA-A5E6-4EAC-AF2F-219685157812}"/>
    <cellStyle name="Migliaia 24 5 2 2 2" xfId="38961" xr:uid="{AB9DF0FC-FD5C-4300-A54C-AD1217D8D6CF}"/>
    <cellStyle name="Migliaia 24 5 2 2 3" xfId="44263" xr:uid="{152233A3-459E-48B9-B9D2-16AB2117CA2D}"/>
    <cellStyle name="Migliaia 24 5 2 3" xfId="20178" xr:uid="{35038B44-36F9-4AFE-B798-4331F5BF609C}"/>
    <cellStyle name="Migliaia 24 5 2 3 2" xfId="36435" xr:uid="{1CA7DFCB-B246-498B-A85A-EFBCDCA3ECC7}"/>
    <cellStyle name="Migliaia 24 5 2 4" xfId="41612" xr:uid="{FD9CEA0B-7B0D-4DEA-88AF-987558CA74E2}"/>
    <cellStyle name="Migliaia 24 5 2 5" xfId="16262" xr:uid="{2124EB96-A52E-4AAF-B407-7BFC45EBCBEC}"/>
    <cellStyle name="Migliaia 24 5 2 6" xfId="8581" xr:uid="{619A50F3-0C03-48AE-B1E6-4176A5150FBE}"/>
    <cellStyle name="Migliaia 24 5 3" xfId="6305" xr:uid="{7DAAB8D0-929C-4FDA-A040-4F48D540E717}"/>
    <cellStyle name="Migliaia 24 5 3 2" xfId="33515" xr:uid="{011239E5-A746-4618-958C-98CC18D891DC}"/>
    <cellStyle name="Migliaia 24 5 3 2 2" xfId="38962" xr:uid="{2CDF3884-2214-4450-8330-0901FB9BC3F9}"/>
    <cellStyle name="Migliaia 24 5 3 2 3" xfId="44264" xr:uid="{2E1EC8DF-77E8-460E-8783-C99107D4186B}"/>
    <cellStyle name="Migliaia 24 5 3 3" xfId="36436" xr:uid="{66DEDD6C-885E-4A03-B674-EE543CE7F149}"/>
    <cellStyle name="Migliaia 24 5 3 4" xfId="41613" xr:uid="{5D7CCCA8-3052-4C89-9BE2-DA0FD61564CE}"/>
    <cellStyle name="Migliaia 24 5 3 5" xfId="11303" xr:uid="{7F26D11D-534F-40B2-8DC9-57F46333C7EA}"/>
    <cellStyle name="Migliaia 24 5 4" xfId="3372" xr:uid="{37B651D2-DBB1-451D-AB77-7AFDC42D0DA6}"/>
    <cellStyle name="Migliaia 24 5 4 2" xfId="21452" xr:uid="{2F4125AB-15D0-4AEB-901C-8245A5AE0EF4}"/>
    <cellStyle name="Migliaia 24 5 4 2 2" xfId="38963" xr:uid="{6861C0FE-12BF-4BA0-A7D5-2658005D3A63}"/>
    <cellStyle name="Migliaia 24 5 4 2 3" xfId="44265" xr:uid="{8FB6C174-B1DF-4AA3-A33F-B0314DF414C4}"/>
    <cellStyle name="Migliaia 24 5 4 2 4" xfId="33516" xr:uid="{4BEB3EE5-4F9B-4678-838F-DD137C647E0B}"/>
    <cellStyle name="Migliaia 24 5 4 3" xfId="36437" xr:uid="{A42725E4-E07E-49D6-8CD7-AD434CF0E9B8}"/>
    <cellStyle name="Migliaia 24 5 4 4" xfId="41614" xr:uid="{DD521FC7-B020-4F99-8483-3071C6212AD9}"/>
    <cellStyle name="Migliaia 24 5 4 5" xfId="24569" xr:uid="{C936BF96-B450-42AC-8DF8-0783E044462B}"/>
    <cellStyle name="Migliaia 24 5 4 6" xfId="47998" xr:uid="{D76605F1-99F4-4F8E-9842-A8E56AA5075B}"/>
    <cellStyle name="Migliaia 24 5 4 7" xfId="50467" xr:uid="{0E68C300-9BC4-4156-8F69-B582B60C2EC9}"/>
    <cellStyle name="Migliaia 24 5 4 8" xfId="53483" xr:uid="{76F6C396-06E2-4D5F-80F6-8C29C27D37FA}"/>
    <cellStyle name="Migliaia 24 5 4 9" xfId="10817" xr:uid="{FE9917F8-C965-4074-B2C1-A6AC605919AD}"/>
    <cellStyle name="Migliaia 24 5 5" xfId="20177" xr:uid="{7407C888-B262-4B8A-ABD8-889785A2610B}"/>
    <cellStyle name="Migliaia 24 5 5 2" xfId="33517" xr:uid="{8A26DA96-018C-4B10-93D1-6C9F7D39DDB6}"/>
    <cellStyle name="Migliaia 24 5 5 2 2" xfId="38964" xr:uid="{381A3B03-A174-4DE0-B35E-FD726E8BC195}"/>
    <cellStyle name="Migliaia 24 5 5 2 3" xfId="44266" xr:uid="{A07A63FD-065C-44EC-8B2B-164200339750}"/>
    <cellStyle name="Migliaia 24 5 5 3" xfId="36438" xr:uid="{5CD4A038-CBF1-4549-9914-C5E4D1F06D03}"/>
    <cellStyle name="Migliaia 24 5 5 4" xfId="41615" xr:uid="{C0FBF3F0-E2A4-4C1D-AE3D-DD7CC57BE7A3}"/>
    <cellStyle name="Migliaia 24 5 5 5" xfId="24570" xr:uid="{02677B25-B5DE-4585-8050-87035A1B876D}"/>
    <cellStyle name="Migliaia 24 5 6" xfId="24571" xr:uid="{E7561426-9A28-4A53-A910-77458DE52E5B}"/>
    <cellStyle name="Migliaia 24 5 6 2" xfId="33518" xr:uid="{74663E8E-659D-4718-8838-A147799878FB}"/>
    <cellStyle name="Migliaia 24 5 6 2 2" xfId="38965" xr:uid="{FC3B431A-CAB9-4EBC-B7B2-369E91982551}"/>
    <cellStyle name="Migliaia 24 5 6 2 3" xfId="44267" xr:uid="{C3A1CA09-63C9-4426-B19C-4E779F6B7108}"/>
    <cellStyle name="Migliaia 24 5 6 3" xfId="36439" xr:uid="{6B4DAE19-B1F1-4AA6-A48C-35241044D8D5}"/>
    <cellStyle name="Migliaia 24 5 6 4" xfId="41616" xr:uid="{7BA7A6CC-FBBB-4EC8-9EB1-E0ACC1C2A56B}"/>
    <cellStyle name="Migliaia 24 5 7" xfId="24568" xr:uid="{DAC5B0B0-9108-4B80-82B9-D124C15F3EF4}"/>
    <cellStyle name="Migliaia 24 5 8" xfId="7391" xr:uid="{C1EA155D-62B5-48EB-A23B-79572632535F}"/>
    <cellStyle name="Migliaia 24 6" xfId="3373" xr:uid="{12987F15-688D-43E6-AC9B-83A17E1FEA94}"/>
    <cellStyle name="Migliaia 24 6 2" xfId="5099" xr:uid="{DAD51866-B3DD-457A-A332-4650219BABF0}"/>
    <cellStyle name="Migliaia 24 6 2 2" xfId="9913" xr:uid="{A63A30D9-DA79-46BD-8D4A-0FF187498EAD}"/>
    <cellStyle name="Migliaia 24 6 2 3" xfId="18664" xr:uid="{A79F986C-D408-4748-A81A-58AC00E61384}"/>
    <cellStyle name="Migliaia 24 6 2 4" xfId="20180" xr:uid="{C323BC30-7D71-4B7C-AC26-3D9569301921}"/>
    <cellStyle name="Migliaia 24 6 2 5" xfId="32348" xr:uid="{1FB863F4-F2CC-456A-896B-B15A6C7E1F87}"/>
    <cellStyle name="Migliaia 24 6 2 6" xfId="16264" xr:uid="{C860E5D7-ED8A-4114-AB43-D700C1C8FE2E}"/>
    <cellStyle name="Migliaia 24 6 2 7" xfId="8576" xr:uid="{7831EEF9-42DB-48E0-B52A-3E886F1100EE}"/>
    <cellStyle name="Migliaia 24 6 3" xfId="6306" xr:uid="{B4A6E9C9-2039-4CC7-A5B5-7B085A8FB3A2}"/>
    <cellStyle name="Migliaia 24 6 3 2" xfId="35239" xr:uid="{D6CB368D-EB83-45B2-931D-02C7786AF19A}"/>
    <cellStyle name="Migliaia 24 6 3 2 2" xfId="40399" xr:uid="{B215E2D8-544F-4505-92F3-97C69EB6F26E}"/>
    <cellStyle name="Migliaia 24 6 3 2 3" xfId="45701" xr:uid="{B2B47C0F-92C6-4B60-B3E0-FE1070313A39}"/>
    <cellStyle name="Migliaia 24 6 3 3" xfId="37748" xr:uid="{8B43CE4E-FC49-4E07-978D-8773DF3B1E9B}"/>
    <cellStyle name="Migliaia 24 6 3 4" xfId="43050" xr:uid="{E9FA4065-9394-4DE6-A200-0D1688E507E2}"/>
    <cellStyle name="Migliaia 24 6 3 5" xfId="9676" xr:uid="{EDA32886-4EC2-4317-9572-16AE2B72BABE}"/>
    <cellStyle name="Migliaia 24 6 4" xfId="20179" xr:uid="{BA3D323B-071F-437D-8A63-74A0647388E4}"/>
    <cellStyle name="Migliaia 24 6 4 2" xfId="38966" xr:uid="{1559A435-A033-4198-BCA5-6D236A1BC6E6}"/>
    <cellStyle name="Migliaia 24 6 4 3" xfId="44268" xr:uid="{ABA9895E-935C-4B11-A702-F102FCC64E44}"/>
    <cellStyle name="Migliaia 24 6 4 4" xfId="33519" xr:uid="{0404C90E-9EDC-4516-997C-A51ACF2A7046}"/>
    <cellStyle name="Migliaia 24 6 5" xfId="36440" xr:uid="{862FB6F7-43BF-47FE-A45D-AF5AE5F1CD31}"/>
    <cellStyle name="Migliaia 24 6 6" xfId="41617" xr:uid="{A0A7D0B7-0377-424F-858E-C293723F6B6D}"/>
    <cellStyle name="Migliaia 24 6 7" xfId="16263" xr:uid="{08E11B2E-E7AB-4AF6-B817-07328A137B8B}"/>
    <cellStyle name="Migliaia 24 6 8" xfId="7386" xr:uid="{4CE46EF6-7752-4781-AE3B-11556B98CFF6}"/>
    <cellStyle name="Migliaia 24 7" xfId="3374" xr:uid="{885BE739-6891-4E49-B26F-385C87E3C7C4}"/>
    <cellStyle name="Migliaia 24 7 2" xfId="5100" xr:uid="{8CEFDD5E-37EF-41DD-8199-D84B7861BA02}"/>
    <cellStyle name="Migliaia 24 7 2 2" xfId="35240" xr:uid="{D629048B-8A49-457E-9AEC-F968B6686356}"/>
    <cellStyle name="Migliaia 24 7 2 2 2" xfId="40400" xr:uid="{93B21BC8-36C4-4C62-8170-686F420A521A}"/>
    <cellStyle name="Migliaia 24 7 2 2 3" xfId="45702" xr:uid="{FB2D6D46-01B6-42F2-8ED0-32CB28D00B50}"/>
    <cellStyle name="Migliaia 24 7 2 3" xfId="37749" xr:uid="{9C90DD7E-C33E-46E9-81F1-C7185FF6BDD5}"/>
    <cellStyle name="Migliaia 24 7 2 4" xfId="43051" xr:uid="{A26E65E6-2270-455B-B1CC-B8A208747988}"/>
    <cellStyle name="Migliaia 24 7 2 5" xfId="14227" xr:uid="{85EE35BA-9348-40B3-965C-41CC66B1EF0D}"/>
    <cellStyle name="Migliaia 24 7 3" xfId="6307" xr:uid="{CA142AE6-96A8-4A9C-9D36-C5890FFE1947}"/>
    <cellStyle name="Migliaia 24 7 3 2" xfId="38967" xr:uid="{26A13EEA-5397-44D1-919A-84429413E482}"/>
    <cellStyle name="Migliaia 24 7 3 3" xfId="44269" xr:uid="{2421E7B7-875C-4DD1-B26B-CD56CDA8E0EB}"/>
    <cellStyle name="Migliaia 24 7 3 4" xfId="33520" xr:uid="{DE220643-21E3-415C-B787-55AE86603238}"/>
    <cellStyle name="Migliaia 24 7 3 5" xfId="20181" xr:uid="{71237E60-5E78-4B23-92C5-919EAAC63CD7}"/>
    <cellStyle name="Migliaia 24 7 4" xfId="36441" xr:uid="{41A0E665-5BCC-4FD9-8575-1BB2F760F82A}"/>
    <cellStyle name="Migliaia 24 7 5" xfId="41618" xr:uid="{68E2B2CE-F678-4458-8A32-79B4C4440791}"/>
    <cellStyle name="Migliaia 24 7 6" xfId="16265" xr:uid="{8F5878D4-D2DC-4375-9691-B11DBFA16AAC}"/>
    <cellStyle name="Migliaia 24 7 7" xfId="8289" xr:uid="{F64E9A75-B803-4CCB-BE72-93BB0EA771ED}"/>
    <cellStyle name="Migliaia 24 8" xfId="3375" xr:uid="{52BA4F70-4251-4BD1-80F0-89160808AA6B}"/>
    <cellStyle name="Migliaia 24 8 2" xfId="5101" xr:uid="{29A881C4-FF5C-4068-8658-967A32DFF1FC}"/>
    <cellStyle name="Migliaia 24 8 2 2" xfId="35241" xr:uid="{569528A5-2A0C-479A-BA0D-6D3EC9E56D6C}"/>
    <cellStyle name="Migliaia 24 8 2 2 2" xfId="40401" xr:uid="{91C03A51-4939-4227-980D-5509269DA626}"/>
    <cellStyle name="Migliaia 24 8 2 2 3" xfId="45703" xr:uid="{447B1516-F001-4832-9B23-6A319C717541}"/>
    <cellStyle name="Migliaia 24 8 2 3" xfId="37750" xr:uid="{47D3497C-6E84-437D-AC1A-B31EE0D134FB}"/>
    <cellStyle name="Migliaia 24 8 2 4" xfId="43052" xr:uid="{8755EA17-2DBA-4644-82BC-F1422B855850}"/>
    <cellStyle name="Migliaia 24 8 2 5" xfId="13932" xr:uid="{2FED6196-4041-4389-9214-63E9EF896FDC}"/>
    <cellStyle name="Migliaia 24 8 3" xfId="6308" xr:uid="{E3550C8D-2512-4DDC-B2C1-38FFA9010B43}"/>
    <cellStyle name="Migliaia 24 8 3 2" xfId="38968" xr:uid="{74EED139-49D7-4B88-86F4-2346C153840E}"/>
    <cellStyle name="Migliaia 24 8 3 3" xfId="44270" xr:uid="{617CD764-3504-4413-A393-AF1A07ED5D3A}"/>
    <cellStyle name="Migliaia 24 8 3 4" xfId="33521" xr:uid="{BC63B5C0-0F44-4A36-B42A-80298FF2DF81}"/>
    <cellStyle name="Migliaia 24 8 3 5" xfId="20182" xr:uid="{20AFADD6-734A-40AA-9926-FF3171C6C615}"/>
    <cellStyle name="Migliaia 24 8 4" xfId="36442" xr:uid="{FECD5A50-9372-487B-961C-71757BD12D15}"/>
    <cellStyle name="Migliaia 24 8 5" xfId="41619" xr:uid="{42BC7F34-3D03-4655-913C-BAEC93A3A126}"/>
    <cellStyle name="Migliaia 24 8 6" xfId="16266" xr:uid="{5F29A9D8-D5EE-482B-B244-BC2E6D71D3FD}"/>
    <cellStyle name="Migliaia 24 8 7" xfId="7886" xr:uid="{FFCE4EE9-FE79-400B-9DE0-BAE96738CA4D}"/>
    <cellStyle name="Migliaia 24 9" xfId="5086" xr:uid="{8FD6BE4B-B51C-4CE9-9FAE-9659FFEFE32E}"/>
    <cellStyle name="Migliaia 24 9 2" xfId="33522" xr:uid="{0DD57DD7-A3D6-4FE5-8828-6088E1C97D5D}"/>
    <cellStyle name="Migliaia 24 9 2 2" xfId="38969" xr:uid="{5B1AE4FE-2C4F-4561-88FA-BF7200328262}"/>
    <cellStyle name="Migliaia 24 9 2 3" xfId="44271" xr:uid="{B449294A-B515-4A04-9631-E634309AA9E2}"/>
    <cellStyle name="Migliaia 24 9 3" xfId="36443" xr:uid="{B18EEB02-1E4A-4F3E-BAA5-CF5C9860AF8E}"/>
    <cellStyle name="Migliaia 24 9 4" xfId="41620" xr:uid="{077878B0-3A05-4C77-944C-63846C97C91C}"/>
    <cellStyle name="Migliaia 24 9 5" xfId="17167" xr:uid="{2BE1D7F7-86B0-445C-81C8-4DBA3D70D330}"/>
    <cellStyle name="Migliaia 25" xfId="369" xr:uid="{00000000-0005-0000-0000-000058030000}"/>
    <cellStyle name="Migliaia 25 10" xfId="6309" xr:uid="{22C255AC-2DD4-4B62-BD8D-BC16A361F43C}"/>
    <cellStyle name="Migliaia 25 10 2" xfId="38970" xr:uid="{FB5B2AA4-87B7-41FE-B371-17350EACA779}"/>
    <cellStyle name="Migliaia 25 10 3" xfId="44272" xr:uid="{FBDCFA4E-FDA6-4534-9DD3-8619DB2A0F47}"/>
    <cellStyle name="Migliaia 25 10 4" xfId="33523" xr:uid="{7D67491F-E4CA-4FA5-9C7C-9CECD5B23989}"/>
    <cellStyle name="Migliaia 25 10 5" xfId="20183" xr:uid="{5FC65A6B-27D6-49DF-829E-44677B1B5181}"/>
    <cellStyle name="Migliaia 25 11" xfId="3376" xr:uid="{EB767F5E-B74B-4014-A570-4E58A81A5A5F}"/>
    <cellStyle name="Migliaia 25 11 2" xfId="36444" xr:uid="{E45D0E7F-1927-47B4-A8A5-707008B41B8C}"/>
    <cellStyle name="Migliaia 25 12" xfId="41621" xr:uid="{5473ED80-E22F-44F6-9376-8D09DD0C69E8}"/>
    <cellStyle name="Migliaia 25 13" xfId="7093" xr:uid="{7ED68612-D43E-4BFC-9E62-09D4CCF9ADB3}"/>
    <cellStyle name="Migliaia 25 2" xfId="370" xr:uid="{00000000-0005-0000-0000-000059030000}"/>
    <cellStyle name="Migliaia 25 2 2" xfId="1741" xr:uid="{00000000-0005-0000-0000-00005A030000}"/>
    <cellStyle name="Migliaia 25 2 2 2" xfId="5104" xr:uid="{EA6A8529-8704-4CE0-A6CE-EA273360199D}"/>
    <cellStyle name="Migliaia 25 2 2 2 2" xfId="14380" xr:uid="{CB88B3B3-51B6-42C4-B8D2-824ED3803DAE}"/>
    <cellStyle name="Migliaia 25 2 2 2 2 2" xfId="38971" xr:uid="{EF4B8C60-BF73-4DFD-885C-16EE184B6DF1}"/>
    <cellStyle name="Migliaia 25 2 2 2 2 3" xfId="44273" xr:uid="{0DCA1249-0D56-464D-B482-DFAF802F943A}"/>
    <cellStyle name="Migliaia 25 2 2 2 3" xfId="18413" xr:uid="{BBD65F43-8ECB-4B53-8371-DD7E10AA5A7E}"/>
    <cellStyle name="Migliaia 25 2 2 2 4" xfId="20186" xr:uid="{2E3F731C-17A3-4374-BD99-704A85DE2BC4}"/>
    <cellStyle name="Migliaia 25 2 2 2 4 2" xfId="41622" xr:uid="{9B9D5C53-E9BD-4971-83DC-B22941D49C20}"/>
    <cellStyle name="Migliaia 25 2 2 2 5" xfId="16267" xr:uid="{A9C4B761-FD68-471D-8072-70D3563406CF}"/>
    <cellStyle name="Migliaia 25 2 2 2 6" xfId="8583" xr:uid="{17131682-C8ED-404D-ACD7-7511C20DC3D1}"/>
    <cellStyle name="Migliaia 25 2 2 3" xfId="6311" xr:uid="{1916F5D5-38E4-4E7D-8BB1-B19AB9795ECD}"/>
    <cellStyle name="Migliaia 25 2 2 3 2" xfId="35242" xr:uid="{DA5C64BB-4DA5-44D5-836C-B5765D92EB5D}"/>
    <cellStyle name="Migliaia 25 2 2 3 2 2" xfId="40402" xr:uid="{CDA9742F-18AE-48F3-BC5E-113C4179CF74}"/>
    <cellStyle name="Migliaia 25 2 2 3 2 3" xfId="45704" xr:uid="{788BD8D2-A3AC-452F-9538-1AA6FD3BEE68}"/>
    <cellStyle name="Migliaia 25 2 2 3 3" xfId="37751" xr:uid="{D7531CAC-B5AB-459F-AF48-A7AF6A8E4E20}"/>
    <cellStyle name="Migliaia 25 2 2 3 4" xfId="43053" xr:uid="{D36FE684-F30B-4F93-8890-E6039B9DA24A}"/>
    <cellStyle name="Migliaia 25 2 2 3 5" xfId="11607" xr:uid="{DA378B2A-065A-40FE-B51B-464314B3D9E6}"/>
    <cellStyle name="Migliaia 25 2 2 4" xfId="3378" xr:uid="{189CD87C-0B8E-494B-8199-876878822E5E}"/>
    <cellStyle name="Migliaia 25 2 2 4 2" xfId="21453" xr:uid="{FF1ADAF8-68B2-4F61-8A66-776DD0B3D396}"/>
    <cellStyle name="Migliaia 25 2 2 4 3" xfId="47958" xr:uid="{3988A973-64D3-4CC6-8F1D-D12E5B09F1AD}"/>
    <cellStyle name="Migliaia 25 2 2 4 4" xfId="50468" xr:uid="{835A0D21-DD8F-4DB0-AE45-CFDC0EDA0DC8}"/>
    <cellStyle name="Migliaia 25 2 2 4 5" xfId="53484" xr:uid="{F3542E83-8543-4214-B8E9-C7025707FE10}"/>
    <cellStyle name="Migliaia 25 2 2 4 6" xfId="10818" xr:uid="{FBC57E46-EDF0-4646-B74B-150C760F6237}"/>
    <cellStyle name="Migliaia 25 2 2 5" xfId="20185" xr:uid="{F6F05EA2-E672-4E93-BC22-79D7806AC470}"/>
    <cellStyle name="Migliaia 25 2 2 6" xfId="24573" xr:uid="{4A5288D4-B05A-4C32-949E-25CFE4FFE7BA}"/>
    <cellStyle name="Migliaia 25 2 2 7" xfId="7393" xr:uid="{61E92F38-569D-4344-86B5-426A9B028FA3}"/>
    <cellStyle name="Migliaia 25 2 3" xfId="3379" xr:uid="{6E3C30E8-D2E4-46BB-96FE-B2F88DA9A688}"/>
    <cellStyle name="Migliaia 25 2 3 2" xfId="5105" xr:uid="{F20A949A-81AC-4F92-B20F-7A5EA04C9A46}"/>
    <cellStyle name="Migliaia 25 2 3 2 2" xfId="35243" xr:uid="{6A48FFAE-3550-4009-9B74-D7764E92E1D2}"/>
    <cellStyle name="Migliaia 25 2 3 2 2 2" xfId="40403" xr:uid="{DDDE3802-F255-45A7-A269-BFBFFBD93552}"/>
    <cellStyle name="Migliaia 25 2 3 2 2 3" xfId="45705" xr:uid="{C2EDC495-9EBF-4B29-86BE-B08813466958}"/>
    <cellStyle name="Migliaia 25 2 3 2 3" xfId="37752" xr:uid="{D92D9BCA-B082-4168-A24B-675B15FFF39E}"/>
    <cellStyle name="Migliaia 25 2 3 2 4" xfId="43054" xr:uid="{FA89ABE8-E967-487E-915E-87D41822A158}"/>
    <cellStyle name="Migliaia 25 2 3 2 5" xfId="14231" xr:uid="{4FEE99AD-9063-4523-8D94-C6BE9B9FA44A}"/>
    <cellStyle name="Migliaia 25 2 3 3" xfId="6312" xr:uid="{DEFA9595-71A9-414D-83D8-F336F24606A9}"/>
    <cellStyle name="Migliaia 25 2 3 3 2" xfId="38972" xr:uid="{3A282EAC-B800-4D10-8A18-C707169AE253}"/>
    <cellStyle name="Migliaia 25 2 3 3 3" xfId="44274" xr:uid="{85A176CF-75C0-45FF-935D-FE43CF8C5A5F}"/>
    <cellStyle name="Migliaia 25 2 3 3 4" xfId="33524" xr:uid="{769633C7-A273-4ACC-986B-D0A6E6AD96A3}"/>
    <cellStyle name="Migliaia 25 2 3 3 5" xfId="20187" xr:uid="{CB391F14-61A1-4514-ABB0-FFBFFC0C0B09}"/>
    <cellStyle name="Migliaia 25 2 3 4" xfId="36445" xr:uid="{0E282EDB-E515-4C32-B02C-3848533D4CF1}"/>
    <cellStyle name="Migliaia 25 2 3 5" xfId="41623" xr:uid="{E4B81DE6-CE26-4BA5-894C-0A594E4FA54F}"/>
    <cellStyle name="Migliaia 25 2 3 6" xfId="16268" xr:uid="{AD648B0C-C53A-4425-B98F-B8D25C514A2A}"/>
    <cellStyle name="Migliaia 25 2 3 7" xfId="8293" xr:uid="{20E5A16C-3943-448E-9CA9-A5624B6D64F9}"/>
    <cellStyle name="Migliaia 25 2 4" xfId="5103" xr:uid="{8CF5010A-1DA0-4FCE-B95E-7A3BFC6B2DF9}"/>
    <cellStyle name="Migliaia 25 2 4 2" xfId="13936" xr:uid="{D4091FAC-9477-4FB5-A098-365F4ACFF963}"/>
    <cellStyle name="Migliaia 25 2 4 2 2" xfId="38973" xr:uid="{661A8CFA-BC87-4314-BE61-D4DACED9AE0F}"/>
    <cellStyle name="Migliaia 25 2 4 2 3" xfId="44275" xr:uid="{E6B6E37E-2065-4B39-B28D-9BA9D75ED4CC}"/>
    <cellStyle name="Migliaia 25 2 4 3" xfId="18555" xr:uid="{5B744368-CD62-4CB0-94F9-8A722F9D77FF}"/>
    <cellStyle name="Migliaia 25 2 4 4" xfId="20188" xr:uid="{C8F7D2D9-4B69-4C35-855F-EC7EFF4C2627}"/>
    <cellStyle name="Migliaia 25 2 4 4 2" xfId="41624" xr:uid="{262C1D14-4758-43B6-9566-BB99FE14B212}"/>
    <cellStyle name="Migliaia 25 2 4 5" xfId="16269" xr:uid="{7F3EE544-E55F-4478-8F03-BD345CE07A93}"/>
    <cellStyle name="Migliaia 25 2 4 6" xfId="7891" xr:uid="{845E12C4-9605-400D-8F26-0F32E7C31F9C}"/>
    <cellStyle name="Migliaia 25 2 5" xfId="6310" xr:uid="{04D3C1C0-0322-4B12-8708-81A6855CEB3B}"/>
    <cellStyle name="Migliaia 25 2 5 2" xfId="33525" xr:uid="{044D3BB5-29A9-4BC0-B580-0EA43D03065F}"/>
    <cellStyle name="Migliaia 25 2 5 2 2" xfId="38974" xr:uid="{2FAF0D54-90F9-43D8-85FB-E71F71868800}"/>
    <cellStyle name="Migliaia 25 2 5 2 3" xfId="44276" xr:uid="{08A678ED-8C5E-4270-8DBC-239C9EE3E0A7}"/>
    <cellStyle name="Migliaia 25 2 5 3" xfId="36446" xr:uid="{A521E427-9095-417C-A28D-B582EAD83131}"/>
    <cellStyle name="Migliaia 25 2 5 4" xfId="41625" xr:uid="{20DCE9DE-A5DA-4E35-8314-59C604C03E5A}"/>
    <cellStyle name="Migliaia 25 2 5 5" xfId="13120" xr:uid="{F4C53D1A-2D93-445E-880A-0B5374D97F59}"/>
    <cellStyle name="Migliaia 25 2 6" xfId="3377" xr:uid="{CA8902D7-E55D-42D7-87BA-BCC8320D2F01}"/>
    <cellStyle name="Migliaia 25 2 6 2" xfId="33526" xr:uid="{61E68697-C3D3-4270-A52B-78CFDF0F1D0C}"/>
    <cellStyle name="Migliaia 25 2 6 2 2" xfId="38975" xr:uid="{42091769-3050-4019-AFE8-B6276DDCE191}"/>
    <cellStyle name="Migliaia 25 2 6 2 3" xfId="44277" xr:uid="{5DADA741-6661-4D30-BF7A-40A9087DB5B0}"/>
    <cellStyle name="Migliaia 25 2 6 3" xfId="36447" xr:uid="{404D1841-3390-4F49-8EB5-F57441632232}"/>
    <cellStyle name="Migliaia 25 2 6 4" xfId="41626" xr:uid="{170A0928-0E35-440F-AFB8-0D1B18E4D36E}"/>
    <cellStyle name="Migliaia 25 2 6 5" xfId="24574" xr:uid="{6F6B0CD6-B5ED-483D-9E47-8231F3D2A39C}"/>
    <cellStyle name="Migliaia 25 2 6 6" xfId="20184" xr:uid="{C75C4187-6320-4E98-A631-9073BC80A510}"/>
    <cellStyle name="Migliaia 25 2 7" xfId="24572" xr:uid="{264FF009-BF06-480A-B6BE-FDB2205567E6}"/>
    <cellStyle name="Migliaia 25 2 8" xfId="7094" xr:uid="{F20A4BD6-5B3C-4CFF-B969-4E94A9CA1EA6}"/>
    <cellStyle name="Migliaia 25 3" xfId="371" xr:uid="{00000000-0005-0000-0000-00005B030000}"/>
    <cellStyle name="Migliaia 25 3 10" xfId="24575" xr:uid="{1958B8EA-4F8E-4B0A-BC7D-82327F393BBE}"/>
    <cellStyle name="Migliaia 25 3 11" xfId="16270" xr:uid="{97C05413-1B01-4627-9897-CAE835172623}"/>
    <cellStyle name="Migliaia 25 3 12" xfId="7095" xr:uid="{8191C03F-64D0-427B-9D5A-A2637F713CA1}"/>
    <cellStyle name="Migliaia 25 3 2" xfId="372" xr:uid="{00000000-0005-0000-0000-00005C030000}"/>
    <cellStyle name="Migliaia 25 3 2 2" xfId="1742" xr:uid="{00000000-0005-0000-0000-00005D030000}"/>
    <cellStyle name="Migliaia 25 3 2 2 2" xfId="5108" xr:uid="{0B9F4DC5-B4FA-4A19-9C6D-EAD6C7A9416B}"/>
    <cellStyle name="Migliaia 25 3 2 2 2 2" xfId="18414" xr:uid="{22322E5F-1DE4-4867-BC08-DDBA24C41088}"/>
    <cellStyle name="Migliaia 25 3 2 2 2 2 2" xfId="21858" xr:uid="{7EE8E371-B726-44F9-8F6D-814C87E12E2B}"/>
    <cellStyle name="Migliaia 25 3 2 2 2 2 2 2" xfId="38976" xr:uid="{8F7827D0-DDFC-40E1-ADC9-833EC6928F5D}"/>
    <cellStyle name="Migliaia 25 3 2 2 2 2 3" xfId="44278" xr:uid="{75372C18-433D-43F5-BC65-26AB3B87CA7A}"/>
    <cellStyle name="Migliaia 25 3 2 2 2 2 4" xfId="33527" xr:uid="{8556D9CB-03A3-4B3B-9E3D-FB7C9628CA37}"/>
    <cellStyle name="Migliaia 25 3 2 2 2 3" xfId="36448" xr:uid="{EAB790A0-1753-426F-B09E-99ED51ED94CD}"/>
    <cellStyle name="Migliaia 25 3 2 2 2 4" xfId="41627" xr:uid="{9F9B1DEF-3942-4901-AAFC-85ECE91AC226}"/>
    <cellStyle name="Migliaia 25 3 2 2 2 5" xfId="47464" xr:uid="{5585904D-F357-438A-A7CD-0E7218CD9BFC}"/>
    <cellStyle name="Migliaia 25 3 2 2 2 6" xfId="50886" xr:uid="{8B312320-D4FF-4127-B451-E6843DF76BF1}"/>
    <cellStyle name="Migliaia 25 3 2 2 2 7" xfId="53902" xr:uid="{18891ABE-E761-49A5-881C-1C38DCD1927F}"/>
    <cellStyle name="Migliaia 25 3 2 2 2 8" xfId="17655" xr:uid="{3E1D8F26-64D2-45A5-AEFF-B8AF5A17FC0D}"/>
    <cellStyle name="Migliaia 25 3 2 2 2 9" xfId="11955" xr:uid="{1333D0BD-78DD-4CCE-AE86-F975672DC17A}"/>
    <cellStyle name="Migliaia 25 3 2 2 3" xfId="6315" xr:uid="{F706CE86-183F-454E-ACB4-858B22BC0D4E}"/>
    <cellStyle name="Migliaia 25 3 2 2 3 2" xfId="11138" xr:uid="{B91028D7-DF28-46E2-9F4A-BB9BDEF04874}"/>
    <cellStyle name="Migliaia 25 3 2 2 4" xfId="3382" xr:uid="{1255F521-267B-43AD-B345-CA567310A151}"/>
    <cellStyle name="Migliaia 25 3 2 2 4 2" xfId="21454" xr:uid="{CD46A682-E2FB-4B96-9B9C-3AB124D37E3F}"/>
    <cellStyle name="Migliaia 25 3 2 2 4 3" xfId="46227" xr:uid="{C1FD3CE6-5AFA-4497-9A54-C95A426016F9}"/>
    <cellStyle name="Migliaia 25 3 2 2 4 4" xfId="50469" xr:uid="{F2B3320C-1C65-451B-9C82-4CC3E2E9422C}"/>
    <cellStyle name="Migliaia 25 3 2 2 4 5" xfId="53485" xr:uid="{AD0F1777-F3A0-44B7-ADCC-061B2D8B609B}"/>
    <cellStyle name="Migliaia 25 3 2 2 4 6" xfId="10819" xr:uid="{496D1293-DDE8-46AB-8C8F-3351158872FB}"/>
    <cellStyle name="Migliaia 25 3 2 2 5" xfId="20191" xr:uid="{30EF536F-9A7E-43E3-8885-2EEF63876669}"/>
    <cellStyle name="Migliaia 25 3 2 2 6" xfId="24577" xr:uid="{DA71C6AD-875D-4E3B-AE6F-13390433994C}"/>
    <cellStyle name="Migliaia 25 3 2 2 7" xfId="8585" xr:uid="{720245D0-6C57-40C0-B213-A311A294B0B7}"/>
    <cellStyle name="Migliaia 25 3 2 3" xfId="5107" xr:uid="{1A3F6737-167F-44BB-B698-19D19C61D28F}"/>
    <cellStyle name="Migliaia 25 3 2 3 2" xfId="12415" xr:uid="{6F1F5AD4-43D3-4923-B2F4-494A2C8F27AB}"/>
    <cellStyle name="Migliaia 25 3 2 3 2 2" xfId="38977" xr:uid="{23573FAA-4C4F-4AA5-9547-2CEB20B60AA7}"/>
    <cellStyle name="Migliaia 25 3 2 3 2 3" xfId="44279" xr:uid="{A9350565-A85A-4BC7-9533-F154B226CBFC}"/>
    <cellStyle name="Migliaia 25 3 2 3 2 4" xfId="33528" xr:uid="{308445AE-4152-4EB0-83B5-9E34887007F2}"/>
    <cellStyle name="Migliaia 25 3 2 3 3" xfId="11956" xr:uid="{BB86A900-15D6-4C4A-9B16-DAB20463FB1D}"/>
    <cellStyle name="Migliaia 25 3 2 3 4" xfId="20192" xr:uid="{026E5067-CB84-424F-90F0-83BEAD30AB9F}"/>
    <cellStyle name="Migliaia 25 3 2 3 4 2" xfId="41628" xr:uid="{B0D0797D-9D3D-428F-B85A-842F09D262C8}"/>
    <cellStyle name="Migliaia 25 3 2 3 5" xfId="16271" xr:uid="{66F24794-E3F5-478F-B9CF-937E8A18C580}"/>
    <cellStyle name="Migliaia 25 3 2 3 6" xfId="7893" xr:uid="{7B0E0443-CC2D-40D5-8F66-5BD92F71FBE8}"/>
    <cellStyle name="Migliaia 25 3 2 4" xfId="6314" xr:uid="{02758C8E-6FC9-4B61-AEAD-C471808F4EC8}"/>
    <cellStyle name="Migliaia 25 3 2 4 2" xfId="18074" xr:uid="{7122BDC3-1712-4608-BB92-EF5D0BAABEE3}"/>
    <cellStyle name="Migliaia 25 3 2 4 2 2" xfId="38978" xr:uid="{F9074B60-490F-4BCB-8D35-783AB2FEA520}"/>
    <cellStyle name="Migliaia 25 3 2 4 2 3" xfId="44280" xr:uid="{A09E94D2-9292-41FB-9FA8-39C948A732F5}"/>
    <cellStyle name="Migliaia 25 3 2 4 3" xfId="36449" xr:uid="{C5E06762-A6EF-4CAF-8A57-5BD21213A8D6}"/>
    <cellStyle name="Migliaia 25 3 2 4 4" xfId="41629" xr:uid="{6FA16952-6A26-4C07-BCCE-11CCEDD54E84}"/>
    <cellStyle name="Migliaia 25 3 2 4 5" xfId="17170" xr:uid="{DEE72B2B-5E23-4DD3-8FC8-9ED417AB07F7}"/>
    <cellStyle name="Migliaia 25 3 2 4 6" xfId="11304" xr:uid="{FA6B5B9D-CAEA-4619-9077-2A27D4CA6F06}"/>
    <cellStyle name="Migliaia 25 3 2 5" xfId="3381" xr:uid="{5F114FBB-46BD-4027-82E5-6A54E65E39D2}"/>
    <cellStyle name="Migliaia 25 3 2 5 2" xfId="33529" xr:uid="{675EFABD-8CFA-4FE3-AF96-4831FE29F1DC}"/>
    <cellStyle name="Migliaia 25 3 2 5 2 2" xfId="38979" xr:uid="{07C179D8-EF69-44FD-8A24-AEC31AB95626}"/>
    <cellStyle name="Migliaia 25 3 2 5 2 3" xfId="44281" xr:uid="{646AB3B7-BFD5-4A01-BB5C-519D8E27563E}"/>
    <cellStyle name="Migliaia 25 3 2 5 3" xfId="36450" xr:uid="{F6B4FC78-691C-4270-B099-1B681718BF48}"/>
    <cellStyle name="Migliaia 25 3 2 5 4" xfId="41630" xr:uid="{C3937E07-8956-4D16-951A-98C5331A1BA6}"/>
    <cellStyle name="Migliaia 25 3 2 5 5" xfId="17375" xr:uid="{EE9D8EE1-4792-45EB-A4B8-431765D2B587}"/>
    <cellStyle name="Migliaia 25 3 2 6" xfId="20190" xr:uid="{43BE347C-112B-46AD-B258-39D65715B3B1}"/>
    <cellStyle name="Migliaia 25 3 2 6 2" xfId="33530" xr:uid="{A1739CB7-C089-4D75-903F-BB1CC11E6974}"/>
    <cellStyle name="Migliaia 25 3 2 6 2 2" xfId="38980" xr:uid="{48E39070-EF81-41EF-A2B7-70DBACAA2D51}"/>
    <cellStyle name="Migliaia 25 3 2 6 2 3" xfId="44282" xr:uid="{ACFB773C-6BD6-4B11-B59E-A55B8DA178B0}"/>
    <cellStyle name="Migliaia 25 3 2 6 3" xfId="36451" xr:uid="{A06D0CAE-8C57-48E6-959A-C68269CA34B6}"/>
    <cellStyle name="Migliaia 25 3 2 6 4" xfId="41631" xr:uid="{C8966ABF-C0B6-4A67-A69D-4FC70F109917}"/>
    <cellStyle name="Migliaia 25 3 2 6 5" xfId="24578" xr:uid="{44C30FA0-FEF9-49A2-B0A1-D585F15BC7C1}"/>
    <cellStyle name="Migliaia 25 3 2 7" xfId="24576" xr:uid="{9DE884BE-7D65-42ED-8C7F-E97B5880C5AD}"/>
    <cellStyle name="Migliaia 25 3 2 8" xfId="7395" xr:uid="{948DB874-8F17-45F3-BA88-2FD251CFCCB4}"/>
    <cellStyle name="Migliaia 25 3 3" xfId="3383" xr:uid="{38552830-0ABA-4C01-B0AE-AEDAF6AB1987}"/>
    <cellStyle name="Migliaia 25 3 3 10" xfId="7394" xr:uid="{7FAAEF1B-D2FD-4F07-8626-010A84180BF7}"/>
    <cellStyle name="Migliaia 25 3 3 2" xfId="5109" xr:uid="{17C64CC5-A00C-43A9-92A2-B93E092BA702}"/>
    <cellStyle name="Migliaia 25 3 3 2 2" xfId="9916" xr:uid="{13692FC3-9758-41A6-9985-26034049084F}"/>
    <cellStyle name="Migliaia 25 3 3 2 2 2" xfId="38982" xr:uid="{596672E8-B807-4E66-B276-3F4DF9BC7555}"/>
    <cellStyle name="Migliaia 25 3 3 2 2 3" xfId="44284" xr:uid="{7EEB248B-CCFB-4B4B-8233-AB02247A1C9F}"/>
    <cellStyle name="Migliaia 25 3 3 2 3" xfId="18196" xr:uid="{83259077-0C31-4593-B32B-22DA7105D2D8}"/>
    <cellStyle name="Migliaia 25 3 3 2 4" xfId="20194" xr:uid="{F7A62B9E-10C7-484E-907B-82918CDE52A2}"/>
    <cellStyle name="Migliaia 25 3 3 2 4 2" xfId="41633" xr:uid="{32D4DF4E-4C66-41CB-AF1C-9C7AFE1A2DF8}"/>
    <cellStyle name="Migliaia 25 3 3 2 5" xfId="16273" xr:uid="{C8432ADB-E76A-474F-9B8D-5CB24E9C9712}"/>
    <cellStyle name="Migliaia 25 3 3 2 6" xfId="8584" xr:uid="{08379136-9363-473D-B6B8-5244FDB30C0B}"/>
    <cellStyle name="Migliaia 25 3 3 3" xfId="6316" xr:uid="{08FDF3F1-8DD6-445B-B200-E0855638C818}"/>
    <cellStyle name="Migliaia 25 3 3 3 2" xfId="33532" xr:uid="{776454FE-22F8-40C7-85B1-EA40FE1567EF}"/>
    <cellStyle name="Migliaia 25 3 3 3 2 2" xfId="38983" xr:uid="{949AC8D5-5111-405E-B8FD-1C8462170C9C}"/>
    <cellStyle name="Migliaia 25 3 3 3 2 3" xfId="44285" xr:uid="{B3A99F0B-68DB-4143-91C5-A42A9E8EF139}"/>
    <cellStyle name="Migliaia 25 3 3 3 3" xfId="36453" xr:uid="{2B890F9F-C918-43C6-8C4E-BB5017BB16DB}"/>
    <cellStyle name="Migliaia 25 3 3 3 4" xfId="41634" xr:uid="{B5605D90-F9C4-4A69-AF25-5D7554B2480E}"/>
    <cellStyle name="Migliaia 25 3 3 3 5" xfId="9679" xr:uid="{6FCA0C8C-E3A8-4658-8CDC-4B314777E86C}"/>
    <cellStyle name="Migliaia 25 3 3 4" xfId="20193" xr:uid="{6C698ACC-A374-4B83-87F7-2EED11EBFA15}"/>
    <cellStyle name="Migliaia 25 3 3 4 2" xfId="33533" xr:uid="{014EAE77-386C-4801-8A3D-3E7FC73D6E2B}"/>
    <cellStyle name="Migliaia 25 3 3 4 2 2" xfId="38984" xr:uid="{2B53CD9E-5797-4D75-B290-7CC712CF0535}"/>
    <cellStyle name="Migliaia 25 3 3 4 2 3" xfId="44286" xr:uid="{DF70EFA8-6FE3-4482-9789-ABBEA2507049}"/>
    <cellStyle name="Migliaia 25 3 3 4 3" xfId="36454" xr:uid="{D6940269-F145-46CD-8813-58A256F23A73}"/>
    <cellStyle name="Migliaia 25 3 3 4 4" xfId="41635" xr:uid="{D7690F52-8021-4DB5-B9A1-014F7CA9E6EF}"/>
    <cellStyle name="Migliaia 25 3 3 4 5" xfId="24579" xr:uid="{4D7E8D7F-3037-4821-B1A1-97CC3C48D841}"/>
    <cellStyle name="Migliaia 25 3 3 5" xfId="24580" xr:uid="{5B9FB7BC-6C84-450E-BA9B-46923A783BBD}"/>
    <cellStyle name="Migliaia 25 3 3 5 2" xfId="33534" xr:uid="{FCAC9B53-B325-4DC5-98D9-2FE73B5055F8}"/>
    <cellStyle name="Migliaia 25 3 3 5 2 2" xfId="38985" xr:uid="{66218DF8-CC41-4C8D-AF56-15632891707A}"/>
    <cellStyle name="Migliaia 25 3 3 5 2 3" xfId="44287" xr:uid="{ADE58C7D-28B8-46B6-99D4-9CF0B1E5D793}"/>
    <cellStyle name="Migliaia 25 3 3 5 3" xfId="36455" xr:uid="{3A921EE0-C91F-4DE9-8BE0-FA88098DE738}"/>
    <cellStyle name="Migliaia 25 3 3 5 4" xfId="41636" xr:uid="{BB2E74E3-8D7D-427A-A66F-E42D7667E408}"/>
    <cellStyle name="Migliaia 25 3 3 6" xfId="33531" xr:uid="{1A49C565-3A87-40E9-8479-2334ABC37744}"/>
    <cellStyle name="Migliaia 25 3 3 6 2" xfId="38981" xr:uid="{DEF67D03-1072-45B6-82EE-159166C2F5E7}"/>
    <cellStyle name="Migliaia 25 3 3 6 3" xfId="44283" xr:uid="{DF9C67D2-BFDE-4F66-BD14-9228E95A853C}"/>
    <cellStyle name="Migliaia 25 3 3 7" xfId="36452" xr:uid="{E3087F98-2273-49A3-9777-D9CEB6AC3959}"/>
    <cellStyle name="Migliaia 25 3 3 8" xfId="41632" xr:uid="{4E4067CF-82E2-45DC-AC2A-064DCE2CF8A6}"/>
    <cellStyle name="Migliaia 25 3 3 9" xfId="16272" xr:uid="{C02E4602-CD57-4A46-AEF6-4A22560CD794}"/>
    <cellStyle name="Migliaia 25 3 4" xfId="3384" xr:uid="{2179D370-5BFC-4BEA-B418-9477C7656D49}"/>
    <cellStyle name="Migliaia 25 3 4 2" xfId="5110" xr:uid="{DA613D7C-E4DF-4DED-A2FB-D007332354FD}"/>
    <cellStyle name="Migliaia 25 3 4 2 2" xfId="14440" xr:uid="{9317B6B2-8D73-439E-A31F-23BF1F8E357B}"/>
    <cellStyle name="Migliaia 25 3 4 2 3" xfId="18558" xr:uid="{F3981253-5620-4BE4-9680-83F23668554C}"/>
    <cellStyle name="Migliaia 25 3 4 2 4" xfId="20196" xr:uid="{E26519A6-85DC-4A90-9518-4F5503627A19}"/>
    <cellStyle name="Migliaia 25 3 4 2 5" xfId="32349" xr:uid="{BA3A74B3-AA2A-4119-8E96-EBF30D205D58}"/>
    <cellStyle name="Migliaia 25 3 4 2 6" xfId="16275" xr:uid="{61589B27-136C-4BA3-957B-3CE6E982B920}"/>
    <cellStyle name="Migliaia 25 3 4 2 7" xfId="8863" xr:uid="{B829C178-CD57-4696-9A5E-8A1917EE0054}"/>
    <cellStyle name="Migliaia 25 3 4 3" xfId="6317" xr:uid="{CBDDF5FB-47F9-436C-B8DE-C8C4D08C48FF}"/>
    <cellStyle name="Migliaia 25 3 4 3 2" xfId="35244" xr:uid="{863389DE-2088-4934-9158-077F4FB3FE6C}"/>
    <cellStyle name="Migliaia 25 3 4 3 2 2" xfId="40404" xr:uid="{CED0775F-C7A3-4548-9288-FA1F8FA88690}"/>
    <cellStyle name="Migliaia 25 3 4 3 2 3" xfId="45706" xr:uid="{4E4FEBC5-E8C9-4389-9438-536E86185A99}"/>
    <cellStyle name="Migliaia 25 3 4 3 3" xfId="37753" xr:uid="{E910947D-B44F-45F8-BC28-6F14B9BBF901}"/>
    <cellStyle name="Migliaia 25 3 4 3 4" xfId="43055" xr:uid="{5FA97904-09D9-42BC-9BD3-3C13150314CC}"/>
    <cellStyle name="Migliaia 25 3 4 3 5" xfId="13688" xr:uid="{90F8A7CE-4A48-46EA-B677-4002B6103DC8}"/>
    <cellStyle name="Migliaia 25 3 4 4" xfId="20195" xr:uid="{C0779A43-9F1C-4EB5-BD5A-FFBC328C05AE}"/>
    <cellStyle name="Migliaia 25 3 4 4 2" xfId="38986" xr:uid="{62558E8D-56E1-4BEE-A994-574357AA5101}"/>
    <cellStyle name="Migliaia 25 3 4 4 3" xfId="44288" xr:uid="{CA9A9386-E16F-4F5C-AD36-B04C6FFC3EA6}"/>
    <cellStyle name="Migliaia 25 3 4 4 4" xfId="33535" xr:uid="{5CA22E74-CCF0-42A5-9B2B-47D7BC6D4BB3}"/>
    <cellStyle name="Migliaia 25 3 4 5" xfId="36456" xr:uid="{DCA7ACD7-15A3-4117-991B-AE9EBBFF579B}"/>
    <cellStyle name="Migliaia 25 3 4 6" xfId="41637" xr:uid="{2F55610D-7AF1-4073-9E33-0EF8C4BF1434}"/>
    <cellStyle name="Migliaia 25 3 4 7" xfId="16274" xr:uid="{8F774F52-B5F4-4F89-A530-92C6CE19C225}"/>
    <cellStyle name="Migliaia 25 3 4 8" xfId="7673" xr:uid="{F3ACBDD3-BE31-4CEF-BD87-B1F0136D9396}"/>
    <cellStyle name="Migliaia 25 3 5" xfId="3385" xr:uid="{56732586-3F6C-45FF-881A-D07ECFF4A7AC}"/>
    <cellStyle name="Migliaia 25 3 5 2" xfId="5111" xr:uid="{F29011E9-BE7C-4C98-871B-424FB8A534AA}"/>
    <cellStyle name="Migliaia 25 3 5 2 2" xfId="35245" xr:uid="{170BCCB6-EC89-45AA-8AFB-54DF0D946C3E}"/>
    <cellStyle name="Migliaia 25 3 5 2 2 2" xfId="40405" xr:uid="{6CF61764-54AB-4736-9CC8-5AF925567A99}"/>
    <cellStyle name="Migliaia 25 3 5 2 2 3" xfId="45707" xr:uid="{847AB4E5-50F2-4FDA-ADAD-CC9745338EE1}"/>
    <cellStyle name="Migliaia 25 3 5 2 3" xfId="37754" xr:uid="{0E809514-3DB4-4356-BFCF-A9D161971CB3}"/>
    <cellStyle name="Migliaia 25 3 5 2 4" xfId="43056" xr:uid="{C1ACED36-9DD1-4010-ABCE-55B83308AEA9}"/>
    <cellStyle name="Migliaia 25 3 5 2 5" xfId="14232" xr:uid="{513B836E-9EA3-4762-87D0-850B28F11DE5}"/>
    <cellStyle name="Migliaia 25 3 5 3" xfId="6318" xr:uid="{C15C2ECC-4E73-413F-A6EE-9C73B985135B}"/>
    <cellStyle name="Migliaia 25 3 5 3 2" xfId="38987" xr:uid="{7D4DD59E-3F2C-498B-AF0F-CBB2BF59CF41}"/>
    <cellStyle name="Migliaia 25 3 5 3 3" xfId="44289" xr:uid="{7DD09088-D59B-4547-9945-3C6A1D164207}"/>
    <cellStyle name="Migliaia 25 3 5 3 4" xfId="33536" xr:uid="{F4F99B6C-DFCA-480E-B92F-2E837330983D}"/>
    <cellStyle name="Migliaia 25 3 5 3 5" xfId="20197" xr:uid="{1AF6BA8C-B954-403B-B7D1-1D02F591A405}"/>
    <cellStyle name="Migliaia 25 3 5 4" xfId="36457" xr:uid="{50E07E36-BCDA-4390-B8B7-56F28317288A}"/>
    <cellStyle name="Migliaia 25 3 5 5" xfId="41638" xr:uid="{659215E0-461D-476D-A1BA-AB17B1509F9C}"/>
    <cellStyle name="Migliaia 25 3 5 6" xfId="16276" xr:uid="{A49904C6-E58F-4BD9-8827-4D553712F76D}"/>
    <cellStyle name="Migliaia 25 3 5 7" xfId="8294" xr:uid="{9CB00F2D-B7F0-4456-9727-D63E51B404F7}"/>
    <cellStyle name="Migliaia 25 3 6" xfId="5106" xr:uid="{0737920A-D815-4BA4-AB04-FA5FFCBCF28D}"/>
    <cellStyle name="Migliaia 25 3 6 2" xfId="13937" xr:uid="{1B5FCC12-4FDC-467F-A9C3-BFAC09CCF259}"/>
    <cellStyle name="Migliaia 25 3 6 2 2" xfId="38988" xr:uid="{5BFDBD6C-1DB5-45D8-8FC5-15FC6FBDFBC1}"/>
    <cellStyle name="Migliaia 25 3 6 2 3" xfId="44290" xr:uid="{CE0BC781-BEB6-4F60-A1AF-C0C2E21E0F30}"/>
    <cellStyle name="Migliaia 25 3 6 3" xfId="18018" xr:uid="{022D364C-ED4D-40B4-8475-0AD68642A723}"/>
    <cellStyle name="Migliaia 25 3 6 4" xfId="20198" xr:uid="{2810BB0D-4F9E-445C-A3DF-486C74339B98}"/>
    <cellStyle name="Migliaia 25 3 6 4 2" xfId="41639" xr:uid="{F8B64989-CE00-4E45-AFE0-449C038D7210}"/>
    <cellStyle name="Migliaia 25 3 6 5" xfId="16277" xr:uid="{F59F7098-432F-4B23-8D8C-CDEE99D26A63}"/>
    <cellStyle name="Migliaia 25 3 6 6" xfId="7892" xr:uid="{D818D623-0E97-4148-903A-A2039243C3E2}"/>
    <cellStyle name="Migliaia 25 3 7" xfId="6313" xr:uid="{DEA93F8C-33F5-46D7-9F4F-D4918F728C95}"/>
    <cellStyle name="Migliaia 25 3 7 2" xfId="33537" xr:uid="{DF61B5EC-1968-46A1-91DB-6902564BF46B}"/>
    <cellStyle name="Migliaia 25 3 7 2 2" xfId="38989" xr:uid="{59CDCEA2-69BE-482E-9972-CCE3B21E79C6}"/>
    <cellStyle name="Migliaia 25 3 7 2 3" xfId="44291" xr:uid="{B8A61CB8-9F65-400B-8CAB-B00771639B20}"/>
    <cellStyle name="Migliaia 25 3 7 3" xfId="36458" xr:uid="{85F64227-E586-4E5E-B4DB-E94371341F8A}"/>
    <cellStyle name="Migliaia 25 3 7 4" xfId="41640" xr:uid="{6D1D820D-6C3E-400D-BF11-F42777E4E9BB}"/>
    <cellStyle name="Migliaia 25 3 7 5" xfId="12241" xr:uid="{3FBC6C3C-3D56-45E8-BCE3-3082F40B0720}"/>
    <cellStyle name="Migliaia 25 3 8" xfId="3380" xr:uid="{EE025904-31A6-4BCF-B004-0B4D13483796}"/>
    <cellStyle name="Migliaia 25 3 8 2" xfId="33538" xr:uid="{5F194DCA-5854-4283-A668-321E11A36C16}"/>
    <cellStyle name="Migliaia 25 3 8 2 2" xfId="38990" xr:uid="{A45078E0-BEA9-452F-B5F2-A3647147128F}"/>
    <cellStyle name="Migliaia 25 3 8 2 3" xfId="44292" xr:uid="{9C663C70-693F-49F2-86A2-73DB1B1CEC68}"/>
    <cellStyle name="Migliaia 25 3 8 3" xfId="36459" xr:uid="{D9BA8D54-C414-4824-8EB3-DBE50D6F293C}"/>
    <cellStyle name="Migliaia 25 3 8 4" xfId="41641" xr:uid="{4EC67972-BFBA-4D1C-B947-7E0013BD97FD}"/>
    <cellStyle name="Migliaia 25 3 8 5" xfId="24581" xr:uid="{55153C4E-10DA-4515-BAF1-EF1C4CA9C853}"/>
    <cellStyle name="Migliaia 25 3 8 6" xfId="17376" xr:uid="{EAF9F3D0-2F24-41E7-8D00-12C7E08BD2E5}"/>
    <cellStyle name="Migliaia 25 3 9" xfId="20189" xr:uid="{25635347-9665-45C9-8526-D4ADF31FAF52}"/>
    <cellStyle name="Migliaia 25 4" xfId="1743" xr:uid="{00000000-0005-0000-0000-00005E030000}"/>
    <cellStyle name="Migliaia 25 4 2" xfId="1744" xr:uid="{00000000-0005-0000-0000-00005F030000}"/>
    <cellStyle name="Migliaia 25 4 2 2" xfId="5113" xr:uid="{C8967D44-7B2E-4623-ABD8-C349880A29F5}"/>
    <cellStyle name="Migliaia 25 4 2 2 2" xfId="33539" xr:uid="{0CF92DFA-5C67-4E75-91D5-881E46188836}"/>
    <cellStyle name="Migliaia 25 4 2 2 2 2" xfId="38991" xr:uid="{BCB84286-F34A-43DE-9FE8-4C0F14B633B7}"/>
    <cellStyle name="Migliaia 25 4 2 2 2 3" xfId="44293" xr:uid="{FA696F8A-6F83-4298-9B3E-097001931627}"/>
    <cellStyle name="Migliaia 25 4 2 2 3" xfId="36460" xr:uid="{E5B9C69F-08B1-4B3C-B420-6FFCE77FDE7E}"/>
    <cellStyle name="Migliaia 25 4 2 2 4" xfId="41642" xr:uid="{366D83B9-A424-488C-8F05-63DC12E0941A}"/>
    <cellStyle name="Migliaia 25 4 2 2 5" xfId="9142" xr:uid="{6475613E-2664-4833-885C-2722C63E2D59}"/>
    <cellStyle name="Migliaia 25 4 2 3" xfId="3387" xr:uid="{1F1B7C10-BC84-4C9F-A75B-4C275BD8590B}"/>
    <cellStyle name="Migliaia 25 4 2 3 2" xfId="33540" xr:uid="{2660F1F0-4C89-430A-8E28-DD5C34435F70}"/>
    <cellStyle name="Migliaia 25 4 2 3 2 2" xfId="38992" xr:uid="{D0432658-C2DF-4B21-B4A5-0AA4FDCD585C}"/>
    <cellStyle name="Migliaia 25 4 2 3 2 3" xfId="44294" xr:uid="{18FCFD82-1225-4AA8-9354-AFF37A479C2F}"/>
    <cellStyle name="Migliaia 25 4 2 3 3" xfId="36461" xr:uid="{D117CAEF-6443-4713-A0BE-533D066B7E83}"/>
    <cellStyle name="Migliaia 25 4 2 3 4" xfId="41643" xr:uid="{DE6D5F1C-2C30-4835-9FC2-917B9D747556}"/>
    <cellStyle name="Migliaia 25 4 2 3 5" xfId="11957" xr:uid="{5A8E75AE-E482-4D5A-BE1E-30242A0AB671}"/>
    <cellStyle name="Migliaia 25 4 2 4" xfId="11306" xr:uid="{5918C730-783C-4311-B39F-7E9ED0BE2134}"/>
    <cellStyle name="Migliaia 25 4 2 5" xfId="10821" xr:uid="{6C581FD9-F0FE-4928-9FC2-57CEC33F89EE}"/>
    <cellStyle name="Migliaia 25 4 2 5 2" xfId="21456" xr:uid="{C212BFB7-2156-4D05-8DC4-CF8EB31DC22D}"/>
    <cellStyle name="Migliaia 25 4 2 5 3" xfId="34548" xr:uid="{37B3290A-8169-46F2-8081-F24E63AE6372}"/>
    <cellStyle name="Migliaia 25 4 2 5 4" xfId="50471" xr:uid="{E7B9A1CD-AC52-4566-8799-9C152976B9DF}"/>
    <cellStyle name="Migliaia 25 4 2 5 5" xfId="53487" xr:uid="{B368DA8F-3B68-4DEB-8DBD-C3EB11B913BE}"/>
    <cellStyle name="Migliaia 25 4 2 6" xfId="20200" xr:uid="{1E0C19EB-1A0D-4FB8-80B6-4F30060ECA06}"/>
    <cellStyle name="Migliaia 25 4 2 7" xfId="24583" xr:uid="{6841F793-6488-42C7-8425-7844D5A7FEA0}"/>
    <cellStyle name="Migliaia 25 4 2 8" xfId="8586" xr:uid="{1E0E5CFA-1FC6-4CBF-8469-F1B3A51FB7B5}"/>
    <cellStyle name="Migliaia 25 4 3" xfId="5112" xr:uid="{2CB245E1-F9A9-423A-95EF-E30DB1830F0F}"/>
    <cellStyle name="Migliaia 25 4 3 2" xfId="18197" xr:uid="{2E7AC88F-AA29-4421-8A9D-A6CA6E36AF9C}"/>
    <cellStyle name="Migliaia 25 4 3 2 2" xfId="38993" xr:uid="{71057637-A039-4059-A2B7-0642578D82B9}"/>
    <cellStyle name="Migliaia 25 4 3 2 3" xfId="44295" xr:uid="{12C1F427-D6EB-43D2-AF26-D56303D1BC58}"/>
    <cellStyle name="Migliaia 25 4 3 3" xfId="36462" xr:uid="{FB37418D-69D5-4D06-97DF-95BD53720142}"/>
    <cellStyle name="Migliaia 25 4 3 4" xfId="41644" xr:uid="{D6675FC4-C27C-4746-A9AF-31E8A6EE6D2E}"/>
    <cellStyle name="Migliaia 25 4 3 5" xfId="17374" xr:uid="{82F2BCE4-377A-4302-BA4D-AFE92D5D903F}"/>
    <cellStyle name="Migliaia 25 4 3 6" xfId="9143" xr:uid="{E58EA838-4C5F-46C5-8E69-808816D673C4}"/>
    <cellStyle name="Migliaia 25 4 4" xfId="6319" xr:uid="{24F0AD00-8805-457E-B063-B61950A03C91}"/>
    <cellStyle name="Migliaia 25 4 4 2" xfId="33541" xr:uid="{1DABD470-D248-4305-B9C2-B1A856507B33}"/>
    <cellStyle name="Migliaia 25 4 4 2 2" xfId="38994" xr:uid="{66489B92-A5F1-4437-AC4F-87BD054FC702}"/>
    <cellStyle name="Migliaia 25 4 4 2 3" xfId="44296" xr:uid="{2F4CEDCC-D3C3-4326-96E1-645428F2E396}"/>
    <cellStyle name="Migliaia 25 4 4 3" xfId="36463" xr:uid="{987FF55E-9FEA-46DD-B898-45C278C51569}"/>
    <cellStyle name="Migliaia 25 4 4 4" xfId="41645" xr:uid="{DE5BC7F7-DF62-48D0-94D4-FED9174048C1}"/>
    <cellStyle name="Migliaia 25 4 4 5" xfId="11958" xr:uid="{F19801BE-9080-4841-A36A-D289531C82DE}"/>
    <cellStyle name="Migliaia 25 4 5" xfId="3386" xr:uid="{8BA3486A-48A8-46D1-96A8-844397F9B1EE}"/>
    <cellStyle name="Migliaia 25 4 5 2" xfId="33542" xr:uid="{86A91863-DFB2-4D83-9095-03302E2B0D48}"/>
    <cellStyle name="Migliaia 25 4 5 2 2" xfId="38995" xr:uid="{78CE95A8-4682-4034-868A-88B76B5F4C39}"/>
    <cellStyle name="Migliaia 25 4 5 2 3" xfId="44297" xr:uid="{07FA83FB-153B-43D3-A3FB-4B87C49D6851}"/>
    <cellStyle name="Migliaia 25 4 5 3" xfId="36464" xr:uid="{74401987-DFB4-427C-A131-99DE9A6846E7}"/>
    <cellStyle name="Migliaia 25 4 5 4" xfId="41646" xr:uid="{8D2E905F-16DC-40B0-8172-C2CF537B514F}"/>
    <cellStyle name="Migliaia 25 4 5 5" xfId="11305" xr:uid="{4A3A96DB-2CCF-47B5-B624-9ECBC1087CF5}"/>
    <cellStyle name="Migliaia 25 4 6" xfId="10820" xr:uid="{0A80270D-1507-4C5E-9338-D94556EC7437}"/>
    <cellStyle name="Migliaia 25 4 6 2" xfId="21455" xr:uid="{A3550E7E-A427-412F-AA92-43F4FD90EB0F}"/>
    <cellStyle name="Migliaia 25 4 6 2 2" xfId="38996" xr:uid="{D1A9DE57-F16F-4FB8-9C17-559D65407AFD}"/>
    <cellStyle name="Migliaia 25 4 6 2 3" xfId="44298" xr:uid="{5513DEC5-154B-476D-8741-157AE9E71DD6}"/>
    <cellStyle name="Migliaia 25 4 6 2 4" xfId="33543" xr:uid="{DA0118C5-99CE-4378-9A99-60CE0096EFB4}"/>
    <cellStyle name="Migliaia 25 4 6 3" xfId="36465" xr:uid="{37D986C5-210B-4D18-B7E0-84EE5609F89E}"/>
    <cellStyle name="Migliaia 25 4 6 4" xfId="41647" xr:uid="{C0A1DBED-9978-4DE3-9DDB-565745490A08}"/>
    <cellStyle name="Migliaia 25 4 6 5" xfId="24584" xr:uid="{B51E1AC2-8160-4C1D-B5C2-579D5EC66B0C}"/>
    <cellStyle name="Migliaia 25 4 6 6" xfId="48174" xr:uid="{E2B17CE3-7779-47BC-96D5-7664C4A73EEF}"/>
    <cellStyle name="Migliaia 25 4 6 7" xfId="50470" xr:uid="{9BA14BFC-162D-4447-A9B2-1D3E33909F1C}"/>
    <cellStyle name="Migliaia 25 4 6 8" xfId="53486" xr:uid="{A1745A46-1A03-427D-9939-29881EEB330F}"/>
    <cellStyle name="Migliaia 25 4 7" xfId="20199" xr:uid="{C01C3F6E-9539-4EA8-B6E1-56623DF59C93}"/>
    <cellStyle name="Migliaia 25 4 7 2" xfId="33544" xr:uid="{5639BB23-9572-4458-A09F-9C1EE5A8E2E2}"/>
    <cellStyle name="Migliaia 25 4 7 2 2" xfId="38997" xr:uid="{46634640-CE6F-4975-8CA0-839055AF88D5}"/>
    <cellStyle name="Migliaia 25 4 7 2 3" xfId="44299" xr:uid="{5B87A785-8B00-427D-8488-0C5088D24510}"/>
    <cellStyle name="Migliaia 25 4 7 3" xfId="36466" xr:uid="{2E1B044B-9A3E-451C-955D-964A2CDA7B58}"/>
    <cellStyle name="Migliaia 25 4 7 4" xfId="41648" xr:uid="{035ABFC4-7FC4-4E7E-9D22-5B4385491A07}"/>
    <cellStyle name="Migliaia 25 4 7 5" xfId="24585" xr:uid="{5C2D5C22-DA78-445D-8CCA-FC796BE03EAF}"/>
    <cellStyle name="Migliaia 25 4 8" xfId="24582" xr:uid="{11C783B7-DA96-462B-A154-FE73B5416021}"/>
    <cellStyle name="Migliaia 25 4 9" xfId="7396" xr:uid="{5202003E-A921-4750-BF9D-1CE263527F6F}"/>
    <cellStyle name="Migliaia 25 5" xfId="1745" xr:uid="{00000000-0005-0000-0000-000060030000}"/>
    <cellStyle name="Migliaia 25 5 2" xfId="5114" xr:uid="{4E44C6E5-28FB-4D83-AA61-F336D98F7E36}"/>
    <cellStyle name="Migliaia 25 5 2 2" xfId="18415" xr:uid="{5D753F52-62AC-403D-A86E-2D94BB163129}"/>
    <cellStyle name="Migliaia 25 5 2 2 2" xfId="38998" xr:uid="{29A360AA-6E01-42B3-B89A-957270D05E88}"/>
    <cellStyle name="Migliaia 25 5 2 2 3" xfId="44300" xr:uid="{CD8B2466-DA83-43B8-BF43-B66A31A05F26}"/>
    <cellStyle name="Migliaia 25 5 2 3" xfId="20202" xr:uid="{E0FEB416-3DA5-4D41-AD37-6FC1C502C9F8}"/>
    <cellStyle name="Migliaia 25 5 2 3 2" xfId="36467" xr:uid="{AC8EBFB9-D31B-439D-B7D9-C679513C0C87}"/>
    <cellStyle name="Migliaia 25 5 2 4" xfId="41649" xr:uid="{497E2D39-3E51-4118-B45F-376D620E24AA}"/>
    <cellStyle name="Migliaia 25 5 2 5" xfId="16278" xr:uid="{6D01FCA7-F84E-4370-A668-3EACF43AA1F4}"/>
    <cellStyle name="Migliaia 25 5 2 6" xfId="8587" xr:uid="{455105A0-7811-4EFC-99BE-6BFD90D9749D}"/>
    <cellStyle name="Migliaia 25 5 3" xfId="6320" xr:uid="{3A354204-69BF-44BA-8EF3-25AAB17A801D}"/>
    <cellStyle name="Migliaia 25 5 3 2" xfId="33545" xr:uid="{39AE7229-6732-4A84-9628-44C3B0463FD0}"/>
    <cellStyle name="Migliaia 25 5 3 2 2" xfId="38999" xr:uid="{083ECC18-F4D2-4363-BE15-4CF32CFDA670}"/>
    <cellStyle name="Migliaia 25 5 3 2 3" xfId="44301" xr:uid="{7224CC0A-19E2-4D14-9AF1-77D5A92C6D08}"/>
    <cellStyle name="Migliaia 25 5 3 3" xfId="36468" xr:uid="{3DCBCB34-217C-4F77-828F-4B9DE7BA88D3}"/>
    <cellStyle name="Migliaia 25 5 3 4" xfId="41650" xr:uid="{CF1FA9A1-4AFD-4D5A-B3C8-CCC26D4F88DC}"/>
    <cellStyle name="Migliaia 25 5 3 5" xfId="11307" xr:uid="{807A946A-A326-47F7-B081-A4841130708D}"/>
    <cellStyle name="Migliaia 25 5 4" xfId="3388" xr:uid="{3770EF6E-6EDC-498E-919D-F229028F4B42}"/>
    <cellStyle name="Migliaia 25 5 4 2" xfId="21457" xr:uid="{413F62C5-418D-43E5-8A7D-DA39EE4E18FC}"/>
    <cellStyle name="Migliaia 25 5 4 2 2" xfId="39000" xr:uid="{790AD67C-AB27-4AB0-BCA2-5F1739B07C7F}"/>
    <cellStyle name="Migliaia 25 5 4 2 3" xfId="44302" xr:uid="{1C2F9074-086D-433D-95C7-7DE6F8E586F7}"/>
    <cellStyle name="Migliaia 25 5 4 2 4" xfId="33546" xr:uid="{96679DAD-7052-47E6-B593-36BBD4E15AD6}"/>
    <cellStyle name="Migliaia 25 5 4 3" xfId="36469" xr:uid="{2B8627F5-A3F8-422C-A066-3F88B882D0A3}"/>
    <cellStyle name="Migliaia 25 5 4 4" xfId="41651" xr:uid="{CDF5D065-CD4B-4CD3-9501-F3EB9C48A2D6}"/>
    <cellStyle name="Migliaia 25 5 4 5" xfId="24587" xr:uid="{453318C6-2FDC-48AC-83C1-7C55784DBB9D}"/>
    <cellStyle name="Migliaia 25 5 4 6" xfId="47392" xr:uid="{75ADC991-5634-4B27-970B-4118AF28F17F}"/>
    <cellStyle name="Migliaia 25 5 4 7" xfId="50472" xr:uid="{07107387-150A-439F-A4D4-CA5ED4BC311D}"/>
    <cellStyle name="Migliaia 25 5 4 8" xfId="53488" xr:uid="{0F7FDF16-AE18-44A0-992C-958CF09CA4AB}"/>
    <cellStyle name="Migliaia 25 5 4 9" xfId="10822" xr:uid="{11A795A7-4D0E-42DE-9141-6CE95595FAFA}"/>
    <cellStyle name="Migliaia 25 5 5" xfId="20201" xr:uid="{110A2205-657E-46DF-847C-7EFF694FBAFA}"/>
    <cellStyle name="Migliaia 25 5 5 2" xfId="33547" xr:uid="{FD5E62AF-CF3D-4BA6-91F6-1479ECDFE0B4}"/>
    <cellStyle name="Migliaia 25 5 5 2 2" xfId="39001" xr:uid="{D53C0AD5-8AB6-405C-9848-CD9B3DCDC979}"/>
    <cellStyle name="Migliaia 25 5 5 2 3" xfId="44303" xr:uid="{A3F05B4B-0EB7-4003-BE00-11634AECB30D}"/>
    <cellStyle name="Migliaia 25 5 5 3" xfId="36470" xr:uid="{8B6334A5-7F34-4BC1-811F-549766F6A136}"/>
    <cellStyle name="Migliaia 25 5 5 4" xfId="41652" xr:uid="{58FD2286-6E43-4156-BFD3-1B0F4509F849}"/>
    <cellStyle name="Migliaia 25 5 5 5" xfId="24588" xr:uid="{E959279A-51F2-48F1-BDB6-8A53A00A2D94}"/>
    <cellStyle name="Migliaia 25 5 6" xfId="24589" xr:uid="{039CD4B4-A345-4855-AE37-088B04C649E4}"/>
    <cellStyle name="Migliaia 25 5 6 2" xfId="33548" xr:uid="{55B4AC7E-9314-4348-BB28-BB0BDA026DD7}"/>
    <cellStyle name="Migliaia 25 5 6 2 2" xfId="39002" xr:uid="{C0B0D485-1B1C-45F6-AED8-CC64BD9678D2}"/>
    <cellStyle name="Migliaia 25 5 6 2 3" xfId="44304" xr:uid="{E092FE4A-ACA1-4C77-9598-831F231DDE64}"/>
    <cellStyle name="Migliaia 25 5 6 3" xfId="36471" xr:uid="{7EA828E6-07DC-4170-962A-9D0DEE3A7C7B}"/>
    <cellStyle name="Migliaia 25 5 6 4" xfId="41653" xr:uid="{C5CB3531-8BF3-450E-A6F5-F753F76B23C5}"/>
    <cellStyle name="Migliaia 25 5 7" xfId="24586" xr:uid="{3B7D819A-D302-4FEE-A9ED-8E1D116F5B9D}"/>
    <cellStyle name="Migliaia 25 5 8" xfId="7397" xr:uid="{41A1C411-25A1-4914-9DF5-B4231EEB3855}"/>
    <cellStyle name="Migliaia 25 6" xfId="3389" xr:uid="{C9507F08-C135-425A-B205-EC89A86A952F}"/>
    <cellStyle name="Migliaia 25 6 2" xfId="5115" xr:uid="{E6018C63-CC0D-4948-A419-BA07D349F2E6}"/>
    <cellStyle name="Migliaia 25 6 2 2" xfId="9915" xr:uid="{EC25025B-E52C-4285-A095-C8A1408B2ACD}"/>
    <cellStyle name="Migliaia 25 6 2 3" xfId="18663" xr:uid="{7C4B2CB9-647C-4F15-B55B-E86C51E80245}"/>
    <cellStyle name="Migliaia 25 6 2 4" xfId="20204" xr:uid="{5014F6A8-F2A9-43F3-A568-484F9E352E3C}"/>
    <cellStyle name="Migliaia 25 6 2 5" xfId="32350" xr:uid="{4522732D-C25A-4014-830D-E2861C5761D2}"/>
    <cellStyle name="Migliaia 25 6 2 6" xfId="16280" xr:uid="{F62366EA-A57D-4D26-A4D6-018002A5E732}"/>
    <cellStyle name="Migliaia 25 6 2 7" xfId="8582" xr:uid="{38627AA2-DBB6-415A-AB27-1C16EF2EFF9D}"/>
    <cellStyle name="Migliaia 25 6 3" xfId="6321" xr:uid="{9212697E-7D73-454A-A6A0-E92A65E0A799}"/>
    <cellStyle name="Migliaia 25 6 3 2" xfId="35246" xr:uid="{B932E24C-B3AA-4D98-BEB7-0E68A5AC46FA}"/>
    <cellStyle name="Migliaia 25 6 3 2 2" xfId="40406" xr:uid="{E63511F7-61DE-45FC-9A0B-798F21F47593}"/>
    <cellStyle name="Migliaia 25 6 3 2 3" xfId="45708" xr:uid="{CF3D4A9A-68CB-4CF9-AC63-2B68D68F05C2}"/>
    <cellStyle name="Migliaia 25 6 3 3" xfId="37755" xr:uid="{7E863D65-A8B4-4128-8BEF-FD5012E530F4}"/>
    <cellStyle name="Migliaia 25 6 3 4" xfId="43057" xr:uid="{6C9202A1-9A88-478D-A929-425BAD2D4FF7}"/>
    <cellStyle name="Migliaia 25 6 3 5" xfId="9678" xr:uid="{22347767-0F46-4F4A-94E6-B5120DAC0891}"/>
    <cellStyle name="Migliaia 25 6 4" xfId="20203" xr:uid="{7E9F3AF9-0BCE-4E80-8C4B-3690F2EF866B}"/>
    <cellStyle name="Migliaia 25 6 4 2" xfId="39003" xr:uid="{2A5E3CF5-9A7B-4FD6-895F-985C4EFDBBC3}"/>
    <cellStyle name="Migliaia 25 6 4 3" xfId="44305" xr:uid="{9329BB3B-B17B-42B1-85E6-C33E0E3A61E2}"/>
    <cellStyle name="Migliaia 25 6 4 4" xfId="33549" xr:uid="{98409F07-DBE0-45B0-9338-C5EC2E03BD88}"/>
    <cellStyle name="Migliaia 25 6 5" xfId="36472" xr:uid="{310F4F5C-C542-4028-99FA-20EE9C431891}"/>
    <cellStyle name="Migliaia 25 6 6" xfId="41654" xr:uid="{361DE549-82F7-493B-B3A6-8F4D8C014529}"/>
    <cellStyle name="Migliaia 25 6 7" xfId="16279" xr:uid="{BE134A42-386D-4253-914A-F964611AD437}"/>
    <cellStyle name="Migliaia 25 6 8" xfId="7392" xr:uid="{66666B04-CA4C-434A-A4A8-A4D8E7F8D37D}"/>
    <cellStyle name="Migliaia 25 7" xfId="3390" xr:uid="{E738E352-FC1E-45E9-942A-19AF280442E0}"/>
    <cellStyle name="Migliaia 25 7 2" xfId="5116" xr:uid="{9A028157-BAC1-4BD2-8309-DBB5D48B9980}"/>
    <cellStyle name="Migliaia 25 7 2 2" xfId="35247" xr:uid="{7A55DE9C-A726-4206-9F5B-00E241701E44}"/>
    <cellStyle name="Migliaia 25 7 2 2 2" xfId="40407" xr:uid="{D1242F95-1C7B-49DA-BFBF-2AA965F99B6F}"/>
    <cellStyle name="Migliaia 25 7 2 2 3" xfId="45709" xr:uid="{5FE3BB9B-3028-473C-907A-8A00D9652571}"/>
    <cellStyle name="Migliaia 25 7 2 3" xfId="37756" xr:uid="{03541401-D935-452C-A263-02957A04C3B5}"/>
    <cellStyle name="Migliaia 25 7 2 4" xfId="43058" xr:uid="{84B2522C-E922-4F2E-9A06-F6D31CBFC6CB}"/>
    <cellStyle name="Migliaia 25 7 2 5" xfId="14230" xr:uid="{060FA4D6-3F49-48AE-8209-EA61540727D8}"/>
    <cellStyle name="Migliaia 25 7 3" xfId="6322" xr:uid="{C623761F-2348-4F35-A140-AC458B24566C}"/>
    <cellStyle name="Migliaia 25 7 3 2" xfId="39004" xr:uid="{724E762C-8F1A-4AA7-9927-40403A229777}"/>
    <cellStyle name="Migliaia 25 7 3 3" xfId="44306" xr:uid="{2A053F17-B2CF-41DD-8793-A19D5266A1DA}"/>
    <cellStyle name="Migliaia 25 7 3 4" xfId="33550" xr:uid="{E65B861D-6758-4FDE-A834-F04A2497BFD0}"/>
    <cellStyle name="Migliaia 25 7 3 5" xfId="20205" xr:uid="{06638A71-68DC-427C-9615-263E8C98683D}"/>
    <cellStyle name="Migliaia 25 7 4" xfId="36473" xr:uid="{5A537F1E-F007-41BA-BE58-A0C8E369D6A9}"/>
    <cellStyle name="Migliaia 25 7 5" xfId="41655" xr:uid="{A7F7E61A-5D33-4CDA-8176-532ED255F7B0}"/>
    <cellStyle name="Migliaia 25 7 6" xfId="16281" xr:uid="{06227772-651C-4966-AF44-93BF7F35C8E3}"/>
    <cellStyle name="Migliaia 25 7 7" xfId="8292" xr:uid="{0027C7F8-84A6-4921-884D-12FE9CE61241}"/>
    <cellStyle name="Migliaia 25 8" xfId="3391" xr:uid="{9F55D917-FEE2-4804-9B25-3877895AB57A}"/>
    <cellStyle name="Migliaia 25 8 2" xfId="5117" xr:uid="{70455402-5E33-47C6-80D0-6153538BAD5F}"/>
    <cellStyle name="Migliaia 25 8 2 2" xfId="35248" xr:uid="{1137C781-5C66-4B08-AA91-391250C3E4E8}"/>
    <cellStyle name="Migliaia 25 8 2 2 2" xfId="40408" xr:uid="{19493C3A-4FF7-44B7-9824-D8554A8D30F5}"/>
    <cellStyle name="Migliaia 25 8 2 2 3" xfId="45710" xr:uid="{00886C04-EE98-4E3C-8C91-000C82AB8293}"/>
    <cellStyle name="Migliaia 25 8 2 3" xfId="37757" xr:uid="{8CCA2C6D-FDE8-4C4B-9AEE-72CFB5B296D5}"/>
    <cellStyle name="Migliaia 25 8 2 4" xfId="43059" xr:uid="{D667350A-8AA0-4D1A-902D-31F280412930}"/>
    <cellStyle name="Migliaia 25 8 2 5" xfId="13935" xr:uid="{E181FA8C-CBA4-487E-9BD4-0AE61F327B21}"/>
    <cellStyle name="Migliaia 25 8 3" xfId="6323" xr:uid="{E8243C1C-E378-4576-AD2A-9B811D9B47EA}"/>
    <cellStyle name="Migliaia 25 8 3 2" xfId="39005" xr:uid="{31FADC71-D425-49F5-89E7-6CDAFABD4EF0}"/>
    <cellStyle name="Migliaia 25 8 3 3" xfId="44307" xr:uid="{6917C928-5B6D-4BBE-9026-44C435A25C31}"/>
    <cellStyle name="Migliaia 25 8 3 4" xfId="33551" xr:uid="{EF83DE95-A8B7-4662-BDAA-260B61893DD9}"/>
    <cellStyle name="Migliaia 25 8 3 5" xfId="20206" xr:uid="{7FF2A742-C67E-463E-8AFF-BDC4AAD20BEE}"/>
    <cellStyle name="Migliaia 25 8 4" xfId="36474" xr:uid="{D7ABD42D-1799-40AF-9DDC-108ABCB6F2B3}"/>
    <cellStyle name="Migliaia 25 8 5" xfId="41656" xr:uid="{A3A9A0AC-756E-4B8A-92D8-72D1621E6A96}"/>
    <cellStyle name="Migliaia 25 8 6" xfId="16282" xr:uid="{A1CCDDBD-7858-4FF8-8246-D7AB162A0B73}"/>
    <cellStyle name="Migliaia 25 8 7" xfId="7890" xr:uid="{A45E6F53-1297-4880-89B8-1530778EACB4}"/>
    <cellStyle name="Migliaia 25 9" xfId="5102" xr:uid="{6746DBF4-E6A0-4B39-8760-2202718C7857}"/>
    <cellStyle name="Migliaia 25 9 2" xfId="33552" xr:uid="{9249E368-13CA-4BC3-BDF5-03A1D1A61580}"/>
    <cellStyle name="Migliaia 25 9 2 2" xfId="39006" xr:uid="{B8E1CD10-AC83-439A-851D-C4D01F2C13CC}"/>
    <cellStyle name="Migliaia 25 9 2 3" xfId="44308" xr:uid="{10BF912C-2ABA-4761-948F-454B4B2999AE}"/>
    <cellStyle name="Migliaia 25 9 3" xfId="36475" xr:uid="{24BDC766-985B-4414-83F1-81D195460E58}"/>
    <cellStyle name="Migliaia 25 9 4" xfId="41657" xr:uid="{45BF5D6C-3175-4033-8435-C8AA3A59E40C}"/>
    <cellStyle name="Migliaia 25 9 5" xfId="17169" xr:uid="{782487CB-A1D4-44FD-B88D-B8FC3F98E308}"/>
    <cellStyle name="Migliaia 26" xfId="373" xr:uid="{00000000-0005-0000-0000-000061030000}"/>
    <cellStyle name="Migliaia 26 10" xfId="6324" xr:uid="{B94B6870-70A4-4A3F-8DB9-6021DDE7FCF8}"/>
    <cellStyle name="Migliaia 26 10 2" xfId="39007" xr:uid="{0366C846-430B-47F4-AD86-D311FAE7190F}"/>
    <cellStyle name="Migliaia 26 10 3" xfId="44309" xr:uid="{2AA19895-B25C-4F1C-A2A1-2AD7D157D62C}"/>
    <cellStyle name="Migliaia 26 10 4" xfId="33553" xr:uid="{F201DD83-1747-4AA3-B703-6F31DFAFAEC5}"/>
    <cellStyle name="Migliaia 26 10 5" xfId="20207" xr:uid="{84041A25-3585-43A1-8000-45CB97F79902}"/>
    <cellStyle name="Migliaia 26 11" xfId="3392" xr:uid="{1A543CDA-2819-4F71-A605-AA2F81D6459E}"/>
    <cellStyle name="Migliaia 26 11 2" xfId="36476" xr:uid="{949EE54A-B501-43B6-B47B-AE48AB6AF66E}"/>
    <cellStyle name="Migliaia 26 12" xfId="41658" xr:uid="{4A4734CD-6C8E-41AC-867B-F01C10DA3807}"/>
    <cellStyle name="Migliaia 26 13" xfId="7096" xr:uid="{D3F4CA99-358E-490D-A36F-16ABB45B1B60}"/>
    <cellStyle name="Migliaia 26 2" xfId="374" xr:uid="{00000000-0005-0000-0000-000062030000}"/>
    <cellStyle name="Migliaia 26 2 2" xfId="1746" xr:uid="{00000000-0005-0000-0000-000063030000}"/>
    <cellStyle name="Migliaia 26 2 2 2" xfId="5120" xr:uid="{F8C76102-37B0-4D25-82BC-769B73AFB431}"/>
    <cellStyle name="Migliaia 26 2 2 2 2" xfId="14381" xr:uid="{CCBDE1B2-61DD-4ACA-BF0A-D171622D1C30}"/>
    <cellStyle name="Migliaia 26 2 2 2 2 2" xfId="39008" xr:uid="{17791F86-08BD-4776-BAFC-71B1B873B056}"/>
    <cellStyle name="Migliaia 26 2 2 2 2 3" xfId="44310" xr:uid="{68DCC6DD-BAE9-4046-8CDB-2661BB39AAE5}"/>
    <cellStyle name="Migliaia 26 2 2 2 3" xfId="18416" xr:uid="{57F58F02-B82A-4693-857A-F5AF798949CF}"/>
    <cellStyle name="Migliaia 26 2 2 2 4" xfId="20210" xr:uid="{7432BD63-035D-49ED-8B68-552C51EFFDA3}"/>
    <cellStyle name="Migliaia 26 2 2 2 4 2" xfId="41659" xr:uid="{AC3DE28C-CE95-405F-8AB2-115B9874F0FD}"/>
    <cellStyle name="Migliaia 26 2 2 2 5" xfId="16283" xr:uid="{B115E67D-27BA-42C0-9429-F676F239B518}"/>
    <cellStyle name="Migliaia 26 2 2 2 6" xfId="8589" xr:uid="{A22A967F-BDA9-4A4F-8AEC-D19ED65C3816}"/>
    <cellStyle name="Migliaia 26 2 2 3" xfId="6326" xr:uid="{298F1D78-E86E-413A-868B-45CDF6DE2AE9}"/>
    <cellStyle name="Migliaia 26 2 2 3 2" xfId="35249" xr:uid="{EE458032-6C5A-4748-880B-59816A186A58}"/>
    <cellStyle name="Migliaia 26 2 2 3 2 2" xfId="40409" xr:uid="{ABA53483-DFB7-4F90-9926-43547A60ADD0}"/>
    <cellStyle name="Migliaia 26 2 2 3 2 3" xfId="45711" xr:uid="{83535EE8-B132-4223-ADCC-64BAA208C621}"/>
    <cellStyle name="Migliaia 26 2 2 3 3" xfId="37758" xr:uid="{A92B519B-3FF3-434F-B5C4-E18CA3DD3523}"/>
    <cellStyle name="Migliaia 26 2 2 3 4" xfId="43060" xr:uid="{046F8411-BAC7-400F-9340-14E69B6AE4B2}"/>
    <cellStyle name="Migliaia 26 2 2 3 5" xfId="11608" xr:uid="{B5E7ECDB-EA90-41A2-BF7B-67CF18554B4D}"/>
    <cellStyle name="Migliaia 26 2 2 4" xfId="3394" xr:uid="{6E4150BB-85AD-452C-9CFF-E4B795C6F274}"/>
    <cellStyle name="Migliaia 26 2 2 4 2" xfId="21458" xr:uid="{9F7F43B6-B9BF-4F49-92F8-B49835EA8A9F}"/>
    <cellStyle name="Migliaia 26 2 2 4 3" xfId="46645" xr:uid="{2808639D-9906-4C39-B29F-AF066C0539C4}"/>
    <cellStyle name="Migliaia 26 2 2 4 4" xfId="50473" xr:uid="{A2129885-6329-40CC-9679-7C4A0622ACEF}"/>
    <cellStyle name="Migliaia 26 2 2 4 5" xfId="53489" xr:uid="{773572A3-3423-4E5F-9728-49E0D11CBB38}"/>
    <cellStyle name="Migliaia 26 2 2 4 6" xfId="10823" xr:uid="{BA1DE0FE-56D5-4B91-A13C-D3209A565195}"/>
    <cellStyle name="Migliaia 26 2 2 5" xfId="20209" xr:uid="{AB3C6CBA-FB5F-4870-ACF4-D62646A1D740}"/>
    <cellStyle name="Migliaia 26 2 2 6" xfId="24591" xr:uid="{7508492D-A46A-4C96-94B6-658E62A15389}"/>
    <cellStyle name="Migliaia 26 2 2 7" xfId="7399" xr:uid="{BBF254D1-658F-47DE-BA74-4C6CAB40CB50}"/>
    <cellStyle name="Migliaia 26 2 3" xfId="3395" xr:uid="{9F2AD5E7-5438-4FFB-AF1E-A4022D4DF7C0}"/>
    <cellStyle name="Migliaia 26 2 3 2" xfId="5121" xr:uid="{131DAAF7-DB48-4837-AC0B-3F90500675A9}"/>
    <cellStyle name="Migliaia 26 2 3 2 2" xfId="35250" xr:uid="{72038FAB-5641-4D08-B6E7-B41D82F555BF}"/>
    <cellStyle name="Migliaia 26 2 3 2 2 2" xfId="40410" xr:uid="{56565779-007C-45CD-A571-F9B6027A4862}"/>
    <cellStyle name="Migliaia 26 2 3 2 2 3" xfId="45712" xr:uid="{86152C4B-40CA-4074-9FDA-518FBD8BAFE5}"/>
    <cellStyle name="Migliaia 26 2 3 2 3" xfId="37759" xr:uid="{E23D0C26-C80C-43B1-AF9B-4F1991A94913}"/>
    <cellStyle name="Migliaia 26 2 3 2 4" xfId="43061" xr:uid="{57BC4410-2229-44D0-9574-5070F1096CA3}"/>
    <cellStyle name="Migliaia 26 2 3 2 5" xfId="14234" xr:uid="{EC3D5A1C-4B18-46C4-B959-3BE57606209D}"/>
    <cellStyle name="Migliaia 26 2 3 3" xfId="6327" xr:uid="{05188EE4-B4B8-4ECD-8FF4-A58022CF9B43}"/>
    <cellStyle name="Migliaia 26 2 3 3 2" xfId="39009" xr:uid="{6B32F38A-D8DA-46BA-99EE-05ABE3FF398A}"/>
    <cellStyle name="Migliaia 26 2 3 3 3" xfId="44311" xr:uid="{3A8981B6-2198-4D72-85A9-42141269F7BE}"/>
    <cellStyle name="Migliaia 26 2 3 3 4" xfId="33554" xr:uid="{7993EB22-596D-4B5A-953E-EBD7318744B6}"/>
    <cellStyle name="Migliaia 26 2 3 3 5" xfId="20211" xr:uid="{D68D1E76-69B5-4C4F-9FC6-68566D03753C}"/>
    <cellStyle name="Migliaia 26 2 3 4" xfId="36477" xr:uid="{604B16BF-128B-496C-8242-E422EDCF0C41}"/>
    <cellStyle name="Migliaia 26 2 3 5" xfId="41660" xr:uid="{197BCF0B-78EA-4B40-8C5E-B4848FFF0B16}"/>
    <cellStyle name="Migliaia 26 2 3 6" xfId="16284" xr:uid="{50ECDEB4-8AF5-4756-BA40-46F7C01B23D4}"/>
    <cellStyle name="Migliaia 26 2 3 7" xfId="8296" xr:uid="{F1F55B6E-C519-498A-9072-B5BBF260500C}"/>
    <cellStyle name="Migliaia 26 2 4" xfId="5119" xr:uid="{3FAC7F25-4D3F-48EF-BF20-6BA93455327A}"/>
    <cellStyle name="Migliaia 26 2 4 2" xfId="13939" xr:uid="{2EA712E5-6815-43AC-9F10-4CF96DD736D4}"/>
    <cellStyle name="Migliaia 26 2 4 2 2" xfId="39010" xr:uid="{34DBBF92-3B16-4784-90F5-AD8ACB3A9AFF}"/>
    <cellStyle name="Migliaia 26 2 4 2 3" xfId="44312" xr:uid="{C08970A5-29E4-4540-8883-85573058F867}"/>
    <cellStyle name="Migliaia 26 2 4 3" xfId="18617" xr:uid="{725E8C49-1A38-4529-8524-16D115ACF7A3}"/>
    <cellStyle name="Migliaia 26 2 4 4" xfId="20212" xr:uid="{DEDB93E2-262A-4F0A-A816-83B1AD3F79B4}"/>
    <cellStyle name="Migliaia 26 2 4 4 2" xfId="41661" xr:uid="{8790C12D-B023-415A-960F-3D0D805C80E0}"/>
    <cellStyle name="Migliaia 26 2 4 5" xfId="16285" xr:uid="{B40A7243-C8A3-47CB-A86B-6FEE8256CD35}"/>
    <cellStyle name="Migliaia 26 2 4 6" xfId="7895" xr:uid="{CE4B2521-45B6-4924-8D1F-3CEB5C89BB96}"/>
    <cellStyle name="Migliaia 26 2 5" xfId="6325" xr:uid="{1B2EF1A3-B04B-490E-A0E7-CE02316CE44E}"/>
    <cellStyle name="Migliaia 26 2 5 2" xfId="33555" xr:uid="{52893B3A-8F81-45B8-AC63-9441ADE64E19}"/>
    <cellStyle name="Migliaia 26 2 5 2 2" xfId="39011" xr:uid="{B591EAD8-7F25-412A-B687-5742184B28A0}"/>
    <cellStyle name="Migliaia 26 2 5 2 3" xfId="44313" xr:uid="{C0E5380B-BD2D-48A2-864D-29E34FE30DBD}"/>
    <cellStyle name="Migliaia 26 2 5 3" xfId="36478" xr:uid="{E2976B4F-3718-4832-85A1-428FD9DA5CCF}"/>
    <cellStyle name="Migliaia 26 2 5 4" xfId="41662" xr:uid="{F380F003-B177-4952-BC8A-3E3837FAE9A6}"/>
    <cellStyle name="Migliaia 26 2 5 5" xfId="13121" xr:uid="{19E38FE0-04CB-4F5B-AD4F-808AC58F9EE8}"/>
    <cellStyle name="Migliaia 26 2 6" xfId="3393" xr:uid="{65EE3FA7-E8F5-496A-8B15-037EDC4BE0ED}"/>
    <cellStyle name="Migliaia 26 2 6 2" xfId="33556" xr:uid="{DC598FB8-1A0A-46BC-8A9B-C50B8BCF5563}"/>
    <cellStyle name="Migliaia 26 2 6 2 2" xfId="39012" xr:uid="{8465C8C8-B0F1-4976-A761-95B6C8371BD1}"/>
    <cellStyle name="Migliaia 26 2 6 2 3" xfId="44314" xr:uid="{50873B16-05AC-4D40-8E8D-F4855F62E82A}"/>
    <cellStyle name="Migliaia 26 2 6 3" xfId="36479" xr:uid="{40B7F29B-E712-45ED-B98D-0154F7419275}"/>
    <cellStyle name="Migliaia 26 2 6 4" xfId="41663" xr:uid="{D31802F4-782C-4D2B-ABA0-952D66A668AC}"/>
    <cellStyle name="Migliaia 26 2 6 5" xfId="24592" xr:uid="{D061613A-8045-46DA-ACBB-09FBE0409793}"/>
    <cellStyle name="Migliaia 26 2 6 6" xfId="20208" xr:uid="{C8CD0996-70E8-4BBE-A77C-26629AAF64C9}"/>
    <cellStyle name="Migliaia 26 2 7" xfId="24590" xr:uid="{3EB2B1E6-F9C9-4937-A043-F09B07667947}"/>
    <cellStyle name="Migliaia 26 2 8" xfId="7097" xr:uid="{105B3E9F-F0E4-48CE-9F5C-5B7B242FA5B0}"/>
    <cellStyle name="Migliaia 26 3" xfId="375" xr:uid="{00000000-0005-0000-0000-000064030000}"/>
    <cellStyle name="Migliaia 26 3 10" xfId="24593" xr:uid="{1C307975-52ED-4BAE-84C1-9FD500C73AB3}"/>
    <cellStyle name="Migliaia 26 3 11" xfId="16286" xr:uid="{4713613A-85C9-464C-A468-9F4257D55B89}"/>
    <cellStyle name="Migliaia 26 3 12" xfId="7098" xr:uid="{ABD72637-394E-4532-8DC2-1963A4B9DAE6}"/>
    <cellStyle name="Migliaia 26 3 2" xfId="376" xr:uid="{00000000-0005-0000-0000-000065030000}"/>
    <cellStyle name="Migliaia 26 3 2 2" xfId="1747" xr:uid="{00000000-0005-0000-0000-000066030000}"/>
    <cellStyle name="Migliaia 26 3 2 2 2" xfId="5124" xr:uid="{13D5046F-97AD-4F7F-8E98-8A3993A8AD5D}"/>
    <cellStyle name="Migliaia 26 3 2 2 2 2" xfId="18417" xr:uid="{87CECE39-5371-4368-BACA-3B7EE92456C4}"/>
    <cellStyle name="Migliaia 26 3 2 2 2 2 2" xfId="21859" xr:uid="{8BCECB1B-5189-4579-94C5-7052996360C7}"/>
    <cellStyle name="Migliaia 26 3 2 2 2 2 2 2" xfId="39013" xr:uid="{EC4B4FCF-E49F-4EC6-B1A6-2C40FC22FBC8}"/>
    <cellStyle name="Migliaia 26 3 2 2 2 2 3" xfId="44315" xr:uid="{269A8FCA-3A3C-4695-93AB-FF87DD815F61}"/>
    <cellStyle name="Migliaia 26 3 2 2 2 2 4" xfId="33557" xr:uid="{81109337-1AC0-408A-BB5F-686EAE05DFF0}"/>
    <cellStyle name="Migliaia 26 3 2 2 2 3" xfId="36480" xr:uid="{53811D36-67FE-47FC-A54B-165A5FBFC606}"/>
    <cellStyle name="Migliaia 26 3 2 2 2 4" xfId="41664" xr:uid="{C2EC65E1-2A0D-4268-B7CE-0A47145051A5}"/>
    <cellStyle name="Migliaia 26 3 2 2 2 5" xfId="25119" xr:uid="{0A292035-E77A-4E4D-8240-65BE22228330}"/>
    <cellStyle name="Migliaia 26 3 2 2 2 6" xfId="50887" xr:uid="{0CC076F9-247D-4D36-B8F8-C65DBD8321A3}"/>
    <cellStyle name="Migliaia 26 3 2 2 2 7" xfId="53903" xr:uid="{D467FACA-17B0-4C11-8949-4EFB63741C94}"/>
    <cellStyle name="Migliaia 26 3 2 2 2 8" xfId="17656" xr:uid="{B10CC46C-F469-42FD-AE4F-6630A78A6DE2}"/>
    <cellStyle name="Migliaia 26 3 2 2 2 9" xfId="11959" xr:uid="{CDFA6DB8-798F-4938-891B-C9942DB58CAB}"/>
    <cellStyle name="Migliaia 26 3 2 2 3" xfId="6330" xr:uid="{60740FC5-CEB2-4BA6-9132-0CEB3529A42B}"/>
    <cellStyle name="Migliaia 26 3 2 2 3 2" xfId="11175" xr:uid="{86D61F4B-2FA5-4B4D-90CE-4F1A2D00DC82}"/>
    <cellStyle name="Migliaia 26 3 2 2 4" xfId="3398" xr:uid="{7EA16805-BB76-463D-A8E2-F2720873D8E1}"/>
    <cellStyle name="Migliaia 26 3 2 2 4 2" xfId="21459" xr:uid="{0BA828D4-64FA-4AC6-8C3B-9068DB72D8FE}"/>
    <cellStyle name="Migliaia 26 3 2 2 4 3" xfId="47976" xr:uid="{F61A6BC4-7FD3-4090-BFC7-2FBA22B7ABA3}"/>
    <cellStyle name="Migliaia 26 3 2 2 4 4" xfId="50474" xr:uid="{8DCF0D97-AEF6-4F28-A97A-5302486A9D4C}"/>
    <cellStyle name="Migliaia 26 3 2 2 4 5" xfId="53490" xr:uid="{43C69B05-2CF5-4543-8C51-A0FB7031D61E}"/>
    <cellStyle name="Migliaia 26 3 2 2 4 6" xfId="10824" xr:uid="{AFD333E6-EA15-4559-ACDD-446E63F0298E}"/>
    <cellStyle name="Migliaia 26 3 2 2 5" xfId="20215" xr:uid="{69699D09-168A-41A9-8EFF-2F069777830A}"/>
    <cellStyle name="Migliaia 26 3 2 2 6" xfId="24595" xr:uid="{C2A323F1-A5B6-4435-A8E8-57E199D9BB1B}"/>
    <cellStyle name="Migliaia 26 3 2 2 7" xfId="8591" xr:uid="{A6AD66B8-D96D-48F1-B10D-DB3131106AF7}"/>
    <cellStyle name="Migliaia 26 3 2 3" xfId="5123" xr:uid="{F1769E0F-445F-4A13-B7D4-147C55D63F97}"/>
    <cellStyle name="Migliaia 26 3 2 3 2" xfId="11131" xr:uid="{0917947C-C2E2-40B9-A2C5-6322E93613E3}"/>
    <cellStyle name="Migliaia 26 3 2 3 2 2" xfId="39014" xr:uid="{8797AF50-BF95-46ED-9D48-B5D1F8C3F0F8}"/>
    <cellStyle name="Migliaia 26 3 2 3 2 3" xfId="44316" xr:uid="{F76C4E5B-0339-4821-9B89-A47A0B3B1585}"/>
    <cellStyle name="Migliaia 26 3 2 3 2 4" xfId="33558" xr:uid="{D86F403E-221D-432A-9AB3-326E0E9B2E9B}"/>
    <cellStyle name="Migliaia 26 3 2 3 3" xfId="11960" xr:uid="{93BE73E2-0DD2-4391-9BDC-A90BBEF0DEBF}"/>
    <cellStyle name="Migliaia 26 3 2 3 4" xfId="20216" xr:uid="{D4AAFD02-E9BD-4D2F-9D68-EA88F234C736}"/>
    <cellStyle name="Migliaia 26 3 2 3 4 2" xfId="41665" xr:uid="{1696217E-DA15-4F6A-9F23-EC03133F1B02}"/>
    <cellStyle name="Migliaia 26 3 2 3 5" xfId="16287" xr:uid="{DEF6CC64-25B4-4AFC-A506-2F681A82E4B2}"/>
    <cellStyle name="Migliaia 26 3 2 3 6" xfId="7897" xr:uid="{4DD30E65-4978-48AD-AE9A-F7942F37411C}"/>
    <cellStyle name="Migliaia 26 3 2 4" xfId="6329" xr:uid="{1F1016F6-E474-4E57-A44E-C7209879D40A}"/>
    <cellStyle name="Migliaia 26 3 2 4 2" xfId="18075" xr:uid="{9960182F-D0D7-467F-BDCC-44211352E83F}"/>
    <cellStyle name="Migliaia 26 3 2 4 2 2" xfId="39015" xr:uid="{F8AA0F1C-8D82-47A7-B571-909BE47B286D}"/>
    <cellStyle name="Migliaia 26 3 2 4 2 3" xfId="44317" xr:uid="{18EA2151-E9D7-4D2C-8075-58CD43960C3F}"/>
    <cellStyle name="Migliaia 26 3 2 4 3" xfId="36481" xr:uid="{1F7CC10B-C19C-4C96-B5DC-D0A137BF8639}"/>
    <cellStyle name="Migliaia 26 3 2 4 4" xfId="41666" xr:uid="{75DCEA66-D049-450D-867E-B72548B4016A}"/>
    <cellStyle name="Migliaia 26 3 2 4 5" xfId="17172" xr:uid="{BEF8359F-D1FD-49A7-81E1-C024DAE90BC8}"/>
    <cellStyle name="Migliaia 26 3 2 4 6" xfId="11308" xr:uid="{F5E78B2A-11CD-4216-94DD-B0E16E2AD48F}"/>
    <cellStyle name="Migliaia 26 3 2 5" xfId="3397" xr:uid="{6193CECE-3A32-4E8D-A08D-DC2FA2244673}"/>
    <cellStyle name="Migliaia 26 3 2 5 2" xfId="33559" xr:uid="{BEC7D9D4-1953-475E-B325-A649785F85E4}"/>
    <cellStyle name="Migliaia 26 3 2 5 2 2" xfId="39016" xr:uid="{ED195E23-DC98-4C22-AE6D-6CB3118B0759}"/>
    <cellStyle name="Migliaia 26 3 2 5 2 3" xfId="44318" xr:uid="{0078913D-4825-4F12-A3D4-F86F15C6130F}"/>
    <cellStyle name="Migliaia 26 3 2 5 3" xfId="36482" xr:uid="{77A7AC51-C2C9-4446-8431-1E1B899355F9}"/>
    <cellStyle name="Migliaia 26 3 2 5 4" xfId="41667" xr:uid="{4FC5CB6A-17A7-4304-A684-17921F430CBA}"/>
    <cellStyle name="Migliaia 26 3 2 5 5" xfId="17372" xr:uid="{FF8EB058-DF10-4F18-A273-53C85F7F13F4}"/>
    <cellStyle name="Migliaia 26 3 2 6" xfId="20214" xr:uid="{2B1E3CF2-BBA5-4679-9597-6472D3C11126}"/>
    <cellStyle name="Migliaia 26 3 2 6 2" xfId="33560" xr:uid="{05B1018A-6650-4D17-BEFD-99B1DFE10029}"/>
    <cellStyle name="Migliaia 26 3 2 6 2 2" xfId="39017" xr:uid="{BE9C9582-4552-4F25-B5A8-4C8231793040}"/>
    <cellStyle name="Migliaia 26 3 2 6 2 3" xfId="44319" xr:uid="{2EC6A0B9-034D-4EF8-9216-0966879F2A74}"/>
    <cellStyle name="Migliaia 26 3 2 6 3" xfId="36483" xr:uid="{CB1CF250-54DD-48E9-B782-556AA69946F5}"/>
    <cellStyle name="Migliaia 26 3 2 6 4" xfId="41668" xr:uid="{0F6F6A40-4484-49AC-8831-B729A758B084}"/>
    <cellStyle name="Migliaia 26 3 2 6 5" xfId="24596" xr:uid="{F4BB8368-1E8E-4727-A30E-B089D4920823}"/>
    <cellStyle name="Migliaia 26 3 2 7" xfId="24594" xr:uid="{DD477A72-17D1-4380-A546-1CE9E1F448C7}"/>
    <cellStyle name="Migliaia 26 3 2 8" xfId="7401" xr:uid="{1EF571EF-5495-4491-892F-555F13DF5C43}"/>
    <cellStyle name="Migliaia 26 3 3" xfId="3399" xr:uid="{1D3E647C-B707-462B-8BA3-2239165F296A}"/>
    <cellStyle name="Migliaia 26 3 3 10" xfId="7400" xr:uid="{7C507F64-EB26-4E8B-B8D0-1B6F5FFEF215}"/>
    <cellStyle name="Migliaia 26 3 3 2" xfId="5125" xr:uid="{39A47D12-3D8B-4010-B0C2-0064CB90CCB5}"/>
    <cellStyle name="Migliaia 26 3 3 2 2" xfId="9918" xr:uid="{A4BF08FC-B36F-4C56-863D-FB037A150F5F}"/>
    <cellStyle name="Migliaia 26 3 3 2 2 2" xfId="39019" xr:uid="{D38D94B1-5108-4873-B7F1-0F22656D7382}"/>
    <cellStyle name="Migliaia 26 3 3 2 2 3" xfId="44321" xr:uid="{16800C68-C6E1-4ED4-B190-9AFABF562394}"/>
    <cellStyle name="Migliaia 26 3 3 2 3" xfId="18198" xr:uid="{260AEE07-0CCC-43B2-A5F0-6606D77CDF7D}"/>
    <cellStyle name="Migliaia 26 3 3 2 4" xfId="20218" xr:uid="{0698C3FA-08E1-4BD6-85BA-BC68687AE8A9}"/>
    <cellStyle name="Migliaia 26 3 3 2 4 2" xfId="41670" xr:uid="{76152198-39BD-46EB-B5AA-427CD4343A6F}"/>
    <cellStyle name="Migliaia 26 3 3 2 5" xfId="16289" xr:uid="{3DFE5853-0C2A-4176-8ED4-060345897BC6}"/>
    <cellStyle name="Migliaia 26 3 3 2 6" xfId="8590" xr:uid="{87D6BEE8-B38A-4320-A440-BC2ED10EABE9}"/>
    <cellStyle name="Migliaia 26 3 3 3" xfId="6331" xr:uid="{5E699C2C-ACA4-4BEC-A146-3E1ED5585A5D}"/>
    <cellStyle name="Migliaia 26 3 3 3 2" xfId="33562" xr:uid="{F9EB3123-A8E0-4287-A692-E8262F71E413}"/>
    <cellStyle name="Migliaia 26 3 3 3 2 2" xfId="39020" xr:uid="{CA500E4C-34CA-4604-9158-87FA663DC804}"/>
    <cellStyle name="Migliaia 26 3 3 3 2 3" xfId="44322" xr:uid="{612CD4E5-6321-40A4-B8A8-A470628CFF53}"/>
    <cellStyle name="Migliaia 26 3 3 3 3" xfId="36485" xr:uid="{8E563894-3F9F-4A64-BF16-456473C91428}"/>
    <cellStyle name="Migliaia 26 3 3 3 4" xfId="41671" xr:uid="{01FE414F-B0D7-4005-9DF3-4461D34B0558}"/>
    <cellStyle name="Migliaia 26 3 3 3 5" xfId="9681" xr:uid="{5348CBFB-423E-4582-8C96-E8447601F4BB}"/>
    <cellStyle name="Migliaia 26 3 3 4" xfId="20217" xr:uid="{57ADA8F1-A3C6-44B8-BA75-B240C3293BAC}"/>
    <cellStyle name="Migliaia 26 3 3 4 2" xfId="33563" xr:uid="{664AB380-6003-400F-B320-40F670227D23}"/>
    <cellStyle name="Migliaia 26 3 3 4 2 2" xfId="39021" xr:uid="{5D0D4FCB-652C-43EF-A371-F78672C54EB6}"/>
    <cellStyle name="Migliaia 26 3 3 4 2 3" xfId="44323" xr:uid="{F1FD97AD-362D-496C-B55B-FB97AE6C9DBD}"/>
    <cellStyle name="Migliaia 26 3 3 4 3" xfId="36486" xr:uid="{54419821-82F8-4931-9088-690C6A696104}"/>
    <cellStyle name="Migliaia 26 3 3 4 4" xfId="41672" xr:uid="{4A4014D0-8291-44EE-8B92-0B0F267B850A}"/>
    <cellStyle name="Migliaia 26 3 3 4 5" xfId="24597" xr:uid="{CE69D2E9-48FF-49A9-A0FA-727BB5E1ECC9}"/>
    <cellStyle name="Migliaia 26 3 3 5" xfId="24598" xr:uid="{236C8601-F10C-4851-BAB3-0BFEE3538EA7}"/>
    <cellStyle name="Migliaia 26 3 3 5 2" xfId="33564" xr:uid="{81D7F8EE-D574-41C1-9780-C110A9376009}"/>
    <cellStyle name="Migliaia 26 3 3 5 2 2" xfId="39022" xr:uid="{A468119F-E320-4B1A-91F3-B3C57C587C44}"/>
    <cellStyle name="Migliaia 26 3 3 5 2 3" xfId="44324" xr:uid="{04EFCD2E-5941-457F-9A26-E82042D5020C}"/>
    <cellStyle name="Migliaia 26 3 3 5 3" xfId="36487" xr:uid="{8D6DCD4F-7706-45C1-93E3-A0CAAF36D137}"/>
    <cellStyle name="Migliaia 26 3 3 5 4" xfId="41673" xr:uid="{E79FFAC9-97F5-4FCF-BBB3-D0D805078507}"/>
    <cellStyle name="Migliaia 26 3 3 6" xfId="33561" xr:uid="{A4A00E12-727A-4660-B9F2-42A2F9152374}"/>
    <cellStyle name="Migliaia 26 3 3 6 2" xfId="39018" xr:uid="{05341B77-471B-4982-91F9-0DF649CEFDF6}"/>
    <cellStyle name="Migliaia 26 3 3 6 3" xfId="44320" xr:uid="{A5965B14-3437-4694-94F8-96EEE23FC12A}"/>
    <cellStyle name="Migliaia 26 3 3 7" xfId="36484" xr:uid="{DAC49628-F34B-4A5C-805F-1BA3AB8C21AD}"/>
    <cellStyle name="Migliaia 26 3 3 8" xfId="41669" xr:uid="{965478C6-41F2-49ED-BFFF-78730E7D9B60}"/>
    <cellStyle name="Migliaia 26 3 3 9" xfId="16288" xr:uid="{A038488B-72BC-4F0D-9945-BE5FE8AA08AB}"/>
    <cellStyle name="Migliaia 26 3 4" xfId="3400" xr:uid="{097BDC5C-8670-41C2-9D14-26EA3F9205D8}"/>
    <cellStyle name="Migliaia 26 3 4 2" xfId="5126" xr:uid="{B62A0A9D-1330-4386-9725-330D61A921A5}"/>
    <cellStyle name="Migliaia 26 3 4 2 2" xfId="14441" xr:uid="{05E2B0BB-D950-453F-84EE-B5DAE819F6C4}"/>
    <cellStyle name="Migliaia 26 3 4 2 3" xfId="18127" xr:uid="{55E08BF2-931A-41A5-B2A5-052E9078C4EF}"/>
    <cellStyle name="Migliaia 26 3 4 2 4" xfId="20220" xr:uid="{D4E99B99-9B14-4002-8C66-7BBCBCB9BE12}"/>
    <cellStyle name="Migliaia 26 3 4 2 5" xfId="32351" xr:uid="{8DA1B745-E0A6-49FD-9023-9FDAE39FF031}"/>
    <cellStyle name="Migliaia 26 3 4 2 6" xfId="16291" xr:uid="{F99852A4-C4E7-4D59-BA2E-ED199294DB22}"/>
    <cellStyle name="Migliaia 26 3 4 2 7" xfId="8864" xr:uid="{122BD43B-2259-4AEA-96F9-C11C75063ABB}"/>
    <cellStyle name="Migliaia 26 3 4 3" xfId="6332" xr:uid="{944F724A-60E2-4AEE-A3A6-283E8690E602}"/>
    <cellStyle name="Migliaia 26 3 4 3 2" xfId="35251" xr:uid="{9B95960E-167D-44CA-A975-72C60A1CF27D}"/>
    <cellStyle name="Migliaia 26 3 4 3 2 2" xfId="40411" xr:uid="{B2A9C7B1-C0DD-476D-B0BF-74C10D9444BB}"/>
    <cellStyle name="Migliaia 26 3 4 3 2 3" xfId="45713" xr:uid="{AA610D29-7123-44D1-8591-DC6545EDADD5}"/>
    <cellStyle name="Migliaia 26 3 4 3 3" xfId="37760" xr:uid="{85CEF502-6097-4B03-96C0-7E11D3227D9B}"/>
    <cellStyle name="Migliaia 26 3 4 3 4" xfId="43062" xr:uid="{6C345330-F192-48F9-BBD6-02BE9BF8D114}"/>
    <cellStyle name="Migliaia 26 3 4 3 5" xfId="13689" xr:uid="{D4DAB367-E420-495B-B682-1570DF75AFDE}"/>
    <cellStyle name="Migliaia 26 3 4 4" xfId="20219" xr:uid="{BBD2D392-0A76-4B31-B51C-79DBD1DBD315}"/>
    <cellStyle name="Migliaia 26 3 4 4 2" xfId="39023" xr:uid="{C174464F-0BC8-464C-BE3B-F0FC2224FE51}"/>
    <cellStyle name="Migliaia 26 3 4 4 3" xfId="44325" xr:uid="{E3951D61-562A-4D77-A189-995A4513DA7A}"/>
    <cellStyle name="Migliaia 26 3 4 4 4" xfId="33565" xr:uid="{64C6C51B-E5B9-46AD-B3DA-D3B3B1539C16}"/>
    <cellStyle name="Migliaia 26 3 4 5" xfId="36488" xr:uid="{1360D0E0-EEBF-4B91-A9CE-62D60A1A50D6}"/>
    <cellStyle name="Migliaia 26 3 4 6" xfId="41674" xr:uid="{A0086A1A-3636-4A95-91B0-779C83AC1BCD}"/>
    <cellStyle name="Migliaia 26 3 4 7" xfId="16290" xr:uid="{7A9307FB-122E-4D5B-A1F8-BF322AF54054}"/>
    <cellStyle name="Migliaia 26 3 4 8" xfId="7674" xr:uid="{2085E3FE-446E-41FD-8D65-E7337253DE7F}"/>
    <cellStyle name="Migliaia 26 3 5" xfId="3401" xr:uid="{FA409B07-883E-48A4-8E58-2BD3CA30C472}"/>
    <cellStyle name="Migliaia 26 3 5 2" xfId="5127" xr:uid="{79F0C381-7114-4E45-848F-ED8623C9FA9F}"/>
    <cellStyle name="Migliaia 26 3 5 2 2" xfId="35252" xr:uid="{63D9412A-D97C-46D1-9BAE-EF40A4DA8CA6}"/>
    <cellStyle name="Migliaia 26 3 5 2 2 2" xfId="40412" xr:uid="{A042B7F7-88F3-48E0-900C-C1BF9BDF54B9}"/>
    <cellStyle name="Migliaia 26 3 5 2 2 3" xfId="45714" xr:uid="{C19E7C58-B18B-46FA-8CE7-EE7749844E9F}"/>
    <cellStyle name="Migliaia 26 3 5 2 3" xfId="37761" xr:uid="{D9A5B6DC-9C3C-498C-B508-49DA538C6E4B}"/>
    <cellStyle name="Migliaia 26 3 5 2 4" xfId="43063" xr:uid="{04283FA3-EEC0-45C1-8399-DDF6206F35C3}"/>
    <cellStyle name="Migliaia 26 3 5 2 5" xfId="14235" xr:uid="{FCDBED06-B62D-40D9-B787-798D225FB142}"/>
    <cellStyle name="Migliaia 26 3 5 3" xfId="6333" xr:uid="{9987323D-A970-42F4-AF7E-710C58F7BAE9}"/>
    <cellStyle name="Migliaia 26 3 5 3 2" xfId="39024" xr:uid="{9E4E141F-6B1D-4F37-A3A7-71F4793F35A7}"/>
    <cellStyle name="Migliaia 26 3 5 3 3" xfId="44326" xr:uid="{9762E890-9430-475D-ADE0-9AB3B89DEA67}"/>
    <cellStyle name="Migliaia 26 3 5 3 4" xfId="33566" xr:uid="{AD302DD7-F2A2-4AB0-BA97-007FB1A7A592}"/>
    <cellStyle name="Migliaia 26 3 5 3 5" xfId="20221" xr:uid="{549BF139-AB79-495C-A5C2-4987D3B1962F}"/>
    <cellStyle name="Migliaia 26 3 5 4" xfId="36489" xr:uid="{B5693A79-E632-4584-B174-F268EBAD944B}"/>
    <cellStyle name="Migliaia 26 3 5 5" xfId="41675" xr:uid="{733BEA89-3A51-4CAC-A28F-67A22BB5807D}"/>
    <cellStyle name="Migliaia 26 3 5 6" xfId="16292" xr:uid="{E93265C8-306F-432A-80D5-4400F1993679}"/>
    <cellStyle name="Migliaia 26 3 5 7" xfId="8297" xr:uid="{BB6276D3-32B8-4997-92E5-F69EDCB07ED0}"/>
    <cellStyle name="Migliaia 26 3 6" xfId="5122" xr:uid="{1E677ED1-A687-47E2-868E-81AA5E92BAA5}"/>
    <cellStyle name="Migliaia 26 3 6 2" xfId="13940" xr:uid="{63367D30-92C6-46CF-B532-9599E73D2753}"/>
    <cellStyle name="Migliaia 26 3 6 2 2" xfId="39025" xr:uid="{2A940BB7-E765-41B3-8466-91DE96657118}"/>
    <cellStyle name="Migliaia 26 3 6 2 3" xfId="44327" xr:uid="{EA9B8B5D-975A-4A92-A659-3A6C06E322EB}"/>
    <cellStyle name="Migliaia 26 3 6 3" xfId="18142" xr:uid="{69142853-E176-4451-941F-63B96F51F1D2}"/>
    <cellStyle name="Migliaia 26 3 6 4" xfId="20222" xr:uid="{76E5BC3B-2606-433C-B90B-FA8CD466CC09}"/>
    <cellStyle name="Migliaia 26 3 6 4 2" xfId="41676" xr:uid="{A923B121-42EC-4CF5-A7E2-4F0FFAFE0646}"/>
    <cellStyle name="Migliaia 26 3 6 5" xfId="16293" xr:uid="{81C88E6A-2DF6-40BD-A995-030063922131}"/>
    <cellStyle name="Migliaia 26 3 6 6" xfId="7896" xr:uid="{F312CEC2-8041-4F1A-A7AD-BCC17723B59E}"/>
    <cellStyle name="Migliaia 26 3 7" xfId="6328" xr:uid="{7052F70A-E1A1-4DF5-A05C-8402E23F4C8E}"/>
    <cellStyle name="Migliaia 26 3 7 2" xfId="33567" xr:uid="{9700E867-B6F2-41E1-B5C0-D00CB460E8D2}"/>
    <cellStyle name="Migliaia 26 3 7 2 2" xfId="39026" xr:uid="{47BED1DA-D95F-49D6-9ABC-718E95BC122E}"/>
    <cellStyle name="Migliaia 26 3 7 2 3" xfId="44328" xr:uid="{379CC7DB-C626-40BC-8435-9A899817BBB9}"/>
    <cellStyle name="Migliaia 26 3 7 3" xfId="36490" xr:uid="{1CA9CD01-8632-4BC3-8799-B9BED7DA6C70}"/>
    <cellStyle name="Migliaia 26 3 7 4" xfId="41677" xr:uid="{27F0BDD4-5FFB-4C55-9550-DFE4BB117173}"/>
    <cellStyle name="Migliaia 26 3 7 5" xfId="11095" xr:uid="{18BAB77E-DFF3-4BB5-86DF-A4A2EACE0133}"/>
    <cellStyle name="Migliaia 26 3 8" xfId="3396" xr:uid="{4FA0C2E3-CCF9-4EAC-912E-3E24456DCDC1}"/>
    <cellStyle name="Migliaia 26 3 8 2" xfId="33568" xr:uid="{F81E81B5-5057-4A1A-AF11-7FC40E906286}"/>
    <cellStyle name="Migliaia 26 3 8 2 2" xfId="39027" xr:uid="{F279116B-9B29-4F14-953C-3FC3426921FE}"/>
    <cellStyle name="Migliaia 26 3 8 2 3" xfId="44329" xr:uid="{D5228EF3-807C-4521-9939-A2A4ACC170E8}"/>
    <cellStyle name="Migliaia 26 3 8 3" xfId="36491" xr:uid="{79C0CFA2-CA58-4E39-98BE-0829585DAEC0}"/>
    <cellStyle name="Migliaia 26 3 8 4" xfId="41678" xr:uid="{BFAF6855-A67C-41B0-8155-45169CBD9B6E}"/>
    <cellStyle name="Migliaia 26 3 8 5" xfId="24599" xr:uid="{A7B6EC79-5FFE-4BA8-996C-15A956157CE7}"/>
    <cellStyle name="Migliaia 26 3 8 6" xfId="17373" xr:uid="{97982996-CD86-4476-AD07-DC67D99E0501}"/>
    <cellStyle name="Migliaia 26 3 9" xfId="20213" xr:uid="{430362B4-EFF0-47FF-B97F-4FAB8F133A42}"/>
    <cellStyle name="Migliaia 26 4" xfId="1748" xr:uid="{00000000-0005-0000-0000-000067030000}"/>
    <cellStyle name="Migliaia 26 4 2" xfId="1749" xr:uid="{00000000-0005-0000-0000-000068030000}"/>
    <cellStyle name="Migliaia 26 4 2 2" xfId="5129" xr:uid="{598DDDE4-044A-4BF5-83F3-B30A48D5F307}"/>
    <cellStyle name="Migliaia 26 4 2 2 2" xfId="33569" xr:uid="{1B46F887-05A3-4A43-BE84-D8C85F98550C}"/>
    <cellStyle name="Migliaia 26 4 2 2 2 2" xfId="39028" xr:uid="{E66E4C0D-FB00-497A-A998-FC2CFA564C2D}"/>
    <cellStyle name="Migliaia 26 4 2 2 2 3" xfId="44330" xr:uid="{2D569025-BB27-48B3-8948-DDF1AB6C032C}"/>
    <cellStyle name="Migliaia 26 4 2 2 3" xfId="36492" xr:uid="{28746FC2-5D52-4A07-AA09-03EC37BD9D8F}"/>
    <cellStyle name="Migliaia 26 4 2 2 4" xfId="41679" xr:uid="{7CD0008D-C3A0-47E3-AF39-1C8BF7F9274B}"/>
    <cellStyle name="Migliaia 26 4 2 2 5" xfId="9144" xr:uid="{16BE6798-DD70-4D49-9314-6FE23E156AC0}"/>
    <cellStyle name="Migliaia 26 4 2 3" xfId="3403" xr:uid="{ADEA42E4-FBE3-491C-AF47-2EC817FD2ACD}"/>
    <cellStyle name="Migliaia 26 4 2 3 2" xfId="33570" xr:uid="{88AEE942-FDD2-4CC6-9D3F-81E566E7B968}"/>
    <cellStyle name="Migliaia 26 4 2 3 2 2" xfId="39029" xr:uid="{98898A95-52C1-4C39-8C12-30FE25647A39}"/>
    <cellStyle name="Migliaia 26 4 2 3 2 3" xfId="44331" xr:uid="{850094DD-DF19-404D-871C-F2B4279D3726}"/>
    <cellStyle name="Migliaia 26 4 2 3 3" xfId="36493" xr:uid="{7B8CDFFA-6FB3-4899-8E57-C5B6639EA3E9}"/>
    <cellStyle name="Migliaia 26 4 2 3 4" xfId="41680" xr:uid="{5523381C-C0C5-4E8D-96D0-EBFB8E3EF981}"/>
    <cellStyle name="Migliaia 26 4 2 3 5" xfId="11961" xr:uid="{6EF3C4A9-0B5F-46E8-B5A3-AAFDD7A133FE}"/>
    <cellStyle name="Migliaia 26 4 2 4" xfId="11310" xr:uid="{9F2A3030-7050-48A9-824E-1755E214B56E}"/>
    <cellStyle name="Migliaia 26 4 2 5" xfId="10826" xr:uid="{CD812AB1-C12C-4F8B-89EC-03E9DDB9DEC3}"/>
    <cellStyle name="Migliaia 26 4 2 5 2" xfId="21461" xr:uid="{95D2598D-12EB-4315-B07D-18275788FA07}"/>
    <cellStyle name="Migliaia 26 4 2 5 3" xfId="48529" xr:uid="{3FB6BAEF-1306-40E2-8543-1C696DFE7E79}"/>
    <cellStyle name="Migliaia 26 4 2 5 4" xfId="50476" xr:uid="{4AA49F0A-05FB-49FE-9CE7-E06DAC8CE388}"/>
    <cellStyle name="Migliaia 26 4 2 5 5" xfId="53492" xr:uid="{48F17E45-D387-4FED-A174-CB6C1DD1E2A3}"/>
    <cellStyle name="Migliaia 26 4 2 6" xfId="20224" xr:uid="{3F245521-34B1-4BF4-8F1B-3B6B76C94645}"/>
    <cellStyle name="Migliaia 26 4 2 7" xfId="24601" xr:uid="{3E795E1C-A063-4560-876D-7688F525F5F2}"/>
    <cellStyle name="Migliaia 26 4 2 8" xfId="8592" xr:uid="{9BF0DF7E-0EE7-4A5F-9198-8034B7370BAE}"/>
    <cellStyle name="Migliaia 26 4 3" xfId="5128" xr:uid="{025BA078-51E5-443C-8A96-3649F8F13B75}"/>
    <cellStyle name="Migliaia 26 4 3 2" xfId="18199" xr:uid="{62A99AC8-D04E-4E68-9D90-C97A94EC23D4}"/>
    <cellStyle name="Migliaia 26 4 3 2 2" xfId="39030" xr:uid="{F953A32F-AA5F-4888-8691-0626BDDDA3E1}"/>
    <cellStyle name="Migliaia 26 4 3 2 3" xfId="44332" xr:uid="{7F792844-555C-4AD7-9C3F-4EC77305F9E5}"/>
    <cellStyle name="Migliaia 26 4 3 3" xfId="36494" xr:uid="{7C5DFF14-EFF6-4228-8D08-4CA32543178A}"/>
    <cellStyle name="Migliaia 26 4 3 4" xfId="41681" xr:uid="{08927896-912D-4BBF-A2BC-351FA02DABC3}"/>
    <cellStyle name="Migliaia 26 4 3 5" xfId="17371" xr:uid="{B1097735-D52F-49EF-BD7A-2CC6C1DE9AA1}"/>
    <cellStyle name="Migliaia 26 4 3 6" xfId="9145" xr:uid="{918F36EC-6ABE-4858-85AD-8833053DDEF0}"/>
    <cellStyle name="Migliaia 26 4 4" xfId="6334" xr:uid="{B7C1425D-64E2-4C96-9FE9-B1781CD656D8}"/>
    <cellStyle name="Migliaia 26 4 4 2" xfId="33571" xr:uid="{9384F09E-B88D-4A11-BE4E-A958A9BFFD7A}"/>
    <cellStyle name="Migliaia 26 4 4 2 2" xfId="39031" xr:uid="{1BAB739A-C7F8-4649-93FC-94C9552276D0}"/>
    <cellStyle name="Migliaia 26 4 4 2 3" xfId="44333" xr:uid="{442B4A65-1C6A-4867-986A-E8F05B94679C}"/>
    <cellStyle name="Migliaia 26 4 4 3" xfId="36495" xr:uid="{DCEF2FD8-1717-4B94-A4C3-51A00748AC31}"/>
    <cellStyle name="Migliaia 26 4 4 4" xfId="41682" xr:uid="{CB7D007C-893A-481C-97BE-4CABADC560EA}"/>
    <cellStyle name="Migliaia 26 4 4 5" xfId="11962" xr:uid="{88A3391F-4681-4049-9405-D9AB00FC99CE}"/>
    <cellStyle name="Migliaia 26 4 5" xfId="3402" xr:uid="{D54454B4-790E-4457-8C7F-FAD8F4A65922}"/>
    <cellStyle name="Migliaia 26 4 5 2" xfId="33572" xr:uid="{1B6F3F31-E34C-4CFC-9CA5-E23F1A874ACA}"/>
    <cellStyle name="Migliaia 26 4 5 2 2" xfId="39032" xr:uid="{45B45D51-D6C8-49A4-B3F2-235F471A93D3}"/>
    <cellStyle name="Migliaia 26 4 5 2 3" xfId="44334" xr:uid="{58DC31BF-60C1-4007-B1C3-7CACC1B663CA}"/>
    <cellStyle name="Migliaia 26 4 5 3" xfId="36496" xr:uid="{75821C0C-14B7-41C0-AD25-79DD2513C250}"/>
    <cellStyle name="Migliaia 26 4 5 4" xfId="41683" xr:uid="{9F974168-9CE8-4EB5-A569-AAF37B1746AD}"/>
    <cellStyle name="Migliaia 26 4 5 5" xfId="11309" xr:uid="{8700EBD2-BB02-4138-ABB7-589811EFFF8A}"/>
    <cellStyle name="Migliaia 26 4 6" xfId="10825" xr:uid="{23779F1C-989F-4965-B2FC-B15E0D6A39A9}"/>
    <cellStyle name="Migliaia 26 4 6 2" xfId="21460" xr:uid="{DC0238DE-1AD1-4682-8D71-8F89422DFB7C}"/>
    <cellStyle name="Migliaia 26 4 6 2 2" xfId="39033" xr:uid="{554AE454-073F-4C4D-8A52-8535F8451B51}"/>
    <cellStyle name="Migliaia 26 4 6 2 3" xfId="44335" xr:uid="{A7E5955A-567C-4EE2-A060-7F8469E11DCF}"/>
    <cellStyle name="Migliaia 26 4 6 2 4" xfId="33573" xr:uid="{2B08B44E-F6B8-463E-9A21-290AF1FB827A}"/>
    <cellStyle name="Migliaia 26 4 6 3" xfId="36497" xr:uid="{6E8340B2-A6EB-4C9B-A1B2-B9139EFAE7DD}"/>
    <cellStyle name="Migliaia 26 4 6 4" xfId="41684" xr:uid="{69AF6970-604E-4BAA-B98E-90BE88A11B43}"/>
    <cellStyle name="Migliaia 26 4 6 5" xfId="24602" xr:uid="{B7E7333D-A5AD-47FC-9CD9-2365C3789FDC}"/>
    <cellStyle name="Migliaia 26 4 6 6" xfId="48569" xr:uid="{A9169CA6-D04C-4E60-9EE0-1B94B45D2351}"/>
    <cellStyle name="Migliaia 26 4 6 7" xfId="50475" xr:uid="{12FDC68C-9D0A-46B6-B45D-DDC564B4E3D3}"/>
    <cellStyle name="Migliaia 26 4 6 8" xfId="53491" xr:uid="{47E1068D-EBC4-47ED-A4C3-6ACA66C38A15}"/>
    <cellStyle name="Migliaia 26 4 7" xfId="20223" xr:uid="{E8800BFE-16E9-481E-A325-E38AD01F3D9C}"/>
    <cellStyle name="Migliaia 26 4 7 2" xfId="33574" xr:uid="{AAA62AD7-FDDB-4208-9005-B8E40D1801A2}"/>
    <cellStyle name="Migliaia 26 4 7 2 2" xfId="39034" xr:uid="{BBA8BEC8-8693-4276-A623-A63215D7B8C9}"/>
    <cellStyle name="Migliaia 26 4 7 2 3" xfId="44336" xr:uid="{E5B57CA5-3AC0-48B5-B2F3-381FE4B4D8EF}"/>
    <cellStyle name="Migliaia 26 4 7 3" xfId="36498" xr:uid="{9ABBF649-0D80-4ADA-AB88-B822269D391F}"/>
    <cellStyle name="Migliaia 26 4 7 4" xfId="41685" xr:uid="{E758DE22-5840-4FF6-A848-70D7A316688F}"/>
    <cellStyle name="Migliaia 26 4 7 5" xfId="24603" xr:uid="{E8617562-23D5-4383-99BA-20C6AA996BD7}"/>
    <cellStyle name="Migliaia 26 4 8" xfId="24600" xr:uid="{DFA3C458-5438-42A5-8098-6CA9E16BD032}"/>
    <cellStyle name="Migliaia 26 4 9" xfId="7402" xr:uid="{A4413210-06CE-4374-BA9F-68D69071DE5A}"/>
    <cellStyle name="Migliaia 26 5" xfId="1750" xr:uid="{00000000-0005-0000-0000-000069030000}"/>
    <cellStyle name="Migliaia 26 5 2" xfId="5130" xr:uid="{3C1C4CE0-D8C7-4F46-AF5C-191DB082DB7D}"/>
    <cellStyle name="Migliaia 26 5 2 2" xfId="18418" xr:uid="{A63AFF8D-4C84-4608-B55A-3B6757F5B9E8}"/>
    <cellStyle name="Migliaia 26 5 2 2 2" xfId="39035" xr:uid="{06C3B8DC-ED44-4236-B7C7-C8A1B84877E1}"/>
    <cellStyle name="Migliaia 26 5 2 2 3" xfId="44337" xr:uid="{D8FCC45E-C6CE-4A58-ABEB-5C210662A17E}"/>
    <cellStyle name="Migliaia 26 5 2 3" xfId="20226" xr:uid="{69685B01-27DE-4FB1-9DAE-476733244145}"/>
    <cellStyle name="Migliaia 26 5 2 3 2" xfId="36499" xr:uid="{6B6BA4F1-A57D-482E-8E8C-E8DC25CA9FF5}"/>
    <cellStyle name="Migliaia 26 5 2 4" xfId="41686" xr:uid="{ED5895B1-763A-4AD4-BC1D-D47E3B88EA79}"/>
    <cellStyle name="Migliaia 26 5 2 5" xfId="16294" xr:uid="{E21736D4-0177-4B42-B0AD-145F54996E92}"/>
    <cellStyle name="Migliaia 26 5 2 6" xfId="8593" xr:uid="{FE5C9721-2C1C-405B-94EB-215F69B4A48B}"/>
    <cellStyle name="Migliaia 26 5 3" xfId="6335" xr:uid="{033EB722-AC80-4B0C-9D85-AD411EF1CA43}"/>
    <cellStyle name="Migliaia 26 5 3 2" xfId="33575" xr:uid="{E05779AA-2DF3-40B2-88AA-C1A86F834613}"/>
    <cellStyle name="Migliaia 26 5 3 2 2" xfId="39036" xr:uid="{B535615E-8684-4D62-AE23-8FB4CB6CCCAD}"/>
    <cellStyle name="Migliaia 26 5 3 2 3" xfId="44338" xr:uid="{5FA2C01F-8918-4D3F-8FDA-27370980630D}"/>
    <cellStyle name="Migliaia 26 5 3 3" xfId="36500" xr:uid="{032174C2-F046-4DDC-B9BE-080FF6CC589D}"/>
    <cellStyle name="Migliaia 26 5 3 4" xfId="41687" xr:uid="{101D9905-8F6D-48C5-8137-AD53864C84F1}"/>
    <cellStyle name="Migliaia 26 5 3 5" xfId="11311" xr:uid="{7F7A7471-4045-4508-BC5F-2D724B02A9E8}"/>
    <cellStyle name="Migliaia 26 5 4" xfId="3404" xr:uid="{14D31804-79D0-46F0-87F8-259D244259A3}"/>
    <cellStyle name="Migliaia 26 5 4 2" xfId="21462" xr:uid="{284C1F53-4F4B-4B1A-AEFE-1393365D3D57}"/>
    <cellStyle name="Migliaia 26 5 4 2 2" xfId="39037" xr:uid="{61B7E84D-8193-4887-944A-FCC43EDFA274}"/>
    <cellStyle name="Migliaia 26 5 4 2 3" xfId="44339" xr:uid="{C6245F56-F71E-4BF5-A645-D4E4FF82D341}"/>
    <cellStyle name="Migliaia 26 5 4 2 4" xfId="33576" xr:uid="{EE8D1CC3-DB90-4F84-8E1C-538D40A6EBFB}"/>
    <cellStyle name="Migliaia 26 5 4 3" xfId="36501" xr:uid="{42A05D2F-1E11-4C40-ACDE-36845CCEDA4C}"/>
    <cellStyle name="Migliaia 26 5 4 4" xfId="41688" xr:uid="{F3BD2495-02D5-499B-981F-80B7889DA2BE}"/>
    <cellStyle name="Migliaia 26 5 4 5" xfId="24605" xr:uid="{33273BE0-1ABF-4271-BDEA-990790BD8DB8}"/>
    <cellStyle name="Migliaia 26 5 4 6" xfId="47658" xr:uid="{69B11EF3-92C8-44CB-9C46-201A3BA9E8C4}"/>
    <cellStyle name="Migliaia 26 5 4 7" xfId="50477" xr:uid="{7E51A753-5478-4767-BD19-4FDC5E5400E9}"/>
    <cellStyle name="Migliaia 26 5 4 8" xfId="53493" xr:uid="{CBE2B57F-B4DA-4383-923D-609CA943AFDF}"/>
    <cellStyle name="Migliaia 26 5 4 9" xfId="10827" xr:uid="{0C9154AD-2A08-429D-8E21-2282FE908BF6}"/>
    <cellStyle name="Migliaia 26 5 5" xfId="20225" xr:uid="{B29F8FF6-1DB5-4CE6-9629-7BCAB0471734}"/>
    <cellStyle name="Migliaia 26 5 5 2" xfId="33577" xr:uid="{D6112979-EDF4-4C6F-9F2C-3BBF93EB490A}"/>
    <cellStyle name="Migliaia 26 5 5 2 2" xfId="39038" xr:uid="{2CD9BD39-B4FD-42FD-96E2-8989D366CCD9}"/>
    <cellStyle name="Migliaia 26 5 5 2 3" xfId="44340" xr:uid="{21819CCF-227E-4897-808E-926293AA3BEF}"/>
    <cellStyle name="Migliaia 26 5 5 3" xfId="36502" xr:uid="{96E1BE5D-A80D-4967-BCDB-24DEC9387771}"/>
    <cellStyle name="Migliaia 26 5 5 4" xfId="41689" xr:uid="{B5DE8C12-5662-4BAA-A446-08A84C2108EA}"/>
    <cellStyle name="Migliaia 26 5 5 5" xfId="24606" xr:uid="{EAD9B678-0F16-4E3B-81C1-13F02AA2AE19}"/>
    <cellStyle name="Migliaia 26 5 6" xfId="24607" xr:uid="{6269E291-5528-413A-9828-C7FFB11E2899}"/>
    <cellStyle name="Migliaia 26 5 6 2" xfId="33578" xr:uid="{83CD2E81-31EF-419E-8E7C-78FD654F4187}"/>
    <cellStyle name="Migliaia 26 5 6 2 2" xfId="39039" xr:uid="{FE00CE6C-DEFE-4CB9-8790-442A1B9C52B3}"/>
    <cellStyle name="Migliaia 26 5 6 2 3" xfId="44341" xr:uid="{90A79BC5-3D74-4C4D-AFEE-975533464D50}"/>
    <cellStyle name="Migliaia 26 5 6 3" xfId="36503" xr:uid="{4DB06427-D7AC-4211-9E42-5E3DC37BCC44}"/>
    <cellStyle name="Migliaia 26 5 6 4" xfId="41690" xr:uid="{77E113C9-BA6C-4B30-871E-D1BD26E2FB1D}"/>
    <cellStyle name="Migliaia 26 5 7" xfId="24604" xr:uid="{CD41423A-CF7A-473F-AAE8-BCF50E65D63E}"/>
    <cellStyle name="Migliaia 26 5 8" xfId="7403" xr:uid="{13C864F1-1B0B-44C9-97A7-C0EF51E67091}"/>
    <cellStyle name="Migliaia 26 6" xfId="3405" xr:uid="{4C7EEB1F-CB47-4FE7-B3B1-646E4BBC959D}"/>
    <cellStyle name="Migliaia 26 6 2" xfId="5131" xr:uid="{5338679A-068F-41BD-990C-26F57B4187E0}"/>
    <cellStyle name="Migliaia 26 6 2 2" xfId="9917" xr:uid="{4BBDFB13-5CBE-4E37-B86A-61FBF93CB5E8}"/>
    <cellStyle name="Migliaia 26 6 2 3" xfId="18662" xr:uid="{42C4338B-4D4F-428C-B3B0-71D30C219BFF}"/>
    <cellStyle name="Migliaia 26 6 2 4" xfId="20228" xr:uid="{35FA57CE-2687-4953-8838-14BBADDE303A}"/>
    <cellStyle name="Migliaia 26 6 2 5" xfId="32352" xr:uid="{D7265019-F95C-456B-B71F-65FC92886500}"/>
    <cellStyle name="Migliaia 26 6 2 6" xfId="16296" xr:uid="{E598255B-83E7-4475-B1B7-AD9DD60E0148}"/>
    <cellStyle name="Migliaia 26 6 2 7" xfId="8588" xr:uid="{73A30DF4-343B-45F9-A257-FE17C71BF5E7}"/>
    <cellStyle name="Migliaia 26 6 3" xfId="6336" xr:uid="{4F77473C-FF93-4B30-820C-ED54DC02A4CD}"/>
    <cellStyle name="Migliaia 26 6 3 2" xfId="35253" xr:uid="{9F7DD868-90B6-46F0-9DA0-4A487238174D}"/>
    <cellStyle name="Migliaia 26 6 3 2 2" xfId="40413" xr:uid="{51F081FE-8903-4820-921B-009105C0DC5F}"/>
    <cellStyle name="Migliaia 26 6 3 2 3" xfId="45715" xr:uid="{229EFDFF-5F75-4E5B-B132-88F8FDD37367}"/>
    <cellStyle name="Migliaia 26 6 3 3" xfId="37762" xr:uid="{9C11434F-4B95-42B7-B3C3-A35F34271D55}"/>
    <cellStyle name="Migliaia 26 6 3 4" xfId="43064" xr:uid="{342A0E7B-7B95-441B-BB6B-35C72B892268}"/>
    <cellStyle name="Migliaia 26 6 3 5" xfId="9680" xr:uid="{45A8BCC5-DFD9-4FB5-BDCA-F10D7F9241E1}"/>
    <cellStyle name="Migliaia 26 6 4" xfId="20227" xr:uid="{350A4027-F738-4ADA-8A3F-6E2D4253E352}"/>
    <cellStyle name="Migliaia 26 6 4 2" xfId="39040" xr:uid="{13FF9DEC-4FE2-459C-8905-BB358835EA32}"/>
    <cellStyle name="Migliaia 26 6 4 3" xfId="44342" xr:uid="{F131005F-FE0C-4FDE-B8E4-A26C0E6D5195}"/>
    <cellStyle name="Migliaia 26 6 4 4" xfId="33579" xr:uid="{8EB39146-36BA-4F13-87A9-9F74FD1C731F}"/>
    <cellStyle name="Migliaia 26 6 5" xfId="36504" xr:uid="{6EB4254A-1577-4EA5-8075-6F15B7A50035}"/>
    <cellStyle name="Migliaia 26 6 6" xfId="41691" xr:uid="{2F1E2070-AAF5-45E8-8DB3-3510A9CBD486}"/>
    <cellStyle name="Migliaia 26 6 7" xfId="16295" xr:uid="{C3A94BE0-4D78-43BA-9F0B-D72892EA37C6}"/>
    <cellStyle name="Migliaia 26 6 8" xfId="7398" xr:uid="{14E51EF8-688C-46FA-A37B-E154B07393F1}"/>
    <cellStyle name="Migliaia 26 7" xfId="3406" xr:uid="{1F6A8F1A-8AFB-4D03-A034-8CA812EA5C6E}"/>
    <cellStyle name="Migliaia 26 7 2" xfId="5132" xr:uid="{3AA6850D-B99E-4AF7-BA50-539943D99A0A}"/>
    <cellStyle name="Migliaia 26 7 2 2" xfId="35254" xr:uid="{FE096D82-54E9-4F51-A9B8-319FB45EBF91}"/>
    <cellStyle name="Migliaia 26 7 2 2 2" xfId="40414" xr:uid="{E4F0EF09-2BA8-4396-858E-56E07DE24D5F}"/>
    <cellStyle name="Migliaia 26 7 2 2 3" xfId="45716" xr:uid="{A3AE19BE-DD1E-43BA-91E8-37A5D2688258}"/>
    <cellStyle name="Migliaia 26 7 2 3" xfId="37763" xr:uid="{4133A518-9975-430F-8E2F-DE92F043A796}"/>
    <cellStyle name="Migliaia 26 7 2 4" xfId="43065" xr:uid="{744D5D2E-1C0C-456E-BB3C-E5EF5050EF05}"/>
    <cellStyle name="Migliaia 26 7 2 5" xfId="14233" xr:uid="{1E9B0793-976B-49FE-BF9E-FE9801719230}"/>
    <cellStyle name="Migliaia 26 7 3" xfId="6337" xr:uid="{5DA01BA6-492C-41E2-ADE3-222D97F67715}"/>
    <cellStyle name="Migliaia 26 7 3 2" xfId="39041" xr:uid="{8B5580BB-53BA-4ABE-AD33-F35865331A74}"/>
    <cellStyle name="Migliaia 26 7 3 3" xfId="44343" xr:uid="{52C0D44F-15A4-4DC6-B115-3C8EA5A24147}"/>
    <cellStyle name="Migliaia 26 7 3 4" xfId="33580" xr:uid="{8B4BCD9D-4E46-4FFB-B82A-8554EF31F0E9}"/>
    <cellStyle name="Migliaia 26 7 3 5" xfId="20229" xr:uid="{D3877A08-172B-4C48-BF62-750B82E16032}"/>
    <cellStyle name="Migliaia 26 7 4" xfId="36505" xr:uid="{7003C3C1-E845-4EE2-ADC9-68A45A40D7CC}"/>
    <cellStyle name="Migliaia 26 7 5" xfId="41692" xr:uid="{217B37E5-B789-463A-8D6F-44056D506751}"/>
    <cellStyle name="Migliaia 26 7 6" xfId="16297" xr:uid="{D4A78560-BF69-451A-8843-2CB5AC607190}"/>
    <cellStyle name="Migliaia 26 7 7" xfId="8295" xr:uid="{02AF195F-534B-48C8-B342-42E119E7D84C}"/>
    <cellStyle name="Migliaia 26 8" xfId="3407" xr:uid="{12742659-F27D-4070-83D9-F488C30B1412}"/>
    <cellStyle name="Migliaia 26 8 2" xfId="5133" xr:uid="{B49D4B32-9A99-45FF-ADE4-96F5F4AFCCB5}"/>
    <cellStyle name="Migliaia 26 8 2 2" xfId="35255" xr:uid="{560465DE-B087-4FB8-9A3E-E69C35C2631F}"/>
    <cellStyle name="Migliaia 26 8 2 2 2" xfId="40415" xr:uid="{A0B9CD63-83C1-4C95-8BD7-5267441F2C58}"/>
    <cellStyle name="Migliaia 26 8 2 2 3" xfId="45717" xr:uid="{29B48758-DF6F-428B-9678-FA3143A518B2}"/>
    <cellStyle name="Migliaia 26 8 2 3" xfId="37764" xr:uid="{16B0F453-9CAF-4AA7-A0A2-69B7AC85A4F0}"/>
    <cellStyle name="Migliaia 26 8 2 4" xfId="43066" xr:uid="{E64E97D5-D441-4AEE-97C6-65AACC73AD65}"/>
    <cellStyle name="Migliaia 26 8 2 5" xfId="13938" xr:uid="{0ECDBB4D-5036-4E94-BC37-01D12597763E}"/>
    <cellStyle name="Migliaia 26 8 3" xfId="6338" xr:uid="{5A665E42-8C55-48E6-9164-1158730DEB30}"/>
    <cellStyle name="Migliaia 26 8 3 2" xfId="39042" xr:uid="{E8C63983-3C5B-4180-80C1-ADDB7E953824}"/>
    <cellStyle name="Migliaia 26 8 3 3" xfId="44344" xr:uid="{B9934A14-ECCC-428C-979F-8904BF3946DF}"/>
    <cellStyle name="Migliaia 26 8 3 4" xfId="33581" xr:uid="{8BD6F5B8-D841-47F1-B70E-E119C2B03476}"/>
    <cellStyle name="Migliaia 26 8 3 5" xfId="20230" xr:uid="{CDC10F74-B9CB-4FF1-9AFE-29F857EF7CF1}"/>
    <cellStyle name="Migliaia 26 8 4" xfId="36506" xr:uid="{4E4E94B5-B150-420A-A6F3-97D4F959D51E}"/>
    <cellStyle name="Migliaia 26 8 5" xfId="41693" xr:uid="{B26CC3B0-56D2-4408-B5C9-51CC4F2F6374}"/>
    <cellStyle name="Migliaia 26 8 6" xfId="16298" xr:uid="{BF46B164-0D18-41B9-BCF2-2879C614DF2B}"/>
    <cellStyle name="Migliaia 26 8 7" xfId="7894" xr:uid="{97E17FA6-5D80-4FFE-BEBF-45377EC2EE50}"/>
    <cellStyle name="Migliaia 26 9" xfId="5118" xr:uid="{13C50982-3A1D-4000-AEE7-6FC8EF50C7F2}"/>
    <cellStyle name="Migliaia 26 9 2" xfId="33582" xr:uid="{5F2047DD-96F9-4076-8152-1A901D21BB67}"/>
    <cellStyle name="Migliaia 26 9 2 2" xfId="39043" xr:uid="{58CF8108-151A-4172-9D65-3C65E1B0A34A}"/>
    <cellStyle name="Migliaia 26 9 2 3" xfId="44345" xr:uid="{AFFDB185-41CD-4DFB-B464-E8C052487C95}"/>
    <cellStyle name="Migliaia 26 9 3" xfId="36507" xr:uid="{9F2CDCD9-548E-4A4C-8644-D88953A5F00E}"/>
    <cellStyle name="Migliaia 26 9 4" xfId="41694" xr:uid="{3176EC7D-31CE-412A-9F45-52F4FA6CE651}"/>
    <cellStyle name="Migliaia 26 9 5" xfId="17171" xr:uid="{EB06ACD3-1174-428B-8559-84139E5CC2DD}"/>
    <cellStyle name="Migliaia 27" xfId="377" xr:uid="{00000000-0005-0000-0000-00006A030000}"/>
    <cellStyle name="Migliaia 27 10" xfId="6339" xr:uid="{0A0E45D2-F158-4916-86EE-45AC31BB7EAD}"/>
    <cellStyle name="Migliaia 27 10 2" xfId="39044" xr:uid="{6BDD170F-2926-4AA9-80A9-3776DD029BF7}"/>
    <cellStyle name="Migliaia 27 10 3" xfId="44346" xr:uid="{B45093B2-CFEE-4390-A511-FCF7A474299E}"/>
    <cellStyle name="Migliaia 27 10 4" xfId="33583" xr:uid="{EA5F1FE7-9CF8-4F82-AC11-0CE3714551F7}"/>
    <cellStyle name="Migliaia 27 10 5" xfId="20231" xr:uid="{9C432F57-999F-4DE5-A810-68E7BCDA2574}"/>
    <cellStyle name="Migliaia 27 11" xfId="3408" xr:uid="{A068FD15-F69F-4E83-8C89-DCFE7E9457AF}"/>
    <cellStyle name="Migliaia 27 11 2" xfId="36508" xr:uid="{BA4D7FCA-84F8-4921-91A9-F7B4FE609A71}"/>
    <cellStyle name="Migliaia 27 12" xfId="41695" xr:uid="{05CBEC0E-259A-424E-B1B6-3C596ACB136D}"/>
    <cellStyle name="Migliaia 27 13" xfId="7099" xr:uid="{63965040-70D7-4B07-A941-AE4DEC560675}"/>
    <cellStyle name="Migliaia 27 2" xfId="378" xr:uid="{00000000-0005-0000-0000-00006B030000}"/>
    <cellStyle name="Migliaia 27 2 2" xfId="1751" xr:uid="{00000000-0005-0000-0000-00006C030000}"/>
    <cellStyle name="Migliaia 27 2 2 2" xfId="5136" xr:uid="{3D65AC94-495C-46AE-BB06-196846A00589}"/>
    <cellStyle name="Migliaia 27 2 2 2 2" xfId="14382" xr:uid="{BFE898E4-E8E4-4312-B521-AD217FDDF118}"/>
    <cellStyle name="Migliaia 27 2 2 2 2 2" xfId="39045" xr:uid="{7BCCABA5-76C4-479F-8BC3-D02397ACA6D9}"/>
    <cellStyle name="Migliaia 27 2 2 2 2 3" xfId="44347" xr:uid="{85771D38-D47C-4950-98E7-5D2719A3D9BA}"/>
    <cellStyle name="Migliaia 27 2 2 2 3" xfId="18419" xr:uid="{53DBB1B1-8CEB-4DC7-822C-624B43AA55CC}"/>
    <cellStyle name="Migliaia 27 2 2 2 4" xfId="20234" xr:uid="{F260428A-78C1-4481-8B86-6026506CE56E}"/>
    <cellStyle name="Migliaia 27 2 2 2 4 2" xfId="41696" xr:uid="{E1F5BC69-A40F-4FB3-BEA1-C1A084DFE3FB}"/>
    <cellStyle name="Migliaia 27 2 2 2 5" xfId="16299" xr:uid="{2DCAA6A7-1A7D-41FC-8FA0-3E753D74610D}"/>
    <cellStyle name="Migliaia 27 2 2 2 6" xfId="8595" xr:uid="{1B37DFA7-4C8C-4C79-8098-79F9A526B2E2}"/>
    <cellStyle name="Migliaia 27 2 2 3" xfId="6341" xr:uid="{F2FA924F-8B5C-4D30-840F-8523A54367B1}"/>
    <cellStyle name="Migliaia 27 2 2 3 2" xfId="35256" xr:uid="{14B31CD8-A81D-4A47-A9AF-2C595D3A040A}"/>
    <cellStyle name="Migliaia 27 2 2 3 2 2" xfId="40416" xr:uid="{9C31F2A2-9069-4DC6-8E01-CB1677823073}"/>
    <cellStyle name="Migliaia 27 2 2 3 2 3" xfId="45718" xr:uid="{7899092F-C50F-4AC5-893A-2396B5896DEA}"/>
    <cellStyle name="Migliaia 27 2 2 3 3" xfId="37765" xr:uid="{EC5CC403-168E-45AD-98BD-4B0820E271CD}"/>
    <cellStyle name="Migliaia 27 2 2 3 4" xfId="43067" xr:uid="{76DFB680-C65D-4533-BD68-048C1AE1E83E}"/>
    <cellStyle name="Migliaia 27 2 2 3 5" xfId="11609" xr:uid="{3ADBDFC9-0950-4C8A-8D69-8F6D2D0485F3}"/>
    <cellStyle name="Migliaia 27 2 2 4" xfId="3410" xr:uid="{3826D6E5-E972-4D17-A1A3-0741D6764A0B}"/>
    <cellStyle name="Migliaia 27 2 2 4 2" xfId="21463" xr:uid="{032547DF-F7E1-4C1F-B49D-A0ED8F4B6114}"/>
    <cellStyle name="Migliaia 27 2 2 4 3" xfId="46228" xr:uid="{564C6A30-ED73-486C-9A7F-503C30C804D7}"/>
    <cellStyle name="Migliaia 27 2 2 4 4" xfId="50478" xr:uid="{BCCE3667-BB62-45B9-8217-8181DECD9BDF}"/>
    <cellStyle name="Migliaia 27 2 2 4 5" xfId="53494" xr:uid="{8ADCAA0C-9DBE-4187-8E2A-AB1E5FD898D4}"/>
    <cellStyle name="Migliaia 27 2 2 4 6" xfId="10828" xr:uid="{2367B3FF-22CA-44E9-B822-FCE9A273E4CF}"/>
    <cellStyle name="Migliaia 27 2 2 5" xfId="20233" xr:uid="{1746C07A-F148-4C0B-AB1F-EA162E59427B}"/>
    <cellStyle name="Migliaia 27 2 2 6" xfId="24609" xr:uid="{9836E544-466B-409A-A97D-8A5A7015AAD1}"/>
    <cellStyle name="Migliaia 27 2 2 7" xfId="7405" xr:uid="{B236EF1D-594F-41D6-B010-AF92380A3011}"/>
    <cellStyle name="Migliaia 27 2 3" xfId="3411" xr:uid="{ADE8947B-58AF-4E76-BECE-9591BAD07F6A}"/>
    <cellStyle name="Migliaia 27 2 3 2" xfId="5137" xr:uid="{C89AB78D-3BF0-43E1-9C05-3EE05BAC23D6}"/>
    <cellStyle name="Migliaia 27 2 3 2 2" xfId="35257" xr:uid="{F5A2E104-5347-4F97-B2C4-550B44C152EC}"/>
    <cellStyle name="Migliaia 27 2 3 2 2 2" xfId="40417" xr:uid="{D14192E6-2CFC-4AB4-B57F-B9974807A980}"/>
    <cellStyle name="Migliaia 27 2 3 2 2 3" xfId="45719" xr:uid="{5F0BDAE6-FFF8-4427-BDDE-0852A33713AB}"/>
    <cellStyle name="Migliaia 27 2 3 2 3" xfId="37766" xr:uid="{8F0C72C3-BA86-4892-B5A1-D7C5CF53FCC8}"/>
    <cellStyle name="Migliaia 27 2 3 2 4" xfId="43068" xr:uid="{A68549E4-D08C-4F96-87B3-F2038B630005}"/>
    <cellStyle name="Migliaia 27 2 3 2 5" xfId="14237" xr:uid="{1EABBEFA-1A4A-4C0F-91EC-6866B2329D99}"/>
    <cellStyle name="Migliaia 27 2 3 3" xfId="6342" xr:uid="{693EF05D-9F5D-4F73-B6E1-B9B640D8B2AB}"/>
    <cellStyle name="Migliaia 27 2 3 3 2" xfId="39046" xr:uid="{A40E042B-E451-4B63-A9CE-3B165F7146E6}"/>
    <cellStyle name="Migliaia 27 2 3 3 3" xfId="44348" xr:uid="{B9ABEC88-142A-4C47-B334-39CA1748D3F5}"/>
    <cellStyle name="Migliaia 27 2 3 3 4" xfId="33584" xr:uid="{BF96C758-081B-487A-9DBF-8C91DDE32D14}"/>
    <cellStyle name="Migliaia 27 2 3 3 5" xfId="20235" xr:uid="{DE3E57BB-7CA5-4E86-AB47-B0E6A1D7D6C5}"/>
    <cellStyle name="Migliaia 27 2 3 4" xfId="36509" xr:uid="{DD3730B5-DF05-4239-890D-D091CF2003D1}"/>
    <cellStyle name="Migliaia 27 2 3 5" xfId="41697" xr:uid="{978BC5A0-5C33-406C-80AA-BCA934B336A7}"/>
    <cellStyle name="Migliaia 27 2 3 6" xfId="16300" xr:uid="{EDAF0D42-A9EB-4E9B-8596-D1E1E81ACC3A}"/>
    <cellStyle name="Migliaia 27 2 3 7" xfId="8299" xr:uid="{61C2C0B3-FE47-44A3-9055-CDBCFCA9EFF6}"/>
    <cellStyle name="Migliaia 27 2 4" xfId="5135" xr:uid="{255BF61E-90C1-4B4C-9CBD-2142CFB77D71}"/>
    <cellStyle name="Migliaia 27 2 4 2" xfId="13942" xr:uid="{9D70C706-5062-4AC3-B8D6-535C4B1C602F}"/>
    <cellStyle name="Migliaia 27 2 4 2 2" xfId="39047" xr:uid="{016650EF-8130-426B-B97B-FA2995B6C87B}"/>
    <cellStyle name="Migliaia 27 2 4 2 3" xfId="44349" xr:uid="{AF0EFD31-0138-4772-BC48-2C106D33BA57}"/>
    <cellStyle name="Migliaia 27 2 4 3" xfId="18715" xr:uid="{E53088B8-4907-46D3-A364-7275B5F7A8DD}"/>
    <cellStyle name="Migliaia 27 2 4 4" xfId="20236" xr:uid="{75AA5FA7-6ADF-4B98-80D6-F8DC046BE08E}"/>
    <cellStyle name="Migliaia 27 2 4 4 2" xfId="41698" xr:uid="{3853924F-AD35-4AF2-9046-7F6B8C5E3E69}"/>
    <cellStyle name="Migliaia 27 2 4 5" xfId="16301" xr:uid="{2427C8AE-0147-4F81-9508-5C7FF1ED3048}"/>
    <cellStyle name="Migliaia 27 2 4 6" xfId="7899" xr:uid="{7426B5E1-8638-4B55-ACB7-E76F5E4FE43C}"/>
    <cellStyle name="Migliaia 27 2 5" xfId="6340" xr:uid="{47FAA327-DB2E-4A70-B8B3-B291AA4A039F}"/>
    <cellStyle name="Migliaia 27 2 5 2" xfId="33585" xr:uid="{4058EFC2-7B22-4F59-A803-0810B224A09D}"/>
    <cellStyle name="Migliaia 27 2 5 2 2" xfId="39048" xr:uid="{5E348F93-6072-4C0C-BA43-3CFC2299CCD1}"/>
    <cellStyle name="Migliaia 27 2 5 2 3" xfId="44350" xr:uid="{E993F300-44BF-48AC-97B9-9CA97299DB56}"/>
    <cellStyle name="Migliaia 27 2 5 3" xfId="36510" xr:uid="{48F3A00C-49FD-4EA2-8709-3053747A7CCF}"/>
    <cellStyle name="Migliaia 27 2 5 4" xfId="41699" xr:uid="{67AC3DCB-817E-42A7-BF86-8211BC94DA44}"/>
    <cellStyle name="Migliaia 27 2 5 5" xfId="13122" xr:uid="{19F0A667-F56C-410B-A68F-548B939B41F6}"/>
    <cellStyle name="Migliaia 27 2 6" xfId="3409" xr:uid="{86469C21-7872-4217-BEB1-7F40489E6D53}"/>
    <cellStyle name="Migliaia 27 2 6 2" xfId="33586" xr:uid="{9134CB24-4B0A-4A98-A2B5-79A490FF908C}"/>
    <cellStyle name="Migliaia 27 2 6 2 2" xfId="39049" xr:uid="{F7A424E4-8537-4CF7-9745-DED1394DD49C}"/>
    <cellStyle name="Migliaia 27 2 6 2 3" xfId="44351" xr:uid="{093DA97B-7154-4B5F-A258-6F84BA3258D5}"/>
    <cellStyle name="Migliaia 27 2 6 3" xfId="36511" xr:uid="{DE045FE7-1C06-4657-894C-C90F813FE1E0}"/>
    <cellStyle name="Migliaia 27 2 6 4" xfId="41700" xr:uid="{F294B290-8503-4EC6-821E-5A0D05B6647F}"/>
    <cellStyle name="Migliaia 27 2 6 5" xfId="24610" xr:uid="{9A96C6A3-725C-47A2-9F5F-35CECEB8632E}"/>
    <cellStyle name="Migliaia 27 2 6 6" xfId="20232" xr:uid="{642AE5FD-EFCF-4DFC-85EC-B19115B48F4E}"/>
    <cellStyle name="Migliaia 27 2 7" xfId="24608" xr:uid="{6BA654CF-187B-4A16-A0EB-881D4E552CEB}"/>
    <cellStyle name="Migliaia 27 2 8" xfId="7100" xr:uid="{F98F9CE2-46A2-45C2-99BC-51D951E80B73}"/>
    <cellStyle name="Migliaia 27 3" xfId="379" xr:uid="{00000000-0005-0000-0000-00006D030000}"/>
    <cellStyle name="Migliaia 27 3 10" xfId="24611" xr:uid="{218C614B-9156-4A18-B41D-573B80E0842A}"/>
    <cellStyle name="Migliaia 27 3 11" xfId="16302" xr:uid="{41BE323E-A5C2-4161-94A3-06961F948BD0}"/>
    <cellStyle name="Migliaia 27 3 12" xfId="7101" xr:uid="{7CE7C83B-27F5-49E4-B3E9-B8FDEE1188F1}"/>
    <cellStyle name="Migliaia 27 3 2" xfId="380" xr:uid="{00000000-0005-0000-0000-00006E030000}"/>
    <cellStyle name="Migliaia 27 3 2 2" xfId="1752" xr:uid="{00000000-0005-0000-0000-00006F030000}"/>
    <cellStyle name="Migliaia 27 3 2 2 2" xfId="5140" xr:uid="{FDAE2B9F-EE25-4F1F-AF34-E2AD7BC50489}"/>
    <cellStyle name="Migliaia 27 3 2 2 2 2" xfId="18420" xr:uid="{02E00B56-EB34-4A6F-BFC0-688D6ED48BB0}"/>
    <cellStyle name="Migliaia 27 3 2 2 2 2 2" xfId="21860" xr:uid="{937F8CB4-E30B-4042-9CE7-D1B85374ECFA}"/>
    <cellStyle name="Migliaia 27 3 2 2 2 2 2 2" xfId="39050" xr:uid="{679F8C46-C251-4816-88EF-7CF1C6CA877B}"/>
    <cellStyle name="Migliaia 27 3 2 2 2 2 3" xfId="44352" xr:uid="{D7118CC7-6646-4D87-B608-02B9530BF785}"/>
    <cellStyle name="Migliaia 27 3 2 2 2 2 4" xfId="33587" xr:uid="{EE66CC2E-3A2D-4426-974B-0B13E9247831}"/>
    <cellStyle name="Migliaia 27 3 2 2 2 3" xfId="36512" xr:uid="{AC6A5362-637D-4D60-BC4D-8221F7758307}"/>
    <cellStyle name="Migliaia 27 3 2 2 2 4" xfId="41701" xr:uid="{19BE596E-453C-49BF-95C9-9EF7B87A706F}"/>
    <cellStyle name="Migliaia 27 3 2 2 2 5" xfId="48577" xr:uid="{0A40D53D-3F8E-402E-9B56-E2F66A5214A0}"/>
    <cellStyle name="Migliaia 27 3 2 2 2 6" xfId="50888" xr:uid="{27E9FAB2-FA80-4A51-9BCA-F95E1048734C}"/>
    <cellStyle name="Migliaia 27 3 2 2 2 7" xfId="53904" xr:uid="{38188A26-8EEA-481C-ABCF-4143E2D12D72}"/>
    <cellStyle name="Migliaia 27 3 2 2 2 8" xfId="17657" xr:uid="{6BB21AA2-E3CE-4D5F-AEB5-493F8E7FF6B0}"/>
    <cellStyle name="Migliaia 27 3 2 2 2 9" xfId="11963" xr:uid="{C1153800-A5E4-4121-A832-0B6CED7DB630}"/>
    <cellStyle name="Migliaia 27 3 2 2 3" xfId="6345" xr:uid="{4EA37C60-08C6-460B-B2AE-10EC49EAC6F7}"/>
    <cellStyle name="Migliaia 27 3 2 2 3 2" xfId="11557" xr:uid="{74A06530-A298-44F8-B679-4A7B3F230FD5}"/>
    <cellStyle name="Migliaia 27 3 2 2 4" xfId="3414" xr:uid="{8D4B7C4F-61A1-449C-BCB9-2D15A9831157}"/>
    <cellStyle name="Migliaia 27 3 2 2 4 2" xfId="21464" xr:uid="{EFC5EE35-F910-4C53-939A-B12C818F05AC}"/>
    <cellStyle name="Migliaia 27 3 2 2 4 3" xfId="47897" xr:uid="{C02347A6-AA2C-4B5B-A4DF-855330EB03F8}"/>
    <cellStyle name="Migliaia 27 3 2 2 4 4" xfId="50479" xr:uid="{E791F044-9581-4A64-AF25-B433CD4F1E42}"/>
    <cellStyle name="Migliaia 27 3 2 2 4 5" xfId="53495" xr:uid="{2620FAB4-59F9-4F41-B105-D967EB070646}"/>
    <cellStyle name="Migliaia 27 3 2 2 4 6" xfId="10829" xr:uid="{A989A94E-3A16-4BEC-A5B1-01753798B8F8}"/>
    <cellStyle name="Migliaia 27 3 2 2 5" xfId="20239" xr:uid="{011A73FC-9145-4E13-981C-0262A9698197}"/>
    <cellStyle name="Migliaia 27 3 2 2 6" xfId="24613" xr:uid="{FEA72394-AA15-4B69-ACC3-FFD50A592B06}"/>
    <cellStyle name="Migliaia 27 3 2 2 7" xfId="8597" xr:uid="{4B8197A6-9DB7-48DD-9AC2-AA55B91E77E3}"/>
    <cellStyle name="Migliaia 27 3 2 3" xfId="5139" xr:uid="{3B7D100A-9531-468F-98E1-4334D5B012C5}"/>
    <cellStyle name="Migliaia 27 3 2 3 2" xfId="12414" xr:uid="{EF5E6B0D-7A41-4187-94A1-FD754E6B9FDE}"/>
    <cellStyle name="Migliaia 27 3 2 3 2 2" xfId="39051" xr:uid="{00EA8717-B191-4D50-997A-DCB3432032C1}"/>
    <cellStyle name="Migliaia 27 3 2 3 2 3" xfId="44353" xr:uid="{2ABA4CED-4AA8-45E9-89BB-262EAC4E3231}"/>
    <cellStyle name="Migliaia 27 3 2 3 2 4" xfId="33588" xr:uid="{CA3E8C17-D5C7-49F3-9732-4F9078AE6D4F}"/>
    <cellStyle name="Migliaia 27 3 2 3 3" xfId="11964" xr:uid="{D99114AE-F21B-4760-80E2-21E4F8D4DEBB}"/>
    <cellStyle name="Migliaia 27 3 2 3 4" xfId="20240" xr:uid="{9D7EF295-08E8-40C0-A6C0-7128F179102A}"/>
    <cellStyle name="Migliaia 27 3 2 3 4 2" xfId="41702" xr:uid="{CEAB627C-20EB-4446-BC0D-9A8DFFE8C20C}"/>
    <cellStyle name="Migliaia 27 3 2 3 5" xfId="16303" xr:uid="{A75A4D57-CD17-4559-A9B9-5EBC75085EEE}"/>
    <cellStyle name="Migliaia 27 3 2 3 6" xfId="7901" xr:uid="{E3C221EC-A6C3-48B7-91F8-D0E0EE55F316}"/>
    <cellStyle name="Migliaia 27 3 2 4" xfId="6344" xr:uid="{C3655A28-30FC-48FB-A689-3166F7CCDA75}"/>
    <cellStyle name="Migliaia 27 3 2 4 2" xfId="18076" xr:uid="{1141FBC4-F6E3-42D2-868B-B371887251C2}"/>
    <cellStyle name="Migliaia 27 3 2 4 2 2" xfId="39052" xr:uid="{6C464225-1932-4D4D-A2C5-24A309CA1169}"/>
    <cellStyle name="Migliaia 27 3 2 4 2 3" xfId="44354" xr:uid="{983BC1CB-D2AC-4692-9346-6FCD160A3E40}"/>
    <cellStyle name="Migliaia 27 3 2 4 3" xfId="36513" xr:uid="{A08AD588-55AE-48CB-8F5D-17A6B0D4BA06}"/>
    <cellStyle name="Migliaia 27 3 2 4 4" xfId="41703" xr:uid="{906AF9B6-E2EF-4D73-AE38-991245A1E2B8}"/>
    <cellStyle name="Migliaia 27 3 2 4 5" xfId="17174" xr:uid="{7E135853-9A12-4DF6-8176-47B39F485280}"/>
    <cellStyle name="Migliaia 27 3 2 4 6" xfId="11312" xr:uid="{B6C09D8B-1A86-4400-A516-0BBC7CB45205}"/>
    <cellStyle name="Migliaia 27 3 2 5" xfId="3413" xr:uid="{6DD2A695-63C3-46AE-A2E4-6894A88BE4B9}"/>
    <cellStyle name="Migliaia 27 3 2 5 2" xfId="33589" xr:uid="{FFF87450-3C59-4B67-9309-D7D7E60BCF40}"/>
    <cellStyle name="Migliaia 27 3 2 5 2 2" xfId="39053" xr:uid="{F5A46390-B736-45BC-A146-A6844A148033}"/>
    <cellStyle name="Migliaia 27 3 2 5 2 3" xfId="44355" xr:uid="{7D6FAAC4-6F02-4BC6-A383-C24CC4C447C8}"/>
    <cellStyle name="Migliaia 27 3 2 5 3" xfId="36514" xr:uid="{B5858545-A276-4C27-A7B9-16AA8395430E}"/>
    <cellStyle name="Migliaia 27 3 2 5 4" xfId="41704" xr:uid="{AF8219BA-06E1-44A8-A944-E5A1813FD543}"/>
    <cellStyle name="Migliaia 27 3 2 5 5" xfId="17369" xr:uid="{3B8D97BF-43A8-4303-9700-F06993386C37}"/>
    <cellStyle name="Migliaia 27 3 2 6" xfId="20238" xr:uid="{E002DE07-8B96-468F-A700-9DA007214477}"/>
    <cellStyle name="Migliaia 27 3 2 6 2" xfId="33590" xr:uid="{675E54DC-184B-4F5C-A5A6-214741AD8CD1}"/>
    <cellStyle name="Migliaia 27 3 2 6 2 2" xfId="39054" xr:uid="{36FB4667-CC51-47E2-9139-6123E205B53C}"/>
    <cellStyle name="Migliaia 27 3 2 6 2 3" xfId="44356" xr:uid="{7232FF74-59D7-4EE5-BDAF-0A870C0ED0AF}"/>
    <cellStyle name="Migliaia 27 3 2 6 3" xfId="36515" xr:uid="{E7A4F352-0824-494B-98EE-5DA4DCEE279A}"/>
    <cellStyle name="Migliaia 27 3 2 6 4" xfId="41705" xr:uid="{5730D78F-8A9D-4E28-8AF8-B9E2252C81E6}"/>
    <cellStyle name="Migliaia 27 3 2 6 5" xfId="24614" xr:uid="{37EC28B4-AD0B-4FBB-BB49-6F044EB8A68C}"/>
    <cellStyle name="Migliaia 27 3 2 7" xfId="24612" xr:uid="{94E9F180-E36F-4DBA-860C-B0CBEEF5DD94}"/>
    <cellStyle name="Migliaia 27 3 2 8" xfId="7407" xr:uid="{38A1079B-28BA-4224-82FA-DFD8E5714AA7}"/>
    <cellStyle name="Migliaia 27 3 3" xfId="3415" xr:uid="{9CEB31AB-FB68-4DD9-9EDF-AAFCDEF17384}"/>
    <cellStyle name="Migliaia 27 3 3 10" xfId="7406" xr:uid="{F681376D-7A76-4DEE-AE4C-4D76F471B1B2}"/>
    <cellStyle name="Migliaia 27 3 3 2" xfId="5141" xr:uid="{3B665994-7265-4413-8AF8-51F871EF02A9}"/>
    <cellStyle name="Migliaia 27 3 3 2 2" xfId="9920" xr:uid="{0DBCC9D9-85DD-4D66-ADC2-4766986F2668}"/>
    <cellStyle name="Migliaia 27 3 3 2 2 2" xfId="39056" xr:uid="{9E0F08E0-C305-43AA-97CB-D820E158609D}"/>
    <cellStyle name="Migliaia 27 3 3 2 2 3" xfId="44358" xr:uid="{02BB5717-8DCB-4F87-B563-495E9C7FFC9B}"/>
    <cellStyle name="Migliaia 27 3 3 2 3" xfId="18200" xr:uid="{F4244777-4EAE-456D-919D-4BCBE8144A78}"/>
    <cellStyle name="Migliaia 27 3 3 2 4" xfId="20242" xr:uid="{B9BA8E35-F56B-420F-8A86-C817017AD661}"/>
    <cellStyle name="Migliaia 27 3 3 2 4 2" xfId="41707" xr:uid="{4963507E-75B4-4B0F-9C50-F2586F63333E}"/>
    <cellStyle name="Migliaia 27 3 3 2 5" xfId="16305" xr:uid="{5EA62429-1D2E-435E-A30C-309DDF906D26}"/>
    <cellStyle name="Migliaia 27 3 3 2 6" xfId="8596" xr:uid="{824710B1-CE1A-452C-A2CE-EB378E99EF71}"/>
    <cellStyle name="Migliaia 27 3 3 3" xfId="6346" xr:uid="{78FF95FC-DA01-4A45-890A-CE04C55602C2}"/>
    <cellStyle name="Migliaia 27 3 3 3 2" xfId="33592" xr:uid="{68905C8F-DBA7-41A3-89E4-82303B97D104}"/>
    <cellStyle name="Migliaia 27 3 3 3 2 2" xfId="39057" xr:uid="{9CEC4B62-F72E-4CC9-8E96-D94AF74327BA}"/>
    <cellStyle name="Migliaia 27 3 3 3 2 3" xfId="44359" xr:uid="{AC3FD3BB-3C14-4CFD-BDC0-EF53630A77D2}"/>
    <cellStyle name="Migliaia 27 3 3 3 3" xfId="36517" xr:uid="{6803AA40-572E-4F93-B26F-7386FFCDBFAB}"/>
    <cellStyle name="Migliaia 27 3 3 3 4" xfId="41708" xr:uid="{20FA621D-BC0C-4234-9D35-15EFD3A2B460}"/>
    <cellStyle name="Migliaia 27 3 3 3 5" xfId="9683" xr:uid="{99A5ABE6-EF8D-4AC4-976E-4D19F925004A}"/>
    <cellStyle name="Migliaia 27 3 3 4" xfId="20241" xr:uid="{80B427AB-8A71-4B92-96DB-B7CBD1A87C22}"/>
    <cellStyle name="Migliaia 27 3 3 4 2" xfId="33593" xr:uid="{F9E0C14C-5A82-43F5-A514-70364F3CBA6B}"/>
    <cellStyle name="Migliaia 27 3 3 4 2 2" xfId="39058" xr:uid="{B3F6C0B4-4DE2-434B-B4FF-C5532220C23C}"/>
    <cellStyle name="Migliaia 27 3 3 4 2 3" xfId="44360" xr:uid="{18393EBC-E499-4FDE-A9C0-995CC26A73D5}"/>
    <cellStyle name="Migliaia 27 3 3 4 3" xfId="36518" xr:uid="{30EEE425-8848-47D8-B224-EA7F4A6A58DC}"/>
    <cellStyle name="Migliaia 27 3 3 4 4" xfId="41709" xr:uid="{5567E344-6E07-4DD2-BFF3-58860AC64B07}"/>
    <cellStyle name="Migliaia 27 3 3 4 5" xfId="24615" xr:uid="{6BB6FC31-8E0C-427D-AAD0-8D0F02012078}"/>
    <cellStyle name="Migliaia 27 3 3 5" xfId="24616" xr:uid="{11257BF0-2441-49ED-9474-87EF9E87C3EB}"/>
    <cellStyle name="Migliaia 27 3 3 5 2" xfId="33594" xr:uid="{AAB0149E-404B-498A-9875-C183AC4E22AC}"/>
    <cellStyle name="Migliaia 27 3 3 5 2 2" xfId="39059" xr:uid="{DB0A2B3C-EFAB-4EDB-A77E-8D9C6DD08E38}"/>
    <cellStyle name="Migliaia 27 3 3 5 2 3" xfId="44361" xr:uid="{0F09AFCC-F11B-4AB3-9EEE-93B637C350F3}"/>
    <cellStyle name="Migliaia 27 3 3 5 3" xfId="36519" xr:uid="{C9E12386-E4FD-4BAC-911F-61BB1418D43C}"/>
    <cellStyle name="Migliaia 27 3 3 5 4" xfId="41710" xr:uid="{2106F42A-631E-4DA5-948D-5A35B13550E4}"/>
    <cellStyle name="Migliaia 27 3 3 6" xfId="33591" xr:uid="{A4680E0F-42BA-4213-AFB4-98C879D47363}"/>
    <cellStyle name="Migliaia 27 3 3 6 2" xfId="39055" xr:uid="{FCA5F383-909E-4BC6-872D-55DA1B2CC460}"/>
    <cellStyle name="Migliaia 27 3 3 6 3" xfId="44357" xr:uid="{55BA582C-242C-4FB8-A010-4F1816C08A90}"/>
    <cellStyle name="Migliaia 27 3 3 7" xfId="36516" xr:uid="{CB72E448-7038-4E25-A4E5-CD1585B8A54E}"/>
    <cellStyle name="Migliaia 27 3 3 8" xfId="41706" xr:uid="{95D0DC78-9E55-4C62-9C3B-BA3CC1A1E490}"/>
    <cellStyle name="Migliaia 27 3 3 9" xfId="16304" xr:uid="{FCFBCDB5-9BB7-4CDD-A57A-7740F16B3F5B}"/>
    <cellStyle name="Migliaia 27 3 4" xfId="3416" xr:uid="{E3D50714-EDF7-4CF5-A692-BFE7B7F9991A}"/>
    <cellStyle name="Migliaia 27 3 4 2" xfId="5142" xr:uid="{86434094-111D-41CC-8738-B345A8986BB3}"/>
    <cellStyle name="Migliaia 27 3 4 2 2" xfId="14442" xr:uid="{7645F115-BBD6-4686-8E8E-AAEB0327550A}"/>
    <cellStyle name="Migliaia 27 3 4 2 3" xfId="18585" xr:uid="{2E040535-C05A-4000-B875-22D3AAA0BE60}"/>
    <cellStyle name="Migliaia 27 3 4 2 4" xfId="20244" xr:uid="{6E1E1B41-531D-4129-8557-FA63803BD614}"/>
    <cellStyle name="Migliaia 27 3 4 2 5" xfId="32353" xr:uid="{FD2D71DE-67EC-4AE3-95B5-D667FF52DE3D}"/>
    <cellStyle name="Migliaia 27 3 4 2 6" xfId="16307" xr:uid="{A4B84112-761E-4233-AED2-E99A82A77EFB}"/>
    <cellStyle name="Migliaia 27 3 4 2 7" xfId="8865" xr:uid="{E19E232C-CA6C-4819-908A-965D365D7E36}"/>
    <cellStyle name="Migliaia 27 3 4 3" xfId="6347" xr:uid="{DA514BA8-BEF2-4EC0-A12F-3BEECE4901B1}"/>
    <cellStyle name="Migliaia 27 3 4 3 2" xfId="35258" xr:uid="{CB055EBD-158A-4CB4-9B90-0804B498855D}"/>
    <cellStyle name="Migliaia 27 3 4 3 2 2" xfId="40418" xr:uid="{2D19B463-FE7D-4E70-8187-942E4F450CDC}"/>
    <cellStyle name="Migliaia 27 3 4 3 2 3" xfId="45720" xr:uid="{399F3877-1A2D-4A6D-BC68-E771A3AD1101}"/>
    <cellStyle name="Migliaia 27 3 4 3 3" xfId="37767" xr:uid="{5278FD29-159A-4505-9B40-E6184DCC2C1A}"/>
    <cellStyle name="Migliaia 27 3 4 3 4" xfId="43069" xr:uid="{849B0531-7897-4217-985D-131FB1DF5D28}"/>
    <cellStyle name="Migliaia 27 3 4 3 5" xfId="13690" xr:uid="{BDF695B4-F37F-4AD7-8B0F-F9648BB4FCB7}"/>
    <cellStyle name="Migliaia 27 3 4 4" xfId="20243" xr:uid="{D7535421-867B-4512-85D6-ABC48841AC82}"/>
    <cellStyle name="Migliaia 27 3 4 4 2" xfId="39060" xr:uid="{A8115249-B0E9-4551-9E90-D22FA41A7913}"/>
    <cellStyle name="Migliaia 27 3 4 4 3" xfId="44362" xr:uid="{70F35E35-2861-4B14-845F-1414B6F0B7D8}"/>
    <cellStyle name="Migliaia 27 3 4 4 4" xfId="33595" xr:uid="{538AF54C-1FAE-46FB-B318-7D9E3AEA382B}"/>
    <cellStyle name="Migliaia 27 3 4 5" xfId="36520" xr:uid="{9438A1B5-BD6F-41CC-9E66-A9C283A6217C}"/>
    <cellStyle name="Migliaia 27 3 4 6" xfId="41711" xr:uid="{8B1A7343-E860-4C76-B117-330930CB9955}"/>
    <cellStyle name="Migliaia 27 3 4 7" xfId="16306" xr:uid="{793CB736-C46E-4FB0-B993-5ECBDEDC45A8}"/>
    <cellStyle name="Migliaia 27 3 4 8" xfId="7675" xr:uid="{D9D271D5-8236-49CC-84B6-CBF172284A91}"/>
    <cellStyle name="Migliaia 27 3 5" xfId="3417" xr:uid="{D71B8A19-4683-4ACB-9D59-449C8F9C3CD9}"/>
    <cellStyle name="Migliaia 27 3 5 2" xfId="5143" xr:uid="{6F34845D-3979-4205-8995-7B075AA92D52}"/>
    <cellStyle name="Migliaia 27 3 5 2 2" xfId="35259" xr:uid="{CA323E4E-86DA-427C-8372-83962794CB21}"/>
    <cellStyle name="Migliaia 27 3 5 2 2 2" xfId="40419" xr:uid="{DF9A94FC-2D39-4407-A47A-E57CCC83730E}"/>
    <cellStyle name="Migliaia 27 3 5 2 2 3" xfId="45721" xr:uid="{26E28A7E-1EFD-4B7E-A720-055DF63BF0A7}"/>
    <cellStyle name="Migliaia 27 3 5 2 3" xfId="37768" xr:uid="{397C8932-B822-46FC-A040-AB83916B8657}"/>
    <cellStyle name="Migliaia 27 3 5 2 4" xfId="43070" xr:uid="{50C73C86-F50F-4265-A971-2DAEC2935C65}"/>
    <cellStyle name="Migliaia 27 3 5 2 5" xfId="14238" xr:uid="{3F394410-655C-4A93-8BC3-097426E2D322}"/>
    <cellStyle name="Migliaia 27 3 5 3" xfId="6348" xr:uid="{50FFCAB0-D276-49D0-A46E-286E1F1FC56B}"/>
    <cellStyle name="Migliaia 27 3 5 3 2" xfId="39061" xr:uid="{3B139E34-D9F3-4666-BEE7-F2E7B50F5C4E}"/>
    <cellStyle name="Migliaia 27 3 5 3 3" xfId="44363" xr:uid="{3D129A67-38E5-4ED4-961C-E189036E72B5}"/>
    <cellStyle name="Migliaia 27 3 5 3 4" xfId="33596" xr:uid="{FC54A566-EBD0-4091-8661-BB8F6B57B246}"/>
    <cellStyle name="Migliaia 27 3 5 3 5" xfId="20245" xr:uid="{D62119FD-2720-4F1C-A805-6FDB1046DD37}"/>
    <cellStyle name="Migliaia 27 3 5 4" xfId="36521" xr:uid="{7FD70C55-23AC-4064-B1D7-D3AE5AF55EFE}"/>
    <cellStyle name="Migliaia 27 3 5 5" xfId="41712" xr:uid="{E4465C2A-4AEE-444E-AC3C-A79403FDC7E2}"/>
    <cellStyle name="Migliaia 27 3 5 6" xfId="16308" xr:uid="{C35FF159-EF0D-413C-A9AB-312149CEEBC4}"/>
    <cellStyle name="Migliaia 27 3 5 7" xfId="8300" xr:uid="{D7D929E5-B5DC-4D5D-8F6B-A92C46777113}"/>
    <cellStyle name="Migliaia 27 3 6" xfId="5138" xr:uid="{89971A9F-7BEA-4078-B5D5-7B7805B25F2D}"/>
    <cellStyle name="Migliaia 27 3 6 2" xfId="13943" xr:uid="{0B000F1A-FAB1-4805-90A5-29087DE6419E}"/>
    <cellStyle name="Migliaia 27 3 6 2 2" xfId="39062" xr:uid="{4C177E8A-FC0E-48F6-81C0-4FCFBE42697F}"/>
    <cellStyle name="Migliaia 27 3 6 2 3" xfId="44364" xr:uid="{A2D14D11-5C03-40E5-A61A-A9191793FF23}"/>
    <cellStyle name="Migliaia 27 3 6 3" xfId="18019" xr:uid="{41E4E5C6-0DF5-4F85-9162-CE03812734FD}"/>
    <cellStyle name="Migliaia 27 3 6 4" xfId="20246" xr:uid="{07D307DB-75D3-44C6-A30F-D594E5B6FB3E}"/>
    <cellStyle name="Migliaia 27 3 6 4 2" xfId="41713" xr:uid="{AA5D018F-C3B2-4934-A827-1692C9370EC3}"/>
    <cellStyle name="Migliaia 27 3 6 5" xfId="16309" xr:uid="{4F322146-FCC0-4BAD-9D36-DE8B0637E7F5}"/>
    <cellStyle name="Migliaia 27 3 6 6" xfId="7900" xr:uid="{BEEAADE2-0347-413C-AB2A-626ED4671AE8}"/>
    <cellStyle name="Migliaia 27 3 7" xfId="6343" xr:uid="{A2D516C5-D0ED-4F35-B8FB-1EC211F3919F}"/>
    <cellStyle name="Migliaia 27 3 7 2" xfId="33597" xr:uid="{943F0051-9A18-4CAE-90B9-4A0D9596298E}"/>
    <cellStyle name="Migliaia 27 3 7 2 2" xfId="39063" xr:uid="{6D7BB701-D63D-4D8C-AA34-00639A281250}"/>
    <cellStyle name="Migliaia 27 3 7 2 3" xfId="44365" xr:uid="{8B79A84A-24B3-4815-A071-1005A060549F}"/>
    <cellStyle name="Migliaia 27 3 7 3" xfId="36522" xr:uid="{85A198BA-445C-4467-BFDA-F16BCC587A9C}"/>
    <cellStyle name="Migliaia 27 3 7 4" xfId="41714" xr:uid="{6D03AC97-2CAF-4AEC-8B9B-D95455623673}"/>
    <cellStyle name="Migliaia 27 3 7 5" xfId="11535" xr:uid="{CE4F6B4F-E369-4A37-AAF4-366839B8968E}"/>
    <cellStyle name="Migliaia 27 3 8" xfId="3412" xr:uid="{AEAFA1A5-EA1B-4C25-92C4-67BB228819E7}"/>
    <cellStyle name="Migliaia 27 3 8 2" xfId="33598" xr:uid="{9FD7F93E-9C9F-46FE-BDB9-CCBD0E181050}"/>
    <cellStyle name="Migliaia 27 3 8 2 2" xfId="39064" xr:uid="{991FF758-B1E6-461C-B4E5-3B3BE99DE11D}"/>
    <cellStyle name="Migliaia 27 3 8 2 3" xfId="44366" xr:uid="{0F1A2982-B7A8-4AFE-BA4F-0B6EDCC30EC9}"/>
    <cellStyle name="Migliaia 27 3 8 3" xfId="36523" xr:uid="{249C148F-5BEA-4A0F-A6C7-17EB9C05DD30}"/>
    <cellStyle name="Migliaia 27 3 8 4" xfId="41715" xr:uid="{4427BF14-EF18-445C-9C59-5EFF37532E1D}"/>
    <cellStyle name="Migliaia 27 3 8 5" xfId="24617" xr:uid="{D056FE80-615E-4E56-A27A-206090EFDFFD}"/>
    <cellStyle name="Migliaia 27 3 8 6" xfId="17370" xr:uid="{1D1C392C-EA09-4BBD-8D63-8BBF5AEA62D5}"/>
    <cellStyle name="Migliaia 27 3 9" xfId="20237" xr:uid="{A85F83A8-80A3-4526-8B70-D2BC81B6B9F0}"/>
    <cellStyle name="Migliaia 27 4" xfId="1753" xr:uid="{00000000-0005-0000-0000-000070030000}"/>
    <cellStyle name="Migliaia 27 4 2" xfId="1754" xr:uid="{00000000-0005-0000-0000-000071030000}"/>
    <cellStyle name="Migliaia 27 4 2 2" xfId="5145" xr:uid="{BD061AB2-F5F6-4C8D-A9E4-8CA52EEC92E8}"/>
    <cellStyle name="Migliaia 27 4 2 2 2" xfId="33599" xr:uid="{95CC8468-178D-4BB5-A8B4-1ACD04E6476A}"/>
    <cellStyle name="Migliaia 27 4 2 2 2 2" xfId="39065" xr:uid="{3492D520-D001-4F15-AB0D-1BDB49A9C3E7}"/>
    <cellStyle name="Migliaia 27 4 2 2 2 3" xfId="44367" xr:uid="{798AB1A8-9346-4F17-8AB7-59B2D894ADBD}"/>
    <cellStyle name="Migliaia 27 4 2 2 3" xfId="36524" xr:uid="{F60EBC5F-FC10-41F7-AA53-BBE13A48ECDF}"/>
    <cellStyle name="Migliaia 27 4 2 2 4" xfId="41716" xr:uid="{26BAFB05-367D-47CE-B710-CD524B776533}"/>
    <cellStyle name="Migliaia 27 4 2 2 5" xfId="9146" xr:uid="{10433FB3-FC9D-4A26-A48C-43A4A037C3C0}"/>
    <cellStyle name="Migliaia 27 4 2 3" xfId="3419" xr:uid="{805D2F6F-CB87-4BF2-87BF-A077091C42C9}"/>
    <cellStyle name="Migliaia 27 4 2 3 2" xfId="33600" xr:uid="{865103B0-3CB5-48CC-A9FC-CB59F14026C0}"/>
    <cellStyle name="Migliaia 27 4 2 3 2 2" xfId="39066" xr:uid="{CCD9126E-1AAF-4689-988A-68907E2BDDDC}"/>
    <cellStyle name="Migliaia 27 4 2 3 2 3" xfId="44368" xr:uid="{BDED02FA-1592-473C-A555-8D9230D508CC}"/>
    <cellStyle name="Migliaia 27 4 2 3 3" xfId="36525" xr:uid="{AA000BBA-8E9D-4147-91C1-726696655EF1}"/>
    <cellStyle name="Migliaia 27 4 2 3 4" xfId="41717" xr:uid="{407D0EEA-42DF-4324-B8E2-5683873CDFA5}"/>
    <cellStyle name="Migliaia 27 4 2 3 5" xfId="11965" xr:uid="{E70ACDC1-F416-4CEB-993A-6CFC5D9ADE10}"/>
    <cellStyle name="Migliaia 27 4 2 4" xfId="11314" xr:uid="{26DD6D9E-E1B5-4638-AC9E-3C2F969A5FE8}"/>
    <cellStyle name="Migliaia 27 4 2 5" xfId="10831" xr:uid="{8692C390-2F19-4378-922D-F2D3F903B293}"/>
    <cellStyle name="Migliaia 27 4 2 5 2" xfId="21466" xr:uid="{4366899E-4A84-4A50-8225-8EE4EC02B013}"/>
    <cellStyle name="Migliaia 27 4 2 5 3" xfId="46229" xr:uid="{12FD2F71-277E-4A6B-9246-B5B2DDEBBBB2}"/>
    <cellStyle name="Migliaia 27 4 2 5 4" xfId="50481" xr:uid="{9B894ED7-5369-458D-AB90-3CB4EBF74BAD}"/>
    <cellStyle name="Migliaia 27 4 2 5 5" xfId="53497" xr:uid="{7901C0A4-B5DA-42B9-B52D-A7D9DEFE8510}"/>
    <cellStyle name="Migliaia 27 4 2 6" xfId="20248" xr:uid="{7176126A-04CF-4382-B426-9DB77B7ACEDB}"/>
    <cellStyle name="Migliaia 27 4 2 7" xfId="24619" xr:uid="{81F74929-125C-4CF6-9BC2-D66B8DBC0F5C}"/>
    <cellStyle name="Migliaia 27 4 2 8" xfId="8598" xr:uid="{4341B06B-4EF5-4A95-BF20-28774229AE1C}"/>
    <cellStyle name="Migliaia 27 4 3" xfId="5144" xr:uid="{DBDF9334-F889-4BEB-AE70-65E72A58AA3C}"/>
    <cellStyle name="Migliaia 27 4 3 2" xfId="18201" xr:uid="{F01A4567-66DB-438F-A1DA-19009C6E4E4E}"/>
    <cellStyle name="Migliaia 27 4 3 2 2" xfId="39067" xr:uid="{C4E91AA5-D9EC-4C08-8481-3FB60636ACD6}"/>
    <cellStyle name="Migliaia 27 4 3 2 3" xfId="44369" xr:uid="{7827471F-E07A-4E4A-B1D8-D9161C921671}"/>
    <cellStyle name="Migliaia 27 4 3 3" xfId="36526" xr:uid="{35CFD2F3-E83C-45B5-9D3C-8375F9A5BD56}"/>
    <cellStyle name="Migliaia 27 4 3 4" xfId="41718" xr:uid="{34B94359-2331-4D04-9719-BB7BAA48C116}"/>
    <cellStyle name="Migliaia 27 4 3 5" xfId="17368" xr:uid="{50C2529F-952F-452F-82B6-7AB5636497F4}"/>
    <cellStyle name="Migliaia 27 4 3 6" xfId="9147" xr:uid="{ADA032E4-416C-450C-9A7B-F62AD3C22796}"/>
    <cellStyle name="Migliaia 27 4 4" xfId="6349" xr:uid="{6DF098AD-DF84-48A8-8B4C-86C9C86F70E4}"/>
    <cellStyle name="Migliaia 27 4 4 2" xfId="33601" xr:uid="{5A0228B7-E565-4028-AA99-58CD8239BD11}"/>
    <cellStyle name="Migliaia 27 4 4 2 2" xfId="39068" xr:uid="{96DFB165-6539-4E08-960E-67293C02D2BD}"/>
    <cellStyle name="Migliaia 27 4 4 2 3" xfId="44370" xr:uid="{695D62DC-C2DD-422D-B645-302F6502BE52}"/>
    <cellStyle name="Migliaia 27 4 4 3" xfId="36527" xr:uid="{833297E3-232B-4419-9AF0-EC668BDF7C45}"/>
    <cellStyle name="Migliaia 27 4 4 4" xfId="41719" xr:uid="{A652A0D9-5DE9-40ED-8F25-B42FFEA49A04}"/>
    <cellStyle name="Migliaia 27 4 4 5" xfId="11966" xr:uid="{85133FDB-0791-4551-A13D-9ABD7CB059E2}"/>
    <cellStyle name="Migliaia 27 4 5" xfId="3418" xr:uid="{FC40750E-9FC2-4563-8AC1-E8DA40B34247}"/>
    <cellStyle name="Migliaia 27 4 5 2" xfId="33602" xr:uid="{5261640E-1C2B-4366-9EC3-5111270FF166}"/>
    <cellStyle name="Migliaia 27 4 5 2 2" xfId="39069" xr:uid="{C4D674B0-4819-4CC6-A9A9-EF0A9CB2A913}"/>
    <cellStyle name="Migliaia 27 4 5 2 3" xfId="44371" xr:uid="{08D81E56-E14B-47B4-A44D-75D84FE253B3}"/>
    <cellStyle name="Migliaia 27 4 5 3" xfId="36528" xr:uid="{67E2EB22-EF1D-4D46-A4B1-644D5225AFB6}"/>
    <cellStyle name="Migliaia 27 4 5 4" xfId="41720" xr:uid="{9393D617-B962-47E1-88FE-7E617F4DC469}"/>
    <cellStyle name="Migliaia 27 4 5 5" xfId="11313" xr:uid="{9DBBDF3B-F3AF-4369-BD1A-8AD38902F0DA}"/>
    <cellStyle name="Migliaia 27 4 6" xfId="10830" xr:uid="{6F13A827-B377-42B2-9EDA-F2202BC46C17}"/>
    <cellStyle name="Migliaia 27 4 6 2" xfId="21465" xr:uid="{53371261-1F28-48A3-A786-06F615CABCE4}"/>
    <cellStyle name="Migliaia 27 4 6 2 2" xfId="39070" xr:uid="{8B5A33F3-CD07-45FB-B2E2-AAF5EF008918}"/>
    <cellStyle name="Migliaia 27 4 6 2 3" xfId="44372" xr:uid="{C3042201-8FB1-4664-B754-315CEE0AA109}"/>
    <cellStyle name="Migliaia 27 4 6 2 4" xfId="33603" xr:uid="{71ED1E17-3427-4B2A-9562-9A3DBBAF1494}"/>
    <cellStyle name="Migliaia 27 4 6 3" xfId="36529" xr:uid="{F6D8D224-353D-4A0B-89B4-0053E81C21A1}"/>
    <cellStyle name="Migliaia 27 4 6 4" xfId="41721" xr:uid="{A286CAB4-8960-40A6-A73B-A4F12255C2FD}"/>
    <cellStyle name="Migliaia 27 4 6 5" xfId="24620" xr:uid="{C3D179DD-0042-4E9B-8E54-200C2CAA8983}"/>
    <cellStyle name="Migliaia 27 4 6 6" xfId="24247" xr:uid="{3230242E-11FE-48D9-AE6D-6FBEF6D3EF45}"/>
    <cellStyle name="Migliaia 27 4 6 7" xfId="50480" xr:uid="{0AE378CF-50E6-410E-B7F9-866273355B91}"/>
    <cellStyle name="Migliaia 27 4 6 8" xfId="53496" xr:uid="{5BD31ACC-CD8B-4CA8-BD0D-15C5E04DAF4A}"/>
    <cellStyle name="Migliaia 27 4 7" xfId="20247" xr:uid="{0E1484FC-BDC0-4B5C-94F4-236C25DA9CE7}"/>
    <cellStyle name="Migliaia 27 4 7 2" xfId="33604" xr:uid="{E4F0BEA7-B9AF-40AB-ABC7-9D684AFDF052}"/>
    <cellStyle name="Migliaia 27 4 7 2 2" xfId="39071" xr:uid="{C3DD5C47-9BEB-4739-9D28-443C69EE4DD4}"/>
    <cellStyle name="Migliaia 27 4 7 2 3" xfId="44373" xr:uid="{F0165FF4-52F4-410F-820C-65EE97084AA0}"/>
    <cellStyle name="Migliaia 27 4 7 3" xfId="36530" xr:uid="{D8E0E970-7ABD-49D8-9C56-22600898BD03}"/>
    <cellStyle name="Migliaia 27 4 7 4" xfId="41722" xr:uid="{4ACDE05D-C1F2-4FA2-AD80-ACA1910900FF}"/>
    <cellStyle name="Migliaia 27 4 7 5" xfId="24621" xr:uid="{3AF5314A-1392-489A-A952-0AE7DA2B8DC3}"/>
    <cellStyle name="Migliaia 27 4 8" xfId="24618" xr:uid="{D2ED26F3-FDB0-4ECE-A7FD-054F2ECCB906}"/>
    <cellStyle name="Migliaia 27 4 9" xfId="7408" xr:uid="{59B50741-00E0-41F8-AB37-D2FDCF84F20A}"/>
    <cellStyle name="Migliaia 27 5" xfId="1755" xr:uid="{00000000-0005-0000-0000-000072030000}"/>
    <cellStyle name="Migliaia 27 5 2" xfId="5146" xr:uid="{6ED9AB7D-8894-44A7-8633-C7B088C429A5}"/>
    <cellStyle name="Migliaia 27 5 2 2" xfId="18421" xr:uid="{35B1A6A8-73C8-4FBE-81CD-72346F984C58}"/>
    <cellStyle name="Migliaia 27 5 2 2 2" xfId="39072" xr:uid="{56319397-8D5B-4FC9-9C00-C0C4B459C3C6}"/>
    <cellStyle name="Migliaia 27 5 2 2 3" xfId="44374" xr:uid="{C7625079-A69A-4125-ABE1-C70E1F7FFD2A}"/>
    <cellStyle name="Migliaia 27 5 2 3" xfId="20250" xr:uid="{5534EA73-D82A-4472-A414-EAF481FEC6E9}"/>
    <cellStyle name="Migliaia 27 5 2 3 2" xfId="36531" xr:uid="{91D08A5C-60EC-49C3-8C5C-C93BE7CF9FB5}"/>
    <cellStyle name="Migliaia 27 5 2 4" xfId="41723" xr:uid="{2B338290-4D7C-4C40-8724-D7C2B21145EA}"/>
    <cellStyle name="Migliaia 27 5 2 5" xfId="16310" xr:uid="{01A79A7C-8344-45D2-9090-583AD9EAEDEF}"/>
    <cellStyle name="Migliaia 27 5 2 6" xfId="8599" xr:uid="{A246255F-C511-4B2A-B348-9FF2591CB657}"/>
    <cellStyle name="Migliaia 27 5 3" xfId="6350" xr:uid="{67BC9DEE-5D87-487B-9AF3-34A35E38CF52}"/>
    <cellStyle name="Migliaia 27 5 3 2" xfId="33605" xr:uid="{7B7A6EE1-0452-43F7-904E-8C24EAC4A5BB}"/>
    <cellStyle name="Migliaia 27 5 3 2 2" xfId="39073" xr:uid="{FF777828-F0CF-47B3-A518-8B1FBB235BA6}"/>
    <cellStyle name="Migliaia 27 5 3 2 3" xfId="44375" xr:uid="{B30E5A49-D709-48D6-B967-5513617B54AC}"/>
    <cellStyle name="Migliaia 27 5 3 3" xfId="36532" xr:uid="{8B403872-8996-4A92-BB88-5DAB40B2AEF2}"/>
    <cellStyle name="Migliaia 27 5 3 4" xfId="41724" xr:uid="{04E82E4C-9940-4295-8893-2EE84F58E8EE}"/>
    <cellStyle name="Migliaia 27 5 3 5" xfId="11315" xr:uid="{84E8ED0D-E030-42F2-8BA3-6EC592AA1363}"/>
    <cellStyle name="Migliaia 27 5 4" xfId="3420" xr:uid="{AE1995DF-BDFD-4515-BF13-B9CAF347D7BA}"/>
    <cellStyle name="Migliaia 27 5 4 2" xfId="21467" xr:uid="{453C6629-B4BA-4775-9C30-C86D012800B5}"/>
    <cellStyle name="Migliaia 27 5 4 2 2" xfId="39074" xr:uid="{0C3E6954-434E-45AD-A84E-DEABC26E018F}"/>
    <cellStyle name="Migliaia 27 5 4 2 3" xfId="44376" xr:uid="{9BCA05DD-41A7-491D-A3B4-986FA4F20A02}"/>
    <cellStyle name="Migliaia 27 5 4 2 4" xfId="33606" xr:uid="{E298AA00-64F9-4B6A-97E3-1D5C4661B4E5}"/>
    <cellStyle name="Migliaia 27 5 4 3" xfId="36533" xr:uid="{417EA9CF-36E6-4889-B03E-AF1176E9DDBE}"/>
    <cellStyle name="Migliaia 27 5 4 4" xfId="41725" xr:uid="{6BBF5252-1F6D-42CF-8ED9-E0DF43A743E5}"/>
    <cellStyle name="Migliaia 27 5 4 5" xfId="24623" xr:uid="{4CAE27B5-1B85-4B53-B98D-891D3F671B5F}"/>
    <cellStyle name="Migliaia 27 5 4 6" xfId="32298" xr:uid="{E7F8B74B-4829-42FA-A16B-552DC6327775}"/>
    <cellStyle name="Migliaia 27 5 4 7" xfId="50482" xr:uid="{E0A1B902-C0C4-4E4A-9C17-995E0489EA49}"/>
    <cellStyle name="Migliaia 27 5 4 8" xfId="53498" xr:uid="{6C6F29D6-ECD2-4358-B94A-990101402FBD}"/>
    <cellStyle name="Migliaia 27 5 4 9" xfId="10832" xr:uid="{AE562E60-4174-4E0C-9F8E-CED43190F091}"/>
    <cellStyle name="Migliaia 27 5 5" xfId="20249" xr:uid="{2758E5AF-3B9A-46A6-BCDF-E3387AF7AA74}"/>
    <cellStyle name="Migliaia 27 5 5 2" xfId="33607" xr:uid="{704F7709-5D17-42D6-8F75-8896326BF18B}"/>
    <cellStyle name="Migliaia 27 5 5 2 2" xfId="39075" xr:uid="{ABB931EB-33EA-417B-A822-7CAFF35F93F7}"/>
    <cellStyle name="Migliaia 27 5 5 2 3" xfId="44377" xr:uid="{924231A3-AA8E-43A7-ABAC-8EC097CF60C0}"/>
    <cellStyle name="Migliaia 27 5 5 3" xfId="36534" xr:uid="{65C82743-DB07-420D-845E-0A49B9C21FD8}"/>
    <cellStyle name="Migliaia 27 5 5 4" xfId="41726" xr:uid="{E4DDD82B-958B-4AA5-89F1-DD5BA31834A6}"/>
    <cellStyle name="Migliaia 27 5 5 5" xfId="24624" xr:uid="{37818AA6-2130-4756-A834-84F9706C79D8}"/>
    <cellStyle name="Migliaia 27 5 6" xfId="24625" xr:uid="{588218C7-A644-4422-B5B0-52F0F9A1CE15}"/>
    <cellStyle name="Migliaia 27 5 6 2" xfId="33608" xr:uid="{FE1339F6-F1A6-45BE-9B1B-CFE534504A7C}"/>
    <cellStyle name="Migliaia 27 5 6 2 2" xfId="39076" xr:uid="{5BB088AB-7BF8-4744-89D3-04AE791775FF}"/>
    <cellStyle name="Migliaia 27 5 6 2 3" xfId="44378" xr:uid="{CA2C6234-D96E-444B-8DB2-EF215A73F318}"/>
    <cellStyle name="Migliaia 27 5 6 3" xfId="36535" xr:uid="{A885C366-649B-491A-BBC7-058A256E23EB}"/>
    <cellStyle name="Migliaia 27 5 6 4" xfId="41727" xr:uid="{90A846B7-6F8C-4BCA-A3B2-4BA007BF8E0C}"/>
    <cellStyle name="Migliaia 27 5 7" xfId="24622" xr:uid="{786579C4-CFF3-4AC6-B659-2937E65E5F4A}"/>
    <cellStyle name="Migliaia 27 5 8" xfId="7409" xr:uid="{E6DEA1F6-3BF3-4396-8647-698EB48498A1}"/>
    <cellStyle name="Migliaia 27 6" xfId="3421" xr:uid="{EFC38BE9-69C4-4B42-B644-7014BE2CAF29}"/>
    <cellStyle name="Migliaia 27 6 2" xfId="5147" xr:uid="{0AE2D40C-6975-40E2-9E1A-231AF4F5FC9E}"/>
    <cellStyle name="Migliaia 27 6 2 2" xfId="9919" xr:uid="{01AB1C05-2455-463E-9848-4C9277838A24}"/>
    <cellStyle name="Migliaia 27 6 2 3" xfId="18661" xr:uid="{01926A20-8A19-44DD-B7F0-3955D820F427}"/>
    <cellStyle name="Migliaia 27 6 2 4" xfId="20252" xr:uid="{30B5AD6A-373F-42F5-A6EF-CDDBDB1A30C3}"/>
    <cellStyle name="Migliaia 27 6 2 5" xfId="32354" xr:uid="{F8FB9C99-80F1-430B-A44A-292A6B99AF50}"/>
    <cellStyle name="Migliaia 27 6 2 6" xfId="16312" xr:uid="{0BBB711E-F074-4BDF-864A-05FB5CA21C97}"/>
    <cellStyle name="Migliaia 27 6 2 7" xfId="8594" xr:uid="{3920238E-F68C-4C5B-9B1C-7F05136AF7DB}"/>
    <cellStyle name="Migliaia 27 6 3" xfId="6351" xr:uid="{B628E134-3DBB-44C9-8081-B370F238F45A}"/>
    <cellStyle name="Migliaia 27 6 3 2" xfId="35260" xr:uid="{91C504A1-92B0-414F-9DB5-EBAD7B203122}"/>
    <cellStyle name="Migliaia 27 6 3 2 2" xfId="40420" xr:uid="{7E79FC4F-2E1B-43F8-91EC-19B5F9AD1233}"/>
    <cellStyle name="Migliaia 27 6 3 2 3" xfId="45722" xr:uid="{C302671E-3B95-4095-A6F8-0974F0C12899}"/>
    <cellStyle name="Migliaia 27 6 3 3" xfId="37769" xr:uid="{9BFDE518-4F37-4B19-A83B-570A5AE2E6C8}"/>
    <cellStyle name="Migliaia 27 6 3 4" xfId="43071" xr:uid="{F3BFB288-C20C-4F66-9654-2490F96CD5D3}"/>
    <cellStyle name="Migliaia 27 6 3 5" xfId="9682" xr:uid="{0BDC9239-E308-4B2D-B26D-6F91C7E5DB9E}"/>
    <cellStyle name="Migliaia 27 6 4" xfId="20251" xr:uid="{6FC914BF-7009-4247-9F92-E2D37DC775B2}"/>
    <cellStyle name="Migliaia 27 6 4 2" xfId="39077" xr:uid="{506538E1-E7AA-480D-9594-12388AD80D28}"/>
    <cellStyle name="Migliaia 27 6 4 3" xfId="44379" xr:uid="{DFB1BAF8-66E5-4112-8815-9503415B3D14}"/>
    <cellStyle name="Migliaia 27 6 4 4" xfId="33609" xr:uid="{767B536F-94A4-4FFC-9B09-80769FCCDE92}"/>
    <cellStyle name="Migliaia 27 6 5" xfId="36536" xr:uid="{7B11CC7B-AC39-4128-B3D5-BEF2011DA54E}"/>
    <cellStyle name="Migliaia 27 6 6" xfId="41728" xr:uid="{EC1037B3-C8B5-4876-8331-3760D158EAE4}"/>
    <cellStyle name="Migliaia 27 6 7" xfId="16311" xr:uid="{9148B4AD-35DD-4D0A-8381-29A1DFBFB6BD}"/>
    <cellStyle name="Migliaia 27 6 8" xfId="7404" xr:uid="{8A7B5FBE-AB86-445E-8C0A-C9ADF6528A79}"/>
    <cellStyle name="Migliaia 27 7" xfId="3422" xr:uid="{75E8333B-7CAC-42D2-8E72-91024C3FE86F}"/>
    <cellStyle name="Migliaia 27 7 2" xfId="5148" xr:uid="{D4384996-D5E2-4391-9903-0AA0235DD599}"/>
    <cellStyle name="Migliaia 27 7 2 2" xfId="35261" xr:uid="{6EF25950-6459-46E4-97B5-E05CFF86D357}"/>
    <cellStyle name="Migliaia 27 7 2 2 2" xfId="40421" xr:uid="{20453C2B-901C-4B7A-B760-B76302076A2E}"/>
    <cellStyle name="Migliaia 27 7 2 2 3" xfId="45723" xr:uid="{70C529D9-F6BC-49DC-8F44-04708997A586}"/>
    <cellStyle name="Migliaia 27 7 2 3" xfId="37770" xr:uid="{FA94D26A-0466-49A3-8C39-C2D02B23D6C7}"/>
    <cellStyle name="Migliaia 27 7 2 4" xfId="43072" xr:uid="{3717CD3B-0DE5-46C3-A398-D7D9F2DDF46B}"/>
    <cellStyle name="Migliaia 27 7 2 5" xfId="14236" xr:uid="{8325B0E1-F482-4B8A-9520-8F1A728C5BB7}"/>
    <cellStyle name="Migliaia 27 7 3" xfId="6352" xr:uid="{8058D7EC-C701-4920-8253-5C893D0C1478}"/>
    <cellStyle name="Migliaia 27 7 3 2" xfId="39078" xr:uid="{30CD84E2-A7AE-44B9-8CB0-BB1F0610C172}"/>
    <cellStyle name="Migliaia 27 7 3 3" xfId="44380" xr:uid="{4F25C9A1-BB76-40E1-98AA-3A1CFAB74276}"/>
    <cellStyle name="Migliaia 27 7 3 4" xfId="33610" xr:uid="{077F85E9-BC5C-4389-A6F5-94FD662C506F}"/>
    <cellStyle name="Migliaia 27 7 3 5" xfId="20253" xr:uid="{163C20ED-5765-49F0-921F-E4FE5BDBB996}"/>
    <cellStyle name="Migliaia 27 7 4" xfId="36537" xr:uid="{A3349646-4D9C-4DD7-919E-1C4D83C8896B}"/>
    <cellStyle name="Migliaia 27 7 5" xfId="41729" xr:uid="{C1AFECFB-A458-4D34-8212-0DA43F320F25}"/>
    <cellStyle name="Migliaia 27 7 6" xfId="16313" xr:uid="{8A050308-EFAD-4CF2-90E1-D803E1E57596}"/>
    <cellStyle name="Migliaia 27 7 7" xfId="8298" xr:uid="{BC7C5F5F-FF82-4250-B992-7D29CCBC2325}"/>
    <cellStyle name="Migliaia 27 8" xfId="3423" xr:uid="{1354F601-8D7F-42F0-8701-444C9F2FFEA7}"/>
    <cellStyle name="Migliaia 27 8 2" xfId="5149" xr:uid="{9A97F5A3-22C9-4D0E-A91B-67C333F2A147}"/>
    <cellStyle name="Migliaia 27 8 2 2" xfId="35262" xr:uid="{3E976AE2-98E7-4D3F-959F-69A12B5786C5}"/>
    <cellStyle name="Migliaia 27 8 2 2 2" xfId="40422" xr:uid="{486FEF59-B4AA-4CEA-9966-DE5F06E79614}"/>
    <cellStyle name="Migliaia 27 8 2 2 3" xfId="45724" xr:uid="{FCB18519-9601-4146-8A5D-47387813C7E5}"/>
    <cellStyle name="Migliaia 27 8 2 3" xfId="37771" xr:uid="{C64CC40C-C590-4B94-9FBB-6FD82EE44582}"/>
    <cellStyle name="Migliaia 27 8 2 4" xfId="43073" xr:uid="{D12E8C5D-9328-4DC2-A2F9-2512CC4CC715}"/>
    <cellStyle name="Migliaia 27 8 2 5" xfId="13941" xr:uid="{6B080A5F-E21C-421C-8927-0469E7570C60}"/>
    <cellStyle name="Migliaia 27 8 3" xfId="6353" xr:uid="{3FAC8792-24E8-46F3-B385-A9BCA6EF61DC}"/>
    <cellStyle name="Migliaia 27 8 3 2" xfId="39079" xr:uid="{3A519A78-1D77-4353-BB17-BCD016097B9F}"/>
    <cellStyle name="Migliaia 27 8 3 3" xfId="44381" xr:uid="{D6B371D3-9FBE-4396-BA8E-520D8C56DDA8}"/>
    <cellStyle name="Migliaia 27 8 3 4" xfId="33611" xr:uid="{FB73DFAA-DF00-4A27-A2F7-2F31833051FA}"/>
    <cellStyle name="Migliaia 27 8 3 5" xfId="20254" xr:uid="{9EAD9788-12CC-44B5-88A5-6DDEC994FE33}"/>
    <cellStyle name="Migliaia 27 8 4" xfId="36538" xr:uid="{8F02B48A-CDE3-451D-9C62-6BA8EE5529A0}"/>
    <cellStyle name="Migliaia 27 8 5" xfId="41730" xr:uid="{DFCA8FE7-8898-4B6E-B9C3-B44A734FBC5C}"/>
    <cellStyle name="Migliaia 27 8 6" xfId="16314" xr:uid="{FCC0C9CF-3C4A-41B2-953E-AB8DFB6B5D69}"/>
    <cellStyle name="Migliaia 27 8 7" xfId="7898" xr:uid="{C1FEAD44-E289-48AD-8247-F7696B1F481F}"/>
    <cellStyle name="Migliaia 27 9" xfId="5134" xr:uid="{F4FCD574-C203-48A1-B0C9-A41577CA0969}"/>
    <cellStyle name="Migliaia 27 9 2" xfId="33612" xr:uid="{F67460F7-FE22-4110-8C05-E743DD29639D}"/>
    <cellStyle name="Migliaia 27 9 2 2" xfId="39080" xr:uid="{E9224B1D-5F16-4BF4-B3FB-D32BB8A6800B}"/>
    <cellStyle name="Migliaia 27 9 2 3" xfId="44382" xr:uid="{02FEB11B-3CCC-43CE-9BC6-89860D36D3E1}"/>
    <cellStyle name="Migliaia 27 9 3" xfId="36539" xr:uid="{18EF4986-3BCB-439B-9D50-F3387B84139C}"/>
    <cellStyle name="Migliaia 27 9 4" xfId="41731" xr:uid="{06D27026-0BA3-4431-BDA9-B4097C94F652}"/>
    <cellStyle name="Migliaia 27 9 5" xfId="17173" xr:uid="{38DCA983-9087-4419-9ED6-DFC040240EE0}"/>
    <cellStyle name="Migliaia 28" xfId="381" xr:uid="{00000000-0005-0000-0000-000073030000}"/>
    <cellStyle name="Migliaia 28 10" xfId="6354" xr:uid="{30886A68-4748-40CB-AEA2-C856DB4A2F6D}"/>
    <cellStyle name="Migliaia 28 10 2" xfId="39081" xr:uid="{90F51060-54DD-4392-9443-FF9E0DDC9B95}"/>
    <cellStyle name="Migliaia 28 10 3" xfId="44383" xr:uid="{920CA748-CD56-4220-886E-9B349D9E442F}"/>
    <cellStyle name="Migliaia 28 10 4" xfId="33613" xr:uid="{4C04FE7E-91F3-4656-B4A6-FE11EE50736B}"/>
    <cellStyle name="Migliaia 28 10 5" xfId="20255" xr:uid="{7F07C06F-89FA-438D-A719-E06CBB720995}"/>
    <cellStyle name="Migliaia 28 11" xfId="3424" xr:uid="{FDA11666-7D1E-452C-A379-E581362BF549}"/>
    <cellStyle name="Migliaia 28 11 2" xfId="36540" xr:uid="{AB66358A-E1D8-49AA-9CE5-8ED1940D9E73}"/>
    <cellStyle name="Migliaia 28 12" xfId="41732" xr:uid="{9DC4F2BA-5D52-4408-A039-8E3901A479A8}"/>
    <cellStyle name="Migliaia 28 13" xfId="7102" xr:uid="{A6E595B4-36C4-4ED0-9DF7-B19F987763C0}"/>
    <cellStyle name="Migliaia 28 2" xfId="382" xr:uid="{00000000-0005-0000-0000-000074030000}"/>
    <cellStyle name="Migliaia 28 2 2" xfId="1756" xr:uid="{00000000-0005-0000-0000-000075030000}"/>
    <cellStyle name="Migliaia 28 2 2 2" xfId="5152" xr:uid="{B1E8BFEC-7C0C-41FD-A1E9-102A13D3B56A}"/>
    <cellStyle name="Migliaia 28 2 2 2 2" xfId="14383" xr:uid="{84BEB8AC-8F4D-4E0B-803C-81ED9DAC890C}"/>
    <cellStyle name="Migliaia 28 2 2 2 2 2" xfId="39082" xr:uid="{12151739-0A7E-43E7-BF35-200E75B1F75A}"/>
    <cellStyle name="Migliaia 28 2 2 2 2 3" xfId="44384" xr:uid="{370F1825-EB63-461F-95C9-7AA98796D7FE}"/>
    <cellStyle name="Migliaia 28 2 2 2 3" xfId="18422" xr:uid="{AABA5F98-6C2B-4602-A275-ADE50C38B39F}"/>
    <cellStyle name="Migliaia 28 2 2 2 4" xfId="20258" xr:uid="{F421F183-633D-4B04-903B-D5A3F764AB43}"/>
    <cellStyle name="Migliaia 28 2 2 2 4 2" xfId="41733" xr:uid="{753C4E7A-5D48-402F-AF3C-6FB5D0C8A6CB}"/>
    <cellStyle name="Migliaia 28 2 2 2 5" xfId="16315" xr:uid="{6666718A-202A-4C51-A5BE-65A379F948DA}"/>
    <cellStyle name="Migliaia 28 2 2 2 6" xfId="8601" xr:uid="{1F61475C-E97E-4D0E-959F-34DA2B1E7589}"/>
    <cellStyle name="Migliaia 28 2 2 3" xfId="6356" xr:uid="{C1C86756-EA82-4988-9150-69F7BB310927}"/>
    <cellStyle name="Migliaia 28 2 2 3 2" xfId="35263" xr:uid="{2CF63A80-0637-48FA-BBF7-0DE4C3B9913B}"/>
    <cellStyle name="Migliaia 28 2 2 3 2 2" xfId="40423" xr:uid="{F135F4D5-2541-4896-8703-3FF24DB57FAC}"/>
    <cellStyle name="Migliaia 28 2 2 3 2 3" xfId="45725" xr:uid="{7CE049AD-F69D-48C5-B79D-2E400B568D97}"/>
    <cellStyle name="Migliaia 28 2 2 3 3" xfId="37772" xr:uid="{D162F18E-FDA8-4441-A7D2-6B037FFC53E6}"/>
    <cellStyle name="Migliaia 28 2 2 3 4" xfId="43074" xr:uid="{9A5C3C69-706C-404E-974B-C8E59364F801}"/>
    <cellStyle name="Migliaia 28 2 2 3 5" xfId="11610" xr:uid="{91F79FA8-53D5-49B6-888A-2CBBA2831778}"/>
    <cellStyle name="Migliaia 28 2 2 4" xfId="3426" xr:uid="{8333C773-3D16-4898-8600-A145A217391F}"/>
    <cellStyle name="Migliaia 28 2 2 4 2" xfId="21468" xr:uid="{1D34C408-EAE7-4689-9158-A1101058A6F3}"/>
    <cellStyle name="Migliaia 28 2 2 4 3" xfId="46230" xr:uid="{B945CC0A-287B-4DC3-BAAE-116862BE2BF0}"/>
    <cellStyle name="Migliaia 28 2 2 4 4" xfId="50483" xr:uid="{4CC0E7CD-1544-4103-AAF5-907406ACE5EA}"/>
    <cellStyle name="Migliaia 28 2 2 4 5" xfId="53499" xr:uid="{3B6F234F-7325-48D3-90E3-719BA207712A}"/>
    <cellStyle name="Migliaia 28 2 2 4 6" xfId="10833" xr:uid="{5AD9E34C-E964-4B5D-BF17-B86DA36B92B6}"/>
    <cellStyle name="Migliaia 28 2 2 5" xfId="20257" xr:uid="{CB80C23F-72FE-4BDC-BBC0-A67A94A1A952}"/>
    <cellStyle name="Migliaia 28 2 2 6" xfId="24627" xr:uid="{B26C3F12-6A19-45B1-BACB-B9BE7CE75982}"/>
    <cellStyle name="Migliaia 28 2 2 7" xfId="7411" xr:uid="{953CC936-753A-425C-864A-B89CA272AE43}"/>
    <cellStyle name="Migliaia 28 2 3" xfId="3427" xr:uid="{5F065BD6-40F2-44DF-B0C0-D3D0BD404A53}"/>
    <cellStyle name="Migliaia 28 2 3 2" xfId="5153" xr:uid="{4D1D501C-820B-487F-808C-0A49376856B5}"/>
    <cellStyle name="Migliaia 28 2 3 2 2" xfId="35264" xr:uid="{E0E46C70-70DB-4375-94DE-B7C7AB6334C4}"/>
    <cellStyle name="Migliaia 28 2 3 2 2 2" xfId="40424" xr:uid="{F6205A98-CF3D-407E-AF5E-82B09D812F83}"/>
    <cellStyle name="Migliaia 28 2 3 2 2 3" xfId="45726" xr:uid="{9B50B4D3-FF52-4346-869C-ECEEE215CA59}"/>
    <cellStyle name="Migliaia 28 2 3 2 3" xfId="37773" xr:uid="{28FC12A1-8853-4F12-8C15-CB9A59309ACE}"/>
    <cellStyle name="Migliaia 28 2 3 2 4" xfId="43075" xr:uid="{A62D93CF-DEAA-46C3-A434-5EF012FB0C80}"/>
    <cellStyle name="Migliaia 28 2 3 2 5" xfId="14240" xr:uid="{418D7BE6-B1CF-4538-9D02-BA5D99AF7F3E}"/>
    <cellStyle name="Migliaia 28 2 3 3" xfId="6357" xr:uid="{01FB4C40-ADC0-4D41-95E3-679999F0437E}"/>
    <cellStyle name="Migliaia 28 2 3 3 2" xfId="39083" xr:uid="{E3FEEC1A-762C-40BD-AE5C-F9E9F5B1148D}"/>
    <cellStyle name="Migliaia 28 2 3 3 3" xfId="44385" xr:uid="{5647B339-01B9-45D0-B5D1-117DFC7886E4}"/>
    <cellStyle name="Migliaia 28 2 3 3 4" xfId="33614" xr:uid="{DA54AACF-78DD-41CC-B6AF-07B921F014A8}"/>
    <cellStyle name="Migliaia 28 2 3 3 5" xfId="20259" xr:uid="{6E8E86D2-F003-4854-B3FC-1E2BCEBFBB12}"/>
    <cellStyle name="Migliaia 28 2 3 4" xfId="36541" xr:uid="{B7256C51-E3EE-4BD8-A83F-F4B74A37FE3B}"/>
    <cellStyle name="Migliaia 28 2 3 5" xfId="41734" xr:uid="{261F5FD0-987F-4E27-8B80-6E9ED4648C79}"/>
    <cellStyle name="Migliaia 28 2 3 6" xfId="16316" xr:uid="{644DC281-D992-431F-B857-CFE41D3C2818}"/>
    <cellStyle name="Migliaia 28 2 3 7" xfId="8302" xr:uid="{6C3E1ECB-2312-4187-AE56-062D78A484CD}"/>
    <cellStyle name="Migliaia 28 2 4" xfId="5151" xr:uid="{00C59237-9CF2-4D37-A531-2294BED82808}"/>
    <cellStyle name="Migliaia 28 2 4 2" xfId="13945" xr:uid="{8EA4D35D-5D02-4720-939F-1F4B4E78FF98}"/>
    <cellStyle name="Migliaia 28 2 4 2 2" xfId="39084" xr:uid="{0AF99C08-F66E-44F3-B5C2-3918465FFA72}"/>
    <cellStyle name="Migliaia 28 2 4 2 3" xfId="44386" xr:uid="{A64DC09F-7EBB-4668-81D0-3B429EE2BC2C}"/>
    <cellStyle name="Migliaia 28 2 4 3" xfId="18714" xr:uid="{45B47D88-EAA9-4D38-B6D4-7E834B000EB2}"/>
    <cellStyle name="Migliaia 28 2 4 4" xfId="20260" xr:uid="{BEE12E05-EF71-4A5D-B3A9-F6D845E73C0F}"/>
    <cellStyle name="Migliaia 28 2 4 4 2" xfId="41735" xr:uid="{69BDBB3D-0713-42CC-8753-A91769C9CEF4}"/>
    <cellStyle name="Migliaia 28 2 4 5" xfId="16317" xr:uid="{E4589623-3259-4C20-9D03-47BCFEE92E86}"/>
    <cellStyle name="Migliaia 28 2 4 6" xfId="7903" xr:uid="{0586F086-EC10-4FBE-B41B-EE117D3CFF67}"/>
    <cellStyle name="Migliaia 28 2 5" xfId="6355" xr:uid="{2695FFAD-63C5-4AA3-8D7E-5B9BF81C5308}"/>
    <cellStyle name="Migliaia 28 2 5 2" xfId="33615" xr:uid="{308F1315-D65E-4478-BC66-DF59C508FE3F}"/>
    <cellStyle name="Migliaia 28 2 5 2 2" xfId="39085" xr:uid="{6E7B0640-B4ED-4493-9E52-1F711C5FE972}"/>
    <cellStyle name="Migliaia 28 2 5 2 3" xfId="44387" xr:uid="{695AE108-BFC1-4DBC-9642-0CAEAC901C83}"/>
    <cellStyle name="Migliaia 28 2 5 3" xfId="36542" xr:uid="{9BC52055-15EB-47E3-8B72-F0336847EC27}"/>
    <cellStyle name="Migliaia 28 2 5 4" xfId="41736" xr:uid="{AD2E6FA6-9E04-4527-BF8D-4A3F132F51E3}"/>
    <cellStyle name="Migliaia 28 2 5 5" xfId="13123" xr:uid="{7207E6F9-6952-4B23-A8D4-8E461A1F76A9}"/>
    <cellStyle name="Migliaia 28 2 6" xfId="3425" xr:uid="{9A9AEA3C-9F8C-4289-B567-A7DBEDB7A422}"/>
    <cellStyle name="Migliaia 28 2 6 2" xfId="33616" xr:uid="{7629B8CD-D3E9-49EE-B895-F091878D1920}"/>
    <cellStyle name="Migliaia 28 2 6 2 2" xfId="39086" xr:uid="{8D248A0B-5E43-4538-AF52-98AD9A7D74FD}"/>
    <cellStyle name="Migliaia 28 2 6 2 3" xfId="44388" xr:uid="{6B74D43B-82F5-4FDE-9795-BB77E02B7429}"/>
    <cellStyle name="Migliaia 28 2 6 3" xfId="36543" xr:uid="{13F50692-4FC3-4D47-BFB9-A9C99B7F0D7D}"/>
    <cellStyle name="Migliaia 28 2 6 4" xfId="41737" xr:uid="{4AA3C7EB-EA5D-4FC3-87A0-CC54D51F7517}"/>
    <cellStyle name="Migliaia 28 2 6 5" xfId="24628" xr:uid="{293D901C-55B0-486B-B44F-A79DDD38F80F}"/>
    <cellStyle name="Migliaia 28 2 6 6" xfId="20256" xr:uid="{A79FEC2C-42B0-4E0C-99F0-7B32198D0C05}"/>
    <cellStyle name="Migliaia 28 2 7" xfId="24626" xr:uid="{1463623F-ADC4-431B-ACB2-78FB32CF603F}"/>
    <cellStyle name="Migliaia 28 2 8" xfId="7103" xr:uid="{CB941D9D-7F4C-4CBF-9F71-10BDA0712B5B}"/>
    <cellStyle name="Migliaia 28 3" xfId="383" xr:uid="{00000000-0005-0000-0000-000076030000}"/>
    <cellStyle name="Migliaia 28 3 10" xfId="24629" xr:uid="{83F1A477-70F6-4372-8DC0-DC88FB5D83F8}"/>
    <cellStyle name="Migliaia 28 3 11" xfId="16318" xr:uid="{4CB0D9FF-798B-4BD6-BEFF-61DD597F0A0C}"/>
    <cellStyle name="Migliaia 28 3 12" xfId="7104" xr:uid="{09D79047-F5B7-4B10-A428-0CFBC6F11B80}"/>
    <cellStyle name="Migliaia 28 3 2" xfId="384" xr:uid="{00000000-0005-0000-0000-000077030000}"/>
    <cellStyle name="Migliaia 28 3 2 2" xfId="1757" xr:uid="{00000000-0005-0000-0000-000078030000}"/>
    <cellStyle name="Migliaia 28 3 2 2 2" xfId="5156" xr:uid="{BC11F700-ED3F-455B-B8D5-D82D0D054072}"/>
    <cellStyle name="Migliaia 28 3 2 2 2 2" xfId="18423" xr:uid="{BCCC0371-450F-43D2-9BBE-3C7D0704858E}"/>
    <cellStyle name="Migliaia 28 3 2 2 2 2 2" xfId="21861" xr:uid="{D8277337-5AAF-4E9B-9624-D3874C04EF8E}"/>
    <cellStyle name="Migliaia 28 3 2 2 2 2 2 2" xfId="39087" xr:uid="{D8940B87-33A9-4486-96BC-E9366C714551}"/>
    <cellStyle name="Migliaia 28 3 2 2 2 2 3" xfId="44389" xr:uid="{5C146A23-41D8-45D0-8095-502888F13726}"/>
    <cellStyle name="Migliaia 28 3 2 2 2 2 4" xfId="33617" xr:uid="{E03C0811-B157-49DC-BC9B-7A129E5ED7EE}"/>
    <cellStyle name="Migliaia 28 3 2 2 2 3" xfId="36544" xr:uid="{8E36217B-2FA8-4BD0-8E63-60B04A8283CA}"/>
    <cellStyle name="Migliaia 28 3 2 2 2 4" xfId="41738" xr:uid="{E2724BC5-8A09-4172-BEF3-91C0D4844DF9}"/>
    <cellStyle name="Migliaia 28 3 2 2 2 5" xfId="32642" xr:uid="{3B7E445D-29B2-4CD9-A4A6-A6BC00D81C5D}"/>
    <cellStyle name="Migliaia 28 3 2 2 2 6" xfId="50889" xr:uid="{91C20A24-E55C-4CBF-A017-5919F329183C}"/>
    <cellStyle name="Migliaia 28 3 2 2 2 7" xfId="53905" xr:uid="{FD2F606F-B4EF-479D-B54A-287D0C62D9CA}"/>
    <cellStyle name="Migliaia 28 3 2 2 2 8" xfId="17658" xr:uid="{B0E52E6E-CAA4-41F7-8395-0CDD5F95F460}"/>
    <cellStyle name="Migliaia 28 3 2 2 2 9" xfId="11967" xr:uid="{3797F9E9-115C-4931-B281-F297E0D015A6}"/>
    <cellStyle name="Migliaia 28 3 2 2 3" xfId="6360" xr:uid="{B3E8BEC6-8792-4DF0-92F6-FA94F555B046}"/>
    <cellStyle name="Migliaia 28 3 2 2 3 2" xfId="11558" xr:uid="{F4BC9908-EBFA-4023-B8A1-A1B005407CD2}"/>
    <cellStyle name="Migliaia 28 3 2 2 4" xfId="3430" xr:uid="{D6006F2E-ACAC-4244-B98D-659942AD7F3A}"/>
    <cellStyle name="Migliaia 28 3 2 2 4 2" xfId="21469" xr:uid="{E1291B46-1F78-4D0D-8B28-46A5C3E45AA4}"/>
    <cellStyle name="Migliaia 28 3 2 2 4 3" xfId="35976" xr:uid="{CE606953-2520-4512-B075-93D293523173}"/>
    <cellStyle name="Migliaia 28 3 2 2 4 4" xfId="50484" xr:uid="{462DBA97-B566-4309-AFB0-E38205EF4BA2}"/>
    <cellStyle name="Migliaia 28 3 2 2 4 5" xfId="53500" xr:uid="{E54551EB-E5B2-4A77-8A89-66E67879F30B}"/>
    <cellStyle name="Migliaia 28 3 2 2 4 6" xfId="10834" xr:uid="{4D011E74-0D86-445E-B0E8-B148B50C3253}"/>
    <cellStyle name="Migliaia 28 3 2 2 5" xfId="20263" xr:uid="{58654294-C6FA-4E2A-ADFD-C6155EC76E98}"/>
    <cellStyle name="Migliaia 28 3 2 2 6" xfId="24631" xr:uid="{1E536732-A3CF-4505-8BFE-B63489AFA5FD}"/>
    <cellStyle name="Migliaia 28 3 2 2 7" xfId="8603" xr:uid="{1ED6E742-AA52-46BC-9F9A-95F2ECB1F464}"/>
    <cellStyle name="Migliaia 28 3 2 3" xfId="5155" xr:uid="{D9E1A1C9-316A-417D-916A-3BD44AEE5B76}"/>
    <cellStyle name="Migliaia 28 3 2 3 2" xfId="11657" xr:uid="{96F01374-A1ED-47FC-BD68-C1225C357455}"/>
    <cellStyle name="Migliaia 28 3 2 3 2 2" xfId="39088" xr:uid="{C5C28F29-BB6A-4118-ACD1-B13FC6A0819A}"/>
    <cellStyle name="Migliaia 28 3 2 3 2 3" xfId="44390" xr:uid="{AF010CA6-323B-49B9-A172-A722F8434717}"/>
    <cellStyle name="Migliaia 28 3 2 3 2 4" xfId="33618" xr:uid="{BF1CC1F7-51D1-4F49-9D31-A066692ABBF4}"/>
    <cellStyle name="Migliaia 28 3 2 3 3" xfId="11968" xr:uid="{55746EA3-879F-4B65-8BAF-61527AC2F519}"/>
    <cellStyle name="Migliaia 28 3 2 3 4" xfId="20264" xr:uid="{FCC32910-F367-4B2A-B1FF-61566AF4F404}"/>
    <cellStyle name="Migliaia 28 3 2 3 4 2" xfId="41739" xr:uid="{8C92D8C6-FBB2-4925-9ECB-FC853A367C20}"/>
    <cellStyle name="Migliaia 28 3 2 3 5" xfId="16319" xr:uid="{F8CB5C52-C94B-49ED-9CBA-C1DA9D29BC9B}"/>
    <cellStyle name="Migliaia 28 3 2 3 6" xfId="7905" xr:uid="{5E80814C-49F4-4B44-8237-02DA3B0FADE1}"/>
    <cellStyle name="Migliaia 28 3 2 4" xfId="6359" xr:uid="{92E806E1-0D3A-444A-880E-F08ED0FAB2B2}"/>
    <cellStyle name="Migliaia 28 3 2 4 2" xfId="18077" xr:uid="{9F36F838-6D78-4DFC-899D-082215446F45}"/>
    <cellStyle name="Migliaia 28 3 2 4 2 2" xfId="39089" xr:uid="{493323EB-D285-4A2D-8FB2-BE0A0D84BE6B}"/>
    <cellStyle name="Migliaia 28 3 2 4 2 3" xfId="44391" xr:uid="{CFF5265D-F806-4FFB-9D16-74CD1DF11AAA}"/>
    <cellStyle name="Migliaia 28 3 2 4 3" xfId="36545" xr:uid="{14EFC3B0-E0CD-4115-967E-CF7C170A3FC4}"/>
    <cellStyle name="Migliaia 28 3 2 4 4" xfId="41740" xr:uid="{3E002FFE-4E06-4300-895C-FDE6CCDC439A}"/>
    <cellStyle name="Migliaia 28 3 2 4 5" xfId="17176" xr:uid="{514DB97B-7337-4B42-A08A-1A7448067060}"/>
    <cellStyle name="Migliaia 28 3 2 4 6" xfId="11316" xr:uid="{DD416B4A-F68E-4185-81B2-A7A25661B2DF}"/>
    <cellStyle name="Migliaia 28 3 2 5" xfId="3429" xr:uid="{32C24B3C-A8ED-40D1-B680-107C059A826F}"/>
    <cellStyle name="Migliaia 28 3 2 5 2" xfId="33619" xr:uid="{1ACE27BA-7C93-458E-A820-D3A772E3FEA1}"/>
    <cellStyle name="Migliaia 28 3 2 5 2 2" xfId="39090" xr:uid="{0152B672-34E2-48C2-AE88-6524979F089C}"/>
    <cellStyle name="Migliaia 28 3 2 5 2 3" xfId="44392" xr:uid="{5FB9BB6C-CC24-4B7D-85F3-83E6BCB008BF}"/>
    <cellStyle name="Migliaia 28 3 2 5 3" xfId="36546" xr:uid="{71DD4B9A-42C4-47DF-8498-A1641A965286}"/>
    <cellStyle name="Migliaia 28 3 2 5 4" xfId="41741" xr:uid="{50BA8797-364E-4DE2-A583-B289159CD6A9}"/>
    <cellStyle name="Migliaia 28 3 2 5 5" xfId="17366" xr:uid="{4039ADA9-C9EC-4656-8C68-A6F52763821E}"/>
    <cellStyle name="Migliaia 28 3 2 6" xfId="20262" xr:uid="{71CF2AE4-9384-4E6E-8A7C-6678D0797861}"/>
    <cellStyle name="Migliaia 28 3 2 6 2" xfId="33620" xr:uid="{D2F876A8-BAD9-4D25-B178-675D7E21547A}"/>
    <cellStyle name="Migliaia 28 3 2 6 2 2" xfId="39091" xr:uid="{CD6B1C48-AF19-490E-95E8-B6AA0602953D}"/>
    <cellStyle name="Migliaia 28 3 2 6 2 3" xfId="44393" xr:uid="{7315D3D0-547F-4FBA-9F48-6F8931DD4AD4}"/>
    <cellStyle name="Migliaia 28 3 2 6 3" xfId="36547" xr:uid="{D38146EA-4796-4EB5-8044-13A7C7628F46}"/>
    <cellStyle name="Migliaia 28 3 2 6 4" xfId="41742" xr:uid="{B9984778-9E53-4413-B56B-4C31A4986076}"/>
    <cellStyle name="Migliaia 28 3 2 6 5" xfId="24632" xr:uid="{B8F9E412-7C7E-4240-BAA1-52FA3072C9D6}"/>
    <cellStyle name="Migliaia 28 3 2 7" xfId="24630" xr:uid="{57DBD675-1976-4D38-80D5-75022E1DB245}"/>
    <cellStyle name="Migliaia 28 3 2 8" xfId="7413" xr:uid="{A71533F1-AB79-42F9-A5FA-7187752AF074}"/>
    <cellStyle name="Migliaia 28 3 3" xfId="3431" xr:uid="{96166F1A-7685-4164-95D1-0B39301237EA}"/>
    <cellStyle name="Migliaia 28 3 3 10" xfId="7412" xr:uid="{A1630235-5331-43D8-B9C1-6F47FF1A5DBE}"/>
    <cellStyle name="Migliaia 28 3 3 2" xfId="5157" xr:uid="{52565296-EDD6-4FAB-9B77-3388C58B70CB}"/>
    <cellStyle name="Migliaia 28 3 3 2 2" xfId="9922" xr:uid="{CAC77894-C530-4974-9BC0-4CABDFC2FF90}"/>
    <cellStyle name="Migliaia 28 3 3 2 2 2" xfId="39093" xr:uid="{ED04A39A-0288-4E01-B2ED-73125DFE006C}"/>
    <cellStyle name="Migliaia 28 3 3 2 2 3" xfId="44395" xr:uid="{E35C3FB0-3478-4A3F-89E8-6E6625DFD6E2}"/>
    <cellStyle name="Migliaia 28 3 3 2 3" xfId="18202" xr:uid="{74127B3B-93C5-4519-AFEF-6CD5E1885C27}"/>
    <cellStyle name="Migliaia 28 3 3 2 4" xfId="20266" xr:uid="{331A5421-82F8-4D2D-8013-C1047915397E}"/>
    <cellStyle name="Migliaia 28 3 3 2 4 2" xfId="41744" xr:uid="{197F5ED6-0BF9-43AD-9886-A76058A5F1C6}"/>
    <cellStyle name="Migliaia 28 3 3 2 5" xfId="16321" xr:uid="{435EBA5F-99F8-4BAE-A6AB-FE768FBD4709}"/>
    <cellStyle name="Migliaia 28 3 3 2 6" xfId="8602" xr:uid="{00CB5523-6057-42D3-9C77-634795B61682}"/>
    <cellStyle name="Migliaia 28 3 3 3" xfId="6361" xr:uid="{9C8AC06D-41C3-4161-9C98-0018A05CA8BB}"/>
    <cellStyle name="Migliaia 28 3 3 3 2" xfId="33622" xr:uid="{EED447A9-D082-4AF9-AC67-378E7D7BED94}"/>
    <cellStyle name="Migliaia 28 3 3 3 2 2" xfId="39094" xr:uid="{B5B82BC8-F646-4C02-B60F-72EB7BEAC15C}"/>
    <cellStyle name="Migliaia 28 3 3 3 2 3" xfId="44396" xr:uid="{BD8148BC-E2D0-46A0-81EB-08A47A5F74C1}"/>
    <cellStyle name="Migliaia 28 3 3 3 3" xfId="36549" xr:uid="{E35601C5-6D2C-4487-BA9E-C8DDC89EDE3D}"/>
    <cellStyle name="Migliaia 28 3 3 3 4" xfId="41745" xr:uid="{84A1E2E7-E84A-4DCD-9378-7E723B4ECE5B}"/>
    <cellStyle name="Migliaia 28 3 3 3 5" xfId="9685" xr:uid="{6B06A717-29E3-464C-904B-B746416753B2}"/>
    <cellStyle name="Migliaia 28 3 3 4" xfId="20265" xr:uid="{FD772A99-7509-4244-8B83-FA9C541B06CC}"/>
    <cellStyle name="Migliaia 28 3 3 4 2" xfId="33623" xr:uid="{D3EDE8BF-8ACA-4BE6-B51D-CF7E590B91E0}"/>
    <cellStyle name="Migliaia 28 3 3 4 2 2" xfId="39095" xr:uid="{C20ABE4A-767E-4182-B749-C116A431ECFB}"/>
    <cellStyle name="Migliaia 28 3 3 4 2 3" xfId="44397" xr:uid="{D79D99A2-285C-434D-8D03-B2AD36A627BD}"/>
    <cellStyle name="Migliaia 28 3 3 4 3" xfId="36550" xr:uid="{56DE4FB9-8AEE-4E16-B470-51C713211F9E}"/>
    <cellStyle name="Migliaia 28 3 3 4 4" xfId="41746" xr:uid="{36F4244D-3CD7-4C83-B333-CC18E5EF94D8}"/>
    <cellStyle name="Migliaia 28 3 3 4 5" xfId="24633" xr:uid="{28BBAB53-791A-40A4-8D83-EA3D0AA34F5A}"/>
    <cellStyle name="Migliaia 28 3 3 5" xfId="24634" xr:uid="{B6AFF956-058A-47C7-81DF-716EF7C441AC}"/>
    <cellStyle name="Migliaia 28 3 3 5 2" xfId="33624" xr:uid="{668B4F84-0120-4281-8050-A417E0E23E74}"/>
    <cellStyle name="Migliaia 28 3 3 5 2 2" xfId="39096" xr:uid="{ECF1B781-A2A9-4597-BD14-A088A8C254AC}"/>
    <cellStyle name="Migliaia 28 3 3 5 2 3" xfId="44398" xr:uid="{F36A0398-CEA6-4490-8AFD-4D7CD5634122}"/>
    <cellStyle name="Migliaia 28 3 3 5 3" xfId="36551" xr:uid="{661C784E-A7C9-42DF-81C3-22B364EE0493}"/>
    <cellStyle name="Migliaia 28 3 3 5 4" xfId="41747" xr:uid="{9C3BAB22-6171-44FB-8161-CC2D5C6AFD24}"/>
    <cellStyle name="Migliaia 28 3 3 6" xfId="33621" xr:uid="{811DF9B5-5EC9-4E7F-839B-DD419480A281}"/>
    <cellStyle name="Migliaia 28 3 3 6 2" xfId="39092" xr:uid="{1902A9AE-65A4-4210-B5DE-4627825F8FD2}"/>
    <cellStyle name="Migliaia 28 3 3 6 3" xfId="44394" xr:uid="{ADFBD8C4-8BEE-4544-A3A6-0431777160E0}"/>
    <cellStyle name="Migliaia 28 3 3 7" xfId="36548" xr:uid="{DAE8D82D-3359-4874-AA2C-BBB0FF56FFD8}"/>
    <cellStyle name="Migliaia 28 3 3 8" xfId="41743" xr:uid="{94250C6C-106A-4959-996E-DDCFFBDCADB0}"/>
    <cellStyle name="Migliaia 28 3 3 9" xfId="16320" xr:uid="{4C4437E4-4750-490E-9BA9-D75D8ECFF07E}"/>
    <cellStyle name="Migliaia 28 3 4" xfId="3432" xr:uid="{BD505E31-2C02-4BA8-89AF-3B679CD6B51F}"/>
    <cellStyle name="Migliaia 28 3 4 2" xfId="5158" xr:uid="{D2E4E562-6D16-4306-A645-3E7395A8F621}"/>
    <cellStyle name="Migliaia 28 3 4 2 2" xfId="14443" xr:uid="{226780A2-E122-4681-9480-D47E34616FAE}"/>
    <cellStyle name="Migliaia 28 3 4 2 3" xfId="18586" xr:uid="{E556D3BD-9363-46A9-B8C7-F0D7F529045C}"/>
    <cellStyle name="Migliaia 28 3 4 2 4" xfId="20268" xr:uid="{25037376-E4AD-43EF-8159-FCB6B18F3379}"/>
    <cellStyle name="Migliaia 28 3 4 2 5" xfId="32355" xr:uid="{123DDAB7-A709-4B75-AB7F-076FC6291D77}"/>
    <cellStyle name="Migliaia 28 3 4 2 6" xfId="16323" xr:uid="{77518F77-3BC4-4628-B40B-5E47F9F6E99C}"/>
    <cellStyle name="Migliaia 28 3 4 2 7" xfId="8866" xr:uid="{1F1EA8BF-E4BE-492D-B639-4FAC1233AD1B}"/>
    <cellStyle name="Migliaia 28 3 4 3" xfId="6362" xr:uid="{28822C15-C593-4201-A5C7-6AFF082DE043}"/>
    <cellStyle name="Migliaia 28 3 4 3 2" xfId="35265" xr:uid="{A8E9223E-8B46-4120-BAD9-93A0E45D035E}"/>
    <cellStyle name="Migliaia 28 3 4 3 2 2" xfId="40425" xr:uid="{F7FF8D31-127F-4D21-BD2E-156343373F3D}"/>
    <cellStyle name="Migliaia 28 3 4 3 2 3" xfId="45727" xr:uid="{4F79F7FA-EA4D-4D48-826E-E3E48A9F1BD9}"/>
    <cellStyle name="Migliaia 28 3 4 3 3" xfId="37774" xr:uid="{766B6B62-7151-4641-B369-7914AE8053DC}"/>
    <cellStyle name="Migliaia 28 3 4 3 4" xfId="43076" xr:uid="{A4F83941-6D6D-4B36-BCDD-F6A729F021E3}"/>
    <cellStyle name="Migliaia 28 3 4 3 5" xfId="13691" xr:uid="{177E13D0-A168-460D-B409-DC6C886DA5CB}"/>
    <cellStyle name="Migliaia 28 3 4 4" xfId="20267" xr:uid="{408147CF-E905-4D2B-8C2F-A439A1F9B357}"/>
    <cellStyle name="Migliaia 28 3 4 4 2" xfId="39097" xr:uid="{24507B34-162E-44CC-89EB-F188470BB85E}"/>
    <cellStyle name="Migliaia 28 3 4 4 3" xfId="44399" xr:uid="{DCBF997F-96C0-425E-8AF1-1FC5ECBF371F}"/>
    <cellStyle name="Migliaia 28 3 4 4 4" xfId="33625" xr:uid="{C59AB990-F752-4AA1-AE58-672ACFFC9505}"/>
    <cellStyle name="Migliaia 28 3 4 5" xfId="36552" xr:uid="{0A0A79C6-4551-4F4D-A5FF-DE1EB2737FD7}"/>
    <cellStyle name="Migliaia 28 3 4 6" xfId="41748" xr:uid="{431A0505-BEC7-4954-853E-006E9A7CDD76}"/>
    <cellStyle name="Migliaia 28 3 4 7" xfId="16322" xr:uid="{85CFD989-87C0-4BEA-B60E-596947E10336}"/>
    <cellStyle name="Migliaia 28 3 4 8" xfId="7676" xr:uid="{68E4BA91-AEF1-4149-94FB-C98D6EBE0CDA}"/>
    <cellStyle name="Migliaia 28 3 5" xfId="3433" xr:uid="{B90F7CD5-D4A7-4D18-920A-CF61C6D1F231}"/>
    <cellStyle name="Migliaia 28 3 5 2" xfId="5159" xr:uid="{F7AE05E4-181B-49AF-B7EB-0D3ADB753796}"/>
    <cellStyle name="Migliaia 28 3 5 2 2" xfId="35266" xr:uid="{AA022E3D-86A3-40D7-9774-68FDB9BA6F97}"/>
    <cellStyle name="Migliaia 28 3 5 2 2 2" xfId="40426" xr:uid="{5ECEEBA0-A307-4318-BD80-AF5C46416E2E}"/>
    <cellStyle name="Migliaia 28 3 5 2 2 3" xfId="45728" xr:uid="{10715DEE-375C-49B7-BF38-93CE2BEF795E}"/>
    <cellStyle name="Migliaia 28 3 5 2 3" xfId="37775" xr:uid="{BA8807F5-5DCA-4288-887F-299E4AEB4E81}"/>
    <cellStyle name="Migliaia 28 3 5 2 4" xfId="43077" xr:uid="{1CEC3472-0024-4EDD-9A22-DA15C4DEF3EB}"/>
    <cellStyle name="Migliaia 28 3 5 2 5" xfId="14241" xr:uid="{0ADF2CBA-BB93-4A1F-AA66-A03F36F62BD1}"/>
    <cellStyle name="Migliaia 28 3 5 3" xfId="6363" xr:uid="{22EF6CBC-BE52-4195-AF67-E91BEFBB9289}"/>
    <cellStyle name="Migliaia 28 3 5 3 2" xfId="39098" xr:uid="{900895EF-0670-4C33-877F-359CFB4F2ECE}"/>
    <cellStyle name="Migliaia 28 3 5 3 3" xfId="44400" xr:uid="{44D67BBB-0BD8-4CAF-BBAF-69C7CBE51944}"/>
    <cellStyle name="Migliaia 28 3 5 3 4" xfId="33626" xr:uid="{565E1EC2-9332-4D16-865C-A3000934E16D}"/>
    <cellStyle name="Migliaia 28 3 5 3 5" xfId="20269" xr:uid="{DB78DA90-51F9-4457-BD0D-4E1F67B98667}"/>
    <cellStyle name="Migliaia 28 3 5 4" xfId="36553" xr:uid="{148EC5F9-B917-4493-A8B8-B5851F2EC27D}"/>
    <cellStyle name="Migliaia 28 3 5 5" xfId="41749" xr:uid="{50F554D4-D53D-4F0C-BA52-0A0541DF461C}"/>
    <cellStyle name="Migliaia 28 3 5 6" xfId="16324" xr:uid="{536828DA-2F08-49CE-9883-B1BAA850CDF8}"/>
    <cellStyle name="Migliaia 28 3 5 7" xfId="8303" xr:uid="{928BD169-78C5-4616-A9F9-067FCCE1C28D}"/>
    <cellStyle name="Migliaia 28 3 6" xfId="5154" xr:uid="{DFA09408-C1F9-4BBF-8D71-3F899CEAA97A}"/>
    <cellStyle name="Migliaia 28 3 6 2" xfId="13946" xr:uid="{29A37834-84F8-4B30-A236-48365BB41C05}"/>
    <cellStyle name="Migliaia 28 3 6 2 2" xfId="39099" xr:uid="{0A207539-4F8E-4957-BF78-7BFC4EC0D1FA}"/>
    <cellStyle name="Migliaia 28 3 6 2 3" xfId="44401" xr:uid="{537E1B2F-7434-4252-B942-C80DBA2DA9B2}"/>
    <cellStyle name="Migliaia 28 3 6 3" xfId="18616" xr:uid="{F90F7915-3D7D-47C0-BA4F-A1F7EC99B421}"/>
    <cellStyle name="Migliaia 28 3 6 4" xfId="20270" xr:uid="{9A75854E-5A30-4E51-B7B8-4B176EF97B44}"/>
    <cellStyle name="Migliaia 28 3 6 4 2" xfId="41750" xr:uid="{60D04780-8FEC-48E1-8A6E-574617161D91}"/>
    <cellStyle name="Migliaia 28 3 6 5" xfId="16325" xr:uid="{2C7809AB-ECC6-4442-9C0F-C9B5C4141E32}"/>
    <cellStyle name="Migliaia 28 3 6 6" xfId="7904" xr:uid="{16C15E32-90EC-4F8A-B2A6-98110621ABCE}"/>
    <cellStyle name="Migliaia 28 3 7" xfId="6358" xr:uid="{BEBFC4C4-14FC-4C17-B221-E07098DEFB3C}"/>
    <cellStyle name="Migliaia 28 3 7 2" xfId="33627" xr:uid="{8E1A2DA2-CEBB-47B0-8C4D-685487B59BC2}"/>
    <cellStyle name="Migliaia 28 3 7 2 2" xfId="39100" xr:uid="{CBF19DDA-6FE9-4714-9AC3-AAAC6A4A799A}"/>
    <cellStyle name="Migliaia 28 3 7 2 3" xfId="44402" xr:uid="{219E282F-9563-4B0A-AE6D-36ACDD6F5B98}"/>
    <cellStyle name="Migliaia 28 3 7 3" xfId="36554" xr:uid="{8B1DAF3E-6AD5-4B8D-A882-0FD798EC8B4F}"/>
    <cellStyle name="Migliaia 28 3 7 4" xfId="41751" xr:uid="{1BA17689-C45F-446E-BC05-17FD6806EC9C}"/>
    <cellStyle name="Migliaia 28 3 7 5" xfId="11221" xr:uid="{4ED738A4-C8F8-4D3D-8528-57AB78280798}"/>
    <cellStyle name="Migliaia 28 3 8" xfId="3428" xr:uid="{F1D597EF-A26F-4B19-A46C-A36DD8AE1B05}"/>
    <cellStyle name="Migliaia 28 3 8 2" xfId="33628" xr:uid="{F428BB3C-5755-424C-8A18-35F4513387AF}"/>
    <cellStyle name="Migliaia 28 3 8 2 2" xfId="39101" xr:uid="{F65C246D-CA2F-4F15-8DC8-16D40230B64B}"/>
    <cellStyle name="Migliaia 28 3 8 2 3" xfId="44403" xr:uid="{4813771E-D246-4D81-BE0E-2801EB6E8CA2}"/>
    <cellStyle name="Migliaia 28 3 8 3" xfId="36555" xr:uid="{C588EB61-010A-45F0-89E0-1453C4A4AA69}"/>
    <cellStyle name="Migliaia 28 3 8 4" xfId="41752" xr:uid="{7D476B74-4B82-4349-9978-74A519CCF932}"/>
    <cellStyle name="Migliaia 28 3 8 5" xfId="24635" xr:uid="{98B55CB4-1ACC-413A-9423-88AB98F982A3}"/>
    <cellStyle name="Migliaia 28 3 8 6" xfId="17367" xr:uid="{945FD555-7356-47F4-A6C1-0B43FD4CFC94}"/>
    <cellStyle name="Migliaia 28 3 9" xfId="20261" xr:uid="{0BA77DF4-6DB4-4596-A839-B904617145C5}"/>
    <cellStyle name="Migliaia 28 4" xfId="1758" xr:uid="{00000000-0005-0000-0000-000079030000}"/>
    <cellStyle name="Migliaia 28 4 2" xfId="1759" xr:uid="{00000000-0005-0000-0000-00007A030000}"/>
    <cellStyle name="Migliaia 28 4 2 2" xfId="5161" xr:uid="{75417B20-6F45-4075-9306-3D3E0584AA3F}"/>
    <cellStyle name="Migliaia 28 4 2 2 2" xfId="33629" xr:uid="{215C63C4-FC99-4383-9A0A-08DFDB86C45F}"/>
    <cellStyle name="Migliaia 28 4 2 2 2 2" xfId="39102" xr:uid="{5482161C-A696-46BB-BA0D-02B9624B8FE8}"/>
    <cellStyle name="Migliaia 28 4 2 2 2 3" xfId="44404" xr:uid="{7DB64A98-BBBC-4016-805F-DE78094E7786}"/>
    <cellStyle name="Migliaia 28 4 2 2 3" xfId="36556" xr:uid="{B8AB32C7-0793-4A06-B5CE-9E88DC66BB96}"/>
    <cellStyle name="Migliaia 28 4 2 2 4" xfId="41753" xr:uid="{A9BA9206-701F-44FE-80BF-CF73375670D8}"/>
    <cellStyle name="Migliaia 28 4 2 2 5" xfId="9148" xr:uid="{3F3F12C7-F5C6-4F54-A9DD-48F47B3E4117}"/>
    <cellStyle name="Migliaia 28 4 2 3" xfId="3435" xr:uid="{7DE7C071-6025-452C-9004-6C62A5C8384B}"/>
    <cellStyle name="Migliaia 28 4 2 3 2" xfId="33630" xr:uid="{6CFCAB35-DFAB-4C1C-8764-4780647850A2}"/>
    <cellStyle name="Migliaia 28 4 2 3 2 2" xfId="39103" xr:uid="{AD5AC386-4B92-488D-A2FD-4DEB0C129243}"/>
    <cellStyle name="Migliaia 28 4 2 3 2 3" xfId="44405" xr:uid="{71ADD20A-7C23-4379-97C5-18D5B2A5E3F3}"/>
    <cellStyle name="Migliaia 28 4 2 3 3" xfId="36557" xr:uid="{B7126EC0-3770-4891-BA26-8B0480484255}"/>
    <cellStyle name="Migliaia 28 4 2 3 4" xfId="41754" xr:uid="{6B8DFA5B-9869-403E-A931-4A0ED4F37D28}"/>
    <cellStyle name="Migliaia 28 4 2 3 5" xfId="11969" xr:uid="{89AE449C-0534-4446-A0BC-60B6D4D6B2B4}"/>
    <cellStyle name="Migliaia 28 4 2 4" xfId="11318" xr:uid="{FADEACE1-BFC5-4237-88DC-A2DAC0AE2FC7}"/>
    <cellStyle name="Migliaia 28 4 2 5" xfId="10836" xr:uid="{3A554F3E-3E7F-45C2-958B-6BC897B9670A}"/>
    <cellStyle name="Migliaia 28 4 2 5 2" xfId="21471" xr:uid="{7C1310D5-E996-49DE-AE9D-7D82119F8381}"/>
    <cellStyle name="Migliaia 28 4 2 5 3" xfId="33087" xr:uid="{72DD4D0B-3AAC-48A0-A438-5B4B12EDDC1F}"/>
    <cellStyle name="Migliaia 28 4 2 5 4" xfId="50486" xr:uid="{5232EC8B-12C4-47B6-9411-050E38FD6F00}"/>
    <cellStyle name="Migliaia 28 4 2 5 5" xfId="53502" xr:uid="{ECEDEC06-616D-4957-A6B0-966568B07061}"/>
    <cellStyle name="Migliaia 28 4 2 6" xfId="20272" xr:uid="{6218ADA5-B3D4-4ACC-B447-94BE8908E5D9}"/>
    <cellStyle name="Migliaia 28 4 2 7" xfId="24637" xr:uid="{73F2023C-22B7-4ED9-A15C-6F45F9C1AC0C}"/>
    <cellStyle name="Migliaia 28 4 2 8" xfId="8604" xr:uid="{99F1C8C0-3EDA-43DD-9B80-8E2CE4A437DD}"/>
    <cellStyle name="Migliaia 28 4 3" xfId="5160" xr:uid="{E7DFEBAC-40D2-41FE-BF31-6119C4210EB4}"/>
    <cellStyle name="Migliaia 28 4 3 2" xfId="18203" xr:uid="{C74BD3E6-937D-4F7B-BF7F-A4DEBB57E0C9}"/>
    <cellStyle name="Migliaia 28 4 3 2 2" xfId="39104" xr:uid="{D4FB547A-776C-48E5-BC4B-4DA3D1B51145}"/>
    <cellStyle name="Migliaia 28 4 3 2 3" xfId="44406" xr:uid="{7B5747A5-34DB-456B-857C-46E548B143A4}"/>
    <cellStyle name="Migliaia 28 4 3 3" xfId="36558" xr:uid="{29CF446C-2AD8-4C0C-8B55-E3A00F81090F}"/>
    <cellStyle name="Migliaia 28 4 3 4" xfId="41755" xr:uid="{186F5C97-CC1B-4682-8F23-06968AB49C4A}"/>
    <cellStyle name="Migliaia 28 4 3 5" xfId="17365" xr:uid="{29DD17DE-1A99-4C04-955A-77798140D044}"/>
    <cellStyle name="Migliaia 28 4 3 6" xfId="9149" xr:uid="{6C0254E8-F416-4114-937A-AD62FEBF1A69}"/>
    <cellStyle name="Migliaia 28 4 4" xfId="6364" xr:uid="{471E6FA1-231E-4DF2-B4A6-44CCC9D652CB}"/>
    <cellStyle name="Migliaia 28 4 4 2" xfId="33631" xr:uid="{C8A52578-FF0E-439E-BADF-F4C75FBE609B}"/>
    <cellStyle name="Migliaia 28 4 4 2 2" xfId="39105" xr:uid="{39A82B29-865A-44C1-B258-5D73DF5D9D29}"/>
    <cellStyle name="Migliaia 28 4 4 2 3" xfId="44407" xr:uid="{7E97C8FF-2EE6-4AED-96C8-A5632BA41B81}"/>
    <cellStyle name="Migliaia 28 4 4 3" xfId="36559" xr:uid="{C8F04E0B-9FFC-4278-9B00-C7850694524E}"/>
    <cellStyle name="Migliaia 28 4 4 4" xfId="41756" xr:uid="{DA8358A7-1891-4AB9-8155-E29187FBFB65}"/>
    <cellStyle name="Migliaia 28 4 4 5" xfId="11970" xr:uid="{1B7CE700-E64E-46F4-8FDA-C8CC95C955A9}"/>
    <cellStyle name="Migliaia 28 4 5" xfId="3434" xr:uid="{E707790E-9AF9-49CD-9964-09B98DBF8619}"/>
    <cellStyle name="Migliaia 28 4 5 2" xfId="33632" xr:uid="{07FA137A-E272-4632-9BC5-40BFD649D092}"/>
    <cellStyle name="Migliaia 28 4 5 2 2" xfId="39106" xr:uid="{51931EE5-E397-4063-87D3-D08C75DAA7AA}"/>
    <cellStyle name="Migliaia 28 4 5 2 3" xfId="44408" xr:uid="{7385FBD8-4645-4DB5-8C44-23FC99EDAA8D}"/>
    <cellStyle name="Migliaia 28 4 5 3" xfId="36560" xr:uid="{370A7395-C2F5-4625-AE0F-1C558B5A1260}"/>
    <cellStyle name="Migliaia 28 4 5 4" xfId="41757" xr:uid="{CF7AB81D-FB60-4273-A908-EBD3FB547360}"/>
    <cellStyle name="Migliaia 28 4 5 5" xfId="11317" xr:uid="{CE36D9C2-F46B-4C32-8324-C3DFAEA62476}"/>
    <cellStyle name="Migliaia 28 4 6" xfId="10835" xr:uid="{CEBBC53D-C78A-47F6-829A-1DF80C8806A8}"/>
    <cellStyle name="Migliaia 28 4 6 2" xfId="21470" xr:uid="{F403EA29-EBBC-4CA3-A1B9-1601C46451A6}"/>
    <cellStyle name="Migliaia 28 4 6 2 2" xfId="39107" xr:uid="{E78E427C-56A3-4482-8265-BFF831C2964D}"/>
    <cellStyle name="Migliaia 28 4 6 2 3" xfId="44409" xr:uid="{4AE1FC0E-52B0-4D77-A89A-1890DDAE5112}"/>
    <cellStyle name="Migliaia 28 4 6 2 4" xfId="33633" xr:uid="{50770B51-E8FF-47AA-A8F8-5487C515E427}"/>
    <cellStyle name="Migliaia 28 4 6 3" xfId="36561" xr:uid="{C9DEFE79-32E4-4F54-B3B2-53FEE9875684}"/>
    <cellStyle name="Migliaia 28 4 6 4" xfId="41758" xr:uid="{3F40B2DD-9173-4330-A29C-381D7D021A24}"/>
    <cellStyle name="Migliaia 28 4 6 5" xfId="24638" xr:uid="{AC63F5EB-ED05-4FFD-A3C6-6974195413EF}"/>
    <cellStyle name="Migliaia 28 4 6 6" xfId="46231" xr:uid="{49F28E48-5AD8-4A40-AE8C-0E49A22BFE28}"/>
    <cellStyle name="Migliaia 28 4 6 7" xfId="50485" xr:uid="{43D3D063-B93C-4F01-BCCB-0DE176CB479E}"/>
    <cellStyle name="Migliaia 28 4 6 8" xfId="53501" xr:uid="{F57C987A-79C4-415D-97AE-C9D1404595E2}"/>
    <cellStyle name="Migliaia 28 4 7" xfId="20271" xr:uid="{8D110CE6-023C-4B41-87C2-A0A03347DF49}"/>
    <cellStyle name="Migliaia 28 4 7 2" xfId="33634" xr:uid="{1658B860-2090-4291-ABD5-70648ECBB0A4}"/>
    <cellStyle name="Migliaia 28 4 7 2 2" xfId="39108" xr:uid="{0701C5BA-0046-45D5-9CD4-ECD250744FC1}"/>
    <cellStyle name="Migliaia 28 4 7 2 3" xfId="44410" xr:uid="{ED88E67D-7FA2-427E-9019-F3D37139BB6A}"/>
    <cellStyle name="Migliaia 28 4 7 3" xfId="36562" xr:uid="{1CFCBB04-0023-4AB1-AEFA-647760B65717}"/>
    <cellStyle name="Migliaia 28 4 7 4" xfId="41759" xr:uid="{E6BC5733-CFEF-46B4-8588-AC7285D28E6B}"/>
    <cellStyle name="Migliaia 28 4 7 5" xfId="24639" xr:uid="{7957FBB3-4041-4AA8-A0E5-2C8C612E653F}"/>
    <cellStyle name="Migliaia 28 4 8" xfId="24636" xr:uid="{0F870787-FAEC-4481-919A-ABDDE458EB73}"/>
    <cellStyle name="Migliaia 28 4 9" xfId="7414" xr:uid="{4FCD7967-763B-4C79-BB9C-4AFB9B73E1FC}"/>
    <cellStyle name="Migliaia 28 5" xfId="1760" xr:uid="{00000000-0005-0000-0000-00007B030000}"/>
    <cellStyle name="Migliaia 28 5 2" xfId="5162" xr:uid="{159B6233-F3A4-4AC2-B2B9-82E43BC6EBD3}"/>
    <cellStyle name="Migliaia 28 5 2 2" xfId="18424" xr:uid="{6DD5C5EB-A752-412F-A738-B15C146FBAEA}"/>
    <cellStyle name="Migliaia 28 5 2 2 2" xfId="39109" xr:uid="{45270A57-6187-41AD-97D8-6AC3D15CF1A0}"/>
    <cellStyle name="Migliaia 28 5 2 2 3" xfId="44411" xr:uid="{F054DA8F-F611-430E-9FE2-E78D9D26239D}"/>
    <cellStyle name="Migliaia 28 5 2 3" xfId="20274" xr:uid="{46E4A2FA-3585-42FA-9BD0-349C34436273}"/>
    <cellStyle name="Migliaia 28 5 2 3 2" xfId="36563" xr:uid="{A7FC400F-6D84-4286-BB07-B4AAE49B82CE}"/>
    <cellStyle name="Migliaia 28 5 2 4" xfId="41760" xr:uid="{DD4E1B6E-79C0-4D97-A8F0-421CB30D3A9F}"/>
    <cellStyle name="Migliaia 28 5 2 5" xfId="16326" xr:uid="{44E9D5DE-5045-4CC0-98F9-18A1C43BEA3E}"/>
    <cellStyle name="Migliaia 28 5 2 6" xfId="8605" xr:uid="{63078F41-4E1A-4A70-8E76-A9A2EB6194E3}"/>
    <cellStyle name="Migliaia 28 5 3" xfId="6365" xr:uid="{66D2C73A-3598-4705-B011-2ECFB47ED849}"/>
    <cellStyle name="Migliaia 28 5 3 2" xfId="33635" xr:uid="{F59804CE-51EC-4BAB-AB74-EF775A417513}"/>
    <cellStyle name="Migliaia 28 5 3 2 2" xfId="39110" xr:uid="{33753813-AC27-418C-86C5-11FBB516AFDD}"/>
    <cellStyle name="Migliaia 28 5 3 2 3" xfId="44412" xr:uid="{59BF4D32-ED53-4B31-8BBE-6E28DE694DC5}"/>
    <cellStyle name="Migliaia 28 5 3 3" xfId="36564" xr:uid="{47674640-D27F-412B-A051-730392CBDE2F}"/>
    <cellStyle name="Migliaia 28 5 3 4" xfId="41761" xr:uid="{516DA9FB-9D22-44A0-92BE-6358096EB504}"/>
    <cellStyle name="Migliaia 28 5 3 5" xfId="11319" xr:uid="{FDDBFDA2-86BB-446C-B873-1A28194B5F1F}"/>
    <cellStyle name="Migliaia 28 5 4" xfId="3436" xr:uid="{9862C6D9-26FC-4A16-A5E1-9E9E771AA485}"/>
    <cellStyle name="Migliaia 28 5 4 2" xfId="21472" xr:uid="{3374E63D-EFC9-40AC-9D6D-80B89E89B102}"/>
    <cellStyle name="Migliaia 28 5 4 2 2" xfId="39111" xr:uid="{30E7845E-3A40-45AE-9350-D706E02CA0F0}"/>
    <cellStyle name="Migliaia 28 5 4 2 3" xfId="44413" xr:uid="{CF210591-F16F-4FE7-BAEF-D83EDCD93170}"/>
    <cellStyle name="Migliaia 28 5 4 2 4" xfId="33636" xr:uid="{047F3D71-A434-49C3-958F-F7ABD468065F}"/>
    <cellStyle name="Migliaia 28 5 4 3" xfId="36565" xr:uid="{73BC6137-68DB-417D-872C-ED9B72B4CAEB}"/>
    <cellStyle name="Migliaia 28 5 4 4" xfId="41762" xr:uid="{2A987050-1A0C-4D09-ABF7-3B5644C7C8CE}"/>
    <cellStyle name="Migliaia 28 5 4 5" xfId="24641" xr:uid="{9BEF5764-B049-4D15-9C2A-284D377A1A0C}"/>
    <cellStyle name="Migliaia 28 5 4 6" xfId="46232" xr:uid="{55EEF0BE-CF4D-4E05-8CFA-81198934FAC4}"/>
    <cellStyle name="Migliaia 28 5 4 7" xfId="50487" xr:uid="{AA9DC4A0-2078-4D8B-B01D-E95918CFFFA7}"/>
    <cellStyle name="Migliaia 28 5 4 8" xfId="53503" xr:uid="{F09BB8E4-6710-49BF-A3F8-F43F0CBAF0C5}"/>
    <cellStyle name="Migliaia 28 5 4 9" xfId="10837" xr:uid="{8492404C-2FDA-462F-A0E3-481FC1D50B89}"/>
    <cellStyle name="Migliaia 28 5 5" xfId="20273" xr:uid="{CB5EB40C-780F-4180-A933-C639A7C1203B}"/>
    <cellStyle name="Migliaia 28 5 5 2" xfId="33637" xr:uid="{2DC821C7-B9D3-4868-829A-F12B69A3E423}"/>
    <cellStyle name="Migliaia 28 5 5 2 2" xfId="39112" xr:uid="{D442CA0C-DFCF-4561-A786-31506FD27A51}"/>
    <cellStyle name="Migliaia 28 5 5 2 3" xfId="44414" xr:uid="{B3FB58ED-83D6-4FDF-99F5-78123880A6DA}"/>
    <cellStyle name="Migliaia 28 5 5 3" xfId="36566" xr:uid="{86818538-BDC9-45A7-842D-E5A17085D1BA}"/>
    <cellStyle name="Migliaia 28 5 5 4" xfId="41763" xr:uid="{0367692E-B459-4D1D-B0AF-94AB441C036A}"/>
    <cellStyle name="Migliaia 28 5 5 5" xfId="24642" xr:uid="{4D778640-BEFC-4E67-B16B-7809EA17A7DD}"/>
    <cellStyle name="Migliaia 28 5 6" xfId="24643" xr:uid="{3A374284-9FF1-4FE7-B83E-A65F667E28A9}"/>
    <cellStyle name="Migliaia 28 5 6 2" xfId="33638" xr:uid="{807EAAB8-4B6C-4795-888F-8E8A272EBCF0}"/>
    <cellStyle name="Migliaia 28 5 6 2 2" xfId="39113" xr:uid="{C0937BDA-1EE9-4BBD-8341-925CD38B7770}"/>
    <cellStyle name="Migliaia 28 5 6 2 3" xfId="44415" xr:uid="{A89F6FAF-547F-45FB-B2D6-8FD02D890E7A}"/>
    <cellStyle name="Migliaia 28 5 6 3" xfId="36567" xr:uid="{4EA6BA91-EABB-4F1F-AB04-6DBDC4407246}"/>
    <cellStyle name="Migliaia 28 5 6 4" xfId="41764" xr:uid="{42562AE3-F4E1-48D9-BC4B-1552B130A68C}"/>
    <cellStyle name="Migliaia 28 5 7" xfId="24640" xr:uid="{F3F0809B-A029-4CF4-BCFB-1D67A26B9E2D}"/>
    <cellStyle name="Migliaia 28 5 8" xfId="7415" xr:uid="{DC640159-CD2D-4A70-A81C-9BEF57F6D7AD}"/>
    <cellStyle name="Migliaia 28 6" xfId="3437" xr:uid="{0B252726-4FFE-4BD2-B9F7-C38FF6956C6F}"/>
    <cellStyle name="Migliaia 28 6 2" xfId="5163" xr:uid="{260DCE48-607C-4AF1-8AB2-31EC4F330DE3}"/>
    <cellStyle name="Migliaia 28 6 2 2" xfId="9921" xr:uid="{AF8308AC-4E11-4B6D-9F8D-F36B438D75DA}"/>
    <cellStyle name="Migliaia 28 6 2 3" xfId="18660" xr:uid="{4F0A6E55-18BC-401A-9857-B0F7564EF78C}"/>
    <cellStyle name="Migliaia 28 6 2 4" xfId="20276" xr:uid="{258E18EA-0CDD-4CC2-92E6-61910191E75D}"/>
    <cellStyle name="Migliaia 28 6 2 5" xfId="32356" xr:uid="{843A6899-52C5-4386-A405-229EB45C8C0F}"/>
    <cellStyle name="Migliaia 28 6 2 6" xfId="16328" xr:uid="{B27FEC98-14FD-4A29-BDF2-1BBF1DD4C2C3}"/>
    <cellStyle name="Migliaia 28 6 2 7" xfId="8600" xr:uid="{6EC84BAB-588F-4847-B7F2-ECCDF40D9483}"/>
    <cellStyle name="Migliaia 28 6 3" xfId="6366" xr:uid="{A7C5DBCA-945C-45B7-8C1C-30797BDA0B80}"/>
    <cellStyle name="Migliaia 28 6 3 2" xfId="35267" xr:uid="{AFB05CF2-F82D-4FDD-A648-9E645125D905}"/>
    <cellStyle name="Migliaia 28 6 3 2 2" xfId="40427" xr:uid="{21FD38D6-2C5F-46E2-B776-27501AEF4E50}"/>
    <cellStyle name="Migliaia 28 6 3 2 3" xfId="45729" xr:uid="{3C7452CD-319F-4E7C-812E-77F6D4B0B34C}"/>
    <cellStyle name="Migliaia 28 6 3 3" xfId="37776" xr:uid="{85C2DA3C-3F29-498B-B189-54CCB49EFB43}"/>
    <cellStyle name="Migliaia 28 6 3 4" xfId="43078" xr:uid="{97F88C23-8EBB-4DE1-9D37-D63AFB926C0A}"/>
    <cellStyle name="Migliaia 28 6 3 5" xfId="9684" xr:uid="{84ADE56D-E7E6-4478-B14E-D95AE69CBDD8}"/>
    <cellStyle name="Migliaia 28 6 4" xfId="20275" xr:uid="{6EE7A360-F5C8-40FE-90DA-1423447B2ED3}"/>
    <cellStyle name="Migliaia 28 6 4 2" xfId="39114" xr:uid="{8832A743-852A-4EB7-9D65-9405B9EF1715}"/>
    <cellStyle name="Migliaia 28 6 4 3" xfId="44416" xr:uid="{BEB3A18F-BA54-45E0-91B1-A448402CCA70}"/>
    <cellStyle name="Migliaia 28 6 4 4" xfId="33639" xr:uid="{F2C44561-C0F7-4684-AD3B-E3F27CFABC8D}"/>
    <cellStyle name="Migliaia 28 6 5" xfId="36568" xr:uid="{AAB77A4A-F964-4A1E-8293-ED9E81D51A21}"/>
    <cellStyle name="Migliaia 28 6 6" xfId="41765" xr:uid="{6B478CF6-8C0A-4572-A32B-07A42E36A880}"/>
    <cellStyle name="Migliaia 28 6 7" xfId="16327" xr:uid="{F8B6DF00-2FBE-4E2C-88C0-BE20E2FF4B1B}"/>
    <cellStyle name="Migliaia 28 6 8" xfId="7410" xr:uid="{913B1337-0E36-4C8F-8A9D-D56470F1A932}"/>
    <cellStyle name="Migliaia 28 7" xfId="3438" xr:uid="{E586C898-F704-4512-8ADF-2754E7957DCA}"/>
    <cellStyle name="Migliaia 28 7 2" xfId="5164" xr:uid="{F7BB5906-BE64-425B-B9A9-538DDF2A2CC4}"/>
    <cellStyle name="Migliaia 28 7 2 2" xfId="35268" xr:uid="{FC262777-9134-484E-B65E-61B908A4D522}"/>
    <cellStyle name="Migliaia 28 7 2 2 2" xfId="40428" xr:uid="{76206A6C-D848-4D6F-801B-A0C1C6F7C68B}"/>
    <cellStyle name="Migliaia 28 7 2 2 3" xfId="45730" xr:uid="{EA483AFB-F782-447D-A496-E0B3404289D4}"/>
    <cellStyle name="Migliaia 28 7 2 3" xfId="37777" xr:uid="{446C8916-86FF-4822-A344-84BBFBAC7CAE}"/>
    <cellStyle name="Migliaia 28 7 2 4" xfId="43079" xr:uid="{EFA56256-C65F-4DB8-AAEB-AE605D238EF5}"/>
    <cellStyle name="Migliaia 28 7 2 5" xfId="14239" xr:uid="{92D7CBFA-74D0-49D4-ABA0-CF41229210AC}"/>
    <cellStyle name="Migliaia 28 7 3" xfId="6367" xr:uid="{FC5658A9-E5FB-4C63-8E3B-81AA64AB1901}"/>
    <cellStyle name="Migliaia 28 7 3 2" xfId="39115" xr:uid="{AA8DBD82-9A12-465F-84A2-1BB54E207375}"/>
    <cellStyle name="Migliaia 28 7 3 3" xfId="44417" xr:uid="{F207C572-D239-46CA-AE51-E9460FFD551D}"/>
    <cellStyle name="Migliaia 28 7 3 4" xfId="33640" xr:uid="{4CA487D7-39BF-4084-AFDD-001967947AEB}"/>
    <cellStyle name="Migliaia 28 7 3 5" xfId="20277" xr:uid="{0CEF377F-B63C-4554-8033-595060C6E462}"/>
    <cellStyle name="Migliaia 28 7 4" xfId="36569" xr:uid="{75561376-AA6C-490F-8405-A18305A03A79}"/>
    <cellStyle name="Migliaia 28 7 5" xfId="41766" xr:uid="{A5D2CF0D-059D-45B4-B761-AC7898AB1E6F}"/>
    <cellStyle name="Migliaia 28 7 6" xfId="16329" xr:uid="{16948469-C8EF-497B-8801-E4370A8192D4}"/>
    <cellStyle name="Migliaia 28 7 7" xfId="8301" xr:uid="{071EF5A6-D5E1-40A8-85BF-DD22C52480E4}"/>
    <cellStyle name="Migliaia 28 8" xfId="3439" xr:uid="{EA94CA0F-F80D-4FE6-BA4C-5382D0870314}"/>
    <cellStyle name="Migliaia 28 8 2" xfId="5165" xr:uid="{18818B8F-AFCC-4B84-84D8-D636A8854EF6}"/>
    <cellStyle name="Migliaia 28 8 2 2" xfId="35269" xr:uid="{87EFF0FA-923F-4DA1-96FA-C9756F30DD61}"/>
    <cellStyle name="Migliaia 28 8 2 2 2" xfId="40429" xr:uid="{D4904BC6-FDBE-4828-882F-86531EC1F69A}"/>
    <cellStyle name="Migliaia 28 8 2 2 3" xfId="45731" xr:uid="{95E71241-4AD1-406E-BAB7-BD60BC0A8DE7}"/>
    <cellStyle name="Migliaia 28 8 2 3" xfId="37778" xr:uid="{63F9E1CC-688E-4CC6-B4D3-C360194EAFF4}"/>
    <cellStyle name="Migliaia 28 8 2 4" xfId="43080" xr:uid="{A8DDD76F-1170-49E0-AFB2-9ADF7C5F904C}"/>
    <cellStyle name="Migliaia 28 8 2 5" xfId="13944" xr:uid="{3A9706CB-6A99-41B8-A281-A3447769D4E1}"/>
    <cellStyle name="Migliaia 28 8 3" xfId="6368" xr:uid="{AC245DBD-9946-47A6-A9FC-E449DCBE4FA6}"/>
    <cellStyle name="Migliaia 28 8 3 2" xfId="39116" xr:uid="{C17C02EA-F3C6-4BE3-B1B9-500F8A48448A}"/>
    <cellStyle name="Migliaia 28 8 3 3" xfId="44418" xr:uid="{81714F90-6631-4CC0-8A9B-1D1576FA8379}"/>
    <cellStyle name="Migliaia 28 8 3 4" xfId="33641" xr:uid="{1E916B1F-A8F5-44CE-A2AD-2440CBCDEC35}"/>
    <cellStyle name="Migliaia 28 8 3 5" xfId="20278" xr:uid="{886A39BB-AAB8-44A0-9D54-28CA0A1F868E}"/>
    <cellStyle name="Migliaia 28 8 4" xfId="36570" xr:uid="{C3D845BD-BB9E-4EB1-969E-539AD1032B59}"/>
    <cellStyle name="Migliaia 28 8 5" xfId="41767" xr:uid="{227737E2-8735-479E-8B88-CA8A7AB639DB}"/>
    <cellStyle name="Migliaia 28 8 6" xfId="16330" xr:uid="{D8293199-1AB2-4E4E-982C-BF68A5DE37E1}"/>
    <cellStyle name="Migliaia 28 8 7" xfId="7902" xr:uid="{21F5C28E-E3E2-4752-AF51-BC3EF0BC2DF8}"/>
    <cellStyle name="Migliaia 28 9" xfId="5150" xr:uid="{60F55851-CEE8-4CEA-995B-9ED9E9D9DF37}"/>
    <cellStyle name="Migliaia 28 9 2" xfId="33642" xr:uid="{FF430C82-033A-4E58-A0E4-29988CB83564}"/>
    <cellStyle name="Migliaia 28 9 2 2" xfId="39117" xr:uid="{0DD07799-EDBE-44A2-B98F-71E34ACFD3AE}"/>
    <cellStyle name="Migliaia 28 9 2 3" xfId="44419" xr:uid="{55030E06-B36F-4841-984E-E89E5A36A2DA}"/>
    <cellStyle name="Migliaia 28 9 3" xfId="36571" xr:uid="{CB6D3669-0178-45DE-88EC-3CB6B47F13A2}"/>
    <cellStyle name="Migliaia 28 9 4" xfId="41768" xr:uid="{054BAE4F-2782-46F4-AF2A-5922F19FF93E}"/>
    <cellStyle name="Migliaia 28 9 5" xfId="17175" xr:uid="{45CE4B4F-70EE-40AF-8D29-60275A43590E}"/>
    <cellStyle name="Migliaia 29" xfId="385" xr:uid="{00000000-0005-0000-0000-00007C030000}"/>
    <cellStyle name="Migliaia 29 10" xfId="6369" xr:uid="{5DA572B4-37A2-419F-909A-9740D3FFDFF1}"/>
    <cellStyle name="Migliaia 29 10 2" xfId="39118" xr:uid="{ED1439F3-EF77-4BEF-BF82-7316E217B195}"/>
    <cellStyle name="Migliaia 29 10 3" xfId="44420" xr:uid="{6B82EFE2-36F5-4DC3-A463-DD94724A420C}"/>
    <cellStyle name="Migliaia 29 10 4" xfId="33643" xr:uid="{91399971-ACD9-483E-8F3A-31CB7D6467E5}"/>
    <cellStyle name="Migliaia 29 10 5" xfId="20279" xr:uid="{EF4FEC3E-3B34-4A46-BE2F-0D7EC83F3626}"/>
    <cellStyle name="Migliaia 29 11" xfId="3440" xr:uid="{2B5290CE-086D-48E5-96B3-E03E106FCE0F}"/>
    <cellStyle name="Migliaia 29 11 2" xfId="36572" xr:uid="{E7D83DC3-9B1E-4E46-A939-52D9EE91AE4F}"/>
    <cellStyle name="Migliaia 29 12" xfId="41769" xr:uid="{A36C63C0-CCB2-4017-8F5C-5142E17723C3}"/>
    <cellStyle name="Migliaia 29 13" xfId="7105" xr:uid="{48C0B92C-0D99-45BB-A67E-A94F4CE4C968}"/>
    <cellStyle name="Migliaia 29 2" xfId="386" xr:uid="{00000000-0005-0000-0000-00007D030000}"/>
    <cellStyle name="Migliaia 29 2 2" xfId="1761" xr:uid="{00000000-0005-0000-0000-00007E030000}"/>
    <cellStyle name="Migliaia 29 2 2 2" xfId="5168" xr:uid="{890A2F55-40A0-4084-84BC-AE815A7870AC}"/>
    <cellStyle name="Migliaia 29 2 2 2 2" xfId="14384" xr:uid="{A51D738D-ED44-4F2B-90BA-72CF5FA87C8A}"/>
    <cellStyle name="Migliaia 29 2 2 2 2 2" xfId="39119" xr:uid="{E8B10F79-06A7-4E34-9BF2-3151DE8279AC}"/>
    <cellStyle name="Migliaia 29 2 2 2 2 3" xfId="44421" xr:uid="{61688823-C05D-4AF4-A174-61236C38DE9F}"/>
    <cellStyle name="Migliaia 29 2 2 2 3" xfId="18425" xr:uid="{4744A27A-061A-4CBC-9E23-7C5D8532911D}"/>
    <cellStyle name="Migliaia 29 2 2 2 4" xfId="20282" xr:uid="{17CDBBD1-E441-41D1-B69D-397469D9CAED}"/>
    <cellStyle name="Migliaia 29 2 2 2 4 2" xfId="41770" xr:uid="{A014141C-0F02-456A-B47D-6ABF5C37CFD3}"/>
    <cellStyle name="Migliaia 29 2 2 2 5" xfId="16331" xr:uid="{3942A991-F20E-4AEE-8896-D8A7B1F2C7A7}"/>
    <cellStyle name="Migliaia 29 2 2 2 6" xfId="8607" xr:uid="{53AD4EB4-E2E0-4A4C-82BD-4CD02E347CD1}"/>
    <cellStyle name="Migliaia 29 2 2 3" xfId="6371" xr:uid="{61F5FD64-74DE-4232-9662-FD77E7687E51}"/>
    <cellStyle name="Migliaia 29 2 2 3 2" xfId="35270" xr:uid="{A090C052-F46E-4E30-8EDC-A479D59E1D1A}"/>
    <cellStyle name="Migliaia 29 2 2 3 2 2" xfId="40430" xr:uid="{F6549988-EE22-4FE0-9B9E-C3FB0BC4543B}"/>
    <cellStyle name="Migliaia 29 2 2 3 2 3" xfId="45732" xr:uid="{F05E7F43-4505-4413-8F4A-89A57AA6F472}"/>
    <cellStyle name="Migliaia 29 2 2 3 3" xfId="37779" xr:uid="{6DAD7FF1-588E-4BC8-80F0-D4F718B73B40}"/>
    <cellStyle name="Migliaia 29 2 2 3 4" xfId="43081" xr:uid="{D8A14051-D25B-41A3-87E6-4A2596AB9176}"/>
    <cellStyle name="Migliaia 29 2 2 3 5" xfId="11611" xr:uid="{1738730E-B0EF-4E91-A985-C5643E5ACA7F}"/>
    <cellStyle name="Migliaia 29 2 2 4" xfId="3442" xr:uid="{A06B0D5B-17B8-41D6-8EC2-31549F026093}"/>
    <cellStyle name="Migliaia 29 2 2 4 2" xfId="21473" xr:uid="{13C1C232-CD75-43B2-AA20-BB1A5CC1835A}"/>
    <cellStyle name="Migliaia 29 2 2 4 3" xfId="47304" xr:uid="{641CBABD-5986-4BA5-BD53-205776D85863}"/>
    <cellStyle name="Migliaia 29 2 2 4 4" xfId="50488" xr:uid="{AB04A36A-FF9A-44FE-AA30-5F7D35EA2199}"/>
    <cellStyle name="Migliaia 29 2 2 4 5" xfId="53504" xr:uid="{A2CCEF75-6BAA-4CFE-B501-38DBBAC0075E}"/>
    <cellStyle name="Migliaia 29 2 2 4 6" xfId="10838" xr:uid="{AACA91C2-80CA-4F14-BF82-AD7C8A87BBCD}"/>
    <cellStyle name="Migliaia 29 2 2 5" xfId="20281" xr:uid="{C5BAAE18-EA8F-410E-B4DC-F8CA2B10E768}"/>
    <cellStyle name="Migliaia 29 2 2 6" xfId="24649" xr:uid="{4F6EDFE2-7FC8-4FAB-8B37-3E56E9BA30A4}"/>
    <cellStyle name="Migliaia 29 2 2 7" xfId="7417" xr:uid="{61113212-4377-4F31-80C7-DBC15998D41F}"/>
    <cellStyle name="Migliaia 29 2 3" xfId="3443" xr:uid="{51EFBF20-25F8-4D37-B3EA-744C7A1EE731}"/>
    <cellStyle name="Migliaia 29 2 3 2" xfId="5169" xr:uid="{FE5826B0-34AB-4310-83CE-80A19397918C}"/>
    <cellStyle name="Migliaia 29 2 3 2 2" xfId="35271" xr:uid="{D70D9AE4-9357-46A5-A6C7-B12FD4B55CCB}"/>
    <cellStyle name="Migliaia 29 2 3 2 2 2" xfId="40431" xr:uid="{4C99124B-30DF-4115-B101-60C38816E41B}"/>
    <cellStyle name="Migliaia 29 2 3 2 2 3" xfId="45733" xr:uid="{1BEF036D-87F7-442A-8D8F-76C67EF1C27C}"/>
    <cellStyle name="Migliaia 29 2 3 2 3" xfId="37780" xr:uid="{4A6B50AD-3AB3-48BB-ADCE-10E3B8535786}"/>
    <cellStyle name="Migliaia 29 2 3 2 4" xfId="43082" xr:uid="{1D4FC9E2-ED67-49C4-8697-AA920E806765}"/>
    <cellStyle name="Migliaia 29 2 3 2 5" xfId="14243" xr:uid="{E4EB266F-6653-4E88-B4A7-CEF8CBC550DE}"/>
    <cellStyle name="Migliaia 29 2 3 3" xfId="6372" xr:uid="{2E3B0C0C-7F19-4A81-8B92-0A0B984FC20E}"/>
    <cellStyle name="Migliaia 29 2 3 3 2" xfId="39120" xr:uid="{76406725-38DE-4E2C-932C-BED88D4E0A48}"/>
    <cellStyle name="Migliaia 29 2 3 3 3" xfId="44422" xr:uid="{E96F551A-BEFA-4334-AF83-41329F079C68}"/>
    <cellStyle name="Migliaia 29 2 3 3 4" xfId="33645" xr:uid="{1959B196-2FBB-44EF-BC7D-B1A1A9B60346}"/>
    <cellStyle name="Migliaia 29 2 3 3 5" xfId="20283" xr:uid="{41F4AD3C-ECD3-4086-8BCE-F832D4AA4165}"/>
    <cellStyle name="Migliaia 29 2 3 4" xfId="36574" xr:uid="{A8702349-E472-42ED-BA88-0BA292CB9C73}"/>
    <cellStyle name="Migliaia 29 2 3 5" xfId="41771" xr:uid="{88CBB353-473F-4F43-B730-1D6FDC82B493}"/>
    <cellStyle name="Migliaia 29 2 3 6" xfId="16332" xr:uid="{008C6A8A-4626-479A-A8C2-B207FA2B0FB6}"/>
    <cellStyle name="Migliaia 29 2 3 7" xfId="8305" xr:uid="{AFECF113-315D-4C2C-8234-07F97807C76D}"/>
    <cellStyle name="Migliaia 29 2 4" xfId="5167" xr:uid="{734F62F9-20AA-47C7-ADD6-3768B2027D09}"/>
    <cellStyle name="Migliaia 29 2 4 2" xfId="13948" xr:uid="{88063174-73D9-45AD-877D-27B68A935E82}"/>
    <cellStyle name="Migliaia 29 2 4 2 2" xfId="39121" xr:uid="{F6923A83-7E6B-433F-8C95-758C93DEC335}"/>
    <cellStyle name="Migliaia 29 2 4 2 3" xfId="44423" xr:uid="{94902E1E-56DE-42BD-982F-E832A303A090}"/>
    <cellStyle name="Migliaia 29 2 4 3" xfId="18713" xr:uid="{FABD78FF-EB97-4106-BE70-E05669BF16AE}"/>
    <cellStyle name="Migliaia 29 2 4 4" xfId="20284" xr:uid="{3EC99A73-983E-4709-870A-F2DA6E8C769B}"/>
    <cellStyle name="Migliaia 29 2 4 4 2" xfId="41772" xr:uid="{FD0D5878-391D-46F6-8851-9E1187EBFBDF}"/>
    <cellStyle name="Migliaia 29 2 4 5" xfId="16333" xr:uid="{3921215E-7B62-4888-8023-509E345E0268}"/>
    <cellStyle name="Migliaia 29 2 4 6" xfId="7907" xr:uid="{7EA2DD91-5100-4BD2-8FFC-D767639E05F2}"/>
    <cellStyle name="Migliaia 29 2 5" xfId="6370" xr:uid="{D95A097B-4DF8-47E9-B31E-9E180421288F}"/>
    <cellStyle name="Migliaia 29 2 5 2" xfId="33647" xr:uid="{872A797D-2496-4F52-B7AF-11C37765AFB1}"/>
    <cellStyle name="Migliaia 29 2 5 2 2" xfId="39122" xr:uid="{18B8B0D4-A1BE-4AD0-8E0B-ACD904CC5C0F}"/>
    <cellStyle name="Migliaia 29 2 5 2 3" xfId="44424" xr:uid="{4B9E969B-D70F-4255-ADEB-E8788B97C1E6}"/>
    <cellStyle name="Migliaia 29 2 5 3" xfId="36576" xr:uid="{9898E74D-3CD6-428E-A890-7800E3CEDD16}"/>
    <cellStyle name="Migliaia 29 2 5 4" xfId="41773" xr:uid="{9768E69E-E436-4976-8126-D1934E57B02D}"/>
    <cellStyle name="Migliaia 29 2 5 5" xfId="13124" xr:uid="{09A4C1F6-07AF-43BF-A88F-8E73E28C0547}"/>
    <cellStyle name="Migliaia 29 2 6" xfId="3441" xr:uid="{DB0BAA3D-BF31-4143-8ED5-D9930494DAEC}"/>
    <cellStyle name="Migliaia 29 2 6 2" xfId="33648" xr:uid="{CC420300-E58B-4978-8DFA-AFC6EDCE8E2E}"/>
    <cellStyle name="Migliaia 29 2 6 2 2" xfId="39123" xr:uid="{4480853C-D4E9-4BC4-B8DE-078D0E221897}"/>
    <cellStyle name="Migliaia 29 2 6 2 3" xfId="44425" xr:uid="{3471F18F-AD41-4B04-BCDE-4A3D27D46E1C}"/>
    <cellStyle name="Migliaia 29 2 6 3" xfId="36577" xr:uid="{49A34BB4-CF7C-4536-821D-E212ED9EF3FA}"/>
    <cellStyle name="Migliaia 29 2 6 4" xfId="41774" xr:uid="{6A9A396F-4AE7-47F1-A8E5-175115EC9401}"/>
    <cellStyle name="Migliaia 29 2 6 5" xfId="24654" xr:uid="{8E1CDE09-A601-415A-8127-B621D493977E}"/>
    <cellStyle name="Migliaia 29 2 6 6" xfId="20280" xr:uid="{A840B898-F43B-4CDA-863D-74350FBD4F05}"/>
    <cellStyle name="Migliaia 29 2 7" xfId="24648" xr:uid="{6DD29526-4BF2-4D0D-85D3-DB1FC46DE762}"/>
    <cellStyle name="Migliaia 29 2 8" xfId="7106" xr:uid="{4FE5ADB3-14E5-4A23-956E-F07482A38076}"/>
    <cellStyle name="Migliaia 29 3" xfId="387" xr:uid="{00000000-0005-0000-0000-00007F030000}"/>
    <cellStyle name="Migliaia 29 3 10" xfId="24655" xr:uid="{42073B73-6203-4A1B-BEA9-70C21A1E756A}"/>
    <cellStyle name="Migliaia 29 3 11" xfId="16334" xr:uid="{1A0186E6-D2AD-4F05-9534-D004BBA68C5C}"/>
    <cellStyle name="Migliaia 29 3 12" xfId="7107" xr:uid="{C1D19B5C-7BAC-475D-A6D8-948CDC4AB809}"/>
    <cellStyle name="Migliaia 29 3 2" xfId="388" xr:uid="{00000000-0005-0000-0000-000080030000}"/>
    <cellStyle name="Migliaia 29 3 2 2" xfId="1762" xr:uid="{00000000-0005-0000-0000-000081030000}"/>
    <cellStyle name="Migliaia 29 3 2 2 2" xfId="5172" xr:uid="{260B070E-7B95-4358-894E-6A38E4D19B62}"/>
    <cellStyle name="Migliaia 29 3 2 2 2 2" xfId="18426" xr:uid="{49330F34-1957-419C-91FC-97535D613591}"/>
    <cellStyle name="Migliaia 29 3 2 2 2 2 2" xfId="21862" xr:uid="{5EFCDEDE-B610-4FD6-8305-9D45F383C3EA}"/>
    <cellStyle name="Migliaia 29 3 2 2 2 2 2 2" xfId="39124" xr:uid="{5185C7B1-BA38-47EA-82F6-FA869D9EB8CF}"/>
    <cellStyle name="Migliaia 29 3 2 2 2 2 3" xfId="44426" xr:uid="{CECFCDE3-2F65-4910-A20B-83A5682A8AF7}"/>
    <cellStyle name="Migliaia 29 3 2 2 2 2 4" xfId="33649" xr:uid="{722DED4B-067F-4B9B-B198-A9978794368F}"/>
    <cellStyle name="Migliaia 29 3 2 2 2 3" xfId="36578" xr:uid="{AE82A918-9888-4338-9CE3-7841BCD8E7CC}"/>
    <cellStyle name="Migliaia 29 3 2 2 2 4" xfId="41775" xr:uid="{3B0CBA89-5616-4644-856F-4AE9402E80D3}"/>
    <cellStyle name="Migliaia 29 3 2 2 2 5" xfId="37182" xr:uid="{51BAA089-0E46-4996-AF94-BB8E6A91EF6E}"/>
    <cellStyle name="Migliaia 29 3 2 2 2 6" xfId="50890" xr:uid="{FE1D3D66-6536-4BF4-8AC3-04C02F640E16}"/>
    <cellStyle name="Migliaia 29 3 2 2 2 7" xfId="53906" xr:uid="{C70433D1-85EC-4C86-91B9-F13B386DE9BD}"/>
    <cellStyle name="Migliaia 29 3 2 2 2 8" xfId="17659" xr:uid="{4FD350B7-80B2-4B69-A003-E4DEDFB7A05E}"/>
    <cellStyle name="Migliaia 29 3 2 2 2 9" xfId="11971" xr:uid="{2B335AB9-88B5-4531-8795-0CA1B6F855DC}"/>
    <cellStyle name="Migliaia 29 3 2 2 3" xfId="6375" xr:uid="{D6412154-2C0F-40E8-BA0B-8B8D919C433E}"/>
    <cellStyle name="Migliaia 29 3 2 2 3 2" xfId="12172" xr:uid="{314FCF80-2DCA-4258-A12B-1E2982CCC293}"/>
    <cellStyle name="Migliaia 29 3 2 2 4" xfId="3446" xr:uid="{46A5978C-EAEA-4962-9D81-60BBAE0EEF12}"/>
    <cellStyle name="Migliaia 29 3 2 2 4 2" xfId="21474" xr:uid="{CB5655B9-005C-45AE-BE08-50BFAF0F3FDE}"/>
    <cellStyle name="Migliaia 29 3 2 2 4 3" xfId="46233" xr:uid="{DFCC46BA-ECC1-45DA-9BE7-514FE00E8032}"/>
    <cellStyle name="Migliaia 29 3 2 2 4 4" xfId="50489" xr:uid="{8B7DD466-6E1D-46B9-BA9E-1A15E9C41B6C}"/>
    <cellStyle name="Migliaia 29 3 2 2 4 5" xfId="53505" xr:uid="{80043744-BF8B-41CB-81CC-95F6DC9796B6}"/>
    <cellStyle name="Migliaia 29 3 2 2 4 6" xfId="10839" xr:uid="{D7B72B15-9FD8-47B0-B283-FD5404C4A688}"/>
    <cellStyle name="Migliaia 29 3 2 2 5" xfId="20287" xr:uid="{26FB8279-FA09-4E90-8050-44A9515110BE}"/>
    <cellStyle name="Migliaia 29 3 2 2 6" xfId="24657" xr:uid="{10D33E84-757D-4E61-94DA-934719068726}"/>
    <cellStyle name="Migliaia 29 3 2 2 7" xfId="8609" xr:uid="{071A15EE-7BF7-4C70-88ED-2895E9326118}"/>
    <cellStyle name="Migliaia 29 3 2 3" xfId="5171" xr:uid="{83B9E806-760D-44E1-9BA8-653253EFE34D}"/>
    <cellStyle name="Migliaia 29 3 2 3 2" xfId="12226" xr:uid="{7656D13D-1E42-4C27-93D6-7DE2ADA29D0A}"/>
    <cellStyle name="Migliaia 29 3 2 3 2 2" xfId="39125" xr:uid="{439A6BB1-2B87-425E-ADAB-D0978A7A8BAB}"/>
    <cellStyle name="Migliaia 29 3 2 3 2 3" xfId="44427" xr:uid="{937699BA-DBF5-4A6A-8C5B-9049D7A20750}"/>
    <cellStyle name="Migliaia 29 3 2 3 2 4" xfId="33650" xr:uid="{A47092FD-7481-4758-B49F-2C13B4827EA8}"/>
    <cellStyle name="Migliaia 29 3 2 3 3" xfId="11972" xr:uid="{6C0ACBC1-398E-4816-BDFA-DB0D95B6F605}"/>
    <cellStyle name="Migliaia 29 3 2 3 4" xfId="20288" xr:uid="{95B10522-2493-49F7-B80D-18B548581728}"/>
    <cellStyle name="Migliaia 29 3 2 3 4 2" xfId="41776" xr:uid="{D23F8B73-F300-41CE-919C-C3E4EEE76A0A}"/>
    <cellStyle name="Migliaia 29 3 2 3 5" xfId="16335" xr:uid="{A32D9A30-2B0A-40C3-8C3A-51056397D4D3}"/>
    <cellStyle name="Migliaia 29 3 2 3 6" xfId="7909" xr:uid="{6D6FE1AE-0832-44CC-839D-27F341E1BD2E}"/>
    <cellStyle name="Migliaia 29 3 2 4" xfId="6374" xr:uid="{8ABFEA3E-AF18-401D-A675-30F35CED3387}"/>
    <cellStyle name="Migliaia 29 3 2 4 2" xfId="18078" xr:uid="{FE31D278-CBF8-48A4-B6DE-8388E132D32C}"/>
    <cellStyle name="Migliaia 29 3 2 4 2 2" xfId="39126" xr:uid="{C6372932-DAF1-4475-B09B-52024C717B99}"/>
    <cellStyle name="Migliaia 29 3 2 4 2 3" xfId="44428" xr:uid="{1B9E5006-299B-4474-AFDE-7FF16C332C97}"/>
    <cellStyle name="Migliaia 29 3 2 4 3" xfId="36580" xr:uid="{E3FE853C-4BD6-4A66-80CC-CF14014A9607}"/>
    <cellStyle name="Migliaia 29 3 2 4 4" xfId="41777" xr:uid="{CC9AEF32-66C7-452F-B2E9-A78E75A1494B}"/>
    <cellStyle name="Migliaia 29 3 2 4 5" xfId="17178" xr:uid="{268C14F5-DB51-4E3B-869B-F6FC7EAF364A}"/>
    <cellStyle name="Migliaia 29 3 2 4 6" xfId="11320" xr:uid="{CBD603D5-271C-4E22-9DF7-FC381E182248}"/>
    <cellStyle name="Migliaia 29 3 2 5" xfId="3445" xr:uid="{E2654E4C-0781-4B97-9ACE-B31392E0C1B7}"/>
    <cellStyle name="Migliaia 29 3 2 5 2" xfId="33652" xr:uid="{4A0187D3-8191-4FFE-95ED-A6C702286840}"/>
    <cellStyle name="Migliaia 29 3 2 5 2 2" xfId="39127" xr:uid="{0EAB0A68-78D2-44CA-BD06-BA8A5702BA26}"/>
    <cellStyle name="Migliaia 29 3 2 5 2 3" xfId="44429" xr:uid="{9AF9C024-2BD6-4A4B-BF57-69C113DE5411}"/>
    <cellStyle name="Migliaia 29 3 2 5 3" xfId="36581" xr:uid="{A43C867F-1663-4671-9F70-AC97A7F6D40D}"/>
    <cellStyle name="Migliaia 29 3 2 5 4" xfId="41778" xr:uid="{877B4D9D-256D-4206-BE68-2BE0FD17A9AF}"/>
    <cellStyle name="Migliaia 29 3 2 5 5" xfId="17363" xr:uid="{FE506EBC-6F3F-4EB6-A90D-460362B87A3C}"/>
    <cellStyle name="Migliaia 29 3 2 6" xfId="20286" xr:uid="{68375D5E-B985-48A3-AFC8-8694A6E6BAF2}"/>
    <cellStyle name="Migliaia 29 3 2 6 2" xfId="33653" xr:uid="{0D5D98E6-C5B4-4022-9BA7-BB25B4781D3B}"/>
    <cellStyle name="Migliaia 29 3 2 6 2 2" xfId="39128" xr:uid="{3287811B-1BEE-4CB0-80B8-71356036657D}"/>
    <cellStyle name="Migliaia 29 3 2 6 2 3" xfId="44430" xr:uid="{2C99A426-F474-464E-BE33-B93F98AA26B3}"/>
    <cellStyle name="Migliaia 29 3 2 6 3" xfId="36582" xr:uid="{40C8471A-2230-4E1C-A3A4-A4C79A67F281}"/>
    <cellStyle name="Migliaia 29 3 2 6 4" xfId="41779" xr:uid="{C77682C9-D3C4-41D0-A563-9385B74C1805}"/>
    <cellStyle name="Migliaia 29 3 2 6 5" xfId="24661" xr:uid="{C33E61CE-FFD4-4E95-BC67-0A0BEBB1BA0F}"/>
    <cellStyle name="Migliaia 29 3 2 7" xfId="24656" xr:uid="{3A42DE76-FA55-474B-9163-A890D8B5B9FA}"/>
    <cellStyle name="Migliaia 29 3 2 8" xfId="7419" xr:uid="{1CB38FDD-4804-4DFE-AEC8-8496CDC8BD09}"/>
    <cellStyle name="Migliaia 29 3 3" xfId="3447" xr:uid="{ABA789F2-60FC-4525-9CF5-6609113353A5}"/>
    <cellStyle name="Migliaia 29 3 3 10" xfId="7418" xr:uid="{0D46523B-9913-4C00-9B07-BBCE4DCBAF6C}"/>
    <cellStyle name="Migliaia 29 3 3 2" xfId="5173" xr:uid="{D432C9A2-49D3-4148-A97B-42531334A7A1}"/>
    <cellStyle name="Migliaia 29 3 3 2 2" xfId="9924" xr:uid="{F5DC9049-7F62-46D9-91A4-151B3A45C2DC}"/>
    <cellStyle name="Migliaia 29 3 3 2 2 2" xfId="39130" xr:uid="{42609D27-9BCB-4716-B402-430521C30CDB}"/>
    <cellStyle name="Migliaia 29 3 3 2 2 3" xfId="44432" xr:uid="{0AA06AA1-4309-42F2-BE3F-5B80D207E7C9}"/>
    <cellStyle name="Migliaia 29 3 3 2 3" xfId="18204" xr:uid="{DDDF8A43-501E-4FA2-BB25-F5354D55F458}"/>
    <cellStyle name="Migliaia 29 3 3 2 4" xfId="20290" xr:uid="{01DD19A4-7D66-4877-BD88-3C2638494EEC}"/>
    <cellStyle name="Migliaia 29 3 3 2 4 2" xfId="41781" xr:uid="{21B9027A-6C77-46E2-9DF3-AF0F5A51B958}"/>
    <cellStyle name="Migliaia 29 3 3 2 5" xfId="16337" xr:uid="{6D9479B4-3A8D-4E3B-88E2-0A7F854DC269}"/>
    <cellStyle name="Migliaia 29 3 3 2 6" xfId="8608" xr:uid="{8C186B9C-93DF-40EC-9E47-A937235D5D1C}"/>
    <cellStyle name="Migliaia 29 3 3 3" xfId="6376" xr:uid="{777A27CC-2127-4966-938D-A80A4DA87C9B}"/>
    <cellStyle name="Migliaia 29 3 3 3 2" xfId="33656" xr:uid="{257FD7CE-AD66-467A-8CAF-2420B71BA1B3}"/>
    <cellStyle name="Migliaia 29 3 3 3 2 2" xfId="39131" xr:uid="{963E6880-06ED-4012-A295-FC1C13E9C732}"/>
    <cellStyle name="Migliaia 29 3 3 3 2 3" xfId="44433" xr:uid="{BF63CD30-113F-4CE1-A3C5-B86E30E4B45E}"/>
    <cellStyle name="Migliaia 29 3 3 3 3" xfId="36585" xr:uid="{1697C82E-BB84-49A8-9ADE-A10D47F55D8E}"/>
    <cellStyle name="Migliaia 29 3 3 3 4" xfId="41782" xr:uid="{A334D6BB-51A5-4827-BD16-26CABCB90E78}"/>
    <cellStyle name="Migliaia 29 3 3 3 5" xfId="9687" xr:uid="{6154FB6F-FE22-4534-8C15-02E309AF153B}"/>
    <cellStyle name="Migliaia 29 3 3 4" xfId="20289" xr:uid="{A2A2BBF0-5C65-4093-A8FC-367A2B109E19}"/>
    <cellStyle name="Migliaia 29 3 3 4 2" xfId="33657" xr:uid="{6B07E2C5-1DAD-488E-BFA1-812847DCEC74}"/>
    <cellStyle name="Migliaia 29 3 3 4 2 2" xfId="39132" xr:uid="{AE3579C4-70CE-47FD-A1C0-DAA2F0F0D2FC}"/>
    <cellStyle name="Migliaia 29 3 3 4 2 3" xfId="44434" xr:uid="{33615C41-25BA-457D-A1C7-3E34695A3D35}"/>
    <cellStyle name="Migliaia 29 3 3 4 3" xfId="36586" xr:uid="{301D5FFF-0B81-4231-B0B1-6420247EED4E}"/>
    <cellStyle name="Migliaia 29 3 3 4 4" xfId="41783" xr:uid="{25AC8D33-9BA4-4605-9CEE-DB11EF5314DE}"/>
    <cellStyle name="Migliaia 29 3 3 4 5" xfId="24665" xr:uid="{01F8985E-0E2F-45EA-8CD5-8CAD7DA8853C}"/>
    <cellStyle name="Migliaia 29 3 3 5" xfId="24666" xr:uid="{A0D078F5-703A-46C0-AA54-8C29973405F8}"/>
    <cellStyle name="Migliaia 29 3 3 5 2" xfId="33658" xr:uid="{8CD406BC-2ABA-4E32-9BBB-F98682AFC3C7}"/>
    <cellStyle name="Migliaia 29 3 3 5 2 2" xfId="39133" xr:uid="{A0753C65-83C3-450D-BF50-3311FCFF641F}"/>
    <cellStyle name="Migliaia 29 3 3 5 2 3" xfId="44435" xr:uid="{94839D9F-1A7F-4F5C-A175-AC363B80C295}"/>
    <cellStyle name="Migliaia 29 3 3 5 3" xfId="36587" xr:uid="{E408B51B-6968-4676-A7E3-08FF9F5CB48A}"/>
    <cellStyle name="Migliaia 29 3 3 5 4" xfId="41784" xr:uid="{75F1DDB5-7BAD-440C-9C97-7364FCE18B38}"/>
    <cellStyle name="Migliaia 29 3 3 6" xfId="33654" xr:uid="{09A16B8D-B484-4615-B8FC-869D120257D4}"/>
    <cellStyle name="Migliaia 29 3 3 6 2" xfId="39129" xr:uid="{D5129C6C-294A-4E29-93AB-5DE8E65BD701}"/>
    <cellStyle name="Migliaia 29 3 3 6 3" xfId="44431" xr:uid="{AB2F358C-93B4-4DE3-8DD2-0EBA0C6B829A}"/>
    <cellStyle name="Migliaia 29 3 3 7" xfId="36583" xr:uid="{313A07C9-7D4A-4FC1-8558-201034E1CA47}"/>
    <cellStyle name="Migliaia 29 3 3 8" xfId="41780" xr:uid="{3E41E2CA-F683-4C2B-A156-5FB54C56D7DC}"/>
    <cellStyle name="Migliaia 29 3 3 9" xfId="16336" xr:uid="{5191F1D0-AC52-4103-8523-1BBE9A7898E2}"/>
    <cellStyle name="Migliaia 29 3 4" xfId="3448" xr:uid="{8162A16E-25B5-4DC2-AA5F-CA02DD6348D4}"/>
    <cellStyle name="Migliaia 29 3 4 2" xfId="5174" xr:uid="{6A98F8EE-2AF5-4809-8A0F-7BA345D3886C}"/>
    <cellStyle name="Migliaia 29 3 4 2 2" xfId="14444" xr:uid="{685F4061-9BF2-4B14-8076-7CED014090BB}"/>
    <cellStyle name="Migliaia 29 3 4 2 3" xfId="18128" xr:uid="{7BA07D46-66AA-4E32-957A-5E9F95C2CC2E}"/>
    <cellStyle name="Migliaia 29 3 4 2 4" xfId="20292" xr:uid="{7140C89E-A664-4992-9165-FEF253680E90}"/>
    <cellStyle name="Migliaia 29 3 4 2 5" xfId="32361" xr:uid="{8046D521-FFEE-4690-97BB-A1E647BDA337}"/>
    <cellStyle name="Migliaia 29 3 4 2 6" xfId="16339" xr:uid="{21A0E546-20DA-4EC0-A0D2-C62F92F8F528}"/>
    <cellStyle name="Migliaia 29 3 4 2 7" xfId="8867" xr:uid="{0A4BA835-7897-48F7-9281-510BEBC420E0}"/>
    <cellStyle name="Migliaia 29 3 4 3" xfId="6377" xr:uid="{93943A8C-46BE-4D71-B537-5B3EF2A4CA13}"/>
    <cellStyle name="Migliaia 29 3 4 3 2" xfId="35272" xr:uid="{8964D405-A68E-47B9-B2A3-649EB278871A}"/>
    <cellStyle name="Migliaia 29 3 4 3 2 2" xfId="40432" xr:uid="{0DE3DCB9-AA68-4C9C-8EA1-54BA4C7762A6}"/>
    <cellStyle name="Migliaia 29 3 4 3 2 3" xfId="45734" xr:uid="{293A2586-CF33-4AC8-A1BD-9BDD2270B5C9}"/>
    <cellStyle name="Migliaia 29 3 4 3 3" xfId="37781" xr:uid="{B846B3F9-4276-4968-8146-2F6792639F07}"/>
    <cellStyle name="Migliaia 29 3 4 3 4" xfId="43083" xr:uid="{B8C18B62-6458-431E-B010-31DADDA4218B}"/>
    <cellStyle name="Migliaia 29 3 4 3 5" xfId="13692" xr:uid="{1A197C7C-7553-40AD-BA72-FE5E26289C19}"/>
    <cellStyle name="Migliaia 29 3 4 4" xfId="20291" xr:uid="{32E8616A-6A81-425C-BB56-35B65B38EAD3}"/>
    <cellStyle name="Migliaia 29 3 4 4 2" xfId="39134" xr:uid="{1333D8B4-3A99-48E6-A085-75632F84EE1D}"/>
    <cellStyle name="Migliaia 29 3 4 4 3" xfId="44436" xr:uid="{69DBD17F-0695-4297-ABB6-E3FC2F3A9C20}"/>
    <cellStyle name="Migliaia 29 3 4 4 4" xfId="33659" xr:uid="{31C77C86-DF26-49B5-B5A9-57E4BF7E1C3A}"/>
    <cellStyle name="Migliaia 29 3 4 5" xfId="36588" xr:uid="{D5DE1ED8-0F48-4779-A11D-77DC7161CA16}"/>
    <cellStyle name="Migliaia 29 3 4 6" xfId="41785" xr:uid="{C1779736-3E57-449E-8520-B448F37A6DC4}"/>
    <cellStyle name="Migliaia 29 3 4 7" xfId="16338" xr:uid="{E92D3A95-7637-4F38-9310-C5434161D5A4}"/>
    <cellStyle name="Migliaia 29 3 4 8" xfId="7677" xr:uid="{4C4EC414-6BA1-48B2-BD4E-81E1569F8032}"/>
    <cellStyle name="Migliaia 29 3 5" xfId="3449" xr:uid="{219E1B18-81FD-4F1E-B52F-65779816BAD5}"/>
    <cellStyle name="Migliaia 29 3 5 2" xfId="5175" xr:uid="{2765D042-7764-4CB6-B18B-76A338DC9BB4}"/>
    <cellStyle name="Migliaia 29 3 5 2 2" xfId="35273" xr:uid="{83C979E1-0157-4F66-A401-3BA35D20B828}"/>
    <cellStyle name="Migliaia 29 3 5 2 2 2" xfId="40433" xr:uid="{1709C51B-8CF7-4E7C-BE9B-E9BF18F56009}"/>
    <cellStyle name="Migliaia 29 3 5 2 2 3" xfId="45735" xr:uid="{7552D444-7292-49F6-8591-50E79B9A291F}"/>
    <cellStyle name="Migliaia 29 3 5 2 3" xfId="37782" xr:uid="{348ED54C-A194-4188-8938-99B16119C085}"/>
    <cellStyle name="Migliaia 29 3 5 2 4" xfId="43084" xr:uid="{8266A16A-B465-4F15-B162-19928C333297}"/>
    <cellStyle name="Migliaia 29 3 5 2 5" xfId="14244" xr:uid="{B4A8FDCF-A130-4321-A6DE-45EF3E9FD12A}"/>
    <cellStyle name="Migliaia 29 3 5 3" xfId="6378" xr:uid="{796CDDB2-2A41-4AE0-B571-B5E8B2C64FC7}"/>
    <cellStyle name="Migliaia 29 3 5 3 2" xfId="39135" xr:uid="{7DA36C51-68EF-4878-B74F-DBA8E1CD9166}"/>
    <cellStyle name="Migliaia 29 3 5 3 3" xfId="44437" xr:uid="{8CE4DAF2-9F3D-4768-8EA0-6D5F17F1A97E}"/>
    <cellStyle name="Migliaia 29 3 5 3 4" xfId="33660" xr:uid="{ACEF66A2-F9FD-46D3-87A8-69F556796169}"/>
    <cellStyle name="Migliaia 29 3 5 3 5" xfId="20293" xr:uid="{2D90E764-1585-4874-A12A-55D55F9F9883}"/>
    <cellStyle name="Migliaia 29 3 5 4" xfId="36589" xr:uid="{B37C0E76-B15B-4A60-BC64-0BD18E916F8D}"/>
    <cellStyle name="Migliaia 29 3 5 5" xfId="41786" xr:uid="{F00A2F87-3982-4ACA-93BC-392AAE841DEE}"/>
    <cellStyle name="Migliaia 29 3 5 6" xfId="16340" xr:uid="{9681FB92-6980-433B-9C78-6B1753F5B662}"/>
    <cellStyle name="Migliaia 29 3 5 7" xfId="8306" xr:uid="{791720D3-07B2-42CB-B9B3-AEF8F29E04F2}"/>
    <cellStyle name="Migliaia 29 3 6" xfId="5170" xr:uid="{B8E04CA0-997B-4107-AE14-FDC4F7A1AA99}"/>
    <cellStyle name="Migliaia 29 3 6 2" xfId="13949" xr:uid="{4706C9DB-ECE2-4487-9EC0-24C4D0D931B6}"/>
    <cellStyle name="Migliaia 29 3 6 2 2" xfId="39136" xr:uid="{27F2474A-E354-4355-BA26-6B67BF2DF92A}"/>
    <cellStyle name="Migliaia 29 3 6 2 3" xfId="44438" xr:uid="{8FFAE310-47CA-4613-B4BB-AA421966ACF3}"/>
    <cellStyle name="Migliaia 29 3 6 3" xfId="18615" xr:uid="{A7C3FCB3-FC80-4CC3-BEE2-4BDB1BAA027F}"/>
    <cellStyle name="Migliaia 29 3 6 4" xfId="20294" xr:uid="{5B676BE1-9B3D-457D-8291-F8E8C974DDB0}"/>
    <cellStyle name="Migliaia 29 3 6 4 2" xfId="41787" xr:uid="{92189192-E4F6-411A-8BA1-772D3C12E15C}"/>
    <cellStyle name="Migliaia 29 3 6 5" xfId="16341" xr:uid="{224B2E6C-ED16-4A3A-A57B-02CB5B0CF27C}"/>
    <cellStyle name="Migliaia 29 3 6 6" xfId="7908" xr:uid="{94C8E2C8-1AD2-40A0-A541-F1D73E5330D0}"/>
    <cellStyle name="Migliaia 29 3 7" xfId="6373" xr:uid="{24910854-5CD3-44ED-BD5D-894D3E9AB8EC}"/>
    <cellStyle name="Migliaia 29 3 7 2" xfId="33662" xr:uid="{EDED50B2-63F9-405E-A388-D86832A952F3}"/>
    <cellStyle name="Migliaia 29 3 7 2 2" xfId="39137" xr:uid="{DE5AAE5E-5D71-4862-AEEC-598028716F0F}"/>
    <cellStyle name="Migliaia 29 3 7 2 3" xfId="44439" xr:uid="{06106029-5D8B-41A9-889B-BB9DC832D5A9}"/>
    <cellStyle name="Migliaia 29 3 7 3" xfId="36591" xr:uid="{A5661C2E-818E-4BC0-B9CA-AAB97044B42F}"/>
    <cellStyle name="Migliaia 29 3 7 4" xfId="41788" xr:uid="{20D39BA0-6A4C-4CF0-B656-7EFBC8528556}"/>
    <cellStyle name="Migliaia 29 3 7 5" xfId="12439" xr:uid="{AB1983F1-CA95-45FE-85BB-F245B57F0A7C}"/>
    <cellStyle name="Migliaia 29 3 8" xfId="3444" xr:uid="{84E432AE-61F4-4D84-B055-B96A2E694DE8}"/>
    <cellStyle name="Migliaia 29 3 8 2" xfId="33663" xr:uid="{65110D03-6ACA-4A50-B5B2-7F6DF4B2F858}"/>
    <cellStyle name="Migliaia 29 3 8 2 2" xfId="39138" xr:uid="{A409336E-8E4E-4804-92AF-1A2E5D63E327}"/>
    <cellStyle name="Migliaia 29 3 8 2 3" xfId="44440" xr:uid="{8F13A761-9E23-4EAA-8E8C-620525F24E98}"/>
    <cellStyle name="Migliaia 29 3 8 3" xfId="36592" xr:uid="{A3116037-CC4B-4C3A-BAB8-8CB6A6F2574D}"/>
    <cellStyle name="Migliaia 29 3 8 4" xfId="41789" xr:uid="{F7F56DC1-2273-4466-B47F-15226CB61A1E}"/>
    <cellStyle name="Migliaia 29 3 8 5" xfId="24671" xr:uid="{91A161C9-A92D-435C-ADBA-732506648BFE}"/>
    <cellStyle name="Migliaia 29 3 8 6" xfId="17364" xr:uid="{BA601865-D7AA-4B58-895C-7F733E3D1BE0}"/>
    <cellStyle name="Migliaia 29 3 9" xfId="20285" xr:uid="{15976879-E0D6-4059-857A-D054A892AAB8}"/>
    <cellStyle name="Migliaia 29 4" xfId="1763" xr:uid="{00000000-0005-0000-0000-000082030000}"/>
    <cellStyle name="Migliaia 29 4 2" xfId="1764" xr:uid="{00000000-0005-0000-0000-000083030000}"/>
    <cellStyle name="Migliaia 29 4 2 2" xfId="5177" xr:uid="{489AB39B-575C-465D-BE99-673C520DAB0A}"/>
    <cellStyle name="Migliaia 29 4 2 2 2" xfId="33664" xr:uid="{B7199E80-A572-4A9D-9085-E500D52D6C6E}"/>
    <cellStyle name="Migliaia 29 4 2 2 2 2" xfId="39139" xr:uid="{403C258F-DA0E-4829-96D6-0A4D99941ADE}"/>
    <cellStyle name="Migliaia 29 4 2 2 2 3" xfId="44441" xr:uid="{59F30819-7C26-401F-96A0-FDEAE2F29DE4}"/>
    <cellStyle name="Migliaia 29 4 2 2 3" xfId="36593" xr:uid="{D1C85ADC-7818-4CB0-A2A1-B5F21B68B0EA}"/>
    <cellStyle name="Migliaia 29 4 2 2 4" xfId="41790" xr:uid="{EDD8E457-1227-4ED4-9C92-3580CF03C2D1}"/>
    <cellStyle name="Migliaia 29 4 2 2 5" xfId="9150" xr:uid="{B29D1F06-674D-4883-8071-1F0278FEBF41}"/>
    <cellStyle name="Migliaia 29 4 2 3" xfId="3451" xr:uid="{90B720E3-36E3-42DA-90A1-5A77EE020990}"/>
    <cellStyle name="Migliaia 29 4 2 3 2" xfId="33665" xr:uid="{EBCEB99D-B440-4215-98B8-0CED9DB6F088}"/>
    <cellStyle name="Migliaia 29 4 2 3 2 2" xfId="39140" xr:uid="{B81E6F8A-925E-4A18-894B-A6931C0C88A9}"/>
    <cellStyle name="Migliaia 29 4 2 3 2 3" xfId="44442" xr:uid="{1493983B-9C99-4DF2-903B-5B3A4A8B1A11}"/>
    <cellStyle name="Migliaia 29 4 2 3 3" xfId="36594" xr:uid="{A3CF3847-D3CC-4F18-AA6B-0D3131D5A794}"/>
    <cellStyle name="Migliaia 29 4 2 3 4" xfId="41791" xr:uid="{5E4CC0CC-D81C-42A7-9B44-1B32651A7221}"/>
    <cellStyle name="Migliaia 29 4 2 3 5" xfId="11973" xr:uid="{37812942-B9DC-4F6E-8FB6-16CB0CA7B995}"/>
    <cellStyle name="Migliaia 29 4 2 4" xfId="11322" xr:uid="{037F01A7-B65F-4C8D-8511-A9478F41FB2E}"/>
    <cellStyle name="Migliaia 29 4 2 5" xfId="10841" xr:uid="{915543E0-EF17-405F-99C4-C92463DDE023}"/>
    <cellStyle name="Migliaia 29 4 2 5 2" xfId="21476" xr:uid="{B0CF6DFF-B07C-4B8B-A077-47D6C6DF8657}"/>
    <cellStyle name="Migliaia 29 4 2 5 3" xfId="48176" xr:uid="{F1325C76-4AA7-4141-91CD-A822A56F22AB}"/>
    <cellStyle name="Migliaia 29 4 2 5 4" xfId="50491" xr:uid="{89F1F8AF-9EE7-4807-A26F-D65235D98032}"/>
    <cellStyle name="Migliaia 29 4 2 5 5" xfId="53507" xr:uid="{1747EA3A-A444-4A0B-90E7-D2876525DE66}"/>
    <cellStyle name="Migliaia 29 4 2 6" xfId="20296" xr:uid="{B3D39034-2E0C-4129-B1B7-EDE919948C42}"/>
    <cellStyle name="Migliaia 29 4 2 7" xfId="24673" xr:uid="{777939FA-D8C5-4DDE-8745-8CF2840B8E1D}"/>
    <cellStyle name="Migliaia 29 4 2 8" xfId="8610" xr:uid="{76FB8C16-CFA4-4662-AD3C-C5FB2B3FC5AD}"/>
    <cellStyle name="Migliaia 29 4 3" xfId="5176" xr:uid="{33B1B44F-86EF-4F15-A667-5914CADC13C2}"/>
    <cellStyle name="Migliaia 29 4 3 2" xfId="18205" xr:uid="{8FBC36EE-CAC2-4371-AC4A-8613EF3EC278}"/>
    <cellStyle name="Migliaia 29 4 3 2 2" xfId="39141" xr:uid="{75298055-F6FE-4750-9A3F-C985D882E0AF}"/>
    <cellStyle name="Migliaia 29 4 3 2 3" xfId="44443" xr:uid="{0B52080D-5F52-4F78-88A4-00468373BCDF}"/>
    <cellStyle name="Migliaia 29 4 3 3" xfId="36595" xr:uid="{49B92880-84DE-4C66-AA5C-309A04010F65}"/>
    <cellStyle name="Migliaia 29 4 3 4" xfId="41792" xr:uid="{3DB93DD4-437B-4F4F-B494-600BEB0008BA}"/>
    <cellStyle name="Migliaia 29 4 3 5" xfId="17362" xr:uid="{704576A9-51BC-4894-8DE0-86B61872F5CD}"/>
    <cellStyle name="Migliaia 29 4 3 6" xfId="9151" xr:uid="{09750FA8-8D7E-42A8-85F7-9C718E2B0EBB}"/>
    <cellStyle name="Migliaia 29 4 4" xfId="6379" xr:uid="{148B2728-95A8-4D91-963C-371F14AF3B40}"/>
    <cellStyle name="Migliaia 29 4 4 2" xfId="33666" xr:uid="{5A6A65C0-7D0B-4C63-8002-90F6097CFD01}"/>
    <cellStyle name="Migliaia 29 4 4 2 2" xfId="39142" xr:uid="{DAA0AA16-0021-45F8-9A99-408B73117646}"/>
    <cellStyle name="Migliaia 29 4 4 2 3" xfId="44444" xr:uid="{2E0D6259-0114-4A9C-875C-09C804781467}"/>
    <cellStyle name="Migliaia 29 4 4 3" xfId="36596" xr:uid="{8A833D0D-3349-4E59-ABBC-BF6A4CA481A5}"/>
    <cellStyle name="Migliaia 29 4 4 4" xfId="41793" xr:uid="{826C4106-2A3C-4BEB-8188-C43A42F95A45}"/>
    <cellStyle name="Migliaia 29 4 4 5" xfId="11974" xr:uid="{B87522AA-0F30-4FC8-93D5-935407C79000}"/>
    <cellStyle name="Migliaia 29 4 5" xfId="3450" xr:uid="{11C77F87-365D-4F8D-A5CE-F6CBB9AA50CE}"/>
    <cellStyle name="Migliaia 29 4 5 2" xfId="33667" xr:uid="{9541CE79-D2F9-4A38-9194-D91D20BCD718}"/>
    <cellStyle name="Migliaia 29 4 5 2 2" xfId="39143" xr:uid="{10BA2601-ED5B-46C9-AEEB-96C2B7312762}"/>
    <cellStyle name="Migliaia 29 4 5 2 3" xfId="44445" xr:uid="{9F2CF4B6-A1EB-4DDA-982D-1E727282820B}"/>
    <cellStyle name="Migliaia 29 4 5 3" xfId="36597" xr:uid="{2558F2FC-3B7E-4239-BD1E-FE044F818345}"/>
    <cellStyle name="Migliaia 29 4 5 4" xfId="41794" xr:uid="{FC3F7E41-8D7B-4BDB-94A0-52647FDEAD95}"/>
    <cellStyle name="Migliaia 29 4 5 5" xfId="11321" xr:uid="{D60D67EB-2971-4103-87C1-C60725D3B9DE}"/>
    <cellStyle name="Migliaia 29 4 6" xfId="10840" xr:uid="{3F55463A-0359-4DC3-B3C6-913322CFCFF9}"/>
    <cellStyle name="Migliaia 29 4 6 2" xfId="21475" xr:uid="{4825A04E-A2C2-4055-9972-E5EACC326EE7}"/>
    <cellStyle name="Migliaia 29 4 6 2 2" xfId="39144" xr:uid="{287A637B-6929-4478-803C-2C42F3E07ED4}"/>
    <cellStyle name="Migliaia 29 4 6 2 3" xfId="44446" xr:uid="{80F3F584-5969-465C-9F1A-CE637C4B77A2}"/>
    <cellStyle name="Migliaia 29 4 6 2 4" xfId="33668" xr:uid="{C42362FD-D828-4276-9A46-7AC5D1C65692}"/>
    <cellStyle name="Migliaia 29 4 6 3" xfId="36598" xr:uid="{09B3482A-17E0-4E1E-8BE6-C983857CA50F}"/>
    <cellStyle name="Migliaia 29 4 6 4" xfId="41795" xr:uid="{6503639E-0123-447A-BD6B-5532DEDF38CA}"/>
    <cellStyle name="Migliaia 29 4 6 5" xfId="24675" xr:uid="{6B9638D3-2197-4B3C-8D3A-28221C3C7DD5}"/>
    <cellStyle name="Migliaia 29 4 6 6" xfId="46234" xr:uid="{BD795293-4261-407F-A9DE-3E6630A68593}"/>
    <cellStyle name="Migliaia 29 4 6 7" xfId="50490" xr:uid="{142CA20E-3D35-4BAB-AD8F-F7570B0F8B6E}"/>
    <cellStyle name="Migliaia 29 4 6 8" xfId="53506" xr:uid="{6FE5626B-0357-4318-B67F-8E78CD2690E2}"/>
    <cellStyle name="Migliaia 29 4 7" xfId="20295" xr:uid="{EDCD21C8-BC5A-41B2-84C5-A8F91346A64F}"/>
    <cellStyle name="Migliaia 29 4 7 2" xfId="33669" xr:uid="{9926E038-F4BC-4BCF-B37E-4960F46548F5}"/>
    <cellStyle name="Migliaia 29 4 7 2 2" xfId="39145" xr:uid="{B5C7B8B8-C793-4ABE-A7CF-4A5DF2E89285}"/>
    <cellStyle name="Migliaia 29 4 7 2 3" xfId="44447" xr:uid="{72E39CFB-A430-4A2F-841E-9740159E6BE5}"/>
    <cellStyle name="Migliaia 29 4 7 3" xfId="36599" xr:uid="{E53A8E49-FFA3-48AF-9AE1-D3330D7A258C}"/>
    <cellStyle name="Migliaia 29 4 7 4" xfId="41796" xr:uid="{E9C0280F-697B-411A-89E0-252E0731A78C}"/>
    <cellStyle name="Migliaia 29 4 7 5" xfId="24676" xr:uid="{75FFDDD9-C558-4B9B-8AC9-94398B78AD7D}"/>
    <cellStyle name="Migliaia 29 4 8" xfId="24672" xr:uid="{6C2638DD-E2CE-4AE5-AEC0-92A4C73B96C6}"/>
    <cellStyle name="Migliaia 29 4 9" xfId="7420" xr:uid="{0923C317-3829-4F4A-8E28-FA8863C6B731}"/>
    <cellStyle name="Migliaia 29 5" xfId="1765" xr:uid="{00000000-0005-0000-0000-000084030000}"/>
    <cellStyle name="Migliaia 29 5 2" xfId="5178" xr:uid="{D07D7AAB-0A7A-4093-9E1B-382EF3C3F5ED}"/>
    <cellStyle name="Migliaia 29 5 2 2" xfId="18427" xr:uid="{4098AAC9-9DF0-4347-A8E1-A17FFDA97375}"/>
    <cellStyle name="Migliaia 29 5 2 2 2" xfId="39146" xr:uid="{67F96401-4C24-4A47-B7BF-911B27577412}"/>
    <cellStyle name="Migliaia 29 5 2 2 3" xfId="44448" xr:uid="{79628122-1A1B-4638-A812-F190D3E98545}"/>
    <cellStyle name="Migliaia 29 5 2 3" xfId="20298" xr:uid="{06CF43DF-9613-4171-9B1E-78E60C7ECABA}"/>
    <cellStyle name="Migliaia 29 5 2 3 2" xfId="36600" xr:uid="{D4FA2693-6A54-4CB9-8F82-416AD9F7DB89}"/>
    <cellStyle name="Migliaia 29 5 2 4" xfId="41797" xr:uid="{42AE6E2F-8504-40A1-B4CE-809F9C50A9E3}"/>
    <cellStyle name="Migliaia 29 5 2 5" xfId="16342" xr:uid="{90047B98-EED1-4750-B26B-EEF9C1B5A2FF}"/>
    <cellStyle name="Migliaia 29 5 2 6" xfId="8611" xr:uid="{37860D81-29D0-4D93-97D3-1C2547B7E909}"/>
    <cellStyle name="Migliaia 29 5 3" xfId="6380" xr:uid="{FAD1B0D8-3578-418D-AD9F-6F214FA5BBD2}"/>
    <cellStyle name="Migliaia 29 5 3 2" xfId="33670" xr:uid="{72583E71-7A67-4998-BA70-F4C6C48844B4}"/>
    <cellStyle name="Migliaia 29 5 3 2 2" xfId="39147" xr:uid="{D171BE9A-A373-4C66-A917-7EACCD33CB94}"/>
    <cellStyle name="Migliaia 29 5 3 2 3" xfId="44449" xr:uid="{E8B638F6-FCB0-427B-809A-7182EC8B5002}"/>
    <cellStyle name="Migliaia 29 5 3 3" xfId="36601" xr:uid="{A7378991-31D0-4CD1-9B13-E2DB630C7A01}"/>
    <cellStyle name="Migliaia 29 5 3 4" xfId="41798" xr:uid="{2F7F50C0-5058-4D17-9EBE-7331484BF894}"/>
    <cellStyle name="Migliaia 29 5 3 5" xfId="11323" xr:uid="{19071276-9F42-41A6-8534-2A844E8F2BA3}"/>
    <cellStyle name="Migliaia 29 5 4" xfId="3452" xr:uid="{994890B5-71A9-45FF-B2FE-4B89929905D3}"/>
    <cellStyle name="Migliaia 29 5 4 2" xfId="21477" xr:uid="{C543CCA4-254F-46CC-8568-02CA91EA03F3}"/>
    <cellStyle name="Migliaia 29 5 4 2 2" xfId="39148" xr:uid="{6A6BAAF6-95B9-4570-9966-4E45EB6D27CD}"/>
    <cellStyle name="Migliaia 29 5 4 2 3" xfId="44450" xr:uid="{C7284892-1182-49C6-83FE-E2B30997407D}"/>
    <cellStyle name="Migliaia 29 5 4 2 4" xfId="33671" xr:uid="{99B76904-23AB-49F5-AFCC-B7984832F04B}"/>
    <cellStyle name="Migliaia 29 5 4 3" xfId="36602" xr:uid="{888C4B73-EB77-4E49-B2A9-95DE0050369B}"/>
    <cellStyle name="Migliaia 29 5 4 4" xfId="41799" xr:uid="{AD9AA23E-6567-47A7-B7EC-E148802F5168}"/>
    <cellStyle name="Migliaia 29 5 4 5" xfId="24678" xr:uid="{72ADE0C0-2AB5-4A74-93B0-F51AABDA5681}"/>
    <cellStyle name="Migliaia 29 5 4 6" xfId="48472" xr:uid="{5A71595E-9E62-47CB-9BE2-BA0613505591}"/>
    <cellStyle name="Migliaia 29 5 4 7" xfId="50492" xr:uid="{DF145F7D-821C-4304-9B49-1C2DDD34DCF1}"/>
    <cellStyle name="Migliaia 29 5 4 8" xfId="53508" xr:uid="{65B0DF59-5C40-45E6-BC74-D5C071BCAB40}"/>
    <cellStyle name="Migliaia 29 5 4 9" xfId="10842" xr:uid="{3163544B-A0CF-4222-8C03-70DE86357D8F}"/>
    <cellStyle name="Migliaia 29 5 5" xfId="20297" xr:uid="{579096DC-5A00-4A0F-A8F4-D02F577BF3D4}"/>
    <cellStyle name="Migliaia 29 5 5 2" xfId="33672" xr:uid="{46C1B75D-082D-4DF3-8FF4-9EC07D604A16}"/>
    <cellStyle name="Migliaia 29 5 5 2 2" xfId="39149" xr:uid="{BBA24701-23B6-4FB5-8B2A-739062AB1107}"/>
    <cellStyle name="Migliaia 29 5 5 2 3" xfId="44451" xr:uid="{DAB1DF31-269F-4219-88B2-9397C7033188}"/>
    <cellStyle name="Migliaia 29 5 5 3" xfId="36603" xr:uid="{AD02F36D-ED8A-4A1E-838E-C17F5018CCC9}"/>
    <cellStyle name="Migliaia 29 5 5 4" xfId="41800" xr:uid="{C3CB7424-23BB-4831-BC4D-CE86FA4AA7F9}"/>
    <cellStyle name="Migliaia 29 5 5 5" xfId="24679" xr:uid="{72BC0242-D5FD-499B-8988-636A3B8539B4}"/>
    <cellStyle name="Migliaia 29 5 6" xfId="24680" xr:uid="{160816D1-8F27-4C25-9E8B-F5B0B7183C7A}"/>
    <cellStyle name="Migliaia 29 5 6 2" xfId="33673" xr:uid="{7E4DF78E-7FD9-4ECD-8438-BD0A86DB064F}"/>
    <cellStyle name="Migliaia 29 5 6 2 2" xfId="39150" xr:uid="{240E325F-9E86-488A-952F-BDB218F52111}"/>
    <cellStyle name="Migliaia 29 5 6 2 3" xfId="44452" xr:uid="{ACAC6B6E-E7A6-4242-9B20-EA0607CF0350}"/>
    <cellStyle name="Migliaia 29 5 6 3" xfId="36604" xr:uid="{2AE20A6E-DA99-4754-8931-DD485DA55E8F}"/>
    <cellStyle name="Migliaia 29 5 6 4" xfId="41801" xr:uid="{5C0E28C0-30C5-4E1F-B96A-F4691825643B}"/>
    <cellStyle name="Migliaia 29 5 7" xfId="24677" xr:uid="{98491B99-B8B3-4AB1-8384-40887B76BFB2}"/>
    <cellStyle name="Migliaia 29 5 8" xfId="7421" xr:uid="{4A975BB3-E9E2-4553-8843-9B41EDF1834B}"/>
    <cellStyle name="Migliaia 29 6" xfId="3453" xr:uid="{42E2504B-779B-4617-85B4-282925262739}"/>
    <cellStyle name="Migliaia 29 6 2" xfId="5179" xr:uid="{33E586B7-CBA1-4E46-A4A2-159CEB82E88B}"/>
    <cellStyle name="Migliaia 29 6 2 2" xfId="9923" xr:uid="{6C52C279-56B4-4133-81DE-09C018A5AAC5}"/>
    <cellStyle name="Migliaia 29 6 2 3" xfId="18659" xr:uid="{BE877BDE-731D-4DB6-A50E-4876A5C150E4}"/>
    <cellStyle name="Migliaia 29 6 2 4" xfId="20300" xr:uid="{BB9949C9-267D-43F8-8032-C34028016B52}"/>
    <cellStyle name="Migliaia 29 6 2 5" xfId="32364" xr:uid="{7D0ACEA9-344B-44C0-BDAF-65323DA1909C}"/>
    <cellStyle name="Migliaia 29 6 2 6" xfId="16344" xr:uid="{41BA8D72-0017-4BD3-BFC1-A0C9D2D2D0C3}"/>
    <cellStyle name="Migliaia 29 6 2 7" xfId="8606" xr:uid="{5A9ACBFB-BA6D-403C-AB72-D3F2BCEF6379}"/>
    <cellStyle name="Migliaia 29 6 3" xfId="6381" xr:uid="{E61381CA-E10D-4A9C-BB99-12C328F39E18}"/>
    <cellStyle name="Migliaia 29 6 3 2" xfId="35274" xr:uid="{E11F2515-3D61-4392-9A0A-79C6667E095E}"/>
    <cellStyle name="Migliaia 29 6 3 2 2" xfId="40434" xr:uid="{B8E4A909-5F4B-4620-B86A-24CC52CBC9EB}"/>
    <cellStyle name="Migliaia 29 6 3 2 3" xfId="45736" xr:uid="{2732C5DF-EC2A-4822-BDF6-AC848B1FCDF3}"/>
    <cellStyle name="Migliaia 29 6 3 3" xfId="37783" xr:uid="{3E583034-A9D3-4B83-A5FB-15FA5C24F29F}"/>
    <cellStyle name="Migliaia 29 6 3 4" xfId="43085" xr:uid="{0B08499A-35C3-433D-B1C4-FBC3E7C85996}"/>
    <cellStyle name="Migliaia 29 6 3 5" xfId="9686" xr:uid="{385322EC-FEEE-4068-A24F-89234561774B}"/>
    <cellStyle name="Migliaia 29 6 4" xfId="20299" xr:uid="{8A3D44E2-518A-4D8D-AEB8-1DEA4A9990C3}"/>
    <cellStyle name="Migliaia 29 6 4 2" xfId="39151" xr:uid="{96E63835-8EE7-4A61-A92C-066329A5ECDC}"/>
    <cellStyle name="Migliaia 29 6 4 3" xfId="44453" xr:uid="{C6186D51-B5E9-4AED-8B86-9AA66192046F}"/>
    <cellStyle name="Migliaia 29 6 4 4" xfId="33674" xr:uid="{D6FE80CA-3FEB-4694-8B18-AD2BD6F86C0F}"/>
    <cellStyle name="Migliaia 29 6 5" xfId="36605" xr:uid="{2BAE10C3-DC79-49A9-9C7B-87FC714FC57E}"/>
    <cellStyle name="Migliaia 29 6 6" xfId="41802" xr:uid="{CCF8826D-C686-44D0-B230-587D620C8CF0}"/>
    <cellStyle name="Migliaia 29 6 7" xfId="16343" xr:uid="{35F273A1-076E-4234-9AE4-6EF271E0EB5E}"/>
    <cellStyle name="Migliaia 29 6 8" xfId="7416" xr:uid="{4145016F-0C0F-449E-9D6C-3973F5F27F51}"/>
    <cellStyle name="Migliaia 29 7" xfId="3454" xr:uid="{DFAC4F73-3D12-40DF-88A3-714ECFB2BEAE}"/>
    <cellStyle name="Migliaia 29 7 2" xfId="5180" xr:uid="{B6A56B2C-EFD1-45E4-ACB8-5F9EE987A60A}"/>
    <cellStyle name="Migliaia 29 7 2 2" xfId="35275" xr:uid="{8CC75454-51CE-4CB7-AEE7-DBAF2866CA18}"/>
    <cellStyle name="Migliaia 29 7 2 2 2" xfId="40435" xr:uid="{C85611D8-2255-4132-BF17-E5A0362083A5}"/>
    <cellStyle name="Migliaia 29 7 2 2 3" xfId="45737" xr:uid="{8E468975-ECC3-4B8B-AC88-832C5D585369}"/>
    <cellStyle name="Migliaia 29 7 2 3" xfId="37784" xr:uid="{D840EC3B-8153-4307-8FF0-5EEEE5C7A08F}"/>
    <cellStyle name="Migliaia 29 7 2 4" xfId="43086" xr:uid="{0E9D6D08-F949-4390-97F5-C265F34E8102}"/>
    <cellStyle name="Migliaia 29 7 2 5" xfId="14242" xr:uid="{BDA20B87-0027-424E-A435-31842275FEEF}"/>
    <cellStyle name="Migliaia 29 7 3" xfId="6382" xr:uid="{15C29B07-B919-46E9-90FE-412E981884FA}"/>
    <cellStyle name="Migliaia 29 7 3 2" xfId="39152" xr:uid="{B2944A00-C4CC-44AD-AAA9-D90868135E0B}"/>
    <cellStyle name="Migliaia 29 7 3 3" xfId="44454" xr:uid="{7F1622D9-A97F-4772-B2B0-DD0DE5BB4683}"/>
    <cellStyle name="Migliaia 29 7 3 4" xfId="33675" xr:uid="{C6B83406-395A-4F6C-9FF7-D8557B1C20E9}"/>
    <cellStyle name="Migliaia 29 7 3 5" xfId="20301" xr:uid="{01E212CF-5D8D-471E-B70A-18887AF5AE37}"/>
    <cellStyle name="Migliaia 29 7 4" xfId="36606" xr:uid="{A90B1102-83EE-4780-9C81-4D581FA319E9}"/>
    <cellStyle name="Migliaia 29 7 5" xfId="41803" xr:uid="{200149B7-69BA-4A35-82E9-7002F011D336}"/>
    <cellStyle name="Migliaia 29 7 6" xfId="16345" xr:uid="{A754B70E-3366-491A-BC19-E7DF5FB34D0F}"/>
    <cellStyle name="Migliaia 29 7 7" xfId="8304" xr:uid="{0D6E2347-396C-4243-A95E-171E6D65CBF7}"/>
    <cellStyle name="Migliaia 29 8" xfId="3455" xr:uid="{4B7EBD5E-50E8-44EA-B936-C50D1BA09A4C}"/>
    <cellStyle name="Migliaia 29 8 2" xfId="5181" xr:uid="{60B5E92A-A574-40C2-8DE9-C8BC77A3069E}"/>
    <cellStyle name="Migliaia 29 8 2 2" xfId="35276" xr:uid="{2647F6E9-E665-4BCE-870B-BFB3A053818E}"/>
    <cellStyle name="Migliaia 29 8 2 2 2" xfId="40436" xr:uid="{A838046E-CA93-4342-9D9B-DBD23B79D5E0}"/>
    <cellStyle name="Migliaia 29 8 2 2 3" xfId="45738" xr:uid="{7576940C-A3A0-4DB3-A72A-F618CA67648A}"/>
    <cellStyle name="Migliaia 29 8 2 3" xfId="37785" xr:uid="{C015E131-B8D1-4992-9C2F-F0DBAAEFB43D}"/>
    <cellStyle name="Migliaia 29 8 2 4" xfId="43087" xr:uid="{C33B09BF-02EA-47CD-843E-D3BC23BA308E}"/>
    <cellStyle name="Migliaia 29 8 2 5" xfId="13947" xr:uid="{92C83B38-A7F9-4AB4-90A4-1583A59B3F60}"/>
    <cellStyle name="Migliaia 29 8 3" xfId="6383" xr:uid="{332C0D1D-DBAA-4DB4-9232-A247E3379BA0}"/>
    <cellStyle name="Migliaia 29 8 3 2" xfId="39153" xr:uid="{A9962331-DDE9-415B-954A-45DB1D147376}"/>
    <cellStyle name="Migliaia 29 8 3 3" xfId="44455" xr:uid="{F7E8510D-AF41-4371-A62C-3B0C372BBA5F}"/>
    <cellStyle name="Migliaia 29 8 3 4" xfId="33676" xr:uid="{CB45F5C1-59C0-47AE-BD92-CC2F3B149B9D}"/>
    <cellStyle name="Migliaia 29 8 3 5" xfId="20302" xr:uid="{0CFCA7C9-899A-471C-8050-D91BE214C1A1}"/>
    <cellStyle name="Migliaia 29 8 4" xfId="36607" xr:uid="{ABD78003-1C77-4EEB-AD13-EEE42659CE81}"/>
    <cellStyle name="Migliaia 29 8 5" xfId="41804" xr:uid="{34D5741D-C602-4754-8DB4-281FE10816E3}"/>
    <cellStyle name="Migliaia 29 8 6" xfId="16346" xr:uid="{37A7F142-76CB-42B0-8CA0-9BD11C3E8A74}"/>
    <cellStyle name="Migliaia 29 8 7" xfId="7906" xr:uid="{896F1D96-23F7-42E5-AD36-F0EDA219CAA5}"/>
    <cellStyle name="Migliaia 29 9" xfId="5166" xr:uid="{2AD20CC2-BAB7-41AC-B216-0FCAE84A6DB2}"/>
    <cellStyle name="Migliaia 29 9 2" xfId="33677" xr:uid="{E4C8A288-483E-4C04-B073-B76C45F24C0F}"/>
    <cellStyle name="Migliaia 29 9 2 2" xfId="39154" xr:uid="{464A0635-1B75-467E-826A-6FADE8809FCE}"/>
    <cellStyle name="Migliaia 29 9 2 3" xfId="44456" xr:uid="{774A87B9-DC44-42AC-A89C-45B25DCF7CB9}"/>
    <cellStyle name="Migliaia 29 9 3" xfId="36608" xr:uid="{5BD9C547-A554-483D-A03B-C9A3418E8DFD}"/>
    <cellStyle name="Migliaia 29 9 4" xfId="41805" xr:uid="{8AB5B30D-EDF2-415A-9027-52D4023ACEC7}"/>
    <cellStyle name="Migliaia 29 9 5" xfId="17177" xr:uid="{35525B64-7EEE-4634-A658-F578B694832A}"/>
    <cellStyle name="Migliaia 3" xfId="389" xr:uid="{00000000-0005-0000-0000-000085030000}"/>
    <cellStyle name="Migliaia 3 10" xfId="6384" xr:uid="{89D327F7-1919-40C0-A3FC-7F5E0EB42EB8}"/>
    <cellStyle name="Migliaia 3 10 2" xfId="39155" xr:uid="{05F6AEB6-9371-4E79-9497-01599ABD3DD4}"/>
    <cellStyle name="Migliaia 3 10 3" xfId="44457" xr:uid="{A35AA9C8-CFFD-4867-9717-1F31F206DDE5}"/>
    <cellStyle name="Migliaia 3 10 4" xfId="33678" xr:uid="{F9ED7013-B33F-4B8B-9F0D-4337875EFB82}"/>
    <cellStyle name="Migliaia 3 10 5" xfId="20303" xr:uid="{CB8C19D7-F102-429C-BD92-606D43455603}"/>
    <cellStyle name="Migliaia 3 11" xfId="3456" xr:uid="{EB4D786F-9DC0-4EB6-A15C-01229EC6CE4F}"/>
    <cellStyle name="Migliaia 3 11 2" xfId="36609" xr:uid="{66F78828-0DAE-4F34-997A-4088A42B1232}"/>
    <cellStyle name="Migliaia 3 12" xfId="41806" xr:uid="{D49883B4-07BD-4A48-B87D-EF9D5C0534F0}"/>
    <cellStyle name="Migliaia 3 13" xfId="7108" xr:uid="{01BC0E5B-3A66-4187-9C69-09E27E564494}"/>
    <cellStyle name="Migliaia 3 2" xfId="390" xr:uid="{00000000-0005-0000-0000-000086030000}"/>
    <cellStyle name="Migliaia 3 2 2" xfId="1766" xr:uid="{00000000-0005-0000-0000-000087030000}"/>
    <cellStyle name="Migliaia 3 2 2 2" xfId="5184" xr:uid="{BFA3D63D-F95E-4145-9846-168AEEEC4EE1}"/>
    <cellStyle name="Migliaia 3 2 2 2 2" xfId="14385" xr:uid="{5A65A8BC-AF1E-4384-B59B-EC67D52F41A8}"/>
    <cellStyle name="Migliaia 3 2 2 2 2 2" xfId="39156" xr:uid="{8CB55B04-885A-4173-9631-D9E73D853B4E}"/>
    <cellStyle name="Migliaia 3 2 2 2 2 3" xfId="44458" xr:uid="{7DB00298-FC6E-488B-8733-2AC3A042DFA4}"/>
    <cellStyle name="Migliaia 3 2 2 2 3" xfId="18428" xr:uid="{26EAE462-9D50-4B93-8DF2-5D87EC2C8FF4}"/>
    <cellStyle name="Migliaia 3 2 2 2 4" xfId="20306" xr:uid="{616A80F0-2F5B-4662-B7BA-7C2D9C00BF2A}"/>
    <cellStyle name="Migliaia 3 2 2 2 4 2" xfId="41807" xr:uid="{5BC32C10-21FD-4913-9FB0-1B0D37F2AD2F}"/>
    <cellStyle name="Migliaia 3 2 2 2 5" xfId="16347" xr:uid="{58610F90-08EF-488F-AA8C-405E410EE1D4}"/>
    <cellStyle name="Migliaia 3 2 2 2 6" xfId="8613" xr:uid="{B8FD9565-8170-4C56-AA1F-FA50465EA40B}"/>
    <cellStyle name="Migliaia 3 2 2 3" xfId="6386" xr:uid="{FD48A861-3C73-4BD1-B6BC-B0949954D8A3}"/>
    <cellStyle name="Migliaia 3 2 2 3 2" xfId="35277" xr:uid="{125F9630-71C6-4B52-9775-C686FFD3D4D0}"/>
    <cellStyle name="Migliaia 3 2 2 3 2 2" xfId="40437" xr:uid="{440B3D86-0285-4FF5-A3A0-4D724CFE8302}"/>
    <cellStyle name="Migliaia 3 2 2 3 2 3" xfId="45739" xr:uid="{22559036-7B9C-457D-BDD0-7006F8BCBD48}"/>
    <cellStyle name="Migliaia 3 2 2 3 3" xfId="37786" xr:uid="{112A5CCD-2DEF-4AAB-A477-F81A520F52A6}"/>
    <cellStyle name="Migliaia 3 2 2 3 4" xfId="43088" xr:uid="{8E07877E-82A2-40C0-8911-2209A3745ADB}"/>
    <cellStyle name="Migliaia 3 2 2 3 5" xfId="11612" xr:uid="{6327546E-EB8D-4E22-890B-0AB22B113733}"/>
    <cellStyle name="Migliaia 3 2 2 4" xfId="3458" xr:uid="{F84E3CFF-90A9-4D61-AC68-639795242F09}"/>
    <cellStyle name="Migliaia 3 2 2 4 2" xfId="21478" xr:uid="{B25EEADA-6928-4727-85E3-0BC9DEDEABF1}"/>
    <cellStyle name="Migliaia 3 2 2 4 3" xfId="46235" xr:uid="{6CC15139-21D8-4E4E-B9BB-916FB9BC8B94}"/>
    <cellStyle name="Migliaia 3 2 2 4 4" xfId="50493" xr:uid="{81F5D36F-2543-4B79-AC66-98BA23D81491}"/>
    <cellStyle name="Migliaia 3 2 2 4 5" xfId="53509" xr:uid="{D87E2C92-D300-4E13-BD08-B493877ED5A2}"/>
    <cellStyle name="Migliaia 3 2 2 4 6" xfId="10843" xr:uid="{60721535-3258-4438-A031-60CE9A59274D}"/>
    <cellStyle name="Migliaia 3 2 2 5" xfId="20305" xr:uid="{FF264CD1-8F5C-4AC7-9178-08A34853D58B}"/>
    <cellStyle name="Migliaia 3 2 2 6" xfId="24682" xr:uid="{0B2BDD24-4D1D-46C0-983D-668C2432BD1B}"/>
    <cellStyle name="Migliaia 3 2 2 7" xfId="7423" xr:uid="{7243A5C4-C354-478E-92C5-7E506856DA26}"/>
    <cellStyle name="Migliaia 3 2 3" xfId="3459" xr:uid="{C018A69F-792A-4B8E-A299-7EC22F7A05D7}"/>
    <cellStyle name="Migliaia 3 2 3 2" xfId="5185" xr:uid="{F3AA9AA9-2D80-42B2-919D-4D272D7A446F}"/>
    <cellStyle name="Migliaia 3 2 3 2 2" xfId="35278" xr:uid="{30FB4765-965A-4768-B2A6-D081CF39C9E5}"/>
    <cellStyle name="Migliaia 3 2 3 2 2 2" xfId="40438" xr:uid="{5E19DC20-C427-44A8-AA91-9F37AC7338C9}"/>
    <cellStyle name="Migliaia 3 2 3 2 2 3" xfId="45740" xr:uid="{81A23D87-735C-4715-AFF5-2827AACD0405}"/>
    <cellStyle name="Migliaia 3 2 3 2 3" xfId="37787" xr:uid="{B07C85C9-DD34-433C-B8B8-8D272326D9BC}"/>
    <cellStyle name="Migliaia 3 2 3 2 4" xfId="43089" xr:uid="{DE3B8DE6-823D-4011-9CE5-668D4B9C94E5}"/>
    <cellStyle name="Migliaia 3 2 3 2 5" xfId="14246" xr:uid="{190134A6-7725-41C3-99C2-A437EEDCC1EE}"/>
    <cellStyle name="Migliaia 3 2 3 3" xfId="6387" xr:uid="{00529DA1-290B-4663-AF9D-7417CEF123FD}"/>
    <cellStyle name="Migliaia 3 2 3 3 2" xfId="39157" xr:uid="{21BD32F5-E94D-4D2F-A352-7E21A7ED5DFA}"/>
    <cellStyle name="Migliaia 3 2 3 3 3" xfId="44459" xr:uid="{36B64DEC-9F29-41E5-8AC6-E6E86ECAAE7F}"/>
    <cellStyle name="Migliaia 3 2 3 3 4" xfId="33679" xr:uid="{20796009-0EE2-42A3-8E41-22C474BA487F}"/>
    <cellStyle name="Migliaia 3 2 3 3 5" xfId="20307" xr:uid="{8D6B101A-DF9E-43C8-8B9C-9D66CEEF6BBF}"/>
    <cellStyle name="Migliaia 3 2 3 4" xfId="36610" xr:uid="{9518D8ED-C118-49FF-9B7E-396904F3071E}"/>
    <cellStyle name="Migliaia 3 2 3 5" xfId="41808" xr:uid="{7BC2AF0E-9AEB-49AD-A9FA-6B8097B5C798}"/>
    <cellStyle name="Migliaia 3 2 3 6" xfId="16348" xr:uid="{A4F83731-5EE3-471D-9D07-A68E284B8E00}"/>
    <cellStyle name="Migliaia 3 2 3 7" xfId="8308" xr:uid="{6206261D-9DB0-4C99-A0CC-0873946962C7}"/>
    <cellStyle name="Migliaia 3 2 4" xfId="5183" xr:uid="{289C8CA9-CFBF-414F-A152-D120106C220F}"/>
    <cellStyle name="Migliaia 3 2 4 2" xfId="13951" xr:uid="{44E79A26-0E11-4DA9-B029-B359BF3A1FEC}"/>
    <cellStyle name="Migliaia 3 2 4 2 2" xfId="39158" xr:uid="{23BCE401-9F82-4ACF-9682-2A3E2B2C9D54}"/>
    <cellStyle name="Migliaia 3 2 4 2 3" xfId="44460" xr:uid="{9C4E9C83-3CCF-4D03-A6EB-EA24C6D1F535}"/>
    <cellStyle name="Migliaia 3 2 4 3" xfId="18712" xr:uid="{D18AE73B-5D2C-4A4E-BAD7-F1EC329F582F}"/>
    <cellStyle name="Migliaia 3 2 4 4" xfId="20308" xr:uid="{ED794639-2AF2-4072-95D8-7B5DDCED73FA}"/>
    <cellStyle name="Migliaia 3 2 4 4 2" xfId="41809" xr:uid="{9CA931D5-76EE-498F-982D-B4E85DD59910}"/>
    <cellStyle name="Migliaia 3 2 4 5" xfId="16349" xr:uid="{86E27AAC-9ADA-4788-934A-644E87983651}"/>
    <cellStyle name="Migliaia 3 2 4 6" xfId="7911" xr:uid="{49C4810A-3C23-4CB1-A6DF-AF5B867903EC}"/>
    <cellStyle name="Migliaia 3 2 5" xfId="6385" xr:uid="{A1FAF10F-DB6D-4C05-8FBB-3CBDDA121C9D}"/>
    <cellStyle name="Migliaia 3 2 5 2" xfId="33680" xr:uid="{EAFCF3E6-A3A0-4A26-A5E7-02CCF2E73ADC}"/>
    <cellStyle name="Migliaia 3 2 5 2 2" xfId="39159" xr:uid="{5FD84750-43AE-4A4C-8C6D-665ABE56EBA4}"/>
    <cellStyle name="Migliaia 3 2 5 2 3" xfId="44461" xr:uid="{502BC87A-AA3E-4CD0-93F8-C5D9F0CF59C0}"/>
    <cellStyle name="Migliaia 3 2 5 3" xfId="36611" xr:uid="{D6487B84-86F9-4D1A-BC63-BF5F900CCB25}"/>
    <cellStyle name="Migliaia 3 2 5 4" xfId="41810" xr:uid="{F2C6C36D-6BE3-4950-9AD7-A8C8AE1A715F}"/>
    <cellStyle name="Migliaia 3 2 5 5" xfId="13125" xr:uid="{136C6B9F-0BEC-47BC-B80A-E34D1C05985F}"/>
    <cellStyle name="Migliaia 3 2 6" xfId="3457" xr:uid="{C85AB1F1-3130-45D7-BBD7-77EF0074563F}"/>
    <cellStyle name="Migliaia 3 2 6 2" xfId="33681" xr:uid="{A16BE93B-8ABE-48F2-80E1-A900F7B55F92}"/>
    <cellStyle name="Migliaia 3 2 6 2 2" xfId="39160" xr:uid="{168DFC8F-D1BD-4BB3-965E-81924005AE3D}"/>
    <cellStyle name="Migliaia 3 2 6 2 3" xfId="44462" xr:uid="{33D401A1-6ED2-4830-9EBA-C478B2AA1D67}"/>
    <cellStyle name="Migliaia 3 2 6 3" xfId="36612" xr:uid="{9502A73D-801B-4F0A-BFED-E0E3BCC8C654}"/>
    <cellStyle name="Migliaia 3 2 6 4" xfId="41811" xr:uid="{3D63D47D-FF67-4156-89E7-9B9B55B84BB1}"/>
    <cellStyle name="Migliaia 3 2 6 5" xfId="24683" xr:uid="{F0789EA6-AA96-4DF5-8D98-46D604D4A658}"/>
    <cellStyle name="Migliaia 3 2 6 6" xfId="20304" xr:uid="{C751AD7F-BE9A-486C-AB8E-1139C54F699A}"/>
    <cellStyle name="Migliaia 3 2 7" xfId="24681" xr:uid="{56D3BFB9-6F01-4768-85C8-94095F6F4F2F}"/>
    <cellStyle name="Migliaia 3 2 8" xfId="7109" xr:uid="{F4690A68-980E-4847-A20C-C6E730375C70}"/>
    <cellStyle name="Migliaia 3 3" xfId="391" xr:uid="{00000000-0005-0000-0000-000088030000}"/>
    <cellStyle name="Migliaia 3 3 10" xfId="24684" xr:uid="{ABC3A077-7226-406A-BAD9-FDE602743EB2}"/>
    <cellStyle name="Migliaia 3 3 11" xfId="16350" xr:uid="{4D47ABD4-01DA-4CBD-BC31-9D3E5AD7C3FD}"/>
    <cellStyle name="Migliaia 3 3 12" xfId="7110" xr:uid="{919DFD90-5723-4947-B187-538976BB265C}"/>
    <cellStyle name="Migliaia 3 3 2" xfId="392" xr:uid="{00000000-0005-0000-0000-000089030000}"/>
    <cellStyle name="Migliaia 3 3 2 2" xfId="1767" xr:uid="{00000000-0005-0000-0000-00008A030000}"/>
    <cellStyle name="Migliaia 3 3 2 2 2" xfId="5188" xr:uid="{07A7F9AC-4BCA-412B-9B32-E1675E088257}"/>
    <cellStyle name="Migliaia 3 3 2 2 2 2" xfId="18429" xr:uid="{EE521890-174D-4D57-96E9-8E2C3B8A43FC}"/>
    <cellStyle name="Migliaia 3 3 2 2 2 2 2" xfId="21863" xr:uid="{C2A7CEEB-9E15-4D4F-B35F-576609C306DB}"/>
    <cellStyle name="Migliaia 3 3 2 2 2 2 2 2" xfId="39161" xr:uid="{E2F53290-2613-470C-B148-F5D23FF3E2D2}"/>
    <cellStyle name="Migliaia 3 3 2 2 2 2 3" xfId="44463" xr:uid="{4678EC40-2804-4F43-8DF7-35A533F6A229}"/>
    <cellStyle name="Migliaia 3 3 2 2 2 2 4" xfId="33682" xr:uid="{C247460C-EC1A-42F4-9862-EF1949EC11F4}"/>
    <cellStyle name="Migliaia 3 3 2 2 2 3" xfId="36613" xr:uid="{4A3BA5B2-016D-440C-AB4C-EE1B45C4247C}"/>
    <cellStyle name="Migliaia 3 3 2 2 2 4" xfId="41812" xr:uid="{AA241895-A6CC-4727-BE2E-DFC740318A8A}"/>
    <cellStyle name="Migliaia 3 3 2 2 2 5" xfId="48290" xr:uid="{7610EBAC-B2CB-4A95-BB51-CC106ED4FBB1}"/>
    <cellStyle name="Migliaia 3 3 2 2 2 6" xfId="50891" xr:uid="{25457187-7D57-4A29-8DB7-91677C660E7A}"/>
    <cellStyle name="Migliaia 3 3 2 2 2 7" xfId="53907" xr:uid="{B94E8688-B304-4D93-9C4A-454C6AC4C465}"/>
    <cellStyle name="Migliaia 3 3 2 2 2 8" xfId="17660" xr:uid="{2C4F1A50-9B8B-4DDC-9A9F-40AB9E85E1E9}"/>
    <cellStyle name="Migliaia 3 3 2 2 2 9" xfId="11975" xr:uid="{841603C4-B761-43CF-93AD-3995DF2319D5}"/>
    <cellStyle name="Migliaia 3 3 2 2 3" xfId="6390" xr:uid="{541EAB05-DAA6-4589-AD8F-477F4C71DBE3}"/>
    <cellStyle name="Migliaia 3 3 2 2 3 2" xfId="11559" xr:uid="{F9D6E6CC-C430-4D3E-BAE7-2EF45DDECF17}"/>
    <cellStyle name="Migliaia 3 3 2 2 4" xfId="3462" xr:uid="{ECC9D54C-9823-4F40-B3EC-E9D39E46E89A}"/>
    <cellStyle name="Migliaia 3 3 2 2 4 2" xfId="21479" xr:uid="{CCAC06F4-0478-4B02-9D11-67017EAA414A}"/>
    <cellStyle name="Migliaia 3 3 2 2 4 3" xfId="47599" xr:uid="{54B39B13-0BB7-41D7-81E7-B626A686AC3F}"/>
    <cellStyle name="Migliaia 3 3 2 2 4 4" xfId="50494" xr:uid="{237F05D4-C74B-4926-B5EB-566B7438CA5D}"/>
    <cellStyle name="Migliaia 3 3 2 2 4 5" xfId="53510" xr:uid="{8EED9AB4-2BD3-4FFD-B980-C6624EED9073}"/>
    <cellStyle name="Migliaia 3 3 2 2 4 6" xfId="10844" xr:uid="{6BAE51B3-B431-4AEF-9BCC-C84B41EADE72}"/>
    <cellStyle name="Migliaia 3 3 2 2 5" xfId="20311" xr:uid="{7BD4EFFC-0D52-460B-B89B-B122FCB51CE4}"/>
    <cellStyle name="Migliaia 3 3 2 2 6" xfId="24686" xr:uid="{5299645E-2BB2-41CF-9FA7-34F0833A7DF3}"/>
    <cellStyle name="Migliaia 3 3 2 2 7" xfId="8615" xr:uid="{FD87D6F6-25E8-4667-B7CA-63708247A5AF}"/>
    <cellStyle name="Migliaia 3 3 2 3" xfId="5187" xr:uid="{4CFF9EEB-BA8A-4FBA-B250-B91B786D4EA6}"/>
    <cellStyle name="Migliaia 3 3 2 3 2" xfId="11105" xr:uid="{B9B0202E-BC59-4569-88E7-6F85D0C53204}"/>
    <cellStyle name="Migliaia 3 3 2 3 2 2" xfId="39162" xr:uid="{F10BAF7F-FEEE-40CF-ACA2-1131B04076DB}"/>
    <cellStyle name="Migliaia 3 3 2 3 2 3" xfId="44464" xr:uid="{4352AC12-CE12-4D29-831C-956A5D8C7892}"/>
    <cellStyle name="Migliaia 3 3 2 3 2 4" xfId="33683" xr:uid="{89BCD172-8755-4AAA-9D59-CF6D09ECB3DB}"/>
    <cellStyle name="Migliaia 3 3 2 3 3" xfId="11976" xr:uid="{36E61EE0-0C78-47A7-9188-656C7BF925BA}"/>
    <cellStyle name="Migliaia 3 3 2 3 4" xfId="20312" xr:uid="{B714ED71-4402-45A2-A7A7-2CBC878067ED}"/>
    <cellStyle name="Migliaia 3 3 2 3 4 2" xfId="41813" xr:uid="{18D2F5EA-2D33-4326-BAF0-8190798589D2}"/>
    <cellStyle name="Migliaia 3 3 2 3 5" xfId="16351" xr:uid="{E67C7ADD-6F5B-49C5-BB5A-8E360458E0BE}"/>
    <cellStyle name="Migliaia 3 3 2 3 6" xfId="7913" xr:uid="{19620A8C-D363-4258-AE9D-92724E1DF806}"/>
    <cellStyle name="Migliaia 3 3 2 4" xfId="6389" xr:uid="{8AB80A8D-C51D-4BAF-AEB6-A65026DE06C3}"/>
    <cellStyle name="Migliaia 3 3 2 4 2" xfId="18079" xr:uid="{FA5512D6-90D2-456B-A606-EE3EEAAF6626}"/>
    <cellStyle name="Migliaia 3 3 2 4 2 2" xfId="39163" xr:uid="{792656C3-5D8C-4902-8AE7-8EBA48A0FD3C}"/>
    <cellStyle name="Migliaia 3 3 2 4 2 3" xfId="44465" xr:uid="{91CDC9B8-44F9-413E-BB04-DC3E74282C23}"/>
    <cellStyle name="Migliaia 3 3 2 4 3" xfId="36614" xr:uid="{6D6CEA91-6450-49C1-8AAC-60CA2D6709CF}"/>
    <cellStyle name="Migliaia 3 3 2 4 4" xfId="41814" xr:uid="{F8239DFC-B5FF-4549-AE4E-A728A856E68D}"/>
    <cellStyle name="Migliaia 3 3 2 4 5" xfId="17180" xr:uid="{BCF0133A-743A-475B-98AE-8D5C6CA436FA}"/>
    <cellStyle name="Migliaia 3 3 2 4 6" xfId="11324" xr:uid="{4798ACCB-D1F7-4296-B114-E1536D9ECFD3}"/>
    <cellStyle name="Migliaia 3 3 2 5" xfId="3461" xr:uid="{CE3C1F3F-4FEB-4923-800B-439DEEE7542D}"/>
    <cellStyle name="Migliaia 3 3 2 5 2" xfId="33685" xr:uid="{5D962021-AAA4-41C0-A42D-974377762201}"/>
    <cellStyle name="Migliaia 3 3 2 5 2 2" xfId="39164" xr:uid="{6B666F63-7F31-4122-A2A9-D43E59892AAC}"/>
    <cellStyle name="Migliaia 3 3 2 5 2 3" xfId="44466" xr:uid="{E4E3BF1C-8EFC-4602-9341-29A3B8C0C913}"/>
    <cellStyle name="Migliaia 3 3 2 5 3" xfId="36615" xr:uid="{C52BB82E-CBD8-4FCF-8E46-709FF2419207}"/>
    <cellStyle name="Migliaia 3 3 2 5 4" xfId="41815" xr:uid="{977CD729-3DE3-4F23-90E2-FC32D45997BC}"/>
    <cellStyle name="Migliaia 3 3 2 5 5" xfId="17360" xr:uid="{DE513EEF-A08C-4260-AB76-E20AD411F092}"/>
    <cellStyle name="Migliaia 3 3 2 6" xfId="20310" xr:uid="{6FD39534-BCB7-48F5-BF95-AF1DDD6DF7C8}"/>
    <cellStyle name="Migliaia 3 3 2 6 2" xfId="33686" xr:uid="{C2B36A19-8E84-4BD2-9D1D-AFADE17C258E}"/>
    <cellStyle name="Migliaia 3 3 2 6 2 2" xfId="39165" xr:uid="{47099141-86D3-4488-A06A-DC9DB0CD7640}"/>
    <cellStyle name="Migliaia 3 3 2 6 2 3" xfId="44467" xr:uid="{59A02565-1FE5-4E1F-9394-81AD75D34929}"/>
    <cellStyle name="Migliaia 3 3 2 6 3" xfId="36616" xr:uid="{7CC17B55-BD0C-4F1A-A154-6DC489DA7EB6}"/>
    <cellStyle name="Migliaia 3 3 2 6 4" xfId="41816" xr:uid="{23737623-2FE3-4461-B232-299E99DF9EAC}"/>
    <cellStyle name="Migliaia 3 3 2 6 5" xfId="24689" xr:uid="{88668529-4F45-45E8-974C-720012244E8D}"/>
    <cellStyle name="Migliaia 3 3 2 7" xfId="24685" xr:uid="{D03A4640-7F99-4C5C-878E-A7DBD55AD123}"/>
    <cellStyle name="Migliaia 3 3 2 8" xfId="7425" xr:uid="{75792CD0-F49A-4935-B9CA-CEE3E657FBB6}"/>
    <cellStyle name="Migliaia 3 3 3" xfId="3463" xr:uid="{6AC7BC88-B6F7-4B11-830A-7F284CE01184}"/>
    <cellStyle name="Migliaia 3 3 3 10" xfId="7424" xr:uid="{82F313F1-3522-46DA-96E6-E46F29C3DA7E}"/>
    <cellStyle name="Migliaia 3 3 3 2" xfId="5189" xr:uid="{7C0467B1-7467-4E6A-9DD0-E2A778FEDA19}"/>
    <cellStyle name="Migliaia 3 3 3 2 2" xfId="9926" xr:uid="{9DA81D57-F623-4053-AD1F-EBFDF1C2E3BF}"/>
    <cellStyle name="Migliaia 3 3 3 2 2 2" xfId="39167" xr:uid="{32AF37DF-5E26-4E3E-940E-3B2343478090}"/>
    <cellStyle name="Migliaia 3 3 3 2 2 3" xfId="44469" xr:uid="{103B7BDB-6C55-4599-918F-35AF42DCF0D3}"/>
    <cellStyle name="Migliaia 3 3 3 2 3" xfId="18206" xr:uid="{A5E23355-1638-4267-8B4A-65DCC1914666}"/>
    <cellStyle name="Migliaia 3 3 3 2 4" xfId="20314" xr:uid="{B621551F-9FEB-4FDC-80DB-4FFD31B581A9}"/>
    <cellStyle name="Migliaia 3 3 3 2 4 2" xfId="41818" xr:uid="{6F0A6D97-BEDA-4BFE-ABC1-B723315EDC23}"/>
    <cellStyle name="Migliaia 3 3 3 2 5" xfId="16353" xr:uid="{F907DA20-4662-4774-B442-1C3B8E6F15A0}"/>
    <cellStyle name="Migliaia 3 3 3 2 6" xfId="8614" xr:uid="{9CB92A60-C3B1-4B45-8EF8-52A4AC9F677D}"/>
    <cellStyle name="Migliaia 3 3 3 3" xfId="6391" xr:uid="{9DB06772-762B-4D7C-BFAB-755BF5E8C3FD}"/>
    <cellStyle name="Migliaia 3 3 3 3 2" xfId="33689" xr:uid="{B80C515A-EFD1-4BC9-A0F1-3CAB12FE0FE0}"/>
    <cellStyle name="Migliaia 3 3 3 3 2 2" xfId="39168" xr:uid="{E4808792-9614-497C-AD3A-9B3B973F7ADD}"/>
    <cellStyle name="Migliaia 3 3 3 3 2 3" xfId="44470" xr:uid="{A0A836F0-892C-4928-9621-D68B4D611F0B}"/>
    <cellStyle name="Migliaia 3 3 3 3 3" xfId="36618" xr:uid="{8F674533-9AE3-4EBC-95D4-AEDDB588BD73}"/>
    <cellStyle name="Migliaia 3 3 3 3 4" xfId="41819" xr:uid="{1854D77D-15DA-43B2-A2F1-317B3815C48D}"/>
    <cellStyle name="Migliaia 3 3 3 3 5" xfId="9689" xr:uid="{4A750913-23D4-46DE-ACFD-78ED23B49B62}"/>
    <cellStyle name="Migliaia 3 3 3 4" xfId="20313" xr:uid="{DA9B1A86-F23F-41F5-A5B3-78A25089832A}"/>
    <cellStyle name="Migliaia 3 3 3 4 2" xfId="33690" xr:uid="{97B5E9B7-C34F-4A84-A218-79AB895F1624}"/>
    <cellStyle name="Migliaia 3 3 3 4 2 2" xfId="39169" xr:uid="{4CEDE86C-1A02-4FD7-8A75-175150873114}"/>
    <cellStyle name="Migliaia 3 3 3 4 2 3" xfId="44471" xr:uid="{29A88513-0FA0-43E4-BFFA-EBB8EA68E437}"/>
    <cellStyle name="Migliaia 3 3 3 4 3" xfId="36619" xr:uid="{EB6FBF8A-67F7-4FFD-A2E1-164C0D554A80}"/>
    <cellStyle name="Migliaia 3 3 3 4 4" xfId="41820" xr:uid="{CE1ABE24-9FF9-4E6E-B269-E2F9B99249E9}"/>
    <cellStyle name="Migliaia 3 3 3 4 5" xfId="24693" xr:uid="{E10EBA54-A6C9-42B6-8BE9-18C8CD1904F5}"/>
    <cellStyle name="Migliaia 3 3 3 5" xfId="24694" xr:uid="{2F38823D-EC59-4709-8236-1D61AB74006A}"/>
    <cellStyle name="Migliaia 3 3 3 5 2" xfId="33691" xr:uid="{1B2F5A7D-6BEB-4D81-A90D-F9D50ED8626A}"/>
    <cellStyle name="Migliaia 3 3 3 5 2 2" xfId="39170" xr:uid="{90404E96-A3F1-4A4A-B76C-37AE0E80BDB8}"/>
    <cellStyle name="Migliaia 3 3 3 5 2 3" xfId="44472" xr:uid="{E2BCC2E0-D09C-43A5-BCDA-A45BB733C645}"/>
    <cellStyle name="Migliaia 3 3 3 5 3" xfId="36620" xr:uid="{5D5A61E7-857E-4D07-9EA2-7600FB185F7B}"/>
    <cellStyle name="Migliaia 3 3 3 5 4" xfId="41821" xr:uid="{0767C00B-C372-41E8-AFD7-1A075413F364}"/>
    <cellStyle name="Migliaia 3 3 3 6" xfId="33687" xr:uid="{D935B067-835B-4B02-9508-182444BEB9CC}"/>
    <cellStyle name="Migliaia 3 3 3 6 2" xfId="39166" xr:uid="{EDD0AF12-81A8-47E1-800C-980D05B4861D}"/>
    <cellStyle name="Migliaia 3 3 3 6 3" xfId="44468" xr:uid="{9EE1C662-A755-452C-8E8C-2EB7366D014B}"/>
    <cellStyle name="Migliaia 3 3 3 7" xfId="36617" xr:uid="{6B003B78-840E-4B83-9B8F-1D3E353A3EF2}"/>
    <cellStyle name="Migliaia 3 3 3 8" xfId="41817" xr:uid="{99CE0D42-D29B-4134-9DD6-313E35EE2D63}"/>
    <cellStyle name="Migliaia 3 3 3 9" xfId="16352" xr:uid="{81E3DC39-C40D-4DFD-A76A-07B61E578627}"/>
    <cellStyle name="Migliaia 3 3 4" xfId="3464" xr:uid="{BAA301AE-E3CA-4AFD-A0EF-3D676E66D36A}"/>
    <cellStyle name="Migliaia 3 3 4 2" xfId="5190" xr:uid="{069B1F6C-6CB9-43AA-9A36-EBEED952C0FD}"/>
    <cellStyle name="Migliaia 3 3 4 2 2" xfId="14445" xr:uid="{F1AAC87B-9643-448F-A2C1-B6C4715836F9}"/>
    <cellStyle name="Migliaia 3 3 4 2 3" xfId="18629" xr:uid="{E5B25BB5-4EB8-4E8E-8F68-0D62E36781F6}"/>
    <cellStyle name="Migliaia 3 3 4 2 4" xfId="20316" xr:uid="{CB8B0FE5-64F4-42CD-8633-611289D250BB}"/>
    <cellStyle name="Migliaia 3 3 4 2 5" xfId="32365" xr:uid="{3E73F2CE-68DA-45B2-AEDD-EAD508B577FB}"/>
    <cellStyle name="Migliaia 3 3 4 2 6" xfId="16355" xr:uid="{C221C57F-8ED0-4FDD-B29B-40EDEE2536B5}"/>
    <cellStyle name="Migliaia 3 3 4 2 7" xfId="8868" xr:uid="{E80D8704-2E9E-49BB-989B-340E4CC6A685}"/>
    <cellStyle name="Migliaia 3 3 4 3" xfId="6392" xr:uid="{8DA30CE9-87B0-4E1C-AC32-2131246D7D4B}"/>
    <cellStyle name="Migliaia 3 3 4 3 2" xfId="35279" xr:uid="{992C9B7B-EC64-40B6-BBF2-8A92086E5896}"/>
    <cellStyle name="Migliaia 3 3 4 3 2 2" xfId="40439" xr:uid="{F48EF38B-37AA-4B73-B4FC-7EE1FBE77799}"/>
    <cellStyle name="Migliaia 3 3 4 3 2 3" xfId="45741" xr:uid="{10DE1362-4A19-403C-859F-83026122EE12}"/>
    <cellStyle name="Migliaia 3 3 4 3 3" xfId="37788" xr:uid="{E24BEB68-6D6E-4D9C-B1BB-69111C304977}"/>
    <cellStyle name="Migliaia 3 3 4 3 4" xfId="43090" xr:uid="{81627C49-E0FF-4D48-9D56-855841A749E2}"/>
    <cellStyle name="Migliaia 3 3 4 3 5" xfId="13693" xr:uid="{7370B8C6-EC38-4FA9-AEEA-12C80CD34105}"/>
    <cellStyle name="Migliaia 3 3 4 4" xfId="20315" xr:uid="{68677376-CA3D-45EB-AAD3-D14B46309A55}"/>
    <cellStyle name="Migliaia 3 3 4 4 2" xfId="39171" xr:uid="{63858BDD-64E1-4C83-B466-D1AF4ADF35C4}"/>
    <cellStyle name="Migliaia 3 3 4 4 3" xfId="44473" xr:uid="{9D95A827-A764-4A99-9897-36C89BFE5099}"/>
    <cellStyle name="Migliaia 3 3 4 4 4" xfId="33692" xr:uid="{2F8C457B-637E-4A5A-A51D-EF63AEF00BAE}"/>
    <cellStyle name="Migliaia 3 3 4 5" xfId="36621" xr:uid="{17D546FC-00AD-46E0-9C2B-35C19AEEDB18}"/>
    <cellStyle name="Migliaia 3 3 4 6" xfId="41822" xr:uid="{0291337B-D1E1-49E5-BA29-DCC4C8BC6D04}"/>
    <cellStyle name="Migliaia 3 3 4 7" xfId="16354" xr:uid="{FA6D766F-29A5-4678-8138-BBD3C49D1A60}"/>
    <cellStyle name="Migliaia 3 3 4 8" xfId="7678" xr:uid="{7ABEC152-F533-4A76-983B-9AB127BB5DC9}"/>
    <cellStyle name="Migliaia 3 3 5" xfId="3465" xr:uid="{019CD801-8798-4873-A440-DC02A2139D32}"/>
    <cellStyle name="Migliaia 3 3 5 2" xfId="5191" xr:uid="{4F37E8FC-0B0B-4259-AF50-5936F8910B42}"/>
    <cellStyle name="Migliaia 3 3 5 2 2" xfId="35280" xr:uid="{7A390054-80E3-454D-B5B2-833DBA00DC8B}"/>
    <cellStyle name="Migliaia 3 3 5 2 2 2" xfId="40440" xr:uid="{32D6AB56-76AA-432D-BDC6-BE84DA1365C2}"/>
    <cellStyle name="Migliaia 3 3 5 2 2 3" xfId="45742" xr:uid="{DF3588F8-24B5-417B-AF27-FD43945600C3}"/>
    <cellStyle name="Migliaia 3 3 5 2 3" xfId="37789" xr:uid="{65CC9088-1AC2-4AB2-B356-9A4155BE310C}"/>
    <cellStyle name="Migliaia 3 3 5 2 4" xfId="43091" xr:uid="{A301C6AF-2F65-4C4F-B883-B329B6E4899D}"/>
    <cellStyle name="Migliaia 3 3 5 2 5" xfId="14247" xr:uid="{23D8990C-BA96-4058-9E66-70A1BCA92D51}"/>
    <cellStyle name="Migliaia 3 3 5 3" xfId="6393" xr:uid="{9DCC49B3-FF78-4749-8E6A-E9096820A8EF}"/>
    <cellStyle name="Migliaia 3 3 5 3 2" xfId="39172" xr:uid="{D3FC221E-804E-4544-8868-AA5D0B52A434}"/>
    <cellStyle name="Migliaia 3 3 5 3 3" xfId="44474" xr:uid="{4FD9E524-E45C-41DC-B225-5E4BE9096E07}"/>
    <cellStyle name="Migliaia 3 3 5 3 4" xfId="33693" xr:uid="{E2E7533B-B5D1-481D-A0C3-4E77E4374792}"/>
    <cellStyle name="Migliaia 3 3 5 3 5" xfId="20317" xr:uid="{D4FF9AB3-596B-4E96-8A7A-A47E37C522DE}"/>
    <cellStyle name="Migliaia 3 3 5 4" xfId="36622" xr:uid="{13FFFC86-FF1B-4DDD-8BEE-3FE706A18B02}"/>
    <cellStyle name="Migliaia 3 3 5 5" xfId="41823" xr:uid="{9C33ACDD-DC83-460F-A7C7-00C4F1FA5A29}"/>
    <cellStyle name="Migliaia 3 3 5 6" xfId="16356" xr:uid="{81EFC9E0-421F-4BF2-8A2C-0E963759CC76}"/>
    <cellStyle name="Migliaia 3 3 5 7" xfId="8309" xr:uid="{5EBA2F4A-8A9A-4F44-B54C-624476435349}"/>
    <cellStyle name="Migliaia 3 3 6" xfId="5186" xr:uid="{1F9378BD-F0CE-4AFE-981F-85303D4B1B12}"/>
    <cellStyle name="Migliaia 3 3 6 2" xfId="13952" xr:uid="{A11DABE8-EF14-4552-BC8D-4B49962CDC5E}"/>
    <cellStyle name="Migliaia 3 3 6 2 2" xfId="39173" xr:uid="{C3D42771-7B10-482B-A5DA-DBE032CF7954}"/>
    <cellStyle name="Migliaia 3 3 6 2 3" xfId="44475" xr:uid="{31084D39-5FEA-4686-BD77-EE33F9C73381}"/>
    <cellStyle name="Migliaia 3 3 6 3" xfId="18711" xr:uid="{38F29D08-6777-46A1-A3C8-E229AF67FBF6}"/>
    <cellStyle name="Migliaia 3 3 6 4" xfId="20318" xr:uid="{6CB77CEE-9A0A-450A-8E04-EA60D8BE1065}"/>
    <cellStyle name="Migliaia 3 3 6 4 2" xfId="41824" xr:uid="{8A3B452F-E045-4047-98CE-E07BC171EA51}"/>
    <cellStyle name="Migliaia 3 3 6 5" xfId="16357" xr:uid="{EDD67C8F-3E1F-4F73-B3F6-13FF470A9B5E}"/>
    <cellStyle name="Migliaia 3 3 6 6" xfId="7912" xr:uid="{39D90862-22C6-41B0-A347-09C63FF12D41}"/>
    <cellStyle name="Migliaia 3 3 7" xfId="6388" xr:uid="{0A8CB196-FFAE-4AF3-B7A6-6846AA5783DE}"/>
    <cellStyle name="Migliaia 3 3 7 2" xfId="33695" xr:uid="{F678B701-DBF3-44BF-87B8-5A27A1D01E75}"/>
    <cellStyle name="Migliaia 3 3 7 2 2" xfId="39174" xr:uid="{6DD6CA7B-F1D9-436E-BFFD-AE543355F7CD}"/>
    <cellStyle name="Migliaia 3 3 7 2 3" xfId="44476" xr:uid="{886187D9-52D8-4430-85BB-07D10A04A309}"/>
    <cellStyle name="Migliaia 3 3 7 3" xfId="36624" xr:uid="{B3414B74-338D-42A6-A42F-D592777D4A3C}"/>
    <cellStyle name="Migliaia 3 3 7 4" xfId="41825" xr:uid="{9F19B4FF-BF4C-4181-9FC4-8DB919B4074D}"/>
    <cellStyle name="Migliaia 3 3 7 5" xfId="11533" xr:uid="{6C22B07D-3178-4E73-A18C-20F3CEDAE337}"/>
    <cellStyle name="Migliaia 3 3 8" xfId="3460" xr:uid="{C67196E2-779F-4FB2-8A30-62728AB3F337}"/>
    <cellStyle name="Migliaia 3 3 8 2" xfId="33696" xr:uid="{0E5C9AC2-4E09-466D-9B31-0E8388105D72}"/>
    <cellStyle name="Migliaia 3 3 8 2 2" xfId="39175" xr:uid="{750EDEEB-A444-4F47-AB9F-68D47076593F}"/>
    <cellStyle name="Migliaia 3 3 8 2 3" xfId="44477" xr:uid="{40BBE034-935F-429E-938F-26E3DEA06BFD}"/>
    <cellStyle name="Migliaia 3 3 8 3" xfId="36625" xr:uid="{363267C5-1ECB-47FD-ABB4-B3F42CDC63B2}"/>
    <cellStyle name="Migliaia 3 3 8 4" xfId="41826" xr:uid="{53DDDFF2-07BE-4F5A-880C-772F3937B667}"/>
    <cellStyle name="Migliaia 3 3 8 5" xfId="24699" xr:uid="{086ECB13-FE67-40B5-A902-17DA66794A40}"/>
    <cellStyle name="Migliaia 3 3 8 6" xfId="17361" xr:uid="{B2DC390D-8AAA-4AC7-90CC-76D5D6552E6C}"/>
    <cellStyle name="Migliaia 3 3 9" xfId="20309" xr:uid="{6359BB81-A13F-4429-8218-373E30F13594}"/>
    <cellStyle name="Migliaia 3 4" xfId="1768" xr:uid="{00000000-0005-0000-0000-00008B030000}"/>
    <cellStyle name="Migliaia 3 4 2" xfId="1769" xr:uid="{00000000-0005-0000-0000-00008C030000}"/>
    <cellStyle name="Migliaia 3 4 2 2" xfId="5193" xr:uid="{A564E769-FD81-45C0-BEBB-17C7E2C1D8C2}"/>
    <cellStyle name="Migliaia 3 4 2 2 2" xfId="33697" xr:uid="{FD962DAF-DE5D-4038-8B3C-557DE38BB2D0}"/>
    <cellStyle name="Migliaia 3 4 2 2 2 2" xfId="39176" xr:uid="{A628B557-010E-4C97-B854-DB5E7B70F3A8}"/>
    <cellStyle name="Migliaia 3 4 2 2 2 3" xfId="44478" xr:uid="{99A60E4A-6FA3-44CF-9013-AB96A7547F48}"/>
    <cellStyle name="Migliaia 3 4 2 2 3" xfId="36626" xr:uid="{3335F2FE-1F9C-4CEE-8BE2-8D702BBDCB0F}"/>
    <cellStyle name="Migliaia 3 4 2 2 4" xfId="41827" xr:uid="{B6F93E0F-B64E-48CA-9FEF-08CAFF3EDF21}"/>
    <cellStyle name="Migliaia 3 4 2 2 5" xfId="9152" xr:uid="{9368C483-28FF-4BC4-99B0-5057210789C3}"/>
    <cellStyle name="Migliaia 3 4 2 3" xfId="3467" xr:uid="{36AF4895-E38A-4A0B-A123-7AE1C8AEB9A0}"/>
    <cellStyle name="Migliaia 3 4 2 3 2" xfId="33698" xr:uid="{429B6CA6-D007-4C3E-BBB4-A24FAB52CC83}"/>
    <cellStyle name="Migliaia 3 4 2 3 2 2" xfId="39177" xr:uid="{3F25E891-9F50-4912-926A-E8E8DA74C194}"/>
    <cellStyle name="Migliaia 3 4 2 3 2 3" xfId="44479" xr:uid="{1797CDD7-B282-40E9-BDA4-E60163AAB287}"/>
    <cellStyle name="Migliaia 3 4 2 3 3" xfId="36627" xr:uid="{B5B3974A-7538-42ED-AE51-A35FAD364844}"/>
    <cellStyle name="Migliaia 3 4 2 3 4" xfId="41828" xr:uid="{5C40F312-8B59-4272-88D1-400582DE589F}"/>
    <cellStyle name="Migliaia 3 4 2 3 5" xfId="11977" xr:uid="{DD7D929F-FA7F-42AA-8FF6-71E88D725FF1}"/>
    <cellStyle name="Migliaia 3 4 2 4" xfId="11326" xr:uid="{C640A895-2CBB-4F5E-958E-77302F129920}"/>
    <cellStyle name="Migliaia 3 4 2 5" xfId="10846" xr:uid="{396D8BB3-DA56-42D3-A4EC-B5C02F5D7803}"/>
    <cellStyle name="Migliaia 3 4 2 5 2" xfId="21481" xr:uid="{3F83ED35-FD7B-45FA-9ECA-616851921836}"/>
    <cellStyle name="Migliaia 3 4 2 5 3" xfId="48175" xr:uid="{6D334D53-F800-4A59-8A73-29D976FF0697}"/>
    <cellStyle name="Migliaia 3 4 2 5 4" xfId="50496" xr:uid="{77CE1EAE-D84B-47D3-B363-80034987BF34}"/>
    <cellStyle name="Migliaia 3 4 2 5 5" xfId="53512" xr:uid="{F9EE0991-7E45-4FC8-843B-E335DE83293D}"/>
    <cellStyle name="Migliaia 3 4 2 6" xfId="20320" xr:uid="{F6405070-5490-4899-93F0-83D48614CF4D}"/>
    <cellStyle name="Migliaia 3 4 2 7" xfId="24701" xr:uid="{19668173-D101-4609-9DF9-B336AED9BB08}"/>
    <cellStyle name="Migliaia 3 4 2 8" xfId="8616" xr:uid="{2E867466-53AE-4632-B220-03DC7BBD460C}"/>
    <cellStyle name="Migliaia 3 4 3" xfId="5192" xr:uid="{30D7D6A2-970B-4653-B28C-35B032A06BF2}"/>
    <cellStyle name="Migliaia 3 4 3 2" xfId="18207" xr:uid="{90E318B1-B302-4372-864C-F892B14975BF}"/>
    <cellStyle name="Migliaia 3 4 3 2 2" xfId="39178" xr:uid="{7C4CFFC1-0CF0-49CF-A843-FE8DF11E8768}"/>
    <cellStyle name="Migliaia 3 4 3 2 3" xfId="44480" xr:uid="{E248DD50-C038-41F2-8AA2-114378BD86F1}"/>
    <cellStyle name="Migliaia 3 4 3 3" xfId="36628" xr:uid="{164A3B73-02A6-4DAF-85B0-9A0E374CBD64}"/>
    <cellStyle name="Migliaia 3 4 3 4" xfId="41829" xr:uid="{99F8A7EC-B325-4BF7-909E-C5D67AF66117}"/>
    <cellStyle name="Migliaia 3 4 3 5" xfId="17359" xr:uid="{51FAC5A7-3DB7-4559-A578-E2273591CB5D}"/>
    <cellStyle name="Migliaia 3 4 3 6" xfId="9153" xr:uid="{C4DB589D-BE25-45C4-B790-DBE0BC2C769C}"/>
    <cellStyle name="Migliaia 3 4 4" xfId="6394" xr:uid="{2EBE0C0D-9838-400B-8F84-C8BB1DA31543}"/>
    <cellStyle name="Migliaia 3 4 4 2" xfId="33699" xr:uid="{938F3AE5-51D7-4B89-AFF3-AF79CB714313}"/>
    <cellStyle name="Migliaia 3 4 4 2 2" xfId="39179" xr:uid="{91727B8A-160D-4CEF-A5B2-AE63D37A14A9}"/>
    <cellStyle name="Migliaia 3 4 4 2 3" xfId="44481" xr:uid="{328556B1-F689-48EA-B718-0A06F73C37F2}"/>
    <cellStyle name="Migliaia 3 4 4 3" xfId="36629" xr:uid="{CB31F075-64CC-4799-BE7D-C08F1972013E}"/>
    <cellStyle name="Migliaia 3 4 4 4" xfId="41830" xr:uid="{A48C804E-D2EC-4D69-A779-044D6533C19E}"/>
    <cellStyle name="Migliaia 3 4 4 5" xfId="11978" xr:uid="{6E9E02F0-4093-4071-B333-4B9445ED63F5}"/>
    <cellStyle name="Migliaia 3 4 5" xfId="3466" xr:uid="{680B88CC-4A18-45B7-AA01-8DAA1C18E905}"/>
    <cellStyle name="Migliaia 3 4 5 2" xfId="33700" xr:uid="{35CFF1C1-A380-4BD6-B6DC-CA0A1F0CBBDC}"/>
    <cellStyle name="Migliaia 3 4 5 2 2" xfId="39180" xr:uid="{44A79C15-BD5B-4092-9C4C-9ACC7A1008F0}"/>
    <cellStyle name="Migliaia 3 4 5 2 3" xfId="44482" xr:uid="{C6878E35-AB63-47E8-83CF-49679A15562E}"/>
    <cellStyle name="Migliaia 3 4 5 3" xfId="36630" xr:uid="{FCABF2F0-E3C3-412B-AF1C-997ABD41CA60}"/>
    <cellStyle name="Migliaia 3 4 5 4" xfId="41831" xr:uid="{83F71F4A-6626-478B-9734-87E55D1EDF40}"/>
    <cellStyle name="Migliaia 3 4 5 5" xfId="11325" xr:uid="{4BA10DB9-6B61-45BF-B2F3-B33E69884ED1}"/>
    <cellStyle name="Migliaia 3 4 6" xfId="10845" xr:uid="{EBC0200F-930A-4120-ABAC-C79F97EFC918}"/>
    <cellStyle name="Migliaia 3 4 6 2" xfId="21480" xr:uid="{67377AA1-A8EE-4EAE-8B6A-00BF11FC759F}"/>
    <cellStyle name="Migliaia 3 4 6 2 2" xfId="39181" xr:uid="{789BEA12-02CD-4D5D-A90B-391FA831AB4D}"/>
    <cellStyle name="Migliaia 3 4 6 2 3" xfId="44483" xr:uid="{2AC460B3-F6E7-49DF-B380-AEB763C364D7}"/>
    <cellStyle name="Migliaia 3 4 6 2 4" xfId="33701" xr:uid="{970D1DDA-9238-45E0-8518-16290D789953}"/>
    <cellStyle name="Migliaia 3 4 6 3" xfId="36631" xr:uid="{512A4744-55B6-4304-982A-1002FCA3E9A2}"/>
    <cellStyle name="Migliaia 3 4 6 4" xfId="41832" xr:uid="{7F3E4E87-B72A-4B4C-AE7B-FA5DF4D5973A}"/>
    <cellStyle name="Migliaia 3 4 6 5" xfId="24703" xr:uid="{BD184D32-722A-4B27-BEFB-449EEC0E26F8}"/>
    <cellStyle name="Migliaia 3 4 6 6" xfId="46236" xr:uid="{CEB4A5E5-9C95-4F4E-8471-3D92F0A5431F}"/>
    <cellStyle name="Migliaia 3 4 6 7" xfId="50495" xr:uid="{F0249087-0F0E-4AFB-8B88-D316867D6BC1}"/>
    <cellStyle name="Migliaia 3 4 6 8" xfId="53511" xr:uid="{6245667E-F4DC-469B-B048-C2EBFC3FFCBA}"/>
    <cellStyle name="Migliaia 3 4 7" xfId="20319" xr:uid="{D3C24A24-E720-4E2B-BA7F-215797B1E793}"/>
    <cellStyle name="Migliaia 3 4 7 2" xfId="33702" xr:uid="{441940E3-5C75-4024-918E-A41BB7E2950A}"/>
    <cellStyle name="Migliaia 3 4 7 2 2" xfId="39182" xr:uid="{3419C61B-E4A2-4303-B3F7-44058A0F3713}"/>
    <cellStyle name="Migliaia 3 4 7 2 3" xfId="44484" xr:uid="{1ECCD9E3-081B-463C-BA5A-C90349E128EF}"/>
    <cellStyle name="Migliaia 3 4 7 3" xfId="36632" xr:uid="{3E0060F0-868A-4A56-9A0F-2D174CE8D05C}"/>
    <cellStyle name="Migliaia 3 4 7 4" xfId="41833" xr:uid="{923303D7-91C6-4AFB-92C6-827F8E86A111}"/>
    <cellStyle name="Migliaia 3 4 7 5" xfId="24704" xr:uid="{560377CB-379D-47FD-B246-A7E9A91474CF}"/>
    <cellStyle name="Migliaia 3 4 8" xfId="24700" xr:uid="{38759BD4-B122-4C14-A520-511CE6FD73E8}"/>
    <cellStyle name="Migliaia 3 4 9" xfId="7426" xr:uid="{58A9AB9C-72C0-4B6F-A760-A67F8A73A8C1}"/>
    <cellStyle name="Migliaia 3 5" xfId="1770" xr:uid="{00000000-0005-0000-0000-00008D030000}"/>
    <cellStyle name="Migliaia 3 5 2" xfId="5194" xr:uid="{361FAFC9-C77C-4E34-AFEB-AC924678CAEC}"/>
    <cellStyle name="Migliaia 3 5 2 2" xfId="18430" xr:uid="{A4B92E2A-F1BC-4C8C-BF18-DF20650D6378}"/>
    <cellStyle name="Migliaia 3 5 2 2 2" xfId="39183" xr:uid="{67F91702-4D85-403C-B5EC-1AEC898E2F96}"/>
    <cellStyle name="Migliaia 3 5 2 2 3" xfId="44485" xr:uid="{E34A25D9-8C48-419D-A485-BDA720D49F6B}"/>
    <cellStyle name="Migliaia 3 5 2 3" xfId="20322" xr:uid="{C0BD6DA7-57F0-4ED3-B6C5-F3C02BEF5A48}"/>
    <cellStyle name="Migliaia 3 5 2 3 2" xfId="36633" xr:uid="{9E1D9A7A-30A0-4F23-8F0A-E8BCFDBD53D4}"/>
    <cellStyle name="Migliaia 3 5 2 4" xfId="41834" xr:uid="{F7BACEA2-38AB-45D4-AE67-FEDF3BB9F627}"/>
    <cellStyle name="Migliaia 3 5 2 5" xfId="16358" xr:uid="{24E6615C-96E5-4DBB-9721-B6A15B28EC84}"/>
    <cellStyle name="Migliaia 3 5 2 6" xfId="8617" xr:uid="{DEE80F0E-A2FA-4EE5-B760-930FA4081756}"/>
    <cellStyle name="Migliaia 3 5 3" xfId="6395" xr:uid="{6E907510-C89F-4C2B-90F2-964E57875C83}"/>
    <cellStyle name="Migliaia 3 5 3 2" xfId="33703" xr:uid="{7A612C04-CCAA-4D82-82D3-A1131C92CA1F}"/>
    <cellStyle name="Migliaia 3 5 3 2 2" xfId="39184" xr:uid="{34916EBE-8EA4-4F80-8388-04F500306E12}"/>
    <cellStyle name="Migliaia 3 5 3 2 3" xfId="44486" xr:uid="{BC2AB61D-D0EA-4882-AC4C-55DB00091259}"/>
    <cellStyle name="Migliaia 3 5 3 3" xfId="36634" xr:uid="{A625CD62-0657-4E99-AE10-0558F5494690}"/>
    <cellStyle name="Migliaia 3 5 3 4" xfId="41835" xr:uid="{65C114FD-2C34-43E6-B1C5-BCEA87D6D96A}"/>
    <cellStyle name="Migliaia 3 5 3 5" xfId="11327" xr:uid="{EC9F47D1-3E58-4DA7-8BF0-694080739E71}"/>
    <cellStyle name="Migliaia 3 5 4" xfId="3468" xr:uid="{A2117492-3F90-45F0-9A32-748A119FF68F}"/>
    <cellStyle name="Migliaia 3 5 4 2" xfId="21482" xr:uid="{DD9885F8-04D2-4D66-848E-8EEE03BFD8B3}"/>
    <cellStyle name="Migliaia 3 5 4 2 2" xfId="39185" xr:uid="{A0889CC1-BC3F-434E-9C44-B2249AFD1807}"/>
    <cellStyle name="Migliaia 3 5 4 2 3" xfId="44487" xr:uid="{3A0C6509-43AD-4DA2-9B47-86DBD146A303}"/>
    <cellStyle name="Migliaia 3 5 4 2 4" xfId="33704" xr:uid="{EA1A558C-B1AC-4942-B5E7-B4A3A1A5B740}"/>
    <cellStyle name="Migliaia 3 5 4 3" xfId="36635" xr:uid="{EBFA679A-F91C-4528-B2AE-AAB3ABB5BB59}"/>
    <cellStyle name="Migliaia 3 5 4 4" xfId="41836" xr:uid="{E26AC524-5278-44A2-B177-0C4B4F786E9E}"/>
    <cellStyle name="Migliaia 3 5 4 5" xfId="24706" xr:uid="{FD29EF66-3822-4F18-8E58-6C000D6E0B17}"/>
    <cellStyle name="Migliaia 3 5 4 6" xfId="46237" xr:uid="{95109588-4A4A-439A-BDCC-B47FF242A3A4}"/>
    <cellStyle name="Migliaia 3 5 4 7" xfId="50497" xr:uid="{0AC77D88-1A54-49DE-84D1-16636192EB17}"/>
    <cellStyle name="Migliaia 3 5 4 8" xfId="53513" xr:uid="{BCBBF797-79C9-421B-A2DE-9EC53AC34DB3}"/>
    <cellStyle name="Migliaia 3 5 4 9" xfId="10847" xr:uid="{11653E26-91E2-4A34-AB1B-1659474BDC3B}"/>
    <cellStyle name="Migliaia 3 5 5" xfId="20321" xr:uid="{F2A8A26E-9798-43DC-94B2-4F49335E31F8}"/>
    <cellStyle name="Migliaia 3 5 5 2" xfId="33705" xr:uid="{01AF6384-4DFF-4AD1-9453-8FCA8470C685}"/>
    <cellStyle name="Migliaia 3 5 5 2 2" xfId="39186" xr:uid="{556C78ED-F934-4460-AB45-8BEAB8F12434}"/>
    <cellStyle name="Migliaia 3 5 5 2 3" xfId="44488" xr:uid="{CC589C5F-B4E0-4EC5-87E2-32F608238DFB}"/>
    <cellStyle name="Migliaia 3 5 5 3" xfId="36636" xr:uid="{77AD42D2-9972-4E65-8379-DB3955F94728}"/>
    <cellStyle name="Migliaia 3 5 5 4" xfId="41837" xr:uid="{C4498518-8557-4462-85A2-67930BB9CC91}"/>
    <cellStyle name="Migliaia 3 5 5 5" xfId="24707" xr:uid="{A7C7BF41-05CC-4761-83DE-6DE6DAC93222}"/>
    <cellStyle name="Migliaia 3 5 6" xfId="24708" xr:uid="{992F9363-4145-4FEC-A9C0-50FEDF1B7EEE}"/>
    <cellStyle name="Migliaia 3 5 6 2" xfId="33706" xr:uid="{B19CD3ED-DA68-4DB8-853E-54E4EBF77859}"/>
    <cellStyle name="Migliaia 3 5 6 2 2" xfId="39187" xr:uid="{8E1B46AF-608B-456C-B2F8-B97CE522CD68}"/>
    <cellStyle name="Migliaia 3 5 6 2 3" xfId="44489" xr:uid="{AE23BB23-04F1-4880-A116-78E084AD7DA0}"/>
    <cellStyle name="Migliaia 3 5 6 3" xfId="36637" xr:uid="{D2B796EE-AF4E-4228-82A3-FADF0DEF4281}"/>
    <cellStyle name="Migliaia 3 5 6 4" xfId="41838" xr:uid="{2A408C04-28C7-4172-B251-74866372C83A}"/>
    <cellStyle name="Migliaia 3 5 7" xfId="24705" xr:uid="{74C0FB94-9A81-430A-9DAB-0E0AB49B40E1}"/>
    <cellStyle name="Migliaia 3 5 8" xfId="7427" xr:uid="{B8EC1D70-0D80-4F30-B13B-D59EF2653609}"/>
    <cellStyle name="Migliaia 3 6" xfId="3469" xr:uid="{D33CD68D-7738-49E8-A484-1006AD8197D5}"/>
    <cellStyle name="Migliaia 3 6 2" xfId="5195" xr:uid="{CBCF6116-F22E-427B-96B1-C1DA7F5AFE6C}"/>
    <cellStyle name="Migliaia 3 6 2 2" xfId="9925" xr:uid="{C6424E07-FEF5-484B-AE65-5E18AB76B502}"/>
    <cellStyle name="Migliaia 3 6 2 3" xfId="18658" xr:uid="{88228A82-24AD-411A-90D0-CF7A3933A02A}"/>
    <cellStyle name="Migliaia 3 6 2 4" xfId="20324" xr:uid="{EEE0E6C4-784E-4D29-A706-34A986DBAA97}"/>
    <cellStyle name="Migliaia 3 6 2 5" xfId="32368" xr:uid="{B3B59532-3210-4695-85B1-1AA01BC5F9B0}"/>
    <cellStyle name="Migliaia 3 6 2 6" xfId="16360" xr:uid="{309B1872-C1AF-48A0-BA93-4912BDA190D1}"/>
    <cellStyle name="Migliaia 3 6 2 7" xfId="8612" xr:uid="{9E7E9B14-A5C3-4495-9F82-D5AC5A9710C0}"/>
    <cellStyle name="Migliaia 3 6 3" xfId="6396" xr:uid="{369E27C9-A187-4C28-BC0C-D1D12E1E5BBD}"/>
    <cellStyle name="Migliaia 3 6 3 2" xfId="35281" xr:uid="{CD2B49EC-5778-4BA8-8BCD-AD62C9F1DE09}"/>
    <cellStyle name="Migliaia 3 6 3 2 2" xfId="40441" xr:uid="{4AEC29A7-FF7B-4880-AD1B-B3DB26B182D5}"/>
    <cellStyle name="Migliaia 3 6 3 2 3" xfId="45743" xr:uid="{6368EBD1-9229-4DFF-8FCD-15EDF40C472F}"/>
    <cellStyle name="Migliaia 3 6 3 3" xfId="37790" xr:uid="{71E26BEF-0626-4F17-9CE7-8D62E32EC048}"/>
    <cellStyle name="Migliaia 3 6 3 4" xfId="43092" xr:uid="{81F120F6-CD39-4376-A26B-C0A42778C4FB}"/>
    <cellStyle name="Migliaia 3 6 3 5" xfId="9688" xr:uid="{69A87F3A-4DAF-4D72-A6BD-4CCF1C096298}"/>
    <cellStyle name="Migliaia 3 6 4" xfId="20323" xr:uid="{3279C1AE-4954-4B0E-9271-4BB156D5B695}"/>
    <cellStyle name="Migliaia 3 6 4 2" xfId="39188" xr:uid="{3E10176E-7EBE-4291-8A36-F3DC9A5B2823}"/>
    <cellStyle name="Migliaia 3 6 4 3" xfId="44490" xr:uid="{42E4F3BE-A6F2-450E-AD61-014B91635077}"/>
    <cellStyle name="Migliaia 3 6 4 4" xfId="33707" xr:uid="{330C66FD-6300-4D45-93AD-79C09A11F946}"/>
    <cellStyle name="Migliaia 3 6 5" xfId="36638" xr:uid="{2C9D3A2F-9290-47E0-A24D-AD9B03BC7269}"/>
    <cellStyle name="Migliaia 3 6 6" xfId="41839" xr:uid="{68B23F4E-0ACC-4C9A-A26F-F048BC0FB8AE}"/>
    <cellStyle name="Migliaia 3 6 7" xfId="16359" xr:uid="{1428987C-C8FE-4FAA-95EC-D38D4991BB86}"/>
    <cellStyle name="Migliaia 3 6 8" xfId="7422" xr:uid="{8D1632F9-027F-4FA4-BB6E-199597B2DB53}"/>
    <cellStyle name="Migliaia 3 7" xfId="3470" xr:uid="{48053378-162A-4E35-9A47-223903F93243}"/>
    <cellStyle name="Migliaia 3 7 2" xfId="5196" xr:uid="{6FF6ADF3-AF9F-4E09-8283-13A4239A16D0}"/>
    <cellStyle name="Migliaia 3 7 2 2" xfId="35282" xr:uid="{EA2DF3DC-A2C7-45D1-A659-2944F01D0FB1}"/>
    <cellStyle name="Migliaia 3 7 2 2 2" xfId="40442" xr:uid="{8290CF28-4E48-47C2-8323-6B73274BD2F6}"/>
    <cellStyle name="Migliaia 3 7 2 2 3" xfId="45744" xr:uid="{E65E8F78-8A6E-4139-95B3-7FC3E11B3FCE}"/>
    <cellStyle name="Migliaia 3 7 2 3" xfId="37791" xr:uid="{2289BDF4-D6AA-4103-94BB-CF1FADD16662}"/>
    <cellStyle name="Migliaia 3 7 2 4" xfId="43093" xr:uid="{5293B9CA-6CCA-4623-90D1-8730270D4735}"/>
    <cellStyle name="Migliaia 3 7 2 5" xfId="14245" xr:uid="{9C07392D-1B76-459D-9516-32C46B14119E}"/>
    <cellStyle name="Migliaia 3 7 3" xfId="6397" xr:uid="{D907F8DC-D21C-4096-A03A-A32A0225056A}"/>
    <cellStyle name="Migliaia 3 7 3 2" xfId="39189" xr:uid="{A0AE4DCB-2AFB-4E98-9B95-527CEF7EAE40}"/>
    <cellStyle name="Migliaia 3 7 3 3" xfId="44491" xr:uid="{F0D3C82D-0FD2-47CA-9A83-FA4B1C201557}"/>
    <cellStyle name="Migliaia 3 7 3 4" xfId="33708" xr:uid="{8DB5A8E2-5FC7-4D45-85F7-149E408AD9BD}"/>
    <cellStyle name="Migliaia 3 7 3 5" xfId="20325" xr:uid="{8AE1EC84-757B-40A7-8680-E0C11EA8AAAB}"/>
    <cellStyle name="Migliaia 3 7 4" xfId="36639" xr:uid="{C453F510-4732-4309-AFE7-4F6BEFCA9260}"/>
    <cellStyle name="Migliaia 3 7 5" xfId="41840" xr:uid="{D55DD9DC-28BE-4D82-ABA9-775EDF57BF44}"/>
    <cellStyle name="Migliaia 3 7 6" xfId="16361" xr:uid="{5FC293CF-1E58-4110-A4AC-8B8BCC52D2B1}"/>
    <cellStyle name="Migliaia 3 7 7" xfId="8307" xr:uid="{E3B612E2-CA31-49BE-9229-FA85BEDAD998}"/>
    <cellStyle name="Migliaia 3 8" xfId="3471" xr:uid="{15D42DEB-56E7-4F21-9728-7E47F2EC2760}"/>
    <cellStyle name="Migliaia 3 8 2" xfId="5197" xr:uid="{88BDFB1F-65C7-473E-9041-2777851976FE}"/>
    <cellStyle name="Migliaia 3 8 2 2" xfId="35283" xr:uid="{BE584D30-E2B0-4B15-89C7-0D2FFBF4E45D}"/>
    <cellStyle name="Migliaia 3 8 2 2 2" xfId="40443" xr:uid="{7B174B7F-EF09-4316-9E09-8DD81ED36751}"/>
    <cellStyle name="Migliaia 3 8 2 2 3" xfId="45745" xr:uid="{0677EA17-3BA2-495F-B89C-6F34273D7BE2}"/>
    <cellStyle name="Migliaia 3 8 2 3" xfId="37792" xr:uid="{911DD4B3-197A-4786-A1F4-425FACB37860}"/>
    <cellStyle name="Migliaia 3 8 2 4" xfId="43094" xr:uid="{316E220E-9FD8-4F7E-8178-52E6C999A421}"/>
    <cellStyle name="Migliaia 3 8 2 5" xfId="13950" xr:uid="{A95846F9-4D5F-453C-8A3D-6057822A3A3D}"/>
    <cellStyle name="Migliaia 3 8 3" xfId="6398" xr:uid="{919FBE93-8F43-42BB-AAB5-F9238F8D905E}"/>
    <cellStyle name="Migliaia 3 8 3 2" xfId="39190" xr:uid="{9201E0D4-0EDB-4AF3-ADA9-B90C3EE038BB}"/>
    <cellStyle name="Migliaia 3 8 3 3" xfId="44492" xr:uid="{AC8A3201-2140-4342-8C6D-4AFDB0FCA236}"/>
    <cellStyle name="Migliaia 3 8 3 4" xfId="33709" xr:uid="{450AE51E-456C-4027-9BEE-60C6B9E1B4CE}"/>
    <cellStyle name="Migliaia 3 8 3 5" xfId="20326" xr:uid="{7152285D-9CB8-4309-921A-56412A2F7619}"/>
    <cellStyle name="Migliaia 3 8 4" xfId="36640" xr:uid="{5D50F8D5-1EBB-4A37-9487-F8647716D360}"/>
    <cellStyle name="Migliaia 3 8 5" xfId="41841" xr:uid="{6F40C837-231E-4827-BCE2-A78833D19D7A}"/>
    <cellStyle name="Migliaia 3 8 6" xfId="16362" xr:uid="{8DAF0B35-08BE-4EF2-B9BD-CBF24819474F}"/>
    <cellStyle name="Migliaia 3 8 7" xfId="7910" xr:uid="{883CB913-6C16-4D0D-8E53-814B405DAC83}"/>
    <cellStyle name="Migliaia 3 9" xfId="5182" xr:uid="{85D40718-79DB-400A-8FC9-21A832BE5A0B}"/>
    <cellStyle name="Migliaia 3 9 2" xfId="33710" xr:uid="{3F62DB1D-C0BB-45A2-AC29-06596BD52680}"/>
    <cellStyle name="Migliaia 3 9 2 2" xfId="39191" xr:uid="{DDD02A27-A743-4278-AFD6-84248B6950ED}"/>
    <cellStyle name="Migliaia 3 9 2 3" xfId="44493" xr:uid="{7B8A0BA7-FBCF-4884-974F-00BBFA451C9B}"/>
    <cellStyle name="Migliaia 3 9 3" xfId="36641" xr:uid="{0C8FB881-5AC3-41CE-BC51-AF575E548189}"/>
    <cellStyle name="Migliaia 3 9 4" xfId="41842" xr:uid="{F99F05D8-F102-4A72-AB50-67A7FCE5BCA0}"/>
    <cellStyle name="Migliaia 3 9 5" xfId="17179" xr:uid="{4E479DE3-D616-4774-8907-5D8DEE44EBEF}"/>
    <cellStyle name="Migliaia 30" xfId="393" xr:uid="{00000000-0005-0000-0000-00008E030000}"/>
    <cellStyle name="Migliaia 30 10" xfId="6399" xr:uid="{A5648ECD-860E-4122-89C8-325B7500BDC5}"/>
    <cellStyle name="Migliaia 30 10 2" xfId="39192" xr:uid="{8F747DBB-0A0C-4696-B389-205DAED82328}"/>
    <cellStyle name="Migliaia 30 10 3" xfId="44494" xr:uid="{004D6E4E-0655-45CC-BDB3-3B9B33D6E3ED}"/>
    <cellStyle name="Migliaia 30 10 4" xfId="33711" xr:uid="{E80FB02C-7AD8-47A4-8F7F-7DC34ACF5C81}"/>
    <cellStyle name="Migliaia 30 10 5" xfId="20327" xr:uid="{4955DF4F-532D-42F7-8A7F-BDDF9F187F81}"/>
    <cellStyle name="Migliaia 30 11" xfId="3472" xr:uid="{454AC107-67C6-4B2C-A5EC-54855A0A005D}"/>
    <cellStyle name="Migliaia 30 11 2" xfId="36642" xr:uid="{BA014391-494C-4949-83B4-D6ACC2F5D65C}"/>
    <cellStyle name="Migliaia 30 12" xfId="41843" xr:uid="{9C9333D2-2823-4ED8-AC20-2AD61AA0D111}"/>
    <cellStyle name="Migliaia 30 13" xfId="7111" xr:uid="{B23ACD30-AFE8-4E0D-9B2A-9DB508A89F80}"/>
    <cellStyle name="Migliaia 30 2" xfId="394" xr:uid="{00000000-0005-0000-0000-00008F030000}"/>
    <cellStyle name="Migliaia 30 2 2" xfId="1771" xr:uid="{00000000-0005-0000-0000-000090030000}"/>
    <cellStyle name="Migliaia 30 2 2 2" xfId="5200" xr:uid="{E0AEA813-7543-48B8-8626-F0535C00C9C9}"/>
    <cellStyle name="Migliaia 30 2 2 2 2" xfId="14386" xr:uid="{7249433E-82D8-4D38-8C41-70A352DC80BD}"/>
    <cellStyle name="Migliaia 30 2 2 2 2 2" xfId="39193" xr:uid="{73526497-DE94-4878-BBD8-2D42DED5496B}"/>
    <cellStyle name="Migliaia 30 2 2 2 2 3" xfId="44495" xr:uid="{FC3B37DE-DB26-45E2-8BD0-A42CC9971059}"/>
    <cellStyle name="Migliaia 30 2 2 2 3" xfId="18431" xr:uid="{F6CCEFF3-A21D-4792-B85F-E405C3559808}"/>
    <cellStyle name="Migliaia 30 2 2 2 4" xfId="20330" xr:uid="{100E6205-9FEC-4D90-8C39-013A4579F07C}"/>
    <cellStyle name="Migliaia 30 2 2 2 4 2" xfId="41844" xr:uid="{C75FEED6-16E1-46CB-AE45-0823AB745D46}"/>
    <cellStyle name="Migliaia 30 2 2 2 5" xfId="16363" xr:uid="{B1A1B54C-6D5C-4B1A-BC66-7C73AB9B8B5B}"/>
    <cellStyle name="Migliaia 30 2 2 2 6" xfId="8619" xr:uid="{D5A6E31F-55F1-429C-A88A-6AB06513A248}"/>
    <cellStyle name="Migliaia 30 2 2 3" xfId="6401" xr:uid="{DA046622-A29E-4DCB-98C4-2FD211D71D1E}"/>
    <cellStyle name="Migliaia 30 2 2 3 2" xfId="35284" xr:uid="{056DA51B-5EBC-4120-8B42-46CEB025AD8B}"/>
    <cellStyle name="Migliaia 30 2 2 3 2 2" xfId="40444" xr:uid="{2F3241A8-52C2-4578-838F-B0875A221A19}"/>
    <cellStyle name="Migliaia 30 2 2 3 2 3" xfId="45746" xr:uid="{ABA0D763-ED03-4864-ABDC-2ACE46165357}"/>
    <cellStyle name="Migliaia 30 2 2 3 3" xfId="37793" xr:uid="{55EFB5E8-5427-4F97-BECE-3DA4185E15D7}"/>
    <cellStyle name="Migliaia 30 2 2 3 4" xfId="43095" xr:uid="{16EB5A2A-3BD2-4B29-83A4-B7122E7EF775}"/>
    <cellStyle name="Migliaia 30 2 2 3 5" xfId="11613" xr:uid="{BEE57005-A71A-4B9F-A41D-B603D40BB359}"/>
    <cellStyle name="Migliaia 30 2 2 4" xfId="3474" xr:uid="{26F018B4-1908-45AB-A65D-CBC9DA6608C9}"/>
    <cellStyle name="Migliaia 30 2 2 4 2" xfId="21483" xr:uid="{D0BBDD07-95BC-4ADE-AA1A-E7A25BB1EB69}"/>
    <cellStyle name="Migliaia 30 2 2 4 3" xfId="24246" xr:uid="{F4A75CCA-AB0E-4852-8A40-A12357B3BA3B}"/>
    <cellStyle name="Migliaia 30 2 2 4 4" xfId="50498" xr:uid="{9FF04DF8-6082-4AE2-874D-63F52098B88B}"/>
    <cellStyle name="Migliaia 30 2 2 4 5" xfId="53514" xr:uid="{554BC12F-1F89-4441-A91F-0222F294B431}"/>
    <cellStyle name="Migliaia 30 2 2 4 6" xfId="10848" xr:uid="{7BA23690-754E-4A64-9B46-82FA47E3F3F4}"/>
    <cellStyle name="Migliaia 30 2 2 5" xfId="20329" xr:uid="{F11EF128-A71E-441A-9A9C-7941B3AD0406}"/>
    <cellStyle name="Migliaia 30 2 2 6" xfId="24711" xr:uid="{E18B8AF1-2C40-4A48-BA54-8975BB5B49EE}"/>
    <cellStyle name="Migliaia 30 2 2 7" xfId="7429" xr:uid="{2A17F788-7F56-4EA0-A58B-EE39E495ED7A}"/>
    <cellStyle name="Migliaia 30 2 3" xfId="3475" xr:uid="{23DEB432-F546-4226-9A47-015B79582893}"/>
    <cellStyle name="Migliaia 30 2 3 2" xfId="5201" xr:uid="{8CF7DF5B-1D03-43BC-AE4F-AF0DFCDED04E}"/>
    <cellStyle name="Migliaia 30 2 3 2 2" xfId="35285" xr:uid="{76C74D0E-831C-4BFB-8FA0-E31006D98853}"/>
    <cellStyle name="Migliaia 30 2 3 2 2 2" xfId="40445" xr:uid="{2AFECBCC-03B2-4843-85F6-97964A87D6F6}"/>
    <cellStyle name="Migliaia 30 2 3 2 2 3" xfId="45747" xr:uid="{1975CD0B-8ECD-4221-8E0C-19F4B5E56A59}"/>
    <cellStyle name="Migliaia 30 2 3 2 3" xfId="37794" xr:uid="{78380FB5-1825-45DA-847A-D8596711A21D}"/>
    <cellStyle name="Migliaia 30 2 3 2 4" xfId="43096" xr:uid="{46C7669F-38CA-4363-AE62-B03E8D4765BD}"/>
    <cellStyle name="Migliaia 30 2 3 2 5" xfId="14249" xr:uid="{9E6E39FB-6A25-40EA-9A15-0AAA53128DE4}"/>
    <cellStyle name="Migliaia 30 2 3 3" xfId="6402" xr:uid="{B5027A94-0D22-4EDF-8B39-D76E154F08CE}"/>
    <cellStyle name="Migliaia 30 2 3 3 2" xfId="39194" xr:uid="{D260EDEC-B10B-4CBC-94F3-17B6C317B9B5}"/>
    <cellStyle name="Migliaia 30 2 3 3 3" xfId="44496" xr:uid="{A4E8B028-4772-472A-9752-833CD68BBD89}"/>
    <cellStyle name="Migliaia 30 2 3 3 4" xfId="33712" xr:uid="{66CAC975-7322-435D-A820-2AE591A83BC9}"/>
    <cellStyle name="Migliaia 30 2 3 3 5" xfId="20331" xr:uid="{ADFA2F69-A015-4D65-8834-D5374C2E5E51}"/>
    <cellStyle name="Migliaia 30 2 3 4" xfId="36643" xr:uid="{39247A37-4CBD-4DD3-BEE8-3CF5C1A043D5}"/>
    <cellStyle name="Migliaia 30 2 3 5" xfId="41845" xr:uid="{7B419655-0CCC-489C-BB3E-C039652ED4DF}"/>
    <cellStyle name="Migliaia 30 2 3 6" xfId="16364" xr:uid="{63924203-70D8-4FA8-8414-81A7FA341005}"/>
    <cellStyle name="Migliaia 30 2 3 7" xfId="8311" xr:uid="{F3EEE0F3-6604-4294-B92F-477E330CABCA}"/>
    <cellStyle name="Migliaia 30 2 4" xfId="5199" xr:uid="{150FD2A8-D660-4FF1-89AE-7C59A8427C69}"/>
    <cellStyle name="Migliaia 30 2 4 2" xfId="13954" xr:uid="{C6C8BF2F-B00A-4A7B-B813-628A66B7CCD7}"/>
    <cellStyle name="Migliaia 30 2 4 2 2" xfId="39195" xr:uid="{3ACDDEE5-7B12-4C9F-9218-888066CD1F5D}"/>
    <cellStyle name="Migliaia 30 2 4 2 3" xfId="44497" xr:uid="{C42F20D0-851C-43C1-A1B0-9DF082BCC607}"/>
    <cellStyle name="Migliaia 30 2 4 3" xfId="18710" xr:uid="{485A5D4B-CB74-4BAB-9101-179D2D1D3F3E}"/>
    <cellStyle name="Migliaia 30 2 4 4" xfId="20332" xr:uid="{82E14BE6-683F-4840-808C-D37FED1AA136}"/>
    <cellStyle name="Migliaia 30 2 4 4 2" xfId="41846" xr:uid="{25EAEAE7-F8E0-40AE-AC69-4710B0FB1620}"/>
    <cellStyle name="Migliaia 30 2 4 5" xfId="16365" xr:uid="{53F87EDF-8A43-438B-98C7-B24AEF5447D1}"/>
    <cellStyle name="Migliaia 30 2 4 6" xfId="7915" xr:uid="{83743459-BC46-477C-BB85-634A32D8D44E}"/>
    <cellStyle name="Migliaia 30 2 5" xfId="6400" xr:uid="{D5660956-E602-4205-87D5-0C3D81427E79}"/>
    <cellStyle name="Migliaia 30 2 5 2" xfId="33713" xr:uid="{5C5E4AC4-E4FE-499F-87E9-D7911141773E}"/>
    <cellStyle name="Migliaia 30 2 5 2 2" xfId="39196" xr:uid="{9AF3A426-0344-4277-80F2-4F2CF9D7D646}"/>
    <cellStyle name="Migliaia 30 2 5 2 3" xfId="44498" xr:uid="{BAB41C4C-E4C9-48B2-9A13-A77A9568A823}"/>
    <cellStyle name="Migliaia 30 2 5 3" xfId="36644" xr:uid="{4FD60243-636F-4674-8C38-77F30ACE5708}"/>
    <cellStyle name="Migliaia 30 2 5 4" xfId="41847" xr:uid="{E2BCEBD6-9375-4AD2-B52A-617E6D5B600D}"/>
    <cellStyle name="Migliaia 30 2 5 5" xfId="13126" xr:uid="{477E10E1-523A-465D-A5F9-8AA817B024A5}"/>
    <cellStyle name="Migliaia 30 2 6" xfId="3473" xr:uid="{82706221-2683-4664-96EA-B4FB27BBB7E2}"/>
    <cellStyle name="Migliaia 30 2 6 2" xfId="33714" xr:uid="{2DF0CE6E-4D9B-45B8-B423-B6F398EC934C}"/>
    <cellStyle name="Migliaia 30 2 6 2 2" xfId="39197" xr:uid="{57B718D8-1186-4C06-AA82-0A636250EC1D}"/>
    <cellStyle name="Migliaia 30 2 6 2 3" xfId="44499" xr:uid="{AB704346-B3BF-42D7-AF25-7D2C84C922CD}"/>
    <cellStyle name="Migliaia 30 2 6 3" xfId="36645" xr:uid="{FBDA71A9-F22F-4523-90C4-255FF58AFECF}"/>
    <cellStyle name="Migliaia 30 2 6 4" xfId="41848" xr:uid="{317AFB63-6FF1-4752-8CB7-7CA6F44D24B4}"/>
    <cellStyle name="Migliaia 30 2 6 5" xfId="24712" xr:uid="{6AE27751-4701-4CD6-B331-9987EE62D99A}"/>
    <cellStyle name="Migliaia 30 2 6 6" xfId="20328" xr:uid="{21408A80-4A40-4D25-BDE4-18707469DCFA}"/>
    <cellStyle name="Migliaia 30 2 7" xfId="24710" xr:uid="{551E7B3B-65A7-4DCF-A2B7-4B0F802D7629}"/>
    <cellStyle name="Migliaia 30 2 8" xfId="7112" xr:uid="{42A92627-6D26-4ECD-9891-CA69BC72EB51}"/>
    <cellStyle name="Migliaia 30 3" xfId="395" xr:uid="{00000000-0005-0000-0000-000091030000}"/>
    <cellStyle name="Migliaia 30 3 10" xfId="24713" xr:uid="{FED73AAC-B04C-42F1-ADF5-0EB5B4EBDB3B}"/>
    <cellStyle name="Migliaia 30 3 11" xfId="16366" xr:uid="{59B4B393-DF20-49A2-AE60-C21532A3C109}"/>
    <cellStyle name="Migliaia 30 3 12" xfId="7113" xr:uid="{5FD84C13-E3DA-496D-85AE-CB880367A4A1}"/>
    <cellStyle name="Migliaia 30 3 2" xfId="396" xr:uid="{00000000-0005-0000-0000-000092030000}"/>
    <cellStyle name="Migliaia 30 3 2 2" xfId="1772" xr:uid="{00000000-0005-0000-0000-000093030000}"/>
    <cellStyle name="Migliaia 30 3 2 2 2" xfId="5204" xr:uid="{7D6B1815-EA21-468F-B290-F2087F9DCDCA}"/>
    <cellStyle name="Migliaia 30 3 2 2 2 2" xfId="18432" xr:uid="{A5E2DA12-22EE-4E57-B535-8A51D84C6C8E}"/>
    <cellStyle name="Migliaia 30 3 2 2 2 2 2" xfId="21864" xr:uid="{1B7B7826-7CAE-48B8-8262-99D41D49B05D}"/>
    <cellStyle name="Migliaia 30 3 2 2 2 2 2 2" xfId="39198" xr:uid="{E130DDB2-E654-445F-B791-4338E06607EE}"/>
    <cellStyle name="Migliaia 30 3 2 2 2 2 3" xfId="44500" xr:uid="{7519C82E-7635-4C16-953E-B9C47C7722A5}"/>
    <cellStyle name="Migliaia 30 3 2 2 2 2 4" xfId="33715" xr:uid="{C472D08C-D465-45F3-82F3-51C543F4FC15}"/>
    <cellStyle name="Migliaia 30 3 2 2 2 3" xfId="36646" xr:uid="{3FDE9353-96B3-41E2-ABA8-9923AB02D8E1}"/>
    <cellStyle name="Migliaia 30 3 2 2 2 4" xfId="41849" xr:uid="{16E2314A-4CC4-40F1-B0D5-D8DDD9C9C0EA}"/>
    <cellStyle name="Migliaia 30 3 2 2 2 5" xfId="46746" xr:uid="{446E29C4-50F2-49E2-9483-A8BFE3849F76}"/>
    <cellStyle name="Migliaia 30 3 2 2 2 6" xfId="50892" xr:uid="{D0F9E053-73C8-4D25-8122-0B9DF721FF40}"/>
    <cellStyle name="Migliaia 30 3 2 2 2 7" xfId="53908" xr:uid="{50198887-2141-481A-9664-B11C6367F73E}"/>
    <cellStyle name="Migliaia 30 3 2 2 2 8" xfId="17661" xr:uid="{D98E0DAF-BA31-4D9E-838E-6C2A1C85CFDF}"/>
    <cellStyle name="Migliaia 30 3 2 2 2 9" xfId="11979" xr:uid="{87F1F3E8-D03B-4C5A-95EF-6C9F6BEF7067}"/>
    <cellStyle name="Migliaia 30 3 2 2 3" xfId="6405" xr:uid="{BD21E60F-67DE-4E42-9B82-27723192E713}"/>
    <cellStyle name="Migliaia 30 3 2 2 3 2" xfId="11560" xr:uid="{D7BFF263-50ED-48AC-942F-ADAE8A4E0C8B}"/>
    <cellStyle name="Migliaia 30 3 2 2 4" xfId="3478" xr:uid="{B9AE7AE0-3EE4-4628-B7A0-53212959F676}"/>
    <cellStyle name="Migliaia 30 3 2 2 4 2" xfId="21484" xr:uid="{FC5A4806-0DD4-4CC9-9FDA-82D59F5C8131}"/>
    <cellStyle name="Migliaia 30 3 2 2 4 3" xfId="46238" xr:uid="{1A9939A2-55B1-49B1-BC46-39941D6CDDBD}"/>
    <cellStyle name="Migliaia 30 3 2 2 4 4" xfId="50499" xr:uid="{A41A48FC-FB80-4B2D-9F78-A57B29D18497}"/>
    <cellStyle name="Migliaia 30 3 2 2 4 5" xfId="53515" xr:uid="{5A7BE3AC-3C56-4CD4-B948-631F180ECFB0}"/>
    <cellStyle name="Migliaia 30 3 2 2 4 6" xfId="10849" xr:uid="{841AE8E6-929D-483E-8420-A377FC2AEBBE}"/>
    <cellStyle name="Migliaia 30 3 2 2 5" xfId="20335" xr:uid="{E9CFA853-ECE0-46FB-B8E9-DA63EE433DAF}"/>
    <cellStyle name="Migliaia 30 3 2 2 6" xfId="24715" xr:uid="{EDC6098E-79CD-4EC6-8158-C1FA91F80704}"/>
    <cellStyle name="Migliaia 30 3 2 2 7" xfId="8621" xr:uid="{45C1A354-4317-4FDB-9FC8-9A6C9EF6A0D7}"/>
    <cellStyle name="Migliaia 30 3 2 3" xfId="5203" xr:uid="{B2AC3962-A88D-4736-8A1C-2D4E19B6A51A}"/>
    <cellStyle name="Migliaia 30 3 2 3 2" xfId="12225" xr:uid="{5788B2E8-3602-418D-88AA-9E3B8214F6BA}"/>
    <cellStyle name="Migliaia 30 3 2 3 2 2" xfId="39199" xr:uid="{5E5C738A-7234-45B9-955E-D30F8BDA98BB}"/>
    <cellStyle name="Migliaia 30 3 2 3 2 3" xfId="44501" xr:uid="{0F47F385-D462-45B6-9471-33DF6928FB01}"/>
    <cellStyle name="Migliaia 30 3 2 3 2 4" xfId="33716" xr:uid="{A72C8A04-86B5-4A50-9D2C-B82A142292EA}"/>
    <cellStyle name="Migliaia 30 3 2 3 3" xfId="11980" xr:uid="{F8C67FD5-BFEF-4189-98EF-8245B134EEA0}"/>
    <cellStyle name="Migliaia 30 3 2 3 4" xfId="20336" xr:uid="{506EBAED-4E09-4B32-97B6-33C6CDFC5148}"/>
    <cellStyle name="Migliaia 30 3 2 3 4 2" xfId="41850" xr:uid="{2B971D80-4D63-4143-8F4F-CEE3B0BF7E10}"/>
    <cellStyle name="Migliaia 30 3 2 3 5" xfId="16367" xr:uid="{AC68D614-D796-4159-A447-D89987B45C57}"/>
    <cellStyle name="Migliaia 30 3 2 3 6" xfId="7917" xr:uid="{E587FD83-5F80-4B5B-B28B-D988A341FFEC}"/>
    <cellStyle name="Migliaia 30 3 2 4" xfId="6404" xr:uid="{CC683E42-6C44-4900-BB4A-D126D13071EC}"/>
    <cellStyle name="Migliaia 30 3 2 4 2" xfId="18080" xr:uid="{095B8162-C274-4B36-91B1-ED2AFB1D0A43}"/>
    <cellStyle name="Migliaia 30 3 2 4 2 2" xfId="39200" xr:uid="{E0ECF26D-7A87-4735-8185-07505555996C}"/>
    <cellStyle name="Migliaia 30 3 2 4 2 3" xfId="44502" xr:uid="{A064EC62-7D19-47D1-B3FD-1E966CCFA139}"/>
    <cellStyle name="Migliaia 30 3 2 4 3" xfId="36647" xr:uid="{5EB02D38-D055-4C93-B3D8-61B1659890B6}"/>
    <cellStyle name="Migliaia 30 3 2 4 4" xfId="41851" xr:uid="{D6FA08C3-16A7-4775-BA63-7D7A565C83E1}"/>
    <cellStyle name="Migliaia 30 3 2 4 5" xfId="17182" xr:uid="{87C2D892-C48D-4E79-92BE-D7734568EC30}"/>
    <cellStyle name="Migliaia 30 3 2 4 6" xfId="11328" xr:uid="{79E7287A-8CFC-4110-A472-750AA7BFE01A}"/>
    <cellStyle name="Migliaia 30 3 2 5" xfId="3477" xr:uid="{83184CD9-49A3-40AB-9EDC-A6F0BB731B7A}"/>
    <cellStyle name="Migliaia 30 3 2 5 2" xfId="33717" xr:uid="{37BB4AB5-7F18-4DCC-84E6-AD80D913A990}"/>
    <cellStyle name="Migliaia 30 3 2 5 2 2" xfId="39201" xr:uid="{27E4BF51-E007-4347-9B14-AE5BC6709DC5}"/>
    <cellStyle name="Migliaia 30 3 2 5 2 3" xfId="44503" xr:uid="{D460EC77-3EC5-41C5-A40D-1E5BDF688A80}"/>
    <cellStyle name="Migliaia 30 3 2 5 3" xfId="36648" xr:uid="{D7908918-2099-4AC3-ADCE-500CBFF08F16}"/>
    <cellStyle name="Migliaia 30 3 2 5 4" xfId="41852" xr:uid="{D0576A3D-8ECF-491C-B854-EFD84FB42D18}"/>
    <cellStyle name="Migliaia 30 3 2 5 5" xfId="17357" xr:uid="{B9CA2D42-E724-41FC-8AC6-55F471923E45}"/>
    <cellStyle name="Migliaia 30 3 2 6" xfId="20334" xr:uid="{BABE5A99-4C84-4ED2-8A55-F249BF219D1B}"/>
    <cellStyle name="Migliaia 30 3 2 6 2" xfId="33718" xr:uid="{962E4A8A-472F-4819-8529-C2A1D0F130C8}"/>
    <cellStyle name="Migliaia 30 3 2 6 2 2" xfId="39202" xr:uid="{B1F8E219-EA77-48C9-AEB2-B431EF6A5D67}"/>
    <cellStyle name="Migliaia 30 3 2 6 2 3" xfId="44504" xr:uid="{F34FD711-0784-4773-85F9-8107DB9556EF}"/>
    <cellStyle name="Migliaia 30 3 2 6 3" xfId="36649" xr:uid="{416B5542-9E82-410F-B1D2-BA4135C445C4}"/>
    <cellStyle name="Migliaia 30 3 2 6 4" xfId="41853" xr:uid="{18BD2CE7-6369-43BF-AB95-4218A082F54A}"/>
    <cellStyle name="Migliaia 30 3 2 6 5" xfId="24716" xr:uid="{6CE64E50-19B3-4497-AFEF-233441D53AF1}"/>
    <cellStyle name="Migliaia 30 3 2 7" xfId="24714" xr:uid="{5F44299B-89A6-4344-89AD-DC7DF2F8C548}"/>
    <cellStyle name="Migliaia 30 3 2 8" xfId="7431" xr:uid="{F09E7E4E-EE0A-4555-BFC4-D73CA9974BFF}"/>
    <cellStyle name="Migliaia 30 3 3" xfId="3479" xr:uid="{BCEC0B74-6A62-4048-8905-84CB0B285D7F}"/>
    <cellStyle name="Migliaia 30 3 3 10" xfId="7430" xr:uid="{0B9C5F61-E1B9-492E-AE28-AFD0CC037AE4}"/>
    <cellStyle name="Migliaia 30 3 3 2" xfId="5205" xr:uid="{23E53A7D-D34B-4CC9-92BC-BA560E98EA7D}"/>
    <cellStyle name="Migliaia 30 3 3 2 2" xfId="9928" xr:uid="{9936BBD0-6677-47A1-A5D9-A5A0C3FD59EB}"/>
    <cellStyle name="Migliaia 30 3 3 2 2 2" xfId="39204" xr:uid="{3794DDE3-ACF2-4E05-B984-377A4E79E685}"/>
    <cellStyle name="Migliaia 30 3 3 2 2 3" xfId="44506" xr:uid="{5872A4D7-764D-4272-8CE9-77EE32BE05BB}"/>
    <cellStyle name="Migliaia 30 3 3 2 3" xfId="18208" xr:uid="{767D271F-C678-49E6-891D-45AF99D934DE}"/>
    <cellStyle name="Migliaia 30 3 3 2 4" xfId="20338" xr:uid="{1B98DF35-94D8-48CA-9926-F827106704A6}"/>
    <cellStyle name="Migliaia 30 3 3 2 4 2" xfId="41855" xr:uid="{4F864097-3547-45DF-BBC6-5512A96C2C51}"/>
    <cellStyle name="Migliaia 30 3 3 2 5" xfId="16369" xr:uid="{08D02F96-2374-4201-925C-560709BACC4D}"/>
    <cellStyle name="Migliaia 30 3 3 2 6" xfId="8620" xr:uid="{0AF293D7-4895-4DB9-B86B-A985B0C40959}"/>
    <cellStyle name="Migliaia 30 3 3 3" xfId="6406" xr:uid="{B9E33C39-A9FD-4A66-B62A-275DAC177203}"/>
    <cellStyle name="Migliaia 30 3 3 3 2" xfId="33721" xr:uid="{F8CEFF93-2A97-48D2-9D5B-A70DB544F695}"/>
    <cellStyle name="Migliaia 30 3 3 3 2 2" xfId="39205" xr:uid="{5A8F374C-71F7-4869-A913-0B0002061B87}"/>
    <cellStyle name="Migliaia 30 3 3 3 2 3" xfId="44507" xr:uid="{2F9851BB-238C-4EE3-85B2-0ECED38F5CFB}"/>
    <cellStyle name="Migliaia 30 3 3 3 3" xfId="36651" xr:uid="{F521A79B-171D-4244-825F-6F5D8A4A3B41}"/>
    <cellStyle name="Migliaia 30 3 3 3 4" xfId="41856" xr:uid="{056CF958-C60D-4CB1-B54D-2A8E435BDE29}"/>
    <cellStyle name="Migliaia 30 3 3 3 5" xfId="9691" xr:uid="{9B613017-EC2D-47A1-A33B-EB22DB579D96}"/>
    <cellStyle name="Migliaia 30 3 3 4" xfId="20337" xr:uid="{B708D6E9-3454-43CB-861E-24E879379742}"/>
    <cellStyle name="Migliaia 30 3 3 4 2" xfId="33722" xr:uid="{13E335BA-F315-4A07-B722-815EBEDE3AAC}"/>
    <cellStyle name="Migliaia 30 3 3 4 2 2" xfId="39206" xr:uid="{D01EE959-8441-426D-8DC1-925BA3175A1C}"/>
    <cellStyle name="Migliaia 30 3 3 4 2 3" xfId="44508" xr:uid="{A213CBFD-D102-481D-8108-225551557CDF}"/>
    <cellStyle name="Migliaia 30 3 3 4 3" xfId="36652" xr:uid="{BD3B4AD5-B743-4C5F-8C24-EB6C06B6B628}"/>
    <cellStyle name="Migliaia 30 3 3 4 4" xfId="41857" xr:uid="{C470CF9D-B650-41E7-B38E-25DC3964C035}"/>
    <cellStyle name="Migliaia 30 3 3 4 5" xfId="24718" xr:uid="{6018FACA-64AF-470C-9C50-68A87A144FAE}"/>
    <cellStyle name="Migliaia 30 3 3 5" xfId="24719" xr:uid="{1D583DC6-8024-48C9-BDCC-85190C37E051}"/>
    <cellStyle name="Migliaia 30 3 3 5 2" xfId="33723" xr:uid="{5463703D-5BC6-483D-B320-58091FA45217}"/>
    <cellStyle name="Migliaia 30 3 3 5 2 2" xfId="39207" xr:uid="{E3F4D737-1B47-441A-BF81-F351EDB01926}"/>
    <cellStyle name="Migliaia 30 3 3 5 2 3" xfId="44509" xr:uid="{034CADF0-0E3E-408D-B50E-910553E30CBC}"/>
    <cellStyle name="Migliaia 30 3 3 5 3" xfId="36653" xr:uid="{07351CE9-258A-4D38-8DBC-76CF38C29450}"/>
    <cellStyle name="Migliaia 30 3 3 5 4" xfId="41858" xr:uid="{F2020D1F-E89B-456A-A0BE-F517CE27829D}"/>
    <cellStyle name="Migliaia 30 3 3 6" xfId="33719" xr:uid="{39F0A87A-0DDB-4A9B-98FD-A32AFA962D6C}"/>
    <cellStyle name="Migliaia 30 3 3 6 2" xfId="39203" xr:uid="{3072954F-4D20-4894-B870-F0B9B92676E5}"/>
    <cellStyle name="Migliaia 30 3 3 6 3" xfId="44505" xr:uid="{F9778812-1954-41BF-B326-7F67AB1A4B4D}"/>
    <cellStyle name="Migliaia 30 3 3 7" xfId="36650" xr:uid="{C3182692-0BB4-47D2-8B98-DE57D3770521}"/>
    <cellStyle name="Migliaia 30 3 3 8" xfId="41854" xr:uid="{19814CCA-2A0F-4E01-B286-5995BDF23474}"/>
    <cellStyle name="Migliaia 30 3 3 9" xfId="16368" xr:uid="{5327539B-C7C6-4B26-8DC0-14AD8FB0AADD}"/>
    <cellStyle name="Migliaia 30 3 4" xfId="3480" xr:uid="{3E766005-9029-4CD6-B4D3-718E1FCB0B33}"/>
    <cellStyle name="Migliaia 30 3 4 2" xfId="5206" xr:uid="{EA0AF834-7804-46D7-A624-3679C5F4BAEC}"/>
    <cellStyle name="Migliaia 30 3 4 2 2" xfId="14446" xr:uid="{99ACBA5C-7269-4708-A22F-5F33FA28D96B}"/>
    <cellStyle name="Migliaia 30 3 4 2 3" xfId="18129" xr:uid="{FAFBD324-0591-40EB-BEBA-4B78EA75FCB2}"/>
    <cellStyle name="Migliaia 30 3 4 2 4" xfId="20340" xr:uid="{00F684EA-3FBE-4055-BD28-49ED9E6003E3}"/>
    <cellStyle name="Migliaia 30 3 4 2 5" xfId="32371" xr:uid="{AA0778FF-54DE-4814-81C4-92F32A6B9B9A}"/>
    <cellStyle name="Migliaia 30 3 4 2 6" xfId="16371" xr:uid="{0C8805EE-0E68-4327-A457-692DAED903FA}"/>
    <cellStyle name="Migliaia 30 3 4 2 7" xfId="8869" xr:uid="{DCC5BC8C-A066-4DBA-83FA-768F01A4DB9A}"/>
    <cellStyle name="Migliaia 30 3 4 3" xfId="6407" xr:uid="{E78013D5-4B1F-479E-B94B-DFF72D47D5A7}"/>
    <cellStyle name="Migliaia 30 3 4 3 2" xfId="35286" xr:uid="{829EFB9E-53B2-4296-AE6C-177E07FAB93A}"/>
    <cellStyle name="Migliaia 30 3 4 3 2 2" xfId="40446" xr:uid="{F0096736-126A-4C1E-8C77-BC0B804D4062}"/>
    <cellStyle name="Migliaia 30 3 4 3 2 3" xfId="45748" xr:uid="{E640C6D2-E18A-4633-B674-553CE0C9C73F}"/>
    <cellStyle name="Migliaia 30 3 4 3 3" xfId="37795" xr:uid="{CB1FC906-08AF-494E-B62E-51E4F11D4553}"/>
    <cellStyle name="Migliaia 30 3 4 3 4" xfId="43097" xr:uid="{0CFD4D96-9787-43EF-8803-BA2E38852D4E}"/>
    <cellStyle name="Migliaia 30 3 4 3 5" xfId="13694" xr:uid="{6568524B-6E96-4882-871D-D0C6AF1BC60C}"/>
    <cellStyle name="Migliaia 30 3 4 4" xfId="20339" xr:uid="{BA59736B-E073-4B97-8E5B-1853244F2A76}"/>
    <cellStyle name="Migliaia 30 3 4 4 2" xfId="39208" xr:uid="{C354E4BE-CEFC-4214-84E9-7094B0B691C7}"/>
    <cellStyle name="Migliaia 30 3 4 4 3" xfId="44510" xr:uid="{BC2127DA-4653-45CA-8F7A-0E06645505ED}"/>
    <cellStyle name="Migliaia 30 3 4 4 4" xfId="33724" xr:uid="{F89E95A4-553E-4883-8A68-848446B003DF}"/>
    <cellStyle name="Migliaia 30 3 4 5" xfId="36654" xr:uid="{79164FB8-3E19-4157-9417-EE4885BDFAB3}"/>
    <cellStyle name="Migliaia 30 3 4 6" xfId="41859" xr:uid="{97CC6DB2-6F24-463C-AE92-D086BC931B3F}"/>
    <cellStyle name="Migliaia 30 3 4 7" xfId="16370" xr:uid="{682D526D-B1D6-4A19-94FE-CDA7D1CD441B}"/>
    <cellStyle name="Migliaia 30 3 4 8" xfId="7679" xr:uid="{DED5059F-8FD7-4EE2-A132-D0D01108902A}"/>
    <cellStyle name="Migliaia 30 3 5" xfId="3481" xr:uid="{F628CF4A-8F2B-4E3E-ADE0-A5649EBBDA4A}"/>
    <cellStyle name="Migliaia 30 3 5 2" xfId="5207" xr:uid="{0E3D462A-AA33-4210-A2D0-FCAF1C77C04E}"/>
    <cellStyle name="Migliaia 30 3 5 2 2" xfId="35287" xr:uid="{EE528E7E-C091-4B56-BD35-E0FD20BED966}"/>
    <cellStyle name="Migliaia 30 3 5 2 2 2" xfId="40447" xr:uid="{747E29A1-0655-4B7E-AA7E-03C1677FE314}"/>
    <cellStyle name="Migliaia 30 3 5 2 2 3" xfId="45749" xr:uid="{BBAC4123-08E0-4A3C-ABB1-0A9EE39E691E}"/>
    <cellStyle name="Migliaia 30 3 5 2 3" xfId="37796" xr:uid="{8929FF6A-0E0F-4E78-9878-163FF0F5B022}"/>
    <cellStyle name="Migliaia 30 3 5 2 4" xfId="43098" xr:uid="{90A6AAC6-921E-41EB-9E18-FC07DDCE9BE5}"/>
    <cellStyle name="Migliaia 30 3 5 2 5" xfId="14250" xr:uid="{26B20B6C-850F-4731-8938-C8817CC8984A}"/>
    <cellStyle name="Migliaia 30 3 5 3" xfId="6408" xr:uid="{FEDE7A83-9A50-421D-A541-687FD89DF7E9}"/>
    <cellStyle name="Migliaia 30 3 5 3 2" xfId="39209" xr:uid="{EA744897-6432-46E3-A39D-159D655B69B2}"/>
    <cellStyle name="Migliaia 30 3 5 3 3" xfId="44511" xr:uid="{946A54CC-AE69-4453-BFEB-C35B8B5CB72E}"/>
    <cellStyle name="Migliaia 30 3 5 3 4" xfId="33725" xr:uid="{B145559E-A3FB-4301-B4A6-6A980E4651E9}"/>
    <cellStyle name="Migliaia 30 3 5 3 5" xfId="20341" xr:uid="{12CC33F4-DA52-4D26-ADC4-B874265330A7}"/>
    <cellStyle name="Migliaia 30 3 5 4" xfId="36655" xr:uid="{86D6A25F-8A26-4042-9FB7-1CC11EB3F3ED}"/>
    <cellStyle name="Migliaia 30 3 5 5" xfId="41860" xr:uid="{10928502-AF56-4C90-ADC6-B681015E48FF}"/>
    <cellStyle name="Migliaia 30 3 5 6" xfId="16372" xr:uid="{33C213A3-3F7B-4594-8008-32207257D527}"/>
    <cellStyle name="Migliaia 30 3 5 7" xfId="8312" xr:uid="{75A2A6EF-C678-4227-94C0-807DD32A37C9}"/>
    <cellStyle name="Migliaia 30 3 6" xfId="5202" xr:uid="{675D2E84-37F4-4173-97A0-3CFCE7D8B7A4}"/>
    <cellStyle name="Migliaia 30 3 6 2" xfId="13955" xr:uid="{6BA9A912-866E-4520-B5A8-E0EED40A1B6D}"/>
    <cellStyle name="Migliaia 30 3 6 2 2" xfId="39210" xr:uid="{D01B6576-1633-4F79-BA08-04D60943B3A3}"/>
    <cellStyle name="Migliaia 30 3 6 2 3" xfId="44512" xr:uid="{F5B9E89D-9270-4632-85CE-C7B47A410083}"/>
    <cellStyle name="Migliaia 30 3 6 3" xfId="18709" xr:uid="{09F27509-98B5-4BB6-B040-DB47B5E043D1}"/>
    <cellStyle name="Migliaia 30 3 6 4" xfId="20342" xr:uid="{EE21246B-3E5C-4D67-9F40-9EB05AE8A241}"/>
    <cellStyle name="Migliaia 30 3 6 4 2" xfId="41861" xr:uid="{2B153656-1737-4233-89B9-4AA60E1ABDE3}"/>
    <cellStyle name="Migliaia 30 3 6 5" xfId="16373" xr:uid="{BFA68F79-504F-4393-8AC2-B00C754A29C9}"/>
    <cellStyle name="Migliaia 30 3 6 6" xfId="7916" xr:uid="{3E33CA05-D8E4-490E-BC0D-3AE42E89BAA5}"/>
    <cellStyle name="Migliaia 30 3 7" xfId="6403" xr:uid="{3FE46D04-ED5C-4F0C-B98E-4DA394CA946F}"/>
    <cellStyle name="Migliaia 30 3 7 2" xfId="33726" xr:uid="{7C9BAE3B-B3B3-4873-A983-F8AF12F0D032}"/>
    <cellStyle name="Migliaia 30 3 7 2 2" xfId="39211" xr:uid="{CBC70E0A-7152-4001-9CB0-04DEDD575C56}"/>
    <cellStyle name="Migliaia 30 3 7 2 3" xfId="44513" xr:uid="{58E00C9E-D977-4310-BCE9-C1AF2346977C}"/>
    <cellStyle name="Migliaia 30 3 7 3" xfId="36656" xr:uid="{8258BAFD-1A67-49D2-B6A0-99A3F820C077}"/>
    <cellStyle name="Migliaia 30 3 7 4" xfId="41862" xr:uid="{2EA7BF84-01B0-4228-BE13-2E1C77AAFCDE}"/>
    <cellStyle name="Migliaia 30 3 7 5" xfId="11534" xr:uid="{15F6BA07-5633-4DB7-A604-927742C5B832}"/>
    <cellStyle name="Migliaia 30 3 8" xfId="3476" xr:uid="{5D31595A-A5CE-42D3-9CCA-19BBF18F5B24}"/>
    <cellStyle name="Migliaia 30 3 8 2" xfId="33727" xr:uid="{45D1701E-026C-4369-87C7-61B8D171C988}"/>
    <cellStyle name="Migliaia 30 3 8 2 2" xfId="39212" xr:uid="{C454EB8D-EEFD-461D-8758-337F646C024F}"/>
    <cellStyle name="Migliaia 30 3 8 2 3" xfId="44514" xr:uid="{C355B583-86C5-4CAE-8753-7028D86B3B3F}"/>
    <cellStyle name="Migliaia 30 3 8 3" xfId="36657" xr:uid="{868E49BA-72FE-4B51-BF91-1C3AFACF48DE}"/>
    <cellStyle name="Migliaia 30 3 8 4" xfId="41863" xr:uid="{D3CF6072-F5FB-45AE-8062-455D88574CEC}"/>
    <cellStyle name="Migliaia 30 3 8 5" xfId="24721" xr:uid="{73F5B3C9-F6CE-4D83-82BD-106D6FC97CB5}"/>
    <cellStyle name="Migliaia 30 3 8 6" xfId="17358" xr:uid="{CB98ED42-08F5-4655-B757-EA5FD3D8842E}"/>
    <cellStyle name="Migliaia 30 3 9" xfId="20333" xr:uid="{982DCCCA-6A0D-4E00-85CE-38B8D795DC70}"/>
    <cellStyle name="Migliaia 30 4" xfId="1773" xr:uid="{00000000-0005-0000-0000-000094030000}"/>
    <cellStyle name="Migliaia 30 4 2" xfId="1774" xr:uid="{00000000-0005-0000-0000-000095030000}"/>
    <cellStyle name="Migliaia 30 4 2 2" xfId="5209" xr:uid="{56E206C2-4597-42B2-8E8F-A347869D41BE}"/>
    <cellStyle name="Migliaia 30 4 2 2 2" xfId="33728" xr:uid="{3798D770-46C2-4E35-A5C6-F603CC9F7F2F}"/>
    <cellStyle name="Migliaia 30 4 2 2 2 2" xfId="39213" xr:uid="{1EB05D8E-0718-4611-83C1-A7E8379CA929}"/>
    <cellStyle name="Migliaia 30 4 2 2 2 3" xfId="44515" xr:uid="{49DF7062-238D-42EF-8EF1-EB8E7B8561C3}"/>
    <cellStyle name="Migliaia 30 4 2 2 3" xfId="36658" xr:uid="{19D4385E-BF02-48DE-A752-0D141EAC0ED3}"/>
    <cellStyle name="Migliaia 30 4 2 2 4" xfId="41864" xr:uid="{B0B6FE5F-A544-4095-97B2-5C702D3F8282}"/>
    <cellStyle name="Migliaia 30 4 2 2 5" xfId="9154" xr:uid="{491F0491-4CF0-47F3-9FFF-9AB7F36A631A}"/>
    <cellStyle name="Migliaia 30 4 2 3" xfId="3483" xr:uid="{9B9BBE27-1524-4F5A-BDAC-DAAD20337001}"/>
    <cellStyle name="Migliaia 30 4 2 3 2" xfId="33729" xr:uid="{9C892FAD-14D6-4B85-81E4-27679007AB0A}"/>
    <cellStyle name="Migliaia 30 4 2 3 2 2" xfId="39214" xr:uid="{70C42035-B171-4CEC-B7D0-3DC8F79EFA3F}"/>
    <cellStyle name="Migliaia 30 4 2 3 2 3" xfId="44516" xr:uid="{5C4A5F40-6A47-490F-B1A2-9CCCEE9983B1}"/>
    <cellStyle name="Migliaia 30 4 2 3 3" xfId="36659" xr:uid="{2D4DBCEE-05A5-4129-B63C-67869E88DB56}"/>
    <cellStyle name="Migliaia 30 4 2 3 4" xfId="41865" xr:uid="{624DDCA2-EE8E-4333-80F0-82F9A32DA215}"/>
    <cellStyle name="Migliaia 30 4 2 3 5" xfId="11981" xr:uid="{4F6CAD31-75ED-4EA4-A1F8-4116015C070E}"/>
    <cellStyle name="Migliaia 30 4 2 4" xfId="11330" xr:uid="{09F9EEC7-3009-4129-8D6E-D01DECD54FAD}"/>
    <cellStyle name="Migliaia 30 4 2 5" xfId="10851" xr:uid="{49FE2D0E-DD72-4872-8993-8CAC9C9D0E0F}"/>
    <cellStyle name="Migliaia 30 4 2 5 2" xfId="21486" xr:uid="{A77E5DC1-7FE1-4EA3-A1CC-CA7E5E0BDEAB}"/>
    <cellStyle name="Migliaia 30 4 2 5 3" xfId="46239" xr:uid="{57B40958-6FE5-4EAA-84A7-0E439D5FCE36}"/>
    <cellStyle name="Migliaia 30 4 2 5 4" xfId="50501" xr:uid="{4EC104F4-62F9-4210-89EC-CC2AF5FE8F96}"/>
    <cellStyle name="Migliaia 30 4 2 5 5" xfId="53517" xr:uid="{7B9CEBB0-344D-459F-B715-0CDAF83EA07A}"/>
    <cellStyle name="Migliaia 30 4 2 6" xfId="20344" xr:uid="{A45DAD50-1134-411E-8DD9-F9190A4651F9}"/>
    <cellStyle name="Migliaia 30 4 2 7" xfId="24723" xr:uid="{3D3403CF-A27E-4C6A-ABB4-CA9246C26D81}"/>
    <cellStyle name="Migliaia 30 4 2 8" xfId="8622" xr:uid="{9B9750C3-9905-4A60-9683-67A8980383A3}"/>
    <cellStyle name="Migliaia 30 4 3" xfId="5208" xr:uid="{FF260D4B-B5CD-49FA-80A2-89582506AB6B}"/>
    <cellStyle name="Migliaia 30 4 3 2" xfId="18209" xr:uid="{940D59C9-0718-4D75-A902-12D0AD6BE144}"/>
    <cellStyle name="Migliaia 30 4 3 2 2" xfId="39215" xr:uid="{15CAA479-ADEB-4186-919B-690C688F194E}"/>
    <cellStyle name="Migliaia 30 4 3 2 3" xfId="44517" xr:uid="{A66E3564-3A47-4551-8C05-BBC79DB1CB49}"/>
    <cellStyle name="Migliaia 30 4 3 3" xfId="36660" xr:uid="{886E546F-15A5-497D-9C7F-7A9EA048BA96}"/>
    <cellStyle name="Migliaia 30 4 3 4" xfId="41866" xr:uid="{E71E53AB-A84A-479F-9857-FBC2D8712277}"/>
    <cellStyle name="Migliaia 30 4 3 5" xfId="17356" xr:uid="{202CAA79-7231-4B0E-B68E-8B894D9EC638}"/>
    <cellStyle name="Migliaia 30 4 3 6" xfId="9155" xr:uid="{3881BCB5-44F9-4F25-9B11-C64964B1A25C}"/>
    <cellStyle name="Migliaia 30 4 4" xfId="6409" xr:uid="{B3CF7C90-5951-4675-BEB6-458A1E74A8D5}"/>
    <cellStyle name="Migliaia 30 4 4 2" xfId="33730" xr:uid="{4E3CEF7D-2E1F-45B4-BD4E-7071B499649C}"/>
    <cellStyle name="Migliaia 30 4 4 2 2" xfId="39216" xr:uid="{9A11F958-3A33-4E71-B081-CC407879F13E}"/>
    <cellStyle name="Migliaia 30 4 4 2 3" xfId="44518" xr:uid="{DACCB2B9-3361-4AE5-A429-639A43716959}"/>
    <cellStyle name="Migliaia 30 4 4 3" xfId="36661" xr:uid="{7DE67D05-0827-49E4-BADC-122DB202C426}"/>
    <cellStyle name="Migliaia 30 4 4 4" xfId="41867" xr:uid="{E2BCD92D-B462-4B9F-9C26-44D9702849BD}"/>
    <cellStyle name="Migliaia 30 4 4 5" xfId="11982" xr:uid="{A30AF958-C102-4EAB-B712-F75692327328}"/>
    <cellStyle name="Migliaia 30 4 5" xfId="3482" xr:uid="{77864A2F-A339-4DE0-9F14-5F9BB469DEF1}"/>
    <cellStyle name="Migliaia 30 4 5 2" xfId="33731" xr:uid="{1B539876-3623-4A42-8C65-7AAAFB02FBC7}"/>
    <cellStyle name="Migliaia 30 4 5 2 2" xfId="39217" xr:uid="{0B381F9F-21B1-49C6-9AB9-1C50B3A5B82C}"/>
    <cellStyle name="Migliaia 30 4 5 2 3" xfId="44519" xr:uid="{4E2844FB-EA26-4DBE-B79B-C1FE3C078688}"/>
    <cellStyle name="Migliaia 30 4 5 3" xfId="36662" xr:uid="{2820F29C-FBC0-420B-A072-858B5BB650C0}"/>
    <cellStyle name="Migliaia 30 4 5 4" xfId="41868" xr:uid="{1DE2F049-D0EB-4F25-A7C5-F2A964CC9507}"/>
    <cellStyle name="Migliaia 30 4 5 5" xfId="11329" xr:uid="{C65DE90C-00E6-46D2-8D67-D37281A87791}"/>
    <cellStyle name="Migliaia 30 4 6" xfId="10850" xr:uid="{1E792508-E7B3-414F-974B-CA22010F8822}"/>
    <cellStyle name="Migliaia 30 4 6 2" xfId="21485" xr:uid="{0B8AF2BE-A5C4-4868-96FD-58BE3E53DDB5}"/>
    <cellStyle name="Migliaia 30 4 6 2 2" xfId="39218" xr:uid="{C196BA1F-4A51-4BA6-A7E0-17DE08C16179}"/>
    <cellStyle name="Migliaia 30 4 6 2 3" xfId="44520" xr:uid="{B9609996-418C-49C0-8BE6-A3F7E4C8582D}"/>
    <cellStyle name="Migliaia 30 4 6 2 4" xfId="33732" xr:uid="{757147AE-62FC-4548-90B7-E1395742F49A}"/>
    <cellStyle name="Migliaia 30 4 6 3" xfId="36663" xr:uid="{0122BDB2-86CC-4299-B855-1D2D81A93F35}"/>
    <cellStyle name="Migliaia 30 4 6 4" xfId="41869" xr:uid="{59540AA9-DCDC-4385-9874-D1DAF2DD0AA1}"/>
    <cellStyle name="Migliaia 30 4 6 5" xfId="24724" xr:uid="{10081E2C-BAAC-485D-A364-40A64B0685E8}"/>
    <cellStyle name="Migliaia 30 4 6 6" xfId="47305" xr:uid="{803301A7-8C00-40ED-B6E6-7FCE8F85F4F1}"/>
    <cellStyle name="Migliaia 30 4 6 7" xfId="50500" xr:uid="{C2F6F30D-DBD0-4E1A-90E4-0F000D4832C4}"/>
    <cellStyle name="Migliaia 30 4 6 8" xfId="53516" xr:uid="{C44547B7-2C4E-42F8-86B8-CC9EA0E5D6D6}"/>
    <cellStyle name="Migliaia 30 4 7" xfId="20343" xr:uid="{CB5B2D98-0037-40C9-BAE9-74B72CA50A4B}"/>
    <cellStyle name="Migliaia 30 4 7 2" xfId="33733" xr:uid="{DEC9E1D5-3E0A-4DF6-BEE4-C8F01D2BF3E9}"/>
    <cellStyle name="Migliaia 30 4 7 2 2" xfId="39219" xr:uid="{D34FBFC4-52DC-45EA-9EB0-BCDF8DC785EC}"/>
    <cellStyle name="Migliaia 30 4 7 2 3" xfId="44521" xr:uid="{6C1F7FA2-2CB3-4F7F-8C76-CA0D2103A108}"/>
    <cellStyle name="Migliaia 30 4 7 3" xfId="36664" xr:uid="{90A8818A-647A-4C0F-B645-C8B8423189F9}"/>
    <cellStyle name="Migliaia 30 4 7 4" xfId="41870" xr:uid="{BE3DC2D8-0543-44CE-BFAB-B96B5C0DE86A}"/>
    <cellStyle name="Migliaia 30 4 7 5" xfId="24725" xr:uid="{A2FBF7DB-D6CD-4D1C-ACCB-321D2D6FA5B8}"/>
    <cellStyle name="Migliaia 30 4 8" xfId="24722" xr:uid="{ADA9AB4A-E520-4793-8384-F4FB2B6606C5}"/>
    <cellStyle name="Migliaia 30 4 9" xfId="7432" xr:uid="{57161DDF-97AE-4147-AE1F-11121CA61C5A}"/>
    <cellStyle name="Migliaia 30 5" xfId="1775" xr:uid="{00000000-0005-0000-0000-000096030000}"/>
    <cellStyle name="Migliaia 30 5 2" xfId="5210" xr:uid="{5DD7545F-9245-496D-AD1A-F821581FA0F3}"/>
    <cellStyle name="Migliaia 30 5 2 2" xfId="18433" xr:uid="{A59F11BF-1237-4E5B-B8ED-05AAB77535A3}"/>
    <cellStyle name="Migliaia 30 5 2 2 2" xfId="39220" xr:uid="{0D7196B7-B067-4B1F-A58A-9CCBEAAE4155}"/>
    <cellStyle name="Migliaia 30 5 2 2 3" xfId="44522" xr:uid="{EF726E92-6D80-4354-82F5-D143C813CA53}"/>
    <cellStyle name="Migliaia 30 5 2 3" xfId="20346" xr:uid="{835AED53-69C0-440C-9765-486BCDF1E45E}"/>
    <cellStyle name="Migliaia 30 5 2 3 2" xfId="36665" xr:uid="{AF4853BD-8349-4C17-B51E-82A0603DF217}"/>
    <cellStyle name="Migliaia 30 5 2 4" xfId="41871" xr:uid="{4739B976-D9CB-4829-A2ED-36D3E6770DD3}"/>
    <cellStyle name="Migliaia 30 5 2 5" xfId="16374" xr:uid="{61F8F214-5F95-4289-A15E-AF454D67C772}"/>
    <cellStyle name="Migliaia 30 5 2 6" xfId="8623" xr:uid="{714A35C9-8B47-4C2B-A373-D3F7226FB4CB}"/>
    <cellStyle name="Migliaia 30 5 3" xfId="6410" xr:uid="{60FEBD71-A04F-4D75-B4F7-0974A31FE6F8}"/>
    <cellStyle name="Migliaia 30 5 3 2" xfId="33734" xr:uid="{035A8D5E-72E4-4944-BE19-4EE60BF06942}"/>
    <cellStyle name="Migliaia 30 5 3 2 2" xfId="39221" xr:uid="{09BCA070-2170-4E26-92F7-E6891A1EAC6E}"/>
    <cellStyle name="Migliaia 30 5 3 2 3" xfId="44523" xr:uid="{2F159F04-1444-431A-8268-35B7D8F97A2A}"/>
    <cellStyle name="Migliaia 30 5 3 3" xfId="36666" xr:uid="{73270342-1C83-40B6-81B3-BA4B435D6DEC}"/>
    <cellStyle name="Migliaia 30 5 3 4" xfId="41872" xr:uid="{36FCCA10-9B64-42D3-8FF7-6DDFEF90ED7C}"/>
    <cellStyle name="Migliaia 30 5 3 5" xfId="11331" xr:uid="{083DAB9F-DD85-4E89-A701-786C9D6D3E47}"/>
    <cellStyle name="Migliaia 30 5 4" xfId="3484" xr:uid="{C390490C-3D70-440F-9E0C-8D2DC65BCD30}"/>
    <cellStyle name="Migliaia 30 5 4 2" xfId="21487" xr:uid="{D24F0FEC-B192-4C4B-9D0E-7CCCAA667B7B}"/>
    <cellStyle name="Migliaia 30 5 4 2 2" xfId="39222" xr:uid="{94FE74E1-8609-4E1B-88B4-C48782E3DFDB}"/>
    <cellStyle name="Migliaia 30 5 4 2 3" xfId="44524" xr:uid="{CD00BF20-6C57-456A-93DF-D8D4F4C59E35}"/>
    <cellStyle name="Migliaia 30 5 4 2 4" xfId="33735" xr:uid="{FFC2A701-64EE-4BC5-8D62-7E5AE914E958}"/>
    <cellStyle name="Migliaia 30 5 4 3" xfId="36667" xr:uid="{3A9C7B14-DF9C-423D-B177-7440FC54230C}"/>
    <cellStyle name="Migliaia 30 5 4 4" xfId="41873" xr:uid="{57BA9F80-49C8-4FEA-BAA7-AE99524EA582}"/>
    <cellStyle name="Migliaia 30 5 4 5" xfId="24727" xr:uid="{B5BD27A3-9F65-47D4-9890-9D9692F9E64E}"/>
    <cellStyle name="Migliaia 30 5 4 6" xfId="47600" xr:uid="{134DB47D-DB8B-4952-82AB-9B9BA695F426}"/>
    <cellStyle name="Migliaia 30 5 4 7" xfId="50502" xr:uid="{A0EED69E-3223-4412-816E-9A2A48710C01}"/>
    <cellStyle name="Migliaia 30 5 4 8" xfId="53518" xr:uid="{9DC2E029-2C53-4B3E-B642-792834D9019A}"/>
    <cellStyle name="Migliaia 30 5 4 9" xfId="10852" xr:uid="{97767F36-73DE-478E-BB9E-004FE2A87E33}"/>
    <cellStyle name="Migliaia 30 5 5" xfId="20345" xr:uid="{2D965CE5-4C00-4F90-9AF9-A0A89B9612F1}"/>
    <cellStyle name="Migliaia 30 5 5 2" xfId="33736" xr:uid="{44F656DE-3502-4265-B494-B3192F5D4D49}"/>
    <cellStyle name="Migliaia 30 5 5 2 2" xfId="39223" xr:uid="{E00557C0-0353-4E49-9336-D95186126121}"/>
    <cellStyle name="Migliaia 30 5 5 2 3" xfId="44525" xr:uid="{AEC86D1F-5C03-4192-B612-057F591B1672}"/>
    <cellStyle name="Migliaia 30 5 5 3" xfId="36668" xr:uid="{A8525AF3-57BF-4D69-BF56-D4E7EC51AA87}"/>
    <cellStyle name="Migliaia 30 5 5 4" xfId="41874" xr:uid="{5D838DC3-68F6-4024-9EFA-48C98C4FC3C6}"/>
    <cellStyle name="Migliaia 30 5 5 5" xfId="24728" xr:uid="{84746FB4-E122-4B08-B382-9F685DAAABA4}"/>
    <cellStyle name="Migliaia 30 5 6" xfId="24729" xr:uid="{2CCEDCC3-7764-4E97-BC90-99BC50B7D634}"/>
    <cellStyle name="Migliaia 30 5 6 2" xfId="33737" xr:uid="{3DFB76C1-C2A5-4599-AD4A-8B1A693E3AD1}"/>
    <cellStyle name="Migliaia 30 5 6 2 2" xfId="39224" xr:uid="{3679D158-102D-47A5-B364-CC49D3187D12}"/>
    <cellStyle name="Migliaia 30 5 6 2 3" xfId="44526" xr:uid="{4A2CB18E-4B25-4663-8690-8DD0190228F3}"/>
    <cellStyle name="Migliaia 30 5 6 3" xfId="36669" xr:uid="{F3CD9F84-3A07-4672-B6FE-E5915EC3EBFF}"/>
    <cellStyle name="Migliaia 30 5 6 4" xfId="41875" xr:uid="{15120291-F7BA-44AA-AD6A-C68CBF722A51}"/>
    <cellStyle name="Migliaia 30 5 7" xfId="24726" xr:uid="{3EC2C529-3E0A-4C18-AB30-E1CF60C635CA}"/>
    <cellStyle name="Migliaia 30 5 8" xfId="7433" xr:uid="{0BEFD50A-81A2-44BC-B86E-D698391E303A}"/>
    <cellStyle name="Migliaia 30 6" xfId="3485" xr:uid="{04A6B56F-385F-4053-8775-8211FE6B0826}"/>
    <cellStyle name="Migliaia 30 6 2" xfId="5211" xr:uid="{539A43FE-6D62-4D21-9E42-C9814BA40831}"/>
    <cellStyle name="Migliaia 30 6 2 2" xfId="9927" xr:uid="{4D0619DF-BD0C-4768-8D7A-755BDBB7330B}"/>
    <cellStyle name="Migliaia 30 6 2 3" xfId="18657" xr:uid="{B06C7F67-B3F7-4817-9012-CC2A57472832}"/>
    <cellStyle name="Migliaia 30 6 2 4" xfId="20348" xr:uid="{9BA2D1D0-BA3F-4F1A-909C-E93A9A18311E}"/>
    <cellStyle name="Migliaia 30 6 2 5" xfId="32373" xr:uid="{F6786DBA-66BE-4427-AD8A-F0B2DCA11A41}"/>
    <cellStyle name="Migliaia 30 6 2 6" xfId="16376" xr:uid="{CB436440-A2BC-4987-B801-382E8BE367F9}"/>
    <cellStyle name="Migliaia 30 6 2 7" xfId="8618" xr:uid="{ED904C45-A71E-4569-930C-AA9612CD271E}"/>
    <cellStyle name="Migliaia 30 6 3" xfId="6411" xr:uid="{9BE7E05B-2DC8-4CF4-B95B-74110A737C03}"/>
    <cellStyle name="Migliaia 30 6 3 2" xfId="35288" xr:uid="{5768439F-E4E7-4024-AFE0-857E14577AF8}"/>
    <cellStyle name="Migliaia 30 6 3 2 2" xfId="40448" xr:uid="{FE9A050A-0A74-46DA-82FA-C7A84D3D98BB}"/>
    <cellStyle name="Migliaia 30 6 3 2 3" xfId="45750" xr:uid="{4E79F2B8-E31C-49F6-AD0C-839672A7EE04}"/>
    <cellStyle name="Migliaia 30 6 3 3" xfId="37797" xr:uid="{472BCB87-4857-4562-99E2-736D48AB5196}"/>
    <cellStyle name="Migliaia 30 6 3 4" xfId="43099" xr:uid="{33AE56B2-8E0E-4F0B-9DF1-448CDD9151D9}"/>
    <cellStyle name="Migliaia 30 6 3 5" xfId="9690" xr:uid="{0F74BA15-A336-483A-B172-F04BF6652713}"/>
    <cellStyle name="Migliaia 30 6 4" xfId="20347" xr:uid="{AFD3F839-CA42-4774-8D3C-057D9D0ABBE1}"/>
    <cellStyle name="Migliaia 30 6 4 2" xfId="39225" xr:uid="{EB523764-DFF8-4960-B1F4-E571D0EF6736}"/>
    <cellStyle name="Migliaia 30 6 4 3" xfId="44527" xr:uid="{482139D3-FE88-4BCB-A600-5010B170F312}"/>
    <cellStyle name="Migliaia 30 6 4 4" xfId="33738" xr:uid="{55ED4F8C-BAE7-4C00-98D5-CDACF480AEF9}"/>
    <cellStyle name="Migliaia 30 6 5" xfId="36670" xr:uid="{663766F9-7484-4C0F-84E0-E821F5E060D8}"/>
    <cellStyle name="Migliaia 30 6 6" xfId="41876" xr:uid="{48E69C19-8E7C-481D-A189-A62D139D3431}"/>
    <cellStyle name="Migliaia 30 6 7" xfId="16375" xr:uid="{48FA5DC5-FCB0-413A-AF4A-6AFCE2DE095B}"/>
    <cellStyle name="Migliaia 30 6 8" xfId="7428" xr:uid="{F8FFD903-6862-477D-BF09-49F681F806AC}"/>
    <cellStyle name="Migliaia 30 7" xfId="3486" xr:uid="{B7AB22EB-0CC3-4C71-B7DD-E5091E042FB4}"/>
    <cellStyle name="Migliaia 30 7 2" xfId="5212" xr:uid="{13E8B76F-32EA-42C4-9234-104D3FE5914E}"/>
    <cellStyle name="Migliaia 30 7 2 2" xfId="35289" xr:uid="{D2768F9F-7B16-476A-BD59-15680DFB3655}"/>
    <cellStyle name="Migliaia 30 7 2 2 2" xfId="40449" xr:uid="{7DD517F7-B467-4D0D-893F-291D683639D4}"/>
    <cellStyle name="Migliaia 30 7 2 2 3" xfId="45751" xr:uid="{5BE7563B-F8D0-4842-90F0-C4F680950675}"/>
    <cellStyle name="Migliaia 30 7 2 3" xfId="37798" xr:uid="{211E2AC8-D1C4-4A17-91D5-47E9C9791D59}"/>
    <cellStyle name="Migliaia 30 7 2 4" xfId="43100" xr:uid="{8B87B94D-95D5-44A3-9A34-0D0C227943C8}"/>
    <cellStyle name="Migliaia 30 7 2 5" xfId="14248" xr:uid="{69F69036-C527-4459-9157-33A95C068489}"/>
    <cellStyle name="Migliaia 30 7 3" xfId="6412" xr:uid="{3B8814EB-AC9E-425B-B123-C491F468FABA}"/>
    <cellStyle name="Migliaia 30 7 3 2" xfId="39226" xr:uid="{4409BD60-64CC-430E-B1C7-1638D5442804}"/>
    <cellStyle name="Migliaia 30 7 3 3" xfId="44528" xr:uid="{4F43EEEA-217A-48D3-8CE9-1BE959066456}"/>
    <cellStyle name="Migliaia 30 7 3 4" xfId="33739" xr:uid="{86C10C7A-66CF-4D2E-86E8-C5A74DC959D9}"/>
    <cellStyle name="Migliaia 30 7 3 5" xfId="20349" xr:uid="{C993B998-43E7-4FD5-9215-D709411078ED}"/>
    <cellStyle name="Migliaia 30 7 4" xfId="36671" xr:uid="{3EF684F2-C4D6-4F59-AFA4-0B3EEE24EB88}"/>
    <cellStyle name="Migliaia 30 7 5" xfId="41877" xr:uid="{7D8A47A0-78DA-4C58-8EF7-95A5A06AD153}"/>
    <cellStyle name="Migliaia 30 7 6" xfId="16377" xr:uid="{9A52623B-3DA1-479C-AAED-D60F3A5C4145}"/>
    <cellStyle name="Migliaia 30 7 7" xfId="8310" xr:uid="{1424AA44-B51C-45A4-8E5A-BCC2E6C47E2D}"/>
    <cellStyle name="Migliaia 30 8" xfId="3487" xr:uid="{68A5C82E-A2C6-482B-90B7-B8BF552AF108}"/>
    <cellStyle name="Migliaia 30 8 2" xfId="5213" xr:uid="{0F735C06-1672-40CF-BBA7-3FA38DF98E2E}"/>
    <cellStyle name="Migliaia 30 8 2 2" xfId="35290" xr:uid="{5EEBBEC6-F334-49B3-BAE2-19D9A4D2CA2F}"/>
    <cellStyle name="Migliaia 30 8 2 2 2" xfId="40450" xr:uid="{9B57D220-158C-4F08-9853-85E438E0673E}"/>
    <cellStyle name="Migliaia 30 8 2 2 3" xfId="45752" xr:uid="{416DF28D-CD70-48AE-B4F9-331B4231A72B}"/>
    <cellStyle name="Migliaia 30 8 2 3" xfId="37799" xr:uid="{CFF9994F-E040-4C5C-8F58-CC5B781B61F9}"/>
    <cellStyle name="Migliaia 30 8 2 4" xfId="43101" xr:uid="{76ED9E2F-7088-4775-8A98-658810E94E01}"/>
    <cellStyle name="Migliaia 30 8 2 5" xfId="13953" xr:uid="{900DFF0D-18A0-4BAB-9770-BC76545742BC}"/>
    <cellStyle name="Migliaia 30 8 3" xfId="6413" xr:uid="{9AD7F6A9-B684-434F-B343-9F1B4C6A9677}"/>
    <cellStyle name="Migliaia 30 8 3 2" xfId="39227" xr:uid="{74A7AB43-F6F7-4CA4-82F6-DD28143C8594}"/>
    <cellStyle name="Migliaia 30 8 3 3" xfId="44529" xr:uid="{0D21D3F5-D6D6-4AB1-B812-361D177FEE6E}"/>
    <cellStyle name="Migliaia 30 8 3 4" xfId="33740" xr:uid="{9662D04C-D5E8-411F-B361-216CAC53BF3F}"/>
    <cellStyle name="Migliaia 30 8 3 5" xfId="20350" xr:uid="{AEB7E21D-0E60-480A-8A55-2C4E0E30273E}"/>
    <cellStyle name="Migliaia 30 8 4" xfId="36672" xr:uid="{54FE888D-8D88-41E4-BE65-DEC208107118}"/>
    <cellStyle name="Migliaia 30 8 5" xfId="41878" xr:uid="{9B27372F-79E1-4318-9E2A-5C60217A8802}"/>
    <cellStyle name="Migliaia 30 8 6" xfId="16378" xr:uid="{9E4E273E-A8E5-4826-ADFE-466CD22CB447}"/>
    <cellStyle name="Migliaia 30 8 7" xfId="7914" xr:uid="{9ACBDEB0-40DE-41FD-9D65-8AC211450CE5}"/>
    <cellStyle name="Migliaia 30 9" xfId="5198" xr:uid="{5B8C657A-0E79-4B4F-8A93-7B984551F806}"/>
    <cellStyle name="Migliaia 30 9 2" xfId="33741" xr:uid="{BB94C76B-F937-42B9-8B22-F9996F693667}"/>
    <cellStyle name="Migliaia 30 9 2 2" xfId="39228" xr:uid="{BAC8D157-9C39-49F3-ADCD-BD70B3566379}"/>
    <cellStyle name="Migliaia 30 9 2 3" xfId="44530" xr:uid="{5E101982-0795-4EA5-859B-3A23858AD94F}"/>
    <cellStyle name="Migliaia 30 9 3" xfId="36673" xr:uid="{FB42C99F-D682-4BD3-84AD-96CAAA7207E6}"/>
    <cellStyle name="Migliaia 30 9 4" xfId="41879" xr:uid="{05DFC7DB-1600-4DCA-A555-25CD0316C17F}"/>
    <cellStyle name="Migliaia 30 9 5" xfId="17181" xr:uid="{7AC10A9B-ED72-48DC-A71E-A71819A233F6}"/>
    <cellStyle name="Migliaia 31" xfId="397" xr:uid="{00000000-0005-0000-0000-000097030000}"/>
    <cellStyle name="Migliaia 31 10" xfId="6414" xr:uid="{4201DA1F-C22F-4559-A7EC-5EB649D09421}"/>
    <cellStyle name="Migliaia 31 10 2" xfId="39229" xr:uid="{F7DCFF54-877A-465E-9847-5E73871A316B}"/>
    <cellStyle name="Migliaia 31 10 3" xfId="44531" xr:uid="{BAEA21FD-A439-4847-8645-720910AFBC2F}"/>
    <cellStyle name="Migliaia 31 10 4" xfId="33742" xr:uid="{A20EEBFA-6F88-480A-92D8-890A05192B3C}"/>
    <cellStyle name="Migliaia 31 10 5" xfId="20351" xr:uid="{ECC9EC6E-2DA9-4CA1-AEE5-A2415A9723D2}"/>
    <cellStyle name="Migliaia 31 11" xfId="3488" xr:uid="{98F5A35A-B1AA-4086-A4DC-2A3A154DF5A0}"/>
    <cellStyle name="Migliaia 31 11 2" xfId="36674" xr:uid="{A790EEB1-0F20-42DB-AD2B-1085DA5B88E8}"/>
    <cellStyle name="Migliaia 31 12" xfId="41880" xr:uid="{EC1EC125-BBCB-43E0-8B36-6FDDAD3A23D5}"/>
    <cellStyle name="Migliaia 31 13" xfId="7114" xr:uid="{6D3AF153-AC37-4322-9349-559458CA0B65}"/>
    <cellStyle name="Migliaia 31 2" xfId="398" xr:uid="{00000000-0005-0000-0000-000098030000}"/>
    <cellStyle name="Migliaia 31 2 2" xfId="1776" xr:uid="{00000000-0005-0000-0000-000099030000}"/>
    <cellStyle name="Migliaia 31 2 2 2" xfId="5216" xr:uid="{D4C8525C-5AC9-45E7-B611-3ECFE076F722}"/>
    <cellStyle name="Migliaia 31 2 2 2 2" xfId="14387" xr:uid="{1811335D-CEBE-4A8F-830E-B20C0236361D}"/>
    <cellStyle name="Migliaia 31 2 2 2 2 2" xfId="39230" xr:uid="{3EB6EBF3-04B9-4027-B59E-90FEDE849991}"/>
    <cellStyle name="Migliaia 31 2 2 2 2 3" xfId="44532" xr:uid="{8031BAE3-8A6A-46FF-9785-C91AF9102AD9}"/>
    <cellStyle name="Migliaia 31 2 2 2 3" xfId="18434" xr:uid="{65DC6CB4-7F4D-4E23-A813-855ABD3E6EB7}"/>
    <cellStyle name="Migliaia 31 2 2 2 4" xfId="20354" xr:uid="{F44A3523-7E2F-4F05-9928-9846EFD97F1E}"/>
    <cellStyle name="Migliaia 31 2 2 2 4 2" xfId="41881" xr:uid="{638D8CE7-4201-4A42-861C-A9DCD9C37AC9}"/>
    <cellStyle name="Migliaia 31 2 2 2 5" xfId="16379" xr:uid="{CA70EB2B-497F-4764-83F5-D4D72DEF5887}"/>
    <cellStyle name="Migliaia 31 2 2 2 6" xfId="8625" xr:uid="{1F4F5C33-7198-4C0D-80E6-EE879EB73F3D}"/>
    <cellStyle name="Migliaia 31 2 2 3" xfId="6416" xr:uid="{5B9AB063-49DD-47AC-815D-896102B318FF}"/>
    <cellStyle name="Migliaia 31 2 2 3 2" xfId="35291" xr:uid="{8E473046-A599-45E8-AAF0-8D06E1718CC6}"/>
    <cellStyle name="Migliaia 31 2 2 3 2 2" xfId="40451" xr:uid="{58638110-0960-4AB5-993B-D5DBCCFE8958}"/>
    <cellStyle name="Migliaia 31 2 2 3 2 3" xfId="45753" xr:uid="{819E95F7-749F-47C0-AA98-C38423E85D92}"/>
    <cellStyle name="Migliaia 31 2 2 3 3" xfId="37800" xr:uid="{B7953672-EBC0-446A-B2C2-DFDD0883510E}"/>
    <cellStyle name="Migliaia 31 2 2 3 4" xfId="43102" xr:uid="{B9935F55-88E2-496C-A292-65CF49A0736C}"/>
    <cellStyle name="Migliaia 31 2 2 3 5" xfId="11614" xr:uid="{2256E601-698E-487E-BF83-2EB03A66FD6F}"/>
    <cellStyle name="Migliaia 31 2 2 4" xfId="3490" xr:uid="{47369C82-A708-4A32-B3AF-F25E16759785}"/>
    <cellStyle name="Migliaia 31 2 2 4 2" xfId="21488" xr:uid="{148D4EB4-7180-49A3-AE2C-D2078BC97A01}"/>
    <cellStyle name="Migliaia 31 2 2 4 3" xfId="47898" xr:uid="{1A956806-2124-42BA-92AA-1C7E5779F5A7}"/>
    <cellStyle name="Migliaia 31 2 2 4 4" xfId="50503" xr:uid="{7E37D2CB-DAC0-47E8-8A7F-112058047E57}"/>
    <cellStyle name="Migliaia 31 2 2 4 5" xfId="53519" xr:uid="{29BDEB80-296E-444A-970A-201771B68E43}"/>
    <cellStyle name="Migliaia 31 2 2 4 6" xfId="10853" xr:uid="{E06435B3-F922-40B4-9053-BE40928DBD1D}"/>
    <cellStyle name="Migliaia 31 2 2 5" xfId="20353" xr:uid="{E9D41C6E-C536-4F6A-AA46-53709F97F599}"/>
    <cellStyle name="Migliaia 31 2 2 6" xfId="24731" xr:uid="{FD0AC249-99BD-4D0B-BFAF-FA6D4619FCD6}"/>
    <cellStyle name="Migliaia 31 2 2 7" xfId="7435" xr:uid="{D4492925-C907-4976-8E68-1F22295CC182}"/>
    <cellStyle name="Migliaia 31 2 3" xfId="3491" xr:uid="{30762D4D-8378-4AC8-AC4E-6097F410DDE2}"/>
    <cellStyle name="Migliaia 31 2 3 2" xfId="5217" xr:uid="{E0159559-0C30-4058-B130-10BFA4CBC2DA}"/>
    <cellStyle name="Migliaia 31 2 3 2 2" xfId="35292" xr:uid="{CFBBFA89-7672-430A-8CFC-16BEAA23820B}"/>
    <cellStyle name="Migliaia 31 2 3 2 2 2" xfId="40452" xr:uid="{397DDC9F-8654-4AD0-A607-6367E37BD157}"/>
    <cellStyle name="Migliaia 31 2 3 2 2 3" xfId="45754" xr:uid="{FA7AE08A-FFA8-4686-BF95-BB6C2D11892E}"/>
    <cellStyle name="Migliaia 31 2 3 2 3" xfId="37801" xr:uid="{DAD6D61D-CE0D-4492-88B5-B04490865C7D}"/>
    <cellStyle name="Migliaia 31 2 3 2 4" xfId="43103" xr:uid="{DED4F2DB-AF9A-4AC7-9B01-79204052EBB2}"/>
    <cellStyle name="Migliaia 31 2 3 2 5" xfId="14252" xr:uid="{7C801C64-F82A-4768-B365-7EFD497A401C}"/>
    <cellStyle name="Migliaia 31 2 3 3" xfId="6417" xr:uid="{7D9254F1-66E6-4EA3-8964-B672336AA2CA}"/>
    <cellStyle name="Migliaia 31 2 3 3 2" xfId="39231" xr:uid="{3462B760-C7BC-4BB9-924F-396E1CA0EE4F}"/>
    <cellStyle name="Migliaia 31 2 3 3 3" xfId="44533" xr:uid="{A8C696C3-F064-4AF3-9912-0E3CA55DF0BA}"/>
    <cellStyle name="Migliaia 31 2 3 3 4" xfId="33743" xr:uid="{7CF4095D-C6EC-4178-ADC2-931811545405}"/>
    <cellStyle name="Migliaia 31 2 3 3 5" xfId="20355" xr:uid="{1B8921D7-3EC7-4D16-A3D6-A10D2B188A9E}"/>
    <cellStyle name="Migliaia 31 2 3 4" xfId="36675" xr:uid="{CA489EC8-1908-46FF-A431-F01E575B04C2}"/>
    <cellStyle name="Migliaia 31 2 3 5" xfId="41882" xr:uid="{8D373055-761E-4A8C-AC6C-7DE5BC708B26}"/>
    <cellStyle name="Migliaia 31 2 3 6" xfId="16380" xr:uid="{D395A64A-6220-4602-84F0-0DA473146DF2}"/>
    <cellStyle name="Migliaia 31 2 3 7" xfId="8314" xr:uid="{653596A6-B145-411B-87B4-2828930EB571}"/>
    <cellStyle name="Migliaia 31 2 4" xfId="5215" xr:uid="{1D1A6913-A23C-4F81-AB98-A42438FA8BD9}"/>
    <cellStyle name="Migliaia 31 2 4 2" xfId="13957" xr:uid="{2DA9365E-FD83-40AF-8631-BAEF7573303E}"/>
    <cellStyle name="Migliaia 31 2 4 2 2" xfId="39232" xr:uid="{603B3ADB-6E77-4955-B690-43AC95624CFC}"/>
    <cellStyle name="Migliaia 31 2 4 2 3" xfId="44534" xr:uid="{3EBC6D45-8BD5-43B3-80C8-40D1290951B7}"/>
    <cellStyle name="Migliaia 31 2 4 3" xfId="18048" xr:uid="{C2407FBC-EFFE-4D44-9D23-57D5F9B36E25}"/>
    <cellStyle name="Migliaia 31 2 4 4" xfId="20356" xr:uid="{E284B8C0-030E-435D-8B55-1F499CFBD7EF}"/>
    <cellStyle name="Migliaia 31 2 4 4 2" xfId="41883" xr:uid="{664DC3B9-473D-4EC3-B1E8-890AF1105C20}"/>
    <cellStyle name="Migliaia 31 2 4 5" xfId="16381" xr:uid="{B3056830-0BC2-424F-9C80-E81617C72A49}"/>
    <cellStyle name="Migliaia 31 2 4 6" xfId="7919" xr:uid="{E9EA08F9-A9FC-40AE-921F-1C686979B409}"/>
    <cellStyle name="Migliaia 31 2 5" xfId="6415" xr:uid="{7F28D860-C435-42DD-9574-83D99CF78566}"/>
    <cellStyle name="Migliaia 31 2 5 2" xfId="33744" xr:uid="{B5115CA7-41C3-43BA-BC83-9D7BCCA7F80F}"/>
    <cellStyle name="Migliaia 31 2 5 2 2" xfId="39233" xr:uid="{D284C7D8-54AF-4234-B980-38B94DA479C5}"/>
    <cellStyle name="Migliaia 31 2 5 2 3" xfId="44535" xr:uid="{F10E9DC8-9965-49C0-AC9A-4FF5CDCACC46}"/>
    <cellStyle name="Migliaia 31 2 5 3" xfId="36676" xr:uid="{9BB3B77E-5C01-4087-BED5-CF51263A5495}"/>
    <cellStyle name="Migliaia 31 2 5 4" xfId="41884" xr:uid="{4ED46D05-C153-441B-8AAF-D72321A8B442}"/>
    <cellStyle name="Migliaia 31 2 5 5" xfId="13127" xr:uid="{EFA2A021-3431-4BFA-A7F7-063205D1A715}"/>
    <cellStyle name="Migliaia 31 2 6" xfId="3489" xr:uid="{04C8A515-55ED-4DD1-A7DC-149F66F6F98B}"/>
    <cellStyle name="Migliaia 31 2 6 2" xfId="33745" xr:uid="{0F338E47-5809-4F1D-A03D-197690138987}"/>
    <cellStyle name="Migliaia 31 2 6 2 2" xfId="39234" xr:uid="{84E09B6B-BCE3-4908-9D77-5DA0147AAC7E}"/>
    <cellStyle name="Migliaia 31 2 6 2 3" xfId="44536" xr:uid="{5B18C787-2989-478F-93FC-4CA2E9603CD8}"/>
    <cellStyle name="Migliaia 31 2 6 3" xfId="36677" xr:uid="{D4BD1EA9-9D10-4AE7-82B7-1150C7E600B3}"/>
    <cellStyle name="Migliaia 31 2 6 4" xfId="41885" xr:uid="{2DE41D8C-6009-413D-AA66-39B4FD61D710}"/>
    <cellStyle name="Migliaia 31 2 6 5" xfId="24732" xr:uid="{7F2EF045-4F21-4BCE-80B9-00002A917CEA}"/>
    <cellStyle name="Migliaia 31 2 6 6" xfId="20352" xr:uid="{50FAD4B5-9726-4DF3-A264-1F84CA96A2EF}"/>
    <cellStyle name="Migliaia 31 2 7" xfId="24730" xr:uid="{4AE82017-836C-4C0C-8E63-2D08A260AE71}"/>
    <cellStyle name="Migliaia 31 2 8" xfId="7115" xr:uid="{CFAA4451-FE3F-4941-97E7-553EB9E7016E}"/>
    <cellStyle name="Migliaia 31 3" xfId="399" xr:uid="{00000000-0005-0000-0000-00009A030000}"/>
    <cellStyle name="Migliaia 31 3 10" xfId="24733" xr:uid="{F59303C0-4FA2-4C1C-9CDE-3A07121CF459}"/>
    <cellStyle name="Migliaia 31 3 11" xfId="16382" xr:uid="{02F9824C-06F5-42B9-A471-8DE1AC3CDC7E}"/>
    <cellStyle name="Migliaia 31 3 12" xfId="7116" xr:uid="{50621E49-C3D8-4BA1-8BD5-60C3FCEC4CD4}"/>
    <cellStyle name="Migliaia 31 3 2" xfId="400" xr:uid="{00000000-0005-0000-0000-00009B030000}"/>
    <cellStyle name="Migliaia 31 3 2 2" xfId="1777" xr:uid="{00000000-0005-0000-0000-00009C030000}"/>
    <cellStyle name="Migliaia 31 3 2 2 2" xfId="5220" xr:uid="{DF71539A-74F4-437F-8BD1-A4521F5A17BD}"/>
    <cellStyle name="Migliaia 31 3 2 2 2 2" xfId="18435" xr:uid="{C1E541C8-B31C-48B6-A2C4-EDD6A1133138}"/>
    <cellStyle name="Migliaia 31 3 2 2 2 2 2" xfId="21865" xr:uid="{44AB6FA0-46EC-4DB0-BDFB-890AE820B5E9}"/>
    <cellStyle name="Migliaia 31 3 2 2 2 2 2 2" xfId="39235" xr:uid="{4ABA8E73-D015-479A-9694-5B6ABA323054}"/>
    <cellStyle name="Migliaia 31 3 2 2 2 2 3" xfId="44537" xr:uid="{C2452BE2-5D60-4ABC-B4F2-CB9BF91AF338}"/>
    <cellStyle name="Migliaia 31 3 2 2 2 2 4" xfId="33746" xr:uid="{F64EA6CE-5177-410C-8ED5-C3C6E660214D}"/>
    <cellStyle name="Migliaia 31 3 2 2 2 3" xfId="36678" xr:uid="{20094BCF-1F0C-4D33-AF72-63074F4EAB4E}"/>
    <cellStyle name="Migliaia 31 3 2 2 2 4" xfId="41886" xr:uid="{A0EB0186-E91F-4C42-B9F9-E5C33212EE75}"/>
    <cellStyle name="Migliaia 31 3 2 2 2 5" xfId="25118" xr:uid="{D1313508-170E-4426-A0B1-379C666512DD}"/>
    <cellStyle name="Migliaia 31 3 2 2 2 6" xfId="50893" xr:uid="{EE095993-DC90-4266-A438-3CD28ACE6050}"/>
    <cellStyle name="Migliaia 31 3 2 2 2 7" xfId="53909" xr:uid="{AE00583B-F2AC-4FF4-A77C-F1B1EF1214C5}"/>
    <cellStyle name="Migliaia 31 3 2 2 2 8" xfId="17662" xr:uid="{05C555D6-6C05-4618-9B49-834B9DB1C25E}"/>
    <cellStyle name="Migliaia 31 3 2 2 2 9" xfId="11983" xr:uid="{A59EA2FF-D2EC-43F1-A33D-642895083741}"/>
    <cellStyle name="Migliaia 31 3 2 2 3" xfId="6420" xr:uid="{77D51350-50C7-490F-B3DF-F5AA14B70FE5}"/>
    <cellStyle name="Migliaia 31 3 2 2 3 2" xfId="11561" xr:uid="{12F9AE96-0549-4F52-B3A8-5CBC988EFDDE}"/>
    <cellStyle name="Migliaia 31 3 2 2 4" xfId="3494" xr:uid="{6902512F-08C6-4B01-87E8-60DCE8CD288D}"/>
    <cellStyle name="Migliaia 31 3 2 2 4 2" xfId="21489" xr:uid="{00954306-E73A-4734-9261-B5574B1CAA22}"/>
    <cellStyle name="Migliaia 31 3 2 2 4 3" xfId="46240" xr:uid="{EC673F0E-9BC4-42F4-8FC4-BE3143506309}"/>
    <cellStyle name="Migliaia 31 3 2 2 4 4" xfId="50504" xr:uid="{147B01FC-9C43-496F-B036-02606133F1D8}"/>
    <cellStyle name="Migliaia 31 3 2 2 4 5" xfId="53520" xr:uid="{1BE276C7-34D6-4A86-85E0-19D5FE5D5527}"/>
    <cellStyle name="Migliaia 31 3 2 2 4 6" xfId="10854" xr:uid="{7453F83B-8D35-4815-8ABC-602A6A4637BE}"/>
    <cellStyle name="Migliaia 31 3 2 2 5" xfId="20359" xr:uid="{71FCA41B-102B-4FA9-A9AA-AA386FF397F6}"/>
    <cellStyle name="Migliaia 31 3 2 2 6" xfId="24735" xr:uid="{4B4116FF-4F54-4B9C-BE5C-0649BC71212C}"/>
    <cellStyle name="Migliaia 31 3 2 2 7" xfId="8627" xr:uid="{3520C8AF-E5E0-41B9-A1A3-494A941594E2}"/>
    <cellStyle name="Migliaia 31 3 2 3" xfId="5219" xr:uid="{09E0C114-33C2-468D-A27D-C25888CD82A8}"/>
    <cellStyle name="Migliaia 31 3 2 3 2" xfId="12413" xr:uid="{01ED5FFD-18F6-4745-A98B-5F517F4AA934}"/>
    <cellStyle name="Migliaia 31 3 2 3 2 2" xfId="39236" xr:uid="{10E6201F-476E-417C-8FD2-7FF636BC5DE6}"/>
    <cellStyle name="Migliaia 31 3 2 3 2 3" xfId="44538" xr:uid="{552DBB11-592B-4CF5-9701-CDE654D213D0}"/>
    <cellStyle name="Migliaia 31 3 2 3 2 4" xfId="33747" xr:uid="{E4FDB6FD-2C13-404B-B045-E9B43CF2A038}"/>
    <cellStyle name="Migliaia 31 3 2 3 3" xfId="11984" xr:uid="{E3687BA6-4C73-4A14-9A62-491A9AE9C346}"/>
    <cellStyle name="Migliaia 31 3 2 3 4" xfId="20360" xr:uid="{17781622-987D-4371-BF10-048CE0120C8E}"/>
    <cellStyle name="Migliaia 31 3 2 3 4 2" xfId="41887" xr:uid="{A80E8E6C-2A11-4DE2-A7E2-08C28907912D}"/>
    <cellStyle name="Migliaia 31 3 2 3 5" xfId="16383" xr:uid="{009B6D10-593B-4DCB-9961-8582EED0E21B}"/>
    <cellStyle name="Migliaia 31 3 2 3 6" xfId="7921" xr:uid="{3CA03E4F-6045-4724-9EF1-598AE04BEEDA}"/>
    <cellStyle name="Migliaia 31 3 2 4" xfId="6419" xr:uid="{76050A85-0A90-46F9-9A30-42A5C0029655}"/>
    <cellStyle name="Migliaia 31 3 2 4 2" xfId="18081" xr:uid="{3134B4E1-959B-4DA0-9F14-724409D74994}"/>
    <cellStyle name="Migliaia 31 3 2 4 2 2" xfId="39237" xr:uid="{929829D3-C26C-4469-8C37-7D7F9D9B2296}"/>
    <cellStyle name="Migliaia 31 3 2 4 2 3" xfId="44539" xr:uid="{278DD10D-20B8-4557-A95A-00540678D18F}"/>
    <cellStyle name="Migliaia 31 3 2 4 3" xfId="36679" xr:uid="{BA36D7A5-4740-4F91-A91B-DDE860E7D16E}"/>
    <cellStyle name="Migliaia 31 3 2 4 4" xfId="41888" xr:uid="{624CDC04-6E80-427B-9AD5-EB478B60CE93}"/>
    <cellStyle name="Migliaia 31 3 2 4 5" xfId="17184" xr:uid="{2155263D-F15D-46E9-A6A3-D75C6994E7FC}"/>
    <cellStyle name="Migliaia 31 3 2 4 6" xfId="11332" xr:uid="{6DA2C26A-E05E-4FB2-BABC-4BDE8D6FDCCA}"/>
    <cellStyle name="Migliaia 31 3 2 5" xfId="3493" xr:uid="{BAC76DF3-711D-43D4-B822-D8482F1BF89D}"/>
    <cellStyle name="Migliaia 31 3 2 5 2" xfId="33748" xr:uid="{0CBAE39A-50FE-4D93-A8AE-5FC4FB5A6810}"/>
    <cellStyle name="Migliaia 31 3 2 5 2 2" xfId="39238" xr:uid="{7376D6EA-78D3-4304-981C-59748BB962C4}"/>
    <cellStyle name="Migliaia 31 3 2 5 2 3" xfId="44540" xr:uid="{83FDD109-56E6-4738-A01B-1DD3CFDCCD60}"/>
    <cellStyle name="Migliaia 31 3 2 5 3" xfId="36680" xr:uid="{567248DA-BF5C-469D-A22A-68CCB49E7276}"/>
    <cellStyle name="Migliaia 31 3 2 5 4" xfId="41889" xr:uid="{CF8C6806-DB78-4249-A29D-7E203047F26E}"/>
    <cellStyle name="Migliaia 31 3 2 5 5" xfId="17354" xr:uid="{1FB87460-B61C-4125-AF75-D8648A7670FE}"/>
    <cellStyle name="Migliaia 31 3 2 6" xfId="20358" xr:uid="{D44E5098-0D57-458B-840D-D21E2F1B288C}"/>
    <cellStyle name="Migliaia 31 3 2 6 2" xfId="33749" xr:uid="{345592E1-829B-4A3B-87D3-B37ABCD3F9E6}"/>
    <cellStyle name="Migliaia 31 3 2 6 2 2" xfId="39239" xr:uid="{4FB4B4DE-FD88-470C-925E-2F1413ECEA18}"/>
    <cellStyle name="Migliaia 31 3 2 6 2 3" xfId="44541" xr:uid="{429EA2BD-E70A-4657-9B31-A389FAB74B50}"/>
    <cellStyle name="Migliaia 31 3 2 6 3" xfId="36681" xr:uid="{7B016810-30A8-4752-B429-3B9C1B7D33CF}"/>
    <cellStyle name="Migliaia 31 3 2 6 4" xfId="41890" xr:uid="{6B71A572-D1C8-4F21-8B53-0FD41B772525}"/>
    <cellStyle name="Migliaia 31 3 2 6 5" xfId="24736" xr:uid="{F452539B-7AFD-47E3-8314-5B07506E9D31}"/>
    <cellStyle name="Migliaia 31 3 2 7" xfId="24734" xr:uid="{8501F202-9CCF-427D-BB78-F984A99C5927}"/>
    <cellStyle name="Migliaia 31 3 2 8" xfId="7437" xr:uid="{225C635F-FCA7-49A9-8644-00125B5CF8D9}"/>
    <cellStyle name="Migliaia 31 3 3" xfId="3495" xr:uid="{D3BDCB50-6E7F-4B9A-9244-6B124F81DFF6}"/>
    <cellStyle name="Migliaia 31 3 3 10" xfId="7436" xr:uid="{6E3CEDD8-0CDD-48CF-9773-60A12BA33C81}"/>
    <cellStyle name="Migliaia 31 3 3 2" xfId="5221" xr:uid="{8E78C43B-41FB-4D0F-9CDC-5EA3F67D585D}"/>
    <cellStyle name="Migliaia 31 3 3 2 2" xfId="9930" xr:uid="{5CCF491B-9096-4803-90B8-54438CAE1BD4}"/>
    <cellStyle name="Migliaia 31 3 3 2 2 2" xfId="39241" xr:uid="{B2CFE6A5-1816-4B2F-8EA3-E5D15F28C890}"/>
    <cellStyle name="Migliaia 31 3 3 2 2 3" xfId="44543" xr:uid="{70436AE1-B6D7-4DEE-9932-1F59318DBA58}"/>
    <cellStyle name="Migliaia 31 3 3 2 3" xfId="18210" xr:uid="{CDE44738-839B-4BE5-8313-768A79E75B98}"/>
    <cellStyle name="Migliaia 31 3 3 2 4" xfId="20362" xr:uid="{55BEF220-47A5-4AA4-9726-E5DC65B9BD76}"/>
    <cellStyle name="Migliaia 31 3 3 2 4 2" xfId="41892" xr:uid="{767ED706-A510-41BE-8A8B-5E6520107E3B}"/>
    <cellStyle name="Migliaia 31 3 3 2 5" xfId="16385" xr:uid="{D5FCE0DD-2E81-43DD-971E-D925EAB62FEE}"/>
    <cellStyle name="Migliaia 31 3 3 2 6" xfId="8626" xr:uid="{6A53DAE4-8F85-41C0-A6F5-0E4F84881DD8}"/>
    <cellStyle name="Migliaia 31 3 3 3" xfId="6421" xr:uid="{893AD938-730D-4D6C-B254-03A4384AE400}"/>
    <cellStyle name="Migliaia 31 3 3 3 2" xfId="33751" xr:uid="{1C54D824-83F3-4E69-BEF4-633B46B63CEF}"/>
    <cellStyle name="Migliaia 31 3 3 3 2 2" xfId="39242" xr:uid="{7D06A263-F990-4F84-8BD1-4696B8D3753B}"/>
    <cellStyle name="Migliaia 31 3 3 3 2 3" xfId="44544" xr:uid="{D5760284-31A8-4FFC-A47B-10044966A57B}"/>
    <cellStyle name="Migliaia 31 3 3 3 3" xfId="36683" xr:uid="{2CDB14AB-76E3-4B76-94AE-C2F4874506E5}"/>
    <cellStyle name="Migliaia 31 3 3 3 4" xfId="41893" xr:uid="{EA997AAA-8A0E-4292-84BA-D77DDCE22775}"/>
    <cellStyle name="Migliaia 31 3 3 3 5" xfId="9693" xr:uid="{6BE3AC87-8E19-4BA1-88C2-70F7B19177A5}"/>
    <cellStyle name="Migliaia 31 3 3 4" xfId="20361" xr:uid="{98A408FE-4BA2-4D2E-854D-3AFCABE0B243}"/>
    <cellStyle name="Migliaia 31 3 3 4 2" xfId="33752" xr:uid="{CD0E34D2-5643-4341-929B-973FB6961A90}"/>
    <cellStyle name="Migliaia 31 3 3 4 2 2" xfId="39243" xr:uid="{3AFE4A14-A951-4496-8ABE-EE50663B6CA9}"/>
    <cellStyle name="Migliaia 31 3 3 4 2 3" xfId="44545" xr:uid="{3278A17B-5B74-4EED-A1BC-62029A4CE1F2}"/>
    <cellStyle name="Migliaia 31 3 3 4 3" xfId="36684" xr:uid="{37B59550-3385-4C28-9F9E-9E923C899562}"/>
    <cellStyle name="Migliaia 31 3 3 4 4" xfId="41894" xr:uid="{77AEB111-3235-4C30-B1B1-0D4BEE299962}"/>
    <cellStyle name="Migliaia 31 3 3 4 5" xfId="24737" xr:uid="{83018D26-81F7-4361-A81E-3C7E3B888BDF}"/>
    <cellStyle name="Migliaia 31 3 3 5" xfId="24738" xr:uid="{888CA912-9604-4F4B-BB52-3CCC8A8932B2}"/>
    <cellStyle name="Migliaia 31 3 3 5 2" xfId="33753" xr:uid="{872B2D3A-8B11-47E5-9E81-5527D113661B}"/>
    <cellStyle name="Migliaia 31 3 3 5 2 2" xfId="39244" xr:uid="{70C812EE-1115-49E1-A0F5-5034FAD9AA72}"/>
    <cellStyle name="Migliaia 31 3 3 5 2 3" xfId="44546" xr:uid="{9211998D-058A-49E0-ADB5-EC2E49BD1C79}"/>
    <cellStyle name="Migliaia 31 3 3 5 3" xfId="36685" xr:uid="{45469E5F-8F22-446C-9F76-B62A82F6296A}"/>
    <cellStyle name="Migliaia 31 3 3 5 4" xfId="41895" xr:uid="{AFAF7C5F-1487-49C0-B2E8-B3A5CEFD372F}"/>
    <cellStyle name="Migliaia 31 3 3 6" xfId="33750" xr:uid="{8E584D8E-8F07-4173-A3CA-4BC9DA490C87}"/>
    <cellStyle name="Migliaia 31 3 3 6 2" xfId="39240" xr:uid="{43DC9B23-C0DE-41C4-AFB9-A23E6EC72358}"/>
    <cellStyle name="Migliaia 31 3 3 6 3" xfId="44542" xr:uid="{5C1758B2-105D-4255-94BE-3C1FE06125FB}"/>
    <cellStyle name="Migliaia 31 3 3 7" xfId="36682" xr:uid="{408FE824-73A4-4A11-9F04-1A83B2AF9527}"/>
    <cellStyle name="Migliaia 31 3 3 8" xfId="41891" xr:uid="{C184D14B-0973-486B-8685-B66B27983E4A}"/>
    <cellStyle name="Migliaia 31 3 3 9" xfId="16384" xr:uid="{D84A0F76-3442-4547-829B-3543C6532142}"/>
    <cellStyle name="Migliaia 31 3 4" xfId="3496" xr:uid="{84CA125A-BA26-45F8-9DED-C565E220C5BF}"/>
    <cellStyle name="Migliaia 31 3 4 2" xfId="5222" xr:uid="{8EB56F92-E8F9-4EDE-B599-227C0043B235}"/>
    <cellStyle name="Migliaia 31 3 4 2 2" xfId="14447" xr:uid="{7E3CF24B-DE85-49E6-83EC-5F0D7CFA8C24}"/>
    <cellStyle name="Migliaia 31 3 4 2 3" xfId="18034" xr:uid="{BF75D73D-82D3-49D8-BC00-86844C760CF4}"/>
    <cellStyle name="Migliaia 31 3 4 2 4" xfId="20364" xr:uid="{D5FCC455-8237-48A2-AFA5-EC54B81CC8CF}"/>
    <cellStyle name="Migliaia 31 3 4 2 5" xfId="32374" xr:uid="{4FE5EC5F-B3D4-4F94-8909-FA689EF34586}"/>
    <cellStyle name="Migliaia 31 3 4 2 6" xfId="16387" xr:uid="{E4C28CF8-29E6-4789-B00C-151763120197}"/>
    <cellStyle name="Migliaia 31 3 4 2 7" xfId="8870" xr:uid="{85BF0225-73FE-4986-8C2C-42379B1547BF}"/>
    <cellStyle name="Migliaia 31 3 4 3" xfId="6422" xr:uid="{99B068B8-AF70-4599-8CA0-675CDFB635B4}"/>
    <cellStyle name="Migliaia 31 3 4 3 2" xfId="35293" xr:uid="{0BEF78AB-BB09-4115-8028-84C170A3E13D}"/>
    <cellStyle name="Migliaia 31 3 4 3 2 2" xfId="40453" xr:uid="{244E9E6D-844E-40C6-B37E-D242106E3CA3}"/>
    <cellStyle name="Migliaia 31 3 4 3 2 3" xfId="45755" xr:uid="{C26B83F7-AB34-4EDC-A606-43CB6A0A9BCB}"/>
    <cellStyle name="Migliaia 31 3 4 3 3" xfId="37802" xr:uid="{8EA34DE4-CE68-44D9-922D-BF23ED718AB5}"/>
    <cellStyle name="Migliaia 31 3 4 3 4" xfId="43104" xr:uid="{6EBD7D4D-BBA2-4F72-AABC-13BC0EEBA33A}"/>
    <cellStyle name="Migliaia 31 3 4 3 5" xfId="13695" xr:uid="{BAD54529-2722-44CF-A8FA-BA2EFDB82E72}"/>
    <cellStyle name="Migliaia 31 3 4 4" xfId="20363" xr:uid="{60F186BD-E3A3-43AA-904A-450253B57011}"/>
    <cellStyle name="Migliaia 31 3 4 4 2" xfId="39245" xr:uid="{7635EE65-8FD7-461F-9686-CCC43E227B07}"/>
    <cellStyle name="Migliaia 31 3 4 4 3" xfId="44547" xr:uid="{0EDC2BB7-E8FC-437F-AA61-2CF7911B6625}"/>
    <cellStyle name="Migliaia 31 3 4 4 4" xfId="33754" xr:uid="{EC2B8E66-B4B7-4AF2-8DC8-6BC6BFD44D14}"/>
    <cellStyle name="Migliaia 31 3 4 5" xfId="36686" xr:uid="{CC81F35A-7EFE-4AF2-94C3-12945AB77E4E}"/>
    <cellStyle name="Migliaia 31 3 4 6" xfId="41896" xr:uid="{351F6534-0C29-443E-8243-8CAD05E0B406}"/>
    <cellStyle name="Migliaia 31 3 4 7" xfId="16386" xr:uid="{6BF02431-61D9-414D-A385-DDE49801E331}"/>
    <cellStyle name="Migliaia 31 3 4 8" xfId="7680" xr:uid="{E786EFA2-CE60-41C7-B15F-A9AE249C201B}"/>
    <cellStyle name="Migliaia 31 3 5" xfId="3497" xr:uid="{A5992FC6-E45C-4A62-B8DA-AC62F6AB789B}"/>
    <cellStyle name="Migliaia 31 3 5 2" xfId="5223" xr:uid="{20A7DA60-DD5A-4F80-9DAB-3DED3D0D1967}"/>
    <cellStyle name="Migliaia 31 3 5 2 2" xfId="35294" xr:uid="{80FF3102-1F31-460C-98C0-B10934085A70}"/>
    <cellStyle name="Migliaia 31 3 5 2 2 2" xfId="40454" xr:uid="{F2BE22FE-EC91-4C4C-95A7-ABC8A883291F}"/>
    <cellStyle name="Migliaia 31 3 5 2 2 3" xfId="45756" xr:uid="{AE4982EE-CA72-48FA-B9C8-6089871636CD}"/>
    <cellStyle name="Migliaia 31 3 5 2 3" xfId="37803" xr:uid="{73D4CF58-BEEF-472B-8B5B-621971897E17}"/>
    <cellStyle name="Migliaia 31 3 5 2 4" xfId="43105" xr:uid="{80ED1C44-4491-4C9B-8385-89D92D26C62A}"/>
    <cellStyle name="Migliaia 31 3 5 2 5" xfId="14253" xr:uid="{162D3F3F-31FB-46E8-AD2F-5378BFE4E2F6}"/>
    <cellStyle name="Migliaia 31 3 5 3" xfId="6423" xr:uid="{AC44422E-D10F-4E3C-978F-FD439BC657AA}"/>
    <cellStyle name="Migliaia 31 3 5 3 2" xfId="39246" xr:uid="{17B7D9E2-94F5-4A65-8F33-745387BEDF1F}"/>
    <cellStyle name="Migliaia 31 3 5 3 3" xfId="44548" xr:uid="{F1F1ADA4-B232-4716-A145-271B25411983}"/>
    <cellStyle name="Migliaia 31 3 5 3 4" xfId="33755" xr:uid="{E7F1E160-274F-45F5-A97E-E0F61D77CCF3}"/>
    <cellStyle name="Migliaia 31 3 5 3 5" xfId="20365" xr:uid="{8BB0AD91-8A89-4126-A3C8-2D3896E04A2B}"/>
    <cellStyle name="Migliaia 31 3 5 4" xfId="36687" xr:uid="{7CEFC9AC-822A-44F9-AA95-B2874991F155}"/>
    <cellStyle name="Migliaia 31 3 5 5" xfId="41897" xr:uid="{C516737F-47A7-4710-88FB-0D1C8461D72D}"/>
    <cellStyle name="Migliaia 31 3 5 6" xfId="16388" xr:uid="{C0A97C5F-C0B2-4E9E-B27A-CE768F71335F}"/>
    <cellStyle name="Migliaia 31 3 5 7" xfId="8315" xr:uid="{0B2C801B-4B33-4910-A5AD-850345E18E03}"/>
    <cellStyle name="Migliaia 31 3 6" xfId="5218" xr:uid="{A30F4ECE-8C48-420B-A18D-44568CEBDAA0}"/>
    <cellStyle name="Migliaia 31 3 6 2" xfId="13958" xr:uid="{5A3DCAC6-1471-4556-B581-99B7A3409C03}"/>
    <cellStyle name="Migliaia 31 3 6 2 2" xfId="39247" xr:uid="{2132871D-8A55-4416-96FC-970CC191FF14}"/>
    <cellStyle name="Migliaia 31 3 6 2 3" xfId="44549" xr:uid="{A27AA4A1-23CA-4DB3-990A-FFA106342A54}"/>
    <cellStyle name="Migliaia 31 3 6 3" xfId="18708" xr:uid="{8BDE2256-F2E4-4F32-B473-4BBD1C2A3BDD}"/>
    <cellStyle name="Migliaia 31 3 6 4" xfId="20366" xr:uid="{639D641F-5571-48FF-988F-73F6F3986988}"/>
    <cellStyle name="Migliaia 31 3 6 4 2" xfId="41898" xr:uid="{C06F6988-C52B-4FAF-ADB5-3644775C660A}"/>
    <cellStyle name="Migliaia 31 3 6 5" xfId="16389" xr:uid="{5E7713F9-9D2D-41D0-ABF0-74118D955B53}"/>
    <cellStyle name="Migliaia 31 3 6 6" xfId="7920" xr:uid="{B72738CD-F0A7-4ADA-92DE-53E5C17EB695}"/>
    <cellStyle name="Migliaia 31 3 7" xfId="6418" xr:uid="{6C5F6CFF-311E-4E3C-ABAA-C50FA2B916B8}"/>
    <cellStyle name="Migliaia 31 3 7 2" xfId="33756" xr:uid="{CBBCF93E-E0D3-4622-B74C-D3CF9FDD0016}"/>
    <cellStyle name="Migliaia 31 3 7 2 2" xfId="39248" xr:uid="{767C0218-E9EF-4485-8533-D857E5B3A40F}"/>
    <cellStyle name="Migliaia 31 3 7 2 3" xfId="44550" xr:uid="{E96D34D1-3CC0-48CF-9C2F-CA43B4EBE590}"/>
    <cellStyle name="Migliaia 31 3 7 3" xfId="36688" xr:uid="{DAEEC8FD-96C5-4D75-A03E-AE1AB7379715}"/>
    <cellStyle name="Migliaia 31 3 7 4" xfId="41899" xr:uid="{0C639276-A3F3-4322-A68B-34973F8B43CF}"/>
    <cellStyle name="Migliaia 31 3 7 5" xfId="11220" xr:uid="{68758E9F-B9E6-446B-B787-B52419319955}"/>
    <cellStyle name="Migliaia 31 3 8" xfId="3492" xr:uid="{FCD0D78F-85CE-4180-B381-020C64E93EEF}"/>
    <cellStyle name="Migliaia 31 3 8 2" xfId="33757" xr:uid="{5215B0FC-133A-4B17-AE67-1F31060D136E}"/>
    <cellStyle name="Migliaia 31 3 8 2 2" xfId="39249" xr:uid="{59D4A502-DC6F-4EBC-8AFF-4EE32D161D26}"/>
    <cellStyle name="Migliaia 31 3 8 2 3" xfId="44551" xr:uid="{90930F00-3097-4636-9BB1-5171E0FB885B}"/>
    <cellStyle name="Migliaia 31 3 8 3" xfId="36689" xr:uid="{AB8E8FF9-E1A3-41BF-AA3F-0C3845A50445}"/>
    <cellStyle name="Migliaia 31 3 8 4" xfId="41900" xr:uid="{48A01FF2-C657-4247-BA67-85EE00DFE49C}"/>
    <cellStyle name="Migliaia 31 3 8 5" xfId="24739" xr:uid="{F55EB6E7-F0BD-4D1D-8522-39F9A347D946}"/>
    <cellStyle name="Migliaia 31 3 8 6" xfId="17355" xr:uid="{5119D3EE-F81F-4181-AFB3-FB9676250445}"/>
    <cellStyle name="Migliaia 31 3 9" xfId="20357" xr:uid="{15B94DB4-C0B6-4240-B8B3-A0F390C53C2B}"/>
    <cellStyle name="Migliaia 31 4" xfId="1778" xr:uid="{00000000-0005-0000-0000-00009D030000}"/>
    <cellStyle name="Migliaia 31 4 2" xfId="1779" xr:uid="{00000000-0005-0000-0000-00009E030000}"/>
    <cellStyle name="Migliaia 31 4 2 2" xfId="5225" xr:uid="{D43F4634-FB95-4689-A780-2270C5BE933E}"/>
    <cellStyle name="Migliaia 31 4 2 2 2" xfId="33758" xr:uid="{6F2560E5-584D-40FB-8142-3B2F1D540F2F}"/>
    <cellStyle name="Migliaia 31 4 2 2 2 2" xfId="39250" xr:uid="{E9E10B04-4153-421C-8DBD-E5E7A3CCB0F9}"/>
    <cellStyle name="Migliaia 31 4 2 2 2 3" xfId="44552" xr:uid="{3322DF91-65C3-44D5-B734-6CBBAC45D1D9}"/>
    <cellStyle name="Migliaia 31 4 2 2 3" xfId="36690" xr:uid="{A19A509D-9747-4ACC-9F81-105FC970FA13}"/>
    <cellStyle name="Migliaia 31 4 2 2 4" xfId="41901" xr:uid="{89AB7A47-2F42-43AD-9658-A36B03E406B0}"/>
    <cellStyle name="Migliaia 31 4 2 2 5" xfId="9156" xr:uid="{9DCCAEA6-72D2-4B2D-93A2-BF0573DA379B}"/>
    <cellStyle name="Migliaia 31 4 2 3" xfId="3499" xr:uid="{AAA9DC24-50C3-4EEF-81C6-FCD01AF396BE}"/>
    <cellStyle name="Migliaia 31 4 2 3 2" xfId="33759" xr:uid="{1BAD5C2B-5F7B-46C6-BC1A-02C99458B626}"/>
    <cellStyle name="Migliaia 31 4 2 3 2 2" xfId="39251" xr:uid="{89D41ED9-24AE-46B6-9829-47A3A778D7D1}"/>
    <cellStyle name="Migliaia 31 4 2 3 2 3" xfId="44553" xr:uid="{E77A00ED-42ED-475C-BEA6-FD0355A51063}"/>
    <cellStyle name="Migliaia 31 4 2 3 3" xfId="36691" xr:uid="{820D6BA1-6AE3-4041-A252-8A6F00FC3ADA}"/>
    <cellStyle name="Migliaia 31 4 2 3 4" xfId="41902" xr:uid="{3A25C276-020C-400E-8EEC-CD5AAD770AC5}"/>
    <cellStyle name="Migliaia 31 4 2 3 5" xfId="11985" xr:uid="{77552B9A-129F-4B7F-9BB0-933D20A18DF5}"/>
    <cellStyle name="Migliaia 31 4 2 4" xfId="11334" xr:uid="{24B96DAF-FE52-476B-A930-6E97DE76A628}"/>
    <cellStyle name="Migliaia 31 4 2 5" xfId="10856" xr:uid="{B57C215D-D881-4271-B2FC-B496854E71D8}"/>
    <cellStyle name="Migliaia 31 4 2 5 2" xfId="21491" xr:uid="{788EFE8B-08EC-4F74-9A87-F47B785C09EE}"/>
    <cellStyle name="Migliaia 31 4 2 5 3" xfId="46241" xr:uid="{46015C3C-486C-4CD1-965D-E02CA687CF84}"/>
    <cellStyle name="Migliaia 31 4 2 5 4" xfId="50506" xr:uid="{1E0D0EAF-CEBE-41DC-89A6-3F28510175CA}"/>
    <cellStyle name="Migliaia 31 4 2 5 5" xfId="53522" xr:uid="{7ED737E3-0D78-42CB-8F0B-9840DBA8B42C}"/>
    <cellStyle name="Migliaia 31 4 2 6" xfId="20368" xr:uid="{C899CE39-B051-4155-92D4-8C0B0DF18934}"/>
    <cellStyle name="Migliaia 31 4 2 7" xfId="24741" xr:uid="{DA88BB79-85CF-4CFC-AB04-C47C97F80F66}"/>
    <cellStyle name="Migliaia 31 4 2 8" xfId="8628" xr:uid="{932C9A7D-5B10-4C34-A2B4-88A56263D9C2}"/>
    <cellStyle name="Migliaia 31 4 3" xfId="5224" xr:uid="{1E6CD08F-671B-4EC0-A586-CC9B184FDB9F}"/>
    <cellStyle name="Migliaia 31 4 3 2" xfId="18211" xr:uid="{184187FF-02A4-45E1-9356-39BC058CBB4D}"/>
    <cellStyle name="Migliaia 31 4 3 2 2" xfId="39252" xr:uid="{EAD53DB3-FAAC-4ACD-B972-F0B9CCB163DE}"/>
    <cellStyle name="Migliaia 31 4 3 2 3" xfId="44554" xr:uid="{C1D3C2FD-6342-4C15-B408-6152DBF6D1FF}"/>
    <cellStyle name="Migliaia 31 4 3 3" xfId="36692" xr:uid="{CD20F1BA-3AFF-4902-9171-B40207514B38}"/>
    <cellStyle name="Migliaia 31 4 3 4" xfId="41903" xr:uid="{36F817CB-3A4E-427F-8FFB-BAB16EDDBED7}"/>
    <cellStyle name="Migliaia 31 4 3 5" xfId="17353" xr:uid="{2335DA2F-79A4-4396-B73A-6FC380645011}"/>
    <cellStyle name="Migliaia 31 4 3 6" xfId="9157" xr:uid="{5F4E82F0-AFD9-4314-A602-CE778DE781EC}"/>
    <cellStyle name="Migliaia 31 4 4" xfId="6424" xr:uid="{2727B6A3-96D1-4581-90D4-2CD63EDDE7D5}"/>
    <cellStyle name="Migliaia 31 4 4 2" xfId="33760" xr:uid="{9D29BAD4-6F5D-4300-BAE1-F59363167739}"/>
    <cellStyle name="Migliaia 31 4 4 2 2" xfId="39253" xr:uid="{AB1BCB52-438D-4BAF-801D-38113EF50D5F}"/>
    <cellStyle name="Migliaia 31 4 4 2 3" xfId="44555" xr:uid="{D9A35B94-35CD-4000-A296-A9FE1583044D}"/>
    <cellStyle name="Migliaia 31 4 4 3" xfId="36693" xr:uid="{C92B0A3D-1A5D-4535-852D-E5FBE4539C94}"/>
    <cellStyle name="Migliaia 31 4 4 4" xfId="41904" xr:uid="{BE4504FD-A8E9-4445-BC05-25FCAEEB489E}"/>
    <cellStyle name="Migliaia 31 4 4 5" xfId="11986" xr:uid="{00B4D750-EC94-4B3C-9EC6-59CAA39CABAB}"/>
    <cellStyle name="Migliaia 31 4 5" xfId="3498" xr:uid="{13C882A0-88F5-486D-A75F-FB66E96D1846}"/>
    <cellStyle name="Migliaia 31 4 5 2" xfId="33761" xr:uid="{85242245-B857-4C16-9FB6-5A280B950613}"/>
    <cellStyle name="Migliaia 31 4 5 2 2" xfId="39254" xr:uid="{7C0103FB-4869-4E01-A319-F652015300F0}"/>
    <cellStyle name="Migliaia 31 4 5 2 3" xfId="44556" xr:uid="{F3D94A43-85B7-4C62-B6E0-337D6019DD0A}"/>
    <cellStyle name="Migliaia 31 4 5 3" xfId="36694" xr:uid="{F6439B10-8B12-4BBB-BFE9-D4DE764ACF72}"/>
    <cellStyle name="Migliaia 31 4 5 4" xfId="41905" xr:uid="{FFB5F57E-BABD-438D-BC68-96AB07F26840}"/>
    <cellStyle name="Migliaia 31 4 5 5" xfId="11333" xr:uid="{0CEDF928-09AA-4934-BAFB-B96FF7FEE5DB}"/>
    <cellStyle name="Migliaia 31 4 6" xfId="10855" xr:uid="{CA6AC927-734E-4907-AECE-41B39FDBFBAE}"/>
    <cellStyle name="Migliaia 31 4 6 2" xfId="21490" xr:uid="{34E5D40F-E4E6-4FF4-BCFC-C6B24E789E23}"/>
    <cellStyle name="Migliaia 31 4 6 2 2" xfId="39255" xr:uid="{2F2F619A-619F-4EA4-A544-6EB13BC1AD14}"/>
    <cellStyle name="Migliaia 31 4 6 2 3" xfId="44557" xr:uid="{59963D00-0FEA-461F-94DD-C1D4AD3FC62C}"/>
    <cellStyle name="Migliaia 31 4 6 2 4" xfId="33762" xr:uid="{AB932A5F-084F-4582-8CE6-F8C416EAAA81}"/>
    <cellStyle name="Migliaia 31 4 6 3" xfId="36695" xr:uid="{866E5C4E-621B-4B30-9B98-C36F500B4527}"/>
    <cellStyle name="Migliaia 31 4 6 4" xfId="41906" xr:uid="{C54344DE-6776-41F7-8992-545182D9FCFD}"/>
    <cellStyle name="Migliaia 31 4 6 5" xfId="24742" xr:uid="{C4AF5960-CB14-4F46-9FA0-8B368CEF9D14}"/>
    <cellStyle name="Migliaia 31 4 6 6" xfId="48473" xr:uid="{AAC1E15D-D2BB-4270-A09E-209D288A4A93}"/>
    <cellStyle name="Migliaia 31 4 6 7" xfId="50505" xr:uid="{6393171C-B3B7-4A8E-9AFB-2CB3658A264A}"/>
    <cellStyle name="Migliaia 31 4 6 8" xfId="53521" xr:uid="{AA8A4D72-590D-41DC-BC85-418B08D6ABF9}"/>
    <cellStyle name="Migliaia 31 4 7" xfId="20367" xr:uid="{D79FC15D-F081-4838-A39C-EE9FA6118D4A}"/>
    <cellStyle name="Migliaia 31 4 7 2" xfId="33763" xr:uid="{1EE34EDE-A9A7-4B9E-9316-CE4B8D501812}"/>
    <cellStyle name="Migliaia 31 4 7 2 2" xfId="39256" xr:uid="{68D6714C-014D-4F7E-B395-058317D09F88}"/>
    <cellStyle name="Migliaia 31 4 7 2 3" xfId="44558" xr:uid="{B5B90963-E1F9-48A3-9178-0EA606813C11}"/>
    <cellStyle name="Migliaia 31 4 7 3" xfId="36696" xr:uid="{1F90C79E-AA54-4081-8F03-603E27AE28F5}"/>
    <cellStyle name="Migliaia 31 4 7 4" xfId="41907" xr:uid="{1451556D-09F8-4846-A4D2-E792051F8950}"/>
    <cellStyle name="Migliaia 31 4 7 5" xfId="24743" xr:uid="{343F827F-9571-4952-BEB6-E3689B21AF75}"/>
    <cellStyle name="Migliaia 31 4 8" xfId="24740" xr:uid="{FF9C6693-AFA3-459F-B240-F0AC88C9EF76}"/>
    <cellStyle name="Migliaia 31 4 9" xfId="7438" xr:uid="{F446D293-25E9-4B54-A573-EA00A7DB2987}"/>
    <cellStyle name="Migliaia 31 5" xfId="1780" xr:uid="{00000000-0005-0000-0000-00009F030000}"/>
    <cellStyle name="Migliaia 31 5 2" xfId="5226" xr:uid="{3CE5B503-A0CD-4E25-8CDF-059FAEEEC940}"/>
    <cellStyle name="Migliaia 31 5 2 2" xfId="18436" xr:uid="{AA964181-3FD1-4618-977B-906D776F1DA8}"/>
    <cellStyle name="Migliaia 31 5 2 2 2" xfId="39257" xr:uid="{0F45EE16-C75F-4A9D-A30D-CFEB98468081}"/>
    <cellStyle name="Migliaia 31 5 2 2 3" xfId="44559" xr:uid="{99DD4F21-1CF9-4F0F-873B-EB2CCA5D9A7E}"/>
    <cellStyle name="Migliaia 31 5 2 3" xfId="20370" xr:uid="{6C04DB5D-1AC9-4087-8993-39295AC0EF69}"/>
    <cellStyle name="Migliaia 31 5 2 3 2" xfId="36697" xr:uid="{C0F27120-A004-454D-9311-727BD2BC4D1E}"/>
    <cellStyle name="Migliaia 31 5 2 4" xfId="41908" xr:uid="{D7639BBC-F62B-47D7-AECC-8C54776D69C1}"/>
    <cellStyle name="Migliaia 31 5 2 5" xfId="16390" xr:uid="{56ECB500-3906-427E-AD21-6297FA3966C1}"/>
    <cellStyle name="Migliaia 31 5 2 6" xfId="8629" xr:uid="{E1EF79D3-2F8D-42D1-A150-58E9F5C2F32F}"/>
    <cellStyle name="Migliaia 31 5 3" xfId="6425" xr:uid="{CD37CAD2-10CB-4C78-AFB1-C80FC84BFF7B}"/>
    <cellStyle name="Migliaia 31 5 3 2" xfId="33764" xr:uid="{DA992CBE-82EC-4EE4-874E-756AA5134183}"/>
    <cellStyle name="Migliaia 31 5 3 2 2" xfId="39258" xr:uid="{88461F62-2045-496D-AAF4-11AC34A8B2EB}"/>
    <cellStyle name="Migliaia 31 5 3 2 3" xfId="44560" xr:uid="{FAE01F02-0407-4367-87AF-DAC3788ABDF9}"/>
    <cellStyle name="Migliaia 31 5 3 3" xfId="36698" xr:uid="{6D07CCAA-30C2-42FB-AEEB-F45718BE6F5F}"/>
    <cellStyle name="Migliaia 31 5 3 4" xfId="41909" xr:uid="{0AE22065-DD78-4217-8C33-F38A87F7E688}"/>
    <cellStyle name="Migliaia 31 5 3 5" xfId="11335" xr:uid="{8B140A00-B9E2-4F2C-937C-D04FA6E8EA0F}"/>
    <cellStyle name="Migliaia 31 5 4" xfId="3500" xr:uid="{CDAEF0DA-7B45-4FE4-9C08-9FA0920CDFB4}"/>
    <cellStyle name="Migliaia 31 5 4 2" xfId="21492" xr:uid="{EE1FBAE6-A566-409A-8D65-3A58A09AA786}"/>
    <cellStyle name="Migliaia 31 5 4 2 2" xfId="39259" xr:uid="{5ED3A58E-DF11-4192-8041-1CBC828722F7}"/>
    <cellStyle name="Migliaia 31 5 4 2 3" xfId="44561" xr:uid="{5F6B2894-39B7-43E0-81B3-A9B23B60670D}"/>
    <cellStyle name="Migliaia 31 5 4 2 4" xfId="33765" xr:uid="{48CD053D-022E-44AC-8EED-79C81C0F286F}"/>
    <cellStyle name="Migliaia 31 5 4 3" xfId="36699" xr:uid="{7D4FFF9C-46E4-4CDE-968B-1E5B08FD556F}"/>
    <cellStyle name="Migliaia 31 5 4 4" xfId="41910" xr:uid="{51C29EF0-E79D-446A-BD72-2CFEC9CE4493}"/>
    <cellStyle name="Migliaia 31 5 4 5" xfId="24745" xr:uid="{80F849DC-B132-4D2F-8A4D-9D616110A234}"/>
    <cellStyle name="Migliaia 31 5 4 6" xfId="46242" xr:uid="{FDD95A82-C122-4EF3-8A86-BEED1775FD35}"/>
    <cellStyle name="Migliaia 31 5 4 7" xfId="50507" xr:uid="{4F48134D-E2A5-48CF-A2A7-B8DC6CE9F769}"/>
    <cellStyle name="Migliaia 31 5 4 8" xfId="53523" xr:uid="{2E53992D-C00A-4C64-83C5-B0BE791FAC2A}"/>
    <cellStyle name="Migliaia 31 5 4 9" xfId="10857" xr:uid="{2EB1789E-3EE8-43DD-882E-5DAC05D64F10}"/>
    <cellStyle name="Migliaia 31 5 5" xfId="20369" xr:uid="{880C3794-EFBB-416F-871D-759D19498049}"/>
    <cellStyle name="Migliaia 31 5 5 2" xfId="33766" xr:uid="{AF0CB25A-2FA2-4B29-97E7-BD008FFC0B66}"/>
    <cellStyle name="Migliaia 31 5 5 2 2" xfId="39260" xr:uid="{A201BD54-95D2-4808-B2A5-6759D3C9DDFB}"/>
    <cellStyle name="Migliaia 31 5 5 2 3" xfId="44562" xr:uid="{D76795C7-51ED-4D18-94AB-3EFEA5D55445}"/>
    <cellStyle name="Migliaia 31 5 5 3" xfId="36700" xr:uid="{FC3FF63F-1CB1-4498-AB03-D10227CE5880}"/>
    <cellStyle name="Migliaia 31 5 5 4" xfId="41911" xr:uid="{2F385B90-2BCA-4AE9-BF7D-6B784D399F4D}"/>
    <cellStyle name="Migliaia 31 5 5 5" xfId="24746" xr:uid="{5362B85E-D3D1-4052-B8EF-E418A24594E5}"/>
    <cellStyle name="Migliaia 31 5 6" xfId="24747" xr:uid="{3B5E4C31-A49A-4553-AA8F-E2BF237B3B0D}"/>
    <cellStyle name="Migliaia 31 5 6 2" xfId="33767" xr:uid="{1A6D2A43-442F-4F4E-8503-7EA51EA93DED}"/>
    <cellStyle name="Migliaia 31 5 6 2 2" xfId="39261" xr:uid="{F4222720-B6FA-42DD-8BF4-06534181E25B}"/>
    <cellStyle name="Migliaia 31 5 6 2 3" xfId="44563" xr:uid="{AB458F8A-DBF6-4D8F-B265-7CD19015BCD0}"/>
    <cellStyle name="Migliaia 31 5 6 3" xfId="36701" xr:uid="{8DF811B9-C473-4140-A434-9506B48B74F1}"/>
    <cellStyle name="Migliaia 31 5 6 4" xfId="41912" xr:uid="{82F784A1-2DD3-4534-BA73-11FB674E0D84}"/>
    <cellStyle name="Migliaia 31 5 7" xfId="24744" xr:uid="{9BB7C04A-E959-4171-B253-EBC74B1C823A}"/>
    <cellStyle name="Migliaia 31 5 8" xfId="7439" xr:uid="{24F5B32E-3BDE-4208-9A6E-111D2B5F14E6}"/>
    <cellStyle name="Migliaia 31 6" xfId="3501" xr:uid="{EE388D5A-97E3-48CE-80E0-7A8B7841F1B8}"/>
    <cellStyle name="Migliaia 31 6 2" xfId="5227" xr:uid="{AA010957-93BF-4EDE-8B28-2CA09EFD2ABB}"/>
    <cellStyle name="Migliaia 31 6 2 2" xfId="9929" xr:uid="{534286AE-D5AB-49C0-9D17-C7D20B1DE929}"/>
    <cellStyle name="Migliaia 31 6 2 3" xfId="18656" xr:uid="{9385D957-0749-43EE-832B-0346CD69B1E5}"/>
    <cellStyle name="Migliaia 31 6 2 4" xfId="20372" xr:uid="{40E8441C-5E03-47D5-912D-0B7A52D8710F}"/>
    <cellStyle name="Migliaia 31 6 2 5" xfId="32375" xr:uid="{EDB6B5A5-1B1C-4C04-A42D-9BC2CFBC3E9D}"/>
    <cellStyle name="Migliaia 31 6 2 6" xfId="16392" xr:uid="{15F9EFAD-5F37-474C-90F0-53E12A78BE70}"/>
    <cellStyle name="Migliaia 31 6 2 7" xfId="8624" xr:uid="{EA0C38EA-43EA-4F70-854D-620A5B1E1538}"/>
    <cellStyle name="Migliaia 31 6 3" xfId="6426" xr:uid="{E5EDE3E5-1F62-48EC-A246-3887CB994625}"/>
    <cellStyle name="Migliaia 31 6 3 2" xfId="35295" xr:uid="{5B9A359F-0E35-49D9-BC5A-271949EC4E11}"/>
    <cellStyle name="Migliaia 31 6 3 2 2" xfId="40455" xr:uid="{BA898E74-76AB-4639-8809-A8A67AB89958}"/>
    <cellStyle name="Migliaia 31 6 3 2 3" xfId="45757" xr:uid="{2746074D-DC78-4959-80D9-F43433C2595A}"/>
    <cellStyle name="Migliaia 31 6 3 3" xfId="37804" xr:uid="{F78131E9-2918-47A5-8B55-0D4F1BF39856}"/>
    <cellStyle name="Migliaia 31 6 3 4" xfId="43106" xr:uid="{F2D3885C-A8C6-4C5B-AFD5-A8C08496A262}"/>
    <cellStyle name="Migliaia 31 6 3 5" xfId="9692" xr:uid="{8C6FEE26-8F68-40BA-885D-07BA8CC2FBCD}"/>
    <cellStyle name="Migliaia 31 6 4" xfId="20371" xr:uid="{9683A57A-C0E5-453E-AA41-E5B6A42AF27C}"/>
    <cellStyle name="Migliaia 31 6 4 2" xfId="39262" xr:uid="{E9B39CE4-42F3-4075-9747-073FA7B694B7}"/>
    <cellStyle name="Migliaia 31 6 4 3" xfId="44564" xr:uid="{33BCBBC4-0AD4-4531-8FD1-8E1AC4175A4E}"/>
    <cellStyle name="Migliaia 31 6 4 4" xfId="33768" xr:uid="{AF8B39CA-DB39-4A30-B6E6-75359E2FD9AD}"/>
    <cellStyle name="Migliaia 31 6 5" xfId="36702" xr:uid="{8DD1E5BB-7F33-4141-87BA-2ABF93CB9E21}"/>
    <cellStyle name="Migliaia 31 6 6" xfId="41913" xr:uid="{2CCB2508-48E4-4824-A6C3-3DF568CCAFF7}"/>
    <cellStyle name="Migliaia 31 6 7" xfId="16391" xr:uid="{D2FDB237-51B5-4EEF-A786-F01D7025101D}"/>
    <cellStyle name="Migliaia 31 6 8" xfId="7434" xr:uid="{A0274453-3227-4AAF-8648-EAFC2E61538F}"/>
    <cellStyle name="Migliaia 31 7" xfId="3502" xr:uid="{38BE7AB6-2030-4AFE-B49C-891348CB4762}"/>
    <cellStyle name="Migliaia 31 7 2" xfId="5228" xr:uid="{F2033C9F-0D1D-469D-ADAD-2085C567DC2E}"/>
    <cellStyle name="Migliaia 31 7 2 2" xfId="35296" xr:uid="{55A92C54-24EE-4B7E-8E57-F5E66E9DE08B}"/>
    <cellStyle name="Migliaia 31 7 2 2 2" xfId="40456" xr:uid="{FEDA9F32-4A12-4723-AB71-17E15D3B38B8}"/>
    <cellStyle name="Migliaia 31 7 2 2 3" xfId="45758" xr:uid="{B03A5482-B329-4AC8-9220-A022310BF0C5}"/>
    <cellStyle name="Migliaia 31 7 2 3" xfId="37805" xr:uid="{D6DB4413-C324-4557-8DA0-BCC48899A0A8}"/>
    <cellStyle name="Migliaia 31 7 2 4" xfId="43107" xr:uid="{C1F56C4E-653E-4922-81F0-C15BCBBBE1AB}"/>
    <cellStyle name="Migliaia 31 7 2 5" xfId="14251" xr:uid="{80F93919-BFE0-4FF8-BAAB-B454A95E1954}"/>
    <cellStyle name="Migliaia 31 7 3" xfId="6427" xr:uid="{BFF9F7C7-3FEE-4DBB-B62B-40BC6EF868E3}"/>
    <cellStyle name="Migliaia 31 7 3 2" xfId="39263" xr:uid="{EF972691-1468-4648-916E-5D0DF4846902}"/>
    <cellStyle name="Migliaia 31 7 3 3" xfId="44565" xr:uid="{CA351A6D-3C3D-4092-9F14-B20D4EDA86CE}"/>
    <cellStyle name="Migliaia 31 7 3 4" xfId="33769" xr:uid="{CDE886BE-8CF1-4D56-B320-0675C121E532}"/>
    <cellStyle name="Migliaia 31 7 3 5" xfId="20373" xr:uid="{71528409-BF61-4768-B6F6-53B3FFCE1695}"/>
    <cellStyle name="Migliaia 31 7 4" xfId="36703" xr:uid="{D69A3801-307F-40E4-8D68-E6A371125FE8}"/>
    <cellStyle name="Migliaia 31 7 5" xfId="41914" xr:uid="{0461189B-63ED-49EB-9D6F-A280418F5B1A}"/>
    <cellStyle name="Migliaia 31 7 6" xfId="16393" xr:uid="{C2767E41-9D39-461F-B3D2-273661D19CCF}"/>
    <cellStyle name="Migliaia 31 7 7" xfId="8313" xr:uid="{FEA41269-9C19-4599-B7EC-EEB71287C143}"/>
    <cellStyle name="Migliaia 31 8" xfId="3503" xr:uid="{6B6207E0-B01D-44B5-8343-6BB30870DB82}"/>
    <cellStyle name="Migliaia 31 8 2" xfId="5229" xr:uid="{A986B480-44F8-4916-AA98-EF109571D939}"/>
    <cellStyle name="Migliaia 31 8 2 2" xfId="35297" xr:uid="{D04B9250-7DF3-4B7A-9401-7A3E0BAE330E}"/>
    <cellStyle name="Migliaia 31 8 2 2 2" xfId="40457" xr:uid="{798DE6C7-3A60-4927-BA09-0C1C1C766561}"/>
    <cellStyle name="Migliaia 31 8 2 2 3" xfId="45759" xr:uid="{ED53BDE0-BE79-4DF9-9910-56F1D9903B16}"/>
    <cellStyle name="Migliaia 31 8 2 3" xfId="37806" xr:uid="{312D0422-885C-40F4-9B59-78876753DCE6}"/>
    <cellStyle name="Migliaia 31 8 2 4" xfId="43108" xr:uid="{FF8CB8B1-1D1A-478E-AD63-0163F102D5F3}"/>
    <cellStyle name="Migliaia 31 8 2 5" xfId="13956" xr:uid="{930E44A2-C0FE-4B15-82B9-0DB1FE7A2109}"/>
    <cellStyle name="Migliaia 31 8 3" xfId="6428" xr:uid="{3A1C1AD4-C32A-4085-83A2-D9D70A1A9FF3}"/>
    <cellStyle name="Migliaia 31 8 3 2" xfId="39264" xr:uid="{92F5DB2E-678F-4D2C-BA02-82D0C9DAA7B1}"/>
    <cellStyle name="Migliaia 31 8 3 3" xfId="44566" xr:uid="{560ADDF3-B081-4FA6-8B5C-525356E54E0A}"/>
    <cellStyle name="Migliaia 31 8 3 4" xfId="33770" xr:uid="{E3FFCA48-CE98-40D0-8B83-26614163D411}"/>
    <cellStyle name="Migliaia 31 8 3 5" xfId="20374" xr:uid="{11EF0AC6-2FB7-4F15-90FB-81EDDE7CBC65}"/>
    <cellStyle name="Migliaia 31 8 4" xfId="36704" xr:uid="{0078A6E4-38A8-4549-9480-03CAEB973DB5}"/>
    <cellStyle name="Migliaia 31 8 5" xfId="41915" xr:uid="{B122949E-3A53-4DCA-A3FD-5A219C26ACB3}"/>
    <cellStyle name="Migliaia 31 8 6" xfId="16394" xr:uid="{E4A16A4B-4A9A-4B61-A4B3-5F3115945140}"/>
    <cellStyle name="Migliaia 31 8 7" xfId="7918" xr:uid="{D3D6E4CD-EC67-42F1-A0FC-B334E544231D}"/>
    <cellStyle name="Migliaia 31 9" xfId="5214" xr:uid="{BA9ED042-F19A-4BCE-B4BA-E3FD4223562D}"/>
    <cellStyle name="Migliaia 31 9 2" xfId="33771" xr:uid="{E657F8E9-8443-4B2D-8E75-613A2C05EDFE}"/>
    <cellStyle name="Migliaia 31 9 2 2" xfId="39265" xr:uid="{0D0B50AE-4DB9-41C9-89C2-11DA99315CC3}"/>
    <cellStyle name="Migliaia 31 9 2 3" xfId="44567" xr:uid="{00A41070-943A-418C-9256-AB8BDB6FCBCB}"/>
    <cellStyle name="Migliaia 31 9 3" xfId="36705" xr:uid="{F1E82BA3-BBE8-4D4B-BD64-46F8E68A6E44}"/>
    <cellStyle name="Migliaia 31 9 4" xfId="41916" xr:uid="{1C53F8DC-AF11-4271-8053-533A674AB600}"/>
    <cellStyle name="Migliaia 31 9 5" xfId="17183" xr:uid="{59B2C0E5-B519-4BF0-A687-52629F6EE074}"/>
    <cellStyle name="Migliaia 32" xfId="401" xr:uid="{00000000-0005-0000-0000-0000A0030000}"/>
    <cellStyle name="Migliaia 32 10" xfId="6429" xr:uid="{9ED7B565-ECB8-41A7-9A8F-B29219AC8240}"/>
    <cellStyle name="Migliaia 32 10 2" xfId="39266" xr:uid="{638C477F-C2D5-4FBF-BA65-A4BC8D50E4BE}"/>
    <cellStyle name="Migliaia 32 10 3" xfId="44568" xr:uid="{04FE9BC5-D912-4C81-8D72-0E498D11223C}"/>
    <cellStyle name="Migliaia 32 10 4" xfId="33772" xr:uid="{C2C5E5D7-6D93-46EF-B1C9-630C6C62A511}"/>
    <cellStyle name="Migliaia 32 10 5" xfId="20375" xr:uid="{186EDA19-4A0E-4019-B668-CD30B7B292FB}"/>
    <cellStyle name="Migliaia 32 11" xfId="3504" xr:uid="{9C72130C-517D-4189-AF9B-72E602B40970}"/>
    <cellStyle name="Migliaia 32 11 2" xfId="36706" xr:uid="{6A2BA59E-4FE6-4C49-9DA9-7751186FD3AF}"/>
    <cellStyle name="Migliaia 32 12" xfId="41917" xr:uid="{0C3A8BDA-C66C-4EA1-B663-36A5A171D247}"/>
    <cellStyle name="Migliaia 32 13" xfId="7117" xr:uid="{F55C083A-84FB-445E-9F1B-D93B9D090E2A}"/>
    <cellStyle name="Migliaia 32 2" xfId="402" xr:uid="{00000000-0005-0000-0000-0000A1030000}"/>
    <cellStyle name="Migliaia 32 2 2" xfId="1781" xr:uid="{00000000-0005-0000-0000-0000A2030000}"/>
    <cellStyle name="Migliaia 32 2 2 2" xfId="5232" xr:uid="{1E4633C3-093F-4567-B9D6-6886485EC7C2}"/>
    <cellStyle name="Migliaia 32 2 2 2 2" xfId="14388" xr:uid="{CC88F677-5101-4BB6-8349-9C80F8094337}"/>
    <cellStyle name="Migliaia 32 2 2 2 2 2" xfId="39267" xr:uid="{7941CDDC-00A4-46A3-B22F-FF46AC2DC5D8}"/>
    <cellStyle name="Migliaia 32 2 2 2 2 3" xfId="44569" xr:uid="{9F2B9289-D97A-47A7-B514-E7242733549F}"/>
    <cellStyle name="Migliaia 32 2 2 2 3" xfId="18437" xr:uid="{4526A382-F03E-4A76-83DB-52C3604A814D}"/>
    <cellStyle name="Migliaia 32 2 2 2 4" xfId="20378" xr:uid="{F19C53F2-CEF7-4418-8D28-71B735F1F184}"/>
    <cellStyle name="Migliaia 32 2 2 2 4 2" xfId="41918" xr:uid="{8E914ACF-5F6F-43B1-AE84-20DE28FA4D3E}"/>
    <cellStyle name="Migliaia 32 2 2 2 5" xfId="16395" xr:uid="{735507E6-A15A-4119-8C44-85215217D026}"/>
    <cellStyle name="Migliaia 32 2 2 2 6" xfId="8631" xr:uid="{F27AB2BC-7C4E-48B8-B98B-74631D7765C6}"/>
    <cellStyle name="Migliaia 32 2 2 3" xfId="6431" xr:uid="{2B89C303-7FF5-440F-BA0A-3980F4BB300E}"/>
    <cellStyle name="Migliaia 32 2 2 3 2" xfId="35298" xr:uid="{E5864D45-A55F-449F-BDD2-C7981ADD6417}"/>
    <cellStyle name="Migliaia 32 2 2 3 2 2" xfId="40458" xr:uid="{08EA1BBB-561A-4E42-A420-B3224710D36A}"/>
    <cellStyle name="Migliaia 32 2 2 3 2 3" xfId="45760" xr:uid="{BCB80B29-F8BE-42E6-B939-229D06BCCE3E}"/>
    <cellStyle name="Migliaia 32 2 2 3 3" xfId="37807" xr:uid="{2AD33031-C229-4CC6-89E7-D6445514BF98}"/>
    <cellStyle name="Migliaia 32 2 2 3 4" xfId="43109" xr:uid="{E469CC4D-5EE6-47DE-B11B-5693F4E1CB73}"/>
    <cellStyle name="Migliaia 32 2 2 3 5" xfId="11615" xr:uid="{ADDCFA8C-01F1-410A-B538-0EC4D3564FF5}"/>
    <cellStyle name="Migliaia 32 2 2 4" xfId="3506" xr:uid="{A87317A6-BB04-4C86-BD61-74C10C8FA4A8}"/>
    <cellStyle name="Migliaia 32 2 2 4 2" xfId="21493" xr:uid="{E92D301D-206F-48F8-9DB4-C73A7ABB0CD2}"/>
    <cellStyle name="Migliaia 32 2 2 4 3" xfId="46243" xr:uid="{74682351-F5D4-4FC8-84CF-511C8AFA4907}"/>
    <cellStyle name="Migliaia 32 2 2 4 4" xfId="50508" xr:uid="{996C033B-F8F8-4E9C-8C8D-D7FD615C948B}"/>
    <cellStyle name="Migliaia 32 2 2 4 5" xfId="53524" xr:uid="{F99CED52-31BD-4C9F-86AD-EC2527434F2D}"/>
    <cellStyle name="Migliaia 32 2 2 4 6" xfId="10858" xr:uid="{7FE21A61-62E7-4441-90C4-7F7843E9F777}"/>
    <cellStyle name="Migliaia 32 2 2 5" xfId="20377" xr:uid="{3662039C-51FD-4F5A-B506-F9D3A96E6368}"/>
    <cellStyle name="Migliaia 32 2 2 6" xfId="24753" xr:uid="{036B0CAC-E866-4A64-AF23-2FBF6EFDCD55}"/>
    <cellStyle name="Migliaia 32 2 2 7" xfId="7441" xr:uid="{3CB18AF0-5693-471C-A585-ED4FF0BB59F2}"/>
    <cellStyle name="Migliaia 32 2 3" xfId="3507" xr:uid="{A5C4E8EF-369A-4380-A506-0CA45EBB990E}"/>
    <cellStyle name="Migliaia 32 2 3 2" xfId="5233" xr:uid="{9CDF39E0-AD53-4F92-9023-91439D937486}"/>
    <cellStyle name="Migliaia 32 2 3 2 2" xfId="35299" xr:uid="{F1C5A029-CE8D-4FFF-B1A2-AA75A58AD729}"/>
    <cellStyle name="Migliaia 32 2 3 2 2 2" xfId="40459" xr:uid="{0DD57006-922C-46BF-9D79-C1F60D59F139}"/>
    <cellStyle name="Migliaia 32 2 3 2 2 3" xfId="45761" xr:uid="{006C8582-9C5F-4C2B-A725-35A587612E3D}"/>
    <cellStyle name="Migliaia 32 2 3 2 3" xfId="37808" xr:uid="{C72E3590-9F26-448F-95E8-E1A7AED61C2D}"/>
    <cellStyle name="Migliaia 32 2 3 2 4" xfId="43110" xr:uid="{230CF92E-06C8-42C4-BCF5-86C31A6F552C}"/>
    <cellStyle name="Migliaia 32 2 3 2 5" xfId="14255" xr:uid="{F60526F0-C64C-4383-9C2C-03B7942AE51A}"/>
    <cellStyle name="Migliaia 32 2 3 3" xfId="6432" xr:uid="{9B02D7C7-1E0A-4DA2-9126-71CF125B541D}"/>
    <cellStyle name="Migliaia 32 2 3 3 2" xfId="39268" xr:uid="{9D3ECFB8-6C77-483E-89D2-DECEECBDE7CB}"/>
    <cellStyle name="Migliaia 32 2 3 3 3" xfId="44570" xr:uid="{E86B7738-FBE8-44BE-B6B3-C269C12B3189}"/>
    <cellStyle name="Migliaia 32 2 3 3 4" xfId="33773" xr:uid="{040198DC-1BC3-4E35-9A49-C0B3E726F483}"/>
    <cellStyle name="Migliaia 32 2 3 3 5" xfId="20379" xr:uid="{815B87A2-48D3-415B-A180-EAFC188F7008}"/>
    <cellStyle name="Migliaia 32 2 3 4" xfId="36707" xr:uid="{5468B23A-D131-4FB0-B255-B8E4084BC6BF}"/>
    <cellStyle name="Migliaia 32 2 3 5" xfId="41919" xr:uid="{A2297F06-EB8D-4809-94BA-3E9B8402A323}"/>
    <cellStyle name="Migliaia 32 2 3 6" xfId="16396" xr:uid="{39A3F061-241D-40FC-B6F3-5453C296FB11}"/>
    <cellStyle name="Migliaia 32 2 3 7" xfId="8317" xr:uid="{7B94CB93-FF86-49C5-A9D4-07B3CB73D559}"/>
    <cellStyle name="Migliaia 32 2 4" xfId="5231" xr:uid="{BB7B1551-B626-4DAD-9399-358B008DA417}"/>
    <cellStyle name="Migliaia 32 2 4 2" xfId="13960" xr:uid="{2B0878DB-EAED-445C-A90E-AD2EC6F310DD}"/>
    <cellStyle name="Migliaia 32 2 4 2 2" xfId="39269" xr:uid="{FD188D43-A894-4E8E-8B2A-AB6FD32CA621}"/>
    <cellStyle name="Migliaia 32 2 4 2 3" xfId="44571" xr:uid="{932C802C-6092-48E8-8242-ECDEBDF5177B}"/>
    <cellStyle name="Migliaia 32 2 4 3" xfId="18707" xr:uid="{BD797927-0516-4674-BB75-85FF019127D6}"/>
    <cellStyle name="Migliaia 32 2 4 4" xfId="20380" xr:uid="{6B1E6035-0855-473D-A083-39BC3EB86964}"/>
    <cellStyle name="Migliaia 32 2 4 4 2" xfId="41920" xr:uid="{1BF572D4-80CA-4B2A-9186-DE7EF2115CBF}"/>
    <cellStyle name="Migliaia 32 2 4 5" xfId="16397" xr:uid="{B499160B-E11E-429E-B7FD-5E0B4F98AB66}"/>
    <cellStyle name="Migliaia 32 2 4 6" xfId="7923" xr:uid="{B7F5D42D-2643-47B2-BC88-A1936CF25599}"/>
    <cellStyle name="Migliaia 32 2 5" xfId="6430" xr:uid="{B5375F68-9824-4BFA-A160-00A8EACC8CB7}"/>
    <cellStyle name="Migliaia 32 2 5 2" xfId="33775" xr:uid="{CE53E77C-360F-44F0-B67C-6AAFDF291144}"/>
    <cellStyle name="Migliaia 32 2 5 2 2" xfId="39270" xr:uid="{E481FC4F-CEC7-4668-BE0F-48BB3F2445A6}"/>
    <cellStyle name="Migliaia 32 2 5 2 3" xfId="44572" xr:uid="{E72C7536-D4E5-428F-B0E9-1DDA00517C31}"/>
    <cellStyle name="Migliaia 32 2 5 3" xfId="36709" xr:uid="{A72264D1-2125-41DE-AEB0-2D39945D4BAA}"/>
    <cellStyle name="Migliaia 32 2 5 4" xfId="41921" xr:uid="{4FF0E2A1-CA32-4A21-A979-2104890718B1}"/>
    <cellStyle name="Migliaia 32 2 5 5" xfId="13128" xr:uid="{0E37F001-DB38-41C3-9C82-4E4EAC436F47}"/>
    <cellStyle name="Migliaia 32 2 6" xfId="3505" xr:uid="{B04E58CB-EADC-46C2-915B-BB530977C3EE}"/>
    <cellStyle name="Migliaia 32 2 6 2" xfId="33776" xr:uid="{4771CB95-D7DA-4A32-84B8-8238DD201BAB}"/>
    <cellStyle name="Migliaia 32 2 6 2 2" xfId="39271" xr:uid="{32A95436-CF8E-4A75-A26E-CBDFEED6F447}"/>
    <cellStyle name="Migliaia 32 2 6 2 3" xfId="44573" xr:uid="{5746B520-0278-4F55-97F9-E13AF98CAA2A}"/>
    <cellStyle name="Migliaia 32 2 6 3" xfId="36710" xr:uid="{5E2672F8-8EEE-48DA-A460-82E38341D768}"/>
    <cellStyle name="Migliaia 32 2 6 4" xfId="41922" xr:uid="{E896ABDD-29E0-4685-A4B7-3C87FE83D158}"/>
    <cellStyle name="Migliaia 32 2 6 5" xfId="24755" xr:uid="{DA643292-FF71-470D-B2E7-2D20CE3E8237}"/>
    <cellStyle name="Migliaia 32 2 6 6" xfId="20376" xr:uid="{7C384D25-E85D-4C96-AB3B-8CF84631222C}"/>
    <cellStyle name="Migliaia 32 2 7" xfId="24752" xr:uid="{21999DC5-2946-480F-BBDB-968CD247EA17}"/>
    <cellStyle name="Migliaia 32 2 8" xfId="7118" xr:uid="{087D05EF-22FD-4B2D-A83C-3F04864B1741}"/>
    <cellStyle name="Migliaia 32 3" xfId="403" xr:uid="{00000000-0005-0000-0000-0000A3030000}"/>
    <cellStyle name="Migliaia 32 3 10" xfId="24756" xr:uid="{11527457-8EA4-42D9-A1E8-E18469AEE46C}"/>
    <cellStyle name="Migliaia 32 3 11" xfId="16398" xr:uid="{6319A420-42EC-4ED9-BD97-3C89F79EAC0E}"/>
    <cellStyle name="Migliaia 32 3 12" xfId="7119" xr:uid="{8CC6DF7B-556A-4705-97CE-4AE828C5FFFF}"/>
    <cellStyle name="Migliaia 32 3 2" xfId="404" xr:uid="{00000000-0005-0000-0000-0000A4030000}"/>
    <cellStyle name="Migliaia 32 3 2 2" xfId="1782" xr:uid="{00000000-0005-0000-0000-0000A5030000}"/>
    <cellStyle name="Migliaia 32 3 2 2 2" xfId="5236" xr:uid="{19BB44E1-58F7-4BD5-849E-4C1C91D62D25}"/>
    <cellStyle name="Migliaia 32 3 2 2 2 2" xfId="18438" xr:uid="{5A413887-516E-49E4-A44A-EA51F80731E6}"/>
    <cellStyle name="Migliaia 32 3 2 2 2 2 2" xfId="21866" xr:uid="{C6EEB3B7-4571-46A5-8DB3-A50F85D43D58}"/>
    <cellStyle name="Migliaia 32 3 2 2 2 2 2 2" xfId="39272" xr:uid="{1C5529D8-6A76-43BB-ACBE-045B8D28D17E}"/>
    <cellStyle name="Migliaia 32 3 2 2 2 2 3" xfId="44574" xr:uid="{8A9C724F-6EF5-45BF-B0C9-FE216C00956C}"/>
    <cellStyle name="Migliaia 32 3 2 2 2 2 4" xfId="33777" xr:uid="{C07FCF98-7AA0-43D9-9D5D-C0CFB1547463}"/>
    <cellStyle name="Migliaia 32 3 2 2 2 3" xfId="36711" xr:uid="{47EE7715-7995-4B5D-84C5-5900A1B0BC16}"/>
    <cellStyle name="Migliaia 32 3 2 2 2 4" xfId="41923" xr:uid="{28325EA2-13AD-4897-963D-D6A02A5D39CA}"/>
    <cellStyle name="Migliaia 32 3 2 2 2 5" xfId="47912" xr:uid="{E73AC132-9136-4FB2-ADF6-246A57E56F61}"/>
    <cellStyle name="Migliaia 32 3 2 2 2 6" xfId="50894" xr:uid="{F3D537BB-9206-4842-87DC-463D4E7662C4}"/>
    <cellStyle name="Migliaia 32 3 2 2 2 7" xfId="53910" xr:uid="{944175EE-3856-4C49-A66D-EE5342380A10}"/>
    <cellStyle name="Migliaia 32 3 2 2 2 8" xfId="17663" xr:uid="{73D39FC0-4623-4D8B-A341-12E221DF5BCD}"/>
    <cellStyle name="Migliaia 32 3 2 2 2 9" xfId="11987" xr:uid="{95EF7553-CAAB-4C06-96B8-47614BE3215E}"/>
    <cellStyle name="Migliaia 32 3 2 2 3" xfId="6435" xr:uid="{C82D1CF1-FCB1-4844-82BC-41E98B0E9CA3}"/>
    <cellStyle name="Migliaia 32 3 2 2 3 2" xfId="11139" xr:uid="{517F29B5-02BF-47EE-AC3F-4D35BBBD4C26}"/>
    <cellStyle name="Migliaia 32 3 2 2 4" xfId="3510" xr:uid="{797E19F7-D10D-456A-880C-AFE323A1B66E}"/>
    <cellStyle name="Migliaia 32 3 2 2 4 2" xfId="21494" xr:uid="{2BC6AE54-DB6E-4C43-B3A6-A8E3413D2ED5}"/>
    <cellStyle name="Migliaia 32 3 2 2 4 3" xfId="48179" xr:uid="{5FB222AD-CCA4-4A78-8243-3D6A6F984B7E}"/>
    <cellStyle name="Migliaia 32 3 2 2 4 4" xfId="50509" xr:uid="{944C7748-B5AE-4CE2-955C-18B5FCC8EE59}"/>
    <cellStyle name="Migliaia 32 3 2 2 4 5" xfId="53525" xr:uid="{BE3101C4-7624-46AA-B5BE-522A769667D0}"/>
    <cellStyle name="Migliaia 32 3 2 2 4 6" xfId="10859" xr:uid="{CE21FCC5-FBA8-4CD4-B2ED-A27B401CFD36}"/>
    <cellStyle name="Migliaia 32 3 2 2 5" xfId="20383" xr:uid="{23337B00-8FAE-4126-9BD4-22DFC746CD54}"/>
    <cellStyle name="Migliaia 32 3 2 2 6" xfId="24758" xr:uid="{C29033BF-3055-4DF9-A2B1-A0A4BFA9BAA6}"/>
    <cellStyle name="Migliaia 32 3 2 2 7" xfId="8633" xr:uid="{A9FA4980-759C-4CF4-ACE2-6FACF4B1D2CE}"/>
    <cellStyle name="Migliaia 32 3 2 3" xfId="5235" xr:uid="{73CD4E40-958A-4C35-AFB7-FC2BA117901E}"/>
    <cellStyle name="Migliaia 32 3 2 3 2" xfId="12412" xr:uid="{9C0824EB-815F-49D3-BC67-CE892F5D4DAB}"/>
    <cellStyle name="Migliaia 32 3 2 3 2 2" xfId="39273" xr:uid="{4E4571DE-872F-452C-9AF0-7D9BC51FE9FC}"/>
    <cellStyle name="Migliaia 32 3 2 3 2 3" xfId="44575" xr:uid="{D75613BB-1087-44AC-8FD6-6F9FCA8F85E7}"/>
    <cellStyle name="Migliaia 32 3 2 3 2 4" xfId="33778" xr:uid="{3212A96D-77FD-4DFD-BC17-4497D36F5FA9}"/>
    <cellStyle name="Migliaia 32 3 2 3 3" xfId="11988" xr:uid="{8A893CB8-1A66-49E4-87AC-81EFF126FCF2}"/>
    <cellStyle name="Migliaia 32 3 2 3 4" xfId="20384" xr:uid="{C47863CF-6A6D-4C69-A693-F6FC7126DA7A}"/>
    <cellStyle name="Migliaia 32 3 2 3 4 2" xfId="41924" xr:uid="{E64D4C30-FA60-4BAB-9CA1-07B0BEBA928E}"/>
    <cellStyle name="Migliaia 32 3 2 3 5" xfId="16399" xr:uid="{4CA81026-EA8F-4ED2-94A6-E74297E082C8}"/>
    <cellStyle name="Migliaia 32 3 2 3 6" xfId="7925" xr:uid="{2732888A-BBE0-4560-BDDB-20B9E8202B26}"/>
    <cellStyle name="Migliaia 32 3 2 4" xfId="6434" xr:uid="{10C6C0C9-7B49-4C56-B6C6-0919D60A39D3}"/>
    <cellStyle name="Migliaia 32 3 2 4 2" xfId="18082" xr:uid="{28B1D63C-59DB-4DF8-8396-9A07D31E99B0}"/>
    <cellStyle name="Migliaia 32 3 2 4 2 2" xfId="39274" xr:uid="{091B53F9-4B67-4088-897A-ED8CCD3CA98F}"/>
    <cellStyle name="Migliaia 32 3 2 4 2 3" xfId="44576" xr:uid="{EFA1337A-561C-4C76-8639-094AC878DDAF}"/>
    <cellStyle name="Migliaia 32 3 2 4 3" xfId="36713" xr:uid="{CD627BEC-4E08-4FFA-9BAD-0B1D215F338A}"/>
    <cellStyle name="Migliaia 32 3 2 4 4" xfId="41925" xr:uid="{2D4A2F92-A2AE-482B-BB1B-4173D4F05A23}"/>
    <cellStyle name="Migliaia 32 3 2 4 5" xfId="17186" xr:uid="{C8464A29-7FE5-48CF-9503-4B7A1FFB0DA7}"/>
    <cellStyle name="Migliaia 32 3 2 4 6" xfId="11336" xr:uid="{5ED1C892-98DD-47D8-9754-0087669CBA42}"/>
    <cellStyle name="Migliaia 32 3 2 5" xfId="3509" xr:uid="{41BCB18A-50B0-4217-AA2A-D96D500BB30B}"/>
    <cellStyle name="Migliaia 32 3 2 5 2" xfId="33779" xr:uid="{2D3D9B55-0F4F-42DA-B8A8-8D893E19BF88}"/>
    <cellStyle name="Migliaia 32 3 2 5 2 2" xfId="39275" xr:uid="{E1157660-936E-4165-BCA2-41C2FC44130C}"/>
    <cellStyle name="Migliaia 32 3 2 5 2 3" xfId="44577" xr:uid="{60CA7028-A7B6-4E77-9D37-12F36FA0AB6D}"/>
    <cellStyle name="Migliaia 32 3 2 5 3" xfId="36714" xr:uid="{E5A0B2B8-7400-4CE2-9C21-1924C89F4405}"/>
    <cellStyle name="Migliaia 32 3 2 5 4" xfId="41926" xr:uid="{CC8F7F42-4C80-458C-A958-20EF2794ADB9}"/>
    <cellStyle name="Migliaia 32 3 2 5 5" xfId="17351" xr:uid="{6E285BDC-229F-42F8-BD7F-53E46CBA0E53}"/>
    <cellStyle name="Migliaia 32 3 2 6" xfId="20382" xr:uid="{26466020-BE42-49EA-8F8D-CBEDAB0A0F30}"/>
    <cellStyle name="Migliaia 32 3 2 6 2" xfId="33780" xr:uid="{8B2E0AB5-DB63-48DB-8C5A-EFB4FAF817C9}"/>
    <cellStyle name="Migliaia 32 3 2 6 2 2" xfId="39276" xr:uid="{57A9DC0C-33AF-4293-A9EA-DA85A1E1B4B2}"/>
    <cellStyle name="Migliaia 32 3 2 6 2 3" xfId="44578" xr:uid="{00EB88B3-6FE8-4BBF-A35E-8A17F3E586BC}"/>
    <cellStyle name="Migliaia 32 3 2 6 3" xfId="36715" xr:uid="{F96B51C2-6B52-4104-9411-27D380B1CB70}"/>
    <cellStyle name="Migliaia 32 3 2 6 4" xfId="41927" xr:uid="{FCE18F40-AA0E-4C6B-BA91-2335ADA84617}"/>
    <cellStyle name="Migliaia 32 3 2 6 5" xfId="24761" xr:uid="{E96B1D0C-4D11-49CC-ACB8-531F85450ECC}"/>
    <cellStyle name="Migliaia 32 3 2 7" xfId="24757" xr:uid="{F53D8B33-244E-4AAF-AE00-3255AE99E80E}"/>
    <cellStyle name="Migliaia 32 3 2 8" xfId="7443" xr:uid="{3D27C3F4-5606-42F5-BB5B-025BD59239E7}"/>
    <cellStyle name="Migliaia 32 3 3" xfId="3511" xr:uid="{762B7129-7A57-43B2-9DA6-7496D75889FD}"/>
    <cellStyle name="Migliaia 32 3 3 10" xfId="7442" xr:uid="{583007EE-AD60-4B4B-A782-1FF1523E2B91}"/>
    <cellStyle name="Migliaia 32 3 3 2" xfId="5237" xr:uid="{DFA00A8A-B81E-463A-A568-632A0F0DF353}"/>
    <cellStyle name="Migliaia 32 3 3 2 2" xfId="9932" xr:uid="{75B862FE-3533-4860-891B-3862A4FD8A8F}"/>
    <cellStyle name="Migliaia 32 3 3 2 2 2" xfId="39278" xr:uid="{68C0B9C0-7135-4D04-BC2D-917AC1F12AC4}"/>
    <cellStyle name="Migliaia 32 3 3 2 2 3" xfId="44580" xr:uid="{E58B2862-EEE7-4C1D-8D9C-6850E4AD5A0A}"/>
    <cellStyle name="Migliaia 32 3 3 2 3" xfId="18212" xr:uid="{82604254-CDB6-45AB-BC17-DEDE8513F72A}"/>
    <cellStyle name="Migliaia 32 3 3 2 4" xfId="20386" xr:uid="{D4B159DD-20D0-43DD-8FB0-A7EA5BC650DB}"/>
    <cellStyle name="Migliaia 32 3 3 2 4 2" xfId="41929" xr:uid="{EBA3A189-84B0-4653-9991-82F41A7B9E21}"/>
    <cellStyle name="Migliaia 32 3 3 2 5" xfId="16401" xr:uid="{3969CFAC-0784-4464-B2E1-45600027D6E1}"/>
    <cellStyle name="Migliaia 32 3 3 2 6" xfId="8632" xr:uid="{7A133912-DC8F-4503-907D-0841A0A2D37F}"/>
    <cellStyle name="Migliaia 32 3 3 3" xfId="6436" xr:uid="{A03A6FE5-883D-41C2-BC24-9CDD98AD747C}"/>
    <cellStyle name="Migliaia 32 3 3 3 2" xfId="33783" xr:uid="{71601750-CB18-4879-AEB4-1195C5A3C4B8}"/>
    <cellStyle name="Migliaia 32 3 3 3 2 2" xfId="39279" xr:uid="{F87086C7-F9FE-44B2-8E35-93FD0FCE23C5}"/>
    <cellStyle name="Migliaia 32 3 3 3 2 3" xfId="44581" xr:uid="{219AA0CD-7EBC-49F4-BE14-E508853848CC}"/>
    <cellStyle name="Migliaia 32 3 3 3 3" xfId="36718" xr:uid="{495BF574-4A80-43E2-A03C-62BE2891BD87}"/>
    <cellStyle name="Migliaia 32 3 3 3 4" xfId="41930" xr:uid="{57DAB578-503F-41D9-B15E-3F262D835D58}"/>
    <cellStyle name="Migliaia 32 3 3 3 5" xfId="9695" xr:uid="{8DDE3DA0-E2C3-480F-BB60-3FCF3C35AB68}"/>
    <cellStyle name="Migliaia 32 3 3 4" xfId="20385" xr:uid="{F717BDF5-FEF5-49CE-A2D1-43DD705AAE8A}"/>
    <cellStyle name="Migliaia 32 3 3 4 2" xfId="33784" xr:uid="{E3FEA08A-D0F9-4FCF-B5CA-07FCC8C05FBE}"/>
    <cellStyle name="Migliaia 32 3 3 4 2 2" xfId="39280" xr:uid="{5FD6AEBA-07D4-47D5-A7BC-A034D64C52A3}"/>
    <cellStyle name="Migliaia 32 3 3 4 2 3" xfId="44582" xr:uid="{FD098CFA-A44A-4D2E-8B78-545A56747EE1}"/>
    <cellStyle name="Migliaia 32 3 3 4 3" xfId="36719" xr:uid="{73F7732B-B937-4EF5-8654-B50AB5A3395B}"/>
    <cellStyle name="Migliaia 32 3 3 4 4" xfId="41931" xr:uid="{6EEBE579-4DA6-478F-941D-01E368D34E1C}"/>
    <cellStyle name="Migliaia 32 3 3 4 5" xfId="24763" xr:uid="{F77406F7-608C-4C8B-AF8D-B7AD54C53108}"/>
    <cellStyle name="Migliaia 32 3 3 5" xfId="24764" xr:uid="{91B97FF7-A3F1-4499-9340-6D9BE53F2126}"/>
    <cellStyle name="Migliaia 32 3 3 5 2" xfId="33785" xr:uid="{ECC35531-F118-4B71-93E1-CF9A2328B9EC}"/>
    <cellStyle name="Migliaia 32 3 3 5 2 2" xfId="39281" xr:uid="{12E21F0C-BBEB-468E-9B58-6A72F16F20FD}"/>
    <cellStyle name="Migliaia 32 3 3 5 2 3" xfId="44583" xr:uid="{72B8DABB-A83A-42F7-A5B2-83C97A65F970}"/>
    <cellStyle name="Migliaia 32 3 3 5 3" xfId="36720" xr:uid="{D5210168-752B-4304-BCEE-1379A19C5FD9}"/>
    <cellStyle name="Migliaia 32 3 3 5 4" xfId="41932" xr:uid="{A771AE4D-84FE-4369-98A1-B14466DB68A1}"/>
    <cellStyle name="Migliaia 32 3 3 6" xfId="33781" xr:uid="{7059C4CD-D9BC-4DB5-8C2F-41EB9C131108}"/>
    <cellStyle name="Migliaia 32 3 3 6 2" xfId="39277" xr:uid="{EB1D63A7-27FC-4F44-A5C2-190BCFF74BD1}"/>
    <cellStyle name="Migliaia 32 3 3 6 3" xfId="44579" xr:uid="{37421332-ACFD-4DF2-AC51-D41969B4DB82}"/>
    <cellStyle name="Migliaia 32 3 3 7" xfId="36716" xr:uid="{ED7C46EB-FEA5-48FC-9D53-632497F3A410}"/>
    <cellStyle name="Migliaia 32 3 3 8" xfId="41928" xr:uid="{37AB18EE-2C70-4242-9525-D7A0F803AC5F}"/>
    <cellStyle name="Migliaia 32 3 3 9" xfId="16400" xr:uid="{AE7640D7-2530-4CA8-B595-B36D9FC88B8C}"/>
    <cellStyle name="Migliaia 32 3 4" xfId="3512" xr:uid="{62304707-5987-4782-98DE-4DA0F6D655B2}"/>
    <cellStyle name="Migliaia 32 3 4 2" xfId="5238" xr:uid="{32C99067-454D-4962-9210-A644E7861CC2}"/>
    <cellStyle name="Migliaia 32 3 4 2 2" xfId="14448" xr:uid="{A6D684DB-F6DE-4DD5-90B4-792278959FBC}"/>
    <cellStyle name="Migliaia 32 3 4 2 3" xfId="18584" xr:uid="{2EFD642E-A13D-49EF-BCEB-A36066884EB0}"/>
    <cellStyle name="Migliaia 32 3 4 2 4" xfId="20388" xr:uid="{A6ACF4E3-FB98-4F77-8049-F2B0AB15BBE2}"/>
    <cellStyle name="Migliaia 32 3 4 2 5" xfId="32380" xr:uid="{CAF02877-2AC3-4687-A88A-4454475AB170}"/>
    <cellStyle name="Migliaia 32 3 4 2 6" xfId="16403" xr:uid="{6A83FBA9-93E3-4E3C-86AB-D3F851B264F1}"/>
    <cellStyle name="Migliaia 32 3 4 2 7" xfId="8871" xr:uid="{2932B087-2D39-438B-9268-D24824DAC030}"/>
    <cellStyle name="Migliaia 32 3 4 3" xfId="6437" xr:uid="{C1B46896-D5AF-408A-8D97-A8746572D3E7}"/>
    <cellStyle name="Migliaia 32 3 4 3 2" xfId="35300" xr:uid="{D1FE0037-7C10-4A7D-B547-43D92FC7A46C}"/>
    <cellStyle name="Migliaia 32 3 4 3 2 2" xfId="40460" xr:uid="{575C98B0-89E8-49A1-AB7A-E76C3BEF45E1}"/>
    <cellStyle name="Migliaia 32 3 4 3 2 3" xfId="45762" xr:uid="{73622E6C-FCF2-413A-A240-78234E3D8048}"/>
    <cellStyle name="Migliaia 32 3 4 3 3" xfId="37809" xr:uid="{2F7870D7-152D-4F7E-BD71-90103DF3096A}"/>
    <cellStyle name="Migliaia 32 3 4 3 4" xfId="43111" xr:uid="{26AEC8EA-5965-49F2-A3DC-85C93554E083}"/>
    <cellStyle name="Migliaia 32 3 4 3 5" xfId="13696" xr:uid="{715D1556-6C38-42F7-B0FE-7E33FAAEB4FC}"/>
    <cellStyle name="Migliaia 32 3 4 4" xfId="20387" xr:uid="{DA7853A7-2C42-4F9F-98D0-0476E18974D0}"/>
    <cellStyle name="Migliaia 32 3 4 4 2" xfId="39282" xr:uid="{858AAFF4-2F74-4DE1-B3ED-AD661202AC57}"/>
    <cellStyle name="Migliaia 32 3 4 4 3" xfId="44584" xr:uid="{947AF9CD-D447-4A3F-89E9-17B463248EFC}"/>
    <cellStyle name="Migliaia 32 3 4 4 4" xfId="33786" xr:uid="{FB5E23B1-84EA-40A4-91B8-7741FD1FCBAF}"/>
    <cellStyle name="Migliaia 32 3 4 5" xfId="36721" xr:uid="{AEEC3B71-3C0C-4B4D-8DB7-B1E6214AC34C}"/>
    <cellStyle name="Migliaia 32 3 4 6" xfId="41933" xr:uid="{E5E419AD-7321-4C4E-9379-CD410FEDB093}"/>
    <cellStyle name="Migliaia 32 3 4 7" xfId="16402" xr:uid="{991C84B8-317E-40BA-B778-AF6F5B077395}"/>
    <cellStyle name="Migliaia 32 3 4 8" xfId="7681" xr:uid="{4904E841-3A41-4C94-9F8C-4BDC9A5880B4}"/>
    <cellStyle name="Migliaia 32 3 5" xfId="3513" xr:uid="{CB096336-041D-4556-A1DF-54B489F00F47}"/>
    <cellStyle name="Migliaia 32 3 5 2" xfId="5239" xr:uid="{F97C6EFB-56E4-48FA-B693-6194ADB4FC42}"/>
    <cellStyle name="Migliaia 32 3 5 2 2" xfId="35301" xr:uid="{5D43112C-3683-4AEC-934A-EEFC99F21177}"/>
    <cellStyle name="Migliaia 32 3 5 2 2 2" xfId="40461" xr:uid="{CAB13AB9-2489-47E5-AB5C-54287E7405CB}"/>
    <cellStyle name="Migliaia 32 3 5 2 2 3" xfId="45763" xr:uid="{966A87FE-80BD-4372-9462-7F2C22810DA0}"/>
    <cellStyle name="Migliaia 32 3 5 2 3" xfId="37810" xr:uid="{02F864EC-4AE7-4E1B-A272-CA9069263FC4}"/>
    <cellStyle name="Migliaia 32 3 5 2 4" xfId="43112" xr:uid="{25FE6546-4842-41B8-B8FE-87D42CE3637D}"/>
    <cellStyle name="Migliaia 32 3 5 2 5" xfId="14256" xr:uid="{9EFDD41E-884D-4C42-B494-D7B57B5EF3AE}"/>
    <cellStyle name="Migliaia 32 3 5 3" xfId="6438" xr:uid="{6CFB68BC-DA43-467F-A744-173D2D54F3E6}"/>
    <cellStyle name="Migliaia 32 3 5 3 2" xfId="39283" xr:uid="{B68415A5-71FE-4525-82C0-77EAAFBE7677}"/>
    <cellStyle name="Migliaia 32 3 5 3 3" xfId="44585" xr:uid="{E53B86B9-D965-4B7E-AA1F-9A630FD34D34}"/>
    <cellStyle name="Migliaia 32 3 5 3 4" xfId="33787" xr:uid="{CB9EDD51-4466-44C7-9896-7E4F2F1D1740}"/>
    <cellStyle name="Migliaia 32 3 5 3 5" xfId="20389" xr:uid="{93879FC9-723B-4EBF-A986-97723E768634}"/>
    <cellStyle name="Migliaia 32 3 5 4" xfId="36722" xr:uid="{DB983AFD-B66F-435B-906E-7E6A425B4977}"/>
    <cellStyle name="Migliaia 32 3 5 5" xfId="41934" xr:uid="{869BD425-4992-4C56-A7DF-11C256F31684}"/>
    <cellStyle name="Migliaia 32 3 5 6" xfId="16404" xr:uid="{BE5A0BC8-CD76-44B2-AE9B-7EFA3930C0F5}"/>
    <cellStyle name="Migliaia 32 3 5 7" xfId="8318" xr:uid="{11032C66-E4EE-424C-89E6-73B922A716A7}"/>
    <cellStyle name="Migliaia 32 3 6" xfId="5234" xr:uid="{1B527711-DAE8-4B2E-AF9D-3134DEDDB473}"/>
    <cellStyle name="Migliaia 32 3 6 2" xfId="13961" xr:uid="{CFB8235F-7D0C-47AF-9E12-2DCF338CD98A}"/>
    <cellStyle name="Migliaia 32 3 6 2 2" xfId="39284" xr:uid="{7CFB0A0F-8BDB-49DC-9486-5DE4C0226C9F}"/>
    <cellStyle name="Migliaia 32 3 6 2 3" xfId="44586" xr:uid="{DCD3F086-C49E-4D8B-93B5-6E0C9B9DFF4B}"/>
    <cellStyle name="Migliaia 32 3 6 3" xfId="18614" xr:uid="{08AD073A-7E95-4620-A75F-5D382FC7CD40}"/>
    <cellStyle name="Migliaia 32 3 6 4" xfId="20390" xr:uid="{FAFC3692-CB6A-43F5-8EC7-E398D4D59808}"/>
    <cellStyle name="Migliaia 32 3 6 4 2" xfId="41935" xr:uid="{310514F5-BF61-4756-A0BE-84B660792A88}"/>
    <cellStyle name="Migliaia 32 3 6 5" xfId="16405" xr:uid="{B0BBA026-4FD4-4887-A31B-E27E99D5D8A5}"/>
    <cellStyle name="Migliaia 32 3 6 6" xfId="7924" xr:uid="{92DA15A0-C93C-4A92-A33C-6B471BF960F9}"/>
    <cellStyle name="Migliaia 32 3 7" xfId="6433" xr:uid="{5823BAAF-61D2-4281-AB44-67BFE3822AEA}"/>
    <cellStyle name="Migliaia 32 3 7 2" xfId="33788" xr:uid="{1049A9A8-6DE6-46EE-9C3F-1F6C0525CD14}"/>
    <cellStyle name="Migliaia 32 3 7 2 2" xfId="39285" xr:uid="{A6E4031C-8B38-422C-957B-F45672C254FD}"/>
    <cellStyle name="Migliaia 32 3 7 2 3" xfId="44587" xr:uid="{9F33CC95-96CD-45FE-AAB7-E1F978E53B77}"/>
    <cellStyle name="Migliaia 32 3 7 3" xfId="36723" xr:uid="{CF575470-D392-4F9E-B60F-DA6C734E64E3}"/>
    <cellStyle name="Migliaia 32 3 7 4" xfId="41936" xr:uid="{AC981413-F277-4B3A-90D5-D87BC21EFE1E}"/>
    <cellStyle name="Migliaia 32 3 7 5" xfId="12244" xr:uid="{1E0201AD-82C9-44F6-950E-9247E53C4E79}"/>
    <cellStyle name="Migliaia 32 3 8" xfId="3508" xr:uid="{2085F6A7-0789-469A-B969-4BE64300FCAA}"/>
    <cellStyle name="Migliaia 32 3 8 2" xfId="33789" xr:uid="{5873EF68-98CE-4B51-92C7-3941CA2063FC}"/>
    <cellStyle name="Migliaia 32 3 8 2 2" xfId="39286" xr:uid="{A12DE1F5-6CCD-4764-A0DA-F94F5B25517A}"/>
    <cellStyle name="Migliaia 32 3 8 2 3" xfId="44588" xr:uid="{C5395F6A-5745-493D-8024-BFEA84408C06}"/>
    <cellStyle name="Migliaia 32 3 8 3" xfId="36724" xr:uid="{B093328A-DCF6-4219-8FC5-9DFD8F1E0BEF}"/>
    <cellStyle name="Migliaia 32 3 8 4" xfId="41937" xr:uid="{E7DB0335-3539-4A6B-8F34-AC9F3AE3356C}"/>
    <cellStyle name="Migliaia 32 3 8 5" xfId="24768" xr:uid="{F787DF8E-D06C-43DE-B276-2871F7E2EECB}"/>
    <cellStyle name="Migliaia 32 3 8 6" xfId="17352" xr:uid="{0B459E9E-8DF0-4100-BEF4-D58957885B44}"/>
    <cellStyle name="Migliaia 32 3 9" xfId="20381" xr:uid="{922E9900-501C-48DE-9B92-ACC91E42B687}"/>
    <cellStyle name="Migliaia 32 4" xfId="1783" xr:uid="{00000000-0005-0000-0000-0000A6030000}"/>
    <cellStyle name="Migliaia 32 4 2" xfId="1784" xr:uid="{00000000-0005-0000-0000-0000A7030000}"/>
    <cellStyle name="Migliaia 32 4 2 2" xfId="5241" xr:uid="{924DAC67-60AF-40AE-B9D4-B129F12D1A13}"/>
    <cellStyle name="Migliaia 32 4 2 2 2" xfId="33790" xr:uid="{3FAC5EEB-5E85-4ECE-B352-3E9751C90200}"/>
    <cellStyle name="Migliaia 32 4 2 2 2 2" xfId="39287" xr:uid="{EDB0A399-5FAE-4184-A4F9-46B883C15158}"/>
    <cellStyle name="Migliaia 32 4 2 2 2 3" xfId="44589" xr:uid="{A6B3C9F2-874F-4187-8C2B-9B937552F310}"/>
    <cellStyle name="Migliaia 32 4 2 2 3" xfId="36725" xr:uid="{572AC398-E290-4494-A356-61DF2C07BA07}"/>
    <cellStyle name="Migliaia 32 4 2 2 4" xfId="41938" xr:uid="{1007A034-C2C2-4E78-BFA1-1AABEC48AF43}"/>
    <cellStyle name="Migliaia 32 4 2 2 5" xfId="9158" xr:uid="{B1ACF012-D0F6-4D95-8033-A474D5A9AAC7}"/>
    <cellStyle name="Migliaia 32 4 2 3" xfId="3515" xr:uid="{F21A02D4-91F8-4775-8141-127D42F27451}"/>
    <cellStyle name="Migliaia 32 4 2 3 2" xfId="33791" xr:uid="{21884536-2C59-46B7-9579-D65C499E8612}"/>
    <cellStyle name="Migliaia 32 4 2 3 2 2" xfId="39288" xr:uid="{D0EB52A3-B6A8-41D5-8E39-4433D6A08D7A}"/>
    <cellStyle name="Migliaia 32 4 2 3 2 3" xfId="44590" xr:uid="{17D6F292-154E-4EEE-B38F-B1A332468B68}"/>
    <cellStyle name="Migliaia 32 4 2 3 3" xfId="36726" xr:uid="{9946F70D-BD46-4549-8D60-BE4B329D5F88}"/>
    <cellStyle name="Migliaia 32 4 2 3 4" xfId="41939" xr:uid="{2E5A9AD1-8CF1-4D2A-AEDF-114166A294E5}"/>
    <cellStyle name="Migliaia 32 4 2 3 5" xfId="11989" xr:uid="{ABCE21FD-DA7D-4B8C-AB80-946859AAE871}"/>
    <cellStyle name="Migliaia 32 4 2 4" xfId="11338" xr:uid="{44C5CD34-B7F0-4662-B07D-4D7CE088E886}"/>
    <cellStyle name="Migliaia 32 4 2 5" xfId="10861" xr:uid="{6CBA1785-DB5B-4DDB-A0CF-CDA013F77C9E}"/>
    <cellStyle name="Migliaia 32 4 2 5 2" xfId="21496" xr:uid="{C2484BC5-1E38-4885-9E04-0C7B2C51EBE1}"/>
    <cellStyle name="Migliaia 32 4 2 5 3" xfId="46244" xr:uid="{3339D4FA-7017-4755-84BF-A32FA0DB570B}"/>
    <cellStyle name="Migliaia 32 4 2 5 4" xfId="50511" xr:uid="{96DF5D9F-FB42-40B5-892D-C6C2209C7953}"/>
    <cellStyle name="Migliaia 32 4 2 5 5" xfId="53527" xr:uid="{766258EF-78DC-4D85-96CE-F234E592B18F}"/>
    <cellStyle name="Migliaia 32 4 2 6" xfId="20392" xr:uid="{CBD00B81-B4F9-4F8A-822D-9CB9F3512A8F}"/>
    <cellStyle name="Migliaia 32 4 2 7" xfId="24770" xr:uid="{E6DDB186-680D-4247-9011-B4C7292F78ED}"/>
    <cellStyle name="Migliaia 32 4 2 8" xfId="8634" xr:uid="{9B66DD61-8FCA-4F2E-B31F-6E061D9674B8}"/>
    <cellStyle name="Migliaia 32 4 3" xfId="5240" xr:uid="{FDFE663D-554D-4F35-A2F4-EADA5482FA20}"/>
    <cellStyle name="Migliaia 32 4 3 2" xfId="18213" xr:uid="{BD51959E-25ED-4466-B2B3-038252FE0ED7}"/>
    <cellStyle name="Migliaia 32 4 3 2 2" xfId="39289" xr:uid="{4A1DB9AC-6FB9-438C-AF16-6F734CF4CB60}"/>
    <cellStyle name="Migliaia 32 4 3 2 3" xfId="44591" xr:uid="{22E7F6B9-500B-48F7-842C-A19EBCDA0DA0}"/>
    <cellStyle name="Migliaia 32 4 3 3" xfId="36727" xr:uid="{FDC93AEB-2A5A-4E7F-BD96-703BDDE6A9E3}"/>
    <cellStyle name="Migliaia 32 4 3 4" xfId="41940" xr:uid="{8670B5D4-9840-4056-BCA4-0DE3110292CB}"/>
    <cellStyle name="Migliaia 32 4 3 5" xfId="17350" xr:uid="{C30D82F8-94C5-46EE-A19E-1FF4B0AA191C}"/>
    <cellStyle name="Migliaia 32 4 3 6" xfId="9159" xr:uid="{AFF05CCE-34D5-469E-9109-6D44C06A02CD}"/>
    <cellStyle name="Migliaia 32 4 4" xfId="6439" xr:uid="{C9F7EC3B-CCDC-4457-A54B-384E689E7FA7}"/>
    <cellStyle name="Migliaia 32 4 4 2" xfId="33792" xr:uid="{4ADB547B-ADF1-4478-8F07-DC62D2C64AE6}"/>
    <cellStyle name="Migliaia 32 4 4 2 2" xfId="39290" xr:uid="{E2186575-DF30-4743-8601-91E1FCBC3172}"/>
    <cellStyle name="Migliaia 32 4 4 2 3" xfId="44592" xr:uid="{F7BC44FD-795B-4057-AEBD-43324A28F406}"/>
    <cellStyle name="Migliaia 32 4 4 3" xfId="36728" xr:uid="{69648B24-6867-452B-9A96-5EC60812BC4F}"/>
    <cellStyle name="Migliaia 32 4 4 4" xfId="41941" xr:uid="{7291B272-D440-4363-B454-348F601D7EE4}"/>
    <cellStyle name="Migliaia 32 4 4 5" xfId="11990" xr:uid="{1A63802B-4003-446A-8716-154B3BABC81E}"/>
    <cellStyle name="Migliaia 32 4 5" xfId="3514" xr:uid="{C4A06186-7525-4C11-9D18-72573FE871B0}"/>
    <cellStyle name="Migliaia 32 4 5 2" xfId="33793" xr:uid="{DD3625C4-642D-4AD1-BCCC-272B6D988311}"/>
    <cellStyle name="Migliaia 32 4 5 2 2" xfId="39291" xr:uid="{CB1868E0-DC8E-4D10-9E82-03E478000A06}"/>
    <cellStyle name="Migliaia 32 4 5 2 3" xfId="44593" xr:uid="{27ECC89F-FB30-412F-AF86-F649797910F0}"/>
    <cellStyle name="Migliaia 32 4 5 3" xfId="36729" xr:uid="{DA1094CC-C57C-44EF-96EA-A9D5C91C05A8}"/>
    <cellStyle name="Migliaia 32 4 5 4" xfId="41942" xr:uid="{697F5EA4-FBE2-4FDE-B9EE-287FAFADF421}"/>
    <cellStyle name="Migliaia 32 4 5 5" xfId="11337" xr:uid="{76B47DAD-CB40-43A2-AFBE-B9850F9062F8}"/>
    <cellStyle name="Migliaia 32 4 6" xfId="10860" xr:uid="{86E7D125-28A7-44C9-8CEA-0AA5D4C65876}"/>
    <cellStyle name="Migliaia 32 4 6 2" xfId="21495" xr:uid="{4F58E123-AE8A-48F5-BE64-51107DE2481A}"/>
    <cellStyle name="Migliaia 32 4 6 2 2" xfId="39292" xr:uid="{7234CDB0-2C06-4C64-B04D-1F3CF2E18706}"/>
    <cellStyle name="Migliaia 32 4 6 2 3" xfId="44594" xr:uid="{8180B857-93C8-45A4-B990-C9A97CA936BA}"/>
    <cellStyle name="Migliaia 32 4 6 2 4" xfId="33794" xr:uid="{54F74F49-2264-438D-BE84-AA676CD84D51}"/>
    <cellStyle name="Migliaia 32 4 6 3" xfId="36730" xr:uid="{B6FAE01B-EB7D-4FED-9B91-3F0DB74D6964}"/>
    <cellStyle name="Migliaia 32 4 6 4" xfId="41943" xr:uid="{CA8B2CEA-F0B3-4465-9B78-F1A16EA0CB08}"/>
    <cellStyle name="Migliaia 32 4 6 5" xfId="24771" xr:uid="{EC66C4E6-031B-4E07-84BC-9319F5ECC2D6}"/>
    <cellStyle name="Migliaia 32 4 6 6" xfId="24243" xr:uid="{17EA41F2-A498-4187-B713-17FA40E5EDDE}"/>
    <cellStyle name="Migliaia 32 4 6 7" xfId="50510" xr:uid="{CFE27C3D-89AB-488D-97A9-29DE6D2C578F}"/>
    <cellStyle name="Migliaia 32 4 6 8" xfId="53526" xr:uid="{B349D4BF-7AB2-4A9C-AE26-209C3A45C6B2}"/>
    <cellStyle name="Migliaia 32 4 7" xfId="20391" xr:uid="{BDB98528-0EB8-46D0-BF46-01EB44B24D01}"/>
    <cellStyle name="Migliaia 32 4 7 2" xfId="33795" xr:uid="{AAB9691C-1710-434F-BF12-A7873C43DCEA}"/>
    <cellStyle name="Migliaia 32 4 7 2 2" xfId="39293" xr:uid="{436D2E82-A8B5-48A9-9646-19E2B23A708C}"/>
    <cellStyle name="Migliaia 32 4 7 2 3" xfId="44595" xr:uid="{C30BF921-6E09-4A43-84A7-4D71EC7617C2}"/>
    <cellStyle name="Migliaia 32 4 7 3" xfId="36731" xr:uid="{9BC2C607-9D6C-4D12-AC08-4CD9DC53B10B}"/>
    <cellStyle name="Migliaia 32 4 7 4" xfId="41944" xr:uid="{3979ABEA-680B-4A9E-8DD2-A9BE7FD3813D}"/>
    <cellStyle name="Migliaia 32 4 7 5" xfId="24772" xr:uid="{95F42D76-BC33-481D-9047-B5AD3FA85D1A}"/>
    <cellStyle name="Migliaia 32 4 8" xfId="24769" xr:uid="{4070D83A-8BC8-42D6-A0C4-50DD0B80B3A3}"/>
    <cellStyle name="Migliaia 32 4 9" xfId="7444" xr:uid="{92B8D8B8-7FFA-452E-91CA-E1A3FF57332F}"/>
    <cellStyle name="Migliaia 32 5" xfId="1785" xr:uid="{00000000-0005-0000-0000-0000A8030000}"/>
    <cellStyle name="Migliaia 32 5 2" xfId="5242" xr:uid="{DFD51720-D573-4248-9FD6-E0340BCBADFE}"/>
    <cellStyle name="Migliaia 32 5 2 2" xfId="18439" xr:uid="{E787C402-ADD9-4D1B-8D98-A3D31E5130D3}"/>
    <cellStyle name="Migliaia 32 5 2 2 2" xfId="39294" xr:uid="{53D34412-1FFD-441E-93FB-B6F5C8A663E9}"/>
    <cellStyle name="Migliaia 32 5 2 2 3" xfId="44596" xr:uid="{7C6B6FBB-F91C-4B5D-8854-081B85836742}"/>
    <cellStyle name="Migliaia 32 5 2 3" xfId="20394" xr:uid="{B866360A-F00F-42F6-AC1C-1105CD6914DB}"/>
    <cellStyle name="Migliaia 32 5 2 3 2" xfId="36732" xr:uid="{01EE5ED1-53A7-401C-9416-5C8EA1A4C6C5}"/>
    <cellStyle name="Migliaia 32 5 2 4" xfId="41945" xr:uid="{FCAEF8E4-0630-4DF5-913B-7105966A62C6}"/>
    <cellStyle name="Migliaia 32 5 2 5" xfId="16406" xr:uid="{D7A45B08-41D4-4E11-BAD3-D2D46E9E8C1B}"/>
    <cellStyle name="Migliaia 32 5 2 6" xfId="8635" xr:uid="{14D81420-63B9-4E0C-928C-8649754A550B}"/>
    <cellStyle name="Migliaia 32 5 3" xfId="6440" xr:uid="{CAD3D39B-47AB-4F3C-88FA-2CD1B94FDB68}"/>
    <cellStyle name="Migliaia 32 5 3 2" xfId="33796" xr:uid="{1F1FB193-7297-496B-B639-2E461523328C}"/>
    <cellStyle name="Migliaia 32 5 3 2 2" xfId="39295" xr:uid="{812BD8A9-139F-43E8-9E3E-12048C1F79E2}"/>
    <cellStyle name="Migliaia 32 5 3 2 3" xfId="44597" xr:uid="{CDB768D4-4D74-4B72-AFD3-9F09DABB71AC}"/>
    <cellStyle name="Migliaia 32 5 3 3" xfId="36733" xr:uid="{3B9BAC82-F426-468D-AC20-59FDD339B112}"/>
    <cellStyle name="Migliaia 32 5 3 4" xfId="41946" xr:uid="{610AD3B2-51D2-4D32-9426-185469778E02}"/>
    <cellStyle name="Migliaia 32 5 3 5" xfId="11339" xr:uid="{F43C9747-882F-46D5-BAF8-F670DA22B48A}"/>
    <cellStyle name="Migliaia 32 5 4" xfId="3516" xr:uid="{5E249684-B9FD-44B1-99AC-1284190174C1}"/>
    <cellStyle name="Migliaia 32 5 4 2" xfId="21497" xr:uid="{84176843-19EE-43E0-B08A-D7BA818F07D2}"/>
    <cellStyle name="Migliaia 32 5 4 2 2" xfId="39296" xr:uid="{809BA1E5-2818-4DF6-8D84-000F5D4BBB95}"/>
    <cellStyle name="Migliaia 32 5 4 2 3" xfId="44598" xr:uid="{18821E93-B639-4EE1-A6ED-8B8A606EE23C}"/>
    <cellStyle name="Migliaia 32 5 4 2 4" xfId="33797" xr:uid="{65000424-83D0-4C19-8F00-C0B3882CE870}"/>
    <cellStyle name="Migliaia 32 5 4 3" xfId="36734" xr:uid="{E4DC2789-CF98-45C8-B071-2347EAADF4CA}"/>
    <cellStyle name="Migliaia 32 5 4 4" xfId="41947" xr:uid="{47A419E2-051B-4DFE-B8B7-FCC3184ED07F}"/>
    <cellStyle name="Migliaia 32 5 4 5" xfId="24774" xr:uid="{84068E10-D3A6-4D72-958E-FA1C57EC6BC7}"/>
    <cellStyle name="Migliaia 32 5 4 6" xfId="47306" xr:uid="{5100DF7D-F22A-48DF-855C-6376179C5418}"/>
    <cellStyle name="Migliaia 32 5 4 7" xfId="50512" xr:uid="{F940D57E-04E3-44E6-9845-D551D039A069}"/>
    <cellStyle name="Migliaia 32 5 4 8" xfId="53528" xr:uid="{DFF0CF6E-9A19-4236-B6EE-F7FDFF83CB7A}"/>
    <cellStyle name="Migliaia 32 5 4 9" xfId="10862" xr:uid="{5B5B63B0-96A0-45AA-8B79-869C6D76D2EF}"/>
    <cellStyle name="Migliaia 32 5 5" xfId="20393" xr:uid="{59BBCF21-E767-42AC-ABC0-5BA787321D01}"/>
    <cellStyle name="Migliaia 32 5 5 2" xfId="33798" xr:uid="{CC6853EC-5A49-44FC-BFD9-11E264672A1C}"/>
    <cellStyle name="Migliaia 32 5 5 2 2" xfId="39297" xr:uid="{C68E3372-536A-4C60-A956-E7D3010F6F18}"/>
    <cellStyle name="Migliaia 32 5 5 2 3" xfId="44599" xr:uid="{86EAF8D8-FA2E-4E98-8289-EF3A63688D21}"/>
    <cellStyle name="Migliaia 32 5 5 3" xfId="36735" xr:uid="{0109922E-4AE5-4FEA-AE60-573D4E65F377}"/>
    <cellStyle name="Migliaia 32 5 5 4" xfId="41948" xr:uid="{E3EB6C57-BF7C-45F0-9088-EA6118B92574}"/>
    <cellStyle name="Migliaia 32 5 5 5" xfId="24775" xr:uid="{07F851CF-5D5F-4ECD-86C7-CB60E62406F3}"/>
    <cellStyle name="Migliaia 32 5 6" xfId="24776" xr:uid="{0015F774-9541-458C-939A-85CB36AEFD34}"/>
    <cellStyle name="Migliaia 32 5 6 2" xfId="33799" xr:uid="{BF371DCC-A84B-479F-9130-F39BB7BA1752}"/>
    <cellStyle name="Migliaia 32 5 6 2 2" xfId="39298" xr:uid="{C30D5739-928E-4E2D-9F09-419AF2158E22}"/>
    <cellStyle name="Migliaia 32 5 6 2 3" xfId="44600" xr:uid="{19D77D7A-8229-415B-BBEB-EB79F1545040}"/>
    <cellStyle name="Migliaia 32 5 6 3" xfId="36736" xr:uid="{12D23CEB-7644-4CF4-98BD-E053653CFC8A}"/>
    <cellStyle name="Migliaia 32 5 6 4" xfId="41949" xr:uid="{EAF36789-C379-4D71-84F0-26CB2E640509}"/>
    <cellStyle name="Migliaia 32 5 7" xfId="24773" xr:uid="{29F69353-7277-479D-99E4-3AA83FC0C92C}"/>
    <cellStyle name="Migliaia 32 5 8" xfId="7445" xr:uid="{44EDAF0E-1D6F-45CD-8DA8-F091833803B7}"/>
    <cellStyle name="Migliaia 32 6" xfId="3517" xr:uid="{19207D03-52D6-4671-94F4-D680956CE76F}"/>
    <cellStyle name="Migliaia 32 6 2" xfId="5243" xr:uid="{D7F948F9-1A70-4C14-941D-F81B76E185B6}"/>
    <cellStyle name="Migliaia 32 6 2 2" xfId="9931" xr:uid="{81D02C72-CD29-4E49-A5FA-81AFAB6E537F}"/>
    <cellStyle name="Migliaia 32 6 2 3" xfId="18655" xr:uid="{BFEF1A2C-BF6B-4036-8DD0-474F29CB9E73}"/>
    <cellStyle name="Migliaia 32 6 2 4" xfId="20396" xr:uid="{59C7A844-E4AE-475B-A741-D64D05EB8B8F}"/>
    <cellStyle name="Migliaia 32 6 2 5" xfId="32382" xr:uid="{92BD9752-B62A-452F-BAE0-C3BBC8340C76}"/>
    <cellStyle name="Migliaia 32 6 2 6" xfId="16408" xr:uid="{ED3CA512-51CE-49A8-AA1E-41447FAF9C50}"/>
    <cellStyle name="Migliaia 32 6 2 7" xfId="8630" xr:uid="{5BA5CE85-E674-4A2A-8ED7-29E308DC8C49}"/>
    <cellStyle name="Migliaia 32 6 3" xfId="6441" xr:uid="{06C6FBF0-0D43-460C-8399-97043C1CDA88}"/>
    <cellStyle name="Migliaia 32 6 3 2" xfId="35302" xr:uid="{F4A8CEC6-2D02-4B31-815D-E244B07CD39D}"/>
    <cellStyle name="Migliaia 32 6 3 2 2" xfId="40462" xr:uid="{4A6EE47D-EB5A-49BF-B945-079EB3FD3AF5}"/>
    <cellStyle name="Migliaia 32 6 3 2 3" xfId="45764" xr:uid="{6EFC5354-D326-4D65-8BE6-CA0C12FEB163}"/>
    <cellStyle name="Migliaia 32 6 3 3" xfId="37811" xr:uid="{CE8CA2AA-8C04-4404-8F48-43713BFEE708}"/>
    <cellStyle name="Migliaia 32 6 3 4" xfId="43113" xr:uid="{92DDA6D4-C6D6-48F7-A87C-2460F1FF095F}"/>
    <cellStyle name="Migliaia 32 6 3 5" xfId="9694" xr:uid="{A9B0ED13-71AB-467E-9E50-C90FD9BB53CA}"/>
    <cellStyle name="Migliaia 32 6 4" xfId="20395" xr:uid="{215E81BB-54E9-46BD-94DD-12692F849B57}"/>
    <cellStyle name="Migliaia 32 6 4 2" xfId="39299" xr:uid="{FF31A5FB-511B-4E20-804A-29692AA5502E}"/>
    <cellStyle name="Migliaia 32 6 4 3" xfId="44601" xr:uid="{1BC3D7D3-2F08-4401-83A5-20FB1A7309ED}"/>
    <cellStyle name="Migliaia 32 6 4 4" xfId="33800" xr:uid="{60884C01-C644-4D9E-9345-A12E09FCE80C}"/>
    <cellStyle name="Migliaia 32 6 5" xfId="36737" xr:uid="{553B29DA-4F5B-48EF-A240-F66880674DF5}"/>
    <cellStyle name="Migliaia 32 6 6" xfId="41950" xr:uid="{0479E5E0-6865-4A4D-9500-80006C8A8BC8}"/>
    <cellStyle name="Migliaia 32 6 7" xfId="16407" xr:uid="{D655DC29-53D5-4D09-9547-E03CE47B2224}"/>
    <cellStyle name="Migliaia 32 6 8" xfId="7440" xr:uid="{FE384F66-A2A8-413E-A4EC-EFC77835A4F7}"/>
    <cellStyle name="Migliaia 32 7" xfId="3518" xr:uid="{282D0C42-E8B2-448B-A2FB-154D2F922972}"/>
    <cellStyle name="Migliaia 32 7 2" xfId="5244" xr:uid="{BAF67321-032F-4E11-ABD8-45759C9E2BA9}"/>
    <cellStyle name="Migliaia 32 7 2 2" xfId="35303" xr:uid="{21D8232A-8ED6-42BC-BA87-687ACD240824}"/>
    <cellStyle name="Migliaia 32 7 2 2 2" xfId="40463" xr:uid="{20A5C980-4CF7-4B58-8D2E-9F420621FBE6}"/>
    <cellStyle name="Migliaia 32 7 2 2 3" xfId="45765" xr:uid="{911A5696-5CEF-4E5B-8232-68A85BDEABEB}"/>
    <cellStyle name="Migliaia 32 7 2 3" xfId="37812" xr:uid="{20AD953B-84E8-4C26-8B8A-68C97B70E9F5}"/>
    <cellStyle name="Migliaia 32 7 2 4" xfId="43114" xr:uid="{D9C4AEC7-C73A-425E-8741-8E9887D855BA}"/>
    <cellStyle name="Migliaia 32 7 2 5" xfId="14254" xr:uid="{F7AFF114-2474-4B41-85EC-D0ADDEBBF1F5}"/>
    <cellStyle name="Migliaia 32 7 3" xfId="6442" xr:uid="{A2CBCD6E-AF83-4420-AABD-8B74EFE2AAC1}"/>
    <cellStyle name="Migliaia 32 7 3 2" xfId="39300" xr:uid="{3F2B1F85-CCDA-4255-A72A-F1514B49C9D4}"/>
    <cellStyle name="Migliaia 32 7 3 3" xfId="44602" xr:uid="{2C5753D6-B2DB-4E84-9D20-9E344A0154B3}"/>
    <cellStyle name="Migliaia 32 7 3 4" xfId="33801" xr:uid="{C08585AF-8304-4B7C-81A2-78DCC68DF1F6}"/>
    <cellStyle name="Migliaia 32 7 3 5" xfId="20397" xr:uid="{E2D75003-69ED-469C-BC66-6E591DB235BD}"/>
    <cellStyle name="Migliaia 32 7 4" xfId="36738" xr:uid="{0CA21CB5-7753-4E0C-B7F1-BC90ACD76F50}"/>
    <cellStyle name="Migliaia 32 7 5" xfId="41951" xr:uid="{8366D61E-DDE2-46F0-B4A8-7444AAE0E861}"/>
    <cellStyle name="Migliaia 32 7 6" xfId="16409" xr:uid="{78DE83ED-501A-4D60-A828-5109EEDCEAA8}"/>
    <cellStyle name="Migliaia 32 7 7" xfId="8316" xr:uid="{A63E9AF0-C874-4A28-9367-0C48395C1C33}"/>
    <cellStyle name="Migliaia 32 8" xfId="3519" xr:uid="{B9EA8D56-496A-4BFC-9E25-5B8F8FF6563B}"/>
    <cellStyle name="Migliaia 32 8 2" xfId="5245" xr:uid="{AE7F18CF-C9D6-442F-BF29-4E0C13849FE9}"/>
    <cellStyle name="Migliaia 32 8 2 2" xfId="35304" xr:uid="{87CD96EE-C762-4B4C-8D4C-15972CA0D497}"/>
    <cellStyle name="Migliaia 32 8 2 2 2" xfId="40464" xr:uid="{2DA94507-FA2C-4EEC-B39D-EEAA326A73DE}"/>
    <cellStyle name="Migliaia 32 8 2 2 3" xfId="45766" xr:uid="{31BEB7D4-B781-4967-B378-A0EC1C0A9F24}"/>
    <cellStyle name="Migliaia 32 8 2 3" xfId="37813" xr:uid="{34E9FB55-1DA6-413B-8463-83A389642D71}"/>
    <cellStyle name="Migliaia 32 8 2 4" xfId="43115" xr:uid="{6B89630E-A2DE-4A9A-A88D-E48C4840063F}"/>
    <cellStyle name="Migliaia 32 8 2 5" xfId="13959" xr:uid="{131708B5-1171-4782-8B26-044F94A20EDF}"/>
    <cellStyle name="Migliaia 32 8 3" xfId="6443" xr:uid="{4C21A6A6-381A-4F37-8001-405EEAF1E16E}"/>
    <cellStyle name="Migliaia 32 8 3 2" xfId="39301" xr:uid="{D392DCB9-2D25-4F23-BC09-92CF4031B2D0}"/>
    <cellStyle name="Migliaia 32 8 3 3" xfId="44603" xr:uid="{416A7D03-1825-4512-A15E-4C07121C06C2}"/>
    <cellStyle name="Migliaia 32 8 3 4" xfId="33802" xr:uid="{0754052B-6F5E-451B-B202-2DB0772FC1F4}"/>
    <cellStyle name="Migliaia 32 8 3 5" xfId="20398" xr:uid="{FE23E4F7-DC54-4B1F-9666-9BDA5A7A85E1}"/>
    <cellStyle name="Migliaia 32 8 4" xfId="36739" xr:uid="{DDFC22CC-E4E6-44F1-9AD4-184D7A758ED2}"/>
    <cellStyle name="Migliaia 32 8 5" xfId="41952" xr:uid="{49FD42B4-ED68-498E-A3A4-CA2DB7ADFA24}"/>
    <cellStyle name="Migliaia 32 8 6" xfId="16410" xr:uid="{BF821772-202B-4686-8416-9A7A92DDDFA3}"/>
    <cellStyle name="Migliaia 32 8 7" xfId="7922" xr:uid="{15D4AD9B-8997-4784-B7D1-D7395431CC90}"/>
    <cellStyle name="Migliaia 32 9" xfId="5230" xr:uid="{595DA145-F0CC-4C77-A36E-E0B3F37DBD77}"/>
    <cellStyle name="Migliaia 32 9 2" xfId="33803" xr:uid="{2E783AE5-377F-48FC-9D7D-BE0DE24214DC}"/>
    <cellStyle name="Migliaia 32 9 2 2" xfId="39302" xr:uid="{86392F21-5EEB-4F97-B194-6D544D49DEB2}"/>
    <cellStyle name="Migliaia 32 9 2 3" xfId="44604" xr:uid="{BC25C094-C6EC-4110-9C49-54D2A4A2DCD8}"/>
    <cellStyle name="Migliaia 32 9 3" xfId="36740" xr:uid="{47EBACC3-ED9B-4AB1-978B-847CA27C3069}"/>
    <cellStyle name="Migliaia 32 9 4" xfId="41953" xr:uid="{7108C331-2D88-4C96-943C-20A34DF4170E}"/>
    <cellStyle name="Migliaia 32 9 5" xfId="17185" xr:uid="{7F2473FA-888C-4BF8-A580-CFA4539155A9}"/>
    <cellStyle name="Migliaia 33" xfId="405" xr:uid="{00000000-0005-0000-0000-0000A9030000}"/>
    <cellStyle name="Migliaia 33 10" xfId="6444" xr:uid="{A877428A-269A-4EB9-9D56-2E337C0EEEE2}"/>
    <cellStyle name="Migliaia 33 10 2" xfId="39303" xr:uid="{51686E89-4C24-47CD-8976-D1C68FE3F202}"/>
    <cellStyle name="Migliaia 33 10 3" xfId="44605" xr:uid="{B2A25FD3-BA94-49E8-BAF8-06FFD0576E4A}"/>
    <cellStyle name="Migliaia 33 10 4" xfId="33804" xr:uid="{4D258CBD-96B4-4DDE-8496-33E20A92FB44}"/>
    <cellStyle name="Migliaia 33 10 5" xfId="20399" xr:uid="{EA88FDA7-5EAB-48D8-A6EC-D1B2720DAF94}"/>
    <cellStyle name="Migliaia 33 11" xfId="3520" xr:uid="{60ECEFB9-5D76-4603-85D4-AF11CE2B0151}"/>
    <cellStyle name="Migliaia 33 11 2" xfId="36741" xr:uid="{3D8285BB-E7DC-4766-9267-53FBEDC8C454}"/>
    <cellStyle name="Migliaia 33 12" xfId="41954" xr:uid="{B92F1127-06E4-4894-B2E7-7AED1986905E}"/>
    <cellStyle name="Migliaia 33 13" xfId="7120" xr:uid="{EFF18E94-CD64-4526-8CBD-D2D12531AC70}"/>
    <cellStyle name="Migliaia 33 2" xfId="406" xr:uid="{00000000-0005-0000-0000-0000AA030000}"/>
    <cellStyle name="Migliaia 33 2 2" xfId="1786" xr:uid="{00000000-0005-0000-0000-0000AB030000}"/>
    <cellStyle name="Migliaia 33 2 2 2" xfId="5248" xr:uid="{798C7812-8EFE-4813-AA39-CEB8F5DCC7CB}"/>
    <cellStyle name="Migliaia 33 2 2 2 2" xfId="14389" xr:uid="{5BDBE7AF-3550-4E5D-91FA-3E2D819131A7}"/>
    <cellStyle name="Migliaia 33 2 2 2 2 2" xfId="39304" xr:uid="{BB0EE4E1-045C-438C-86B3-C8FFD66F1686}"/>
    <cellStyle name="Migliaia 33 2 2 2 2 3" xfId="44606" xr:uid="{22244368-4054-470D-A84A-FFD86380CAC2}"/>
    <cellStyle name="Migliaia 33 2 2 2 3" xfId="18440" xr:uid="{65338B57-1875-4E11-BCBB-9DD1B43931BC}"/>
    <cellStyle name="Migliaia 33 2 2 2 4" xfId="20402" xr:uid="{66789160-D667-47D1-9EC8-B1601CACE1BC}"/>
    <cellStyle name="Migliaia 33 2 2 2 4 2" xfId="41955" xr:uid="{3D40B209-D161-4649-8E59-FACF446046EF}"/>
    <cellStyle name="Migliaia 33 2 2 2 5" xfId="16411" xr:uid="{51CE6995-0199-4BDF-9C08-C3CE229086FD}"/>
    <cellStyle name="Migliaia 33 2 2 2 6" xfId="8637" xr:uid="{77F371B4-8AC2-401A-B26A-22836CDCAEFD}"/>
    <cellStyle name="Migliaia 33 2 2 3" xfId="6446" xr:uid="{9904DD2A-6FB4-4BFE-A65F-1C626C6FF29A}"/>
    <cellStyle name="Migliaia 33 2 2 3 2" xfId="35305" xr:uid="{5528D152-2874-4A84-9025-726349C08277}"/>
    <cellStyle name="Migliaia 33 2 2 3 2 2" xfId="40465" xr:uid="{34500A96-2208-4D97-A782-1A7A6E82B1C4}"/>
    <cellStyle name="Migliaia 33 2 2 3 2 3" xfId="45767" xr:uid="{117EAFB0-29CB-4D8E-847E-EBF92CEA717B}"/>
    <cellStyle name="Migliaia 33 2 2 3 3" xfId="37814" xr:uid="{2F9EE4AF-CD18-4DD6-8164-74DEE10628AD}"/>
    <cellStyle name="Migliaia 33 2 2 3 4" xfId="43116" xr:uid="{BCB7AF32-236E-445F-9407-6A985EDEA660}"/>
    <cellStyle name="Migliaia 33 2 2 3 5" xfId="11616" xr:uid="{DE694929-E3E7-41B1-AE64-E444DAD14A56}"/>
    <cellStyle name="Migliaia 33 2 2 4" xfId="3522" xr:uid="{B74A5F4D-B6A5-48EE-A1D4-86DA00656AFE}"/>
    <cellStyle name="Migliaia 33 2 2 4 2" xfId="21498" xr:uid="{A2A8F3F7-BB98-4B2B-953D-EF912D0BB8CF}"/>
    <cellStyle name="Migliaia 33 2 2 4 3" xfId="46245" xr:uid="{760029F8-688F-4A39-A520-10215FF978BA}"/>
    <cellStyle name="Migliaia 33 2 2 4 4" xfId="50513" xr:uid="{314B8371-8830-4C7E-9701-AF6F35F69C88}"/>
    <cellStyle name="Migliaia 33 2 2 4 5" xfId="53529" xr:uid="{A7FE2E3E-6657-4431-8B08-452D788DCA3D}"/>
    <cellStyle name="Migliaia 33 2 2 4 6" xfId="10863" xr:uid="{275724F2-C8FC-44E3-AB35-1B9AA733BF64}"/>
    <cellStyle name="Migliaia 33 2 2 5" xfId="20401" xr:uid="{7504D2CC-84F2-4CB9-B9DA-4E008B251274}"/>
    <cellStyle name="Migliaia 33 2 2 6" xfId="24778" xr:uid="{59404D5D-2E0D-445A-8A93-FF687C1C7C30}"/>
    <cellStyle name="Migliaia 33 2 2 7" xfId="7447" xr:uid="{CBFEA237-3EEB-4884-8339-124406B5DE49}"/>
    <cellStyle name="Migliaia 33 2 3" xfId="3523" xr:uid="{C4C1E6B0-2FC7-47FC-985D-1A925F0ADE84}"/>
    <cellStyle name="Migliaia 33 2 3 2" xfId="5249" xr:uid="{47E47011-B4B8-4287-90DA-DF4196A9E9DE}"/>
    <cellStyle name="Migliaia 33 2 3 2 2" xfId="35306" xr:uid="{AC421E02-4367-41DB-AF89-618643E2F010}"/>
    <cellStyle name="Migliaia 33 2 3 2 2 2" xfId="40466" xr:uid="{2B20B7F4-BC57-443B-A787-6DC05091845B}"/>
    <cellStyle name="Migliaia 33 2 3 2 2 3" xfId="45768" xr:uid="{B31B5F21-17E7-40FA-A6C9-041572337F0A}"/>
    <cellStyle name="Migliaia 33 2 3 2 3" xfId="37815" xr:uid="{62AB58FA-0248-4386-A6B6-302CCF033170}"/>
    <cellStyle name="Migliaia 33 2 3 2 4" xfId="43117" xr:uid="{FB913E30-A25F-4D21-A011-12A77D567658}"/>
    <cellStyle name="Migliaia 33 2 3 2 5" xfId="14258" xr:uid="{A02C6234-6B1D-4099-A99F-24013788DE32}"/>
    <cellStyle name="Migliaia 33 2 3 3" xfId="6447" xr:uid="{C1C3746A-975D-44D7-83D0-434419E3F8F1}"/>
    <cellStyle name="Migliaia 33 2 3 3 2" xfId="39305" xr:uid="{E58DE0EE-7438-4E34-9024-096504EAB298}"/>
    <cellStyle name="Migliaia 33 2 3 3 3" xfId="44607" xr:uid="{E0D2B063-F102-4D23-8ACE-D6B01E0C8447}"/>
    <cellStyle name="Migliaia 33 2 3 3 4" xfId="33805" xr:uid="{0609DA9A-06FB-41C7-A00B-2DA68ADDC614}"/>
    <cellStyle name="Migliaia 33 2 3 3 5" xfId="20403" xr:uid="{4968018E-4F93-46CB-B0BE-1D02A5E5C741}"/>
    <cellStyle name="Migliaia 33 2 3 4" xfId="36742" xr:uid="{98D4E6F2-E265-4549-845F-6474FDCAB3AE}"/>
    <cellStyle name="Migliaia 33 2 3 5" xfId="41956" xr:uid="{04835304-6BD8-4AAC-B954-8A6FCF964611}"/>
    <cellStyle name="Migliaia 33 2 3 6" xfId="16412" xr:uid="{131F52E6-60C2-4301-854B-695BC91385E2}"/>
    <cellStyle name="Migliaia 33 2 3 7" xfId="8320" xr:uid="{429C0FDC-B182-4A17-9725-4278228C36B0}"/>
    <cellStyle name="Migliaia 33 2 4" xfId="5247" xr:uid="{E3F57113-C425-405C-814C-D6CCECFEA6B2}"/>
    <cellStyle name="Migliaia 33 2 4 2" xfId="13963" xr:uid="{C5E85F4E-78F0-466B-A27E-5FFB513C86A4}"/>
    <cellStyle name="Migliaia 33 2 4 2 2" xfId="39306" xr:uid="{E1B36D76-9954-437A-958E-C53ED36A17EF}"/>
    <cellStyle name="Migliaia 33 2 4 2 3" xfId="44608" xr:uid="{DF68D1FB-1349-4901-B665-70AB39AD3603}"/>
    <cellStyle name="Migliaia 33 2 4 3" xfId="18286" xr:uid="{C1D456A4-EDCF-4DA9-8CCB-DE27E0E47A1C}"/>
    <cellStyle name="Migliaia 33 2 4 4" xfId="20404" xr:uid="{7489E9A8-8973-4AC4-9004-6BDE4F5B4369}"/>
    <cellStyle name="Migliaia 33 2 4 4 2" xfId="41957" xr:uid="{A294DA07-2392-497E-B891-55F8A793E43E}"/>
    <cellStyle name="Migliaia 33 2 4 5" xfId="16413" xr:uid="{F9EF58DD-7D46-4CC8-BA2D-83A154BB40E3}"/>
    <cellStyle name="Migliaia 33 2 4 6" xfId="7927" xr:uid="{ECC35D28-5F7E-4109-9061-3249BAD05B6D}"/>
    <cellStyle name="Migliaia 33 2 5" xfId="6445" xr:uid="{D9EFC169-75C6-4174-87E9-BB94EC399A4E}"/>
    <cellStyle name="Migliaia 33 2 5 2" xfId="33806" xr:uid="{E1E86F80-409F-4539-9F54-EF5C7C518BE8}"/>
    <cellStyle name="Migliaia 33 2 5 2 2" xfId="39307" xr:uid="{BBA449F5-5D5E-4659-B16D-49659B3014F7}"/>
    <cellStyle name="Migliaia 33 2 5 2 3" xfId="44609" xr:uid="{242E8BC3-3901-4A39-A47E-79BD74ABA603}"/>
    <cellStyle name="Migliaia 33 2 5 3" xfId="36743" xr:uid="{ABA3DBDF-111A-408D-BCA8-A38248CFBAA5}"/>
    <cellStyle name="Migliaia 33 2 5 4" xfId="41958" xr:uid="{C2D4E0C3-7C95-4E32-8789-CCDB6DC0182E}"/>
    <cellStyle name="Migliaia 33 2 5 5" xfId="13129" xr:uid="{9C383AA0-3EDB-4A3A-B5F5-9A6175BF56FE}"/>
    <cellStyle name="Migliaia 33 2 6" xfId="3521" xr:uid="{155BD3FE-4C08-4D9E-BBDB-6395C9902D17}"/>
    <cellStyle name="Migliaia 33 2 6 2" xfId="33807" xr:uid="{8055F09E-28D7-44AE-93B3-60F870D8293A}"/>
    <cellStyle name="Migliaia 33 2 6 2 2" xfId="39308" xr:uid="{44B0A7CB-1652-4C41-89BB-D219D0392017}"/>
    <cellStyle name="Migliaia 33 2 6 2 3" xfId="44610" xr:uid="{022B3EC4-F0D5-4CFF-A06E-2D1DC2C1B37A}"/>
    <cellStyle name="Migliaia 33 2 6 3" xfId="36744" xr:uid="{D3020297-08FF-4994-B185-1C494AB46B99}"/>
    <cellStyle name="Migliaia 33 2 6 4" xfId="41959" xr:uid="{DCA9DCA3-FB7F-4DD3-830B-CFA8D46407D6}"/>
    <cellStyle name="Migliaia 33 2 6 5" xfId="24779" xr:uid="{D93DE25E-FF5E-4AFB-AEF0-938C4F8ED2DE}"/>
    <cellStyle name="Migliaia 33 2 6 6" xfId="20400" xr:uid="{2E65F936-BB67-4B89-9EF8-41B4B88E18DC}"/>
    <cellStyle name="Migliaia 33 2 7" xfId="24777" xr:uid="{A17279E2-4649-4170-9D75-4E88A5D4DEE0}"/>
    <cellStyle name="Migliaia 33 2 8" xfId="7121" xr:uid="{B89AC13D-BDCB-433B-B2D5-F98CA63D61D7}"/>
    <cellStyle name="Migliaia 33 3" xfId="407" xr:uid="{00000000-0005-0000-0000-0000AC030000}"/>
    <cellStyle name="Migliaia 33 3 10" xfId="24780" xr:uid="{61A50DB0-78CB-41C0-BCFC-BE2619109540}"/>
    <cellStyle name="Migliaia 33 3 11" xfId="16414" xr:uid="{12304FC1-405D-4EF4-8589-83992B710D88}"/>
    <cellStyle name="Migliaia 33 3 12" xfId="7122" xr:uid="{E3255CDD-AEE5-4D69-9894-6D83F97C0D51}"/>
    <cellStyle name="Migliaia 33 3 2" xfId="408" xr:uid="{00000000-0005-0000-0000-0000AD030000}"/>
    <cellStyle name="Migliaia 33 3 2 2" xfId="1787" xr:uid="{00000000-0005-0000-0000-0000AE030000}"/>
    <cellStyle name="Migliaia 33 3 2 2 2" xfId="5252" xr:uid="{D419E3A0-E72A-47B3-A313-67FCEB64DBFF}"/>
    <cellStyle name="Migliaia 33 3 2 2 2 2" xfId="18441" xr:uid="{10F8976F-BA01-44CD-8983-6F89578BB699}"/>
    <cellStyle name="Migliaia 33 3 2 2 2 2 2" xfId="21867" xr:uid="{40E02619-C1DF-4DB2-9284-13015B125F65}"/>
    <cellStyle name="Migliaia 33 3 2 2 2 2 2 2" xfId="39309" xr:uid="{5B1D77E1-B744-413F-BAD7-CC8C8BEBA7D1}"/>
    <cellStyle name="Migliaia 33 3 2 2 2 2 3" xfId="44611" xr:uid="{78224EA9-B487-47F4-A3F8-43DCC2C40A8A}"/>
    <cellStyle name="Migliaia 33 3 2 2 2 2 4" xfId="33808" xr:uid="{D244E7E0-AC73-4A8C-9C8C-0E768555836F}"/>
    <cellStyle name="Migliaia 33 3 2 2 2 3" xfId="36745" xr:uid="{1594F752-7CDB-4F1D-8AC5-64B079F23FBE}"/>
    <cellStyle name="Migliaia 33 3 2 2 2 4" xfId="41960" xr:uid="{A3040B3C-D779-46C0-A93B-6FAE31AE1DF2}"/>
    <cellStyle name="Migliaia 33 3 2 2 2 5" xfId="46747" xr:uid="{C625B7D3-F4A7-4B25-8DAB-7870F4776E2E}"/>
    <cellStyle name="Migliaia 33 3 2 2 2 6" xfId="50895" xr:uid="{F92DA1A2-04C2-49A5-B03F-0556009E7682}"/>
    <cellStyle name="Migliaia 33 3 2 2 2 7" xfId="53911" xr:uid="{59505792-1904-4F14-9872-57BBC821BC4D}"/>
    <cellStyle name="Migliaia 33 3 2 2 2 8" xfId="17664" xr:uid="{00E2F878-C67F-4867-A05A-4E9BBF1C2ADA}"/>
    <cellStyle name="Migliaia 33 3 2 2 2 9" xfId="11991" xr:uid="{4E1F1226-9692-46A0-B168-B42F2B81E149}"/>
    <cellStyle name="Migliaia 33 3 2 2 3" xfId="6450" xr:uid="{CB3526BE-CD67-4DFA-86A4-C915DFFB4014}"/>
    <cellStyle name="Migliaia 33 3 2 2 3 2" xfId="11176" xr:uid="{61FD42FD-D5F5-462B-BF49-12CBDE93297E}"/>
    <cellStyle name="Migliaia 33 3 2 2 4" xfId="3526" xr:uid="{714FF336-5BA3-4F0F-A47A-B941A4918F79}"/>
    <cellStyle name="Migliaia 33 3 2 2 4 2" xfId="21499" xr:uid="{F048C1DA-3888-4AA5-8B81-35997A7E5B7C}"/>
    <cellStyle name="Migliaia 33 3 2 2 4 3" xfId="47899" xr:uid="{37695B88-DCBB-45D5-AF20-6B86B4BCF592}"/>
    <cellStyle name="Migliaia 33 3 2 2 4 4" xfId="50514" xr:uid="{44FC0D83-214E-423A-8919-9333C12C3D8A}"/>
    <cellStyle name="Migliaia 33 3 2 2 4 5" xfId="53530" xr:uid="{E3FE3039-EEFD-4281-998E-3C3D20D8A89F}"/>
    <cellStyle name="Migliaia 33 3 2 2 4 6" xfId="10864" xr:uid="{FB780955-6735-4974-8076-1FEE536FD8E9}"/>
    <cellStyle name="Migliaia 33 3 2 2 5" xfId="20407" xr:uid="{99E8A293-B2FE-4947-9398-C82F6B1FE0CA}"/>
    <cellStyle name="Migliaia 33 3 2 2 6" xfId="24782" xr:uid="{57AC3995-F97D-4ED2-85AF-6F9D365645FE}"/>
    <cellStyle name="Migliaia 33 3 2 2 7" xfId="8639" xr:uid="{32F9E74F-9D50-4AC3-B9DA-39C325022FAA}"/>
    <cellStyle name="Migliaia 33 3 2 3" xfId="5251" xr:uid="{78955755-7AE5-456A-B84A-421A86199DEC}"/>
    <cellStyle name="Migliaia 33 3 2 3 2" xfId="12411" xr:uid="{019193AC-B088-4D39-BD82-B3436ED5C1C1}"/>
    <cellStyle name="Migliaia 33 3 2 3 2 2" xfId="39310" xr:uid="{C7114CD9-4BE5-425B-90F9-BC28B827B675}"/>
    <cellStyle name="Migliaia 33 3 2 3 2 3" xfId="44612" xr:uid="{11BE0E98-CEDD-446F-A0BC-98E16B80E7D0}"/>
    <cellStyle name="Migliaia 33 3 2 3 2 4" xfId="33809" xr:uid="{435E0C94-D8A7-4BCC-AD98-9F23ABD2B416}"/>
    <cellStyle name="Migliaia 33 3 2 3 3" xfId="11992" xr:uid="{9C91D47D-A502-455C-B63B-2A5BD0A214C6}"/>
    <cellStyle name="Migliaia 33 3 2 3 4" xfId="20408" xr:uid="{E6DE9A71-FAC3-46E9-B61E-7EF022D46B14}"/>
    <cellStyle name="Migliaia 33 3 2 3 4 2" xfId="41961" xr:uid="{DEFDF590-8A5B-4E84-B4F9-8681B932E105}"/>
    <cellStyle name="Migliaia 33 3 2 3 5" xfId="16415" xr:uid="{E810665A-575B-41C7-AC12-681CDE8BF835}"/>
    <cellStyle name="Migliaia 33 3 2 3 6" xfId="7929" xr:uid="{3CA67C0C-B2BB-48E3-9F09-9C15995D31EE}"/>
    <cellStyle name="Migliaia 33 3 2 4" xfId="6449" xr:uid="{9D2149F5-EEBB-4E17-8144-C62A327FD89F}"/>
    <cellStyle name="Migliaia 33 3 2 4 2" xfId="18083" xr:uid="{C53F2789-8C0C-45F6-B7C1-D8405A9D56CC}"/>
    <cellStyle name="Migliaia 33 3 2 4 2 2" xfId="39311" xr:uid="{6E70A42C-4C3F-40D6-9387-B3F1DB006B12}"/>
    <cellStyle name="Migliaia 33 3 2 4 2 3" xfId="44613" xr:uid="{32776520-699C-4B96-8F75-FA72927586B6}"/>
    <cellStyle name="Migliaia 33 3 2 4 3" xfId="36746" xr:uid="{A7B912B8-1877-455B-A146-F0F90F7F961B}"/>
    <cellStyle name="Migliaia 33 3 2 4 4" xfId="41962" xr:uid="{D3954373-D62F-4C95-98C9-FF3BFD5080EA}"/>
    <cellStyle name="Migliaia 33 3 2 4 5" xfId="17188" xr:uid="{EE0151E7-C485-4838-AD13-8679C7309BB2}"/>
    <cellStyle name="Migliaia 33 3 2 4 6" xfId="11340" xr:uid="{2CA2CFC4-FB57-422D-9562-E852FCE1C1E4}"/>
    <cellStyle name="Migliaia 33 3 2 5" xfId="3525" xr:uid="{C36A2EB4-BB4B-46CB-B7BA-0AA5DF7E301B}"/>
    <cellStyle name="Migliaia 33 3 2 5 2" xfId="33810" xr:uid="{AA575EB4-B1E2-448E-BBF8-3C85D3EA8862}"/>
    <cellStyle name="Migliaia 33 3 2 5 2 2" xfId="39312" xr:uid="{6B696827-A862-49C4-8B5B-507822E983FD}"/>
    <cellStyle name="Migliaia 33 3 2 5 2 3" xfId="44614" xr:uid="{F1305D04-7903-4C73-A852-38958B8E2BE3}"/>
    <cellStyle name="Migliaia 33 3 2 5 3" xfId="36747" xr:uid="{F000EA4A-C750-4BFB-82CE-4A877F3132EF}"/>
    <cellStyle name="Migliaia 33 3 2 5 4" xfId="41963" xr:uid="{DF86EA1B-BDDB-4116-B187-C5372C5F6F99}"/>
    <cellStyle name="Migliaia 33 3 2 5 5" xfId="17348" xr:uid="{3E4281BB-D32F-4C44-8AA2-561108DE3CC1}"/>
    <cellStyle name="Migliaia 33 3 2 6" xfId="20406" xr:uid="{DF72F37C-6F56-4343-AEC8-46C59B3CF537}"/>
    <cellStyle name="Migliaia 33 3 2 6 2" xfId="33811" xr:uid="{7BD8FA57-A15F-4B73-9378-15282E8EE0CD}"/>
    <cellStyle name="Migliaia 33 3 2 6 2 2" xfId="39313" xr:uid="{5F1E4BB3-00AF-4B06-8C46-3B4DF16FE529}"/>
    <cellStyle name="Migliaia 33 3 2 6 2 3" xfId="44615" xr:uid="{24832F5B-C565-42E8-95FF-E7D31D6A32CA}"/>
    <cellStyle name="Migliaia 33 3 2 6 3" xfId="36748" xr:uid="{42D15E54-5A36-40B5-AE34-07514F3FECA0}"/>
    <cellStyle name="Migliaia 33 3 2 6 4" xfId="41964" xr:uid="{729AF5DE-3933-4123-8965-BB7880DB9C06}"/>
    <cellStyle name="Migliaia 33 3 2 6 5" xfId="24783" xr:uid="{9C73838C-E106-4660-82E9-A7CEDF049A48}"/>
    <cellStyle name="Migliaia 33 3 2 7" xfId="24781" xr:uid="{0CCE5FE0-4431-4BB1-AB2A-B639E06930EB}"/>
    <cellStyle name="Migliaia 33 3 2 8" xfId="7449" xr:uid="{B0CFCB26-BDE9-4979-944E-F2714C2AE83B}"/>
    <cellStyle name="Migliaia 33 3 3" xfId="3527" xr:uid="{C7CE9934-B242-40C6-86FE-41FF0D4E93A6}"/>
    <cellStyle name="Migliaia 33 3 3 10" xfId="7448" xr:uid="{0A8C0B4B-44B9-415E-A029-0C177CBFACEF}"/>
    <cellStyle name="Migliaia 33 3 3 2" xfId="5253" xr:uid="{682ED788-F4AE-4C1E-9DD8-738BE283ED85}"/>
    <cellStyle name="Migliaia 33 3 3 2 2" xfId="9934" xr:uid="{FAC281DA-BFCD-4A6A-A69B-8FDE27934A2E}"/>
    <cellStyle name="Migliaia 33 3 3 2 2 2" xfId="39315" xr:uid="{A57A7145-905F-4A12-8C87-3FD0EBCAA8FE}"/>
    <cellStyle name="Migliaia 33 3 3 2 2 3" xfId="44617" xr:uid="{9C6A095E-A435-4DCD-BE41-33BE07577E37}"/>
    <cellStyle name="Migliaia 33 3 3 2 3" xfId="18214" xr:uid="{1550A156-5153-4FC7-BFEB-A1C05E7259CB}"/>
    <cellStyle name="Migliaia 33 3 3 2 4" xfId="20410" xr:uid="{244E2242-50AC-4CAF-8878-7D65130A27E7}"/>
    <cellStyle name="Migliaia 33 3 3 2 4 2" xfId="41966" xr:uid="{8D7BA57E-3048-4A92-8D03-4C4DC45632E1}"/>
    <cellStyle name="Migliaia 33 3 3 2 5" xfId="16417" xr:uid="{04FAEEC3-BB34-4E1B-B8FA-788D7AB27F2D}"/>
    <cellStyle name="Migliaia 33 3 3 2 6" xfId="8638" xr:uid="{6CD83F93-C041-459D-AB8A-F0DE84F7BD12}"/>
    <cellStyle name="Migliaia 33 3 3 3" xfId="6451" xr:uid="{B918A6FC-1E50-4DD0-A890-F71A0EE4101D}"/>
    <cellStyle name="Migliaia 33 3 3 3 2" xfId="33813" xr:uid="{24658EE9-0A7D-4E7F-B71D-8C33FF52A982}"/>
    <cellStyle name="Migliaia 33 3 3 3 2 2" xfId="39316" xr:uid="{5685CEB0-770A-4C64-A412-C9DDD2677B75}"/>
    <cellStyle name="Migliaia 33 3 3 3 2 3" xfId="44618" xr:uid="{54F8671D-B533-4D9A-9472-95A1F1D77391}"/>
    <cellStyle name="Migliaia 33 3 3 3 3" xfId="36750" xr:uid="{EB2AF87D-2F64-485A-A991-2E28024E3E7B}"/>
    <cellStyle name="Migliaia 33 3 3 3 4" xfId="41967" xr:uid="{B10DAD71-AE13-4713-A0AB-80BF1C11A29F}"/>
    <cellStyle name="Migliaia 33 3 3 3 5" xfId="9697" xr:uid="{3327B0D2-0696-48A7-B7F4-5E2E3E6C9770}"/>
    <cellStyle name="Migliaia 33 3 3 4" xfId="20409" xr:uid="{A30A88F1-3028-4B56-857F-6DB57306CD26}"/>
    <cellStyle name="Migliaia 33 3 3 4 2" xfId="33814" xr:uid="{91A9C429-84EC-4986-B846-C939D6606E48}"/>
    <cellStyle name="Migliaia 33 3 3 4 2 2" xfId="39317" xr:uid="{36E17BFF-5D83-44CB-84C3-3B56C28B8D91}"/>
    <cellStyle name="Migliaia 33 3 3 4 2 3" xfId="44619" xr:uid="{7B29EA5C-63A0-49B9-A259-93316E2FE08C}"/>
    <cellStyle name="Migliaia 33 3 3 4 3" xfId="36751" xr:uid="{96C84558-B805-41EE-9CB2-D86B5E56F4E5}"/>
    <cellStyle name="Migliaia 33 3 3 4 4" xfId="41968" xr:uid="{789A5088-B37C-4997-88E9-7DAAB4E07069}"/>
    <cellStyle name="Migliaia 33 3 3 4 5" xfId="24784" xr:uid="{0258AA51-C676-456F-9D40-F09ECDB0E851}"/>
    <cellStyle name="Migliaia 33 3 3 5" xfId="24785" xr:uid="{84A25F20-9112-4D82-AEF0-87EE5B26F5B1}"/>
    <cellStyle name="Migliaia 33 3 3 5 2" xfId="33815" xr:uid="{4297DF74-1BBD-44F0-B15A-A2C31975D510}"/>
    <cellStyle name="Migliaia 33 3 3 5 2 2" xfId="39318" xr:uid="{C5EC0C4E-EEFE-4E8A-80F1-0BCB73D08AA8}"/>
    <cellStyle name="Migliaia 33 3 3 5 2 3" xfId="44620" xr:uid="{3745AF30-C962-459E-B542-72CEB940CFC5}"/>
    <cellStyle name="Migliaia 33 3 3 5 3" xfId="36752" xr:uid="{2C615EBD-5C45-4F11-9BCC-21CDF7C292D0}"/>
    <cellStyle name="Migliaia 33 3 3 5 4" xfId="41969" xr:uid="{30B3938E-2966-4801-8088-CBB9C2D43395}"/>
    <cellStyle name="Migliaia 33 3 3 6" xfId="33812" xr:uid="{5F5F3429-C9EA-45DF-B725-384981E81670}"/>
    <cellStyle name="Migliaia 33 3 3 6 2" xfId="39314" xr:uid="{CA35198B-F480-4961-B99D-9D06EFDCA86A}"/>
    <cellStyle name="Migliaia 33 3 3 6 3" xfId="44616" xr:uid="{FD6440D6-D123-4AC9-B8F3-0388C69ED59A}"/>
    <cellStyle name="Migliaia 33 3 3 7" xfId="36749" xr:uid="{C92A1B0F-F5D7-4FBB-9E2B-FBF8D5068A77}"/>
    <cellStyle name="Migliaia 33 3 3 8" xfId="41965" xr:uid="{C67D61F2-04F4-42DA-969E-F046A31C287B}"/>
    <cellStyle name="Migliaia 33 3 3 9" xfId="16416" xr:uid="{EC89B799-DC23-4202-A8AC-F3238BBBF5CD}"/>
    <cellStyle name="Migliaia 33 3 4" xfId="3528" xr:uid="{3A53F686-BEB6-43E1-8395-D8EAE6D2D29E}"/>
    <cellStyle name="Migliaia 33 3 4 2" xfId="5254" xr:uid="{050AC714-180D-43EA-A900-841A3D8F5357}"/>
    <cellStyle name="Migliaia 33 3 4 2 2" xfId="14449" xr:uid="{B8CC6309-0CB0-48B8-B2CF-7B40CB526A3C}"/>
    <cellStyle name="Migliaia 33 3 4 2 3" xfId="18039" xr:uid="{D29C0401-3B5B-4907-B915-43009E8B6A7D}"/>
    <cellStyle name="Migliaia 33 3 4 2 4" xfId="20412" xr:uid="{E3ABC96C-9508-4806-80F4-60937BAD1485}"/>
    <cellStyle name="Migliaia 33 3 4 2 5" xfId="32383" xr:uid="{872BAD4E-BB51-49CE-A343-3AAF6FD653E7}"/>
    <cellStyle name="Migliaia 33 3 4 2 6" xfId="16419" xr:uid="{3DAA04FE-9831-40A3-A512-CC94B5207444}"/>
    <cellStyle name="Migliaia 33 3 4 2 7" xfId="8872" xr:uid="{43B8672F-DBB4-4410-8210-4E74D28C4B44}"/>
    <cellStyle name="Migliaia 33 3 4 3" xfId="6452" xr:uid="{88F3E0D4-1071-49C0-A46A-59F1BC1C1E19}"/>
    <cellStyle name="Migliaia 33 3 4 3 2" xfId="35307" xr:uid="{C208FEFE-FA69-4362-9BEC-F429CD234393}"/>
    <cellStyle name="Migliaia 33 3 4 3 2 2" xfId="40467" xr:uid="{E3F2F2C5-523D-486D-B2E2-5D301BAA425C}"/>
    <cellStyle name="Migliaia 33 3 4 3 2 3" xfId="45769" xr:uid="{6CD5DDB4-3290-4B15-80D7-FE45DFB83855}"/>
    <cellStyle name="Migliaia 33 3 4 3 3" xfId="37816" xr:uid="{A668E711-1676-4C32-B43F-8ABADF736103}"/>
    <cellStyle name="Migliaia 33 3 4 3 4" xfId="43118" xr:uid="{41547A7A-B262-4ED8-B414-81F20FAC6913}"/>
    <cellStyle name="Migliaia 33 3 4 3 5" xfId="13697" xr:uid="{813791AE-B356-470A-88BF-E6EEC7E90E05}"/>
    <cellStyle name="Migliaia 33 3 4 4" xfId="20411" xr:uid="{BD4F8F93-60BF-40CE-98ED-CD04FC5787C0}"/>
    <cellStyle name="Migliaia 33 3 4 4 2" xfId="39319" xr:uid="{03FD3483-5AE0-4BBE-B3B1-BE53379A02F1}"/>
    <cellStyle name="Migliaia 33 3 4 4 3" xfId="44621" xr:uid="{FD86F2B6-DF33-452C-8D18-A3BDDEE7E888}"/>
    <cellStyle name="Migliaia 33 3 4 4 4" xfId="33816" xr:uid="{D0002E12-6FE9-44FC-A01D-9DF4760B15D8}"/>
    <cellStyle name="Migliaia 33 3 4 5" xfId="36753" xr:uid="{F85CB9BF-37B3-4A68-A838-A9C12EC1D813}"/>
    <cellStyle name="Migliaia 33 3 4 6" xfId="41970" xr:uid="{CEAC447F-9E24-4449-A007-211BC3902FF2}"/>
    <cellStyle name="Migliaia 33 3 4 7" xfId="16418" xr:uid="{2A69B157-57BA-4A8B-BDA8-6741823A715F}"/>
    <cellStyle name="Migliaia 33 3 4 8" xfId="7682" xr:uid="{A3A2F2A6-E625-48DE-9AFA-21BC2F2B13BB}"/>
    <cellStyle name="Migliaia 33 3 5" xfId="3529" xr:uid="{468E0BCC-C7A9-4B34-AC48-F779F325A142}"/>
    <cellStyle name="Migliaia 33 3 5 2" xfId="5255" xr:uid="{74C209CE-7E2C-45B6-9F93-5416890413A8}"/>
    <cellStyle name="Migliaia 33 3 5 2 2" xfId="35308" xr:uid="{37CE44DE-4665-4EAD-AD9F-BF6FEB9FD076}"/>
    <cellStyle name="Migliaia 33 3 5 2 2 2" xfId="40468" xr:uid="{E11F8282-A59F-477C-BCB5-ED5E469A1F16}"/>
    <cellStyle name="Migliaia 33 3 5 2 2 3" xfId="45770" xr:uid="{61CEB69C-C882-4BA2-956A-657CF80B5617}"/>
    <cellStyle name="Migliaia 33 3 5 2 3" xfId="37817" xr:uid="{7FFBB36A-C6F1-4F48-BCEC-61359BF9F914}"/>
    <cellStyle name="Migliaia 33 3 5 2 4" xfId="43119" xr:uid="{89327596-51EF-4F24-9B9E-6D583A335D88}"/>
    <cellStyle name="Migliaia 33 3 5 2 5" xfId="14259" xr:uid="{0A442F79-F12B-4DE4-A850-463F30AD0D6B}"/>
    <cellStyle name="Migliaia 33 3 5 3" xfId="6453" xr:uid="{C5832017-F400-46FB-BB53-1BD23FA8FAD0}"/>
    <cellStyle name="Migliaia 33 3 5 3 2" xfId="39320" xr:uid="{637CC46B-386D-4286-818C-A16C42C2F41E}"/>
    <cellStyle name="Migliaia 33 3 5 3 3" xfId="44622" xr:uid="{FA09074A-F573-4386-A3AF-152CE7F5905D}"/>
    <cellStyle name="Migliaia 33 3 5 3 4" xfId="33817" xr:uid="{B72A21A5-213D-4DBE-B0D5-46DB35ECD961}"/>
    <cellStyle name="Migliaia 33 3 5 3 5" xfId="20413" xr:uid="{110ED6DE-02C6-4F6A-A333-42B40F67F2F8}"/>
    <cellStyle name="Migliaia 33 3 5 4" xfId="36754" xr:uid="{51631BE1-095F-462A-9907-009033C83327}"/>
    <cellStyle name="Migliaia 33 3 5 5" xfId="41971" xr:uid="{DD658768-5B47-4744-A7DB-6A73560066D0}"/>
    <cellStyle name="Migliaia 33 3 5 6" xfId="16420" xr:uid="{DB42078C-487B-4494-8334-132C8463B33B}"/>
    <cellStyle name="Migliaia 33 3 5 7" xfId="8321" xr:uid="{278CF2F6-10F1-4053-B285-2A638F84329B}"/>
    <cellStyle name="Migliaia 33 3 6" xfId="5250" xr:uid="{A9940DAA-71EC-4473-8855-754AD11D5A69}"/>
    <cellStyle name="Migliaia 33 3 6 2" xfId="13964" xr:uid="{81FEC995-3369-455A-A1C1-6EEA20970958}"/>
    <cellStyle name="Migliaia 33 3 6 2 2" xfId="39321" xr:uid="{BED9B5DC-1013-4929-ACB6-476913A86513}"/>
    <cellStyle name="Migliaia 33 3 6 2 3" xfId="44623" xr:uid="{2DD196AC-8FAA-43F1-9EB6-048688F7227F}"/>
    <cellStyle name="Migliaia 33 3 6 3" xfId="18020" xr:uid="{52BF737B-C106-42C0-870A-72FCFB7B6F7B}"/>
    <cellStyle name="Migliaia 33 3 6 4" xfId="20414" xr:uid="{B0D0B950-2138-4125-B650-F11A003DC324}"/>
    <cellStyle name="Migliaia 33 3 6 4 2" xfId="41972" xr:uid="{A02AF1A7-41E5-4B0F-BF13-A16DB66C38B2}"/>
    <cellStyle name="Migliaia 33 3 6 5" xfId="16421" xr:uid="{A38A71AC-35D2-48EB-969A-FA225C09312F}"/>
    <cellStyle name="Migliaia 33 3 6 6" xfId="7928" xr:uid="{956EE5F7-AFB7-4F46-BE62-590A90570C80}"/>
    <cellStyle name="Migliaia 33 3 7" xfId="6448" xr:uid="{5A16EAB8-FC1A-4E47-A918-506AFBF7C062}"/>
    <cellStyle name="Migliaia 33 3 7 2" xfId="33818" xr:uid="{74602066-EB6C-4FE4-B79F-6F90EC1F8E31}"/>
    <cellStyle name="Migliaia 33 3 7 2 2" xfId="39322" xr:uid="{033842A0-DAC0-40CF-9774-148C2B81B86F}"/>
    <cellStyle name="Migliaia 33 3 7 2 3" xfId="44624" xr:uid="{C31DE00A-70CC-496B-85A5-00EF2258A921}"/>
    <cellStyle name="Migliaia 33 3 7 3" xfId="36755" xr:uid="{DD21A42D-CF63-4DF5-94E2-DD47C6865605}"/>
    <cellStyle name="Migliaia 33 3 7 4" xfId="41973" xr:uid="{2753D381-1D90-41B9-A2B5-94C71BB79904}"/>
    <cellStyle name="Migliaia 33 3 7 5" xfId="12282" xr:uid="{66200771-DE87-4FC1-8369-00BFE04C240F}"/>
    <cellStyle name="Migliaia 33 3 8" xfId="3524" xr:uid="{F0C07908-7C4F-4D05-8BD4-3CDAE158D86D}"/>
    <cellStyle name="Migliaia 33 3 8 2" xfId="33819" xr:uid="{41B1615A-9E41-4289-BBDB-16312727386A}"/>
    <cellStyle name="Migliaia 33 3 8 2 2" xfId="39323" xr:uid="{9F4ECBAD-1A0D-4C0E-9142-68076A54D8A4}"/>
    <cellStyle name="Migliaia 33 3 8 2 3" xfId="44625" xr:uid="{4976E22D-7F36-43E4-99D0-A2D54107AD57}"/>
    <cellStyle name="Migliaia 33 3 8 3" xfId="36756" xr:uid="{D9F549E4-7FA7-4BA9-AB3C-97EF5F772DB4}"/>
    <cellStyle name="Migliaia 33 3 8 4" xfId="41974" xr:uid="{DEC278DD-DB83-47ED-99EE-B162C46557F2}"/>
    <cellStyle name="Migliaia 33 3 8 5" xfId="24786" xr:uid="{F363D75E-6D72-4624-9936-F6B608F928F3}"/>
    <cellStyle name="Migliaia 33 3 8 6" xfId="17349" xr:uid="{F6F8518C-4B76-4238-825C-35C412B0FA6D}"/>
    <cellStyle name="Migliaia 33 3 9" xfId="20405" xr:uid="{B08A1A3D-9399-45CC-A242-037981684531}"/>
    <cellStyle name="Migliaia 33 4" xfId="1788" xr:uid="{00000000-0005-0000-0000-0000AF030000}"/>
    <cellStyle name="Migliaia 33 4 2" xfId="1789" xr:uid="{00000000-0005-0000-0000-0000B0030000}"/>
    <cellStyle name="Migliaia 33 4 2 2" xfId="5257" xr:uid="{4B8F04B7-CD5A-470C-BB28-91598AF20453}"/>
    <cellStyle name="Migliaia 33 4 2 2 2" xfId="33820" xr:uid="{8991E159-044B-4015-9780-D618E59F2A7A}"/>
    <cellStyle name="Migliaia 33 4 2 2 2 2" xfId="39324" xr:uid="{DA1BFCAA-23A8-4B82-989F-397D3C675D15}"/>
    <cellStyle name="Migliaia 33 4 2 2 2 3" xfId="44626" xr:uid="{C8601A82-AF9D-49F1-ADD4-90BD958D9C54}"/>
    <cellStyle name="Migliaia 33 4 2 2 3" xfId="36757" xr:uid="{66106342-D260-497F-AADD-E137CD74546B}"/>
    <cellStyle name="Migliaia 33 4 2 2 4" xfId="41975" xr:uid="{36E29D24-BA83-415C-BBB4-BCF9FCA10F2F}"/>
    <cellStyle name="Migliaia 33 4 2 2 5" xfId="9160" xr:uid="{B7EEB833-4EE2-4DC2-A8A1-AFB00F9FCFB3}"/>
    <cellStyle name="Migliaia 33 4 2 3" xfId="3531" xr:uid="{6929FC0E-2D70-403B-A767-D5ADC9D15F93}"/>
    <cellStyle name="Migliaia 33 4 2 3 2" xfId="33821" xr:uid="{6DE9AA82-229E-400E-B18F-4B76B77B1500}"/>
    <cellStyle name="Migliaia 33 4 2 3 2 2" xfId="39325" xr:uid="{7D94FE3B-9881-4674-ABED-9779D25FA22C}"/>
    <cellStyle name="Migliaia 33 4 2 3 2 3" xfId="44627" xr:uid="{29D77524-325E-4ABB-8771-DF0427BD0877}"/>
    <cellStyle name="Migliaia 33 4 2 3 3" xfId="36758" xr:uid="{63D9E0E6-2E99-44D0-BFB0-C992AA8442A9}"/>
    <cellStyle name="Migliaia 33 4 2 3 4" xfId="41976" xr:uid="{B922C886-4A1E-485D-A2BD-9214149E7BCF}"/>
    <cellStyle name="Migliaia 33 4 2 3 5" xfId="11993" xr:uid="{353B10E0-1C89-4313-8389-2AEE17B6F260}"/>
    <cellStyle name="Migliaia 33 4 2 4" xfId="11342" xr:uid="{02E02037-1E99-4777-878F-3C54F805DF69}"/>
    <cellStyle name="Migliaia 33 4 2 5" xfId="10866" xr:uid="{51711CA6-BA00-457A-9993-D5AF79DE4E19}"/>
    <cellStyle name="Migliaia 33 4 2 5 2" xfId="21501" xr:uid="{1768E103-9BF1-405C-A134-3B904B508F81}"/>
    <cellStyle name="Migliaia 33 4 2 5 3" xfId="48474" xr:uid="{AA71B367-7A69-44C2-9EDA-DB76D215AB7C}"/>
    <cellStyle name="Migliaia 33 4 2 5 4" xfId="50516" xr:uid="{C77CF1D4-4897-4754-98A1-2EE8E00241CC}"/>
    <cellStyle name="Migliaia 33 4 2 5 5" xfId="53532" xr:uid="{2D1C2AA4-CD41-47DE-902B-A4756030E08E}"/>
    <cellStyle name="Migliaia 33 4 2 6" xfId="20416" xr:uid="{9709D2C8-DDE0-4472-AB1D-9A601A963A38}"/>
    <cellStyle name="Migliaia 33 4 2 7" xfId="24788" xr:uid="{D86FC445-DB6E-4629-A1FC-77B5FA4ED464}"/>
    <cellStyle name="Migliaia 33 4 2 8" xfId="8640" xr:uid="{BEA6E1B5-9757-4D2A-ACA8-3DEC5C8A8FCC}"/>
    <cellStyle name="Migliaia 33 4 3" xfId="5256" xr:uid="{689123CB-6460-4E44-9DFE-5995ACD57CD0}"/>
    <cellStyle name="Migliaia 33 4 3 2" xfId="18215" xr:uid="{9E0BAE57-D3B2-4FDB-AFFD-FCCF0EDCB7A8}"/>
    <cellStyle name="Migliaia 33 4 3 2 2" xfId="39326" xr:uid="{C4522686-730B-4DD1-ABBE-BFE67D73C8B0}"/>
    <cellStyle name="Migliaia 33 4 3 2 3" xfId="44628" xr:uid="{5FA201E2-40C3-4F89-BBAA-08ED198CB20C}"/>
    <cellStyle name="Migliaia 33 4 3 3" xfId="36759" xr:uid="{34ABBD33-42AD-4F5E-B0E9-FEB917F1F4F8}"/>
    <cellStyle name="Migliaia 33 4 3 4" xfId="41977" xr:uid="{E2819C2D-9DDE-459E-9384-5244C084D60A}"/>
    <cellStyle name="Migliaia 33 4 3 5" xfId="17347" xr:uid="{9D0B2D98-5740-4065-A36C-A8F6D04D2C88}"/>
    <cellStyle name="Migliaia 33 4 3 6" xfId="9161" xr:uid="{4FD368DA-DB88-46A5-BF46-0F7EA140E1F4}"/>
    <cellStyle name="Migliaia 33 4 4" xfId="6454" xr:uid="{7A1F386F-62AB-43E9-A3D9-12393CFCCE50}"/>
    <cellStyle name="Migliaia 33 4 4 2" xfId="33822" xr:uid="{98186EFE-F804-4222-81D9-B19B5BAB53A9}"/>
    <cellStyle name="Migliaia 33 4 4 2 2" xfId="39327" xr:uid="{6FB243A2-119C-4799-804D-77C3F6999841}"/>
    <cellStyle name="Migliaia 33 4 4 2 3" xfId="44629" xr:uid="{48EBB6B7-E651-467A-AEF6-D69C7033261C}"/>
    <cellStyle name="Migliaia 33 4 4 3" xfId="36760" xr:uid="{D770832C-F7E0-44A6-A65D-899C58A13EAA}"/>
    <cellStyle name="Migliaia 33 4 4 4" xfId="41978" xr:uid="{813DD573-C81D-49B1-A91D-7FFF2B82817C}"/>
    <cellStyle name="Migliaia 33 4 4 5" xfId="11994" xr:uid="{D2A63FCC-402F-40DB-9F68-BEFDE190B7E7}"/>
    <cellStyle name="Migliaia 33 4 5" xfId="3530" xr:uid="{56BADB8E-4C1C-4980-BF27-C0FEA23F07DD}"/>
    <cellStyle name="Migliaia 33 4 5 2" xfId="33823" xr:uid="{4DD37BDE-717C-4B64-A0D9-D241A4D0BBD1}"/>
    <cellStyle name="Migliaia 33 4 5 2 2" xfId="39328" xr:uid="{750AE984-A6D3-49EE-8EF1-927A3C5261C2}"/>
    <cellStyle name="Migliaia 33 4 5 2 3" xfId="44630" xr:uid="{F4181DA8-0AD4-424C-B1FE-471B5097F241}"/>
    <cellStyle name="Migliaia 33 4 5 3" xfId="36761" xr:uid="{9E54F3B3-73FC-4A84-BE5E-F40F8AA16ED5}"/>
    <cellStyle name="Migliaia 33 4 5 4" xfId="41979" xr:uid="{8A513A62-CD19-4187-A454-608574406DC7}"/>
    <cellStyle name="Migliaia 33 4 5 5" xfId="11341" xr:uid="{4B5D80B1-B661-400E-920E-D81C903BB857}"/>
    <cellStyle name="Migliaia 33 4 6" xfId="10865" xr:uid="{F9DAA4DD-159D-4127-916E-C5E6A30FB603}"/>
    <cellStyle name="Migliaia 33 4 6 2" xfId="21500" xr:uid="{04FB0B5F-0915-4ECC-A945-8022545A96D8}"/>
    <cellStyle name="Migliaia 33 4 6 2 2" xfId="39329" xr:uid="{5A20C48C-E8CA-4190-BE07-44649F18C578}"/>
    <cellStyle name="Migliaia 33 4 6 2 3" xfId="44631" xr:uid="{092BF0C2-DAE3-4B65-8F72-B43ABCBDC1B9}"/>
    <cellStyle name="Migliaia 33 4 6 2 4" xfId="33824" xr:uid="{9B1ED578-A9CC-408C-80EE-85C52E723839}"/>
    <cellStyle name="Migliaia 33 4 6 3" xfId="36762" xr:uid="{A8B90BCC-AD00-48DB-B8D1-98EE59BED5D8}"/>
    <cellStyle name="Migliaia 33 4 6 4" xfId="41980" xr:uid="{7DADFEFC-3E2B-4B80-B949-1EECCD892175}"/>
    <cellStyle name="Migliaia 33 4 6 5" xfId="24789" xr:uid="{EF82B005-7EA7-406E-9AB8-641932EE66E2}"/>
    <cellStyle name="Migliaia 33 4 6 6" xfId="46246" xr:uid="{E7058617-62BC-45EF-8F84-734F605CFF94}"/>
    <cellStyle name="Migliaia 33 4 6 7" xfId="50515" xr:uid="{C9A7C71C-EECD-4A91-82E0-4A3B28113E4A}"/>
    <cellStyle name="Migliaia 33 4 6 8" xfId="53531" xr:uid="{822BD59E-7E4A-4CC6-A6E5-31023FF58CB1}"/>
    <cellStyle name="Migliaia 33 4 7" xfId="20415" xr:uid="{68DABFF9-CC4F-4B94-B0A5-40B29B95B829}"/>
    <cellStyle name="Migliaia 33 4 7 2" xfId="33825" xr:uid="{F69A7F94-C1AF-4112-A022-581CCCC2E6BD}"/>
    <cellStyle name="Migliaia 33 4 7 2 2" xfId="39330" xr:uid="{955C6DE0-49ED-41E9-BE6F-B0DD92ADE739}"/>
    <cellStyle name="Migliaia 33 4 7 2 3" xfId="44632" xr:uid="{AA29F58A-A7AF-4486-959E-A4A6ACB14FB8}"/>
    <cellStyle name="Migliaia 33 4 7 3" xfId="36763" xr:uid="{7069870D-16CD-4026-873F-5973FDD0150B}"/>
    <cellStyle name="Migliaia 33 4 7 4" xfId="41981" xr:uid="{048DB167-ADB8-4236-85E6-AFBBBCA4AB12}"/>
    <cellStyle name="Migliaia 33 4 7 5" xfId="24790" xr:uid="{F69FED95-E963-488D-9FCE-6C8356A80B69}"/>
    <cellStyle name="Migliaia 33 4 8" xfId="24787" xr:uid="{A1AACFA6-A83E-4CAA-95F4-6ED2AF67452E}"/>
    <cellStyle name="Migliaia 33 4 9" xfId="7450" xr:uid="{FA5BD013-6182-4C91-9ADE-8074E1AFE8F4}"/>
    <cellStyle name="Migliaia 33 5" xfId="1790" xr:uid="{00000000-0005-0000-0000-0000B1030000}"/>
    <cellStyle name="Migliaia 33 5 2" xfId="5258" xr:uid="{D83AAF43-CB66-4429-9D07-FCA197C6D3FF}"/>
    <cellStyle name="Migliaia 33 5 2 2" xfId="18442" xr:uid="{BCA07A2C-0714-415B-9CCC-4AD8F3C03639}"/>
    <cellStyle name="Migliaia 33 5 2 2 2" xfId="39331" xr:uid="{4E649628-1A83-473D-9A91-CDD3055F5896}"/>
    <cellStyle name="Migliaia 33 5 2 2 3" xfId="44633" xr:uid="{612A197A-2D1B-4634-87B4-15AE89A9DA2C}"/>
    <cellStyle name="Migliaia 33 5 2 3" xfId="20418" xr:uid="{270EB21B-EF41-44AF-8654-A8C0E89232AD}"/>
    <cellStyle name="Migliaia 33 5 2 3 2" xfId="36764" xr:uid="{97FEF2D6-E60B-48A0-92F5-D11DAA6A6FCC}"/>
    <cellStyle name="Migliaia 33 5 2 4" xfId="41982" xr:uid="{FCEBE5DB-389B-4A58-BABF-3DF430B56312}"/>
    <cellStyle name="Migliaia 33 5 2 5" xfId="16422" xr:uid="{FEEB9F16-BBD9-4A80-BD45-ECA537EC3571}"/>
    <cellStyle name="Migliaia 33 5 2 6" xfId="8641" xr:uid="{9FDEEBC9-B68C-4AB3-A6F7-C41906042FA4}"/>
    <cellStyle name="Migliaia 33 5 3" xfId="6455" xr:uid="{0409229C-EC13-45C9-946F-F3419BCAF51E}"/>
    <cellStyle name="Migliaia 33 5 3 2" xfId="33826" xr:uid="{8F4A8FE6-CAB5-447F-80C7-FD37CC0B5FF1}"/>
    <cellStyle name="Migliaia 33 5 3 2 2" xfId="39332" xr:uid="{D3F59B37-012F-4B52-9DD1-1D6C6867435C}"/>
    <cellStyle name="Migliaia 33 5 3 2 3" xfId="44634" xr:uid="{38A076A7-812E-426F-ABCA-C71D02ED531C}"/>
    <cellStyle name="Migliaia 33 5 3 3" xfId="36765" xr:uid="{F00DEC50-0D1C-4446-AEEF-D3FBEFCED476}"/>
    <cellStyle name="Migliaia 33 5 3 4" xfId="41983" xr:uid="{64363044-0C85-40E6-995F-BFBB703FCEE0}"/>
    <cellStyle name="Migliaia 33 5 3 5" xfId="11343" xr:uid="{057D1F62-22A6-45E6-8020-65427779B862}"/>
    <cellStyle name="Migliaia 33 5 4" xfId="3532" xr:uid="{3262721F-E17B-4E13-8E52-D203D30A0C48}"/>
    <cellStyle name="Migliaia 33 5 4 2" xfId="21502" xr:uid="{6FBB7033-F1AF-4249-8699-5C69C596B477}"/>
    <cellStyle name="Migliaia 33 5 4 2 2" xfId="39333" xr:uid="{02E26C58-4831-4F69-94A7-5B928F767A2D}"/>
    <cellStyle name="Migliaia 33 5 4 2 3" xfId="44635" xr:uid="{9D0B1F01-C622-4D27-8186-0418A373245E}"/>
    <cellStyle name="Migliaia 33 5 4 2 4" xfId="33827" xr:uid="{82B80BD4-8237-4279-AEE5-8C9E50B65EA6}"/>
    <cellStyle name="Migliaia 33 5 4 3" xfId="36766" xr:uid="{E3B8A539-1078-4B2D-92C0-4FA6FDF15013}"/>
    <cellStyle name="Migliaia 33 5 4 4" xfId="41984" xr:uid="{0CF5054F-8EE9-40BC-9339-4535E1EB8332}"/>
    <cellStyle name="Migliaia 33 5 4 5" xfId="24792" xr:uid="{EE66BACE-F2F4-4B8D-9524-AE253236061B}"/>
    <cellStyle name="Migliaia 33 5 4 6" xfId="25351" xr:uid="{326C8438-9DFD-4ABA-B7E0-45F4A78104E8}"/>
    <cellStyle name="Migliaia 33 5 4 7" xfId="50517" xr:uid="{D7654059-2F33-483C-A30F-09A496B40336}"/>
    <cellStyle name="Migliaia 33 5 4 8" xfId="53533" xr:uid="{69CC3015-A31B-4E3F-B45A-08A980293631}"/>
    <cellStyle name="Migliaia 33 5 4 9" xfId="10867" xr:uid="{7E52C985-5F83-4C29-8F1F-D405954DBF29}"/>
    <cellStyle name="Migliaia 33 5 5" xfId="20417" xr:uid="{B46D20AD-2D19-41A3-995A-D1669B284594}"/>
    <cellStyle name="Migliaia 33 5 5 2" xfId="33828" xr:uid="{8B89B360-9ED9-4844-B467-7DC819255EC4}"/>
    <cellStyle name="Migliaia 33 5 5 2 2" xfId="39334" xr:uid="{599233A8-4AAD-4F93-9600-F2D3DCCD1EB0}"/>
    <cellStyle name="Migliaia 33 5 5 2 3" xfId="44636" xr:uid="{DA893A77-17A5-4285-B18D-96A77A8A6E43}"/>
    <cellStyle name="Migliaia 33 5 5 3" xfId="36767" xr:uid="{84EB56AE-6F4E-4EB4-8EC5-D0CA5D2A96C1}"/>
    <cellStyle name="Migliaia 33 5 5 4" xfId="41985" xr:uid="{30F08878-1AA0-4640-A9D8-2D37551B60E7}"/>
    <cellStyle name="Migliaia 33 5 5 5" xfId="24793" xr:uid="{EEB16ED6-C29D-4DD1-8FFE-DD2695D39EE6}"/>
    <cellStyle name="Migliaia 33 5 6" xfId="24794" xr:uid="{BE93A48F-5715-4FAB-9115-1C09053EB44E}"/>
    <cellStyle name="Migliaia 33 5 6 2" xfId="33829" xr:uid="{595851F9-F91B-46F1-A0AB-2F53DAE73AE1}"/>
    <cellStyle name="Migliaia 33 5 6 2 2" xfId="39335" xr:uid="{E0900E73-410F-4774-8E08-3130AB4DD6DA}"/>
    <cellStyle name="Migliaia 33 5 6 2 3" xfId="44637" xr:uid="{25754D7D-D655-400A-A610-157AE381C343}"/>
    <cellStyle name="Migliaia 33 5 6 3" xfId="36768" xr:uid="{CC0EA63F-5604-4A02-B850-430F25052E14}"/>
    <cellStyle name="Migliaia 33 5 6 4" xfId="41986" xr:uid="{458B1FEB-908B-49B5-9C01-69F83AFFEBAA}"/>
    <cellStyle name="Migliaia 33 5 7" xfId="24791" xr:uid="{346CAB7F-2D0C-4803-A1ED-3A37FCE4F082}"/>
    <cellStyle name="Migliaia 33 5 8" xfId="7451" xr:uid="{B97EE952-7C6F-48B7-9F2F-E0DD7CDC9E3E}"/>
    <cellStyle name="Migliaia 33 6" xfId="3533" xr:uid="{1CC9023C-BAC6-4506-ABC0-903F1B25E2AB}"/>
    <cellStyle name="Migliaia 33 6 2" xfId="5259" xr:uid="{3F4450AC-32BD-475B-BC45-D2FF49A3C0BD}"/>
    <cellStyle name="Migliaia 33 6 2 2" xfId="9933" xr:uid="{DB058EE6-AB63-46BC-8C89-1E32D888ACB1}"/>
    <cellStyle name="Migliaia 33 6 2 3" xfId="18654" xr:uid="{41345E27-96EA-4D0D-B376-DE4D746AAAA7}"/>
    <cellStyle name="Migliaia 33 6 2 4" xfId="20420" xr:uid="{610E359D-AB77-476F-BF86-695AB6A95093}"/>
    <cellStyle name="Migliaia 33 6 2 5" xfId="32384" xr:uid="{B46098C3-953B-4C5E-898F-B155489194F4}"/>
    <cellStyle name="Migliaia 33 6 2 6" xfId="16424" xr:uid="{90366C5C-D453-4F5E-9C43-9B9879513A8C}"/>
    <cellStyle name="Migliaia 33 6 2 7" xfId="8636" xr:uid="{F54727A4-A979-4C06-B7C8-2FDC05B2A15D}"/>
    <cellStyle name="Migliaia 33 6 3" xfId="6456" xr:uid="{3F28F315-576C-46A4-B5CD-D2FF64E2F43D}"/>
    <cellStyle name="Migliaia 33 6 3 2" xfId="35309" xr:uid="{A6A8A02A-A29F-4A96-A30C-C4F121DAAF19}"/>
    <cellStyle name="Migliaia 33 6 3 2 2" xfId="40469" xr:uid="{DC6A3A4B-BA42-431C-9D94-EBCF102EC3C8}"/>
    <cellStyle name="Migliaia 33 6 3 2 3" xfId="45771" xr:uid="{1D48D5F2-1EE5-494E-8D20-66E271A870BF}"/>
    <cellStyle name="Migliaia 33 6 3 3" xfId="37818" xr:uid="{5C72A4D9-88DE-4AAC-8523-3B4ED12BD7F2}"/>
    <cellStyle name="Migliaia 33 6 3 4" xfId="43120" xr:uid="{3BE6CDCD-457D-4F0B-A3D3-B17E4271A1F2}"/>
    <cellStyle name="Migliaia 33 6 3 5" xfId="9696" xr:uid="{393D5C90-3986-4275-B55D-9611621BF1F9}"/>
    <cellStyle name="Migliaia 33 6 4" xfId="20419" xr:uid="{ED10A10E-8A2A-4F32-9BF3-EA194A735D33}"/>
    <cellStyle name="Migliaia 33 6 4 2" xfId="39336" xr:uid="{8726D025-F4DC-4F7D-90E9-F37910E11EF9}"/>
    <cellStyle name="Migliaia 33 6 4 3" xfId="44638" xr:uid="{837C355D-81A4-49A8-9998-E904FCBF7903}"/>
    <cellStyle name="Migliaia 33 6 4 4" xfId="33830" xr:uid="{0BB8ECC9-87C7-4968-BCEA-C6E59C16097A}"/>
    <cellStyle name="Migliaia 33 6 5" xfId="36769" xr:uid="{FC69B825-7F6F-4EF1-9673-0003EEFF4B91}"/>
    <cellStyle name="Migliaia 33 6 6" xfId="41987" xr:uid="{C646A7BC-B1C6-454F-A456-21E1F108A9C9}"/>
    <cellStyle name="Migliaia 33 6 7" xfId="16423" xr:uid="{946A53F9-1820-40CC-9E2C-BA222A6412BA}"/>
    <cellStyle name="Migliaia 33 6 8" xfId="7446" xr:uid="{85B9B1A8-6C81-4E6E-B7EC-EE8D3FA94377}"/>
    <cellStyle name="Migliaia 33 7" xfId="3534" xr:uid="{1CD7AB60-250D-4729-BE57-C52C410F45EA}"/>
    <cellStyle name="Migliaia 33 7 2" xfId="5260" xr:uid="{03BD8DD2-0C20-4331-903D-40562ACE8394}"/>
    <cellStyle name="Migliaia 33 7 2 2" xfId="35310" xr:uid="{767F6B2B-F2FE-4E61-9580-55BAC1D340AB}"/>
    <cellStyle name="Migliaia 33 7 2 2 2" xfId="40470" xr:uid="{2AA92785-CECB-446A-93E5-E202351E275B}"/>
    <cellStyle name="Migliaia 33 7 2 2 3" xfId="45772" xr:uid="{1D1EBA22-5357-4467-9399-E9F9F4317A22}"/>
    <cellStyle name="Migliaia 33 7 2 3" xfId="37819" xr:uid="{D0AA232A-3ABC-41FC-B012-AB0C506FDF6B}"/>
    <cellStyle name="Migliaia 33 7 2 4" xfId="43121" xr:uid="{FB21585F-EBEF-444E-9B1B-FF4582A5656E}"/>
    <cellStyle name="Migliaia 33 7 2 5" xfId="14257" xr:uid="{F3EA3820-5E77-43DC-98E1-8628E1AAD878}"/>
    <cellStyle name="Migliaia 33 7 3" xfId="6457" xr:uid="{C59D2FEA-6884-4C0F-9069-CABE2193C7AF}"/>
    <cellStyle name="Migliaia 33 7 3 2" xfId="39337" xr:uid="{73EC0920-261B-43B4-8BA7-99E77F56547D}"/>
    <cellStyle name="Migliaia 33 7 3 3" xfId="44639" xr:uid="{6669EEA6-717C-4D25-A1F0-22D1FFF8081F}"/>
    <cellStyle name="Migliaia 33 7 3 4" xfId="33831" xr:uid="{23E159F3-9536-496A-B727-9077E2ECC43F}"/>
    <cellStyle name="Migliaia 33 7 3 5" xfId="20421" xr:uid="{DD46C4CE-47CF-4F63-867E-F45A8FD3FC0A}"/>
    <cellStyle name="Migliaia 33 7 4" xfId="36770" xr:uid="{359E8E80-9B10-43EE-9E47-3259E03D4BD9}"/>
    <cellStyle name="Migliaia 33 7 5" xfId="41988" xr:uid="{146A7166-829A-4F26-95A8-8602722BC9A1}"/>
    <cellStyle name="Migliaia 33 7 6" xfId="16425" xr:uid="{E6B40BDD-DBE1-4662-A1B6-D570935D0309}"/>
    <cellStyle name="Migliaia 33 7 7" xfId="8319" xr:uid="{E3B94DFD-C13F-4F93-B661-2F6F6B483E62}"/>
    <cellStyle name="Migliaia 33 8" xfId="3535" xr:uid="{8683F9A0-3935-4A7D-B4C0-3B31A530A4AF}"/>
    <cellStyle name="Migliaia 33 8 2" xfId="5261" xr:uid="{E857E318-9E17-43E6-96C6-CF8351DB5998}"/>
    <cellStyle name="Migliaia 33 8 2 2" xfId="35311" xr:uid="{FA397A78-5C63-4247-9E3D-058CA31F5F8A}"/>
    <cellStyle name="Migliaia 33 8 2 2 2" xfId="40471" xr:uid="{CC20FE23-BD76-43AC-B928-D8F9B6E1CD75}"/>
    <cellStyle name="Migliaia 33 8 2 2 3" xfId="45773" xr:uid="{A15896D1-D276-4177-A547-295DD3A91801}"/>
    <cellStyle name="Migliaia 33 8 2 3" xfId="37820" xr:uid="{4256A1CC-071D-423A-A0C6-79C6225871DD}"/>
    <cellStyle name="Migliaia 33 8 2 4" xfId="43122" xr:uid="{08B8978E-71BE-4D0A-8583-A8C9BED4B01A}"/>
    <cellStyle name="Migliaia 33 8 2 5" xfId="13962" xr:uid="{A67FD19E-5788-4590-A761-5DAE5BB2F026}"/>
    <cellStyle name="Migliaia 33 8 3" xfId="6458" xr:uid="{8B77C66F-B847-489F-B2E4-473BA81CEFDD}"/>
    <cellStyle name="Migliaia 33 8 3 2" xfId="39338" xr:uid="{1E74C79B-B009-4E46-87EB-D68A884AFAE2}"/>
    <cellStyle name="Migliaia 33 8 3 3" xfId="44640" xr:uid="{E66B2985-C7A0-470F-97EE-63CA96917B44}"/>
    <cellStyle name="Migliaia 33 8 3 4" xfId="33832" xr:uid="{07D69D23-6379-42C5-B11E-8E945E8CE3F4}"/>
    <cellStyle name="Migliaia 33 8 3 5" xfId="20422" xr:uid="{48B5F327-AD24-4BB1-AD32-7927A15AD84A}"/>
    <cellStyle name="Migliaia 33 8 4" xfId="36771" xr:uid="{72B7093B-6839-426C-A6A4-958F118ADC57}"/>
    <cellStyle name="Migliaia 33 8 5" xfId="41989" xr:uid="{4954C0D7-AE8A-4019-9774-0869E3FF3F6C}"/>
    <cellStyle name="Migliaia 33 8 6" xfId="16426" xr:uid="{11ED1EBC-1FBC-4533-8001-6FDA78E09C08}"/>
    <cellStyle name="Migliaia 33 8 7" xfId="7926" xr:uid="{FD886BA6-508B-4C0A-910D-9136108D357D}"/>
    <cellStyle name="Migliaia 33 9" xfId="5246" xr:uid="{FE0589EC-D138-4EFB-8D0D-C7722EF7421D}"/>
    <cellStyle name="Migliaia 33 9 2" xfId="33833" xr:uid="{664675B6-2FBF-40CB-A867-04CEB792AB49}"/>
    <cellStyle name="Migliaia 33 9 2 2" xfId="39339" xr:uid="{4C589C1E-C191-43A9-9887-FFB187208372}"/>
    <cellStyle name="Migliaia 33 9 2 3" xfId="44641" xr:uid="{566DD9B9-7767-4A06-81BF-66BD711410A6}"/>
    <cellStyle name="Migliaia 33 9 3" xfId="36772" xr:uid="{FE2DDA13-4C4A-44AD-9E13-A4AEA8E5C3C0}"/>
    <cellStyle name="Migliaia 33 9 4" xfId="41990" xr:uid="{D58F67C9-A784-44D8-82B5-D6BBD663A774}"/>
    <cellStyle name="Migliaia 33 9 5" xfId="17187" xr:uid="{99F2699C-F2F5-40B9-A327-F694D609DA97}"/>
    <cellStyle name="Migliaia 34" xfId="409" xr:uid="{00000000-0005-0000-0000-0000B2030000}"/>
    <cellStyle name="Migliaia 34 10" xfId="6459" xr:uid="{446CDD86-9B5A-445F-8339-A92113949E99}"/>
    <cellStyle name="Migliaia 34 10 2" xfId="39340" xr:uid="{2ED83D3A-7EAA-4E92-96A4-3ABD91E1E6DE}"/>
    <cellStyle name="Migliaia 34 10 3" xfId="44642" xr:uid="{7CCDBEEF-862B-4D5A-BD81-BD466DD39A04}"/>
    <cellStyle name="Migliaia 34 10 4" xfId="33834" xr:uid="{20169C4F-6711-4EEF-8E3A-D8EC690376EB}"/>
    <cellStyle name="Migliaia 34 10 5" xfId="20423" xr:uid="{5117B321-3E6F-41E9-AAB4-6B24C736DAFC}"/>
    <cellStyle name="Migliaia 34 11" xfId="3536" xr:uid="{3EBA89E3-A486-4244-B127-66A360759CDC}"/>
    <cellStyle name="Migliaia 34 11 2" xfId="36773" xr:uid="{3F13076C-C325-4B58-AC19-EF8025CA838F}"/>
    <cellStyle name="Migliaia 34 12" xfId="41991" xr:uid="{7D51784F-B802-41C7-8E60-8C398D8DE32A}"/>
    <cellStyle name="Migliaia 34 13" xfId="7123" xr:uid="{A8508EA9-0699-4DB6-8B04-2CE0CEE94C0F}"/>
    <cellStyle name="Migliaia 34 2" xfId="410" xr:uid="{00000000-0005-0000-0000-0000B3030000}"/>
    <cellStyle name="Migliaia 34 2 2" xfId="1791" xr:uid="{00000000-0005-0000-0000-0000B4030000}"/>
    <cellStyle name="Migliaia 34 2 2 2" xfId="5264" xr:uid="{F9BBACB8-DC09-409E-A7F6-2799BB2311F7}"/>
    <cellStyle name="Migliaia 34 2 2 2 2" xfId="14390" xr:uid="{0FC45A7A-384E-443F-842E-0085D395E054}"/>
    <cellStyle name="Migliaia 34 2 2 2 2 2" xfId="39341" xr:uid="{5E495FDA-3C14-44E3-8423-7117B683925B}"/>
    <cellStyle name="Migliaia 34 2 2 2 2 3" xfId="44643" xr:uid="{7D2D2A14-0457-4596-A5AB-5C1D4B5DD8B3}"/>
    <cellStyle name="Migliaia 34 2 2 2 3" xfId="18443" xr:uid="{880820C9-EE7E-43C6-B9DC-BC0E34AA91C1}"/>
    <cellStyle name="Migliaia 34 2 2 2 4" xfId="20426" xr:uid="{75BC8B53-2B81-4E8E-95AE-58413F8292E0}"/>
    <cellStyle name="Migliaia 34 2 2 2 4 2" xfId="41992" xr:uid="{8E666FAD-B19C-45EF-A365-E2361C947C81}"/>
    <cellStyle name="Migliaia 34 2 2 2 5" xfId="16427" xr:uid="{2177E90B-8F02-4A42-85D3-E0A9040C9284}"/>
    <cellStyle name="Migliaia 34 2 2 2 6" xfId="8643" xr:uid="{2693995B-F17B-4A07-8E0B-8341682CAD63}"/>
    <cellStyle name="Migliaia 34 2 2 3" xfId="6461" xr:uid="{303F2612-38F3-4B14-9D02-A4DDB138081D}"/>
    <cellStyle name="Migliaia 34 2 2 3 2" xfId="35312" xr:uid="{8A25C89F-BD9A-458D-9511-0130F934DC0F}"/>
    <cellStyle name="Migliaia 34 2 2 3 2 2" xfId="40472" xr:uid="{56AAAB67-1401-47A2-9A57-877583E1D8B4}"/>
    <cellStyle name="Migliaia 34 2 2 3 2 3" xfId="45774" xr:uid="{DEE59719-4C22-4812-9BFB-A506BD19FD5F}"/>
    <cellStyle name="Migliaia 34 2 2 3 3" xfId="37821" xr:uid="{22990CE0-F1F9-4C85-BD42-362CDB7CEEF9}"/>
    <cellStyle name="Migliaia 34 2 2 3 4" xfId="43123" xr:uid="{A410E715-7642-4161-8DE1-6901E7750D13}"/>
    <cellStyle name="Migliaia 34 2 2 3 5" xfId="11617" xr:uid="{CE3E15F5-ED32-4C9C-8098-382F6745B30F}"/>
    <cellStyle name="Migliaia 34 2 2 4" xfId="3538" xr:uid="{E182DBCF-275D-4F73-94D8-AA9BF9AD72AC}"/>
    <cellStyle name="Migliaia 34 2 2 4 2" xfId="21503" xr:uid="{518622C6-17E6-4D30-B5B1-6F33333AC8F7}"/>
    <cellStyle name="Migliaia 34 2 2 4 3" xfId="47982" xr:uid="{CF5B57FD-F197-4DD3-89F0-88C603992108}"/>
    <cellStyle name="Migliaia 34 2 2 4 4" xfId="50518" xr:uid="{B4FAF854-896E-47F2-8CC6-B40C298D1199}"/>
    <cellStyle name="Migliaia 34 2 2 4 5" xfId="53534" xr:uid="{8FF5326F-B509-4B4D-8C60-1E884A209EB6}"/>
    <cellStyle name="Migliaia 34 2 2 4 6" xfId="10868" xr:uid="{A3FFC7CF-B55D-4C19-8847-38832AD006CB}"/>
    <cellStyle name="Migliaia 34 2 2 5" xfId="20425" xr:uid="{5EFBE037-1FBA-401F-8F6B-745EDDB87140}"/>
    <cellStyle name="Migliaia 34 2 2 6" xfId="24796" xr:uid="{9408C17C-9123-4E68-B680-C0CB3804C188}"/>
    <cellStyle name="Migliaia 34 2 2 7" xfId="7453" xr:uid="{D6CB66AB-8BD2-489B-858E-9F8943B11743}"/>
    <cellStyle name="Migliaia 34 2 3" xfId="3539" xr:uid="{80D1486B-304D-4D77-BACE-247822D090F3}"/>
    <cellStyle name="Migliaia 34 2 3 2" xfId="5265" xr:uid="{8B3C4948-A275-41CF-8174-470755DB9056}"/>
    <cellStyle name="Migliaia 34 2 3 2 2" xfId="35313" xr:uid="{ED417F74-0311-4EE1-B48C-69188633C538}"/>
    <cellStyle name="Migliaia 34 2 3 2 2 2" xfId="40473" xr:uid="{5435DBE0-9D0F-4138-A61D-AC2A7CC9E0DA}"/>
    <cellStyle name="Migliaia 34 2 3 2 2 3" xfId="45775" xr:uid="{60FFA7AB-648B-468E-8D33-2ADD05DAF53B}"/>
    <cellStyle name="Migliaia 34 2 3 2 3" xfId="37822" xr:uid="{D36BB970-A604-4959-8288-AD2C1A005B40}"/>
    <cellStyle name="Migliaia 34 2 3 2 4" xfId="43124" xr:uid="{C007C6EB-A2CD-42C6-B2D2-5E4308DCE328}"/>
    <cellStyle name="Migliaia 34 2 3 2 5" xfId="14261" xr:uid="{0D1169A1-4F7B-44FC-8B15-5A3ACD3763EE}"/>
    <cellStyle name="Migliaia 34 2 3 3" xfId="6462" xr:uid="{85DA57FF-AF8D-4585-9DD3-004730949076}"/>
    <cellStyle name="Migliaia 34 2 3 3 2" xfId="39342" xr:uid="{46BA9E03-3743-4582-BA74-2CFB212BCF7B}"/>
    <cellStyle name="Migliaia 34 2 3 3 3" xfId="44644" xr:uid="{8A40FCEC-67C0-4CA3-9B71-064DC381AD34}"/>
    <cellStyle name="Migliaia 34 2 3 3 4" xfId="33835" xr:uid="{282169CE-DEC1-40E1-96FB-7360C26E0E44}"/>
    <cellStyle name="Migliaia 34 2 3 3 5" xfId="20427" xr:uid="{E3489FA7-7669-47D9-B593-37DDDAEC6D1A}"/>
    <cellStyle name="Migliaia 34 2 3 4" xfId="36774" xr:uid="{67A47EFC-6804-47E6-A2B1-5BFD8A1DF79A}"/>
    <cellStyle name="Migliaia 34 2 3 5" xfId="41993" xr:uid="{1E9A4B3D-C170-4EF1-BE5F-2DE93900E3CF}"/>
    <cellStyle name="Migliaia 34 2 3 6" xfId="16428" xr:uid="{77CED738-A778-499E-ACF8-4CD71189AD8E}"/>
    <cellStyle name="Migliaia 34 2 3 7" xfId="8323" xr:uid="{74005F41-B46A-448D-9E3D-B6E0D7772C07}"/>
    <cellStyle name="Migliaia 34 2 4" xfId="5263" xr:uid="{9EB3DDC4-26C7-40AC-866F-1EF68A6B6278}"/>
    <cellStyle name="Migliaia 34 2 4 2" xfId="13966" xr:uid="{4731D848-2BD5-4254-9202-E6635F017DDC}"/>
    <cellStyle name="Migliaia 34 2 4 2 2" xfId="39343" xr:uid="{DFD2B85A-1375-4934-99E8-BA19F9785028}"/>
    <cellStyle name="Migliaia 34 2 4 2 3" xfId="44645" xr:uid="{920C84C1-8435-4CB5-B155-995F2DE549DE}"/>
    <cellStyle name="Migliaia 34 2 4 3" xfId="18613" xr:uid="{1923A48D-7584-4428-8BF0-D9CCBD7FECAF}"/>
    <cellStyle name="Migliaia 34 2 4 4" xfId="20428" xr:uid="{1D0DCD62-7DAC-460D-8619-24CABBD007EB}"/>
    <cellStyle name="Migliaia 34 2 4 4 2" xfId="41994" xr:uid="{B99602CC-8AD7-4303-85A4-2828183079BC}"/>
    <cellStyle name="Migliaia 34 2 4 5" xfId="16429" xr:uid="{82C5FCC6-9BE3-424F-9C8A-BDFA41FD2598}"/>
    <cellStyle name="Migliaia 34 2 4 6" xfId="7931" xr:uid="{2C7A27C8-892D-4BAE-BBF0-AC47021A346D}"/>
    <cellStyle name="Migliaia 34 2 5" xfId="6460" xr:uid="{A1797C92-0795-47C5-973F-E0A15B7A587A}"/>
    <cellStyle name="Migliaia 34 2 5 2" xfId="33836" xr:uid="{40C84349-D9CF-4691-8899-D84DF9F2BD6A}"/>
    <cellStyle name="Migliaia 34 2 5 2 2" xfId="39344" xr:uid="{685A3C37-DA0C-4D40-AAF1-51BB84AB1C94}"/>
    <cellStyle name="Migliaia 34 2 5 2 3" xfId="44646" xr:uid="{052E3A7D-545D-4975-8F10-787FD11C1F9E}"/>
    <cellStyle name="Migliaia 34 2 5 3" xfId="36775" xr:uid="{B77EFD97-797A-4191-A9B6-5B5D85F0FE33}"/>
    <cellStyle name="Migliaia 34 2 5 4" xfId="41995" xr:uid="{C25E3D2B-2E3D-4833-BF70-F69B8D65B234}"/>
    <cellStyle name="Migliaia 34 2 5 5" xfId="13130" xr:uid="{6F0B185C-3025-41CC-ACE5-AD7C959E1E97}"/>
    <cellStyle name="Migliaia 34 2 6" xfId="3537" xr:uid="{F762F256-F5A0-48E0-AD7C-2690A70B9247}"/>
    <cellStyle name="Migliaia 34 2 6 2" xfId="33837" xr:uid="{8F9A4ECE-E7CF-4042-9541-FE12EAE7FBB4}"/>
    <cellStyle name="Migliaia 34 2 6 2 2" xfId="39345" xr:uid="{C3545B69-56BE-4AA2-BFF9-AA9FA5398969}"/>
    <cellStyle name="Migliaia 34 2 6 2 3" xfId="44647" xr:uid="{2E1CD879-0BA5-45BC-B736-BA9DB97290EB}"/>
    <cellStyle name="Migliaia 34 2 6 3" xfId="36776" xr:uid="{38B64630-9976-47B3-886B-FF570E079A3C}"/>
    <cellStyle name="Migliaia 34 2 6 4" xfId="41996" xr:uid="{C30F8C55-C24B-44C5-96EC-825582AE2F16}"/>
    <cellStyle name="Migliaia 34 2 6 5" xfId="24797" xr:uid="{70DB9DA0-258D-48D6-99EF-4DD570077927}"/>
    <cellStyle name="Migliaia 34 2 6 6" xfId="20424" xr:uid="{C2BFF595-C970-4671-8ABA-E4037DE8EFCC}"/>
    <cellStyle name="Migliaia 34 2 7" xfId="24795" xr:uid="{D8ADFD02-3D9E-4B3F-B571-7B5D3470DC6F}"/>
    <cellStyle name="Migliaia 34 2 8" xfId="7124" xr:uid="{2A1E30C2-F23D-4096-9D07-7028CEC1D4A6}"/>
    <cellStyle name="Migliaia 34 3" xfId="411" xr:uid="{00000000-0005-0000-0000-0000B5030000}"/>
    <cellStyle name="Migliaia 34 3 10" xfId="24798" xr:uid="{5CE2254B-D5F8-4D10-95AE-710CCC840920}"/>
    <cellStyle name="Migliaia 34 3 11" xfId="16430" xr:uid="{AAE851A5-3690-4DD1-A32C-516AEF60EF91}"/>
    <cellStyle name="Migliaia 34 3 12" xfId="7125" xr:uid="{85833C4E-1595-435C-B75F-5FFBAA710B22}"/>
    <cellStyle name="Migliaia 34 3 2" xfId="412" xr:uid="{00000000-0005-0000-0000-0000B6030000}"/>
    <cellStyle name="Migliaia 34 3 2 2" xfId="1792" xr:uid="{00000000-0005-0000-0000-0000B7030000}"/>
    <cellStyle name="Migliaia 34 3 2 2 2" xfId="5268" xr:uid="{CE6271D5-C95D-4269-93DB-A7750F3DB6E3}"/>
    <cellStyle name="Migliaia 34 3 2 2 2 2" xfId="18444" xr:uid="{32814393-59DC-4110-905B-CB63072E4EB9}"/>
    <cellStyle name="Migliaia 34 3 2 2 2 2 2" xfId="21868" xr:uid="{FCA3C8C3-5690-4139-9E70-8EBB9E691C2E}"/>
    <cellStyle name="Migliaia 34 3 2 2 2 2 2 2" xfId="39346" xr:uid="{10FF51C3-6AA7-4212-A39D-93F7E46E4DB9}"/>
    <cellStyle name="Migliaia 34 3 2 2 2 2 3" xfId="44648" xr:uid="{6D137B42-4E4D-469E-91D3-7B8BA515E9C0}"/>
    <cellStyle name="Migliaia 34 3 2 2 2 2 4" xfId="33838" xr:uid="{3EDA2A78-57CF-4C6A-B1ED-AD888F1FD578}"/>
    <cellStyle name="Migliaia 34 3 2 2 2 3" xfId="36777" xr:uid="{D95D33BD-20F8-47F3-8FB9-3EB61A02E791}"/>
    <cellStyle name="Migliaia 34 3 2 2 2 4" xfId="41997" xr:uid="{256650A3-1D94-4999-8F80-2CCCF43C2167}"/>
    <cellStyle name="Migliaia 34 3 2 2 2 5" xfId="37178" xr:uid="{EFAEB2E9-0799-4DEB-8A50-7BBC16499581}"/>
    <cellStyle name="Migliaia 34 3 2 2 2 6" xfId="50896" xr:uid="{97DB9A6B-75AE-490A-8CEB-BBBC4E8FAD6E}"/>
    <cellStyle name="Migliaia 34 3 2 2 2 7" xfId="53912" xr:uid="{B0C26102-CF28-4415-B166-41F81684500E}"/>
    <cellStyle name="Migliaia 34 3 2 2 2 8" xfId="17665" xr:uid="{B810872C-E512-4A49-9BEE-1E7F1FAE2528}"/>
    <cellStyle name="Migliaia 34 3 2 2 2 9" xfId="11995" xr:uid="{1B7CE54C-98CA-44C4-9D3B-87BC5348FA0A}"/>
    <cellStyle name="Migliaia 34 3 2 2 3" xfId="6465" xr:uid="{82ADC557-C383-4EC5-9740-2BF4D3C6DD75}"/>
    <cellStyle name="Migliaia 34 3 2 2 3 2" xfId="11562" xr:uid="{9C71523F-341B-42BB-A809-DBD8E9F219A1}"/>
    <cellStyle name="Migliaia 34 3 2 2 4" xfId="3542" xr:uid="{E07B4949-0749-4A66-A056-E83098480DDB}"/>
    <cellStyle name="Migliaia 34 3 2 2 4 2" xfId="21504" xr:uid="{918380D4-8E25-4DA3-AE74-971DA1624C62}"/>
    <cellStyle name="Migliaia 34 3 2 2 4 3" xfId="46646" xr:uid="{F2304B9A-55F2-41C9-956E-98A328CF5E43}"/>
    <cellStyle name="Migliaia 34 3 2 2 4 4" xfId="50519" xr:uid="{C3388350-1440-4C06-B96E-7A92AC6AAD18}"/>
    <cellStyle name="Migliaia 34 3 2 2 4 5" xfId="53535" xr:uid="{596167F0-C313-490F-8C17-B59DC044BC2F}"/>
    <cellStyle name="Migliaia 34 3 2 2 4 6" xfId="10869" xr:uid="{CD9ABD3E-A6A3-41A6-AC91-46C40AAD8A19}"/>
    <cellStyle name="Migliaia 34 3 2 2 5" xfId="20431" xr:uid="{4FB7C1FD-4339-4DBE-ACA3-3550613417C1}"/>
    <cellStyle name="Migliaia 34 3 2 2 6" xfId="24800" xr:uid="{485220B5-59FE-4A6C-B0D7-F9C1310C848E}"/>
    <cellStyle name="Migliaia 34 3 2 2 7" xfId="8645" xr:uid="{BCBB8A76-5593-4BBB-B799-E28DDE105867}"/>
    <cellStyle name="Migliaia 34 3 2 3" xfId="5267" xr:uid="{260A6332-73C4-4A96-96DF-E797F51F175D}"/>
    <cellStyle name="Migliaia 34 3 2 3 2" xfId="12410" xr:uid="{33C810DF-B83F-41ED-B33E-00AB6C0C6873}"/>
    <cellStyle name="Migliaia 34 3 2 3 2 2" xfId="39347" xr:uid="{D641BA38-D7E7-4FB0-B331-5799D0263AA6}"/>
    <cellStyle name="Migliaia 34 3 2 3 2 3" xfId="44649" xr:uid="{775802CC-0506-46C7-BDD2-C0694FB1BF0F}"/>
    <cellStyle name="Migliaia 34 3 2 3 2 4" xfId="33839" xr:uid="{ACBB39FA-E23A-44F4-93D5-372CB5FBE9E6}"/>
    <cellStyle name="Migliaia 34 3 2 3 3" xfId="11996" xr:uid="{ECCC2CEB-F129-499D-8799-F5CEB714B9D7}"/>
    <cellStyle name="Migliaia 34 3 2 3 4" xfId="20432" xr:uid="{3A18B690-7696-42BB-A4CB-21D198E7EBA5}"/>
    <cellStyle name="Migliaia 34 3 2 3 4 2" xfId="41998" xr:uid="{FA4D13A6-10AE-4416-AC04-17B0DD3AC859}"/>
    <cellStyle name="Migliaia 34 3 2 3 5" xfId="16431" xr:uid="{71AAEBDD-CF3F-4F6B-9375-AFA32D4FA596}"/>
    <cellStyle name="Migliaia 34 3 2 3 6" xfId="7933" xr:uid="{BD6826BC-DE79-40B6-B5C5-DC01ABB848B2}"/>
    <cellStyle name="Migliaia 34 3 2 4" xfId="6464" xr:uid="{736A85FD-1579-429B-976F-5F5A6C3B3C3C}"/>
    <cellStyle name="Migliaia 34 3 2 4 2" xfId="18084" xr:uid="{711236A0-DB6B-45E6-BCCD-5DADF433C876}"/>
    <cellStyle name="Migliaia 34 3 2 4 2 2" xfId="39348" xr:uid="{8D0D78E1-3E42-4D48-91C1-00F2EC9D686F}"/>
    <cellStyle name="Migliaia 34 3 2 4 2 3" xfId="44650" xr:uid="{C0390279-502E-4176-A4A1-03F9A982C464}"/>
    <cellStyle name="Migliaia 34 3 2 4 3" xfId="36778" xr:uid="{405DB2E7-BC30-40B8-8DFA-CA57EE7E805C}"/>
    <cellStyle name="Migliaia 34 3 2 4 4" xfId="41999" xr:uid="{D8E0A404-A0CE-420E-9910-BA792ECE875D}"/>
    <cellStyle name="Migliaia 34 3 2 4 5" xfId="17190" xr:uid="{803BC5D2-04F0-40CF-AF95-B4618CAE0D69}"/>
    <cellStyle name="Migliaia 34 3 2 4 6" xfId="11344" xr:uid="{6EF1D95D-91F3-47C8-84CF-C9CFDD80FD66}"/>
    <cellStyle name="Migliaia 34 3 2 5" xfId="3541" xr:uid="{F017704D-067C-4E47-9C86-7BF408B35889}"/>
    <cellStyle name="Migliaia 34 3 2 5 2" xfId="33840" xr:uid="{77AEB179-F5E8-4D7F-8265-B51EFF5E73E8}"/>
    <cellStyle name="Migliaia 34 3 2 5 2 2" xfId="39349" xr:uid="{17C76A74-D970-4FD9-B6F7-31C8ECFEDAE3}"/>
    <cellStyle name="Migliaia 34 3 2 5 2 3" xfId="44651" xr:uid="{33924806-5B27-4FD7-8604-D09BD343AC7C}"/>
    <cellStyle name="Migliaia 34 3 2 5 3" xfId="36779" xr:uid="{A8824072-0B5C-48E4-9FD1-28BD98DF9830}"/>
    <cellStyle name="Migliaia 34 3 2 5 4" xfId="42000" xr:uid="{B2E45CEB-D6FE-4E4F-B2BA-190DDCFFD1C6}"/>
    <cellStyle name="Migliaia 34 3 2 5 5" xfId="17345" xr:uid="{39D189D8-1439-4D81-9804-6BAADCC030DA}"/>
    <cellStyle name="Migliaia 34 3 2 6" xfId="20430" xr:uid="{C04BAFB1-E402-4F61-A307-CC50FE104801}"/>
    <cellStyle name="Migliaia 34 3 2 6 2" xfId="33841" xr:uid="{4D6271A2-5643-4153-8388-1C64289F1B31}"/>
    <cellStyle name="Migliaia 34 3 2 6 2 2" xfId="39350" xr:uid="{A7F3E525-3459-445B-BCFA-A2CD146567D1}"/>
    <cellStyle name="Migliaia 34 3 2 6 2 3" xfId="44652" xr:uid="{D760F0A0-AC2B-4138-B354-824E22A6C9D6}"/>
    <cellStyle name="Migliaia 34 3 2 6 3" xfId="36780" xr:uid="{25BFBA46-9FC0-4A9B-87E0-5FB7C379EA1D}"/>
    <cellStyle name="Migliaia 34 3 2 6 4" xfId="42001" xr:uid="{45F6D8F6-B2E4-4CDB-BD24-8FDAFF1F369B}"/>
    <cellStyle name="Migliaia 34 3 2 6 5" xfId="24801" xr:uid="{13CF3B75-E483-4FA7-9DF4-B5326BDFB574}"/>
    <cellStyle name="Migliaia 34 3 2 7" xfId="24799" xr:uid="{23E0A5F5-6F26-4B4E-BCB3-817B51F6EE68}"/>
    <cellStyle name="Migliaia 34 3 2 8" xfId="7455" xr:uid="{307EC4A0-060E-420F-AD7B-67A8DF2F3494}"/>
    <cellStyle name="Migliaia 34 3 3" xfId="3543" xr:uid="{F2FE8A7C-D7E1-453E-A8C1-271A57750029}"/>
    <cellStyle name="Migliaia 34 3 3 10" xfId="7454" xr:uid="{D7F09E32-DDC2-4B4C-ADA4-769C17D37B17}"/>
    <cellStyle name="Migliaia 34 3 3 2" xfId="5269" xr:uid="{B61D78DF-9D47-44B3-A363-CB2947097F80}"/>
    <cellStyle name="Migliaia 34 3 3 2 2" xfId="9936" xr:uid="{1A44F8DB-D978-4B41-A6BD-8C2915878553}"/>
    <cellStyle name="Migliaia 34 3 3 2 2 2" xfId="39352" xr:uid="{026AF8B9-A57A-457C-90EF-F19AA9A2F2F2}"/>
    <cellStyle name="Migliaia 34 3 3 2 2 3" xfId="44654" xr:uid="{8E2E72A3-F8D4-46FD-AD53-EFCB2A5DE413}"/>
    <cellStyle name="Migliaia 34 3 3 2 3" xfId="18216" xr:uid="{C75454DD-4A6B-4033-BA73-43D50229001F}"/>
    <cellStyle name="Migliaia 34 3 3 2 4" xfId="20434" xr:uid="{B8B9AE7D-89D2-4D23-A3B4-BD6BD4FBD99B}"/>
    <cellStyle name="Migliaia 34 3 3 2 4 2" xfId="42003" xr:uid="{2F5161EB-D24F-44FC-B778-330C70752088}"/>
    <cellStyle name="Migliaia 34 3 3 2 5" xfId="16433" xr:uid="{DB7D71E7-BCDA-4CBB-9893-2C078338ABEB}"/>
    <cellStyle name="Migliaia 34 3 3 2 6" xfId="8644" xr:uid="{F3DFAADB-EC30-4842-A08D-E706189B06B1}"/>
    <cellStyle name="Migliaia 34 3 3 3" xfId="6466" xr:uid="{30B46127-11E3-4D23-A115-8875A05EDFA5}"/>
    <cellStyle name="Migliaia 34 3 3 3 2" xfId="33843" xr:uid="{8E7831A7-5E9D-423E-83A6-CFE8C7D97D81}"/>
    <cellStyle name="Migliaia 34 3 3 3 2 2" xfId="39353" xr:uid="{41B3C328-D3A7-4D9A-AC03-58DD04850161}"/>
    <cellStyle name="Migliaia 34 3 3 3 2 3" xfId="44655" xr:uid="{8C1F9CAC-C05E-485B-86A4-691AA09E9C51}"/>
    <cellStyle name="Migliaia 34 3 3 3 3" xfId="36782" xr:uid="{DE24CB78-19D7-4A6C-90D7-ADE448A67B4A}"/>
    <cellStyle name="Migliaia 34 3 3 3 4" xfId="42004" xr:uid="{89F59071-1420-43B9-8B59-39D6A6FDB4CA}"/>
    <cellStyle name="Migliaia 34 3 3 3 5" xfId="9699" xr:uid="{BF4C4282-B52E-4A2E-BA40-3E00EA0FA5E0}"/>
    <cellStyle name="Migliaia 34 3 3 4" xfId="20433" xr:uid="{55029C37-88C7-466E-8CAD-CE5617ED1BB3}"/>
    <cellStyle name="Migliaia 34 3 3 4 2" xfId="33844" xr:uid="{E3D175E5-65AC-4D87-89A4-75ED0B54FDC8}"/>
    <cellStyle name="Migliaia 34 3 3 4 2 2" xfId="39354" xr:uid="{BF2BAF69-CBA1-4A61-892D-FB7CEC301D3A}"/>
    <cellStyle name="Migliaia 34 3 3 4 2 3" xfId="44656" xr:uid="{6D9533A5-E037-4BBE-9A92-C5681C505C9D}"/>
    <cellStyle name="Migliaia 34 3 3 4 3" xfId="36783" xr:uid="{B307DE65-8F7B-4D2E-86D5-89411F5D22F4}"/>
    <cellStyle name="Migliaia 34 3 3 4 4" xfId="42005" xr:uid="{79117383-0E03-4801-92E8-C36CF34EFAC2}"/>
    <cellStyle name="Migliaia 34 3 3 4 5" xfId="24802" xr:uid="{EFA5EADE-B267-415B-988A-22252C332D68}"/>
    <cellStyle name="Migliaia 34 3 3 5" xfId="24803" xr:uid="{46D3B9F5-61A9-4F38-A331-6FF58D92BD34}"/>
    <cellStyle name="Migliaia 34 3 3 5 2" xfId="33845" xr:uid="{6D881D17-9E0D-4740-832F-6DE70D454887}"/>
    <cellStyle name="Migliaia 34 3 3 5 2 2" xfId="39355" xr:uid="{80AF3B30-1BD5-492C-9BDA-4F0D66CDA963}"/>
    <cellStyle name="Migliaia 34 3 3 5 2 3" xfId="44657" xr:uid="{81115C7D-23B9-4CD9-9C58-DE0A8C77549E}"/>
    <cellStyle name="Migliaia 34 3 3 5 3" xfId="36784" xr:uid="{307C97A3-21AE-475B-BA4D-F7408DFDEE1B}"/>
    <cellStyle name="Migliaia 34 3 3 5 4" xfId="42006" xr:uid="{7CDEC75E-30F1-46B8-8718-56A974685B01}"/>
    <cellStyle name="Migliaia 34 3 3 6" xfId="33842" xr:uid="{205F084D-FFAB-47C6-96D2-7C096E34C568}"/>
    <cellStyle name="Migliaia 34 3 3 6 2" xfId="39351" xr:uid="{B48C715A-CD08-4A8E-AFF8-4220F9484A9D}"/>
    <cellStyle name="Migliaia 34 3 3 6 3" xfId="44653" xr:uid="{377A555A-94D4-4676-BEBA-909837F71F6E}"/>
    <cellStyle name="Migliaia 34 3 3 7" xfId="36781" xr:uid="{ED12F98C-EEFB-45BF-996B-47E3DD6995DB}"/>
    <cellStyle name="Migliaia 34 3 3 8" xfId="42002" xr:uid="{F9CB8381-F5F3-4D8C-9028-E09497AE7371}"/>
    <cellStyle name="Migliaia 34 3 3 9" xfId="16432" xr:uid="{ECFC188B-7198-4720-920D-FCBBB245ECE9}"/>
    <cellStyle name="Migliaia 34 3 4" xfId="3544" xr:uid="{ADABA363-FAB2-4C0E-957F-A52E5AC4DB0A}"/>
    <cellStyle name="Migliaia 34 3 4 2" xfId="5270" xr:uid="{D1793F4F-335D-402A-89BE-7DFA7923982A}"/>
    <cellStyle name="Migliaia 34 3 4 2 2" xfId="14450" xr:uid="{2D5A4E06-9CB9-435E-91A1-998CED552E0B}"/>
    <cellStyle name="Migliaia 34 3 4 2 3" xfId="18563" xr:uid="{23373CAA-A12B-4DD8-AE18-2E286167A53F}"/>
    <cellStyle name="Migliaia 34 3 4 2 4" xfId="20436" xr:uid="{282EE62E-FE0C-420A-B886-116E92DFB71F}"/>
    <cellStyle name="Migliaia 34 3 4 2 5" xfId="32385" xr:uid="{4054D2F7-BE77-4DF2-A059-A5254A5DD995}"/>
    <cellStyle name="Migliaia 34 3 4 2 6" xfId="16435" xr:uid="{4595E0EA-1B48-4208-B725-0BCA1FB3C322}"/>
    <cellStyle name="Migliaia 34 3 4 2 7" xfId="8873" xr:uid="{A63F0EF4-0EEF-4709-9216-12AAC3007BCD}"/>
    <cellStyle name="Migliaia 34 3 4 3" xfId="6467" xr:uid="{C055AA84-91EF-4144-9DBE-A57B5618E207}"/>
    <cellStyle name="Migliaia 34 3 4 3 2" xfId="35314" xr:uid="{78281863-4175-4805-B8F3-A7A625D43F9D}"/>
    <cellStyle name="Migliaia 34 3 4 3 2 2" xfId="40474" xr:uid="{16B1C900-C410-4B6D-90F8-03CEEB665FFF}"/>
    <cellStyle name="Migliaia 34 3 4 3 2 3" xfId="45776" xr:uid="{92B773C0-CCB6-451F-B496-1A71413A106D}"/>
    <cellStyle name="Migliaia 34 3 4 3 3" xfId="37823" xr:uid="{09DBF291-D70C-416F-9F2F-1897AD7B7D88}"/>
    <cellStyle name="Migliaia 34 3 4 3 4" xfId="43125" xr:uid="{40B9C766-3198-4E7A-98C5-5CBE84C3BE4E}"/>
    <cellStyle name="Migliaia 34 3 4 3 5" xfId="13698" xr:uid="{3FA596FF-E713-4A33-A244-8ECC84CFA47B}"/>
    <cellStyle name="Migliaia 34 3 4 4" xfId="20435" xr:uid="{69C94934-B89D-4203-9AC5-C3CBAD183AF0}"/>
    <cellStyle name="Migliaia 34 3 4 4 2" xfId="39356" xr:uid="{576638C7-AE12-41B7-AF33-F8C820322DE5}"/>
    <cellStyle name="Migliaia 34 3 4 4 3" xfId="44658" xr:uid="{CCD619EB-53FF-42B5-8E4D-76749A5457DF}"/>
    <cellStyle name="Migliaia 34 3 4 4 4" xfId="33846" xr:uid="{C31D6FD7-E827-4E71-86F5-B815B74C9586}"/>
    <cellStyle name="Migliaia 34 3 4 5" xfId="36785" xr:uid="{FB00F9BA-1062-493C-A84B-7CB00779727A}"/>
    <cellStyle name="Migliaia 34 3 4 6" xfId="42007" xr:uid="{132B2B18-43A1-4FC8-B211-E421B7935F44}"/>
    <cellStyle name="Migliaia 34 3 4 7" xfId="16434" xr:uid="{1D8415D4-9E74-41D6-A001-05A56B8C9A7D}"/>
    <cellStyle name="Migliaia 34 3 4 8" xfId="7683" xr:uid="{45E60EBC-AC59-4053-9FCB-E925273E0D11}"/>
    <cellStyle name="Migliaia 34 3 5" xfId="3545" xr:uid="{1D8E9405-A699-4036-9CDB-360D68331B24}"/>
    <cellStyle name="Migliaia 34 3 5 2" xfId="5271" xr:uid="{84FDB9C1-29A7-4962-A13C-701B8297EEE1}"/>
    <cellStyle name="Migliaia 34 3 5 2 2" xfId="35315" xr:uid="{6AB334DB-11F5-457F-88ED-FA01A772B2AE}"/>
    <cellStyle name="Migliaia 34 3 5 2 2 2" xfId="40475" xr:uid="{D260095C-50CE-4234-8D33-AFF0EC9FB642}"/>
    <cellStyle name="Migliaia 34 3 5 2 2 3" xfId="45777" xr:uid="{19BC8E68-9F68-43B8-B484-2EE5022AD58C}"/>
    <cellStyle name="Migliaia 34 3 5 2 3" xfId="37824" xr:uid="{9691BC07-BE32-43D6-98BD-D2A8A8265B1F}"/>
    <cellStyle name="Migliaia 34 3 5 2 4" xfId="43126" xr:uid="{46FE9C2E-58F6-458F-B87C-8F794AAE713E}"/>
    <cellStyle name="Migliaia 34 3 5 2 5" xfId="14262" xr:uid="{6CC7B196-D647-40FC-BADB-CCDCFF035677}"/>
    <cellStyle name="Migliaia 34 3 5 3" xfId="6468" xr:uid="{6BE54B96-0C5D-40E6-B975-DBCF9C65414E}"/>
    <cellStyle name="Migliaia 34 3 5 3 2" xfId="39357" xr:uid="{2AB99CF2-40F4-422D-BA0F-E81906730134}"/>
    <cellStyle name="Migliaia 34 3 5 3 3" xfId="44659" xr:uid="{DE95A251-33D4-4CF1-9D7A-A6A517008729}"/>
    <cellStyle name="Migliaia 34 3 5 3 4" xfId="33847" xr:uid="{13145DF8-84CF-417B-8121-756292DC3A68}"/>
    <cellStyle name="Migliaia 34 3 5 3 5" xfId="20437" xr:uid="{2C2735B0-E709-4D68-929E-935802AB8E19}"/>
    <cellStyle name="Migliaia 34 3 5 4" xfId="36786" xr:uid="{9871999C-FC68-411F-968E-68BF2B3A8C24}"/>
    <cellStyle name="Migliaia 34 3 5 5" xfId="42008" xr:uid="{BA1ECF34-625C-45DC-B3C9-0F14E117600A}"/>
    <cellStyle name="Migliaia 34 3 5 6" xfId="16436" xr:uid="{5D1D6F95-A0D4-45C9-849E-56A08A84F5C4}"/>
    <cellStyle name="Migliaia 34 3 5 7" xfId="8324" xr:uid="{EF3EA36C-48E3-419E-94E8-005CB0BF320E}"/>
    <cellStyle name="Migliaia 34 3 6" xfId="5266" xr:uid="{18763EDC-4C27-43E4-BB74-325938A534EB}"/>
    <cellStyle name="Migliaia 34 3 6 2" xfId="13967" xr:uid="{A961BB2C-3A18-4A65-BC3D-CD4A46500D59}"/>
    <cellStyle name="Migliaia 34 3 6 2 2" xfId="39358" xr:uid="{A81DC99B-BD61-44C4-9C7D-192D34E83D3B}"/>
    <cellStyle name="Migliaia 34 3 6 2 3" xfId="44660" xr:uid="{3990F1AC-8F92-4EDE-8528-51595ED657D9}"/>
    <cellStyle name="Migliaia 34 3 6 3" xfId="18287" xr:uid="{9A824B65-2EE6-49DA-89A0-3C1984F26551}"/>
    <cellStyle name="Migliaia 34 3 6 4" xfId="20438" xr:uid="{8D71C902-B392-4FB8-A6B1-812678CDA7EA}"/>
    <cellStyle name="Migliaia 34 3 6 4 2" xfId="42009" xr:uid="{DEB9DAF7-3532-4826-814B-81B60E214948}"/>
    <cellStyle name="Migliaia 34 3 6 5" xfId="16437" xr:uid="{7C263C05-61E4-45F8-BC13-DF22CBEB7DFF}"/>
    <cellStyle name="Migliaia 34 3 6 6" xfId="7932" xr:uid="{41B9EBC9-9151-4DF2-AA8B-C361D89C1E2E}"/>
    <cellStyle name="Migliaia 34 3 7" xfId="6463" xr:uid="{E244BB2C-58A0-45A9-947F-FE9D080E68B2}"/>
    <cellStyle name="Migliaia 34 3 7 2" xfId="33848" xr:uid="{3C679071-6A77-4AC7-B001-6D65673E63B1}"/>
    <cellStyle name="Migliaia 34 3 7 2 2" xfId="39359" xr:uid="{26D3A9E6-3B38-4D6F-B9C7-D4D927596D0A}"/>
    <cellStyle name="Migliaia 34 3 7 2 3" xfId="44661" xr:uid="{55E16693-9966-4BD4-8B54-E6C1D6BA4718}"/>
    <cellStyle name="Migliaia 34 3 7 3" xfId="36787" xr:uid="{4CFCC0F1-C42B-4E2F-BDA5-73BBFA4B01E9}"/>
    <cellStyle name="Migliaia 34 3 7 4" xfId="42010" xr:uid="{21EBDBE0-E258-442D-82D6-91814A7A93F2}"/>
    <cellStyle name="Migliaia 34 3 7 5" xfId="12281" xr:uid="{42BB648D-FF76-4749-AE22-0B6CB05B45EA}"/>
    <cellStyle name="Migliaia 34 3 8" xfId="3540" xr:uid="{57F49CDF-D5EC-498E-AEB3-A088D33E8E1B}"/>
    <cellStyle name="Migliaia 34 3 8 2" xfId="33849" xr:uid="{D634CE6A-F83E-41EE-991D-8E64C5E08D50}"/>
    <cellStyle name="Migliaia 34 3 8 2 2" xfId="39360" xr:uid="{C56CBC05-E4FF-4E4C-B50D-9A2F4DB9F6AD}"/>
    <cellStyle name="Migliaia 34 3 8 2 3" xfId="44662" xr:uid="{84C64998-0A9F-4B1E-A577-BA470E47C5B2}"/>
    <cellStyle name="Migliaia 34 3 8 3" xfId="36788" xr:uid="{A35A7927-B8FD-45C5-9DE5-531BBA882A95}"/>
    <cellStyle name="Migliaia 34 3 8 4" xfId="42011" xr:uid="{E4B6669C-5B89-4846-B41A-0303F740DE0E}"/>
    <cellStyle name="Migliaia 34 3 8 5" xfId="24804" xr:uid="{B22E6DE4-B80D-418B-8B85-C866402007EB}"/>
    <cellStyle name="Migliaia 34 3 8 6" xfId="17346" xr:uid="{BC0553A9-D722-4D23-A53F-7F31B523727A}"/>
    <cellStyle name="Migliaia 34 3 9" xfId="20429" xr:uid="{F9B49BA6-AB9A-41D0-AF52-460C6B28F6D7}"/>
    <cellStyle name="Migliaia 34 4" xfId="1793" xr:uid="{00000000-0005-0000-0000-0000B8030000}"/>
    <cellStyle name="Migliaia 34 4 2" xfId="1794" xr:uid="{00000000-0005-0000-0000-0000B9030000}"/>
    <cellStyle name="Migliaia 34 4 2 2" xfId="5273" xr:uid="{5391FA8B-CCCE-4A27-B416-630FF6B5EAD3}"/>
    <cellStyle name="Migliaia 34 4 2 2 2" xfId="33850" xr:uid="{84C26CB8-E899-4EDB-A5BC-CAA37790EF5E}"/>
    <cellStyle name="Migliaia 34 4 2 2 2 2" xfId="39361" xr:uid="{4E7EEAAF-289B-4714-B349-04605BF5D887}"/>
    <cellStyle name="Migliaia 34 4 2 2 2 3" xfId="44663" xr:uid="{B31A905B-71AD-451E-8B8F-46E0E52ED655}"/>
    <cellStyle name="Migliaia 34 4 2 2 3" xfId="36789" xr:uid="{33E6111D-748B-4EC3-AAEF-FAEA5B979CBE}"/>
    <cellStyle name="Migliaia 34 4 2 2 4" xfId="42012" xr:uid="{9F1D7BAC-8A4C-4537-80C9-D798519CB697}"/>
    <cellStyle name="Migliaia 34 4 2 2 5" xfId="9162" xr:uid="{E3CE6559-1214-4F94-890C-EF728F969A4A}"/>
    <cellStyle name="Migliaia 34 4 2 3" xfId="3547" xr:uid="{33F31E3C-F248-4D8E-A31F-6F0760878D8B}"/>
    <cellStyle name="Migliaia 34 4 2 3 2" xfId="33851" xr:uid="{5EBBF73D-3C7A-4AA0-BAA6-86D74BD75981}"/>
    <cellStyle name="Migliaia 34 4 2 3 2 2" xfId="39362" xr:uid="{8C036DB8-F0E7-4BA4-98CE-9B30F45DDE57}"/>
    <cellStyle name="Migliaia 34 4 2 3 2 3" xfId="44664" xr:uid="{C7F8BD96-9ED5-4A21-B69D-F3836BC58B17}"/>
    <cellStyle name="Migliaia 34 4 2 3 3" xfId="36790" xr:uid="{C85BF1E0-A5CF-4AD9-A3F3-0630821947E2}"/>
    <cellStyle name="Migliaia 34 4 2 3 4" xfId="42013" xr:uid="{75C0BE7B-6624-4A4F-84B9-AF65475E609A}"/>
    <cellStyle name="Migliaia 34 4 2 3 5" xfId="11997" xr:uid="{E6846BA7-1937-423E-B06C-8A3B578FA1F2}"/>
    <cellStyle name="Migliaia 34 4 2 4" xfId="11346" xr:uid="{E85F6D33-1B87-4320-966E-52A3B7BF545A}"/>
    <cellStyle name="Migliaia 34 4 2 5" xfId="10871" xr:uid="{627096E7-DA7F-4AEE-A1A0-A888A86A8291}"/>
    <cellStyle name="Migliaia 34 4 2 5 2" xfId="21506" xr:uid="{1D4FC610-7416-4C28-ACED-7BCE74C01236}"/>
    <cellStyle name="Migliaia 34 4 2 5 3" xfId="47702" xr:uid="{F8DAA392-5F7D-427B-A8BC-384B57BA99A3}"/>
    <cellStyle name="Migliaia 34 4 2 5 4" xfId="50521" xr:uid="{C4A81215-A68B-4A93-A2C2-D5F2DD0D2A3A}"/>
    <cellStyle name="Migliaia 34 4 2 5 5" xfId="53537" xr:uid="{B5A27F39-2F77-4E96-85E1-2A6BE4A9FBC2}"/>
    <cellStyle name="Migliaia 34 4 2 6" xfId="20440" xr:uid="{40769D0C-50F0-4040-A324-1A0E75742250}"/>
    <cellStyle name="Migliaia 34 4 2 7" xfId="24806" xr:uid="{A0654325-793C-4567-B919-5D52DB24909D}"/>
    <cellStyle name="Migliaia 34 4 2 8" xfId="8646" xr:uid="{F1217321-02C0-4EFF-BD9C-99EE931985DD}"/>
    <cellStyle name="Migliaia 34 4 3" xfId="5272" xr:uid="{F58C1C99-F4DD-4E60-8F93-4974E52AE550}"/>
    <cellStyle name="Migliaia 34 4 3 2" xfId="18217" xr:uid="{B601B266-9DB2-4CA3-B932-326C4225128C}"/>
    <cellStyle name="Migliaia 34 4 3 2 2" xfId="39363" xr:uid="{EF68D26A-973F-4FA2-988C-D657800B6F3D}"/>
    <cellStyle name="Migliaia 34 4 3 2 3" xfId="44665" xr:uid="{F5846DD8-602A-4C75-9CBE-4AC2897E0B69}"/>
    <cellStyle name="Migliaia 34 4 3 3" xfId="36791" xr:uid="{D6DCD062-A080-4126-9F68-B22FB94A0859}"/>
    <cellStyle name="Migliaia 34 4 3 4" xfId="42014" xr:uid="{AB73069F-921A-4ACD-A6E1-4A31726C1F54}"/>
    <cellStyle name="Migliaia 34 4 3 5" xfId="17344" xr:uid="{F8D7C94E-519C-49D5-9F2D-10484D287BD1}"/>
    <cellStyle name="Migliaia 34 4 3 6" xfId="9163" xr:uid="{ACB0D9A2-40D3-4AAA-87FB-D1CEB8179BA2}"/>
    <cellStyle name="Migliaia 34 4 4" xfId="6469" xr:uid="{29789B69-C4F4-47EF-BD01-49ABC9CB3BE2}"/>
    <cellStyle name="Migliaia 34 4 4 2" xfId="33852" xr:uid="{2F214897-9605-4373-B882-C77388CC1CBA}"/>
    <cellStyle name="Migliaia 34 4 4 2 2" xfId="39364" xr:uid="{8C60D851-BAB9-4C1C-9094-0B716CEE5B28}"/>
    <cellStyle name="Migliaia 34 4 4 2 3" xfId="44666" xr:uid="{35BA1DBC-641C-4210-8EED-0F316B8F3FC3}"/>
    <cellStyle name="Migliaia 34 4 4 3" xfId="36792" xr:uid="{F93212A6-F4AD-407F-AAD4-BE02321C75D4}"/>
    <cellStyle name="Migliaia 34 4 4 4" xfId="42015" xr:uid="{4CB15664-3A9C-43CC-9F86-CA54C03E12C0}"/>
    <cellStyle name="Migliaia 34 4 4 5" xfId="11998" xr:uid="{F4DC939B-61D1-460A-AFCC-4840A74DA373}"/>
    <cellStyle name="Migliaia 34 4 5" xfId="3546" xr:uid="{81D3CF87-D62C-4876-ACCA-C9D26F849ED0}"/>
    <cellStyle name="Migliaia 34 4 5 2" xfId="33853" xr:uid="{9EA19D63-A199-4E7E-B0FC-1F132C2B779E}"/>
    <cellStyle name="Migliaia 34 4 5 2 2" xfId="39365" xr:uid="{8927EE17-0BFE-48CC-A1F3-865A77B13F88}"/>
    <cellStyle name="Migliaia 34 4 5 2 3" xfId="44667" xr:uid="{49D2E71A-F853-43FA-BD5B-D795DC392F96}"/>
    <cellStyle name="Migliaia 34 4 5 3" xfId="36793" xr:uid="{30E6F94C-990A-46E0-9109-2B0DB7D51BC2}"/>
    <cellStyle name="Migliaia 34 4 5 4" xfId="42016" xr:uid="{F078B4DC-01DC-4BFB-B5A4-289E10702745}"/>
    <cellStyle name="Migliaia 34 4 5 5" xfId="11345" xr:uid="{ECCA064D-EA1E-41B8-A0D0-B2E584416671}"/>
    <cellStyle name="Migliaia 34 4 6" xfId="10870" xr:uid="{1EB1A9D5-4196-4A20-B54F-D506EC75491F}"/>
    <cellStyle name="Migliaia 34 4 6 2" xfId="21505" xr:uid="{896EB573-E6D5-4815-B88A-CF8197FDC8B1}"/>
    <cellStyle name="Migliaia 34 4 6 2 2" xfId="39366" xr:uid="{E4670957-597A-465A-8130-6CE316515FC6}"/>
    <cellStyle name="Migliaia 34 4 6 2 3" xfId="44668" xr:uid="{026EDA96-940A-4F38-87B6-00D159EDEDB6}"/>
    <cellStyle name="Migliaia 34 4 6 2 4" xfId="33854" xr:uid="{C6705C1E-07F1-4181-8021-7A2ACFF07569}"/>
    <cellStyle name="Migliaia 34 4 6 3" xfId="36794" xr:uid="{402D2CDA-98BF-4FC3-9410-32F7FEFBE52C}"/>
    <cellStyle name="Migliaia 34 4 6 4" xfId="42017" xr:uid="{3F570073-3D61-4AFB-B3E0-590058B82241}"/>
    <cellStyle name="Migliaia 34 4 6 5" xfId="24807" xr:uid="{60E49C58-AE5E-4F6B-98DC-B64EF5C0BE8C}"/>
    <cellStyle name="Migliaia 34 4 6 6" xfId="48546" xr:uid="{58C9EA80-CE6C-423F-A2BD-C288A699A3C1}"/>
    <cellStyle name="Migliaia 34 4 6 7" xfId="50520" xr:uid="{872BF59A-1469-4EB4-8B5B-C700E08D9352}"/>
    <cellStyle name="Migliaia 34 4 6 8" xfId="53536" xr:uid="{024ED4E2-FE0D-4E0F-BE4D-644A114B8839}"/>
    <cellStyle name="Migliaia 34 4 7" xfId="20439" xr:uid="{0A57AFF0-A2C7-40E9-9CA3-3CDD7C98FD7A}"/>
    <cellStyle name="Migliaia 34 4 7 2" xfId="33855" xr:uid="{2505402E-5558-4DAB-BE51-58C306CE756B}"/>
    <cellStyle name="Migliaia 34 4 7 2 2" xfId="39367" xr:uid="{960107BF-C979-4464-BA1F-EF837CE2299F}"/>
    <cellStyle name="Migliaia 34 4 7 2 3" xfId="44669" xr:uid="{A7E2FC78-F031-4A0E-8128-60070394E19B}"/>
    <cellStyle name="Migliaia 34 4 7 3" xfId="36795" xr:uid="{9327EE45-6761-4575-B742-B9E23DCB93F3}"/>
    <cellStyle name="Migliaia 34 4 7 4" xfId="42018" xr:uid="{79AAEF4A-3F74-4D46-8934-F0D6BED353A2}"/>
    <cellStyle name="Migliaia 34 4 7 5" xfId="24808" xr:uid="{FC79501C-E198-48D0-AE63-5458490B8F19}"/>
    <cellStyle name="Migliaia 34 4 8" xfId="24805" xr:uid="{C83230BF-4999-4048-B3ED-96940BF0296A}"/>
    <cellStyle name="Migliaia 34 4 9" xfId="7456" xr:uid="{5E5E2F25-05D7-4F73-A3C9-50B3C056EE65}"/>
    <cellStyle name="Migliaia 34 5" xfId="1795" xr:uid="{00000000-0005-0000-0000-0000BA030000}"/>
    <cellStyle name="Migliaia 34 5 2" xfId="5274" xr:uid="{FBE8A5E5-C5E3-442B-A100-B86B1FA38481}"/>
    <cellStyle name="Migliaia 34 5 2 2" xfId="18445" xr:uid="{73FCA4F5-68D7-4EB1-9D24-C163B086290A}"/>
    <cellStyle name="Migliaia 34 5 2 2 2" xfId="39368" xr:uid="{837DF480-0B5C-4CBA-8CCB-C8CE7417C69E}"/>
    <cellStyle name="Migliaia 34 5 2 2 3" xfId="44670" xr:uid="{CCA8F51A-86EB-488E-978D-3A8E0ED916F9}"/>
    <cellStyle name="Migliaia 34 5 2 3" xfId="20442" xr:uid="{1A0C170F-9366-48B7-A8E1-E00D6990F980}"/>
    <cellStyle name="Migliaia 34 5 2 3 2" xfId="36796" xr:uid="{22F7BF89-A54F-4831-AE48-E60000958DD8}"/>
    <cellStyle name="Migliaia 34 5 2 4" xfId="42019" xr:uid="{AFA51853-41D0-4057-9324-10F8AFAFA7B4}"/>
    <cellStyle name="Migliaia 34 5 2 5" xfId="16438" xr:uid="{67CF872E-BBFB-4CFC-B250-5CCC5997D79D}"/>
    <cellStyle name="Migliaia 34 5 2 6" xfId="8647" xr:uid="{582F8BF8-9EDA-4161-8A15-5F4973BA855C}"/>
    <cellStyle name="Migliaia 34 5 3" xfId="6470" xr:uid="{D2875655-9A19-49BD-B7D3-E1CC7EC27C6D}"/>
    <cellStyle name="Migliaia 34 5 3 2" xfId="33856" xr:uid="{EF018503-C136-4280-BB74-CA79967786B5}"/>
    <cellStyle name="Migliaia 34 5 3 2 2" xfId="39369" xr:uid="{C479B8E4-BE4E-4CB5-BE21-BD30C62FBFE6}"/>
    <cellStyle name="Migliaia 34 5 3 2 3" xfId="44671" xr:uid="{FB2256B8-115A-45F2-9AB9-DA80CB154DAD}"/>
    <cellStyle name="Migliaia 34 5 3 3" xfId="36797" xr:uid="{D4EE71CD-1841-453B-A080-AE7E36DC8983}"/>
    <cellStyle name="Migliaia 34 5 3 4" xfId="42020" xr:uid="{50AF2744-1AB0-4BD4-9C85-72CC813A75D7}"/>
    <cellStyle name="Migliaia 34 5 3 5" xfId="11347" xr:uid="{24C449A1-69B2-42C3-8CE9-24F441C3219D}"/>
    <cellStyle name="Migliaia 34 5 4" xfId="3548" xr:uid="{D194646A-0E18-4E1A-8E48-D1437967D5B9}"/>
    <cellStyle name="Migliaia 34 5 4 2" xfId="21507" xr:uid="{30AF8E55-AC3F-4E48-AD6F-9E1082B5DF88}"/>
    <cellStyle name="Migliaia 34 5 4 2 2" xfId="39370" xr:uid="{08599CC6-4156-42BF-8D81-541ECCF74432}"/>
    <cellStyle name="Migliaia 34 5 4 2 3" xfId="44672" xr:uid="{1BF43E0C-233D-4FE8-B289-0F839FCC50EE}"/>
    <cellStyle name="Migliaia 34 5 4 2 4" xfId="33857" xr:uid="{D89413F6-EE2E-4A7D-9344-206EAF605C25}"/>
    <cellStyle name="Migliaia 34 5 4 3" xfId="36798" xr:uid="{51CF0855-8537-42C6-B18F-E6290EF31F0C}"/>
    <cellStyle name="Migliaia 34 5 4 4" xfId="42021" xr:uid="{4471DEA9-9AB9-4286-840E-64E776061940}"/>
    <cellStyle name="Migliaia 34 5 4 5" xfId="24810" xr:uid="{D9E0AA1B-170F-4F29-862B-1B18434861BC}"/>
    <cellStyle name="Migliaia 34 5 4 6" xfId="48238" xr:uid="{3AED3827-8653-4447-A121-555051684A36}"/>
    <cellStyle name="Migliaia 34 5 4 7" xfId="50522" xr:uid="{7D9C6CA9-0BA8-421F-A9BB-2867F92C3225}"/>
    <cellStyle name="Migliaia 34 5 4 8" xfId="53538" xr:uid="{5B5CA80A-471A-49C9-8B0A-D87253997A30}"/>
    <cellStyle name="Migliaia 34 5 4 9" xfId="10872" xr:uid="{A60D6AB7-87E6-4BC8-82F4-9E3CE7CC67D7}"/>
    <cellStyle name="Migliaia 34 5 5" xfId="20441" xr:uid="{ADF42C51-FFCE-4A80-A81E-B468A120EFF5}"/>
    <cellStyle name="Migliaia 34 5 5 2" xfId="33858" xr:uid="{2F2532C1-F7D0-4530-8AB9-072D421373E2}"/>
    <cellStyle name="Migliaia 34 5 5 2 2" xfId="39371" xr:uid="{E6618587-1B54-4BE0-B232-B8D51D6BADD0}"/>
    <cellStyle name="Migliaia 34 5 5 2 3" xfId="44673" xr:uid="{204AA2F5-FE1D-4221-8457-AEC08DF5031D}"/>
    <cellStyle name="Migliaia 34 5 5 3" xfId="36799" xr:uid="{54F37523-E72A-45FA-A64A-39800B351710}"/>
    <cellStyle name="Migliaia 34 5 5 4" xfId="42022" xr:uid="{75820485-45AD-44C7-8599-752AECD29073}"/>
    <cellStyle name="Migliaia 34 5 5 5" xfId="24811" xr:uid="{F515760E-185C-4A9A-8968-008DCCA26C71}"/>
    <cellStyle name="Migliaia 34 5 6" xfId="24812" xr:uid="{5055A003-72C5-4BB0-A97D-28F5D61B5742}"/>
    <cellStyle name="Migliaia 34 5 6 2" xfId="33859" xr:uid="{D3E9C3D3-13BC-4A24-A8A7-47A190F3A64B}"/>
    <cellStyle name="Migliaia 34 5 6 2 2" xfId="39372" xr:uid="{0592D6C3-18C5-4A01-B1CD-04F5230C0304}"/>
    <cellStyle name="Migliaia 34 5 6 2 3" xfId="44674" xr:uid="{63628A63-B1A6-4716-8108-969475FD23DF}"/>
    <cellStyle name="Migliaia 34 5 6 3" xfId="36800" xr:uid="{083B3618-2270-4178-80A1-584A46BA2839}"/>
    <cellStyle name="Migliaia 34 5 6 4" xfId="42023" xr:uid="{187DF888-623F-43FD-99C9-22F84A14FF34}"/>
    <cellStyle name="Migliaia 34 5 7" xfId="24809" xr:uid="{957807A6-2521-49E2-9739-0880E568826C}"/>
    <cellStyle name="Migliaia 34 5 8" xfId="7457" xr:uid="{4DF1E9CC-A6CD-423B-953B-719E488E7034}"/>
    <cellStyle name="Migliaia 34 6" xfId="3549" xr:uid="{A4050135-B0DE-4841-AB5C-AC54FF248931}"/>
    <cellStyle name="Migliaia 34 6 2" xfId="5275" xr:uid="{2B418228-5F27-43B2-B33C-0C35450C61D9}"/>
    <cellStyle name="Migliaia 34 6 2 2" xfId="9935" xr:uid="{812A7DF7-9F4D-49A3-9CD7-7860D53FDB07}"/>
    <cellStyle name="Migliaia 34 6 2 3" xfId="18653" xr:uid="{AE4187EB-D8EE-4F1F-9957-C97D02512D16}"/>
    <cellStyle name="Migliaia 34 6 2 4" xfId="20444" xr:uid="{EA91DEE0-77F3-4087-87E6-40394CA30DF0}"/>
    <cellStyle name="Migliaia 34 6 2 5" xfId="32386" xr:uid="{0C924C2C-0A87-40A3-85F4-C1DF474B4F95}"/>
    <cellStyle name="Migliaia 34 6 2 6" xfId="16440" xr:uid="{34EEBBCA-AD96-45A9-B0BB-089BCDEE895F}"/>
    <cellStyle name="Migliaia 34 6 2 7" xfId="8642" xr:uid="{2E7B403C-8E52-49D3-A871-A9FA3FFF883F}"/>
    <cellStyle name="Migliaia 34 6 3" xfId="6471" xr:uid="{C9CA7FC3-6BC4-49BE-9E41-E066AEB410A7}"/>
    <cellStyle name="Migliaia 34 6 3 2" xfId="35316" xr:uid="{0F0EC4F0-EB03-4296-9ABA-3FE4CFC8F351}"/>
    <cellStyle name="Migliaia 34 6 3 2 2" xfId="40476" xr:uid="{DB9A956E-C1FC-4634-95CF-69289B229B07}"/>
    <cellStyle name="Migliaia 34 6 3 2 3" xfId="45778" xr:uid="{C701858A-C87C-4BC6-BBF9-E56118BA7EE7}"/>
    <cellStyle name="Migliaia 34 6 3 3" xfId="37825" xr:uid="{9741F9B9-6DFB-4192-80A9-648318E32CF9}"/>
    <cellStyle name="Migliaia 34 6 3 4" xfId="43127" xr:uid="{02D55158-EC9A-423B-8D94-72FB9F46CA50}"/>
    <cellStyle name="Migliaia 34 6 3 5" xfId="9698" xr:uid="{B0E61DAD-A9BA-4FEA-ABC1-38A2B0AB66A1}"/>
    <cellStyle name="Migliaia 34 6 4" xfId="20443" xr:uid="{C6A76169-8CD5-47D1-858C-0E4E3EF96186}"/>
    <cellStyle name="Migliaia 34 6 4 2" xfId="39373" xr:uid="{27DD12C1-57E9-4C0A-843E-276A9D2898B9}"/>
    <cellStyle name="Migliaia 34 6 4 3" xfId="44675" xr:uid="{440719D0-BF0F-4B7D-85EB-FF19F75F9424}"/>
    <cellStyle name="Migliaia 34 6 4 4" xfId="33860" xr:uid="{5A37D7A2-5C53-408C-BE04-85535DEFB90B}"/>
    <cellStyle name="Migliaia 34 6 5" xfId="36801" xr:uid="{3EFFC2C1-C485-4F35-8C40-1E570BBA1340}"/>
    <cellStyle name="Migliaia 34 6 6" xfId="42024" xr:uid="{B5AFAA31-1074-4E46-B6DF-9A8D29FA53ED}"/>
    <cellStyle name="Migliaia 34 6 7" xfId="16439" xr:uid="{6ABD409D-9B29-4164-B77F-B207EB2A2A7F}"/>
    <cellStyle name="Migliaia 34 6 8" xfId="7452" xr:uid="{6E7A8FF3-4B21-42BC-B706-A3B34A64CC37}"/>
    <cellStyle name="Migliaia 34 7" xfId="3550" xr:uid="{A05EB219-69C9-4C79-B9AE-C21992F1CF7C}"/>
    <cellStyle name="Migliaia 34 7 2" xfId="5276" xr:uid="{A4414389-45DD-4A9C-A288-350F9D91AA13}"/>
    <cellStyle name="Migliaia 34 7 2 2" xfId="35317" xr:uid="{6486D916-657C-4F91-A8D1-4534C0091EA5}"/>
    <cellStyle name="Migliaia 34 7 2 2 2" xfId="40477" xr:uid="{8C3BEE34-EBA2-480A-AD59-F16E9328F56C}"/>
    <cellStyle name="Migliaia 34 7 2 2 3" xfId="45779" xr:uid="{80C296EA-E357-4176-ABDA-E840D2D7B9FD}"/>
    <cellStyle name="Migliaia 34 7 2 3" xfId="37826" xr:uid="{E28F8DC9-5FAA-4453-B2B8-882F4E06519E}"/>
    <cellStyle name="Migliaia 34 7 2 4" xfId="43128" xr:uid="{D6DD0DB1-1FA7-46CE-B406-C2B7E5840C8A}"/>
    <cellStyle name="Migliaia 34 7 2 5" xfId="14260" xr:uid="{F9A61114-7A1A-4AF1-B856-5A5870CEB3E1}"/>
    <cellStyle name="Migliaia 34 7 3" xfId="6472" xr:uid="{98CCE90A-9C92-410C-84D8-08EC10B6E0C5}"/>
    <cellStyle name="Migliaia 34 7 3 2" xfId="39374" xr:uid="{006476AB-E71F-479C-96D6-D988AD6BC7FA}"/>
    <cellStyle name="Migliaia 34 7 3 3" xfId="44676" xr:uid="{0E5D9334-C3D7-4562-856E-1FD702647FCB}"/>
    <cellStyle name="Migliaia 34 7 3 4" xfId="33861" xr:uid="{DA1B4B09-566C-4033-BD7E-CE3944129414}"/>
    <cellStyle name="Migliaia 34 7 3 5" xfId="20445" xr:uid="{527DAD53-96DB-4931-9960-9DDAE78F9364}"/>
    <cellStyle name="Migliaia 34 7 4" xfId="36802" xr:uid="{E006328D-AF35-4666-84CB-A76795D64814}"/>
    <cellStyle name="Migliaia 34 7 5" xfId="42025" xr:uid="{2FB1333E-5EF3-4741-B3DE-B422AC22DCD6}"/>
    <cellStyle name="Migliaia 34 7 6" xfId="16441" xr:uid="{3B639952-A3AA-43C0-9478-36DF6B2031B8}"/>
    <cellStyle name="Migliaia 34 7 7" xfId="8322" xr:uid="{14277FB3-B855-469E-8ABA-FCF71B7CDF50}"/>
    <cellStyle name="Migliaia 34 8" xfId="3551" xr:uid="{2516E43D-BD86-4BF0-AF11-AE0FECD83967}"/>
    <cellStyle name="Migliaia 34 8 2" xfId="5277" xr:uid="{BA21AC21-14EC-4A6C-A371-5BE7F2FB1F33}"/>
    <cellStyle name="Migliaia 34 8 2 2" xfId="35318" xr:uid="{8FFD30DB-DD10-435D-9292-EA5BD49BA11A}"/>
    <cellStyle name="Migliaia 34 8 2 2 2" xfId="40478" xr:uid="{6A94FB3C-D2C6-4F40-9EB7-9494203B2C2B}"/>
    <cellStyle name="Migliaia 34 8 2 2 3" xfId="45780" xr:uid="{B10BB6C6-9B11-44D3-9D51-BA63D5C56807}"/>
    <cellStyle name="Migliaia 34 8 2 3" xfId="37827" xr:uid="{5BA62EEF-2E7C-492D-8950-3C98A3A6C9F9}"/>
    <cellStyle name="Migliaia 34 8 2 4" xfId="43129" xr:uid="{E96616A9-2C47-44D0-ADDD-A87F6B3840AD}"/>
    <cellStyle name="Migliaia 34 8 2 5" xfId="13965" xr:uid="{B2A47B36-ECA9-4E26-A8EB-FFA3BBAEDCAD}"/>
    <cellStyle name="Migliaia 34 8 3" xfId="6473" xr:uid="{9E733782-29FA-4D3A-9EEE-21832632F75D}"/>
    <cellStyle name="Migliaia 34 8 3 2" xfId="39375" xr:uid="{05F259BC-6FDB-480A-BB01-CFFE3098DC45}"/>
    <cellStyle name="Migliaia 34 8 3 3" xfId="44677" xr:uid="{CC5B50BE-73BE-4DA8-A51A-C5A437A5056E}"/>
    <cellStyle name="Migliaia 34 8 3 4" xfId="33862" xr:uid="{77397314-765B-4986-9AA6-15256AE124FB}"/>
    <cellStyle name="Migliaia 34 8 3 5" xfId="20446" xr:uid="{E7154CE7-4EFC-485F-A879-048DE4206689}"/>
    <cellStyle name="Migliaia 34 8 4" xfId="36803" xr:uid="{D1609BC7-5BBE-4D0B-B2F1-CFBA0F7DF2F7}"/>
    <cellStyle name="Migliaia 34 8 5" xfId="42026" xr:uid="{F85460A4-3526-4CB7-899D-CEB57BEA37BF}"/>
    <cellStyle name="Migliaia 34 8 6" xfId="16442" xr:uid="{58F8F101-F3CF-44D8-8B2E-0C6E05B8C199}"/>
    <cellStyle name="Migliaia 34 8 7" xfId="7930" xr:uid="{863A9140-ED79-47AA-B544-ADF83C677FBD}"/>
    <cellStyle name="Migliaia 34 9" xfId="5262" xr:uid="{07A759CF-0333-432A-A54E-E9C8E9254EEE}"/>
    <cellStyle name="Migliaia 34 9 2" xfId="33863" xr:uid="{1FF04FB2-5B2E-4722-BCA2-D15A906173E9}"/>
    <cellStyle name="Migliaia 34 9 2 2" xfId="39376" xr:uid="{E4B7D7A2-5C68-42CB-90E1-7108D454F686}"/>
    <cellStyle name="Migliaia 34 9 2 3" xfId="44678" xr:uid="{F64D7F0E-239F-48F6-B276-31F100E0B81B}"/>
    <cellStyle name="Migliaia 34 9 3" xfId="36804" xr:uid="{6F72162D-D305-4909-9C24-C2E804D43691}"/>
    <cellStyle name="Migliaia 34 9 4" xfId="42027" xr:uid="{0E3A3ACB-BB53-455D-B052-1572AAF3E1E4}"/>
    <cellStyle name="Migliaia 34 9 5" xfId="17189" xr:uid="{90494DE3-0DE7-4561-952B-8C74B3B3C7AB}"/>
    <cellStyle name="Migliaia 35" xfId="413" xr:uid="{00000000-0005-0000-0000-0000BB030000}"/>
    <cellStyle name="Migliaia 35 10" xfId="6474" xr:uid="{5E8EE2AD-923A-4CF6-A96C-388B3E81A18C}"/>
    <cellStyle name="Migliaia 35 10 2" xfId="39377" xr:uid="{77F5B681-A036-401C-94DC-00A325914524}"/>
    <cellStyle name="Migliaia 35 10 3" xfId="44679" xr:uid="{762C4F49-7876-4D7C-AA32-3DDB0F2921D7}"/>
    <cellStyle name="Migliaia 35 10 4" xfId="33864" xr:uid="{7791F643-8398-43B4-A86D-B064C7575E03}"/>
    <cellStyle name="Migliaia 35 10 5" xfId="20447" xr:uid="{BC855C4C-046F-493C-9C82-0F6BE05AF98F}"/>
    <cellStyle name="Migliaia 35 11" xfId="3552" xr:uid="{A2C4153E-04F0-4796-8878-0E68B1BA565A}"/>
    <cellStyle name="Migliaia 35 11 2" xfId="36805" xr:uid="{55034F17-FF7E-41A2-9E81-DFD8AE51DF86}"/>
    <cellStyle name="Migliaia 35 12" xfId="42028" xr:uid="{1B6D8A76-7966-4E71-8AA5-971DD5888893}"/>
    <cellStyle name="Migliaia 35 13" xfId="7126" xr:uid="{EC694870-57D8-4C1B-922E-8F51E88F455B}"/>
    <cellStyle name="Migliaia 35 2" xfId="414" xr:uid="{00000000-0005-0000-0000-0000BC030000}"/>
    <cellStyle name="Migliaia 35 2 2" xfId="1796" xr:uid="{00000000-0005-0000-0000-0000BD030000}"/>
    <cellStyle name="Migliaia 35 2 2 2" xfId="5280" xr:uid="{D91C8997-071C-402F-AF4F-87F3AD810429}"/>
    <cellStyle name="Migliaia 35 2 2 2 2" xfId="14391" xr:uid="{DE1DD194-BCFC-4AEB-98DA-613C35801332}"/>
    <cellStyle name="Migliaia 35 2 2 2 2 2" xfId="39378" xr:uid="{963EC4AB-CED9-4395-BDE0-329DB5991940}"/>
    <cellStyle name="Migliaia 35 2 2 2 2 3" xfId="44680" xr:uid="{D48753D4-D467-4EE3-A285-BC5A2E354C2E}"/>
    <cellStyle name="Migliaia 35 2 2 2 3" xfId="18446" xr:uid="{3B843E64-D2DE-437B-B670-31F51D071EE5}"/>
    <cellStyle name="Migliaia 35 2 2 2 4" xfId="20450" xr:uid="{50AF5A35-589B-4B25-AEC0-0AED425C3373}"/>
    <cellStyle name="Migliaia 35 2 2 2 4 2" xfId="42029" xr:uid="{008B3FD9-9F2C-440C-895E-049EBB362721}"/>
    <cellStyle name="Migliaia 35 2 2 2 5" xfId="16443" xr:uid="{44FEEC91-A898-49B9-AE64-7CC32F9001B2}"/>
    <cellStyle name="Migliaia 35 2 2 2 6" xfId="8649" xr:uid="{9B86FB4E-E1BA-4BA2-B374-773F5769F823}"/>
    <cellStyle name="Migliaia 35 2 2 3" xfId="6476" xr:uid="{796E9B4A-A2C7-4A9C-8086-73D6DA79EDC3}"/>
    <cellStyle name="Migliaia 35 2 2 3 2" xfId="35319" xr:uid="{2D908C5E-75B5-469F-BE92-3ABEF472707F}"/>
    <cellStyle name="Migliaia 35 2 2 3 2 2" xfId="40479" xr:uid="{3674F48D-65B5-457C-B375-6EEBE409431B}"/>
    <cellStyle name="Migliaia 35 2 2 3 2 3" xfId="45781" xr:uid="{F4B78F88-D503-4356-B3B9-A10634FDB62A}"/>
    <cellStyle name="Migliaia 35 2 2 3 3" xfId="37828" xr:uid="{83B6F494-728B-403E-B8F3-F45AC06C591F}"/>
    <cellStyle name="Migliaia 35 2 2 3 4" xfId="43130" xr:uid="{FF77F690-B945-4920-9F2E-041D64238794}"/>
    <cellStyle name="Migliaia 35 2 2 3 5" xfId="11618" xr:uid="{8FCB09D0-A3B7-4A57-8D5B-5349CC487A6C}"/>
    <cellStyle name="Migliaia 35 2 2 4" xfId="3554" xr:uid="{7611F970-05F1-425C-8D02-A0B4B1BC6A6F}"/>
    <cellStyle name="Migliaia 35 2 2 4 2" xfId="21508" xr:uid="{E5A19F52-45F3-4AA8-B4F8-22F16C6EE589}"/>
    <cellStyle name="Migliaia 35 2 2 4 3" xfId="46247" xr:uid="{7B4FE4D4-C946-473B-B0DE-D4393F0554C7}"/>
    <cellStyle name="Migliaia 35 2 2 4 4" xfId="50523" xr:uid="{C9F7D22D-2B9C-48F8-AC64-E405D1993D83}"/>
    <cellStyle name="Migliaia 35 2 2 4 5" xfId="53539" xr:uid="{216627CB-4D3A-4335-A773-972D323D4426}"/>
    <cellStyle name="Migliaia 35 2 2 4 6" xfId="10873" xr:uid="{387FB7EC-BF04-41E4-B248-9D4C894D7615}"/>
    <cellStyle name="Migliaia 35 2 2 5" xfId="20449" xr:uid="{644D77EF-BDDB-48AE-876E-C9E1E1BBEFA1}"/>
    <cellStyle name="Migliaia 35 2 2 6" xfId="24814" xr:uid="{8C315959-E40A-4BE9-A1FA-6CC62F6F1466}"/>
    <cellStyle name="Migliaia 35 2 2 7" xfId="7459" xr:uid="{3705F4ED-DB67-4D88-9819-A4A6E9F00150}"/>
    <cellStyle name="Migliaia 35 2 3" xfId="3555" xr:uid="{735A83D0-CBDF-4667-901D-3E1301A0BA73}"/>
    <cellStyle name="Migliaia 35 2 3 2" xfId="5281" xr:uid="{9583A51E-53EF-48B4-A43F-397081413C15}"/>
    <cellStyle name="Migliaia 35 2 3 2 2" xfId="35320" xr:uid="{41E6C18E-D620-44CC-B461-1D8C1269134F}"/>
    <cellStyle name="Migliaia 35 2 3 2 2 2" xfId="40480" xr:uid="{57495D87-6532-4F30-AFF1-EF7838DB0F23}"/>
    <cellStyle name="Migliaia 35 2 3 2 2 3" xfId="45782" xr:uid="{84C60893-A05F-43BE-AC31-6F6393A51863}"/>
    <cellStyle name="Migliaia 35 2 3 2 3" xfId="37829" xr:uid="{7E067611-536E-4F64-B501-2283FAA325A0}"/>
    <cellStyle name="Migliaia 35 2 3 2 4" xfId="43131" xr:uid="{D79B66AD-8031-474D-A569-9B4B2A1332FF}"/>
    <cellStyle name="Migliaia 35 2 3 2 5" xfId="14264" xr:uid="{B3141938-EEBD-418B-BD63-2F9EF3984C86}"/>
    <cellStyle name="Migliaia 35 2 3 3" xfId="6477" xr:uid="{E4706E82-4662-47FE-8449-97DC14D5B5E1}"/>
    <cellStyle name="Migliaia 35 2 3 3 2" xfId="39379" xr:uid="{41607027-28E7-4CB2-A5DE-ACFDD50DDC4C}"/>
    <cellStyle name="Migliaia 35 2 3 3 3" xfId="44681" xr:uid="{4F88E875-8827-455B-8740-B274207D50D7}"/>
    <cellStyle name="Migliaia 35 2 3 3 4" xfId="33865" xr:uid="{887B5746-5A62-4337-A8F2-44D994EBE61F}"/>
    <cellStyle name="Migliaia 35 2 3 3 5" xfId="20451" xr:uid="{8213F54D-8251-479C-980C-C1F1D196407A}"/>
    <cellStyle name="Migliaia 35 2 3 4" xfId="36806" xr:uid="{48EC64E7-729B-4C4C-B31C-6E7DE9695DDD}"/>
    <cellStyle name="Migliaia 35 2 3 5" xfId="42030" xr:uid="{DE062D24-17F3-4DCC-A76A-0528F8743EC3}"/>
    <cellStyle name="Migliaia 35 2 3 6" xfId="16444" xr:uid="{B18A3EDE-5802-4429-95DC-26BBEA4B4970}"/>
    <cellStyle name="Migliaia 35 2 3 7" xfId="8326" xr:uid="{829E2E8B-2A1C-45F1-85E4-AD280DC73435}"/>
    <cellStyle name="Migliaia 35 2 4" xfId="5279" xr:uid="{0A098892-74DA-46E1-A4A8-3FB79835AA39}"/>
    <cellStyle name="Migliaia 35 2 4 2" xfId="13969" xr:uid="{12BC6788-71A0-4E1D-A88F-9194B200245B}"/>
    <cellStyle name="Migliaia 35 2 4 2 2" xfId="39380" xr:uid="{6F1C4E3E-46A2-4129-8B90-63A9ED13882E}"/>
    <cellStyle name="Migliaia 35 2 4 2 3" xfId="44682" xr:uid="{78308EAE-CE56-4DD0-93F7-345F0BA69FBA}"/>
    <cellStyle name="Migliaia 35 2 4 3" xfId="18021" xr:uid="{2A2986B1-3265-4AFE-9CBB-B2ABC5BFF31E}"/>
    <cellStyle name="Migliaia 35 2 4 4" xfId="20452" xr:uid="{66FADBFA-0CB1-4E5D-9900-649B71215C72}"/>
    <cellStyle name="Migliaia 35 2 4 4 2" xfId="42031" xr:uid="{75E77C1E-C2E3-45B5-9957-A0D073973763}"/>
    <cellStyle name="Migliaia 35 2 4 5" xfId="16445" xr:uid="{1FD36A6C-F491-4796-A312-8BD8D4DD436F}"/>
    <cellStyle name="Migliaia 35 2 4 6" xfId="7935" xr:uid="{D7F516DA-FC9F-4EAC-B41D-6AC00F6A7973}"/>
    <cellStyle name="Migliaia 35 2 5" xfId="6475" xr:uid="{0D91610C-F8B9-4AC7-9F51-362E6C89B5A8}"/>
    <cellStyle name="Migliaia 35 2 5 2" xfId="33866" xr:uid="{B1919B6D-0210-4CE4-8764-EB18643BF6B4}"/>
    <cellStyle name="Migliaia 35 2 5 2 2" xfId="39381" xr:uid="{DA510980-66D0-4422-AD18-621962041104}"/>
    <cellStyle name="Migliaia 35 2 5 2 3" xfId="44683" xr:uid="{50F4BEC7-E25A-47E9-B001-E3AF6FB6A69A}"/>
    <cellStyle name="Migliaia 35 2 5 3" xfId="36807" xr:uid="{5D446B2F-653F-45EB-8399-F9B796E8BD95}"/>
    <cellStyle name="Migliaia 35 2 5 4" xfId="42032" xr:uid="{0BADF6A2-8CDE-454B-8C98-4DB307584EA2}"/>
    <cellStyle name="Migliaia 35 2 5 5" xfId="13131" xr:uid="{D23204D7-52DE-4242-9A10-244B754E6223}"/>
    <cellStyle name="Migliaia 35 2 6" xfId="3553" xr:uid="{BC481983-8460-4ED6-9994-A4677B75F917}"/>
    <cellStyle name="Migliaia 35 2 6 2" xfId="33867" xr:uid="{4B2051DB-3C37-4C6A-AD10-EDC71D55ACB7}"/>
    <cellStyle name="Migliaia 35 2 6 2 2" xfId="39382" xr:uid="{DD1667E6-7F94-44A5-B32E-3A3F565BCE93}"/>
    <cellStyle name="Migliaia 35 2 6 2 3" xfId="44684" xr:uid="{EA7470FC-D11A-43EA-BCBF-12A32BDE48EA}"/>
    <cellStyle name="Migliaia 35 2 6 3" xfId="36808" xr:uid="{1DBCC62E-E72F-48A8-BBAB-3ED756C7E052}"/>
    <cellStyle name="Migliaia 35 2 6 4" xfId="42033" xr:uid="{1475F5C6-435E-4951-9F2A-544C768E0A24}"/>
    <cellStyle name="Migliaia 35 2 6 5" xfId="24815" xr:uid="{4A87D500-1831-4923-BA30-E21EE51B06A4}"/>
    <cellStyle name="Migliaia 35 2 6 6" xfId="20448" xr:uid="{858602A7-6C4F-480B-B56E-32CBEB085109}"/>
    <cellStyle name="Migliaia 35 2 7" xfId="24813" xr:uid="{18892CC6-8D06-4BFD-805B-9DA30D65FB05}"/>
    <cellStyle name="Migliaia 35 2 8" xfId="7127" xr:uid="{916B2BD9-0200-4E11-8EF0-4022501C1DF8}"/>
    <cellStyle name="Migliaia 35 3" xfId="415" xr:uid="{00000000-0005-0000-0000-0000BE030000}"/>
    <cellStyle name="Migliaia 35 3 10" xfId="24816" xr:uid="{21452590-8446-4837-B102-F66C02AB105A}"/>
    <cellStyle name="Migliaia 35 3 11" xfId="16446" xr:uid="{D7BB18A7-F0AC-4048-AD1F-7B5DF6C6E44D}"/>
    <cellStyle name="Migliaia 35 3 12" xfId="7128" xr:uid="{83C77325-15F5-4BFE-AB0C-253095F91D8F}"/>
    <cellStyle name="Migliaia 35 3 2" xfId="416" xr:uid="{00000000-0005-0000-0000-0000BF030000}"/>
    <cellStyle name="Migliaia 35 3 2 2" xfId="1797" xr:uid="{00000000-0005-0000-0000-0000C0030000}"/>
    <cellStyle name="Migliaia 35 3 2 2 2" xfId="5284" xr:uid="{570125C3-CC86-4BCF-B664-273222561AEE}"/>
    <cellStyle name="Migliaia 35 3 2 2 2 2" xfId="18447" xr:uid="{D5D8A4D7-A19B-46CC-A876-40F2FF022B04}"/>
    <cellStyle name="Migliaia 35 3 2 2 2 2 2" xfId="21869" xr:uid="{C8017B47-8DCD-45F4-8DAA-A91B012C3DB1}"/>
    <cellStyle name="Migliaia 35 3 2 2 2 2 2 2" xfId="39383" xr:uid="{907AFF2E-14D8-444F-B81D-FC5944D6F427}"/>
    <cellStyle name="Migliaia 35 3 2 2 2 2 3" xfId="44685" xr:uid="{33161880-438C-418F-8821-99F5F0EE2D61}"/>
    <cellStyle name="Migliaia 35 3 2 2 2 2 4" xfId="33868" xr:uid="{0CEE0A2B-13BA-49D5-9AEA-242DACF98F1C}"/>
    <cellStyle name="Migliaia 35 3 2 2 2 3" xfId="36809" xr:uid="{80C1C054-E355-4664-A83C-462289203A52}"/>
    <cellStyle name="Migliaia 35 3 2 2 2 4" xfId="42034" xr:uid="{F14574FA-E5DE-4496-938F-A99F9B80FBF1}"/>
    <cellStyle name="Migliaia 35 3 2 2 2 5" xfId="47611" xr:uid="{A105E5D5-2331-4AC3-94A3-1EF986F26266}"/>
    <cellStyle name="Migliaia 35 3 2 2 2 6" xfId="50897" xr:uid="{7DB0F916-3032-4919-A1A5-C0214FD0B3A1}"/>
    <cellStyle name="Migliaia 35 3 2 2 2 7" xfId="53913" xr:uid="{27C3BE17-A091-4851-A91A-759EC9593483}"/>
    <cellStyle name="Migliaia 35 3 2 2 2 8" xfId="17666" xr:uid="{418A6C7D-78BC-4DE9-9E2F-C1DD436BA3F3}"/>
    <cellStyle name="Migliaia 35 3 2 2 2 9" xfId="11999" xr:uid="{F940BB75-37D5-40AE-AD2F-B05C4A2496EA}"/>
    <cellStyle name="Migliaia 35 3 2 2 3" xfId="6480" xr:uid="{9B33733F-A593-4818-8B26-09BC9DC3A15A}"/>
    <cellStyle name="Migliaia 35 3 2 2 3 2" xfId="11563" xr:uid="{3B339CFA-A29D-42C9-BD5C-5BD0E82F55CC}"/>
    <cellStyle name="Migliaia 35 3 2 2 4" xfId="3558" xr:uid="{7192D9CE-6817-4368-B7FC-DF236BCB5CC6}"/>
    <cellStyle name="Migliaia 35 3 2 2 4 2" xfId="21509" xr:uid="{3D911A51-C490-4EAB-A8DF-C717EE0F3416}"/>
    <cellStyle name="Migliaia 35 3 2 2 4 3" xfId="47601" xr:uid="{8565670B-4EF7-4612-9B7A-E3E922C90B8B}"/>
    <cellStyle name="Migliaia 35 3 2 2 4 4" xfId="50524" xr:uid="{04A2A048-FDB2-425B-A5A5-62555F8C26F8}"/>
    <cellStyle name="Migliaia 35 3 2 2 4 5" xfId="53540" xr:uid="{3FB2AB20-15E5-4B1A-BFDD-CA7AA16E7774}"/>
    <cellStyle name="Migliaia 35 3 2 2 4 6" xfId="10874" xr:uid="{71B71F1D-33E9-4D72-8B7E-99E74EEC545B}"/>
    <cellStyle name="Migliaia 35 3 2 2 5" xfId="20455" xr:uid="{A45B5FF3-5B86-4DCE-BB89-024793FBB042}"/>
    <cellStyle name="Migliaia 35 3 2 2 6" xfId="24818" xr:uid="{60210EB7-6D1A-4E9E-B84C-7AE66BF0B260}"/>
    <cellStyle name="Migliaia 35 3 2 2 7" xfId="8651" xr:uid="{B10DFE34-F218-47B8-ACA5-B36F09EA0C9C}"/>
    <cellStyle name="Migliaia 35 3 2 3" xfId="5283" xr:uid="{C3B91AD6-33D9-4309-A84F-799EAC910A24}"/>
    <cellStyle name="Migliaia 35 3 2 3 2" xfId="12409" xr:uid="{1CD74651-C857-495D-8F85-7A369AAF05CC}"/>
    <cellStyle name="Migliaia 35 3 2 3 2 2" xfId="39384" xr:uid="{F80BA1E3-30B1-4EED-902F-FD6DDD194EEA}"/>
    <cellStyle name="Migliaia 35 3 2 3 2 3" xfId="44686" xr:uid="{A2032B12-5A91-42E6-8AFE-658BE07DA04B}"/>
    <cellStyle name="Migliaia 35 3 2 3 2 4" xfId="33869" xr:uid="{E3D9FC44-827A-4156-91A0-5B3F9C4CADA4}"/>
    <cellStyle name="Migliaia 35 3 2 3 3" xfId="12000" xr:uid="{B66ECE21-0164-4001-B395-C598ECA47C22}"/>
    <cellStyle name="Migliaia 35 3 2 3 4" xfId="20456" xr:uid="{42D8B7A0-EDD9-45EF-927E-633E83ADEDD6}"/>
    <cellStyle name="Migliaia 35 3 2 3 4 2" xfId="42035" xr:uid="{5CC4829F-FCCD-47B4-ACD2-5639EAEC5673}"/>
    <cellStyle name="Migliaia 35 3 2 3 5" xfId="16447" xr:uid="{AF1DC0C5-B120-4C1F-883A-E533B503575A}"/>
    <cellStyle name="Migliaia 35 3 2 3 6" xfId="7937" xr:uid="{D33CB87E-0F77-4C8C-9356-AD038D5AA7A6}"/>
    <cellStyle name="Migliaia 35 3 2 4" xfId="6479" xr:uid="{20EC5247-241C-4755-B152-807B10BB5ABC}"/>
    <cellStyle name="Migliaia 35 3 2 4 2" xfId="18085" xr:uid="{92541FCF-4ADD-49AC-9150-99037525FB3A}"/>
    <cellStyle name="Migliaia 35 3 2 4 2 2" xfId="39385" xr:uid="{6B91AB0E-7E28-413C-9419-1B9CD721468E}"/>
    <cellStyle name="Migliaia 35 3 2 4 2 3" xfId="44687" xr:uid="{4EAAE896-CAEC-4E34-AE35-66CA9F60FCF9}"/>
    <cellStyle name="Migliaia 35 3 2 4 3" xfId="36810" xr:uid="{08C8D667-165B-4030-8DFA-226360DFA210}"/>
    <cellStyle name="Migliaia 35 3 2 4 4" xfId="42036" xr:uid="{E2C97AF7-3275-423F-B478-5F2B4F7B48A8}"/>
    <cellStyle name="Migliaia 35 3 2 4 5" xfId="17192" xr:uid="{68D2DDC6-4414-43D4-9A6F-95D34EDA8FC5}"/>
    <cellStyle name="Migliaia 35 3 2 4 6" xfId="11348" xr:uid="{741674B3-C08C-412A-9FC4-D89C16EF11BA}"/>
    <cellStyle name="Migliaia 35 3 2 5" xfId="3557" xr:uid="{907C28ED-FB7C-4729-9A5F-F91596411BAE}"/>
    <cellStyle name="Migliaia 35 3 2 5 2" xfId="33870" xr:uid="{C6C9845D-F28F-4F85-8947-66DF1BCEB606}"/>
    <cellStyle name="Migliaia 35 3 2 5 2 2" xfId="39386" xr:uid="{C2A2F740-1992-4784-A610-13ADCA67D4BA}"/>
    <cellStyle name="Migliaia 35 3 2 5 2 3" xfId="44688" xr:uid="{B918D923-A610-4C33-8315-0860DF44A3A4}"/>
    <cellStyle name="Migliaia 35 3 2 5 3" xfId="36811" xr:uid="{530365D4-66DF-45DC-BC76-86C518BAA962}"/>
    <cellStyle name="Migliaia 35 3 2 5 4" xfId="42037" xr:uid="{6630D03C-D83B-4DBC-BEE1-2AF5A8CDC61D}"/>
    <cellStyle name="Migliaia 35 3 2 5 5" xfId="17342" xr:uid="{EA74956D-F0ED-489E-BC31-87AFE480B273}"/>
    <cellStyle name="Migliaia 35 3 2 6" xfId="20454" xr:uid="{BA80BE56-98F1-4399-80B8-108532806A34}"/>
    <cellStyle name="Migliaia 35 3 2 6 2" xfId="33871" xr:uid="{0E12209C-F46B-4CA4-BEEA-195A5EC542AA}"/>
    <cellStyle name="Migliaia 35 3 2 6 2 2" xfId="39387" xr:uid="{68C15D44-B0A6-4D46-B588-95ABC7133F9D}"/>
    <cellStyle name="Migliaia 35 3 2 6 2 3" xfId="44689" xr:uid="{ECF643D0-B9A7-4B8C-B8D1-86DDD13B5EBF}"/>
    <cellStyle name="Migliaia 35 3 2 6 3" xfId="36812" xr:uid="{146FD8DD-D6FD-4399-9D8E-1069E687292C}"/>
    <cellStyle name="Migliaia 35 3 2 6 4" xfId="42038" xr:uid="{2A29053D-1268-4416-AD09-45FC335BD9F6}"/>
    <cellStyle name="Migliaia 35 3 2 6 5" xfId="24819" xr:uid="{5212072C-7737-4A53-A923-9EC2C20BE9EE}"/>
    <cellStyle name="Migliaia 35 3 2 7" xfId="24817" xr:uid="{87486008-11D2-4D7B-B6A1-83000F87A8F8}"/>
    <cellStyle name="Migliaia 35 3 2 8" xfId="7461" xr:uid="{EFD802F4-0F12-42ED-827E-CBBF430196D2}"/>
    <cellStyle name="Migliaia 35 3 3" xfId="3559" xr:uid="{15C9D1D6-1E45-48B7-B6D0-871E1A37F4C2}"/>
    <cellStyle name="Migliaia 35 3 3 10" xfId="7460" xr:uid="{D8CEF066-182F-4C33-B2AD-FCBBD0520170}"/>
    <cellStyle name="Migliaia 35 3 3 2" xfId="5285" xr:uid="{41350FFC-E556-4B1B-B643-048B7F3C072E}"/>
    <cellStyle name="Migliaia 35 3 3 2 2" xfId="9938" xr:uid="{B4B4F172-EB70-49A4-BEA0-3B11FCBBE1FC}"/>
    <cellStyle name="Migliaia 35 3 3 2 2 2" xfId="39389" xr:uid="{FCB31F71-44BE-4393-A4F6-2CC6350C8828}"/>
    <cellStyle name="Migliaia 35 3 3 2 2 3" xfId="44691" xr:uid="{D9C27254-EC8B-4AAC-A915-9CD5AB9DB4DA}"/>
    <cellStyle name="Migliaia 35 3 3 2 3" xfId="18218" xr:uid="{97CD9C5B-6783-4031-A599-02A573C61926}"/>
    <cellStyle name="Migliaia 35 3 3 2 4" xfId="20458" xr:uid="{003EB30D-FC0B-4FE1-AB7D-B5A23B943254}"/>
    <cellStyle name="Migliaia 35 3 3 2 4 2" xfId="42040" xr:uid="{A06E1AC6-3386-4AAC-9C88-572DD76C3763}"/>
    <cellStyle name="Migliaia 35 3 3 2 5" xfId="16449" xr:uid="{912AEE9E-48F7-4D34-8222-A8734777978A}"/>
    <cellStyle name="Migliaia 35 3 3 2 6" xfId="8650" xr:uid="{ECE97480-6BA4-4173-8D08-38144AE7F93E}"/>
    <cellStyle name="Migliaia 35 3 3 3" xfId="6481" xr:uid="{7D094722-9405-4B87-82ED-10BEBB473D78}"/>
    <cellStyle name="Migliaia 35 3 3 3 2" xfId="33873" xr:uid="{C7B280C7-E9DA-48F6-B271-EC52ADC64F85}"/>
    <cellStyle name="Migliaia 35 3 3 3 2 2" xfId="39390" xr:uid="{3887B791-5DB0-4CA3-B14F-5CEB226D1318}"/>
    <cellStyle name="Migliaia 35 3 3 3 2 3" xfId="44692" xr:uid="{06C13CA2-B77B-4D64-9314-5D17D6F8984C}"/>
    <cellStyle name="Migliaia 35 3 3 3 3" xfId="36814" xr:uid="{BCBA76DB-5FB7-4187-8F10-9541AFA042C7}"/>
    <cellStyle name="Migliaia 35 3 3 3 4" xfId="42041" xr:uid="{0DB39CAF-54F4-4D7E-9CDF-90E91BE3BF99}"/>
    <cellStyle name="Migliaia 35 3 3 3 5" xfId="9701" xr:uid="{7DC83C13-3022-4B31-BA90-E19D94296EBF}"/>
    <cellStyle name="Migliaia 35 3 3 4" xfId="20457" xr:uid="{A3DEB2CE-AA24-4C69-B2F6-0B0B483BD73B}"/>
    <cellStyle name="Migliaia 35 3 3 4 2" xfId="33874" xr:uid="{45C4ED89-D9A7-40E2-B6E2-A5199942D47E}"/>
    <cellStyle name="Migliaia 35 3 3 4 2 2" xfId="39391" xr:uid="{84B9D091-54A3-4388-BC8B-AF51B0494695}"/>
    <cellStyle name="Migliaia 35 3 3 4 2 3" xfId="44693" xr:uid="{83B207E5-AC1E-4A86-9E22-D52C06EC5213}"/>
    <cellStyle name="Migliaia 35 3 3 4 3" xfId="36815" xr:uid="{FA669280-7707-4730-A07B-BC52DE66FC40}"/>
    <cellStyle name="Migliaia 35 3 3 4 4" xfId="42042" xr:uid="{EA6E429E-3796-4033-9311-4D5AFA788044}"/>
    <cellStyle name="Migliaia 35 3 3 4 5" xfId="24820" xr:uid="{5764D476-B2F1-4AD0-BEC2-EE7320034998}"/>
    <cellStyle name="Migliaia 35 3 3 5" xfId="24821" xr:uid="{EAF99F3B-498A-4667-A40D-AE05FE65283A}"/>
    <cellStyle name="Migliaia 35 3 3 5 2" xfId="33875" xr:uid="{EC569134-4585-499A-98C1-D08E829C588D}"/>
    <cellStyle name="Migliaia 35 3 3 5 2 2" xfId="39392" xr:uid="{583856A4-458A-4F16-8BC2-B9B5B4DAEFE5}"/>
    <cellStyle name="Migliaia 35 3 3 5 2 3" xfId="44694" xr:uid="{35628DFC-17BC-47E6-94EF-55419A7C34B4}"/>
    <cellStyle name="Migliaia 35 3 3 5 3" xfId="36816" xr:uid="{087F57BC-E81E-439E-ABE1-CC4615CF4C0A}"/>
    <cellStyle name="Migliaia 35 3 3 5 4" xfId="42043" xr:uid="{21142670-DF64-4510-AC94-51EEA6C7BC19}"/>
    <cellStyle name="Migliaia 35 3 3 6" xfId="33872" xr:uid="{912DA3AD-8BF0-4B30-A80A-68AE420CC01B}"/>
    <cellStyle name="Migliaia 35 3 3 6 2" xfId="39388" xr:uid="{8E254C1D-C3A3-41A6-A1CA-2E253DC0B726}"/>
    <cellStyle name="Migliaia 35 3 3 6 3" xfId="44690" xr:uid="{BF438520-315A-441D-9559-9C32FADB5471}"/>
    <cellStyle name="Migliaia 35 3 3 7" xfId="36813" xr:uid="{1747AEF8-87B2-4FB7-B2D5-74B8296BA7BB}"/>
    <cellStyle name="Migliaia 35 3 3 8" xfId="42039" xr:uid="{0A065C0A-6861-4C71-BCDF-9BF2FC027EB3}"/>
    <cellStyle name="Migliaia 35 3 3 9" xfId="16448" xr:uid="{84855EB8-F4D9-4237-B79E-B6E22A01E015}"/>
    <cellStyle name="Migliaia 35 3 4" xfId="3560" xr:uid="{026C782B-B3F2-48E6-B83F-B81CB8D89739}"/>
    <cellStyle name="Migliaia 35 3 4 2" xfId="5286" xr:uid="{B1E29D61-DE77-4BD6-9C5E-F7EE617B107B}"/>
    <cellStyle name="Migliaia 35 3 4 2 2" xfId="14451" xr:uid="{A5B1B314-B6C1-43D6-BE11-DC1B34D55313}"/>
    <cellStyle name="Migliaia 35 3 4 2 3" xfId="18045" xr:uid="{3AECD971-4D84-4B82-98DB-02B3C9B52E7C}"/>
    <cellStyle name="Migliaia 35 3 4 2 4" xfId="20460" xr:uid="{E1C137A7-5B95-42A7-A310-BA42CE832A4B}"/>
    <cellStyle name="Migliaia 35 3 4 2 5" xfId="32387" xr:uid="{B5AB0F53-3D8A-4FE2-88A8-ED47939F1F18}"/>
    <cellStyle name="Migliaia 35 3 4 2 6" xfId="16451" xr:uid="{6A15A6EF-DA30-447D-8C69-4B77EF54C251}"/>
    <cellStyle name="Migliaia 35 3 4 2 7" xfId="8874" xr:uid="{41C391B0-CE71-46FB-90DC-BED43ADD780C}"/>
    <cellStyle name="Migliaia 35 3 4 3" xfId="6482" xr:uid="{3446D2A1-9AC9-46EC-997B-9A9C322BFCD3}"/>
    <cellStyle name="Migliaia 35 3 4 3 2" xfId="35321" xr:uid="{2DA051AC-A78E-4B37-B25D-E4C0B5E7EA99}"/>
    <cellStyle name="Migliaia 35 3 4 3 2 2" xfId="40481" xr:uid="{487CC8C9-8191-44AC-9932-BACF6969BBC7}"/>
    <cellStyle name="Migliaia 35 3 4 3 2 3" xfId="45783" xr:uid="{E8B20824-BADE-410A-9107-B0653D357DFA}"/>
    <cellStyle name="Migliaia 35 3 4 3 3" xfId="37830" xr:uid="{87D718BA-9E3C-424D-8C9D-3CDADBE64E28}"/>
    <cellStyle name="Migliaia 35 3 4 3 4" xfId="43132" xr:uid="{8DAD3752-C9FE-4221-9F56-E8D4B93EECF0}"/>
    <cellStyle name="Migliaia 35 3 4 3 5" xfId="13699" xr:uid="{4CDF45F2-F61B-4B18-96DE-F9E9597CD582}"/>
    <cellStyle name="Migliaia 35 3 4 4" xfId="20459" xr:uid="{89974C4E-B5EF-4D3A-9509-5B61991CB630}"/>
    <cellStyle name="Migliaia 35 3 4 4 2" xfId="39393" xr:uid="{9F218734-04C7-4D72-A6A5-1FB3D78411B2}"/>
    <cellStyle name="Migliaia 35 3 4 4 3" xfId="44695" xr:uid="{A5108A3E-151D-4132-AE25-37012BE0AA41}"/>
    <cellStyle name="Migliaia 35 3 4 4 4" xfId="33876" xr:uid="{A2D76D2B-1415-45CA-AF22-3F3BC657D10A}"/>
    <cellStyle name="Migliaia 35 3 4 5" xfId="36817" xr:uid="{A5BFB52F-D7EF-45BA-A1A1-BC758AB5CEB9}"/>
    <cellStyle name="Migliaia 35 3 4 6" xfId="42044" xr:uid="{0FF95759-BE20-486F-8A6E-6D8E773E7757}"/>
    <cellStyle name="Migliaia 35 3 4 7" xfId="16450" xr:uid="{5A9573F0-BEBA-400C-96E5-56DBA83F17D0}"/>
    <cellStyle name="Migliaia 35 3 4 8" xfId="7684" xr:uid="{7A7B5002-3701-43EF-8D4F-53BBCB98A683}"/>
    <cellStyle name="Migliaia 35 3 5" xfId="3561" xr:uid="{B4F849FC-050E-4514-B6E4-74168CA38B70}"/>
    <cellStyle name="Migliaia 35 3 5 2" xfId="5287" xr:uid="{0BAFE2FF-10D4-4B16-88B3-962F82116B89}"/>
    <cellStyle name="Migliaia 35 3 5 2 2" xfId="35322" xr:uid="{0BCE77DF-19F6-4CFA-A666-E35248809B56}"/>
    <cellStyle name="Migliaia 35 3 5 2 2 2" xfId="40482" xr:uid="{0F72FD70-FB36-4D3F-9CBA-44A511B2D8FE}"/>
    <cellStyle name="Migliaia 35 3 5 2 2 3" xfId="45784" xr:uid="{E511D254-2CF7-4D33-A174-FC8C1355C958}"/>
    <cellStyle name="Migliaia 35 3 5 2 3" xfId="37831" xr:uid="{0BCF7100-DBC5-4FD1-A7A9-BD259704AA52}"/>
    <cellStyle name="Migliaia 35 3 5 2 4" xfId="43133" xr:uid="{364CD9CF-FC75-4736-8A5B-CAAF5DF4C924}"/>
    <cellStyle name="Migliaia 35 3 5 2 5" xfId="14265" xr:uid="{7BC6757F-C389-42BD-86D8-D69960947C89}"/>
    <cellStyle name="Migliaia 35 3 5 3" xfId="6483" xr:uid="{DCC83E0A-9A97-4FCF-BA66-CC94918B4637}"/>
    <cellStyle name="Migliaia 35 3 5 3 2" xfId="39394" xr:uid="{39333641-E279-402E-AFFE-EDDA6CAC562F}"/>
    <cellStyle name="Migliaia 35 3 5 3 3" xfId="44696" xr:uid="{D63BF807-5EC2-4A01-A8F5-53C3EEE5B3AD}"/>
    <cellStyle name="Migliaia 35 3 5 3 4" xfId="33877" xr:uid="{DB237F20-F878-4549-8D89-3DC8EACAFF97}"/>
    <cellStyle name="Migliaia 35 3 5 3 5" xfId="20461" xr:uid="{A6AFED10-E721-49AA-898F-A6DF25A45659}"/>
    <cellStyle name="Migliaia 35 3 5 4" xfId="36818" xr:uid="{B7F94DC5-8FC1-4D9C-BC49-09BDE3DA2FDD}"/>
    <cellStyle name="Migliaia 35 3 5 5" xfId="42045" xr:uid="{E5290A05-CF75-4A80-975A-2B12A1B1CE26}"/>
    <cellStyle name="Migliaia 35 3 5 6" xfId="16452" xr:uid="{C4B3AF3C-90D5-4977-A87B-83AD1DB12610}"/>
    <cellStyle name="Migliaia 35 3 5 7" xfId="8327" xr:uid="{D26C6DD2-CD78-4410-A102-774C2C22EB72}"/>
    <cellStyle name="Migliaia 35 3 6" xfId="5282" xr:uid="{BE78F124-8B25-41F5-A3EF-D4EF92B265A1}"/>
    <cellStyle name="Migliaia 35 3 6 2" xfId="13970" xr:uid="{6FD7C42E-0A2F-46F3-A5A3-BA84F33C88C9}"/>
    <cellStyle name="Migliaia 35 3 6 2 2" xfId="39395" xr:uid="{F3A15F7D-0F41-4AC7-A121-5FEC941DF562}"/>
    <cellStyle name="Migliaia 35 3 6 2 3" xfId="44697" xr:uid="{5AECAA81-AE74-4ED9-91EB-410BB29683D7}"/>
    <cellStyle name="Migliaia 35 3 6 3" xfId="18288" xr:uid="{E386F3B8-6990-4198-A424-6865A06A0BDD}"/>
    <cellStyle name="Migliaia 35 3 6 4" xfId="20462" xr:uid="{60757411-45C0-4E5C-9C8F-FF2AA98F3C6A}"/>
    <cellStyle name="Migliaia 35 3 6 4 2" xfId="42046" xr:uid="{C07E0E09-8734-4990-80E1-E080D785253D}"/>
    <cellStyle name="Migliaia 35 3 6 5" xfId="16453" xr:uid="{41D2F0D5-6050-419A-81EE-22C7C600B02A}"/>
    <cellStyle name="Migliaia 35 3 6 6" xfId="7936" xr:uid="{D570FD2A-31A1-4506-B000-452DB38A1273}"/>
    <cellStyle name="Migliaia 35 3 7" xfId="6478" xr:uid="{237DE95D-F5CE-4177-A7D8-B927A2BC9E1D}"/>
    <cellStyle name="Migliaia 35 3 7 2" xfId="33878" xr:uid="{0BAEB352-1DC2-4642-8E50-D365621A59A2}"/>
    <cellStyle name="Migliaia 35 3 7 2 2" xfId="39396" xr:uid="{FBA0E854-5A40-44F4-B08A-4D7A8FA2E9EB}"/>
    <cellStyle name="Migliaia 35 3 7 2 3" xfId="44698" xr:uid="{8E71BA6B-A7A7-4F5F-9CB2-D1382B067425}"/>
    <cellStyle name="Migliaia 35 3 7 3" xfId="36819" xr:uid="{D19F9A0F-B67F-4D23-98ED-9135E864BB1F}"/>
    <cellStyle name="Migliaia 35 3 7 4" xfId="42047" xr:uid="{1270AC99-C3F8-459F-B8D7-3ADB16F255E5}"/>
    <cellStyle name="Migliaia 35 3 7 5" xfId="12245" xr:uid="{2CE05577-C351-4FE1-A58B-1E9880A2D270}"/>
    <cellStyle name="Migliaia 35 3 8" xfId="3556" xr:uid="{4AECCE64-16B2-46E3-88B0-0BD6CBD9F63E}"/>
    <cellStyle name="Migliaia 35 3 8 2" xfId="33879" xr:uid="{9C2C93B3-2881-44B6-BE0B-B1CD26D551BE}"/>
    <cellStyle name="Migliaia 35 3 8 2 2" xfId="39397" xr:uid="{724EAC3B-FFBC-4FE8-9869-DDBEF312BC0F}"/>
    <cellStyle name="Migliaia 35 3 8 2 3" xfId="44699" xr:uid="{74164157-E991-4F84-81BD-ACC89E1B1E3E}"/>
    <cellStyle name="Migliaia 35 3 8 3" xfId="36820" xr:uid="{E9E6A8A0-FD86-4530-BAE8-F7EC699E58B4}"/>
    <cellStyle name="Migliaia 35 3 8 4" xfId="42048" xr:uid="{64EA7656-4ABE-4D2B-A84E-4A4D679678AD}"/>
    <cellStyle name="Migliaia 35 3 8 5" xfId="24822" xr:uid="{B973D751-EE88-48AE-BE16-36001A1FBB78}"/>
    <cellStyle name="Migliaia 35 3 8 6" xfId="17343" xr:uid="{BA5EB54D-D9CE-4D36-A2B0-B7CB857A61E1}"/>
    <cellStyle name="Migliaia 35 3 9" xfId="20453" xr:uid="{E5B0F987-8059-4413-8FD1-C30ACE8E7B20}"/>
    <cellStyle name="Migliaia 35 4" xfId="1798" xr:uid="{00000000-0005-0000-0000-0000C1030000}"/>
    <cellStyle name="Migliaia 35 4 2" xfId="1799" xr:uid="{00000000-0005-0000-0000-0000C2030000}"/>
    <cellStyle name="Migliaia 35 4 2 2" xfId="5289" xr:uid="{7848695C-ECCE-4133-8BC8-AE2D67432229}"/>
    <cellStyle name="Migliaia 35 4 2 2 2" xfId="33880" xr:uid="{3211BFBD-7608-40D9-9FA4-01F4DD5353D2}"/>
    <cellStyle name="Migliaia 35 4 2 2 2 2" xfId="39398" xr:uid="{2C05AB39-75B3-48E7-AC28-C965B8E9C3EA}"/>
    <cellStyle name="Migliaia 35 4 2 2 2 3" xfId="44700" xr:uid="{7F717C3C-B7B2-4AFC-B0CA-9D306E72D64B}"/>
    <cellStyle name="Migliaia 35 4 2 2 3" xfId="36821" xr:uid="{6932922D-D5C9-4908-87B9-9403EAB9EBFD}"/>
    <cellStyle name="Migliaia 35 4 2 2 4" xfId="42049" xr:uid="{48783423-1079-413A-81A7-F01EBA093D66}"/>
    <cellStyle name="Migliaia 35 4 2 2 5" xfId="9164" xr:uid="{83B820C6-50FF-4CD0-B725-532013D75F97}"/>
    <cellStyle name="Migliaia 35 4 2 3" xfId="3563" xr:uid="{E3885CA7-82BD-4991-A92A-BEE827196074}"/>
    <cellStyle name="Migliaia 35 4 2 3 2" xfId="33881" xr:uid="{67D25329-F43D-47C2-88AF-3C39C1C01920}"/>
    <cellStyle name="Migliaia 35 4 2 3 2 2" xfId="39399" xr:uid="{C21F2730-7F10-4955-8225-1BDDE3704584}"/>
    <cellStyle name="Migliaia 35 4 2 3 2 3" xfId="44701" xr:uid="{55E85D38-CAC7-463F-8001-0F5321EA2FEA}"/>
    <cellStyle name="Migliaia 35 4 2 3 3" xfId="36822" xr:uid="{1C7B3A53-C0A1-4A4A-956E-989910C51A80}"/>
    <cellStyle name="Migliaia 35 4 2 3 4" xfId="42050" xr:uid="{2BC87770-8A8A-4281-ABBA-5039901A6664}"/>
    <cellStyle name="Migliaia 35 4 2 3 5" xfId="12001" xr:uid="{653AAB31-2BC6-4664-A412-FEDB137E3111}"/>
    <cellStyle name="Migliaia 35 4 2 4" xfId="11350" xr:uid="{8B4995C0-D066-4ED9-AA8E-002CDA672309}"/>
    <cellStyle name="Migliaia 35 4 2 5" xfId="10876" xr:uid="{0EFED51F-1BF0-49BF-89E7-A7299BAD0AC6}"/>
    <cellStyle name="Migliaia 35 4 2 5 2" xfId="21511" xr:uid="{E5CD7B3A-EFFE-4116-B559-8EB64ACBE82D}"/>
    <cellStyle name="Migliaia 35 4 2 5 3" xfId="48552" xr:uid="{C6E1A384-41B7-4A98-A79D-3BD09E63C880}"/>
    <cellStyle name="Migliaia 35 4 2 5 4" xfId="50526" xr:uid="{F66C24E3-3F2C-4520-BE79-63B064BF1D81}"/>
    <cellStyle name="Migliaia 35 4 2 5 5" xfId="53542" xr:uid="{01358D04-7B2F-4930-843B-32778A5ED2DC}"/>
    <cellStyle name="Migliaia 35 4 2 6" xfId="20464" xr:uid="{4C617A85-1857-4312-AB7A-3C04857302BF}"/>
    <cellStyle name="Migliaia 35 4 2 7" xfId="24824" xr:uid="{02529878-BDB7-4593-A1F0-FEAD732F6AAF}"/>
    <cellStyle name="Migliaia 35 4 2 8" xfId="8652" xr:uid="{F79E789D-F98F-4BD2-AE93-C3E59A59F542}"/>
    <cellStyle name="Migliaia 35 4 3" xfId="5288" xr:uid="{97B5094E-FB7B-4427-9611-1CD9843CEDFD}"/>
    <cellStyle name="Migliaia 35 4 3 2" xfId="18219" xr:uid="{01764EC6-CC56-4BA1-B949-A61D9028540D}"/>
    <cellStyle name="Migliaia 35 4 3 2 2" xfId="39400" xr:uid="{359398BD-E724-4ADB-AD23-0459E2A3C4D8}"/>
    <cellStyle name="Migliaia 35 4 3 2 3" xfId="44702" xr:uid="{035B8199-C94D-4106-B440-E84F837C5BB7}"/>
    <cellStyle name="Migliaia 35 4 3 3" xfId="36823" xr:uid="{A2AF5E03-763F-4496-A5AA-2F01DF8C1C28}"/>
    <cellStyle name="Migliaia 35 4 3 4" xfId="42051" xr:uid="{C3688B51-73F0-44B8-94E7-1562E5372BEF}"/>
    <cellStyle name="Migliaia 35 4 3 5" xfId="17341" xr:uid="{4A861D79-936E-4698-9C92-824400AC64F1}"/>
    <cellStyle name="Migliaia 35 4 3 6" xfId="9165" xr:uid="{2CD80231-6439-4AF4-963C-4F9FFAE88FE7}"/>
    <cellStyle name="Migliaia 35 4 4" xfId="6484" xr:uid="{03028360-F389-4780-A21B-2C58F25508E1}"/>
    <cellStyle name="Migliaia 35 4 4 2" xfId="33882" xr:uid="{84AF624C-3F57-470A-AE61-E57DCCF7278A}"/>
    <cellStyle name="Migliaia 35 4 4 2 2" xfId="39401" xr:uid="{EBBD5551-41D7-4AC8-ADFA-96BEE56E3192}"/>
    <cellStyle name="Migliaia 35 4 4 2 3" xfId="44703" xr:uid="{77AB6486-02F2-41AF-B57C-3F96F9E06711}"/>
    <cellStyle name="Migliaia 35 4 4 3" xfId="36824" xr:uid="{176C6E28-6EEB-4348-9565-A5D606A61DE0}"/>
    <cellStyle name="Migliaia 35 4 4 4" xfId="42052" xr:uid="{0DF76935-C54D-4064-98FF-38E73FA16ABB}"/>
    <cellStyle name="Migliaia 35 4 4 5" xfId="12002" xr:uid="{C37695F0-8AC8-42C3-9993-29CDC54AE619}"/>
    <cellStyle name="Migliaia 35 4 5" xfId="3562" xr:uid="{5331AEFE-0062-4961-899E-699C25E80013}"/>
    <cellStyle name="Migliaia 35 4 5 2" xfId="33883" xr:uid="{916046E3-970B-4796-BD42-582FC4FFAC42}"/>
    <cellStyle name="Migliaia 35 4 5 2 2" xfId="39402" xr:uid="{8AC0BBC7-8952-4766-8B2D-E052AE9AEECE}"/>
    <cellStyle name="Migliaia 35 4 5 2 3" xfId="44704" xr:uid="{12847A77-32AD-46B8-B5EF-EB52C3AD8725}"/>
    <cellStyle name="Migliaia 35 4 5 3" xfId="36825" xr:uid="{DBEA33A1-A33C-4071-93A3-BFBD56895A45}"/>
    <cellStyle name="Migliaia 35 4 5 4" xfId="42053" xr:uid="{58F5FB30-93CB-453F-AF70-D833BEFCAF7E}"/>
    <cellStyle name="Migliaia 35 4 5 5" xfId="11349" xr:uid="{F85C538F-8F68-41CD-8DBF-1D6856CC5FE0}"/>
    <cellStyle name="Migliaia 35 4 6" xfId="10875" xr:uid="{7B41E372-FCB1-43F4-A2EB-58C1E9352D0D}"/>
    <cellStyle name="Migliaia 35 4 6 2" xfId="21510" xr:uid="{8FAFA7CA-A12C-4D38-8F9B-FDDF99D51909}"/>
    <cellStyle name="Migliaia 35 4 6 2 2" xfId="39403" xr:uid="{2EEAB224-B715-43BB-904B-3C9995604753}"/>
    <cellStyle name="Migliaia 35 4 6 2 3" xfId="44705" xr:uid="{F3EA5D16-24E7-4909-A26F-B9AA7C62082D}"/>
    <cellStyle name="Migliaia 35 4 6 2 4" xfId="33884" xr:uid="{8C698027-6948-4D89-AB0D-C044DDD76DE8}"/>
    <cellStyle name="Migliaia 35 4 6 3" xfId="36826" xr:uid="{CCFD0807-70EF-42EB-95FD-3B9BB7285FDC}"/>
    <cellStyle name="Migliaia 35 4 6 4" xfId="42054" xr:uid="{1C860E75-A8B5-460F-8F50-86B6651F2F4F}"/>
    <cellStyle name="Migliaia 35 4 6 5" xfId="24825" xr:uid="{BF9180F5-38C6-4304-96A6-8351FAAABDA1}"/>
    <cellStyle name="Migliaia 35 4 6 6" xfId="32470" xr:uid="{076BF332-007A-44CF-8A55-57306C51ED28}"/>
    <cellStyle name="Migliaia 35 4 6 7" xfId="50525" xr:uid="{CD15137E-9BB8-42D9-A6FF-23371B01FF9A}"/>
    <cellStyle name="Migliaia 35 4 6 8" xfId="53541" xr:uid="{8F0C88FF-31D4-41D9-B0E4-5DDF43E685D8}"/>
    <cellStyle name="Migliaia 35 4 7" xfId="20463" xr:uid="{95D8D1D5-E084-4C1B-B002-06BEA9A38E5E}"/>
    <cellStyle name="Migliaia 35 4 7 2" xfId="33885" xr:uid="{E21C1923-432A-4E6B-B0B3-9F573D9E3A4C}"/>
    <cellStyle name="Migliaia 35 4 7 2 2" xfId="39404" xr:uid="{D046455E-7668-4FF5-9730-7DCA812335C6}"/>
    <cellStyle name="Migliaia 35 4 7 2 3" xfId="44706" xr:uid="{72AE597C-9A65-46FF-9912-7D2216D54D2D}"/>
    <cellStyle name="Migliaia 35 4 7 3" xfId="36827" xr:uid="{3CE8F6B3-2AF4-49C5-BCBB-E172F25D3C3C}"/>
    <cellStyle name="Migliaia 35 4 7 4" xfId="42055" xr:uid="{869C3958-BB0B-4E05-856C-7587ABB91579}"/>
    <cellStyle name="Migliaia 35 4 7 5" xfId="24826" xr:uid="{5AF088CB-149F-4C19-8AE7-C2AA6C9F5D9B}"/>
    <cellStyle name="Migliaia 35 4 8" xfId="24823" xr:uid="{AE3DC46A-219F-4A22-A7ED-5F896BF394E6}"/>
    <cellStyle name="Migliaia 35 4 9" xfId="7462" xr:uid="{08A08743-2E65-4F65-A10D-582CBA4EC306}"/>
    <cellStyle name="Migliaia 35 5" xfId="1800" xr:uid="{00000000-0005-0000-0000-0000C3030000}"/>
    <cellStyle name="Migliaia 35 5 2" xfId="5290" xr:uid="{BD88701B-2CC5-4E4A-8336-E885E75F2187}"/>
    <cellStyle name="Migliaia 35 5 2 2" xfId="18448" xr:uid="{959FB021-26E4-480E-90CB-29E446C33DCD}"/>
    <cellStyle name="Migliaia 35 5 2 2 2" xfId="39405" xr:uid="{2854A744-B5E0-4A15-BC60-03110D148A8C}"/>
    <cellStyle name="Migliaia 35 5 2 2 3" xfId="44707" xr:uid="{4BBAB548-D879-4DBD-94D2-760DBB695615}"/>
    <cellStyle name="Migliaia 35 5 2 3" xfId="20466" xr:uid="{EB454504-AFD7-48EC-91C3-0EE2E47DEA22}"/>
    <cellStyle name="Migliaia 35 5 2 3 2" xfId="36828" xr:uid="{F1189B2B-22E8-41A2-8377-8FA75FBFF2C0}"/>
    <cellStyle name="Migliaia 35 5 2 4" xfId="42056" xr:uid="{0015A956-A717-4FE6-96EE-53B6BF264C5C}"/>
    <cellStyle name="Migliaia 35 5 2 5" xfId="16454" xr:uid="{E08B7D78-E85F-4964-8403-28C07DFB60A8}"/>
    <cellStyle name="Migliaia 35 5 2 6" xfId="8653" xr:uid="{97272BE5-B54F-4633-BC73-22B5C34F629C}"/>
    <cellStyle name="Migliaia 35 5 3" xfId="6485" xr:uid="{EE76A570-0496-40AC-AA55-E50AC5AA6363}"/>
    <cellStyle name="Migliaia 35 5 3 2" xfId="33886" xr:uid="{3EF6AB6E-BFA9-4D2E-87E6-5E1E0F96DD85}"/>
    <cellStyle name="Migliaia 35 5 3 2 2" xfId="39406" xr:uid="{03119E66-DCEF-4D5C-9447-4FC6802DEBB9}"/>
    <cellStyle name="Migliaia 35 5 3 2 3" xfId="44708" xr:uid="{22D2B11D-360F-4E1B-BF8C-E373EEEDE172}"/>
    <cellStyle name="Migliaia 35 5 3 3" xfId="36829" xr:uid="{49A24943-7602-4F5B-964A-5FAED1DBA636}"/>
    <cellStyle name="Migliaia 35 5 3 4" xfId="42057" xr:uid="{99FE968F-9810-4785-9C42-3E579AE3DA7F}"/>
    <cellStyle name="Migliaia 35 5 3 5" xfId="11351" xr:uid="{5BF24C92-1416-4411-A355-872D5440F1F4}"/>
    <cellStyle name="Migliaia 35 5 4" xfId="3564" xr:uid="{94374BC8-007D-4B93-9748-A5CAC2297803}"/>
    <cellStyle name="Migliaia 35 5 4 2" xfId="21512" xr:uid="{0B21B8A7-88AD-4422-97F3-18100E69AE82}"/>
    <cellStyle name="Migliaia 35 5 4 2 2" xfId="39407" xr:uid="{DAA12D58-63C9-48D2-A4D5-AFE37612D11D}"/>
    <cellStyle name="Migliaia 35 5 4 2 3" xfId="44709" xr:uid="{9D29C497-512A-4DFF-9B94-AC2EC2303E6A}"/>
    <cellStyle name="Migliaia 35 5 4 2 4" xfId="33887" xr:uid="{AF972F48-1C0C-447C-B509-9275C06FBF12}"/>
    <cellStyle name="Migliaia 35 5 4 3" xfId="36830" xr:uid="{CD55B112-6B46-4CFE-A98C-B91AE0DBE8B9}"/>
    <cellStyle name="Migliaia 35 5 4 4" xfId="42058" xr:uid="{FBFDFCD1-3C08-4015-88BE-F992FB098739}"/>
    <cellStyle name="Migliaia 35 5 4 5" xfId="24828" xr:uid="{68D71050-2F7D-429B-A94C-C97C7BDD5975}"/>
    <cellStyle name="Migliaia 35 5 4 6" xfId="46647" xr:uid="{84496E69-BE70-4C4E-BAAE-567222DB8F05}"/>
    <cellStyle name="Migliaia 35 5 4 7" xfId="50527" xr:uid="{E358B751-9EE7-461C-A026-E0DA384CE532}"/>
    <cellStyle name="Migliaia 35 5 4 8" xfId="53543" xr:uid="{3B948F3B-2483-4538-89C7-9B535570DF0E}"/>
    <cellStyle name="Migliaia 35 5 4 9" xfId="10877" xr:uid="{2DBDC068-5104-4F66-9FB7-B00EA95499CA}"/>
    <cellStyle name="Migliaia 35 5 5" xfId="20465" xr:uid="{47D7689B-1B88-4ADB-A513-7CD80108D759}"/>
    <cellStyle name="Migliaia 35 5 5 2" xfId="33888" xr:uid="{A90EC565-3479-4AD3-A39E-CFDFBF6788E3}"/>
    <cellStyle name="Migliaia 35 5 5 2 2" xfId="39408" xr:uid="{129733FF-A0D2-4211-864C-C884F9ACDEFD}"/>
    <cellStyle name="Migliaia 35 5 5 2 3" xfId="44710" xr:uid="{F8D5C75C-874B-4813-9F75-ECDB5EC15A53}"/>
    <cellStyle name="Migliaia 35 5 5 3" xfId="36831" xr:uid="{27C11B8F-714E-47AA-93A3-30941DA172C8}"/>
    <cellStyle name="Migliaia 35 5 5 4" xfId="42059" xr:uid="{D15BE125-0FF6-47DC-ADA9-2E5B8ADDFE3E}"/>
    <cellStyle name="Migliaia 35 5 5 5" xfId="24829" xr:uid="{DC30E029-432D-4D6D-83FC-94286D671591}"/>
    <cellStyle name="Migliaia 35 5 6" xfId="24830" xr:uid="{5AB9CAC0-9F7A-451D-B91F-FE0462954D66}"/>
    <cellStyle name="Migliaia 35 5 6 2" xfId="33889" xr:uid="{D7C7CC31-E444-418B-A2EE-DD429A37E337}"/>
    <cellStyle name="Migliaia 35 5 6 2 2" xfId="39409" xr:uid="{FA604420-661E-438B-A81F-2C3E99C3EBA8}"/>
    <cellStyle name="Migliaia 35 5 6 2 3" xfId="44711" xr:uid="{62CBDB63-9911-41E6-BE69-E036DBB886A3}"/>
    <cellStyle name="Migliaia 35 5 6 3" xfId="36832" xr:uid="{72C73C07-B6EF-4180-8BEC-1085C52215BF}"/>
    <cellStyle name="Migliaia 35 5 6 4" xfId="42060" xr:uid="{E112AFF7-F942-4515-B4A0-F0634F70E94C}"/>
    <cellStyle name="Migliaia 35 5 7" xfId="24827" xr:uid="{43FF2E90-CC85-44DE-B573-9DFFCB4C74E5}"/>
    <cellStyle name="Migliaia 35 5 8" xfId="7463" xr:uid="{5B073F7B-F209-4EAA-BD47-57F51C84B7B7}"/>
    <cellStyle name="Migliaia 35 6" xfId="3565" xr:uid="{0C2A6FD4-6854-4ED7-8030-75CD32492CDE}"/>
    <cellStyle name="Migliaia 35 6 2" xfId="5291" xr:uid="{48607B30-DF11-4331-9593-06FDFE3EE885}"/>
    <cellStyle name="Migliaia 35 6 2 2" xfId="9937" xr:uid="{74B25587-2B06-4140-964A-C288C8B6B02E}"/>
    <cellStyle name="Migliaia 35 6 2 3" xfId="18652" xr:uid="{5C0D19D4-5C3A-430A-A8D8-6DDB02C2E84A}"/>
    <cellStyle name="Migliaia 35 6 2 4" xfId="20468" xr:uid="{2FDCFBB9-AACE-46D7-9BB9-F4D8BBB05B67}"/>
    <cellStyle name="Migliaia 35 6 2 5" xfId="32388" xr:uid="{AB822C86-1277-46D8-A8D9-5CB412FAD036}"/>
    <cellStyle name="Migliaia 35 6 2 6" xfId="16456" xr:uid="{867C6B69-4428-48D6-916C-4DD8B01858D6}"/>
    <cellStyle name="Migliaia 35 6 2 7" xfId="8648" xr:uid="{2443E355-A005-434B-8D41-5C30BB7AEAE0}"/>
    <cellStyle name="Migliaia 35 6 3" xfId="6486" xr:uid="{DC451F01-9A36-4B6E-85B0-9E9047F31AC1}"/>
    <cellStyle name="Migliaia 35 6 3 2" xfId="35323" xr:uid="{A0FFE97A-EC62-453F-9BED-BB421F01B531}"/>
    <cellStyle name="Migliaia 35 6 3 2 2" xfId="40483" xr:uid="{77D05696-183F-4F9A-BA83-43BA02DBDD5B}"/>
    <cellStyle name="Migliaia 35 6 3 2 3" xfId="45785" xr:uid="{3A96A62E-ADC1-4023-9747-0998539EA018}"/>
    <cellStyle name="Migliaia 35 6 3 3" xfId="37832" xr:uid="{8DF8B9B7-5B4B-41AA-AF41-B4A94FD70C51}"/>
    <cellStyle name="Migliaia 35 6 3 4" xfId="43134" xr:uid="{A0550689-E6D7-47BF-808C-4FD82175BEA4}"/>
    <cellStyle name="Migliaia 35 6 3 5" xfId="9700" xr:uid="{3C54D171-E305-4E64-955E-781967F5358E}"/>
    <cellStyle name="Migliaia 35 6 4" xfId="20467" xr:uid="{6140B958-1E2C-45B5-947C-CB204AE5F34E}"/>
    <cellStyle name="Migliaia 35 6 4 2" xfId="39410" xr:uid="{0880D4CB-22D8-4E5D-A2CD-67FF1C5199FB}"/>
    <cellStyle name="Migliaia 35 6 4 3" xfId="44712" xr:uid="{A5020943-3E6E-4D1F-9BE3-D60948902D23}"/>
    <cellStyle name="Migliaia 35 6 4 4" xfId="33890" xr:uid="{AE3A75B0-A20A-4B92-B966-2D6B4386450C}"/>
    <cellStyle name="Migliaia 35 6 5" xfId="36833" xr:uid="{157CB875-1DE6-4220-80CA-E850EDF2118E}"/>
    <cellStyle name="Migliaia 35 6 6" xfId="42061" xr:uid="{9926A732-F570-4E0C-98E8-C9665BBD686A}"/>
    <cellStyle name="Migliaia 35 6 7" xfId="16455" xr:uid="{0D1DADC9-062A-4F9C-8E20-33EF1BB91B42}"/>
    <cellStyle name="Migliaia 35 6 8" xfId="7458" xr:uid="{8F486B74-2F91-4682-951D-7A8A936085CC}"/>
    <cellStyle name="Migliaia 35 7" xfId="3566" xr:uid="{09736CBB-06E8-43BD-945A-6FDFEDEDB61E}"/>
    <cellStyle name="Migliaia 35 7 2" xfId="5292" xr:uid="{F175D549-3DF5-4C55-BECA-344628AB40D4}"/>
    <cellStyle name="Migliaia 35 7 2 2" xfId="35324" xr:uid="{6FB71A25-3574-4A45-B016-2BE1012C91CD}"/>
    <cellStyle name="Migliaia 35 7 2 2 2" xfId="40484" xr:uid="{12F01579-C37D-4387-84DB-61ACD9B8D8F2}"/>
    <cellStyle name="Migliaia 35 7 2 2 3" xfId="45786" xr:uid="{B763B012-EFD1-4BA9-B428-9A6F6DD65C02}"/>
    <cellStyle name="Migliaia 35 7 2 3" xfId="37833" xr:uid="{F4BEE7C8-72EB-452C-9107-94892980EC06}"/>
    <cellStyle name="Migliaia 35 7 2 4" xfId="43135" xr:uid="{BDE69DAF-66F7-4E6E-808B-BAEF017C5C8C}"/>
    <cellStyle name="Migliaia 35 7 2 5" xfId="14263" xr:uid="{D1099C47-6B11-4565-9BFA-E3A34426DD67}"/>
    <cellStyle name="Migliaia 35 7 3" xfId="6487" xr:uid="{31551E26-229C-4694-A2D1-5E7FBB850269}"/>
    <cellStyle name="Migliaia 35 7 3 2" xfId="39411" xr:uid="{2C63AAB3-F48D-4042-85E3-810B34D825CD}"/>
    <cellStyle name="Migliaia 35 7 3 3" xfId="44713" xr:uid="{49A09A57-39F7-41C2-A707-0B32F8C86B6A}"/>
    <cellStyle name="Migliaia 35 7 3 4" xfId="33891" xr:uid="{BCEE3138-1D86-4737-8C8C-ACE4E6942E22}"/>
    <cellStyle name="Migliaia 35 7 3 5" xfId="20469" xr:uid="{FCCA1C70-3660-4218-95C3-F93DA30E1A63}"/>
    <cellStyle name="Migliaia 35 7 4" xfId="36834" xr:uid="{0996F85A-FFBC-4C92-BD04-1618766DC3AE}"/>
    <cellStyle name="Migliaia 35 7 5" xfId="42062" xr:uid="{DCA5E211-5DBA-4E13-9911-B15FF2ED0160}"/>
    <cellStyle name="Migliaia 35 7 6" xfId="16457" xr:uid="{20779983-284F-426D-BB15-30F9E475E1AD}"/>
    <cellStyle name="Migliaia 35 7 7" xfId="8325" xr:uid="{125B703B-F1AF-4672-871F-B6B20EE755A3}"/>
    <cellStyle name="Migliaia 35 8" xfId="3567" xr:uid="{AE5B4270-ADF2-4249-B464-25000DD77339}"/>
    <cellStyle name="Migliaia 35 8 2" xfId="5293" xr:uid="{C91E9C74-18BE-4FA0-B260-D93822CA9336}"/>
    <cellStyle name="Migliaia 35 8 2 2" xfId="35325" xr:uid="{02BE8B85-15BC-4970-9A4A-7326AF702FDF}"/>
    <cellStyle name="Migliaia 35 8 2 2 2" xfId="40485" xr:uid="{78FF6C24-0DF2-4533-B71D-D9BAA8C2DC52}"/>
    <cellStyle name="Migliaia 35 8 2 2 3" xfId="45787" xr:uid="{AA605970-11D5-48C4-AF2E-8FBE760ABFBE}"/>
    <cellStyle name="Migliaia 35 8 2 3" xfId="37834" xr:uid="{712D8017-76C5-49BA-BF34-E2C2B2B28E5F}"/>
    <cellStyle name="Migliaia 35 8 2 4" xfId="43136" xr:uid="{B2F1EFB2-CDC3-47B1-A420-04445CB8CC5F}"/>
    <cellStyle name="Migliaia 35 8 2 5" xfId="13968" xr:uid="{3D982A42-CA1F-4402-B87A-E6053BA672A4}"/>
    <cellStyle name="Migliaia 35 8 3" xfId="6488" xr:uid="{056436A4-BC54-48D1-BF1D-920FF474E682}"/>
    <cellStyle name="Migliaia 35 8 3 2" xfId="39412" xr:uid="{4B2CA245-AD7B-47F8-A713-AE7A0C1A23CD}"/>
    <cellStyle name="Migliaia 35 8 3 3" xfId="44714" xr:uid="{3B8E5BA2-D8C2-40E7-9027-6E35C56E6413}"/>
    <cellStyle name="Migliaia 35 8 3 4" xfId="33892" xr:uid="{A63E6039-DE2E-4B51-8303-27B31C7F187C}"/>
    <cellStyle name="Migliaia 35 8 3 5" xfId="20470" xr:uid="{A7BFAD9F-23C9-4BB2-81B9-AC3B9CFBD025}"/>
    <cellStyle name="Migliaia 35 8 4" xfId="36835" xr:uid="{09877D2C-54DB-42DE-84C1-7B9A4BEC4492}"/>
    <cellStyle name="Migliaia 35 8 5" xfId="42063" xr:uid="{38BE1EB5-6AB4-446C-B6E7-0ECDC3E42804}"/>
    <cellStyle name="Migliaia 35 8 6" xfId="16458" xr:uid="{6E4BA90A-6B91-444F-B609-F2DFBD277BF7}"/>
    <cellStyle name="Migliaia 35 8 7" xfId="7934" xr:uid="{3B9E637D-531F-4EC7-A021-3F1A09B8AF5F}"/>
    <cellStyle name="Migliaia 35 9" xfId="5278" xr:uid="{E787675B-E37C-4085-B9D5-680642A3BCB9}"/>
    <cellStyle name="Migliaia 35 9 2" xfId="33893" xr:uid="{2547D8A3-AA70-427C-93AC-177088C4C32A}"/>
    <cellStyle name="Migliaia 35 9 2 2" xfId="39413" xr:uid="{91EDC5A3-CE25-463A-AD51-4A9F4D2E3312}"/>
    <cellStyle name="Migliaia 35 9 2 3" xfId="44715" xr:uid="{376FA4DE-1C0C-40A6-8EF0-9D354A331F37}"/>
    <cellStyle name="Migliaia 35 9 3" xfId="36836" xr:uid="{39B0B3ED-949B-4E89-ABEC-883184C080EA}"/>
    <cellStyle name="Migliaia 35 9 4" xfId="42064" xr:uid="{0BDF31E5-3D37-4526-AB01-55C7A060DD9F}"/>
    <cellStyle name="Migliaia 35 9 5" xfId="17191" xr:uid="{9F07CAE0-E765-4173-9E96-422063B51408}"/>
    <cellStyle name="Migliaia 36" xfId="417" xr:uid="{00000000-0005-0000-0000-0000C4030000}"/>
    <cellStyle name="Migliaia 36 10" xfId="6489" xr:uid="{4EBF4E20-80F2-4EFB-B5A1-5DB72C738E78}"/>
    <cellStyle name="Migliaia 36 10 2" xfId="39414" xr:uid="{1B77723C-02D2-4253-A113-3407F725F674}"/>
    <cellStyle name="Migliaia 36 10 3" xfId="44716" xr:uid="{224B1FA7-794C-46D9-8799-89FF763F1527}"/>
    <cellStyle name="Migliaia 36 10 4" xfId="33894" xr:uid="{CD423B10-289B-4E57-B56B-371E0BA56BF3}"/>
    <cellStyle name="Migliaia 36 10 5" xfId="20471" xr:uid="{A4FC67D3-E1B6-47F6-8BE1-C06EE131325D}"/>
    <cellStyle name="Migliaia 36 11" xfId="3568" xr:uid="{58C08506-521C-4522-812C-5607456F48EC}"/>
    <cellStyle name="Migliaia 36 11 2" xfId="36837" xr:uid="{AA0BA897-14D6-4DF6-AEE1-9985FB89A781}"/>
    <cellStyle name="Migliaia 36 12" xfId="42065" xr:uid="{BD443297-653A-4A39-8FE3-ABC3BA9E84CF}"/>
    <cellStyle name="Migliaia 36 13" xfId="7129" xr:uid="{78745416-15C0-4FDC-8ECC-0D74A4A18205}"/>
    <cellStyle name="Migliaia 36 2" xfId="418" xr:uid="{00000000-0005-0000-0000-0000C5030000}"/>
    <cellStyle name="Migliaia 36 2 2" xfId="1801" xr:uid="{00000000-0005-0000-0000-0000C6030000}"/>
    <cellStyle name="Migliaia 36 2 2 2" xfId="5296" xr:uid="{87AB162F-C46D-4D3E-9D83-23DF47E7BF86}"/>
    <cellStyle name="Migliaia 36 2 2 2 2" xfId="14392" xr:uid="{97D12C7B-0BCA-4A37-9A0A-88AA9F7377D9}"/>
    <cellStyle name="Migliaia 36 2 2 2 2 2" xfId="39415" xr:uid="{7D0EDCE4-4346-4897-AF86-0471B06D0CB8}"/>
    <cellStyle name="Migliaia 36 2 2 2 2 3" xfId="44717" xr:uid="{FD8392DE-1DA6-4090-A0B1-D2BB82F98A0C}"/>
    <cellStyle name="Migliaia 36 2 2 2 3" xfId="18449" xr:uid="{8623052E-E55D-468F-98E8-5A999E1BCBF7}"/>
    <cellStyle name="Migliaia 36 2 2 2 4" xfId="20474" xr:uid="{141BF681-F26C-4A8B-80E7-BE724A19330F}"/>
    <cellStyle name="Migliaia 36 2 2 2 4 2" xfId="42066" xr:uid="{C8F3E92B-3763-487C-87D7-8E53A0901DD8}"/>
    <cellStyle name="Migliaia 36 2 2 2 5" xfId="16459" xr:uid="{81D1D569-C2C4-4B82-A382-5F13DDFC5383}"/>
    <cellStyle name="Migliaia 36 2 2 2 6" xfId="8655" xr:uid="{0DE3CDD1-EB14-47CE-AFBA-D9D69D1034C9}"/>
    <cellStyle name="Migliaia 36 2 2 3" xfId="6491" xr:uid="{79B82C90-20C7-43F5-A25A-6BB448AFF5C5}"/>
    <cellStyle name="Migliaia 36 2 2 3 2" xfId="35326" xr:uid="{6882CD6B-5C2F-472D-BEBB-D42706D862AF}"/>
    <cellStyle name="Migliaia 36 2 2 3 2 2" xfId="40486" xr:uid="{FC2300A7-B81E-4038-AA2A-39E3AD4B4141}"/>
    <cellStyle name="Migliaia 36 2 2 3 2 3" xfId="45788" xr:uid="{B4A85D73-A2C6-4F6C-AD85-BF0EB592B23E}"/>
    <cellStyle name="Migliaia 36 2 2 3 3" xfId="37835" xr:uid="{635350B5-777A-4E18-85BA-D676CBCE2BA9}"/>
    <cellStyle name="Migliaia 36 2 2 3 4" xfId="43137" xr:uid="{556C4E30-2615-483E-A2DF-CC9A3BE671D1}"/>
    <cellStyle name="Migliaia 36 2 2 3 5" xfId="11619" xr:uid="{C8675D5F-EAAD-488A-9445-A4CD5E3E97A2}"/>
    <cellStyle name="Migliaia 36 2 2 4" xfId="3570" xr:uid="{B6888A4E-D4EF-4401-B7E7-4950A8660E79}"/>
    <cellStyle name="Migliaia 36 2 2 4 2" xfId="21513" xr:uid="{8AE00B50-A1F6-490C-B2D7-E47ECD1693B9}"/>
    <cellStyle name="Migliaia 36 2 2 4 3" xfId="47677" xr:uid="{CD910940-C325-43A5-83F2-2F835A9DC051}"/>
    <cellStyle name="Migliaia 36 2 2 4 4" xfId="50528" xr:uid="{0D78005E-0E2D-4987-B8EB-4A8995B4A86E}"/>
    <cellStyle name="Migliaia 36 2 2 4 5" xfId="53544" xr:uid="{8E7BE9D5-743D-4839-9748-D6028AF7E5AE}"/>
    <cellStyle name="Migliaia 36 2 2 4 6" xfId="10878" xr:uid="{A6741AE2-8C7D-4A56-8F8A-ECD1D8B20579}"/>
    <cellStyle name="Migliaia 36 2 2 5" xfId="20473" xr:uid="{F343B374-A2F7-4EE7-A150-AA62DE8A4D8C}"/>
    <cellStyle name="Migliaia 36 2 2 6" xfId="24832" xr:uid="{52F02520-E755-4942-B6B7-E44B6CBAE4E6}"/>
    <cellStyle name="Migliaia 36 2 2 7" xfId="7465" xr:uid="{B7B4C0CC-0A66-4593-A5D4-F1FD786033C6}"/>
    <cellStyle name="Migliaia 36 2 3" xfId="3571" xr:uid="{8094135A-E435-4DA3-AA1A-041A3D620BE6}"/>
    <cellStyle name="Migliaia 36 2 3 2" xfId="5297" xr:uid="{9113FBDD-7221-4DC3-A464-F40898443AB4}"/>
    <cellStyle name="Migliaia 36 2 3 2 2" xfId="35327" xr:uid="{48FA998B-E839-45E7-83CE-F949C4080F0B}"/>
    <cellStyle name="Migliaia 36 2 3 2 2 2" xfId="40487" xr:uid="{284E1EDF-43D4-4FAB-B640-FEFDF9FFD535}"/>
    <cellStyle name="Migliaia 36 2 3 2 2 3" xfId="45789" xr:uid="{4BAE88DF-4E50-477D-99E1-9CA1EA40F9A2}"/>
    <cellStyle name="Migliaia 36 2 3 2 3" xfId="37836" xr:uid="{7BE50D8D-B8F5-4094-9570-E4148A657E9F}"/>
    <cellStyle name="Migliaia 36 2 3 2 4" xfId="43138" xr:uid="{D7070C03-0F43-4D39-A94B-6E8183EDB41A}"/>
    <cellStyle name="Migliaia 36 2 3 2 5" xfId="14267" xr:uid="{68088151-924D-4CAE-8CE3-71ACE08025FC}"/>
    <cellStyle name="Migliaia 36 2 3 3" xfId="6492" xr:uid="{5876BC9E-63CF-427D-BDF3-1400CC098E78}"/>
    <cellStyle name="Migliaia 36 2 3 3 2" xfId="39416" xr:uid="{C7F225D3-1124-422A-A22B-B6EDE41001EA}"/>
    <cellStyle name="Migliaia 36 2 3 3 3" xfId="44718" xr:uid="{71ED1ACD-3FAE-4AF0-8B58-EABD109E927D}"/>
    <cellStyle name="Migliaia 36 2 3 3 4" xfId="33895" xr:uid="{405B30BB-A270-4AA0-826C-A7CF357671A6}"/>
    <cellStyle name="Migliaia 36 2 3 3 5" xfId="20475" xr:uid="{8FFD3A4A-105F-4EB3-84A2-C552E2B03D7D}"/>
    <cellStyle name="Migliaia 36 2 3 4" xfId="36838" xr:uid="{3701ABCE-18F7-487C-B26A-43AFD0680A05}"/>
    <cellStyle name="Migliaia 36 2 3 5" xfId="42067" xr:uid="{5F3055B3-5D99-4E0B-B9D1-47D2F052E433}"/>
    <cellStyle name="Migliaia 36 2 3 6" xfId="16460" xr:uid="{62748B07-05F0-4EE2-A06A-03EC7EFD6D1D}"/>
    <cellStyle name="Migliaia 36 2 3 7" xfId="8329" xr:uid="{AAEFA122-BD25-4112-86DE-9B08CD50D5CE}"/>
    <cellStyle name="Migliaia 36 2 4" xfId="5295" xr:uid="{0384A640-D228-4056-99ED-66E3F6E79D3E}"/>
    <cellStyle name="Migliaia 36 2 4 2" xfId="13972" xr:uid="{47E2B3DC-375E-4DDD-8D72-EC3580CFF202}"/>
    <cellStyle name="Migliaia 36 2 4 2 2" xfId="39417" xr:uid="{ADB7633C-C35B-404F-AC05-FDAEF3634CCE}"/>
    <cellStyle name="Migliaia 36 2 4 2 3" xfId="44719" xr:uid="{E9E5FA52-D1E5-40E7-8E17-D66EB319193C}"/>
    <cellStyle name="Migliaia 36 2 4 3" xfId="18612" xr:uid="{B78D1614-897C-4FA0-9EA7-2AB879C9DF28}"/>
    <cellStyle name="Migliaia 36 2 4 4" xfId="20476" xr:uid="{DE71B8A1-8072-4123-B369-3CDE6E9CD971}"/>
    <cellStyle name="Migliaia 36 2 4 4 2" xfId="42068" xr:uid="{E611F0A1-9F82-4ABD-B8F1-C2F8473CDC46}"/>
    <cellStyle name="Migliaia 36 2 4 5" xfId="16461" xr:uid="{D4D7031C-B9DF-4013-8699-94B25270819C}"/>
    <cellStyle name="Migliaia 36 2 4 6" xfId="7939" xr:uid="{5DBC49E1-8100-4088-9734-1339BA9CFF28}"/>
    <cellStyle name="Migliaia 36 2 5" xfId="6490" xr:uid="{EC78BB23-7BE4-4354-A845-48A8F1BB148E}"/>
    <cellStyle name="Migliaia 36 2 5 2" xfId="33896" xr:uid="{79499D13-3108-44C0-914E-F3892B16ECD7}"/>
    <cellStyle name="Migliaia 36 2 5 2 2" xfId="39418" xr:uid="{182B7427-7DBA-4947-9528-6EEB055D82E3}"/>
    <cellStyle name="Migliaia 36 2 5 2 3" xfId="44720" xr:uid="{DEE5C170-2F07-4C2F-870F-0ADDE6976057}"/>
    <cellStyle name="Migliaia 36 2 5 3" xfId="36839" xr:uid="{46124F6F-891C-486F-B163-A18644F2802B}"/>
    <cellStyle name="Migliaia 36 2 5 4" xfId="42069" xr:uid="{D9DC65B5-A46E-4637-9411-A679225AE683}"/>
    <cellStyle name="Migliaia 36 2 5 5" xfId="13132" xr:uid="{904B0CB1-A8B0-47A0-A121-5DD75295368A}"/>
    <cellStyle name="Migliaia 36 2 6" xfId="3569" xr:uid="{6CD0B3D0-A4CE-4EDF-B1C6-2FA6BBC8FAE6}"/>
    <cellStyle name="Migliaia 36 2 6 2" xfId="33897" xr:uid="{AC9EB05A-F31B-4D48-8BBF-A48744B194B2}"/>
    <cellStyle name="Migliaia 36 2 6 2 2" xfId="39419" xr:uid="{4D192AF3-A505-4228-A62E-BAE1C644D6A5}"/>
    <cellStyle name="Migliaia 36 2 6 2 3" xfId="44721" xr:uid="{FC0F1878-F7C7-4246-A96C-91475F48FAF4}"/>
    <cellStyle name="Migliaia 36 2 6 3" xfId="36840" xr:uid="{D2A66AB2-44A5-40F6-A003-28DDCEFAB18C}"/>
    <cellStyle name="Migliaia 36 2 6 4" xfId="42070" xr:uid="{9386AA56-5CE8-4479-BF5C-C0443A311A5A}"/>
    <cellStyle name="Migliaia 36 2 6 5" xfId="24833" xr:uid="{04DA511E-C193-4F1F-A2D9-1C77B5D40DCF}"/>
    <cellStyle name="Migliaia 36 2 6 6" xfId="20472" xr:uid="{4FE9DDF1-899F-474D-BFC9-E49F90B81F95}"/>
    <cellStyle name="Migliaia 36 2 7" xfId="24831" xr:uid="{8080D3BE-4741-4CCB-BFDE-3083AB10172C}"/>
    <cellStyle name="Migliaia 36 2 8" xfId="7130" xr:uid="{7ACEB17C-22D0-4F82-A6CE-9FCB3AC3C7CA}"/>
    <cellStyle name="Migliaia 36 3" xfId="419" xr:uid="{00000000-0005-0000-0000-0000C7030000}"/>
    <cellStyle name="Migliaia 36 3 10" xfId="24834" xr:uid="{05C2ED4A-C77C-4DE8-BDF3-9318CF8AF51C}"/>
    <cellStyle name="Migliaia 36 3 11" xfId="16462" xr:uid="{93EEF814-95F1-433E-ACB6-A6288DF9E7C6}"/>
    <cellStyle name="Migliaia 36 3 12" xfId="7131" xr:uid="{BDA04A7A-A35C-4D8F-A3BC-074B9F13A69B}"/>
    <cellStyle name="Migliaia 36 3 2" xfId="420" xr:uid="{00000000-0005-0000-0000-0000C8030000}"/>
    <cellStyle name="Migliaia 36 3 2 2" xfId="1802" xr:uid="{00000000-0005-0000-0000-0000C9030000}"/>
    <cellStyle name="Migliaia 36 3 2 2 2" xfId="5300" xr:uid="{A68C6E22-AFB7-4031-B00E-51E5168B3A9A}"/>
    <cellStyle name="Migliaia 36 3 2 2 2 2" xfId="18450" xr:uid="{0AE75AE1-C918-49FE-B773-7453C6F66CAC}"/>
    <cellStyle name="Migliaia 36 3 2 2 2 2 2" xfId="21870" xr:uid="{CBA4D7FF-7D4E-444D-A397-C074200AB5FB}"/>
    <cellStyle name="Migliaia 36 3 2 2 2 2 2 2" xfId="39420" xr:uid="{D30E7227-BCC3-4BB1-8D77-DFEEF75F037A}"/>
    <cellStyle name="Migliaia 36 3 2 2 2 2 3" xfId="44722" xr:uid="{9047D978-95A7-49BF-A0DF-614AABD38FD0}"/>
    <cellStyle name="Migliaia 36 3 2 2 2 2 4" xfId="33898" xr:uid="{3A1F09CD-B7EB-4ABD-B787-F96F3B573FB2}"/>
    <cellStyle name="Migliaia 36 3 2 2 2 3" xfId="36841" xr:uid="{CECBA0DC-1C8A-47FA-AA63-5872CF081AA0}"/>
    <cellStyle name="Migliaia 36 3 2 2 2 4" xfId="42071" xr:uid="{3B6EB353-F640-47B3-A743-F97E75D1BABB}"/>
    <cellStyle name="Migliaia 36 3 2 2 2 5" xfId="34221" xr:uid="{864F0341-1164-4D0D-B3F1-81C68DE0FB7D}"/>
    <cellStyle name="Migliaia 36 3 2 2 2 6" xfId="50898" xr:uid="{A58A1FD4-4DBF-4941-A2A0-0952F9695287}"/>
    <cellStyle name="Migliaia 36 3 2 2 2 7" xfId="53914" xr:uid="{CC32B9F3-9D61-4546-AB29-DF7D86DBDA99}"/>
    <cellStyle name="Migliaia 36 3 2 2 2 8" xfId="17667" xr:uid="{134703B5-8509-42BE-AA88-E871B3DC78B6}"/>
    <cellStyle name="Migliaia 36 3 2 2 2 9" xfId="12003" xr:uid="{ED95BD90-8DAE-4314-86FA-DEA4114A027B}"/>
    <cellStyle name="Migliaia 36 3 2 2 3" xfId="6495" xr:uid="{992A68F2-B6EC-4E0D-8040-E303B710EE84}"/>
    <cellStyle name="Migliaia 36 3 2 2 3 2" xfId="12173" xr:uid="{55C2DC19-72E6-4D9D-A6FD-958E8F0E0F22}"/>
    <cellStyle name="Migliaia 36 3 2 2 4" xfId="3574" xr:uid="{337A7159-65BB-44AF-B25E-1C075E098118}"/>
    <cellStyle name="Migliaia 36 3 2 2 4 2" xfId="21514" xr:uid="{4A479141-B22A-48B3-B810-8362F3F668A4}"/>
    <cellStyle name="Migliaia 36 3 2 2 4 3" xfId="48282" xr:uid="{4BDE52A2-7AD3-432A-A9FF-34341121F1FC}"/>
    <cellStyle name="Migliaia 36 3 2 2 4 4" xfId="50529" xr:uid="{AAE8042A-D213-4B56-A5EF-BFF828BBC076}"/>
    <cellStyle name="Migliaia 36 3 2 2 4 5" xfId="53545" xr:uid="{58BAC94D-2C82-4CF2-ADD7-B9AFE8DD4657}"/>
    <cellStyle name="Migliaia 36 3 2 2 4 6" xfId="10879" xr:uid="{93DDFA7C-F657-4C3D-BF3F-4BF7FB6E34E2}"/>
    <cellStyle name="Migliaia 36 3 2 2 5" xfId="20479" xr:uid="{CB935A20-7E65-42E6-AD15-ADDD65223421}"/>
    <cellStyle name="Migliaia 36 3 2 2 6" xfId="24836" xr:uid="{FA882C5B-F746-4FEC-89ED-0F15DD54C48C}"/>
    <cellStyle name="Migliaia 36 3 2 2 7" xfId="8657" xr:uid="{8E912580-E3FF-4ECB-9BEA-E94AD99073AB}"/>
    <cellStyle name="Migliaia 36 3 2 3" xfId="5299" xr:uid="{4154503D-E0A1-442E-B8FA-37ACEAAF403B}"/>
    <cellStyle name="Migliaia 36 3 2 3 2" xfId="11545" xr:uid="{E0862835-E32A-45B1-82A4-C44905CF8463}"/>
    <cellStyle name="Migliaia 36 3 2 3 2 2" xfId="39421" xr:uid="{1882E14A-40F0-4839-AD03-2038782E9505}"/>
    <cellStyle name="Migliaia 36 3 2 3 2 3" xfId="44723" xr:uid="{BD8B55ED-CE25-4BC6-AF2D-8D7DBF37012F}"/>
    <cellStyle name="Migliaia 36 3 2 3 2 4" xfId="33899" xr:uid="{A12C6DBD-2C4B-41C3-8CB5-699C20695650}"/>
    <cellStyle name="Migliaia 36 3 2 3 3" xfId="12004" xr:uid="{87F9A3CA-C4A1-4DEB-A221-292BE76D45F5}"/>
    <cellStyle name="Migliaia 36 3 2 3 4" xfId="20480" xr:uid="{47279AB4-5F92-466D-88B9-E5341DC45542}"/>
    <cellStyle name="Migliaia 36 3 2 3 4 2" xfId="42072" xr:uid="{1C9683CF-A354-4243-B482-43D6EB002F69}"/>
    <cellStyle name="Migliaia 36 3 2 3 5" xfId="16463" xr:uid="{7F5B7541-03A9-48A5-A3B5-1D9DB21DA7B8}"/>
    <cellStyle name="Migliaia 36 3 2 3 6" xfId="7941" xr:uid="{E0DDB3A5-4BD1-4C87-8427-9CF237AA4B44}"/>
    <cellStyle name="Migliaia 36 3 2 4" xfId="6494" xr:uid="{579800BC-9E19-4ECE-B2ED-51F95B17AFCE}"/>
    <cellStyle name="Migliaia 36 3 2 4 2" xfId="18086" xr:uid="{9420A33A-3AF6-4CDF-B3A5-CD6A2545A258}"/>
    <cellStyle name="Migliaia 36 3 2 4 2 2" xfId="39422" xr:uid="{48FAA461-814A-4ABE-A930-17BBFB470268}"/>
    <cellStyle name="Migliaia 36 3 2 4 2 3" xfId="44724" xr:uid="{C60E253C-F9AE-4A41-9734-0A01B16B7134}"/>
    <cellStyle name="Migliaia 36 3 2 4 3" xfId="36842" xr:uid="{FC5AAA75-6372-468C-854A-452880F7B303}"/>
    <cellStyle name="Migliaia 36 3 2 4 4" xfId="42073" xr:uid="{0A589F53-445A-4FC7-81AD-C805EC45020E}"/>
    <cellStyle name="Migliaia 36 3 2 4 5" xfId="17194" xr:uid="{92C12346-4C87-49FD-ACF7-893389A2F5EE}"/>
    <cellStyle name="Migliaia 36 3 2 4 6" xfId="11352" xr:uid="{380D8714-9D64-4F16-995E-478CD1C79B53}"/>
    <cellStyle name="Migliaia 36 3 2 5" xfId="3573" xr:uid="{D32DA5F0-6200-40A4-A83D-F8DC007C46F0}"/>
    <cellStyle name="Migliaia 36 3 2 5 2" xfId="33900" xr:uid="{B5AA1899-310D-4457-96F4-A19D15177A85}"/>
    <cellStyle name="Migliaia 36 3 2 5 2 2" xfId="39423" xr:uid="{1F166513-3FB5-42DA-83BF-6BAE2BA23DC8}"/>
    <cellStyle name="Migliaia 36 3 2 5 2 3" xfId="44725" xr:uid="{117D172F-1121-4149-8278-A226CA6169F4}"/>
    <cellStyle name="Migliaia 36 3 2 5 3" xfId="36843" xr:uid="{75072238-E470-418E-B44D-3D1E316EAC9D}"/>
    <cellStyle name="Migliaia 36 3 2 5 4" xfId="42074" xr:uid="{82D8CDD8-82EB-40EA-822B-3511CE8A6713}"/>
    <cellStyle name="Migliaia 36 3 2 5 5" xfId="17339" xr:uid="{C4362ED0-CCE6-4D60-AD98-A7EAF93CB217}"/>
    <cellStyle name="Migliaia 36 3 2 6" xfId="20478" xr:uid="{7B628A51-F324-47CA-856B-4A33EBD4C146}"/>
    <cellStyle name="Migliaia 36 3 2 6 2" xfId="33901" xr:uid="{506C3313-B2B2-477C-8243-FB7131671C2E}"/>
    <cellStyle name="Migliaia 36 3 2 6 2 2" xfId="39424" xr:uid="{FAE582FA-1934-4136-9183-8E42E2C9ED2A}"/>
    <cellStyle name="Migliaia 36 3 2 6 2 3" xfId="44726" xr:uid="{C68E5F90-25AE-4075-A343-9D7B7DE60DD0}"/>
    <cellStyle name="Migliaia 36 3 2 6 3" xfId="36844" xr:uid="{7B41E84E-1FB0-4183-9806-67196AFC9401}"/>
    <cellStyle name="Migliaia 36 3 2 6 4" xfId="42075" xr:uid="{FE2CBC31-0DFB-45B2-B2BA-3CFAEF4E0FBC}"/>
    <cellStyle name="Migliaia 36 3 2 6 5" xfId="24837" xr:uid="{A70E5667-BF9B-4EB0-B703-EF400AF6100F}"/>
    <cellStyle name="Migliaia 36 3 2 7" xfId="24835" xr:uid="{C06817C7-AFD6-4F4E-A435-25B116BB4658}"/>
    <cellStyle name="Migliaia 36 3 2 8" xfId="7467" xr:uid="{03A560B9-4161-49C7-8AA6-0F0B07432838}"/>
    <cellStyle name="Migliaia 36 3 3" xfId="3575" xr:uid="{1DBB7E85-626C-42CC-8543-D54BD0C386D4}"/>
    <cellStyle name="Migliaia 36 3 3 10" xfId="7466" xr:uid="{AE4E723B-C728-4774-A0E5-13B840D4DABD}"/>
    <cellStyle name="Migliaia 36 3 3 2" xfId="5301" xr:uid="{3A0810FC-82D8-485D-B108-E6ABE8150B57}"/>
    <cellStyle name="Migliaia 36 3 3 2 2" xfId="9940" xr:uid="{0E045777-23DA-405D-8422-D1A78FB4E193}"/>
    <cellStyle name="Migliaia 36 3 3 2 2 2" xfId="39426" xr:uid="{5A94322E-24B1-42B6-A3CE-C4FA798C3852}"/>
    <cellStyle name="Migliaia 36 3 3 2 2 3" xfId="44728" xr:uid="{362060BC-8FF0-4494-A546-F09F3FF4CF19}"/>
    <cellStyle name="Migliaia 36 3 3 2 3" xfId="18220" xr:uid="{B223D836-8D43-4A0E-8F46-144F9184F6C9}"/>
    <cellStyle name="Migliaia 36 3 3 2 4" xfId="20482" xr:uid="{BBA352EF-4EB5-49B2-94D9-6B01DB85D091}"/>
    <cellStyle name="Migliaia 36 3 3 2 4 2" xfId="42077" xr:uid="{69748A5B-9D5D-47F7-BC23-1C6AFE637931}"/>
    <cellStyle name="Migliaia 36 3 3 2 5" xfId="16465" xr:uid="{459BB27F-5947-434F-99F9-BDC8E38C103B}"/>
    <cellStyle name="Migliaia 36 3 3 2 6" xfId="8656" xr:uid="{046E0377-7A17-4434-9D44-9A8192E5BEBE}"/>
    <cellStyle name="Migliaia 36 3 3 3" xfId="6496" xr:uid="{03093440-5518-4180-BE9E-119CCD99DE4E}"/>
    <cellStyle name="Migliaia 36 3 3 3 2" xfId="33903" xr:uid="{C3E8F64E-216D-4A98-8955-3F649B8C1CC3}"/>
    <cellStyle name="Migliaia 36 3 3 3 2 2" xfId="39427" xr:uid="{2E5D69F1-D2AF-4AB7-B4D4-4E7B5BC05D9D}"/>
    <cellStyle name="Migliaia 36 3 3 3 2 3" xfId="44729" xr:uid="{47B782FE-680D-4023-AF18-2E3D71878C16}"/>
    <cellStyle name="Migliaia 36 3 3 3 3" xfId="36846" xr:uid="{057D4F3A-C5F0-441A-806E-6F80D754F3A9}"/>
    <cellStyle name="Migliaia 36 3 3 3 4" xfId="42078" xr:uid="{44A17FD5-1BCD-4EF2-B9C4-2ECF294912D3}"/>
    <cellStyle name="Migliaia 36 3 3 3 5" xfId="9703" xr:uid="{DB5C8FDD-64DE-49CC-8C0A-A31D2CB08C04}"/>
    <cellStyle name="Migliaia 36 3 3 4" xfId="20481" xr:uid="{742A8561-DC10-4B10-89D8-1F7AF7293BD6}"/>
    <cellStyle name="Migliaia 36 3 3 4 2" xfId="33904" xr:uid="{CBF9C1AA-F0EA-4F8E-800A-B3E266B1477A}"/>
    <cellStyle name="Migliaia 36 3 3 4 2 2" xfId="39428" xr:uid="{9B1B3926-5D30-4B49-8FFB-2B420180750D}"/>
    <cellStyle name="Migliaia 36 3 3 4 2 3" xfId="44730" xr:uid="{E08C8015-073A-44DD-8C6A-B800E2F9E4EF}"/>
    <cellStyle name="Migliaia 36 3 3 4 3" xfId="36847" xr:uid="{E5BBC612-F97E-4A79-A096-C95C62A0532D}"/>
    <cellStyle name="Migliaia 36 3 3 4 4" xfId="42079" xr:uid="{CAF426EF-C40D-4F87-8F2D-B9528B60D6B2}"/>
    <cellStyle name="Migliaia 36 3 3 4 5" xfId="24838" xr:uid="{3FC16F62-CA16-440B-A5EC-1636C8D18A66}"/>
    <cellStyle name="Migliaia 36 3 3 5" xfId="24839" xr:uid="{D377D0BF-3DC5-4582-9299-6FDFE6578186}"/>
    <cellStyle name="Migliaia 36 3 3 5 2" xfId="33905" xr:uid="{BF3C30DD-A56D-4D7E-A18E-F0FD3C23DE08}"/>
    <cellStyle name="Migliaia 36 3 3 5 2 2" xfId="39429" xr:uid="{C9CD9B14-C363-4FC7-AD7A-DF95BC807425}"/>
    <cellStyle name="Migliaia 36 3 3 5 2 3" xfId="44731" xr:uid="{C3F188C2-8C14-4317-8343-29D6B303B124}"/>
    <cellStyle name="Migliaia 36 3 3 5 3" xfId="36848" xr:uid="{DDB03E3E-9102-4593-99E1-CC7B2F57D0BE}"/>
    <cellStyle name="Migliaia 36 3 3 5 4" xfId="42080" xr:uid="{8E177F9C-89E9-4A97-9801-1D2ABD3B053B}"/>
    <cellStyle name="Migliaia 36 3 3 6" xfId="33902" xr:uid="{5E404858-E3D1-4C7F-8F22-2E408BC8BF10}"/>
    <cellStyle name="Migliaia 36 3 3 6 2" xfId="39425" xr:uid="{4A36A7CB-634A-41F9-8A01-B0A9025D97E1}"/>
    <cellStyle name="Migliaia 36 3 3 6 3" xfId="44727" xr:uid="{17EC7732-F656-42B2-907F-9D9917EEE6C3}"/>
    <cellStyle name="Migliaia 36 3 3 7" xfId="36845" xr:uid="{66F2E748-4459-45F1-AC11-CB3A756223EF}"/>
    <cellStyle name="Migliaia 36 3 3 8" xfId="42076" xr:uid="{692E1DF2-BCA5-44F4-AF3D-11D61C5B4455}"/>
    <cellStyle name="Migliaia 36 3 3 9" xfId="16464" xr:uid="{028A8858-589A-43CC-BB7B-CDAC0661F681}"/>
    <cellStyle name="Migliaia 36 3 4" xfId="3576" xr:uid="{3C366B86-3260-4393-BB3C-3852064D4B57}"/>
    <cellStyle name="Migliaia 36 3 4 2" xfId="5302" xr:uid="{DF2916DD-A922-4D44-A80D-B4559848DC9B}"/>
    <cellStyle name="Migliaia 36 3 4 2 2" xfId="14452" xr:uid="{EE63CB77-F4F1-45F1-B3C4-DA91BFA537B3}"/>
    <cellStyle name="Migliaia 36 3 4 2 3" xfId="18582" xr:uid="{98DE43FF-5D29-425F-B7A9-38E5C04A4F96}"/>
    <cellStyle name="Migliaia 36 3 4 2 4" xfId="20484" xr:uid="{BEE14D52-9E50-4050-89B0-DFE822E3D1E1}"/>
    <cellStyle name="Migliaia 36 3 4 2 5" xfId="32389" xr:uid="{D2ABE191-6DF7-4334-B52E-432819D67918}"/>
    <cellStyle name="Migliaia 36 3 4 2 6" xfId="16467" xr:uid="{A7034F77-CCD9-4C3F-B638-757ED856AC19}"/>
    <cellStyle name="Migliaia 36 3 4 2 7" xfId="8875" xr:uid="{30F53B32-5572-4470-99C9-746B8A918D2C}"/>
    <cellStyle name="Migliaia 36 3 4 3" xfId="6497" xr:uid="{85C9C61A-2BBB-452B-8B33-44913060BCB7}"/>
    <cellStyle name="Migliaia 36 3 4 3 2" xfId="35328" xr:uid="{6190AC00-BAED-4B85-90F9-CCE0B4F43B17}"/>
    <cellStyle name="Migliaia 36 3 4 3 2 2" xfId="40488" xr:uid="{A82EE6B0-542F-4457-ADA3-EF0EA7AFFAC7}"/>
    <cellStyle name="Migliaia 36 3 4 3 2 3" xfId="45790" xr:uid="{A38D578D-B3B7-462A-BA40-5DE22FF6D380}"/>
    <cellStyle name="Migliaia 36 3 4 3 3" xfId="37837" xr:uid="{B503AF36-ACFC-4F6A-ADDA-285922795E33}"/>
    <cellStyle name="Migliaia 36 3 4 3 4" xfId="43139" xr:uid="{592E4CA8-F9D8-4E11-8157-912BB7BDD6A2}"/>
    <cellStyle name="Migliaia 36 3 4 3 5" xfId="13700" xr:uid="{8C323E83-DD3C-4C62-A753-AA8D9C389B76}"/>
    <cellStyle name="Migliaia 36 3 4 4" xfId="20483" xr:uid="{CE3E503F-46E9-4208-8AEE-BDE2E6289D2C}"/>
    <cellStyle name="Migliaia 36 3 4 4 2" xfId="39430" xr:uid="{9E26519A-7AB5-4D84-9F7A-E298A4A6797E}"/>
    <cellStyle name="Migliaia 36 3 4 4 3" xfId="44732" xr:uid="{FDB52958-1563-4CB1-A322-56245D1117E9}"/>
    <cellStyle name="Migliaia 36 3 4 4 4" xfId="33906" xr:uid="{308926A8-307A-4D4E-9906-F663FD0680EE}"/>
    <cellStyle name="Migliaia 36 3 4 5" xfId="36849" xr:uid="{090AB221-139F-414B-95EE-B39DD888148E}"/>
    <cellStyle name="Migliaia 36 3 4 6" xfId="42081" xr:uid="{E4847883-5E17-432F-AE3C-6B236B18B24C}"/>
    <cellStyle name="Migliaia 36 3 4 7" xfId="16466" xr:uid="{21D8ADD5-9733-4419-BA1F-CDE6C05B11C5}"/>
    <cellStyle name="Migliaia 36 3 4 8" xfId="7685" xr:uid="{9295684D-59DA-45A8-84D3-2B8D4030A9C8}"/>
    <cellStyle name="Migliaia 36 3 5" xfId="3577" xr:uid="{E32069A4-8CE1-46AE-9FBF-9A8E9DA3F600}"/>
    <cellStyle name="Migliaia 36 3 5 2" xfId="5303" xr:uid="{07FD3BAC-84CC-4A28-A924-DB3C71700492}"/>
    <cellStyle name="Migliaia 36 3 5 2 2" xfId="35329" xr:uid="{A4E1ACE6-F7CA-4B1C-9B80-23509FC61572}"/>
    <cellStyle name="Migliaia 36 3 5 2 2 2" xfId="40489" xr:uid="{FD25F39A-87BE-4DC8-BD05-C8031F41350C}"/>
    <cellStyle name="Migliaia 36 3 5 2 2 3" xfId="45791" xr:uid="{83361D3C-3677-4626-95C5-DC01E22756EA}"/>
    <cellStyle name="Migliaia 36 3 5 2 3" xfId="37838" xr:uid="{7F6ECD10-0D17-49EF-95A2-4E1DD032BBC3}"/>
    <cellStyle name="Migliaia 36 3 5 2 4" xfId="43140" xr:uid="{1B680D8D-FC69-4472-9AFD-349A32812F4E}"/>
    <cellStyle name="Migliaia 36 3 5 2 5" xfId="14268" xr:uid="{DD1814F6-4B6A-48D1-B43C-DB12D378A566}"/>
    <cellStyle name="Migliaia 36 3 5 3" xfId="6498" xr:uid="{90C877CF-C853-43BF-B00E-2D9D705D00BC}"/>
    <cellStyle name="Migliaia 36 3 5 3 2" xfId="39431" xr:uid="{E807924A-5844-4F4D-B013-FDA2AD3871C7}"/>
    <cellStyle name="Migliaia 36 3 5 3 3" xfId="44733" xr:uid="{F52D4798-6AD9-48DD-911E-BD15D02C45D6}"/>
    <cellStyle name="Migliaia 36 3 5 3 4" xfId="33907" xr:uid="{2CA2B84D-C7B9-4EEB-A32B-87FE037F8257}"/>
    <cellStyle name="Migliaia 36 3 5 3 5" xfId="20485" xr:uid="{FE79506D-2AF5-4551-8114-4570C335B777}"/>
    <cellStyle name="Migliaia 36 3 5 4" xfId="36850" xr:uid="{0BD02983-F368-4408-B3F9-1BECE077ABC6}"/>
    <cellStyle name="Migliaia 36 3 5 5" xfId="42082" xr:uid="{E87345A0-3375-4874-810D-BD162C18C00C}"/>
    <cellStyle name="Migliaia 36 3 5 6" xfId="16468" xr:uid="{E3DE6576-090D-41A2-B289-6F7EAE4B744F}"/>
    <cellStyle name="Migliaia 36 3 5 7" xfId="8330" xr:uid="{BBEF1296-4363-4718-AB3F-7C15CACBCDDF}"/>
    <cellStyle name="Migliaia 36 3 6" xfId="5298" xr:uid="{5ACC02D6-41A4-4405-8785-70D55A2359E1}"/>
    <cellStyle name="Migliaia 36 3 6 2" xfId="13973" xr:uid="{624D3C30-9198-4E0A-BDCE-459E6C027E67}"/>
    <cellStyle name="Migliaia 36 3 6 2 2" xfId="39432" xr:uid="{63F31C34-EC4E-4C4E-A086-6EBCC68E1E92}"/>
    <cellStyle name="Migliaia 36 3 6 2 3" xfId="44734" xr:uid="{B333190C-1983-4265-A476-F6AAD081DF40}"/>
    <cellStyle name="Migliaia 36 3 6 3" xfId="18561" xr:uid="{6AC15317-E575-49CC-A4AC-E6DB535EAC0D}"/>
    <cellStyle name="Migliaia 36 3 6 4" xfId="20486" xr:uid="{98A866AE-E99B-4A74-A7B6-1DD6C08A6CF6}"/>
    <cellStyle name="Migliaia 36 3 6 4 2" xfId="42083" xr:uid="{D7E12C49-1D26-44AD-8803-E576EC29FB7E}"/>
    <cellStyle name="Migliaia 36 3 6 5" xfId="16469" xr:uid="{407E93A1-F592-4B92-8449-395B3CCE5BDC}"/>
    <cellStyle name="Migliaia 36 3 6 6" xfId="7940" xr:uid="{252BD699-3F28-4BB4-AEC5-1583546D6F1A}"/>
    <cellStyle name="Migliaia 36 3 7" xfId="6493" xr:uid="{F1B11BC4-F524-4F0C-A10F-DDA2BEBFAC9B}"/>
    <cellStyle name="Migliaia 36 3 7 2" xfId="33908" xr:uid="{29006B68-29BC-4A85-94BB-6D37CA4E0029}"/>
    <cellStyle name="Migliaia 36 3 7 2 2" xfId="39433" xr:uid="{57392AF9-E315-4749-8816-B3B8DF036693}"/>
    <cellStyle name="Migliaia 36 3 7 2 3" xfId="44735" xr:uid="{A7415F97-C59F-4F42-AC2B-CE82D35A9640}"/>
    <cellStyle name="Migliaia 36 3 7 3" xfId="36851" xr:uid="{0368496F-7FCD-4C7C-9AAA-5E8447C1929B}"/>
    <cellStyle name="Migliaia 36 3 7 4" xfId="42084" xr:uid="{87DEE3D2-F370-4EB7-A53E-22C9266C968E}"/>
    <cellStyle name="Migliaia 36 3 7 5" xfId="11219" xr:uid="{5D910BE9-0BB8-45FF-9236-7E369E2EA820}"/>
    <cellStyle name="Migliaia 36 3 8" xfId="3572" xr:uid="{C7D91E42-3FF5-4A73-83A9-C67D74F13EC0}"/>
    <cellStyle name="Migliaia 36 3 8 2" xfId="33909" xr:uid="{54A140D0-9CC9-48FA-9F24-813696377B06}"/>
    <cellStyle name="Migliaia 36 3 8 2 2" xfId="39434" xr:uid="{3EFF636F-1CC6-4D32-A0C9-5B65C0DD649B}"/>
    <cellStyle name="Migliaia 36 3 8 2 3" xfId="44736" xr:uid="{C59F0859-960E-4D14-AF33-1C6CAE153735}"/>
    <cellStyle name="Migliaia 36 3 8 3" xfId="36852" xr:uid="{DF8C79A7-B41C-4FEC-B976-E4E5015DF8B9}"/>
    <cellStyle name="Migliaia 36 3 8 4" xfId="42085" xr:uid="{B691E97A-F76C-4C4D-AA13-5E3D573E35F4}"/>
    <cellStyle name="Migliaia 36 3 8 5" xfId="24840" xr:uid="{C701881A-06E7-4E04-81B0-7E63260CF4C7}"/>
    <cellStyle name="Migliaia 36 3 8 6" xfId="17340" xr:uid="{6CFB5F46-100D-4E6C-B6D1-7C86F11A2669}"/>
    <cellStyle name="Migliaia 36 3 9" xfId="20477" xr:uid="{F6C684EB-9BF3-4822-835C-96C9D665B1C1}"/>
    <cellStyle name="Migliaia 36 4" xfId="1803" xr:uid="{00000000-0005-0000-0000-0000CA030000}"/>
    <cellStyle name="Migliaia 36 4 2" xfId="1804" xr:uid="{00000000-0005-0000-0000-0000CB030000}"/>
    <cellStyle name="Migliaia 36 4 2 2" xfId="5305" xr:uid="{4C27EBBB-E07F-4F03-A5E2-C47F22F7B4F7}"/>
    <cellStyle name="Migliaia 36 4 2 2 2" xfId="33910" xr:uid="{9C3832D7-665A-41C2-BED7-5DF08FBC3DD0}"/>
    <cellStyle name="Migliaia 36 4 2 2 2 2" xfId="39435" xr:uid="{E445EBB3-D3BE-4C15-89E4-C656A758F579}"/>
    <cellStyle name="Migliaia 36 4 2 2 2 3" xfId="44737" xr:uid="{47176AEA-A2C8-463C-8D5E-B034DBE88F03}"/>
    <cellStyle name="Migliaia 36 4 2 2 3" xfId="36853" xr:uid="{2B7C91D8-2FE6-4007-8C7A-AD1C80F3D021}"/>
    <cellStyle name="Migliaia 36 4 2 2 4" xfId="42086" xr:uid="{DC7B8D2F-DE08-443C-8B88-4FDA17D1B416}"/>
    <cellStyle name="Migliaia 36 4 2 2 5" xfId="9166" xr:uid="{83408B39-B3C5-4003-A8AD-696AB17B8B38}"/>
    <cellStyle name="Migliaia 36 4 2 3" xfId="3579" xr:uid="{FFA56A31-073A-42D4-94F7-8AFDEAF08229}"/>
    <cellStyle name="Migliaia 36 4 2 3 2" xfId="33911" xr:uid="{CD620643-9DE6-490D-BFD8-F05614ADAAE9}"/>
    <cellStyle name="Migliaia 36 4 2 3 2 2" xfId="39436" xr:uid="{DF39283A-C868-41FF-BE35-F58E7E39DB01}"/>
    <cellStyle name="Migliaia 36 4 2 3 2 3" xfId="44738" xr:uid="{96981CD3-6F2C-44CC-9A22-2358694E7F6F}"/>
    <cellStyle name="Migliaia 36 4 2 3 3" xfId="36854" xr:uid="{C34E303E-540C-481C-A63F-DC5FA3A049EE}"/>
    <cellStyle name="Migliaia 36 4 2 3 4" xfId="42087" xr:uid="{7F50327D-6F92-4863-BE64-1B35CD05CC3A}"/>
    <cellStyle name="Migliaia 36 4 2 3 5" xfId="12005" xr:uid="{0F8F446B-962B-46E8-8555-26AEC8B74491}"/>
    <cellStyle name="Migliaia 36 4 2 4" xfId="11354" xr:uid="{16FDEE46-0A33-4ACD-98F0-E4BAC4868DA5}"/>
    <cellStyle name="Migliaia 36 4 2 5" xfId="10881" xr:uid="{2201E4F8-CBB1-40C6-9622-B313B8646819}"/>
    <cellStyle name="Migliaia 36 4 2 5 2" xfId="21516" xr:uid="{675DBB6D-B31B-4680-BB69-98AE6632F0CD}"/>
    <cellStyle name="Migliaia 36 4 2 5 3" xfId="23993" xr:uid="{AEEF6ED9-4CDF-40F0-9FD6-C86F27FE3CB1}"/>
    <cellStyle name="Migliaia 36 4 2 5 4" xfId="50531" xr:uid="{714CA27D-2464-44BC-A3C8-F7BE90025D45}"/>
    <cellStyle name="Migliaia 36 4 2 5 5" xfId="53547" xr:uid="{FF3CB944-FF29-4AB7-9DE1-48211BFDD2CC}"/>
    <cellStyle name="Migliaia 36 4 2 6" xfId="20488" xr:uid="{F44E2622-C85E-419A-A9F1-85699115D0F0}"/>
    <cellStyle name="Migliaia 36 4 2 7" xfId="24842" xr:uid="{E81E4286-9DD8-49B7-8543-2831F0238ABD}"/>
    <cellStyle name="Migliaia 36 4 2 8" xfId="8658" xr:uid="{B152C6D7-D46B-4056-A350-A882DEC95EE6}"/>
    <cellStyle name="Migliaia 36 4 3" xfId="5304" xr:uid="{04A047A6-60DC-4221-913F-711DDFC82C1D}"/>
    <cellStyle name="Migliaia 36 4 3 2" xfId="18221" xr:uid="{D5CB2AF9-6E34-4590-8011-BD85B8A949A8}"/>
    <cellStyle name="Migliaia 36 4 3 2 2" xfId="39437" xr:uid="{1EA7BF1D-54E4-4360-8058-8C541F77F218}"/>
    <cellStyle name="Migliaia 36 4 3 2 3" xfId="44739" xr:uid="{A6D5FB23-9CA7-4B15-860D-09083229EAAC}"/>
    <cellStyle name="Migliaia 36 4 3 3" xfId="36855" xr:uid="{4FAC4CA9-8D99-4380-802D-8A814DE25492}"/>
    <cellStyle name="Migliaia 36 4 3 4" xfId="42088" xr:uid="{776AF7CE-91DF-4B4F-9EDC-A74E185265A4}"/>
    <cellStyle name="Migliaia 36 4 3 5" xfId="17338" xr:uid="{ADF40597-17F9-447B-9FFA-3950B7BDF2EC}"/>
    <cellStyle name="Migliaia 36 4 3 6" xfId="9167" xr:uid="{2214FF59-B4FD-4BF7-A68A-EE506B49B406}"/>
    <cellStyle name="Migliaia 36 4 4" xfId="6499" xr:uid="{2371A2A9-4FF4-45B4-9770-B967FD6D8E6A}"/>
    <cellStyle name="Migliaia 36 4 4 2" xfId="33912" xr:uid="{961C3FAB-B7B7-48A4-844B-E2D2E6459D85}"/>
    <cellStyle name="Migliaia 36 4 4 2 2" xfId="39438" xr:uid="{D5DF14F8-3E7C-47C3-8038-B8FD81BCB46D}"/>
    <cellStyle name="Migliaia 36 4 4 2 3" xfId="44740" xr:uid="{2117FCC7-D61A-4A02-A2C9-FFD9DD875E13}"/>
    <cellStyle name="Migliaia 36 4 4 3" xfId="36856" xr:uid="{5DC0DC9B-20B9-411B-9AF4-E6E50AE3A42D}"/>
    <cellStyle name="Migliaia 36 4 4 4" xfId="42089" xr:uid="{F05E285B-9B32-44FD-9784-6788CC6C7E04}"/>
    <cellStyle name="Migliaia 36 4 4 5" xfId="12006" xr:uid="{0CF6FFE3-AA4F-464D-9DB8-79292FD44B59}"/>
    <cellStyle name="Migliaia 36 4 5" xfId="3578" xr:uid="{F9AA01AE-88FD-4C30-BEF5-6D24043AF8BC}"/>
    <cellStyle name="Migliaia 36 4 5 2" xfId="33913" xr:uid="{04866215-6E07-416A-BF94-97BD1EF51F26}"/>
    <cellStyle name="Migliaia 36 4 5 2 2" xfId="39439" xr:uid="{C8D755EC-1785-45EC-BAB6-338A1D774878}"/>
    <cellStyle name="Migliaia 36 4 5 2 3" xfId="44741" xr:uid="{11585BA5-E3E8-4B0C-9365-57EE80900377}"/>
    <cellStyle name="Migliaia 36 4 5 3" xfId="36857" xr:uid="{891D9462-FBA1-4661-A102-A5B9C9D86666}"/>
    <cellStyle name="Migliaia 36 4 5 4" xfId="42090" xr:uid="{EBE3FCCA-4FFF-483E-8175-9F5B7E79DDB7}"/>
    <cellStyle name="Migliaia 36 4 5 5" xfId="11353" xr:uid="{E5705140-B36E-45ED-A401-06C5BB2E8681}"/>
    <cellStyle name="Migliaia 36 4 6" xfId="10880" xr:uid="{EC9E11F1-3C8B-45C6-B24E-BB8FE48FFEFA}"/>
    <cellStyle name="Migliaia 36 4 6 2" xfId="21515" xr:uid="{F84AA933-BADE-49D8-B6F3-EE67C1F113D0}"/>
    <cellStyle name="Migliaia 36 4 6 2 2" xfId="39440" xr:uid="{0B126A4F-7733-47AF-B56A-7FF8B8F49407}"/>
    <cellStyle name="Migliaia 36 4 6 2 3" xfId="44742" xr:uid="{4754A2D6-188D-481A-A7C5-086013AF546C}"/>
    <cellStyle name="Migliaia 36 4 6 2 4" xfId="33914" xr:uid="{B4138D10-767E-47B6-BC40-65DEE8CD06B3}"/>
    <cellStyle name="Migliaia 36 4 6 3" xfId="36858" xr:uid="{3DA9C114-A893-4E77-A880-886FD8B1B48D}"/>
    <cellStyle name="Migliaia 36 4 6 4" xfId="42091" xr:uid="{4CA054ED-CD7C-408F-97F1-8A5040EBD42E}"/>
    <cellStyle name="Migliaia 36 4 6 5" xfId="24843" xr:uid="{11928724-DA7A-4008-B2F3-AA3DDA0AA985}"/>
    <cellStyle name="Migliaia 36 4 6 6" xfId="23996" xr:uid="{2663C111-6D09-4589-B687-F4DF6C389CAF}"/>
    <cellStyle name="Migliaia 36 4 6 7" xfId="50530" xr:uid="{F2E95D22-0E9F-42CC-AA5A-742FCDD4A00D}"/>
    <cellStyle name="Migliaia 36 4 6 8" xfId="53546" xr:uid="{D7893F70-0EAB-46DC-A258-83E8775A8148}"/>
    <cellStyle name="Migliaia 36 4 7" xfId="20487" xr:uid="{06AB5C37-DDC8-470B-A19B-721A63515245}"/>
    <cellStyle name="Migliaia 36 4 7 2" xfId="33915" xr:uid="{AE901890-0B5C-4FDC-8206-B92D7902CAF4}"/>
    <cellStyle name="Migliaia 36 4 7 2 2" xfId="39441" xr:uid="{31CAF410-B0F1-4004-9958-A459304AC23E}"/>
    <cellStyle name="Migliaia 36 4 7 2 3" xfId="44743" xr:uid="{81CAF638-1E43-4C94-9ED0-9DE3474B203E}"/>
    <cellStyle name="Migliaia 36 4 7 3" xfId="36859" xr:uid="{754AE685-8D6B-425A-A5A0-4237B551DD56}"/>
    <cellStyle name="Migliaia 36 4 7 4" xfId="42092" xr:uid="{2C6B0CAE-CFA2-4380-9AAA-2C22AD9757B5}"/>
    <cellStyle name="Migliaia 36 4 7 5" xfId="24844" xr:uid="{2B868728-2BBD-4735-B574-840B4F80B69A}"/>
    <cellStyle name="Migliaia 36 4 8" xfId="24841" xr:uid="{77EC59A5-F5C7-4D15-ABA4-128CDF6A77F0}"/>
    <cellStyle name="Migliaia 36 4 9" xfId="7468" xr:uid="{B68CC6E4-740D-4484-822B-2CF9B17545D5}"/>
    <cellStyle name="Migliaia 36 5" xfId="1805" xr:uid="{00000000-0005-0000-0000-0000CC030000}"/>
    <cellStyle name="Migliaia 36 5 2" xfId="5306" xr:uid="{4BC4A867-7D47-4266-9728-4BDF865F37A1}"/>
    <cellStyle name="Migliaia 36 5 2 2" xfId="18451" xr:uid="{0AE0E80B-B062-4DF1-B44E-D84747FE3B3D}"/>
    <cellStyle name="Migliaia 36 5 2 2 2" xfId="39442" xr:uid="{8C2E8D5E-70E7-40E9-AAF8-CDB64C632124}"/>
    <cellStyle name="Migliaia 36 5 2 2 3" xfId="44744" xr:uid="{281FBFEB-81CE-42BF-A801-57FB8A4A9C15}"/>
    <cellStyle name="Migliaia 36 5 2 3" xfId="20490" xr:uid="{FC50CF8F-D9BE-4AEC-9463-EC7BDF1E4A4B}"/>
    <cellStyle name="Migliaia 36 5 2 3 2" xfId="36860" xr:uid="{AF17AF08-C2D3-41E6-97F4-80B5D7ECA3C3}"/>
    <cellStyle name="Migliaia 36 5 2 4" xfId="42093" xr:uid="{768B8F3A-CF38-4B0E-B464-05E2FB4ACB49}"/>
    <cellStyle name="Migliaia 36 5 2 5" xfId="16470" xr:uid="{2BD63FB8-3827-40FE-8EE5-8E0C532A73EE}"/>
    <cellStyle name="Migliaia 36 5 2 6" xfId="8659" xr:uid="{154D9EBE-F349-4C5F-B655-C2E8B1DA7349}"/>
    <cellStyle name="Migliaia 36 5 3" xfId="6500" xr:uid="{747066F0-0D64-4EC6-8F0A-183D25CF3671}"/>
    <cellStyle name="Migliaia 36 5 3 2" xfId="33916" xr:uid="{C388F273-59B8-4B3E-B660-437B485B7945}"/>
    <cellStyle name="Migliaia 36 5 3 2 2" xfId="39443" xr:uid="{7ECB2E50-E4C2-4880-AAFA-1696B4C0CB6A}"/>
    <cellStyle name="Migliaia 36 5 3 2 3" xfId="44745" xr:uid="{99B6EC49-0B6B-4420-882C-2F60D25C980F}"/>
    <cellStyle name="Migliaia 36 5 3 3" xfId="36861" xr:uid="{D4145894-D004-447F-A004-BD626D104850}"/>
    <cellStyle name="Migliaia 36 5 3 4" xfId="42094" xr:uid="{4CD7F6EC-0768-4E6A-A128-04AACAC1E6DE}"/>
    <cellStyle name="Migliaia 36 5 3 5" xfId="11355" xr:uid="{CFE0C414-6B13-4F80-8DA1-57D083B7A9AC}"/>
    <cellStyle name="Migliaia 36 5 4" xfId="3580" xr:uid="{3D9BAEAD-E674-40AC-9B34-CE5272E330D9}"/>
    <cellStyle name="Migliaia 36 5 4 2" xfId="21517" xr:uid="{135D5B27-4C00-42F3-8E5B-792CA6E7C6B1}"/>
    <cellStyle name="Migliaia 36 5 4 2 2" xfId="39444" xr:uid="{5B21A89A-EA1B-4AB3-825F-CB82DFBABEC5}"/>
    <cellStyle name="Migliaia 36 5 4 2 3" xfId="44746" xr:uid="{51F6B106-860D-4E9D-8513-289BFADBBF8E}"/>
    <cellStyle name="Migliaia 36 5 4 2 4" xfId="33917" xr:uid="{A8C20130-7C01-49CA-BC09-E0DE40E1B553}"/>
    <cellStyle name="Migliaia 36 5 4 3" xfId="36862" xr:uid="{3AB19117-3A5C-42A4-9860-D22A22D71FD2}"/>
    <cellStyle name="Migliaia 36 5 4 4" xfId="42095" xr:uid="{5F5397B3-42A3-4AF4-9872-C979EB628E98}"/>
    <cellStyle name="Migliaia 36 5 4 5" xfId="24846" xr:uid="{7018A211-FA5F-4A76-B024-EE92740C1D53}"/>
    <cellStyle name="Migliaia 36 5 4 6" xfId="46248" xr:uid="{C236B62B-388D-45AB-B4C1-A57FE06522CA}"/>
    <cellStyle name="Migliaia 36 5 4 7" xfId="50532" xr:uid="{66374911-4FC6-4913-A019-1DF58B26AFCE}"/>
    <cellStyle name="Migliaia 36 5 4 8" xfId="53548" xr:uid="{D18E035C-CAD2-4D4D-96D1-E9EC178CA20B}"/>
    <cellStyle name="Migliaia 36 5 4 9" xfId="10882" xr:uid="{5C273C79-FBBD-43F7-9A2A-186E3BC4F5D2}"/>
    <cellStyle name="Migliaia 36 5 5" xfId="20489" xr:uid="{EB5825A9-135D-4001-B72E-D78C00D099C3}"/>
    <cellStyle name="Migliaia 36 5 5 2" xfId="33918" xr:uid="{F83AFBE1-BB1B-4110-A830-AD2B8AC1F348}"/>
    <cellStyle name="Migliaia 36 5 5 2 2" xfId="39445" xr:uid="{E0E03AA4-CE5C-49D6-95F0-7F4FE1E4464A}"/>
    <cellStyle name="Migliaia 36 5 5 2 3" xfId="44747" xr:uid="{98371C24-BF24-4650-A509-D71D4183AEC4}"/>
    <cellStyle name="Migliaia 36 5 5 3" xfId="36863" xr:uid="{D2CB99B3-6F52-48B9-8BA1-A2B00BB15F7B}"/>
    <cellStyle name="Migliaia 36 5 5 4" xfId="42096" xr:uid="{C4850321-D799-4C90-91B0-F91BFA0ECB79}"/>
    <cellStyle name="Migliaia 36 5 5 5" xfId="24847" xr:uid="{5124E242-EEF3-4A03-904D-E5769A882EDB}"/>
    <cellStyle name="Migliaia 36 5 6" xfId="24848" xr:uid="{1ABE15E5-9CF5-4130-AB27-2450CB5E84D3}"/>
    <cellStyle name="Migliaia 36 5 6 2" xfId="33919" xr:uid="{AF46785F-5141-456D-BE65-A7E2DCAE5764}"/>
    <cellStyle name="Migliaia 36 5 6 2 2" xfId="39446" xr:uid="{0942D412-E9A7-4E51-BE78-FC86A612DCF6}"/>
    <cellStyle name="Migliaia 36 5 6 2 3" xfId="44748" xr:uid="{67C7D0F4-301A-4CF2-9D74-C6F57EF64192}"/>
    <cellStyle name="Migliaia 36 5 6 3" xfId="36864" xr:uid="{59681593-C884-4668-AC1D-A50EB9246FFB}"/>
    <cellStyle name="Migliaia 36 5 6 4" xfId="42097" xr:uid="{5D0ADF24-87EB-4BE9-A4B7-B6693D429E00}"/>
    <cellStyle name="Migliaia 36 5 7" xfId="24845" xr:uid="{88CB6DB7-36F4-470B-BEFE-E34B1EDEC206}"/>
    <cellStyle name="Migliaia 36 5 8" xfId="7469" xr:uid="{5AAF90B6-DD98-4860-93F3-A35F9E0D1147}"/>
    <cellStyle name="Migliaia 36 6" xfId="3581" xr:uid="{BB9235FF-92E6-4168-97DE-F41796DD3032}"/>
    <cellStyle name="Migliaia 36 6 2" xfId="5307" xr:uid="{67C26097-025A-4754-A399-4B074F221E18}"/>
    <cellStyle name="Migliaia 36 6 2 2" xfId="9939" xr:uid="{AE89D354-8657-4961-8524-4880387E6818}"/>
    <cellStyle name="Migliaia 36 6 2 3" xfId="18651" xr:uid="{3D741238-1723-4461-B228-FBFBBB54C925}"/>
    <cellStyle name="Migliaia 36 6 2 4" xfId="20492" xr:uid="{64EE5BB5-0EF7-45A4-982F-67CA2F7DE495}"/>
    <cellStyle name="Migliaia 36 6 2 5" xfId="32390" xr:uid="{3658BF1D-570B-4CB8-8567-9FDB231B0468}"/>
    <cellStyle name="Migliaia 36 6 2 6" xfId="16472" xr:uid="{7983BD1E-5837-4FD2-899D-1405469EF46A}"/>
    <cellStyle name="Migliaia 36 6 2 7" xfId="8654" xr:uid="{0E6942EF-89B9-4236-9515-EB083719EA49}"/>
    <cellStyle name="Migliaia 36 6 3" xfId="6501" xr:uid="{A8A0AA72-F6F5-49FD-94A3-6D9B0CBF231B}"/>
    <cellStyle name="Migliaia 36 6 3 2" xfId="35330" xr:uid="{D3297640-A245-4540-9E1D-6D36FDEEC350}"/>
    <cellStyle name="Migliaia 36 6 3 2 2" xfId="40490" xr:uid="{21248B36-A139-4A8D-8ACB-624D6DD99F45}"/>
    <cellStyle name="Migliaia 36 6 3 2 3" xfId="45792" xr:uid="{F0AE09E0-F695-44A0-932C-28FF0D27AD50}"/>
    <cellStyle name="Migliaia 36 6 3 3" xfId="37839" xr:uid="{58C34081-9215-4246-8000-91826D074211}"/>
    <cellStyle name="Migliaia 36 6 3 4" xfId="43141" xr:uid="{F924F469-C254-46FB-AE18-46F9E52EC42F}"/>
    <cellStyle name="Migliaia 36 6 3 5" xfId="9702" xr:uid="{1D345AAC-C20B-45BC-AC6D-CD0218EB28DA}"/>
    <cellStyle name="Migliaia 36 6 4" xfId="20491" xr:uid="{36EED705-359C-4520-881E-90B1B90ADB91}"/>
    <cellStyle name="Migliaia 36 6 4 2" xfId="39447" xr:uid="{70250433-5232-462F-87F2-4CA8A7BC13B0}"/>
    <cellStyle name="Migliaia 36 6 4 3" xfId="44749" xr:uid="{A32CAA71-D14F-4AA6-871B-696D1B9E1AF4}"/>
    <cellStyle name="Migliaia 36 6 4 4" xfId="33920" xr:uid="{752D7A93-3B92-4C4E-A859-A4F0D8B164BF}"/>
    <cellStyle name="Migliaia 36 6 5" xfId="36865" xr:uid="{604A9950-CB37-4E8D-B1DC-1EC8B7E621D6}"/>
    <cellStyle name="Migliaia 36 6 6" xfId="42098" xr:uid="{1820C003-11E7-4FC1-9D1A-38438340B0C4}"/>
    <cellStyle name="Migliaia 36 6 7" xfId="16471" xr:uid="{338BAE2B-5563-441A-8384-81E6D16172CB}"/>
    <cellStyle name="Migliaia 36 6 8" xfId="7464" xr:uid="{02F8A0B1-4C15-459A-8889-A3D4A0756C9B}"/>
    <cellStyle name="Migliaia 36 7" xfId="3582" xr:uid="{61739952-4064-4808-9757-65E5E90FBEC2}"/>
    <cellStyle name="Migliaia 36 7 2" xfId="5308" xr:uid="{ED0397CF-208D-4E91-B0F8-B8E82CF5DF7D}"/>
    <cellStyle name="Migliaia 36 7 2 2" xfId="35331" xr:uid="{D5C907F4-BDC3-4CF2-AE48-CBBD6BB17189}"/>
    <cellStyle name="Migliaia 36 7 2 2 2" xfId="40491" xr:uid="{759CF592-B617-4499-9319-4E61753CD66C}"/>
    <cellStyle name="Migliaia 36 7 2 2 3" xfId="45793" xr:uid="{960D5568-B5B7-4601-9433-80119FC56EA1}"/>
    <cellStyle name="Migliaia 36 7 2 3" xfId="37840" xr:uid="{FECC8FE7-6486-4A17-9D76-5D0B076C83AE}"/>
    <cellStyle name="Migliaia 36 7 2 4" xfId="43142" xr:uid="{95A30D1E-E155-464D-A9A0-0A6BD3CCD91D}"/>
    <cellStyle name="Migliaia 36 7 2 5" xfId="14266" xr:uid="{6ECC281B-E66C-4763-8FFE-37F5861ACAF2}"/>
    <cellStyle name="Migliaia 36 7 3" xfId="6502" xr:uid="{B1BB469F-19E8-4904-9EE7-BB6B956165D6}"/>
    <cellStyle name="Migliaia 36 7 3 2" xfId="39448" xr:uid="{C61D8A7F-3E7B-4C91-9D42-155F8A663804}"/>
    <cellStyle name="Migliaia 36 7 3 3" xfId="44750" xr:uid="{06017448-B6DF-49A0-BC7B-DA6AEA6868CE}"/>
    <cellStyle name="Migliaia 36 7 3 4" xfId="33921" xr:uid="{CD0B1AE5-F8DA-4887-86B8-E269D6F7BE73}"/>
    <cellStyle name="Migliaia 36 7 3 5" xfId="20493" xr:uid="{5864307D-3429-485E-9624-EB781AB464A6}"/>
    <cellStyle name="Migliaia 36 7 4" xfId="36866" xr:uid="{30A4DB18-3AB5-4F9F-9B21-87EBD43468E2}"/>
    <cellStyle name="Migliaia 36 7 5" xfId="42099" xr:uid="{93A1F2A6-739E-427D-A2CB-FA1A0D1BDFD7}"/>
    <cellStyle name="Migliaia 36 7 6" xfId="16473" xr:uid="{5DB65D78-9F2C-4A9D-B5F4-D18877B4568D}"/>
    <cellStyle name="Migliaia 36 7 7" xfId="8328" xr:uid="{CFF3BAD5-3F53-44AB-B629-94583019214B}"/>
    <cellStyle name="Migliaia 36 8" xfId="3583" xr:uid="{AB7180A6-D0F5-4936-B9C1-AB924464F74F}"/>
    <cellStyle name="Migliaia 36 8 2" xfId="5309" xr:uid="{AEEE28A9-90E7-4025-9768-788E8A652403}"/>
    <cellStyle name="Migliaia 36 8 2 2" xfId="35332" xr:uid="{FCC8877C-8D8D-4040-9402-0194F80DDC65}"/>
    <cellStyle name="Migliaia 36 8 2 2 2" xfId="40492" xr:uid="{B37E5BA6-22B0-41FE-BF63-F7A36AF3343E}"/>
    <cellStyle name="Migliaia 36 8 2 2 3" xfId="45794" xr:uid="{982022EF-18A9-4991-B66A-59FC4BC67F2A}"/>
    <cellStyle name="Migliaia 36 8 2 3" xfId="37841" xr:uid="{FCF1DCAC-0B36-443F-AAD3-7B89A6B090D3}"/>
    <cellStyle name="Migliaia 36 8 2 4" xfId="43143" xr:uid="{B7854717-ACF3-4E64-BD2F-521E8C981562}"/>
    <cellStyle name="Migliaia 36 8 2 5" xfId="13971" xr:uid="{EF877E78-2F9B-4403-97F3-83A382DD954E}"/>
    <cellStyle name="Migliaia 36 8 3" xfId="6503" xr:uid="{CE04CBE6-711D-4ECD-B1E7-27330BE3B977}"/>
    <cellStyle name="Migliaia 36 8 3 2" xfId="39449" xr:uid="{FAC44B89-A799-4977-8FB0-31BFB4093D2B}"/>
    <cellStyle name="Migliaia 36 8 3 3" xfId="44751" xr:uid="{0F0180CD-6D7F-4B13-8AD7-CE0B2AAB2E2E}"/>
    <cellStyle name="Migliaia 36 8 3 4" xfId="33922" xr:uid="{D2312538-78B4-4FA9-8B58-81B4A98F64DC}"/>
    <cellStyle name="Migliaia 36 8 3 5" xfId="20494" xr:uid="{829F0C22-0705-43D4-87F7-935B0D447D75}"/>
    <cellStyle name="Migliaia 36 8 4" xfId="36867" xr:uid="{90BEFA60-35F5-4598-83F2-596AE82A5EAF}"/>
    <cellStyle name="Migliaia 36 8 5" xfId="42100" xr:uid="{B2A88A14-850B-4A9B-8685-AB06A1F41C24}"/>
    <cellStyle name="Migliaia 36 8 6" xfId="16474" xr:uid="{664CB55B-BA59-42DC-8B58-4A9017CFE1CD}"/>
    <cellStyle name="Migliaia 36 8 7" xfId="7938" xr:uid="{B153E314-C5CC-4E6D-9C1D-0B65D4C53052}"/>
    <cellStyle name="Migliaia 36 9" xfId="5294" xr:uid="{908F6743-7398-441C-BCCF-7466FFF2F25A}"/>
    <cellStyle name="Migliaia 36 9 2" xfId="33923" xr:uid="{3D731EA3-3322-459F-8804-950BDF0C9F7A}"/>
    <cellStyle name="Migliaia 36 9 2 2" xfId="39450" xr:uid="{EE7FD666-ABCF-4730-AC8B-54FFC4BBD469}"/>
    <cellStyle name="Migliaia 36 9 2 3" xfId="44752" xr:uid="{39A58C1D-16F4-4D3F-823F-AB23BD01DDFA}"/>
    <cellStyle name="Migliaia 36 9 3" xfId="36868" xr:uid="{07A509F7-99C5-4A48-84C6-68B8CD3D3845}"/>
    <cellStyle name="Migliaia 36 9 4" xfId="42101" xr:uid="{55FFAC0C-BE1C-43F8-A35A-A2C2254D1A6A}"/>
    <cellStyle name="Migliaia 36 9 5" xfId="17193" xr:uid="{6EB9B138-9E84-4E26-9721-CABC45E1E14E}"/>
    <cellStyle name="Migliaia 37" xfId="421" xr:uid="{00000000-0005-0000-0000-0000CD030000}"/>
    <cellStyle name="Migliaia 37 10" xfId="6504" xr:uid="{DAB6754C-D5FB-4380-84F2-122510FAE791}"/>
    <cellStyle name="Migliaia 37 10 2" xfId="39451" xr:uid="{88270880-46C5-4C40-866B-46B720C2CF3F}"/>
    <cellStyle name="Migliaia 37 10 3" xfId="44753" xr:uid="{BB412472-EB7E-4D84-90D2-20090FC99A2A}"/>
    <cellStyle name="Migliaia 37 10 4" xfId="33924" xr:uid="{934A0073-FA52-4DBC-AE78-A05185A7508F}"/>
    <cellStyle name="Migliaia 37 10 5" xfId="20495" xr:uid="{1918F526-5471-4A3C-B73D-573C8FAFD6FA}"/>
    <cellStyle name="Migliaia 37 11" xfId="3584" xr:uid="{164A2796-BF50-4436-B974-8F980D629A6B}"/>
    <cellStyle name="Migliaia 37 11 2" xfId="36869" xr:uid="{D3D53284-0CD2-4885-9524-BF307E45E059}"/>
    <cellStyle name="Migliaia 37 12" xfId="42102" xr:uid="{EE00DB0A-870E-41A7-85E2-2F83D83BCB0F}"/>
    <cellStyle name="Migliaia 37 13" xfId="7132" xr:uid="{AC12D6BB-211B-4DA1-967A-B1724C94E037}"/>
    <cellStyle name="Migliaia 37 2" xfId="422" xr:uid="{00000000-0005-0000-0000-0000CE030000}"/>
    <cellStyle name="Migliaia 37 2 2" xfId="1806" xr:uid="{00000000-0005-0000-0000-0000CF030000}"/>
    <cellStyle name="Migliaia 37 2 2 2" xfId="5312" xr:uid="{2EA2F902-8A93-45B4-A343-418E2501A6AD}"/>
    <cellStyle name="Migliaia 37 2 2 2 2" xfId="14393" xr:uid="{322BAB3D-89AE-4814-80A7-D6909D77AA0E}"/>
    <cellStyle name="Migliaia 37 2 2 2 2 2" xfId="39452" xr:uid="{43CD5C60-7C1A-4266-869A-094AE562B860}"/>
    <cellStyle name="Migliaia 37 2 2 2 2 3" xfId="44754" xr:uid="{BF094665-E678-4825-A6A0-F21C8D836014}"/>
    <cellStyle name="Migliaia 37 2 2 2 3" xfId="18452" xr:uid="{1C5754FB-5399-431B-817E-C4C5175C2746}"/>
    <cellStyle name="Migliaia 37 2 2 2 4" xfId="20498" xr:uid="{3660FD97-5EDA-4406-A162-BD903DD8666E}"/>
    <cellStyle name="Migliaia 37 2 2 2 4 2" xfId="42103" xr:uid="{494CE072-C2D0-49A2-98C2-18368DD0476B}"/>
    <cellStyle name="Migliaia 37 2 2 2 5" xfId="16475" xr:uid="{7ABEFD55-D35E-4FF1-98E9-81C54D5CCF62}"/>
    <cellStyle name="Migliaia 37 2 2 2 6" xfId="8661" xr:uid="{6FF1AF41-C188-4A7E-9FB3-9F47101D3D5A}"/>
    <cellStyle name="Migliaia 37 2 2 3" xfId="6506" xr:uid="{FE1740C6-2915-4AE6-A3C6-7EBC8AB2E9AF}"/>
    <cellStyle name="Migliaia 37 2 2 3 2" xfId="35333" xr:uid="{63FBB585-D48A-4C9C-A006-56011C2EBA4E}"/>
    <cellStyle name="Migliaia 37 2 2 3 2 2" xfId="40493" xr:uid="{89236BDC-C9D3-4863-A46B-8C4388F73B62}"/>
    <cellStyle name="Migliaia 37 2 2 3 2 3" xfId="45795" xr:uid="{63A9C7EB-99BE-4B18-AA88-29BA5667D736}"/>
    <cellStyle name="Migliaia 37 2 2 3 3" xfId="37842" xr:uid="{E7A48455-B776-4C3E-9D49-402CE994DD34}"/>
    <cellStyle name="Migliaia 37 2 2 3 4" xfId="43144" xr:uid="{9EC3EBA7-0140-4DDA-BCEB-F3915CD22BFB}"/>
    <cellStyle name="Migliaia 37 2 2 3 5" xfId="11620" xr:uid="{9A1F36D2-0554-4BED-8BB1-130AB1C369A1}"/>
    <cellStyle name="Migliaia 37 2 2 4" xfId="3586" xr:uid="{A5DB753B-5EB7-4ABB-952A-66E680BD7D2E}"/>
    <cellStyle name="Migliaia 37 2 2 4 2" xfId="21518" xr:uid="{53A842BE-3EF5-4994-A1A0-4EEE73A822D6}"/>
    <cellStyle name="Migliaia 37 2 2 4 3" xfId="48475" xr:uid="{694965F5-3AB6-4F40-8F2A-4BF5DA5082F5}"/>
    <cellStyle name="Migliaia 37 2 2 4 4" xfId="50533" xr:uid="{D148ED6D-A61C-4D08-A8DD-FA8FF3A644BB}"/>
    <cellStyle name="Migliaia 37 2 2 4 5" xfId="53549" xr:uid="{D62A4619-03BD-4137-97C5-10B3304C4162}"/>
    <cellStyle name="Migliaia 37 2 2 4 6" xfId="10883" xr:uid="{97FD69E9-7548-482C-A2E5-B6B2883B1C89}"/>
    <cellStyle name="Migliaia 37 2 2 5" xfId="20497" xr:uid="{AB640648-4FB5-4A8E-AD81-EE7BB54AD97A}"/>
    <cellStyle name="Migliaia 37 2 2 6" xfId="24850" xr:uid="{F2EC3FBE-D755-42A9-9DDE-E464837F41DF}"/>
    <cellStyle name="Migliaia 37 2 2 7" xfId="7471" xr:uid="{CF41507F-F831-4D2C-BB4E-379DD0C4A999}"/>
    <cellStyle name="Migliaia 37 2 3" xfId="3587" xr:uid="{9873D394-9284-4FD6-AF88-63D85ABAAD83}"/>
    <cellStyle name="Migliaia 37 2 3 2" xfId="5313" xr:uid="{3ED5EE35-2228-4F70-9032-FEDBF41C6335}"/>
    <cellStyle name="Migliaia 37 2 3 2 2" xfId="35334" xr:uid="{4EF8BBDC-6E10-455B-871B-A2E0170D8D70}"/>
    <cellStyle name="Migliaia 37 2 3 2 2 2" xfId="40494" xr:uid="{ADD5BDEB-46CD-4F85-A17C-B9B1531C7994}"/>
    <cellStyle name="Migliaia 37 2 3 2 2 3" xfId="45796" xr:uid="{2B013CD7-7656-4D8A-9B6F-EE05EC7A1C73}"/>
    <cellStyle name="Migliaia 37 2 3 2 3" xfId="37843" xr:uid="{C1614EAA-9C92-4A2D-81EA-EEB3CA249E80}"/>
    <cellStyle name="Migliaia 37 2 3 2 4" xfId="43145" xr:uid="{AED18240-6365-4587-9985-AE8F02FD555A}"/>
    <cellStyle name="Migliaia 37 2 3 2 5" xfId="14270" xr:uid="{04405559-29D9-4F1B-8DAD-CE7D6BBD7B95}"/>
    <cellStyle name="Migliaia 37 2 3 3" xfId="6507" xr:uid="{7F725647-5273-45EE-8507-5F914C884808}"/>
    <cellStyle name="Migliaia 37 2 3 3 2" xfId="39453" xr:uid="{3AB80723-1E58-4744-970B-F2D00D09E9B0}"/>
    <cellStyle name="Migliaia 37 2 3 3 3" xfId="44755" xr:uid="{EB32F170-2348-4E02-B47E-B7C14DC28C08}"/>
    <cellStyle name="Migliaia 37 2 3 3 4" xfId="33925" xr:uid="{CE832850-71EF-489C-9A3C-10513C7466DF}"/>
    <cellStyle name="Migliaia 37 2 3 3 5" xfId="20499" xr:uid="{D578BC13-5271-4C9C-A04D-4EA9180A5EAD}"/>
    <cellStyle name="Migliaia 37 2 3 4" xfId="36870" xr:uid="{0DD2FC95-D0E7-426C-AE2B-B437EA2A93BA}"/>
    <cellStyle name="Migliaia 37 2 3 5" xfId="42104" xr:uid="{1B7A65FC-5B25-4611-BC91-5CA60871EFFA}"/>
    <cellStyle name="Migliaia 37 2 3 6" xfId="16476" xr:uid="{A4D86E9D-003B-473D-B5A9-16E6EDFC4627}"/>
    <cellStyle name="Migliaia 37 2 3 7" xfId="8332" xr:uid="{A6535112-D784-42EC-A4B5-A2CE8BB13325}"/>
    <cellStyle name="Migliaia 37 2 4" xfId="5311" xr:uid="{12A1CD4E-3F47-4433-9518-92899C88E883}"/>
    <cellStyle name="Migliaia 37 2 4 2" xfId="13975" xr:uid="{9F8D01B2-FAA8-4939-94D7-7257B876E192}"/>
    <cellStyle name="Migliaia 37 2 4 2 2" xfId="39454" xr:uid="{19655F60-6765-4687-B6A4-1301FC19FB5A}"/>
    <cellStyle name="Migliaia 37 2 4 2 3" xfId="44756" xr:uid="{1A04506F-B129-4ADD-A4C2-5A1EA7EBB886}"/>
    <cellStyle name="Migliaia 37 2 4 3" xfId="18706" xr:uid="{F50175BD-8D0E-4612-96A6-BD7ACB1AD3C9}"/>
    <cellStyle name="Migliaia 37 2 4 4" xfId="20500" xr:uid="{CD16189D-F63E-43C7-9356-9508548EABD2}"/>
    <cellStyle name="Migliaia 37 2 4 4 2" xfId="42105" xr:uid="{688C612E-3F04-4702-A8FD-04C84718BB41}"/>
    <cellStyle name="Migliaia 37 2 4 5" xfId="16477" xr:uid="{889B1B98-0318-4D03-8F8C-93936798734E}"/>
    <cellStyle name="Migliaia 37 2 4 6" xfId="7943" xr:uid="{72634942-A2AE-41A4-B483-C1DB56FBD892}"/>
    <cellStyle name="Migliaia 37 2 5" xfId="6505" xr:uid="{A4CD483B-6536-46EB-8935-57D93CB865A4}"/>
    <cellStyle name="Migliaia 37 2 5 2" xfId="33926" xr:uid="{CA2E5BE4-F55B-4D1A-A256-2F6FBCFDF55F}"/>
    <cellStyle name="Migliaia 37 2 5 2 2" xfId="39455" xr:uid="{C2A9E129-C794-4BD9-9EEE-BDC4F6DD6CC1}"/>
    <cellStyle name="Migliaia 37 2 5 2 3" xfId="44757" xr:uid="{5C467427-30D3-448B-9DEC-2AAB7245E025}"/>
    <cellStyle name="Migliaia 37 2 5 3" xfId="36871" xr:uid="{BAC82649-1EB7-4E9B-956C-6ECB5A409E59}"/>
    <cellStyle name="Migliaia 37 2 5 4" xfId="42106" xr:uid="{0FF8A031-1A40-4F80-940F-20CB2D999BEE}"/>
    <cellStyle name="Migliaia 37 2 5 5" xfId="13133" xr:uid="{0343B286-D718-4100-A919-101372E7C81D}"/>
    <cellStyle name="Migliaia 37 2 6" xfId="3585" xr:uid="{7C5F6C24-B937-48DF-B453-4692D87A0487}"/>
    <cellStyle name="Migliaia 37 2 6 2" xfId="33927" xr:uid="{A383B33C-E307-4546-AC39-A1D3061B1A4A}"/>
    <cellStyle name="Migliaia 37 2 6 2 2" xfId="39456" xr:uid="{05AF7CF5-39DE-40CD-B589-DECA547D38EA}"/>
    <cellStyle name="Migliaia 37 2 6 2 3" xfId="44758" xr:uid="{DF6353E3-927F-45FA-AF64-72D8A509E36E}"/>
    <cellStyle name="Migliaia 37 2 6 3" xfId="36872" xr:uid="{F39B8E3B-8F61-453B-A853-A2F240F1BEFE}"/>
    <cellStyle name="Migliaia 37 2 6 4" xfId="42107" xr:uid="{F0E5E955-9D60-43B5-8354-CB8580BC2749}"/>
    <cellStyle name="Migliaia 37 2 6 5" xfId="24851" xr:uid="{FB1D86BE-7245-41E0-8EC1-3A8717D6CCDF}"/>
    <cellStyle name="Migliaia 37 2 6 6" xfId="20496" xr:uid="{0CABD0D8-F979-4B9D-811C-7241C1D91F23}"/>
    <cellStyle name="Migliaia 37 2 7" xfId="24849" xr:uid="{E30013C8-3453-491B-84E9-178FC2D1EE63}"/>
    <cellStyle name="Migliaia 37 2 8" xfId="7133" xr:uid="{89D55324-0FCB-4299-ACB8-C523073B1EAA}"/>
    <cellStyle name="Migliaia 37 3" xfId="423" xr:uid="{00000000-0005-0000-0000-0000D0030000}"/>
    <cellStyle name="Migliaia 37 3 10" xfId="24852" xr:uid="{43A8BDC0-0392-4A5A-A9E8-5344D04D4035}"/>
    <cellStyle name="Migliaia 37 3 11" xfId="16478" xr:uid="{C8612995-21E1-4EAD-8545-F955CF9D7729}"/>
    <cellStyle name="Migliaia 37 3 12" xfId="7134" xr:uid="{28AD44F4-6F52-4E12-BA58-B6E5E5FED390}"/>
    <cellStyle name="Migliaia 37 3 2" xfId="424" xr:uid="{00000000-0005-0000-0000-0000D1030000}"/>
    <cellStyle name="Migliaia 37 3 2 2" xfId="1807" xr:uid="{00000000-0005-0000-0000-0000D2030000}"/>
    <cellStyle name="Migliaia 37 3 2 2 2" xfId="5316" xr:uid="{87EE64E5-91FF-43B8-BAEE-BE8CE1934248}"/>
    <cellStyle name="Migliaia 37 3 2 2 2 2" xfId="18453" xr:uid="{029E122B-B16C-4766-884B-A6BD29F298A2}"/>
    <cellStyle name="Migliaia 37 3 2 2 2 2 2" xfId="21871" xr:uid="{78127E3F-97C0-4E26-AB93-3D81080BC222}"/>
    <cellStyle name="Migliaia 37 3 2 2 2 2 2 2" xfId="39457" xr:uid="{02EAD3B2-75DE-4365-8FAF-2593C4303BB9}"/>
    <cellStyle name="Migliaia 37 3 2 2 2 2 3" xfId="44759" xr:uid="{35DE8622-74F3-4956-93C9-1A1A7991BB74}"/>
    <cellStyle name="Migliaia 37 3 2 2 2 2 4" xfId="33928" xr:uid="{3C3FCB05-1DFC-488F-BAA3-2B1AB0D595E6}"/>
    <cellStyle name="Migliaia 37 3 2 2 2 3" xfId="36873" xr:uid="{E935F79C-8EFE-4376-976C-CCAF6ED58DBF}"/>
    <cellStyle name="Migliaia 37 3 2 2 2 4" xfId="42108" xr:uid="{48C99134-F7F5-46E1-8DB6-8CD8AB272A6C}"/>
    <cellStyle name="Migliaia 37 3 2 2 2 5" xfId="48192" xr:uid="{2F3EF3BB-0DF6-4EA1-B4D2-224A6F22440A}"/>
    <cellStyle name="Migliaia 37 3 2 2 2 6" xfId="50899" xr:uid="{F24BB711-AA4B-4336-B398-0D1366306A32}"/>
    <cellStyle name="Migliaia 37 3 2 2 2 7" xfId="53915" xr:uid="{88A3C3F3-E974-4B6B-856B-7CE88C1E7D20}"/>
    <cellStyle name="Migliaia 37 3 2 2 2 8" xfId="17668" xr:uid="{B8137BD3-9D04-4F22-A4B8-FA54A161358A}"/>
    <cellStyle name="Migliaia 37 3 2 2 2 9" xfId="12007" xr:uid="{BBFF1D56-4C6A-4D5E-9ADA-CA3EC382C1F4}"/>
    <cellStyle name="Migliaia 37 3 2 2 3" xfId="6510" xr:uid="{FAA0FEEC-19B3-4023-936F-D1204396B11B}"/>
    <cellStyle name="Migliaia 37 3 2 2 3 2" xfId="11564" xr:uid="{563A6FB9-FEF9-475A-BE1D-6F29AE7600C6}"/>
    <cellStyle name="Migliaia 37 3 2 2 4" xfId="3590" xr:uid="{E0FC737A-4D35-4506-8760-4ED833FEB3EC}"/>
    <cellStyle name="Migliaia 37 3 2 2 4 2" xfId="21519" xr:uid="{26D23008-BDDD-48EA-9B2C-92EAED28EF2D}"/>
    <cellStyle name="Migliaia 37 3 2 2 4 3" xfId="48177" xr:uid="{5449863A-23A2-4121-B970-5D3E3048B675}"/>
    <cellStyle name="Migliaia 37 3 2 2 4 4" xfId="50534" xr:uid="{0AFFD0EF-C60B-47EE-9E83-130AA8782F9B}"/>
    <cellStyle name="Migliaia 37 3 2 2 4 5" xfId="53550" xr:uid="{CAABCE47-3C74-4774-83DE-A2EB637A1446}"/>
    <cellStyle name="Migliaia 37 3 2 2 4 6" xfId="10884" xr:uid="{50D2C96A-CB25-4882-9562-A37717B843AA}"/>
    <cellStyle name="Migliaia 37 3 2 2 5" xfId="20503" xr:uid="{ADC274A3-3993-47B3-A8D7-7874FA42DA51}"/>
    <cellStyle name="Migliaia 37 3 2 2 6" xfId="24854" xr:uid="{8B5E1D27-3291-486A-8BD1-1A7C1E604E2B}"/>
    <cellStyle name="Migliaia 37 3 2 2 7" xfId="8663" xr:uid="{E6EBA922-9D9E-4C6A-BDE7-383D2D521034}"/>
    <cellStyle name="Migliaia 37 3 2 3" xfId="5315" xr:uid="{1C742278-59F5-4B53-A16B-55FB25128645}"/>
    <cellStyle name="Migliaia 37 3 2 3 2" xfId="12408" xr:uid="{15A4928B-0761-40B7-BD21-3C414BE16787}"/>
    <cellStyle name="Migliaia 37 3 2 3 2 2" xfId="39458" xr:uid="{A376D0D3-D06F-4228-A0E4-D0E1A6A95936}"/>
    <cellStyle name="Migliaia 37 3 2 3 2 3" xfId="44760" xr:uid="{39EAEE24-1589-469D-A7B9-6458A7F90025}"/>
    <cellStyle name="Migliaia 37 3 2 3 2 4" xfId="33929" xr:uid="{C116E5FF-CB52-4097-81DA-8BA170AAD03B}"/>
    <cellStyle name="Migliaia 37 3 2 3 3" xfId="12008" xr:uid="{F08454DA-0B48-4B23-86A1-BB08EF345B14}"/>
    <cellStyle name="Migliaia 37 3 2 3 4" xfId="20504" xr:uid="{FDA1253C-F1F3-4FAA-8EBB-3458FF090BA4}"/>
    <cellStyle name="Migliaia 37 3 2 3 4 2" xfId="42109" xr:uid="{C90F6C16-52D7-4972-A1DD-D83EF5869D6C}"/>
    <cellStyle name="Migliaia 37 3 2 3 5" xfId="16479" xr:uid="{92D52EAC-9CBD-4272-A34C-F29F97433505}"/>
    <cellStyle name="Migliaia 37 3 2 3 6" xfId="7945" xr:uid="{F9CF9A8A-FB21-4ABE-8CAF-9BA7B6937A5F}"/>
    <cellStyle name="Migliaia 37 3 2 4" xfId="6509" xr:uid="{39BF6808-4C02-478E-BDE4-E06578C67C33}"/>
    <cellStyle name="Migliaia 37 3 2 4 2" xfId="18087" xr:uid="{F0DBAC45-0BC2-4EC5-96C6-4ADC88AE101A}"/>
    <cellStyle name="Migliaia 37 3 2 4 2 2" xfId="39459" xr:uid="{CDF18C5D-2A08-4100-AC36-283AF88D5AF7}"/>
    <cellStyle name="Migliaia 37 3 2 4 2 3" xfId="44761" xr:uid="{156CDDF2-3C72-4993-AFD8-C74C64DB9C90}"/>
    <cellStyle name="Migliaia 37 3 2 4 3" xfId="36874" xr:uid="{FE4D69BD-E6CD-4798-8A08-601DE66FDE5B}"/>
    <cellStyle name="Migliaia 37 3 2 4 4" xfId="42110" xr:uid="{AEEFFF42-8629-4936-A7B5-E3393E897A83}"/>
    <cellStyle name="Migliaia 37 3 2 4 5" xfId="17196" xr:uid="{835AB47D-0C74-47E4-9BB3-9F3E477A30E7}"/>
    <cellStyle name="Migliaia 37 3 2 4 6" xfId="11356" xr:uid="{BC2A3955-F491-4AC3-96DF-FD8810C87F00}"/>
    <cellStyle name="Migliaia 37 3 2 5" xfId="3589" xr:uid="{BFDC1F5E-7631-4531-B37C-F262F86C2C60}"/>
    <cellStyle name="Migliaia 37 3 2 5 2" xfId="33930" xr:uid="{123BC46A-D17C-4C28-9B4F-0272BDBCC200}"/>
    <cellStyle name="Migliaia 37 3 2 5 2 2" xfId="39460" xr:uid="{28121DFF-ED28-4973-96C8-EF3B6B20462D}"/>
    <cellStyle name="Migliaia 37 3 2 5 2 3" xfId="44762" xr:uid="{4F9B317A-5420-4C9E-A2B9-862DBB835F3A}"/>
    <cellStyle name="Migliaia 37 3 2 5 3" xfId="36875" xr:uid="{67DD7EC7-D203-4D66-B891-6AFBC058623F}"/>
    <cellStyle name="Migliaia 37 3 2 5 4" xfId="42111" xr:uid="{2ED59665-E29B-45F7-809C-02524DD49A07}"/>
    <cellStyle name="Migliaia 37 3 2 5 5" xfId="17336" xr:uid="{9AAAA724-C488-44B9-876C-9A70383F0549}"/>
    <cellStyle name="Migliaia 37 3 2 6" xfId="20502" xr:uid="{C5689137-DD34-4F84-886E-3B0562B7496E}"/>
    <cellStyle name="Migliaia 37 3 2 6 2" xfId="33931" xr:uid="{37EA3F95-1E8E-4A50-910C-FFBB15C049CF}"/>
    <cellStyle name="Migliaia 37 3 2 6 2 2" xfId="39461" xr:uid="{5B11A721-39EF-434A-BB87-7187D4B7C7E6}"/>
    <cellStyle name="Migliaia 37 3 2 6 2 3" xfId="44763" xr:uid="{4BFEA0B5-A045-498C-918C-0999D991017A}"/>
    <cellStyle name="Migliaia 37 3 2 6 3" xfId="36876" xr:uid="{419F319C-FC0B-47E6-8A48-585646C5632E}"/>
    <cellStyle name="Migliaia 37 3 2 6 4" xfId="42112" xr:uid="{C80610FD-C6E0-4580-A008-C78EEE6EFC3E}"/>
    <cellStyle name="Migliaia 37 3 2 6 5" xfId="24855" xr:uid="{492EB5C0-DDAF-4C61-A519-D10071C3EA19}"/>
    <cellStyle name="Migliaia 37 3 2 7" xfId="24853" xr:uid="{3542F2C1-2AA6-4453-B516-4BE3BA5E30EB}"/>
    <cellStyle name="Migliaia 37 3 2 8" xfId="7473" xr:uid="{60760162-A591-4B37-9AB0-F997D3D3E896}"/>
    <cellStyle name="Migliaia 37 3 3" xfId="3591" xr:uid="{9B6E9A63-3182-4AB0-99E9-04937A8A4DB2}"/>
    <cellStyle name="Migliaia 37 3 3 10" xfId="7472" xr:uid="{68136A69-6094-465A-A05D-F8E2B4F4E3FE}"/>
    <cellStyle name="Migliaia 37 3 3 2" xfId="5317" xr:uid="{6DC48385-B9A6-45BB-B07A-198A39B3766A}"/>
    <cellStyle name="Migliaia 37 3 3 2 2" xfId="9942" xr:uid="{28D56B09-1A4B-4DE7-9AED-C7447DC58D8B}"/>
    <cellStyle name="Migliaia 37 3 3 2 2 2" xfId="39463" xr:uid="{E64C4E68-DCDA-455D-B2B6-B804A3E62DFF}"/>
    <cellStyle name="Migliaia 37 3 3 2 2 3" xfId="44765" xr:uid="{3232B0F3-E9B2-4F6C-949A-D16B90FB56D5}"/>
    <cellStyle name="Migliaia 37 3 3 2 3" xfId="18222" xr:uid="{5E8194AA-9809-4E67-976A-86E0247902AB}"/>
    <cellStyle name="Migliaia 37 3 3 2 4" xfId="20506" xr:uid="{5F8750B8-2385-4297-BCA5-4E0F670C128E}"/>
    <cellStyle name="Migliaia 37 3 3 2 4 2" xfId="42114" xr:uid="{ABE2B90C-D58A-4250-8571-09F2FCA8D7E3}"/>
    <cellStyle name="Migliaia 37 3 3 2 5" xfId="16481" xr:uid="{C5AF5C81-1FE7-4CD0-B2FE-6B86E7FE0337}"/>
    <cellStyle name="Migliaia 37 3 3 2 6" xfId="8662" xr:uid="{AF753188-8009-425C-8766-1C23E34E8C1A}"/>
    <cellStyle name="Migliaia 37 3 3 3" xfId="6511" xr:uid="{83A67CBE-B313-4F2A-94B1-631C38B1B45E}"/>
    <cellStyle name="Migliaia 37 3 3 3 2" xfId="33933" xr:uid="{051239B2-DC68-4EBC-9D5A-B63EB2A4F8D5}"/>
    <cellStyle name="Migliaia 37 3 3 3 2 2" xfId="39464" xr:uid="{786534BD-6173-4183-9658-A1BDB32DE078}"/>
    <cellStyle name="Migliaia 37 3 3 3 2 3" xfId="44766" xr:uid="{7E317523-A949-4AC5-8892-38AFD69956F6}"/>
    <cellStyle name="Migliaia 37 3 3 3 3" xfId="36878" xr:uid="{AC0D4078-5663-49D0-8EAC-590AE10FD445}"/>
    <cellStyle name="Migliaia 37 3 3 3 4" xfId="42115" xr:uid="{B056FB7B-CE13-485A-8B50-580430CEF004}"/>
    <cellStyle name="Migliaia 37 3 3 3 5" xfId="9705" xr:uid="{C381F117-7831-404A-A97A-FDD8E21A4277}"/>
    <cellStyle name="Migliaia 37 3 3 4" xfId="20505" xr:uid="{564E2B7F-6AA0-4DAE-B524-8F47179F3F98}"/>
    <cellStyle name="Migliaia 37 3 3 4 2" xfId="33934" xr:uid="{31AC12CF-B4CD-401F-AAF0-D47604364156}"/>
    <cellStyle name="Migliaia 37 3 3 4 2 2" xfId="39465" xr:uid="{FA4745F1-1C54-413C-953A-7C906CE018B2}"/>
    <cellStyle name="Migliaia 37 3 3 4 2 3" xfId="44767" xr:uid="{896398E7-CEE8-4884-ACDB-FBD56C273A81}"/>
    <cellStyle name="Migliaia 37 3 3 4 3" xfId="36879" xr:uid="{1BA42A86-6157-4337-B579-0E05FF40F74B}"/>
    <cellStyle name="Migliaia 37 3 3 4 4" xfId="42116" xr:uid="{5C71D161-23DA-406C-AC99-9A2FEEF415D3}"/>
    <cellStyle name="Migliaia 37 3 3 4 5" xfId="24856" xr:uid="{DF51AE2B-4941-4356-87AC-3BB1193693C4}"/>
    <cellStyle name="Migliaia 37 3 3 5" xfId="24857" xr:uid="{EB0BCFCE-5A07-4C51-8EA5-D0C51ECEC054}"/>
    <cellStyle name="Migliaia 37 3 3 5 2" xfId="33935" xr:uid="{DB4DFEED-310D-4E19-AC4B-309918DDA928}"/>
    <cellStyle name="Migliaia 37 3 3 5 2 2" xfId="39466" xr:uid="{E234E520-AB41-4D42-9862-158C6FB98DE7}"/>
    <cellStyle name="Migliaia 37 3 3 5 2 3" xfId="44768" xr:uid="{3EB63A04-61FD-40AD-A0A8-19173847B5E8}"/>
    <cellStyle name="Migliaia 37 3 3 5 3" xfId="36880" xr:uid="{1729BE56-4779-4950-846B-F12E5F639823}"/>
    <cellStyle name="Migliaia 37 3 3 5 4" xfId="42117" xr:uid="{EF6C6836-E531-417D-9768-8464DABE3B4B}"/>
    <cellStyle name="Migliaia 37 3 3 6" xfId="33932" xr:uid="{1C1C439F-C7BB-4749-9C2A-D0BC6B82F511}"/>
    <cellStyle name="Migliaia 37 3 3 6 2" xfId="39462" xr:uid="{FE070F38-1F2F-400A-BD7B-7C2DF85C3EB4}"/>
    <cellStyle name="Migliaia 37 3 3 6 3" xfId="44764" xr:uid="{04AF7F01-CA5D-4174-9495-983D6204F261}"/>
    <cellStyle name="Migliaia 37 3 3 7" xfId="36877" xr:uid="{F14CBF18-B9E7-4535-8AD5-98C5A1197E0D}"/>
    <cellStyle name="Migliaia 37 3 3 8" xfId="42113" xr:uid="{517FEEF4-52D7-43DF-BAE3-3CA02C910590}"/>
    <cellStyle name="Migliaia 37 3 3 9" xfId="16480" xr:uid="{1F048D70-2AC1-4033-9612-14397382F24C}"/>
    <cellStyle name="Migliaia 37 3 4" xfId="3592" xr:uid="{B559AC98-DD11-47FA-8A39-E1C627F183A0}"/>
    <cellStyle name="Migliaia 37 3 4 2" xfId="5318" xr:uid="{004889BF-014B-45DB-BEE1-3AADB29A83BF}"/>
    <cellStyle name="Migliaia 37 3 4 2 2" xfId="14453" xr:uid="{403F59BC-42C9-4FAF-8596-EAF7FC1E59A2}"/>
    <cellStyle name="Migliaia 37 3 4 2 3" xfId="18583" xr:uid="{DE7DB53B-162A-4B61-B9A2-22CCED31C106}"/>
    <cellStyle name="Migliaia 37 3 4 2 4" xfId="20508" xr:uid="{C001BA93-0B97-4016-9200-B6FED91515D4}"/>
    <cellStyle name="Migliaia 37 3 4 2 5" xfId="32391" xr:uid="{657275B5-E1D6-432D-AA88-9C256B4BA32F}"/>
    <cellStyle name="Migliaia 37 3 4 2 6" xfId="16483" xr:uid="{A814DC02-9406-4E2B-BCB1-681BDEEEA825}"/>
    <cellStyle name="Migliaia 37 3 4 2 7" xfId="8876" xr:uid="{2FB919FD-38F3-48C8-9AF9-DFE719898A66}"/>
    <cellStyle name="Migliaia 37 3 4 3" xfId="6512" xr:uid="{7BC5C860-3C99-4435-8A0B-F77CE98200F6}"/>
    <cellStyle name="Migliaia 37 3 4 3 2" xfId="35335" xr:uid="{92206169-29D1-47D4-846D-B04FFF8F83A0}"/>
    <cellStyle name="Migliaia 37 3 4 3 2 2" xfId="40495" xr:uid="{E1E08578-19A2-4574-8606-DE77278E7703}"/>
    <cellStyle name="Migliaia 37 3 4 3 2 3" xfId="45797" xr:uid="{57A54194-BD5B-4172-9FF2-97AA3A1BD471}"/>
    <cellStyle name="Migliaia 37 3 4 3 3" xfId="37844" xr:uid="{84E23034-402F-4512-992A-830B17EF6DE7}"/>
    <cellStyle name="Migliaia 37 3 4 3 4" xfId="43146" xr:uid="{6EE298C5-54DC-4C2F-AA41-A3A11E294290}"/>
    <cellStyle name="Migliaia 37 3 4 3 5" xfId="13701" xr:uid="{E97D1DCD-CF2A-4D0A-B253-29487713DB8F}"/>
    <cellStyle name="Migliaia 37 3 4 4" xfId="20507" xr:uid="{1AD89658-1D6B-461B-8DA7-4AC5961EA731}"/>
    <cellStyle name="Migliaia 37 3 4 4 2" xfId="39467" xr:uid="{12DC02A1-9F54-4088-93DF-1B2B5AAE4495}"/>
    <cellStyle name="Migliaia 37 3 4 4 3" xfId="44769" xr:uid="{DD7B2C39-AB9C-4272-88BF-499685EE5345}"/>
    <cellStyle name="Migliaia 37 3 4 4 4" xfId="33936" xr:uid="{01C8C208-4BF4-4774-8E41-DF77F4567AE0}"/>
    <cellStyle name="Migliaia 37 3 4 5" xfId="36881" xr:uid="{50378D47-BC2B-43E5-9159-4432B5AA49C1}"/>
    <cellStyle name="Migliaia 37 3 4 6" xfId="42118" xr:uid="{D1631D2F-BA46-4264-9AE0-A678FCBB6390}"/>
    <cellStyle name="Migliaia 37 3 4 7" xfId="16482" xr:uid="{EA909DB2-2B03-4D57-AD62-7B0F6B6A8E79}"/>
    <cellStyle name="Migliaia 37 3 4 8" xfId="7686" xr:uid="{1B3476E3-54E0-488A-A3A8-8F441F552EA9}"/>
    <cellStyle name="Migliaia 37 3 5" xfId="3593" xr:uid="{0651C7D5-50C4-4BF6-9423-2C40D079AB05}"/>
    <cellStyle name="Migliaia 37 3 5 2" xfId="5319" xr:uid="{9502462D-35B8-4D29-84B7-A0400B90E7F4}"/>
    <cellStyle name="Migliaia 37 3 5 2 2" xfId="35336" xr:uid="{67D39222-91DB-46E8-A34F-16411880199C}"/>
    <cellStyle name="Migliaia 37 3 5 2 2 2" xfId="40496" xr:uid="{339EFAA2-8E01-40B6-9E66-50C1B06A1439}"/>
    <cellStyle name="Migliaia 37 3 5 2 2 3" xfId="45798" xr:uid="{9600CF79-3B8C-47B7-AC7D-D8515BD6BB7E}"/>
    <cellStyle name="Migliaia 37 3 5 2 3" xfId="37845" xr:uid="{2B3C82F5-FE6B-45B3-9E64-5EB920F5F846}"/>
    <cellStyle name="Migliaia 37 3 5 2 4" xfId="43147" xr:uid="{1A4E7364-0EC6-4FDC-8DEB-E44ED23B7819}"/>
    <cellStyle name="Migliaia 37 3 5 2 5" xfId="14271" xr:uid="{2CB78B99-E50D-4C4A-AD5E-74637BF1749E}"/>
    <cellStyle name="Migliaia 37 3 5 3" xfId="6513" xr:uid="{34C96F0E-1D13-4B21-810A-74F7ED7010C9}"/>
    <cellStyle name="Migliaia 37 3 5 3 2" xfId="39468" xr:uid="{E3F6839D-45A5-4AFE-BD12-454B8AC5A5DE}"/>
    <cellStyle name="Migliaia 37 3 5 3 3" xfId="44770" xr:uid="{4A70C17A-CAC7-4D02-8650-BD526FD43FF6}"/>
    <cellStyle name="Migliaia 37 3 5 3 4" xfId="33937" xr:uid="{840D34D2-CF66-4B11-B98C-A766AA0EEF25}"/>
    <cellStyle name="Migliaia 37 3 5 3 5" xfId="20509" xr:uid="{71D8E9BF-47DC-40E2-BB80-0028BD7BE8B8}"/>
    <cellStyle name="Migliaia 37 3 5 4" xfId="36882" xr:uid="{8161BA9D-0E5E-47ED-9996-22842271061C}"/>
    <cellStyle name="Migliaia 37 3 5 5" xfId="42119" xr:uid="{C7855AD8-D955-4A59-8CCA-B2CF00990B76}"/>
    <cellStyle name="Migliaia 37 3 5 6" xfId="16484" xr:uid="{92B13209-6546-46C5-9425-C92253518C3C}"/>
    <cellStyle name="Migliaia 37 3 5 7" xfId="8333" xr:uid="{3922CDDA-DC06-410E-AE6B-779D8E1D81F6}"/>
    <cellStyle name="Migliaia 37 3 6" xfId="5314" xr:uid="{D9989055-3376-4BB0-B008-BFBE40D1B367}"/>
    <cellStyle name="Migliaia 37 3 6 2" xfId="13976" xr:uid="{D6679B07-7C8A-4B7E-BC80-6C6EC20C7BAF}"/>
    <cellStyle name="Migliaia 37 3 6 2 2" xfId="39469" xr:uid="{1D3DA80F-7F35-44C9-A3E1-39A3FCF67CB1}"/>
    <cellStyle name="Migliaia 37 3 6 2 3" xfId="44771" xr:uid="{EEB64226-7CC8-41F0-89C5-FFD119DE9C5B}"/>
    <cellStyle name="Migliaia 37 3 6 3" xfId="18022" xr:uid="{AF8E84D7-2B82-4532-B6A5-6D155165D333}"/>
    <cellStyle name="Migliaia 37 3 6 4" xfId="20510" xr:uid="{4F23ABAF-91D4-49DE-ACB2-AAA6C4C43B0E}"/>
    <cellStyle name="Migliaia 37 3 6 4 2" xfId="42120" xr:uid="{2F110E27-7EBA-4C64-8A8D-67EFD2DD181A}"/>
    <cellStyle name="Migliaia 37 3 6 5" xfId="16485" xr:uid="{989F6877-7D78-4666-8445-B6BB83FEAA93}"/>
    <cellStyle name="Migliaia 37 3 6 6" xfId="7944" xr:uid="{3647F7E8-E92E-4CEE-A706-2A69BDDB323A}"/>
    <cellStyle name="Migliaia 37 3 7" xfId="6508" xr:uid="{9F642E4B-BEB3-4922-BE23-2E830ADD1472}"/>
    <cellStyle name="Migliaia 37 3 7 2" xfId="33938" xr:uid="{92ED0048-E9E0-492C-B8C9-7D0E0B836434}"/>
    <cellStyle name="Migliaia 37 3 7 2 2" xfId="39470" xr:uid="{C0B39D4E-9FC0-46E0-9830-AE7947A18C5D}"/>
    <cellStyle name="Migliaia 37 3 7 2 3" xfId="44772" xr:uid="{004077B0-B4B2-4978-A390-1AAE2DB03E2C}"/>
    <cellStyle name="Migliaia 37 3 7 3" xfId="36883" xr:uid="{38C712C9-54B5-4602-B2CD-73139FA3A56A}"/>
    <cellStyle name="Migliaia 37 3 7 4" xfId="42121" xr:uid="{685E2A71-38DB-4CCA-8FEF-EFCF3A863A5C}"/>
    <cellStyle name="Migliaia 37 3 7 5" xfId="12167" xr:uid="{047E3868-D044-440E-A55B-854CD3562022}"/>
    <cellStyle name="Migliaia 37 3 8" xfId="3588" xr:uid="{D9A509CE-B803-4352-9697-99228A313C01}"/>
    <cellStyle name="Migliaia 37 3 8 2" xfId="33939" xr:uid="{B6ACB5A1-D56B-44DB-A49F-EB728F36E6BD}"/>
    <cellStyle name="Migliaia 37 3 8 2 2" xfId="39471" xr:uid="{585333FB-0615-43A5-86F3-3B2B8F2829FF}"/>
    <cellStyle name="Migliaia 37 3 8 2 3" xfId="44773" xr:uid="{4967ECAF-B707-40AC-A9C0-2D00E16CBE5C}"/>
    <cellStyle name="Migliaia 37 3 8 3" xfId="36884" xr:uid="{A88233D4-2798-4F6D-BF55-A06CC148C5B6}"/>
    <cellStyle name="Migliaia 37 3 8 4" xfId="42122" xr:uid="{B7E84758-6219-4B9B-B5D4-F6DF9434DB49}"/>
    <cellStyle name="Migliaia 37 3 8 5" xfId="24858" xr:uid="{8A232720-8FEA-4B83-BF20-33C09276FBF7}"/>
    <cellStyle name="Migliaia 37 3 8 6" xfId="17337" xr:uid="{E90C940A-B8D8-495C-A8E7-751AC38CA4FA}"/>
    <cellStyle name="Migliaia 37 3 9" xfId="20501" xr:uid="{3A73851A-405A-42DC-A35C-56559CFEC0C8}"/>
    <cellStyle name="Migliaia 37 4" xfId="1808" xr:uid="{00000000-0005-0000-0000-0000D3030000}"/>
    <cellStyle name="Migliaia 37 4 2" xfId="1809" xr:uid="{00000000-0005-0000-0000-0000D4030000}"/>
    <cellStyle name="Migliaia 37 4 2 2" xfId="5321" xr:uid="{46A48FF8-4845-4102-BBE7-7B8BF93B2077}"/>
    <cellStyle name="Migliaia 37 4 2 2 2" xfId="33940" xr:uid="{BEA85D0B-F424-47C4-BC34-D8510945CCF1}"/>
    <cellStyle name="Migliaia 37 4 2 2 2 2" xfId="39472" xr:uid="{28B586B7-09AA-4D13-8029-D4756BC5A253}"/>
    <cellStyle name="Migliaia 37 4 2 2 2 3" xfId="44774" xr:uid="{ACC9B2D0-2856-4BFA-94A6-48855A2F7471}"/>
    <cellStyle name="Migliaia 37 4 2 2 3" xfId="36885" xr:uid="{3B44E594-80A0-4B4F-8420-48E357402E6A}"/>
    <cellStyle name="Migliaia 37 4 2 2 4" xfId="42123" xr:uid="{64B833E5-5892-48EC-BC9D-13352C44C9B6}"/>
    <cellStyle name="Migliaia 37 4 2 2 5" xfId="9168" xr:uid="{B4E09724-67BE-4331-B306-940E5B173460}"/>
    <cellStyle name="Migliaia 37 4 2 3" xfId="3595" xr:uid="{36F591D5-2E96-458D-9412-0D3B3FDD323D}"/>
    <cellStyle name="Migliaia 37 4 2 3 2" xfId="33941" xr:uid="{55CCCDF1-A0C3-4E97-861B-D0A2518DF1E0}"/>
    <cellStyle name="Migliaia 37 4 2 3 2 2" xfId="39473" xr:uid="{5B536316-8869-45C8-BB43-99DA6E0DC1EC}"/>
    <cellStyle name="Migliaia 37 4 2 3 2 3" xfId="44775" xr:uid="{285B264E-FB2F-4C7F-B334-5343C230E1BC}"/>
    <cellStyle name="Migliaia 37 4 2 3 3" xfId="36886" xr:uid="{5638E44B-10DE-40FF-962C-29244C548F29}"/>
    <cellStyle name="Migliaia 37 4 2 3 4" xfId="42124" xr:uid="{92F156D2-3597-45B6-AD3E-C9CF01BBA846}"/>
    <cellStyle name="Migliaia 37 4 2 3 5" xfId="12009" xr:uid="{7A266946-107F-464D-AD8A-44B457B60C8C}"/>
    <cellStyle name="Migliaia 37 4 2 4" xfId="11358" xr:uid="{00A9FFD1-5A78-4D41-88F6-4F515A04B7F6}"/>
    <cellStyle name="Migliaia 37 4 2 5" xfId="10886" xr:uid="{F8642811-4A00-447F-8065-844719C446F9}"/>
    <cellStyle name="Migliaia 37 4 2 5 2" xfId="21521" xr:uid="{C36EC19E-8365-466B-BCE8-5A02DBEE218C}"/>
    <cellStyle name="Migliaia 37 4 2 5 3" xfId="24242" xr:uid="{D5365060-AFE7-4D69-9291-0EFCC8B4D5D4}"/>
    <cellStyle name="Migliaia 37 4 2 5 4" xfId="50536" xr:uid="{392121F4-257A-4E72-B3AF-8BF2845A5DDA}"/>
    <cellStyle name="Migliaia 37 4 2 5 5" xfId="53552" xr:uid="{052236C5-A4C6-4BA8-AAC7-0A7CA3987DAE}"/>
    <cellStyle name="Migliaia 37 4 2 6" xfId="20512" xr:uid="{27A45288-EBE3-4CD7-8A6B-3C16BE77573C}"/>
    <cellStyle name="Migliaia 37 4 2 7" xfId="24860" xr:uid="{7F19FF27-4B68-4929-B828-0F7AB06ECCC6}"/>
    <cellStyle name="Migliaia 37 4 2 8" xfId="8664" xr:uid="{CFBADEBC-E71B-48CF-9F99-9FE1A8158A8E}"/>
    <cellStyle name="Migliaia 37 4 3" xfId="5320" xr:uid="{3BA4C93B-2C92-43E1-9659-2D78C6001A17}"/>
    <cellStyle name="Migliaia 37 4 3 2" xfId="18223" xr:uid="{82E729C5-7BBF-4AD1-A43A-49F4920FD8C6}"/>
    <cellStyle name="Migliaia 37 4 3 2 2" xfId="39474" xr:uid="{5B386915-BCC8-47F3-BF42-02913EA23B3D}"/>
    <cellStyle name="Migliaia 37 4 3 2 3" xfId="44776" xr:uid="{A4E94988-D792-4714-9F53-9EF58458F721}"/>
    <cellStyle name="Migliaia 37 4 3 3" xfId="36887" xr:uid="{702DD8D5-203D-42C3-881F-6C1705CD5C91}"/>
    <cellStyle name="Migliaia 37 4 3 4" xfId="42125" xr:uid="{47A3240C-DD8B-44CB-BE61-EE90FD51524C}"/>
    <cellStyle name="Migliaia 37 4 3 5" xfId="17335" xr:uid="{D9F37E47-62E5-4E42-8AB5-0DFE9AE932B2}"/>
    <cellStyle name="Migliaia 37 4 3 6" xfId="9169" xr:uid="{4BD6C1B6-0830-4999-A78B-73BA5ACAEE2D}"/>
    <cellStyle name="Migliaia 37 4 4" xfId="6514" xr:uid="{AF797D48-E244-42F5-B7C7-6A7335A4073A}"/>
    <cellStyle name="Migliaia 37 4 4 2" xfId="33942" xr:uid="{BED3B34F-70F1-48F9-9C40-E4427A5E20A2}"/>
    <cellStyle name="Migliaia 37 4 4 2 2" xfId="39475" xr:uid="{DF57AC00-93E0-45D7-BEBB-C54488A10FA3}"/>
    <cellStyle name="Migliaia 37 4 4 2 3" xfId="44777" xr:uid="{4BFA7A27-AB31-4643-855D-51AA0ECDE15E}"/>
    <cellStyle name="Migliaia 37 4 4 3" xfId="36888" xr:uid="{8CD19001-7D16-4325-9104-60157DA9E5CD}"/>
    <cellStyle name="Migliaia 37 4 4 4" xfId="42126" xr:uid="{18F328F7-AA42-4B64-B068-A250CF7FC3D7}"/>
    <cellStyle name="Migliaia 37 4 4 5" xfId="12010" xr:uid="{01715452-FD6C-4C3C-9C9E-A571A86CEDC3}"/>
    <cellStyle name="Migliaia 37 4 5" xfId="3594" xr:uid="{9726D3E7-8F96-474D-AD88-0D141BB704AB}"/>
    <cellStyle name="Migliaia 37 4 5 2" xfId="33943" xr:uid="{8CAD4CC4-804C-4F52-8C7B-CD74268A84D4}"/>
    <cellStyle name="Migliaia 37 4 5 2 2" xfId="39476" xr:uid="{C76B2FA4-FF89-471A-952D-3D109A50D361}"/>
    <cellStyle name="Migliaia 37 4 5 2 3" xfId="44778" xr:uid="{D461C5E7-B0CA-47A7-A1BE-D2C22AA10827}"/>
    <cellStyle name="Migliaia 37 4 5 3" xfId="36889" xr:uid="{B753C684-D347-4FD2-B756-7EE8D041CD94}"/>
    <cellStyle name="Migliaia 37 4 5 4" xfId="42127" xr:uid="{65039DE0-6998-4A95-A01E-BDB202B69924}"/>
    <cellStyle name="Migliaia 37 4 5 5" xfId="11357" xr:uid="{A0065B57-E77E-4E8A-98B1-E2C7764F2EE2}"/>
    <cellStyle name="Migliaia 37 4 6" xfId="10885" xr:uid="{BEEE61C6-8A22-4C3A-8036-7503C4CC9EE5}"/>
    <cellStyle name="Migliaia 37 4 6 2" xfId="21520" xr:uid="{4CC1FE7D-DEEF-4ABB-8E00-C0E04E7BF6DA}"/>
    <cellStyle name="Migliaia 37 4 6 2 2" xfId="39477" xr:uid="{D429B1C9-8A46-456A-AEF2-164AD181D513}"/>
    <cellStyle name="Migliaia 37 4 6 2 3" xfId="44779" xr:uid="{4CCD2EAD-8C7B-450A-B0DC-10D3113223D9}"/>
    <cellStyle name="Migliaia 37 4 6 2 4" xfId="33944" xr:uid="{A8D63D5F-AC1D-43B0-83AA-47BE4BE1355A}"/>
    <cellStyle name="Migliaia 37 4 6 3" xfId="36890" xr:uid="{9E80766A-73AA-4879-981D-3941F7800049}"/>
    <cellStyle name="Migliaia 37 4 6 4" xfId="42128" xr:uid="{A8E82757-004D-43BF-A6C9-FF638E97AA05}"/>
    <cellStyle name="Migliaia 37 4 6 5" xfId="24861" xr:uid="{D885633A-8569-4EEB-AD9A-A3B395EF4EA0}"/>
    <cellStyle name="Migliaia 37 4 6 6" xfId="46249" xr:uid="{1A8CD204-1535-4696-85F9-D56053DB7296}"/>
    <cellStyle name="Migliaia 37 4 6 7" xfId="50535" xr:uid="{44ABA70A-9C24-4EA3-B2BF-E922BCD243DE}"/>
    <cellStyle name="Migliaia 37 4 6 8" xfId="53551" xr:uid="{6DC71CFF-1A35-4B21-8663-0A45EF591F2F}"/>
    <cellStyle name="Migliaia 37 4 7" xfId="20511" xr:uid="{9A092F8A-5110-4BEB-8237-F98C1BEDCE1A}"/>
    <cellStyle name="Migliaia 37 4 7 2" xfId="33945" xr:uid="{926982CA-3FC3-4B01-9235-C6BCEC163769}"/>
    <cellStyle name="Migliaia 37 4 7 2 2" xfId="39478" xr:uid="{281B7D8F-4D94-47E8-8AF0-A5EC39998F13}"/>
    <cellStyle name="Migliaia 37 4 7 2 3" xfId="44780" xr:uid="{69977650-BCF5-4FB8-8D3A-CF39BE5ED3B3}"/>
    <cellStyle name="Migliaia 37 4 7 3" xfId="36891" xr:uid="{BC49E925-0F1E-4151-B761-8DEDE5C9794D}"/>
    <cellStyle name="Migliaia 37 4 7 4" xfId="42129" xr:uid="{AB12CC12-D97C-4CD8-A115-FE38425CD69F}"/>
    <cellStyle name="Migliaia 37 4 7 5" xfId="24862" xr:uid="{9BF1529F-2CA0-4D4C-BF7D-0B4F73FE0778}"/>
    <cellStyle name="Migliaia 37 4 8" xfId="24859" xr:uid="{32D92DE8-FFFA-4299-AA28-A95F117C26E7}"/>
    <cellStyle name="Migliaia 37 4 9" xfId="7474" xr:uid="{695B849C-AEAD-4E48-8E4C-015619F485A8}"/>
    <cellStyle name="Migliaia 37 5" xfId="1810" xr:uid="{00000000-0005-0000-0000-0000D5030000}"/>
    <cellStyle name="Migliaia 37 5 2" xfId="5322" xr:uid="{040770B9-B15F-4948-8884-B33003DC9FFD}"/>
    <cellStyle name="Migliaia 37 5 2 2" xfId="18454" xr:uid="{4E7F0E19-3E41-475D-A4EF-A9272F86255C}"/>
    <cellStyle name="Migliaia 37 5 2 2 2" xfId="39479" xr:uid="{02F9B696-0EA9-43AA-A7FF-E1387A60CAB4}"/>
    <cellStyle name="Migliaia 37 5 2 2 3" xfId="44781" xr:uid="{1169F4E5-FD06-4C5E-BE23-E5E420A74417}"/>
    <cellStyle name="Migliaia 37 5 2 3" xfId="20514" xr:uid="{0A7AA658-9634-4155-B881-48213F0F5047}"/>
    <cellStyle name="Migliaia 37 5 2 3 2" xfId="36892" xr:uid="{A7740636-7DF4-40F6-ADF2-58F79BA20C8E}"/>
    <cellStyle name="Migliaia 37 5 2 4" xfId="42130" xr:uid="{59C35BA1-21DC-4274-AEBB-39C2835C6AC5}"/>
    <cellStyle name="Migliaia 37 5 2 5" xfId="16486" xr:uid="{42327E01-BFCA-4DA4-A661-148A27EFD5BC}"/>
    <cellStyle name="Migliaia 37 5 2 6" xfId="8665" xr:uid="{F325F2E7-4E9B-43E7-81AD-ADB5FF54A276}"/>
    <cellStyle name="Migliaia 37 5 3" xfId="6515" xr:uid="{5B513201-78C3-4B3D-9F88-9D484743C8D1}"/>
    <cellStyle name="Migliaia 37 5 3 2" xfId="33946" xr:uid="{05EA4128-6A74-478F-9824-B34B18C2E545}"/>
    <cellStyle name="Migliaia 37 5 3 2 2" xfId="39480" xr:uid="{4F130702-BB82-453D-9B25-3031E138BB5C}"/>
    <cellStyle name="Migliaia 37 5 3 2 3" xfId="44782" xr:uid="{85C56273-C2B1-4C86-9C8D-4147E63F15BC}"/>
    <cellStyle name="Migliaia 37 5 3 3" xfId="36893" xr:uid="{3DF26CFD-3DBD-40CA-BC6C-9034A83ADF59}"/>
    <cellStyle name="Migliaia 37 5 3 4" xfId="42131" xr:uid="{61295309-B801-4EB3-97BD-FCFD0FAFDA43}"/>
    <cellStyle name="Migliaia 37 5 3 5" xfId="11359" xr:uid="{C1089CA3-40E7-4DD3-AF8D-0D5CFD028A08}"/>
    <cellStyle name="Migliaia 37 5 4" xfId="3596" xr:uid="{D1C469AE-757A-4D31-AC85-B1CAA0F1EAFD}"/>
    <cellStyle name="Migliaia 37 5 4 2" xfId="21522" xr:uid="{57F3C56D-48AA-448B-AC0B-580376D799C2}"/>
    <cellStyle name="Migliaia 37 5 4 2 2" xfId="39481" xr:uid="{5BBB0488-7D9B-4EA1-879D-19E68BBCAA4D}"/>
    <cellStyle name="Migliaia 37 5 4 2 3" xfId="44783" xr:uid="{3152B1A5-4FEC-4419-B1AA-DB39D3547DB6}"/>
    <cellStyle name="Migliaia 37 5 4 2 4" xfId="33947" xr:uid="{D90599A3-65B8-4F8B-BC77-04CC9E3A2D25}"/>
    <cellStyle name="Migliaia 37 5 4 3" xfId="36894" xr:uid="{62C8245F-59B9-421D-B277-8CD9775DB86E}"/>
    <cellStyle name="Migliaia 37 5 4 4" xfId="42132" xr:uid="{17E88206-688C-412F-B925-A4DE2ABE941A}"/>
    <cellStyle name="Migliaia 37 5 4 5" xfId="24864" xr:uid="{EB4167CA-1A17-4A41-9C69-5761B2030D10}"/>
    <cellStyle name="Migliaia 37 5 4 6" xfId="46250" xr:uid="{880F146F-1DE8-496B-9D7D-EEABB9F9E164}"/>
    <cellStyle name="Migliaia 37 5 4 7" xfId="50537" xr:uid="{4C3C88C7-7C3C-43A1-B1B4-2BDE8C0B340C}"/>
    <cellStyle name="Migliaia 37 5 4 8" xfId="53553" xr:uid="{D12FE3F5-C453-4E50-BFE2-59F00416D107}"/>
    <cellStyle name="Migliaia 37 5 4 9" xfId="10887" xr:uid="{5AD6685B-008C-4672-BBA9-DA74C7B6C717}"/>
    <cellStyle name="Migliaia 37 5 5" xfId="20513" xr:uid="{59B50A81-DD3C-46A1-8CFC-67A84DA9DED0}"/>
    <cellStyle name="Migliaia 37 5 5 2" xfId="33948" xr:uid="{3C242595-4945-4325-91B9-37BA570D9E53}"/>
    <cellStyle name="Migliaia 37 5 5 2 2" xfId="39482" xr:uid="{CD091D5A-022A-4C74-B9C6-E00F7947BF43}"/>
    <cellStyle name="Migliaia 37 5 5 2 3" xfId="44784" xr:uid="{C4DB6250-7DB8-42A2-A267-952F29BEFB01}"/>
    <cellStyle name="Migliaia 37 5 5 3" xfId="36895" xr:uid="{2A447B25-BDCA-409A-A34F-1006831A11DB}"/>
    <cellStyle name="Migliaia 37 5 5 4" xfId="42133" xr:uid="{5F08F81E-88BB-43CE-BF2A-0CA0DA665DA3}"/>
    <cellStyle name="Migliaia 37 5 5 5" xfId="24865" xr:uid="{C2120909-6710-477D-8595-31F1CF661D0E}"/>
    <cellStyle name="Migliaia 37 5 6" xfId="24866" xr:uid="{EED989DD-1D76-41F4-B2E4-5FA8EB6A03B2}"/>
    <cellStyle name="Migliaia 37 5 6 2" xfId="33949" xr:uid="{FAC46026-D10A-42B0-8D47-B07625CDA0DA}"/>
    <cellStyle name="Migliaia 37 5 6 2 2" xfId="39483" xr:uid="{F9D394F2-3879-49F0-B610-22E9E3D63BA2}"/>
    <cellStyle name="Migliaia 37 5 6 2 3" xfId="44785" xr:uid="{5B666F98-536B-43E1-8E9A-5B3CEBDA58B1}"/>
    <cellStyle name="Migliaia 37 5 6 3" xfId="36896" xr:uid="{47E4357D-A0A1-4940-BEEF-FCDE8A213373}"/>
    <cellStyle name="Migliaia 37 5 6 4" xfId="42134" xr:uid="{59210FF2-2BB3-4F96-95DC-DED7DADB9543}"/>
    <cellStyle name="Migliaia 37 5 7" xfId="24863" xr:uid="{84751837-7CDB-4F68-B900-78A5659E0F84}"/>
    <cellStyle name="Migliaia 37 5 8" xfId="7475" xr:uid="{D57282CD-7314-433C-9419-0E5F078F6895}"/>
    <cellStyle name="Migliaia 37 6" xfId="3597" xr:uid="{02D50670-B404-4218-B08C-DBEB9951C656}"/>
    <cellStyle name="Migliaia 37 6 2" xfId="5323" xr:uid="{5881A6B7-A243-40C4-A965-4FE26DC4E963}"/>
    <cellStyle name="Migliaia 37 6 2 2" xfId="9941" xr:uid="{E4C57220-6BC6-4B2C-A90C-782F975F3613}"/>
    <cellStyle name="Migliaia 37 6 2 3" xfId="18650" xr:uid="{4C5C5A6A-C6FD-4D60-B93F-477DB0CA6712}"/>
    <cellStyle name="Migliaia 37 6 2 4" xfId="20516" xr:uid="{E748E0B9-F93F-42A0-822B-3958BA6E80D6}"/>
    <cellStyle name="Migliaia 37 6 2 5" xfId="32392" xr:uid="{95BD24AD-9B3A-4054-9728-8818B557E334}"/>
    <cellStyle name="Migliaia 37 6 2 6" xfId="16488" xr:uid="{1C5406CC-CC09-4BC1-B6DE-5A02B87EC346}"/>
    <cellStyle name="Migliaia 37 6 2 7" xfId="8660" xr:uid="{05DD705A-BC51-4203-AAF4-D92E5BAA7FE9}"/>
    <cellStyle name="Migliaia 37 6 3" xfId="6516" xr:uid="{350D6510-8676-4186-9243-D53DB5CF346F}"/>
    <cellStyle name="Migliaia 37 6 3 2" xfId="35337" xr:uid="{D6BF256F-13BE-4FC9-88EF-FF311D1397DE}"/>
    <cellStyle name="Migliaia 37 6 3 2 2" xfId="40497" xr:uid="{7291B415-C9E9-45EB-9DB9-228504FA84D3}"/>
    <cellStyle name="Migliaia 37 6 3 2 3" xfId="45799" xr:uid="{A62E4B72-475B-4F3A-BAF5-C03268ADF760}"/>
    <cellStyle name="Migliaia 37 6 3 3" xfId="37846" xr:uid="{CE20DE70-C68B-45D8-ACDF-126D534EA5C6}"/>
    <cellStyle name="Migliaia 37 6 3 4" xfId="43148" xr:uid="{271BFB9D-C9D8-4CD0-987F-1B21D2351D57}"/>
    <cellStyle name="Migliaia 37 6 3 5" xfId="9704" xr:uid="{B85C5A23-08E3-4F9E-9EE4-68D3C9C1BB70}"/>
    <cellStyle name="Migliaia 37 6 4" xfId="20515" xr:uid="{D12EE4C6-2E35-42F1-ABF6-267FA02053AC}"/>
    <cellStyle name="Migliaia 37 6 4 2" xfId="39484" xr:uid="{23EA2CFF-CC1A-460A-BD60-F3E154615EE3}"/>
    <cellStyle name="Migliaia 37 6 4 3" xfId="44786" xr:uid="{3FAD0D4C-C9D5-4418-A2C6-98345FE98C21}"/>
    <cellStyle name="Migliaia 37 6 4 4" xfId="33950" xr:uid="{C81FBD04-E88C-466B-85E3-03CC49481FDC}"/>
    <cellStyle name="Migliaia 37 6 5" xfId="36897" xr:uid="{3762882E-2294-47C9-9431-8D3434C3D374}"/>
    <cellStyle name="Migliaia 37 6 6" xfId="42135" xr:uid="{B994B19C-D5E1-4AFE-A969-7A0B5439A3A0}"/>
    <cellStyle name="Migliaia 37 6 7" xfId="16487" xr:uid="{ED995D4B-90C0-4308-B4D1-48B9801D4BD4}"/>
    <cellStyle name="Migliaia 37 6 8" xfId="7470" xr:uid="{C95B9084-BD6B-4471-AC47-0B7E9B85D349}"/>
    <cellStyle name="Migliaia 37 7" xfId="3598" xr:uid="{075E0A5D-AAA2-4127-AEBB-09EDFA6C3BDB}"/>
    <cellStyle name="Migliaia 37 7 2" xfId="5324" xr:uid="{359A1158-A60E-464F-B1F9-38CFF9239C04}"/>
    <cellStyle name="Migliaia 37 7 2 2" xfId="35338" xr:uid="{5745D005-9487-480C-AB0E-433FD3517E9E}"/>
    <cellStyle name="Migliaia 37 7 2 2 2" xfId="40498" xr:uid="{9BE6A894-8D2B-48A6-AC5E-D5AC301BEBEE}"/>
    <cellStyle name="Migliaia 37 7 2 2 3" xfId="45800" xr:uid="{04413DD0-E858-45F9-B22B-504507EC369E}"/>
    <cellStyle name="Migliaia 37 7 2 3" xfId="37847" xr:uid="{BC36DBB8-1ECE-4EDA-8F75-2329CD339D17}"/>
    <cellStyle name="Migliaia 37 7 2 4" xfId="43149" xr:uid="{6171C59B-E1F6-40C1-A098-D2CCD31D7426}"/>
    <cellStyle name="Migliaia 37 7 2 5" xfId="14269" xr:uid="{F62A63C2-1E11-420C-B79B-60799B98A2DE}"/>
    <cellStyle name="Migliaia 37 7 3" xfId="6517" xr:uid="{03E3F660-1EFB-499D-96FB-579A48D45FEB}"/>
    <cellStyle name="Migliaia 37 7 3 2" xfId="39485" xr:uid="{D70DA1F7-B1E8-4BBD-A3B0-7750B9D5AAD7}"/>
    <cellStyle name="Migliaia 37 7 3 3" xfId="44787" xr:uid="{062FCC72-E8ED-4BE2-B282-373D84D76430}"/>
    <cellStyle name="Migliaia 37 7 3 4" xfId="33951" xr:uid="{0EF89428-C5C3-4E84-96EE-07D1D26DFB08}"/>
    <cellStyle name="Migliaia 37 7 3 5" xfId="20517" xr:uid="{A2EBB191-6CB6-434B-AA9D-0D7835E4E672}"/>
    <cellStyle name="Migliaia 37 7 4" xfId="36898" xr:uid="{0593B125-9BC3-4D65-A68E-E6A5BDB9471E}"/>
    <cellStyle name="Migliaia 37 7 5" xfId="42136" xr:uid="{58D597F4-AFCE-44A2-B007-FA6081EF045B}"/>
    <cellStyle name="Migliaia 37 7 6" xfId="16489" xr:uid="{F2FC9958-7C09-4FF2-8892-30D58BAD614A}"/>
    <cellStyle name="Migliaia 37 7 7" xfId="8331" xr:uid="{AA756156-34E0-47A9-86DF-F08E2965D1CC}"/>
    <cellStyle name="Migliaia 37 8" xfId="3599" xr:uid="{C232DE7B-EDEF-4B38-A92D-1632F8464D75}"/>
    <cellStyle name="Migliaia 37 8 2" xfId="5325" xr:uid="{AA51008E-09DE-44DB-882F-6BFF0AF4715E}"/>
    <cellStyle name="Migliaia 37 8 2 2" xfId="35339" xr:uid="{0AEE7114-27A7-414C-90D4-5941DFF83163}"/>
    <cellStyle name="Migliaia 37 8 2 2 2" xfId="40499" xr:uid="{E30DA1B0-D177-44C6-8821-EECD316F742D}"/>
    <cellStyle name="Migliaia 37 8 2 2 3" xfId="45801" xr:uid="{83325E35-7923-4BA1-8D77-B9E90A834957}"/>
    <cellStyle name="Migliaia 37 8 2 3" xfId="37848" xr:uid="{DB8579DD-2FF5-43BD-BBDD-68BE729578A3}"/>
    <cellStyle name="Migliaia 37 8 2 4" xfId="43150" xr:uid="{030AA1BF-3105-42D0-B3C1-70DF5783E173}"/>
    <cellStyle name="Migliaia 37 8 2 5" xfId="13974" xr:uid="{D4CF1E22-B83B-4361-A749-632225235F82}"/>
    <cellStyle name="Migliaia 37 8 3" xfId="6518" xr:uid="{A9B3D9D6-843A-4639-81FD-39BEF1E1E66E}"/>
    <cellStyle name="Migliaia 37 8 3 2" xfId="39486" xr:uid="{877CFE5E-2CA2-4DB8-964C-A7EB1EBA4974}"/>
    <cellStyle name="Migliaia 37 8 3 3" xfId="44788" xr:uid="{29951C96-CEAD-4ED6-B90B-9DEB73324787}"/>
    <cellStyle name="Migliaia 37 8 3 4" xfId="33952" xr:uid="{485A51AE-20A2-4411-8EB4-15EA8D15C4E2}"/>
    <cellStyle name="Migliaia 37 8 3 5" xfId="20518" xr:uid="{DA38E185-C5CC-4862-9AAD-58CA0C48ABBE}"/>
    <cellStyle name="Migliaia 37 8 4" xfId="36899" xr:uid="{4AF1BBAB-F183-4F6D-B7D5-F273B33EFD0D}"/>
    <cellStyle name="Migliaia 37 8 5" xfId="42137" xr:uid="{486D2612-91CB-4A7B-8E6B-27FC2EEC9FCA}"/>
    <cellStyle name="Migliaia 37 8 6" xfId="16490" xr:uid="{CF24D403-1FF2-4115-BD3E-73D7311373E0}"/>
    <cellStyle name="Migliaia 37 8 7" xfId="7942" xr:uid="{D7FF80D7-3F41-4026-973D-50D32E36D626}"/>
    <cellStyle name="Migliaia 37 9" xfId="5310" xr:uid="{7F867A6E-AB34-4652-8106-6FDAE61C35E0}"/>
    <cellStyle name="Migliaia 37 9 2" xfId="33953" xr:uid="{1D5D7406-41D4-49AE-842E-09D921E8CF9F}"/>
    <cellStyle name="Migliaia 37 9 2 2" xfId="39487" xr:uid="{D5291881-6E9C-40D3-AA96-7358E82212AD}"/>
    <cellStyle name="Migliaia 37 9 2 3" xfId="44789" xr:uid="{62030131-A6ED-44EA-AF57-06E9DA9B93C8}"/>
    <cellStyle name="Migliaia 37 9 3" xfId="36900" xr:uid="{BA26D8EA-9268-48F0-A8D9-B0C34B4A79C4}"/>
    <cellStyle name="Migliaia 37 9 4" xfId="42138" xr:uid="{E99DA59A-73DC-49EC-8756-C808913F00E0}"/>
    <cellStyle name="Migliaia 37 9 5" xfId="17195" xr:uid="{E3055A77-6F04-445B-9077-01EEBA9727DC}"/>
    <cellStyle name="Migliaia 38" xfId="425" xr:uid="{00000000-0005-0000-0000-0000D6030000}"/>
    <cellStyle name="Migliaia 38 10" xfId="6519" xr:uid="{48F4F792-D39C-4989-9355-B09A28869061}"/>
    <cellStyle name="Migliaia 38 10 2" xfId="39488" xr:uid="{37CC3291-8AF7-4C12-BD6E-16F5FF37E68D}"/>
    <cellStyle name="Migliaia 38 10 3" xfId="44790" xr:uid="{1DFAD0CA-E205-4F8F-AC67-AEE1AB8B11FD}"/>
    <cellStyle name="Migliaia 38 10 4" xfId="33954" xr:uid="{F6A606BF-5DD0-4B27-9599-B307D6074F7D}"/>
    <cellStyle name="Migliaia 38 10 5" xfId="20519" xr:uid="{21C66D7A-61A5-40BF-905D-4E1463947F51}"/>
    <cellStyle name="Migliaia 38 11" xfId="3600" xr:uid="{F0B5EB3C-E4AA-4AAA-9BDD-ACD6991327DA}"/>
    <cellStyle name="Migliaia 38 11 2" xfId="36901" xr:uid="{B041C9FC-0957-464E-9E1E-AF96C17DC514}"/>
    <cellStyle name="Migliaia 38 12" xfId="42139" xr:uid="{C67CF126-5163-43F2-9B85-35891F9CA3A9}"/>
    <cellStyle name="Migliaia 38 13" xfId="7135" xr:uid="{B95F1F88-FFB1-4F7B-A1F6-2BA6CED84DF6}"/>
    <cellStyle name="Migliaia 38 2" xfId="426" xr:uid="{00000000-0005-0000-0000-0000D7030000}"/>
    <cellStyle name="Migliaia 38 2 2" xfId="1811" xr:uid="{00000000-0005-0000-0000-0000D8030000}"/>
    <cellStyle name="Migliaia 38 2 2 2" xfId="5328" xr:uid="{EA6AC698-C72B-42AE-B749-E09E27789715}"/>
    <cellStyle name="Migliaia 38 2 2 2 2" xfId="14394" xr:uid="{3114F6CA-A51C-42EA-85F7-0F4C844DE373}"/>
    <cellStyle name="Migliaia 38 2 2 2 2 2" xfId="39489" xr:uid="{DC5E068A-BDFB-4F51-85FD-7CE7CB95C5B3}"/>
    <cellStyle name="Migliaia 38 2 2 2 2 3" xfId="44791" xr:uid="{01A135A6-22CA-428E-95E6-3891F05E44B8}"/>
    <cellStyle name="Migliaia 38 2 2 2 3" xfId="18455" xr:uid="{1565A37F-4C87-4D11-B7A4-7B2442CD5C5F}"/>
    <cellStyle name="Migliaia 38 2 2 2 4" xfId="20522" xr:uid="{50D7A5BF-F89E-4AFC-A40B-4278D64A9ADA}"/>
    <cellStyle name="Migliaia 38 2 2 2 4 2" xfId="42140" xr:uid="{C46DF8C2-2769-4DF8-8FAF-20F97906E7AF}"/>
    <cellStyle name="Migliaia 38 2 2 2 5" xfId="16491" xr:uid="{A98163FA-BE89-4898-ACCC-A15275C14AEB}"/>
    <cellStyle name="Migliaia 38 2 2 2 6" xfId="8667" xr:uid="{89A5E8D5-A90B-4440-B40A-4516BCD88633}"/>
    <cellStyle name="Migliaia 38 2 2 3" xfId="6521" xr:uid="{CD35BAC1-E071-40B0-A89C-05193445CCB9}"/>
    <cellStyle name="Migliaia 38 2 2 3 2" xfId="35340" xr:uid="{48F010C9-2F86-4AFF-8F44-177FC0853119}"/>
    <cellStyle name="Migliaia 38 2 2 3 2 2" xfId="40500" xr:uid="{1D838483-1348-4D1D-87D9-BED9D71507A0}"/>
    <cellStyle name="Migliaia 38 2 2 3 2 3" xfId="45802" xr:uid="{E01C8003-8ADE-4058-96B5-AE6BE780E0E8}"/>
    <cellStyle name="Migliaia 38 2 2 3 3" xfId="37849" xr:uid="{4750A646-2EF9-4F4D-9723-38B065AC820A}"/>
    <cellStyle name="Migliaia 38 2 2 3 4" xfId="43151" xr:uid="{A4D330B8-7BC5-457A-923B-1814D75A5D67}"/>
    <cellStyle name="Migliaia 38 2 2 3 5" xfId="11621" xr:uid="{E9547213-D9E5-4404-8A0B-86B65694F752}"/>
    <cellStyle name="Migliaia 38 2 2 4" xfId="3602" xr:uid="{CC8288F0-74CA-4DCB-92C2-909A5BE87EA2}"/>
    <cellStyle name="Migliaia 38 2 2 4 2" xfId="21523" xr:uid="{7B163D3C-998A-4BF5-88F4-7C10C93D010B}"/>
    <cellStyle name="Migliaia 38 2 2 4 3" xfId="47307" xr:uid="{37C24236-F369-407D-B233-9080F503D84A}"/>
    <cellStyle name="Migliaia 38 2 2 4 4" xfId="50538" xr:uid="{0A49192A-5ABF-4A75-BE47-7B773618768C}"/>
    <cellStyle name="Migliaia 38 2 2 4 5" xfId="53554" xr:uid="{B658EABF-7489-4200-846D-2B56AF87C48E}"/>
    <cellStyle name="Migliaia 38 2 2 4 6" xfId="10888" xr:uid="{96A214C4-4C75-426F-A095-CC3B6744119A}"/>
    <cellStyle name="Migliaia 38 2 2 5" xfId="20521" xr:uid="{D3D75FA3-F9B3-4CEC-BE06-FB5B49ECBF2D}"/>
    <cellStyle name="Migliaia 38 2 2 6" xfId="24868" xr:uid="{A70D1D34-BA94-4AE7-A1B0-A287E36B4C91}"/>
    <cellStyle name="Migliaia 38 2 2 7" xfId="7477" xr:uid="{5B737F9F-5434-4227-87EB-CC7DD7C9886E}"/>
    <cellStyle name="Migliaia 38 2 3" xfId="3603" xr:uid="{F7D50DF9-C34C-4F60-B22D-FBDB90820433}"/>
    <cellStyle name="Migliaia 38 2 3 2" xfId="5329" xr:uid="{EB225DAB-FB4F-43FE-9F17-4692AF62927E}"/>
    <cellStyle name="Migliaia 38 2 3 2 2" xfId="35341" xr:uid="{CFCC60D7-6B71-47B4-81F3-EE79BEDC4FBD}"/>
    <cellStyle name="Migliaia 38 2 3 2 2 2" xfId="40501" xr:uid="{A6380E6A-9F09-450D-8775-CDEEDD34C950}"/>
    <cellStyle name="Migliaia 38 2 3 2 2 3" xfId="45803" xr:uid="{17BF8822-67E5-4C06-A573-A289A5E24D47}"/>
    <cellStyle name="Migliaia 38 2 3 2 3" xfId="37850" xr:uid="{BA0CF14A-480B-449F-9E5A-620FB0CCA58F}"/>
    <cellStyle name="Migliaia 38 2 3 2 4" xfId="43152" xr:uid="{04AB9F80-37E9-4355-A3B8-ADE1BC91A8C9}"/>
    <cellStyle name="Migliaia 38 2 3 2 5" xfId="14273" xr:uid="{4DBBE0C5-09B2-4204-A620-40DD728E9AE0}"/>
    <cellStyle name="Migliaia 38 2 3 3" xfId="6522" xr:uid="{B92EC2F4-C659-4FB9-83F3-703DBC26EF7A}"/>
    <cellStyle name="Migliaia 38 2 3 3 2" xfId="39490" xr:uid="{23B6A006-2989-482B-9124-2BD10D638850}"/>
    <cellStyle name="Migliaia 38 2 3 3 3" xfId="44792" xr:uid="{BF713897-99A2-4B5B-ADCE-C2E29689C7AE}"/>
    <cellStyle name="Migliaia 38 2 3 3 4" xfId="33955" xr:uid="{A970BEDE-4341-4C9B-BED3-822446990ECA}"/>
    <cellStyle name="Migliaia 38 2 3 3 5" xfId="20523" xr:uid="{CC03A306-8E54-4902-9CF1-4F4D605AB944}"/>
    <cellStyle name="Migliaia 38 2 3 4" xfId="36902" xr:uid="{253ADE66-233B-47E8-B966-048DC349D550}"/>
    <cellStyle name="Migliaia 38 2 3 5" xfId="42141" xr:uid="{7135E8A5-531B-4490-BD85-C9BE4E4EC904}"/>
    <cellStyle name="Migliaia 38 2 3 6" xfId="16492" xr:uid="{07EF21D2-5CC6-4E99-ABE3-D667A63D33E9}"/>
    <cellStyle name="Migliaia 38 2 3 7" xfId="8335" xr:uid="{0682881F-2824-4A6A-85F6-559C0AD4D450}"/>
    <cellStyle name="Migliaia 38 2 4" xfId="5327" xr:uid="{6C77A039-D1A1-4D5F-BE0C-59947A39F44F}"/>
    <cellStyle name="Migliaia 38 2 4 2" xfId="13978" xr:uid="{91329869-DFAC-4F14-9E19-A187906B5D2C}"/>
    <cellStyle name="Migliaia 38 2 4 2 2" xfId="39491" xr:uid="{565EF5DE-FA62-4CC9-8680-B7E33D8525D4}"/>
    <cellStyle name="Migliaia 38 2 4 2 3" xfId="44793" xr:uid="{1C6B3210-C0DA-4941-A23E-6AAB12CC95FA}"/>
    <cellStyle name="Migliaia 38 2 4 3" xfId="18705" xr:uid="{6412A9A1-6658-4D68-9D31-E6A2154717E4}"/>
    <cellStyle name="Migliaia 38 2 4 4" xfId="20524" xr:uid="{07A9CD23-D6C4-4BC3-9D4C-B665A8DD5350}"/>
    <cellStyle name="Migliaia 38 2 4 4 2" xfId="42142" xr:uid="{D5301AE0-8B6D-4F27-B71E-7C13EEEB050C}"/>
    <cellStyle name="Migliaia 38 2 4 5" xfId="16493" xr:uid="{234A2756-BBBC-43E6-9ABE-49189A28CEA0}"/>
    <cellStyle name="Migliaia 38 2 4 6" xfId="7947" xr:uid="{D72B7F3E-5562-472E-94C9-22737A766E05}"/>
    <cellStyle name="Migliaia 38 2 5" xfId="6520" xr:uid="{ABFE1193-C612-426D-867C-EC04DF7370FB}"/>
    <cellStyle name="Migliaia 38 2 5 2" xfId="33956" xr:uid="{04323558-9076-47CF-8B26-2677CEC7717D}"/>
    <cellStyle name="Migliaia 38 2 5 2 2" xfId="39492" xr:uid="{13A15B6C-3078-4A9B-B152-0844B0BD12B9}"/>
    <cellStyle name="Migliaia 38 2 5 2 3" xfId="44794" xr:uid="{A9FAD7E9-6008-428E-A97E-6654BD5F51B5}"/>
    <cellStyle name="Migliaia 38 2 5 3" xfId="36903" xr:uid="{A11A4A8C-5F32-4277-BAA9-819F74E188B6}"/>
    <cellStyle name="Migliaia 38 2 5 4" xfId="42143" xr:uid="{3C0933D2-607E-45F0-B242-D201F5667F96}"/>
    <cellStyle name="Migliaia 38 2 5 5" xfId="13134" xr:uid="{4161142A-07D3-4130-B4D0-E8A75F9E53FD}"/>
    <cellStyle name="Migliaia 38 2 6" xfId="3601" xr:uid="{95445A0F-9632-4D42-B07B-A3AFF2B045EA}"/>
    <cellStyle name="Migliaia 38 2 6 2" xfId="33957" xr:uid="{F83A6D51-917C-4CEB-A02F-4A8B4A5F8613}"/>
    <cellStyle name="Migliaia 38 2 6 2 2" xfId="39493" xr:uid="{292A0137-EB82-4129-929C-4C98FC641E9A}"/>
    <cellStyle name="Migliaia 38 2 6 2 3" xfId="44795" xr:uid="{32B2F417-A41C-4CCF-9131-11DD8299AC5D}"/>
    <cellStyle name="Migliaia 38 2 6 3" xfId="36904" xr:uid="{C0F161A9-DF44-4D61-B863-EC183D907CBE}"/>
    <cellStyle name="Migliaia 38 2 6 4" xfId="42144" xr:uid="{C172BD62-8C42-4869-AA43-61D24B7C3EFC}"/>
    <cellStyle name="Migliaia 38 2 6 5" xfId="24869" xr:uid="{B163AD11-E455-4AA8-962F-A5D6968B367A}"/>
    <cellStyle name="Migliaia 38 2 6 6" xfId="20520" xr:uid="{A3A2A246-CB05-421F-9A49-FD77CA17E933}"/>
    <cellStyle name="Migliaia 38 2 7" xfId="24867" xr:uid="{5DBCB35D-C7F7-460F-9C8F-0531D67E0BC0}"/>
    <cellStyle name="Migliaia 38 2 8" xfId="7136" xr:uid="{C3498C50-D7AD-45AC-887F-D3DDE09C6234}"/>
    <cellStyle name="Migliaia 38 3" xfId="427" xr:uid="{00000000-0005-0000-0000-0000D9030000}"/>
    <cellStyle name="Migliaia 38 3 10" xfId="24870" xr:uid="{E893E195-7598-4C51-B5C2-DBE98E7D976B}"/>
    <cellStyle name="Migliaia 38 3 11" xfId="16494" xr:uid="{EAC9CE1D-8D90-456A-8DFB-0121508C31EB}"/>
    <cellStyle name="Migliaia 38 3 12" xfId="7137" xr:uid="{361DD419-A4A9-479B-B11B-97E7F21A2EE1}"/>
    <cellStyle name="Migliaia 38 3 2" xfId="428" xr:uid="{00000000-0005-0000-0000-0000DA030000}"/>
    <cellStyle name="Migliaia 38 3 2 2" xfId="1812" xr:uid="{00000000-0005-0000-0000-0000DB030000}"/>
    <cellStyle name="Migliaia 38 3 2 2 2" xfId="5332" xr:uid="{D0CE1583-2C21-4DBD-9FB4-9A9091181EAD}"/>
    <cellStyle name="Migliaia 38 3 2 2 2 2" xfId="18456" xr:uid="{7B3EF70D-494B-4D58-B456-E0EF94C5C4D4}"/>
    <cellStyle name="Migliaia 38 3 2 2 2 2 2" xfId="21872" xr:uid="{3A25C66B-D024-4758-9400-50D4271629A1}"/>
    <cellStyle name="Migliaia 38 3 2 2 2 2 2 2" xfId="39494" xr:uid="{A7DB44E7-B720-4FB9-8E04-603BFB858A65}"/>
    <cellStyle name="Migliaia 38 3 2 2 2 2 3" xfId="44796" xr:uid="{7D9EDA69-519D-4CAC-8A4F-24EE4DEF16AC}"/>
    <cellStyle name="Migliaia 38 3 2 2 2 2 4" xfId="33958" xr:uid="{1A1460B1-A807-4348-A7AB-9FDBBD5CBFF7}"/>
    <cellStyle name="Migliaia 38 3 2 2 2 3" xfId="36905" xr:uid="{E7714318-2F31-41B0-BD34-4B5AC469181C}"/>
    <cellStyle name="Migliaia 38 3 2 2 2 4" xfId="42145" xr:uid="{F372C539-473F-43D6-8E14-6B2B9700D674}"/>
    <cellStyle name="Migliaia 38 3 2 2 2 5" xfId="46748" xr:uid="{CCDBECFD-BFA5-4D13-895F-D02418976989}"/>
    <cellStyle name="Migliaia 38 3 2 2 2 6" xfId="50900" xr:uid="{959EFBC0-04AA-4DAC-8D60-3549F15DCABE}"/>
    <cellStyle name="Migliaia 38 3 2 2 2 7" xfId="53916" xr:uid="{EA088152-E0A2-42CA-B3D9-C9AA0E905C25}"/>
    <cellStyle name="Migliaia 38 3 2 2 2 8" xfId="17669" xr:uid="{6D06D18F-017E-49BA-A1E4-3BF9B58D6775}"/>
    <cellStyle name="Migliaia 38 3 2 2 2 9" xfId="12011" xr:uid="{1E3BAEB7-96A3-43D2-93F1-556E7C0BC099}"/>
    <cellStyle name="Migliaia 38 3 2 2 3" xfId="6525" xr:uid="{5B73C05B-34B4-4EB1-A292-409472A35D68}"/>
    <cellStyle name="Migliaia 38 3 2 2 3 2" xfId="11565" xr:uid="{7A231238-7D31-4F7F-A7D2-F75510F29459}"/>
    <cellStyle name="Migliaia 38 3 2 2 4" xfId="3606" xr:uid="{A93408DE-FA5A-4202-9595-2A0110C15F82}"/>
    <cellStyle name="Migliaia 38 3 2 2 4 2" xfId="21524" xr:uid="{768567DA-D132-4DA8-AF88-59989CBE7B6A}"/>
    <cellStyle name="Migliaia 38 3 2 2 4 3" xfId="46251" xr:uid="{B9267E41-EB64-4065-85AE-559C30B12B11}"/>
    <cellStyle name="Migliaia 38 3 2 2 4 4" xfId="50539" xr:uid="{D8629CA9-296D-4987-BA3A-1FB98E01BE72}"/>
    <cellStyle name="Migliaia 38 3 2 2 4 5" xfId="53555" xr:uid="{2746B891-D85E-4FBA-B72F-23EFB1216D07}"/>
    <cellStyle name="Migliaia 38 3 2 2 4 6" xfId="10889" xr:uid="{C3048E5B-FDAF-462D-B46B-146F52D76883}"/>
    <cellStyle name="Migliaia 38 3 2 2 5" xfId="20527" xr:uid="{8C95328A-FB90-4451-8074-CC660B7F7265}"/>
    <cellStyle name="Migliaia 38 3 2 2 6" xfId="24872" xr:uid="{EA671DE4-FAA2-48F0-9905-F8AB4A58B8D5}"/>
    <cellStyle name="Migliaia 38 3 2 2 7" xfId="8669" xr:uid="{4C669DE5-04E4-456B-853B-DB45F8365EF7}"/>
    <cellStyle name="Migliaia 38 3 2 3" xfId="5331" xr:uid="{91F9B1FE-73FF-42E9-95C0-24CCA9077C54}"/>
    <cellStyle name="Migliaia 38 3 2 3 2" xfId="11658" xr:uid="{FB4A00DF-3DF4-4F7D-944B-F8CD899E256A}"/>
    <cellStyle name="Migliaia 38 3 2 3 2 2" xfId="39495" xr:uid="{166FE51F-3981-4CD4-9273-710A62FBB107}"/>
    <cellStyle name="Migliaia 38 3 2 3 2 3" xfId="44797" xr:uid="{0B7FCC75-AD16-4888-A541-D5D4F31217AF}"/>
    <cellStyle name="Migliaia 38 3 2 3 2 4" xfId="33959" xr:uid="{A0BEF434-55BF-4A75-8C3D-F6FD44198E4D}"/>
    <cellStyle name="Migliaia 38 3 2 3 3" xfId="12012" xr:uid="{C5A2E48A-D8BB-4C78-9634-446FAE778CAC}"/>
    <cellStyle name="Migliaia 38 3 2 3 4" xfId="20528" xr:uid="{0F0C20F1-64E5-4703-894E-B1D1E9FA094E}"/>
    <cellStyle name="Migliaia 38 3 2 3 4 2" xfId="42146" xr:uid="{7B96C800-D2B2-4D6A-AA3D-7A31F0FBDA2B}"/>
    <cellStyle name="Migliaia 38 3 2 3 5" xfId="16495" xr:uid="{C1CCC75C-DC35-4126-AD09-A268D2983F01}"/>
    <cellStyle name="Migliaia 38 3 2 3 6" xfId="7949" xr:uid="{FB5BCB0D-2A1F-4008-B3A0-91D70DC7D1E9}"/>
    <cellStyle name="Migliaia 38 3 2 4" xfId="6524" xr:uid="{0EB52077-972D-45EE-9F75-01F143972C94}"/>
    <cellStyle name="Migliaia 38 3 2 4 2" xfId="18088" xr:uid="{BBBE813D-613A-4904-BAC3-3D5B915774DA}"/>
    <cellStyle name="Migliaia 38 3 2 4 2 2" xfId="39496" xr:uid="{8C255D9D-D4A4-4F77-890C-639D43DCA5D7}"/>
    <cellStyle name="Migliaia 38 3 2 4 2 3" xfId="44798" xr:uid="{1D6B524A-227A-44B8-AF39-2EA26715A45D}"/>
    <cellStyle name="Migliaia 38 3 2 4 3" xfId="36906" xr:uid="{467DBFD4-B406-4CD7-ADA5-50CEF2F1AA86}"/>
    <cellStyle name="Migliaia 38 3 2 4 4" xfId="42147" xr:uid="{D1C2F791-3311-4738-A107-9572F394E1E9}"/>
    <cellStyle name="Migliaia 38 3 2 4 5" xfId="17198" xr:uid="{D53897E4-4A13-415E-8911-3221C641DB9B}"/>
    <cellStyle name="Migliaia 38 3 2 4 6" xfId="11360" xr:uid="{466CDDB6-D36B-4C55-A4F8-8C627E353DEE}"/>
    <cellStyle name="Migliaia 38 3 2 5" xfId="3605" xr:uid="{0F78C155-B81C-4F41-A033-9A773CB9F65C}"/>
    <cellStyle name="Migliaia 38 3 2 5 2" xfId="33960" xr:uid="{489DB895-E6DF-4E1D-8547-20B3173F6D59}"/>
    <cellStyle name="Migliaia 38 3 2 5 2 2" xfId="39497" xr:uid="{BB2B2164-06D6-4B55-9F64-E3FE650638B1}"/>
    <cellStyle name="Migliaia 38 3 2 5 2 3" xfId="44799" xr:uid="{C4728C0E-4746-4EE7-9824-A6E1487D7E38}"/>
    <cellStyle name="Migliaia 38 3 2 5 3" xfId="36907" xr:uid="{42EB457B-9446-4320-84B9-B5152961711D}"/>
    <cellStyle name="Migliaia 38 3 2 5 4" xfId="42148" xr:uid="{72FA1F99-4151-46EC-BDD5-89730DDFABC6}"/>
    <cellStyle name="Migliaia 38 3 2 5 5" xfId="17333" xr:uid="{1DA84B22-8C15-4B47-A630-00469DE9109F}"/>
    <cellStyle name="Migliaia 38 3 2 6" xfId="20526" xr:uid="{5FCFEAB7-D428-4B6B-AC5D-BBE1F586D6C0}"/>
    <cellStyle name="Migliaia 38 3 2 6 2" xfId="33961" xr:uid="{6865B7B0-B8B8-4893-88F2-6341A260202F}"/>
    <cellStyle name="Migliaia 38 3 2 6 2 2" xfId="39498" xr:uid="{0BE3FBBF-6CA5-49FD-A19E-ADA3D9BC17E4}"/>
    <cellStyle name="Migliaia 38 3 2 6 2 3" xfId="44800" xr:uid="{E0506D97-4409-4F65-9F36-CA00D0006646}"/>
    <cellStyle name="Migliaia 38 3 2 6 3" xfId="36908" xr:uid="{BB3093A2-E985-402C-B779-3D22B19AF0BE}"/>
    <cellStyle name="Migliaia 38 3 2 6 4" xfId="42149" xr:uid="{0542F52E-E4F5-45FE-B795-EAD2C8B22031}"/>
    <cellStyle name="Migliaia 38 3 2 6 5" xfId="24873" xr:uid="{A863C9E3-6B5D-4476-B25E-2676F66DD009}"/>
    <cellStyle name="Migliaia 38 3 2 7" xfId="24871" xr:uid="{2D5A5E1C-A74E-43EC-8F45-A7D3A772BFFC}"/>
    <cellStyle name="Migliaia 38 3 2 8" xfId="7479" xr:uid="{EA800ECB-F153-4834-B9D0-0570D14B914D}"/>
    <cellStyle name="Migliaia 38 3 3" xfId="3607" xr:uid="{E6DD005A-9134-476D-B762-83809B5FBFBE}"/>
    <cellStyle name="Migliaia 38 3 3 10" xfId="7478" xr:uid="{A194FCB5-57B8-4DC4-82B7-7C897416D9E7}"/>
    <cellStyle name="Migliaia 38 3 3 2" xfId="5333" xr:uid="{4BC41AA1-D181-4A6D-A385-A576B2EDBB0E}"/>
    <cellStyle name="Migliaia 38 3 3 2 2" xfId="9944" xr:uid="{3E47CA5C-58FC-47DB-8814-9C144799FFB9}"/>
    <cellStyle name="Migliaia 38 3 3 2 2 2" xfId="39500" xr:uid="{3EDA6167-02C2-4C9E-929A-040ED58679F8}"/>
    <cellStyle name="Migliaia 38 3 3 2 2 3" xfId="44802" xr:uid="{A6C20078-FFA1-4450-A376-BE56CFCDEE44}"/>
    <cellStyle name="Migliaia 38 3 3 2 3" xfId="18224" xr:uid="{D0104D05-8D33-40DE-81F8-4B7E5A476EAF}"/>
    <cellStyle name="Migliaia 38 3 3 2 4" xfId="20530" xr:uid="{403AFAE3-DE38-43F0-8787-F5A87D49EE2A}"/>
    <cellStyle name="Migliaia 38 3 3 2 4 2" xfId="42151" xr:uid="{87471109-BDF7-4811-8F21-8262FD2B4D26}"/>
    <cellStyle name="Migliaia 38 3 3 2 5" xfId="16497" xr:uid="{08D09FB3-368A-4260-85B6-A6EA03231D62}"/>
    <cellStyle name="Migliaia 38 3 3 2 6" xfId="8668" xr:uid="{84EE48C7-E986-4ADF-B969-C2710B6EEE20}"/>
    <cellStyle name="Migliaia 38 3 3 3" xfId="6526" xr:uid="{E5CDDE51-A4DF-4806-8F58-52B864150B4F}"/>
    <cellStyle name="Migliaia 38 3 3 3 2" xfId="33963" xr:uid="{21D28120-3F94-430C-B720-C159E8BC0EAA}"/>
    <cellStyle name="Migliaia 38 3 3 3 2 2" xfId="39501" xr:uid="{7371B45E-C670-49F8-9525-FB32E029072F}"/>
    <cellStyle name="Migliaia 38 3 3 3 2 3" xfId="44803" xr:uid="{89ECEA0B-CA26-411D-8681-E6C8D8DF12E3}"/>
    <cellStyle name="Migliaia 38 3 3 3 3" xfId="36910" xr:uid="{0DEA77D8-02A4-4B93-899F-F1429A607C2A}"/>
    <cellStyle name="Migliaia 38 3 3 3 4" xfId="42152" xr:uid="{A46FECE1-23A0-405D-BC2E-CBADA02617ED}"/>
    <cellStyle name="Migliaia 38 3 3 3 5" xfId="9707" xr:uid="{22F99343-8C2E-4B0F-967C-7356BEBF3ABA}"/>
    <cellStyle name="Migliaia 38 3 3 4" xfId="20529" xr:uid="{88928595-2AD8-4707-BF45-388767B3CD37}"/>
    <cellStyle name="Migliaia 38 3 3 4 2" xfId="33964" xr:uid="{9C3FBF04-0935-4764-8058-FC86E27B966A}"/>
    <cellStyle name="Migliaia 38 3 3 4 2 2" xfId="39502" xr:uid="{CAA54364-1A66-4458-8793-0054A7DB2DF0}"/>
    <cellStyle name="Migliaia 38 3 3 4 2 3" xfId="44804" xr:uid="{11D0C421-5424-4819-A765-BCF9CE7475BA}"/>
    <cellStyle name="Migliaia 38 3 3 4 3" xfId="36911" xr:uid="{8BC22591-FCC0-4CB2-8371-E2CCFE2B265F}"/>
    <cellStyle name="Migliaia 38 3 3 4 4" xfId="42153" xr:uid="{EFEEB4A1-C8F6-4DF9-AB0B-833F1DC651D8}"/>
    <cellStyle name="Migliaia 38 3 3 4 5" xfId="24874" xr:uid="{804C617F-6015-420C-9B05-A35253FF2A5F}"/>
    <cellStyle name="Migliaia 38 3 3 5" xfId="24875" xr:uid="{0193E0B1-1831-43CA-908B-40D947EF54EA}"/>
    <cellStyle name="Migliaia 38 3 3 5 2" xfId="33965" xr:uid="{8966386D-266B-4E17-9D42-50F1CCAFD2FF}"/>
    <cellStyle name="Migliaia 38 3 3 5 2 2" xfId="39503" xr:uid="{B7222EE0-D2F2-4F5F-8E98-B050DBD047F7}"/>
    <cellStyle name="Migliaia 38 3 3 5 2 3" xfId="44805" xr:uid="{EA1DB3EC-3357-43B6-9D6E-964B8AAF224B}"/>
    <cellStyle name="Migliaia 38 3 3 5 3" xfId="36912" xr:uid="{1A53FBC7-EADE-4D22-A743-CE136AF3ED9C}"/>
    <cellStyle name="Migliaia 38 3 3 5 4" xfId="42154" xr:uid="{2370C3F4-AF04-474B-845B-4D31CE4C93CD}"/>
    <cellStyle name="Migliaia 38 3 3 6" xfId="33962" xr:uid="{C8BC030E-E123-426D-9A29-0CB9B6C2D448}"/>
    <cellStyle name="Migliaia 38 3 3 6 2" xfId="39499" xr:uid="{5F661768-FBCE-427F-A766-BBC1EA838A59}"/>
    <cellStyle name="Migliaia 38 3 3 6 3" xfId="44801" xr:uid="{AC3ACC16-6D75-462E-A493-5F091F0AD8A4}"/>
    <cellStyle name="Migliaia 38 3 3 7" xfId="36909" xr:uid="{C7EE4B52-3333-4495-BC37-02206D8925B5}"/>
    <cellStyle name="Migliaia 38 3 3 8" xfId="42150" xr:uid="{A2641004-2C15-4D00-9677-5C001B3B0191}"/>
    <cellStyle name="Migliaia 38 3 3 9" xfId="16496" xr:uid="{2FC81A26-EDB8-40B5-ACAF-70F15ECCBF65}"/>
    <cellStyle name="Migliaia 38 3 4" xfId="3608" xr:uid="{03636019-356D-450C-A339-43049776B7D5}"/>
    <cellStyle name="Migliaia 38 3 4 2" xfId="5334" xr:uid="{38D61A6A-5CDF-45B8-811B-E12970FB7DD6}"/>
    <cellStyle name="Migliaia 38 3 4 2 2" xfId="14454" xr:uid="{992DF857-C1AD-420D-9FD2-9E7BF790301F}"/>
    <cellStyle name="Migliaia 38 3 4 2 3" xfId="18130" xr:uid="{52632DA4-16D9-40E1-9888-1A67A6B21BDA}"/>
    <cellStyle name="Migliaia 38 3 4 2 4" xfId="20532" xr:uid="{2D7E4857-A1AB-4F21-B09A-057592BE8811}"/>
    <cellStyle name="Migliaia 38 3 4 2 5" xfId="32393" xr:uid="{1243FA94-33B8-471A-A5AB-E642435D2F0E}"/>
    <cellStyle name="Migliaia 38 3 4 2 6" xfId="16499" xr:uid="{B8F278E4-C8AE-4845-9E33-C603E5DB509D}"/>
    <cellStyle name="Migliaia 38 3 4 2 7" xfId="8877" xr:uid="{F3A3D0C9-7B3F-416E-92C4-C3B86A61DDB2}"/>
    <cellStyle name="Migliaia 38 3 4 3" xfId="6527" xr:uid="{CCC29080-2494-4314-96D0-464D4B1845A2}"/>
    <cellStyle name="Migliaia 38 3 4 3 2" xfId="35342" xr:uid="{F4B1B1ED-C272-4C55-AF48-234BE25D0365}"/>
    <cellStyle name="Migliaia 38 3 4 3 2 2" xfId="40502" xr:uid="{98A0A85D-4246-4E2A-B939-64C277451032}"/>
    <cellStyle name="Migliaia 38 3 4 3 2 3" xfId="45804" xr:uid="{CF60CBAC-E954-44A9-93F0-F583E9AEAAB1}"/>
    <cellStyle name="Migliaia 38 3 4 3 3" xfId="37851" xr:uid="{267F65DE-5F73-4F7F-98A2-6D0348070A74}"/>
    <cellStyle name="Migliaia 38 3 4 3 4" xfId="43153" xr:uid="{7064413A-F68B-44E5-8D47-B842F8A4ECFB}"/>
    <cellStyle name="Migliaia 38 3 4 3 5" xfId="13702" xr:uid="{BAC9919B-7081-4430-A3DD-7C94FDA9C1B1}"/>
    <cellStyle name="Migliaia 38 3 4 4" xfId="20531" xr:uid="{9EEE0D2C-4429-48CF-9644-E1B034E37B29}"/>
    <cellStyle name="Migliaia 38 3 4 4 2" xfId="39504" xr:uid="{C3FEACE6-9DD5-4D6A-AFA0-58D333D9AD19}"/>
    <cellStyle name="Migliaia 38 3 4 4 3" xfId="44806" xr:uid="{E960209D-4A11-4F79-9EB0-ED89F6D02F25}"/>
    <cellStyle name="Migliaia 38 3 4 4 4" xfId="33966" xr:uid="{07B31352-D605-4EFA-9D69-92981C235BDD}"/>
    <cellStyle name="Migliaia 38 3 4 5" xfId="36913" xr:uid="{8E492602-D8C9-4333-855D-6CA55086C662}"/>
    <cellStyle name="Migliaia 38 3 4 6" xfId="42155" xr:uid="{3DC5CEA4-1F4D-4DC2-8EEB-4846B55A6653}"/>
    <cellStyle name="Migliaia 38 3 4 7" xfId="16498" xr:uid="{F60BDBA7-6B33-4066-A0DC-F2842075C8C6}"/>
    <cellStyle name="Migliaia 38 3 4 8" xfId="7687" xr:uid="{180227B2-CE76-45D8-95EC-0310AD9DAB0A}"/>
    <cellStyle name="Migliaia 38 3 5" xfId="3609" xr:uid="{D2132C9F-5EC5-40E6-9013-33262637A7BA}"/>
    <cellStyle name="Migliaia 38 3 5 2" xfId="5335" xr:uid="{B2395656-4B00-4F69-B8AF-4BAF0CC926E9}"/>
    <cellStyle name="Migliaia 38 3 5 2 2" xfId="35343" xr:uid="{7043AC64-AABC-4E50-8E74-8449FAA70599}"/>
    <cellStyle name="Migliaia 38 3 5 2 2 2" xfId="40503" xr:uid="{B4DAFFC8-2AEA-42A5-A764-83F3C93AAA05}"/>
    <cellStyle name="Migliaia 38 3 5 2 2 3" xfId="45805" xr:uid="{264A86D4-3AA4-45B2-A871-5871E10B4E7D}"/>
    <cellStyle name="Migliaia 38 3 5 2 3" xfId="37852" xr:uid="{F360E874-84DA-44AB-A587-E4E8CCF50DF3}"/>
    <cellStyle name="Migliaia 38 3 5 2 4" xfId="43154" xr:uid="{D82E9405-A9ED-403C-877D-96BFEB1FEA7A}"/>
    <cellStyle name="Migliaia 38 3 5 2 5" xfId="14274" xr:uid="{FACCE34A-5912-4C21-81E2-CAE8BA36EBD0}"/>
    <cellStyle name="Migliaia 38 3 5 3" xfId="6528" xr:uid="{C8039125-AF5B-4875-829B-C2D9E880EA80}"/>
    <cellStyle name="Migliaia 38 3 5 3 2" xfId="39505" xr:uid="{0BED0C95-F469-4478-9E99-B3BF20240072}"/>
    <cellStyle name="Migliaia 38 3 5 3 3" xfId="44807" xr:uid="{D5EB5F1B-1AA3-4660-BCFE-0323D16B70A7}"/>
    <cellStyle name="Migliaia 38 3 5 3 4" xfId="33967" xr:uid="{560C5A14-984D-48E5-B3D4-B4C067577A1D}"/>
    <cellStyle name="Migliaia 38 3 5 3 5" xfId="20533" xr:uid="{291CA0C2-3998-4557-8B23-A92A949F29A6}"/>
    <cellStyle name="Migliaia 38 3 5 4" xfId="36914" xr:uid="{B9A02760-BF61-4B45-A987-748E126BC8EA}"/>
    <cellStyle name="Migliaia 38 3 5 5" xfId="42156" xr:uid="{A75BFAEC-2F00-42D1-8AC7-709A27C3A265}"/>
    <cellStyle name="Migliaia 38 3 5 6" xfId="16500" xr:uid="{EA374F2B-88DE-45BD-9A27-9A52F60BB599}"/>
    <cellStyle name="Migliaia 38 3 5 7" xfId="8336" xr:uid="{4FF5003C-BD30-4D9A-87DA-15B58F4432D5}"/>
    <cellStyle name="Migliaia 38 3 6" xfId="5330" xr:uid="{A28B5CC7-EC12-40AB-B727-2D07B696D258}"/>
    <cellStyle name="Migliaia 38 3 6 2" xfId="13979" xr:uid="{7C0CA3A6-566D-4BBE-B65A-79B6B3CFB69F}"/>
    <cellStyle name="Migliaia 38 3 6 2 2" xfId="39506" xr:uid="{568CD108-AF48-438A-91A3-5973AC0CCAB9}"/>
    <cellStyle name="Migliaia 38 3 6 2 3" xfId="44808" xr:uid="{D20C39C3-4FAA-4DFD-A3CB-A453D449707E}"/>
    <cellStyle name="Migliaia 38 3 6 3" xfId="18611" xr:uid="{100C366B-0D7F-4866-8D30-6352C6CBD3D2}"/>
    <cellStyle name="Migliaia 38 3 6 4" xfId="20534" xr:uid="{F1BE9AAF-7B1B-4A40-B135-3C7C6FE4A295}"/>
    <cellStyle name="Migliaia 38 3 6 4 2" xfId="42157" xr:uid="{2523EB8F-7D87-4859-90A9-F9192CAB87C9}"/>
    <cellStyle name="Migliaia 38 3 6 5" xfId="16501" xr:uid="{378B25B5-84FF-4201-8987-7A99D95479D3}"/>
    <cellStyle name="Migliaia 38 3 6 6" xfId="7948" xr:uid="{A8D5FE97-34AB-4E00-A824-FB181E6BDE03}"/>
    <cellStyle name="Migliaia 38 3 7" xfId="6523" xr:uid="{02543DDF-E2DA-4DFB-8B39-CD37854D65A4}"/>
    <cellStyle name="Migliaia 38 3 7 2" xfId="33968" xr:uid="{8F16D6E8-4FC7-4942-BBEE-097B70B8B432}"/>
    <cellStyle name="Migliaia 38 3 7 2 2" xfId="39507" xr:uid="{A7AF7014-CBDE-443C-B9CF-385FB95AB5AB}"/>
    <cellStyle name="Migliaia 38 3 7 2 3" xfId="44809" xr:uid="{96CA9D8C-F926-4A88-AFD7-B794112A900F}"/>
    <cellStyle name="Migliaia 38 3 7 3" xfId="36915" xr:uid="{8006C9C7-28BF-4AF7-B60E-65632C82BC46}"/>
    <cellStyle name="Migliaia 38 3 7 4" xfId="42158" xr:uid="{056D18D8-480D-4DD2-9686-BF210572D2ED}"/>
    <cellStyle name="Migliaia 38 3 7 5" xfId="11706" xr:uid="{BCB83896-98F9-42DC-9C8B-ECB3C929866F}"/>
    <cellStyle name="Migliaia 38 3 8" xfId="3604" xr:uid="{083DEB44-C1CA-4EAD-A030-BFAC9415BB9F}"/>
    <cellStyle name="Migliaia 38 3 8 2" xfId="33969" xr:uid="{6636ADCF-1567-4224-9CAE-EC04B8ACCCB2}"/>
    <cellStyle name="Migliaia 38 3 8 2 2" xfId="39508" xr:uid="{EDE5F1BE-8B78-42DE-97CD-1BECFCC781DD}"/>
    <cellStyle name="Migliaia 38 3 8 2 3" xfId="44810" xr:uid="{681FF8D8-5BEA-4F9B-B479-F182A37819E6}"/>
    <cellStyle name="Migliaia 38 3 8 3" xfId="36916" xr:uid="{C80B1BA1-D77F-42C4-9526-12A0C8A0AC3E}"/>
    <cellStyle name="Migliaia 38 3 8 4" xfId="42159" xr:uid="{524E8ED3-DBB1-408F-99FA-ED638F717A5F}"/>
    <cellStyle name="Migliaia 38 3 8 5" xfId="24876" xr:uid="{697B3691-FEF6-4B84-85DD-2B433B4E0368}"/>
    <cellStyle name="Migliaia 38 3 8 6" xfId="17334" xr:uid="{BF9BE613-11A4-4D02-B5B3-8F6D10DC5D07}"/>
    <cellStyle name="Migliaia 38 3 9" xfId="20525" xr:uid="{689A3EB2-26CC-4338-BA6A-7FC8CEF5E5BC}"/>
    <cellStyle name="Migliaia 38 4" xfId="1813" xr:uid="{00000000-0005-0000-0000-0000DC030000}"/>
    <cellStyle name="Migliaia 38 4 2" xfId="1814" xr:uid="{00000000-0005-0000-0000-0000DD030000}"/>
    <cellStyle name="Migliaia 38 4 2 2" xfId="5337" xr:uid="{4F97117D-5AC0-481C-B2C9-77B914E2198B}"/>
    <cellStyle name="Migliaia 38 4 2 2 2" xfId="33970" xr:uid="{1BDF14C5-133F-4506-9460-05F5DDB24633}"/>
    <cellStyle name="Migliaia 38 4 2 2 2 2" xfId="39509" xr:uid="{6433EBED-EB8E-4EF1-8715-C3ED54E86487}"/>
    <cellStyle name="Migliaia 38 4 2 2 2 3" xfId="44811" xr:uid="{68C5162E-D815-4C8B-8822-64507207CA5C}"/>
    <cellStyle name="Migliaia 38 4 2 2 3" xfId="36917" xr:uid="{094A6189-C086-41E2-9AA4-F7469DC11399}"/>
    <cellStyle name="Migliaia 38 4 2 2 4" xfId="42160" xr:uid="{26BD0101-6F0C-4D42-8D35-8D59B7BBBF0D}"/>
    <cellStyle name="Migliaia 38 4 2 2 5" xfId="9170" xr:uid="{28F66063-98B9-4893-8E7A-2CF403985FC0}"/>
    <cellStyle name="Migliaia 38 4 2 3" xfId="3611" xr:uid="{DD482E3B-6EB1-4AA9-BF95-F73D1E49A9B3}"/>
    <cellStyle name="Migliaia 38 4 2 3 2" xfId="33971" xr:uid="{6AD51307-6CD8-4657-A41C-56BD924F6F45}"/>
    <cellStyle name="Migliaia 38 4 2 3 2 2" xfId="39510" xr:uid="{44E5453A-9B29-4D8B-A09E-FDE584C01A89}"/>
    <cellStyle name="Migliaia 38 4 2 3 2 3" xfId="44812" xr:uid="{740B4852-1A52-4037-A643-85A361888B7D}"/>
    <cellStyle name="Migliaia 38 4 2 3 3" xfId="36918" xr:uid="{1C9A8A19-1029-419C-9270-F57CECBD894A}"/>
    <cellStyle name="Migliaia 38 4 2 3 4" xfId="42161" xr:uid="{652C8916-D3A5-4762-B67B-8277AFEEDFA7}"/>
    <cellStyle name="Migliaia 38 4 2 3 5" xfId="12013" xr:uid="{82A5B069-72F9-471D-B480-87906547C120}"/>
    <cellStyle name="Migliaia 38 4 2 4" xfId="11362" xr:uid="{059931A2-5726-4770-BA86-8DBBA6B09853}"/>
    <cellStyle name="Migliaia 38 4 2 5" xfId="10891" xr:uid="{4DCA0870-D8ED-43C6-A7E5-75F15ABD51C1}"/>
    <cellStyle name="Migliaia 38 4 2 5 2" xfId="21526" xr:uid="{4BEE206E-AE65-446E-889A-E5494963CAC8}"/>
    <cellStyle name="Migliaia 38 4 2 5 3" xfId="46252" xr:uid="{4783B407-595C-4624-91F6-A792FD183E5F}"/>
    <cellStyle name="Migliaia 38 4 2 5 4" xfId="50541" xr:uid="{94A947A8-E80A-4EB8-8AAE-ACEAB68B6357}"/>
    <cellStyle name="Migliaia 38 4 2 5 5" xfId="53557" xr:uid="{CFCF6AF5-628C-4229-9932-3584A4E0EEF8}"/>
    <cellStyle name="Migliaia 38 4 2 6" xfId="20536" xr:uid="{D84D18A1-4CB3-4530-98B8-0A4D8EC0B061}"/>
    <cellStyle name="Migliaia 38 4 2 7" xfId="24878" xr:uid="{3C978C58-D2AF-4428-A9EB-C196818AA8A5}"/>
    <cellStyle name="Migliaia 38 4 2 8" xfId="8670" xr:uid="{E1B7E20E-E376-470E-BA59-E4199A6761EA}"/>
    <cellStyle name="Migliaia 38 4 3" xfId="5336" xr:uid="{3900A934-2117-4FC1-BBE5-CB392DBCE2C7}"/>
    <cellStyle name="Migliaia 38 4 3 2" xfId="18225" xr:uid="{34A67653-280F-4591-A84B-F4FA48FE4B04}"/>
    <cellStyle name="Migliaia 38 4 3 2 2" xfId="39511" xr:uid="{DC8435A8-F4AF-4A65-BCAA-C9D06ABC2B8C}"/>
    <cellStyle name="Migliaia 38 4 3 2 3" xfId="44813" xr:uid="{42B40CEC-DC8B-4407-9AA1-921A86171482}"/>
    <cellStyle name="Migliaia 38 4 3 3" xfId="36919" xr:uid="{C5202835-3F51-4AF5-B04C-C42CC0D6B107}"/>
    <cellStyle name="Migliaia 38 4 3 4" xfId="42162" xr:uid="{0A579BEB-B2C6-4EC3-B365-40886C64324B}"/>
    <cellStyle name="Migliaia 38 4 3 5" xfId="17332" xr:uid="{5C3834E6-80C4-40F8-8464-A84A1DB43EC7}"/>
    <cellStyle name="Migliaia 38 4 3 6" xfId="9171" xr:uid="{C6E805C6-048E-4690-9FC4-575B2A851FF8}"/>
    <cellStyle name="Migliaia 38 4 4" xfId="6529" xr:uid="{9ADE9208-CFC7-46FA-8603-393658F63F30}"/>
    <cellStyle name="Migliaia 38 4 4 2" xfId="33972" xr:uid="{139821CB-D86F-4C1A-8B2C-4AE08B0E50F7}"/>
    <cellStyle name="Migliaia 38 4 4 2 2" xfId="39512" xr:uid="{BD0EF0D4-EF80-4583-9362-F14365DD4C7F}"/>
    <cellStyle name="Migliaia 38 4 4 2 3" xfId="44814" xr:uid="{56BD93E4-BFE0-4416-B5C9-47827E46B156}"/>
    <cellStyle name="Migliaia 38 4 4 3" xfId="36920" xr:uid="{31FA38EB-6C6D-42F5-814A-0312DA86260B}"/>
    <cellStyle name="Migliaia 38 4 4 4" xfId="42163" xr:uid="{7C202CB8-8083-48AD-995F-832B4DB055CA}"/>
    <cellStyle name="Migliaia 38 4 4 5" xfId="12014" xr:uid="{8D4C8D00-67F2-4FD3-BEA5-35A4419C7FE1}"/>
    <cellStyle name="Migliaia 38 4 5" xfId="3610" xr:uid="{CBD67DC0-37CA-4186-8127-0777D4535373}"/>
    <cellStyle name="Migliaia 38 4 5 2" xfId="33973" xr:uid="{0F12C39B-4048-48D0-ACD8-584D7A5F4919}"/>
    <cellStyle name="Migliaia 38 4 5 2 2" xfId="39513" xr:uid="{689CDDE9-CE00-405B-9925-AB54006522F6}"/>
    <cellStyle name="Migliaia 38 4 5 2 3" xfId="44815" xr:uid="{0830287E-2144-47BC-9B75-2A1BBECCA05E}"/>
    <cellStyle name="Migliaia 38 4 5 3" xfId="36921" xr:uid="{D15253DC-587A-4E40-9F47-3D30195D71D4}"/>
    <cellStyle name="Migliaia 38 4 5 4" xfId="42164" xr:uid="{432BF40B-2E81-43AE-8EC6-7F673611AD61}"/>
    <cellStyle name="Migliaia 38 4 5 5" xfId="11361" xr:uid="{366800F8-0D2D-4B62-90D6-8BAE44954995}"/>
    <cellStyle name="Migliaia 38 4 6" xfId="10890" xr:uid="{FDDF7823-376E-4C03-A53D-5F3AD7710AAC}"/>
    <cellStyle name="Migliaia 38 4 6 2" xfId="21525" xr:uid="{15E99F90-8946-4743-9CB8-A0737A2B21BF}"/>
    <cellStyle name="Migliaia 38 4 6 2 2" xfId="39514" xr:uid="{BE6D0F70-62EC-4D98-AB8A-0F541248E51C}"/>
    <cellStyle name="Migliaia 38 4 6 2 3" xfId="44816" xr:uid="{1A5A20A3-7763-47EE-BC40-95B0A52C0376}"/>
    <cellStyle name="Migliaia 38 4 6 2 4" xfId="33974" xr:uid="{8237EE14-D81D-45E6-A3EA-A955B3D18798}"/>
    <cellStyle name="Migliaia 38 4 6 3" xfId="36922" xr:uid="{89837D3E-9EAF-4ADE-8CE0-2990EE55B0E3}"/>
    <cellStyle name="Migliaia 38 4 6 4" xfId="42165" xr:uid="{A84BF9CA-99CF-4427-BB50-C480E3668876}"/>
    <cellStyle name="Migliaia 38 4 6 5" xfId="24879" xr:uid="{A7276291-0EAA-4150-9A99-F2146281902F}"/>
    <cellStyle name="Migliaia 38 4 6 6" xfId="47900" xr:uid="{F734F4C7-FF6A-4383-8CDB-BEC389F4CB3A}"/>
    <cellStyle name="Migliaia 38 4 6 7" xfId="50540" xr:uid="{97B1FCE4-E07B-4E8A-8C56-FC9FD8217137}"/>
    <cellStyle name="Migliaia 38 4 6 8" xfId="53556" xr:uid="{B483C4F5-863A-435C-870F-B4D502CC987E}"/>
    <cellStyle name="Migliaia 38 4 7" xfId="20535" xr:uid="{CA981286-2140-40D9-9BE8-ECED60365144}"/>
    <cellStyle name="Migliaia 38 4 7 2" xfId="33975" xr:uid="{593BD9DE-DD47-4B86-9B78-6DB1131061F3}"/>
    <cellStyle name="Migliaia 38 4 7 2 2" xfId="39515" xr:uid="{210A647F-5707-4A53-B72D-6394ACD7A1B0}"/>
    <cellStyle name="Migliaia 38 4 7 2 3" xfId="44817" xr:uid="{48CAE7D6-A494-4C48-AB86-6978960EAA86}"/>
    <cellStyle name="Migliaia 38 4 7 3" xfId="36923" xr:uid="{E3E486F9-754C-4878-BAE5-9922DE50DDF5}"/>
    <cellStyle name="Migliaia 38 4 7 4" xfId="42166" xr:uid="{9111BED0-AC20-4925-A646-7AC09EFE8D1E}"/>
    <cellStyle name="Migliaia 38 4 7 5" xfId="24880" xr:uid="{1B8272CE-8A17-4994-A5F5-9528581EE9F0}"/>
    <cellStyle name="Migliaia 38 4 8" xfId="24877" xr:uid="{4A7A79FA-9767-451A-8EE3-FCAF65518FF5}"/>
    <cellStyle name="Migliaia 38 4 9" xfId="7480" xr:uid="{AEC38727-F490-4A21-B310-CB2408E8A6CB}"/>
    <cellStyle name="Migliaia 38 5" xfId="1815" xr:uid="{00000000-0005-0000-0000-0000DE030000}"/>
    <cellStyle name="Migliaia 38 5 2" xfId="5338" xr:uid="{3AB354CE-116D-422B-8ACC-9C145B8CCEE6}"/>
    <cellStyle name="Migliaia 38 5 2 2" xfId="18457" xr:uid="{C31DFC08-64E8-464B-BEAC-1B05E615799D}"/>
    <cellStyle name="Migliaia 38 5 2 2 2" xfId="39516" xr:uid="{DD1E635A-0E4C-45C6-8669-F438EAD15097}"/>
    <cellStyle name="Migliaia 38 5 2 2 3" xfId="44818" xr:uid="{A781480E-7069-4096-BBB9-C14366A9EB90}"/>
    <cellStyle name="Migliaia 38 5 2 3" xfId="20538" xr:uid="{021A725C-F5C3-4AC7-B2D1-B2DC88D96552}"/>
    <cellStyle name="Migliaia 38 5 2 3 2" xfId="36924" xr:uid="{73F40181-AEC0-4D4A-9227-7C6389F0DD3B}"/>
    <cellStyle name="Migliaia 38 5 2 4" xfId="42167" xr:uid="{870F9C44-35D7-4BE1-BD57-F849662DE2E3}"/>
    <cellStyle name="Migliaia 38 5 2 5" xfId="16502" xr:uid="{A1D33785-E148-4449-B48D-67C9E54CEE82}"/>
    <cellStyle name="Migliaia 38 5 2 6" xfId="8671" xr:uid="{26E018E0-6FB8-488A-8416-2820BD1C51AD}"/>
    <cellStyle name="Migliaia 38 5 3" xfId="6530" xr:uid="{4B086269-5CD7-46FC-88C3-D86EE7F5E3C8}"/>
    <cellStyle name="Migliaia 38 5 3 2" xfId="33976" xr:uid="{BAB130B2-35E3-4295-B75B-CCF40F1178BB}"/>
    <cellStyle name="Migliaia 38 5 3 2 2" xfId="39517" xr:uid="{A7BA6BD2-879C-47AE-8878-156F88B3CE1C}"/>
    <cellStyle name="Migliaia 38 5 3 2 3" xfId="44819" xr:uid="{FBDDCE84-45AB-4661-A2B5-4D04AA52645E}"/>
    <cellStyle name="Migliaia 38 5 3 3" xfId="36925" xr:uid="{F8916960-F33A-4323-AE71-54E781EA6816}"/>
    <cellStyle name="Migliaia 38 5 3 4" xfId="42168" xr:uid="{E573E481-1B06-48E4-97F2-E543E3FB4CA1}"/>
    <cellStyle name="Migliaia 38 5 3 5" xfId="11363" xr:uid="{E945DEE9-D0A1-4867-BE0C-0A1253E59647}"/>
    <cellStyle name="Migliaia 38 5 4" xfId="3612" xr:uid="{77423CE8-20EA-4637-92C3-33DFA38E2407}"/>
    <cellStyle name="Migliaia 38 5 4 2" xfId="21527" xr:uid="{196AE844-E883-468E-8E6E-3BD9CAA58FCF}"/>
    <cellStyle name="Migliaia 38 5 4 2 2" xfId="39518" xr:uid="{B4ABB43E-1F90-4263-92A4-9CF4068EC46C}"/>
    <cellStyle name="Migliaia 38 5 4 2 3" xfId="44820" xr:uid="{93E65D6D-21B1-4C61-8FEE-F268F6FE0AD4}"/>
    <cellStyle name="Migliaia 38 5 4 2 4" xfId="33977" xr:uid="{530150AE-51CC-4648-A07E-635FBF441E1E}"/>
    <cellStyle name="Migliaia 38 5 4 3" xfId="36926" xr:uid="{D4A2CD11-418F-4998-BE11-3888E531503D}"/>
    <cellStyle name="Migliaia 38 5 4 4" xfId="42169" xr:uid="{7ED6D1EB-13C9-4D79-9BB0-90D76581905C}"/>
    <cellStyle name="Migliaia 38 5 4 5" xfId="24882" xr:uid="{0A17BA00-861F-4AA2-98A9-5810A7958C66}"/>
    <cellStyle name="Migliaia 38 5 4 6" xfId="46253" xr:uid="{3A218018-1903-4AC1-BE57-5979C85F8AFF}"/>
    <cellStyle name="Migliaia 38 5 4 7" xfId="50542" xr:uid="{7E470CEE-2EDB-40E8-BF20-04A8C01036FF}"/>
    <cellStyle name="Migliaia 38 5 4 8" xfId="53558" xr:uid="{59CEBDA3-CC2A-4910-82A9-6EF29CAC668C}"/>
    <cellStyle name="Migliaia 38 5 4 9" xfId="10892" xr:uid="{A4A7F521-B645-40A7-A510-A874423F7885}"/>
    <cellStyle name="Migliaia 38 5 5" xfId="20537" xr:uid="{9ACD79CC-CFE0-4D58-B5D0-E0231FCFD630}"/>
    <cellStyle name="Migliaia 38 5 5 2" xfId="33978" xr:uid="{AA4A9F53-515E-44A6-A070-52E5651A482F}"/>
    <cellStyle name="Migliaia 38 5 5 2 2" xfId="39519" xr:uid="{12A20AC3-C5F5-4281-B685-5D570C01F9E0}"/>
    <cellStyle name="Migliaia 38 5 5 2 3" xfId="44821" xr:uid="{0453917E-320E-4DC5-A4D9-5EAFC0862391}"/>
    <cellStyle name="Migliaia 38 5 5 3" xfId="36927" xr:uid="{544CB84C-73BF-4BDD-9D3B-1438DCD66724}"/>
    <cellStyle name="Migliaia 38 5 5 4" xfId="42170" xr:uid="{FEA11BA8-684B-4B32-A400-F115BFBACD05}"/>
    <cellStyle name="Migliaia 38 5 5 5" xfId="24883" xr:uid="{3ECCFFE5-EB6F-4111-A2A6-C8436A338E93}"/>
    <cellStyle name="Migliaia 38 5 6" xfId="24884" xr:uid="{7701F8FE-E15A-40CB-8578-9902267B22CE}"/>
    <cellStyle name="Migliaia 38 5 6 2" xfId="33979" xr:uid="{3B9B4C24-1D71-4F72-AAA5-454E1685DB6E}"/>
    <cellStyle name="Migliaia 38 5 6 2 2" xfId="39520" xr:uid="{33CA0117-7B01-4D59-8F1A-6BD3A1C82C3A}"/>
    <cellStyle name="Migliaia 38 5 6 2 3" xfId="44822" xr:uid="{42BD6741-6DEC-4033-AF67-24B1D8559035}"/>
    <cellStyle name="Migliaia 38 5 6 3" xfId="36928" xr:uid="{B4DCCCFA-E8F7-4FC3-8684-608EC943704B}"/>
    <cellStyle name="Migliaia 38 5 6 4" xfId="42171" xr:uid="{073CFFC8-EBE5-427D-8FEA-FD71F5181E07}"/>
    <cellStyle name="Migliaia 38 5 7" xfId="24881" xr:uid="{2F87B4FA-0CEF-464D-99A5-CC156FDE2918}"/>
    <cellStyle name="Migliaia 38 5 8" xfId="7481" xr:uid="{0AC5EA4C-F43E-4421-87F1-B7A1588CEA4E}"/>
    <cellStyle name="Migliaia 38 6" xfId="3613" xr:uid="{2432D56B-EABC-460A-9C46-0DDD26E30DDA}"/>
    <cellStyle name="Migliaia 38 6 2" xfId="5339" xr:uid="{2DDFE5EF-3994-4CDF-902B-F43901D5D494}"/>
    <cellStyle name="Migliaia 38 6 2 2" xfId="9943" xr:uid="{BB1AE1D5-E3EB-424C-8F0E-6C0F0B1596F5}"/>
    <cellStyle name="Migliaia 38 6 2 3" xfId="18649" xr:uid="{C6007671-0598-4245-AEDA-7FAD794516E4}"/>
    <cellStyle name="Migliaia 38 6 2 4" xfId="20540" xr:uid="{44393667-F443-4FEA-9C1C-3686DBE8A75C}"/>
    <cellStyle name="Migliaia 38 6 2 5" xfId="32394" xr:uid="{02AB99C2-68B1-44C9-9CAF-F1A1D23DBD87}"/>
    <cellStyle name="Migliaia 38 6 2 6" xfId="16504" xr:uid="{C159323F-3D6C-4DA5-9DB8-C3F752BE2013}"/>
    <cellStyle name="Migliaia 38 6 2 7" xfId="8666" xr:uid="{F85D33D3-9A33-4730-A6CA-D944BFB65717}"/>
    <cellStyle name="Migliaia 38 6 3" xfId="6531" xr:uid="{A985C821-2329-4D1E-8BBA-BEBF2DCFCFDC}"/>
    <cellStyle name="Migliaia 38 6 3 2" xfId="35344" xr:uid="{C67FBBCF-5330-4161-A58A-0BF08793A2EF}"/>
    <cellStyle name="Migliaia 38 6 3 2 2" xfId="40504" xr:uid="{CCD105AC-661A-48E9-9219-E0E67EEA6924}"/>
    <cellStyle name="Migliaia 38 6 3 2 3" xfId="45806" xr:uid="{D3B6A73F-A070-4121-B753-AE0036133C78}"/>
    <cellStyle name="Migliaia 38 6 3 3" xfId="37853" xr:uid="{A23ACF0B-A1D6-4B97-88D8-7B6D24781BFA}"/>
    <cellStyle name="Migliaia 38 6 3 4" xfId="43155" xr:uid="{4CC202AB-06E5-410D-BA00-DD61AEBCB3BA}"/>
    <cellStyle name="Migliaia 38 6 3 5" xfId="9706" xr:uid="{C1907B14-E75C-4306-B1A5-89CCB24BBB8E}"/>
    <cellStyle name="Migliaia 38 6 4" xfId="20539" xr:uid="{BBB169F1-5B44-4C0C-8CB4-EB12FD864BCA}"/>
    <cellStyle name="Migliaia 38 6 4 2" xfId="39521" xr:uid="{868A4163-8ED4-4E84-93AB-9C6E22DF5B39}"/>
    <cellStyle name="Migliaia 38 6 4 3" xfId="44823" xr:uid="{36F6CDCE-675B-4091-BFF8-E8052291EDBA}"/>
    <cellStyle name="Migliaia 38 6 4 4" xfId="33980" xr:uid="{9ED13515-99B1-43E0-B06B-D7A51E048C96}"/>
    <cellStyle name="Migliaia 38 6 5" xfId="36929" xr:uid="{5E9827C5-1A60-424A-9378-90EB1A010E2D}"/>
    <cellStyle name="Migliaia 38 6 6" xfId="42172" xr:uid="{3608E785-AB11-49C5-8F84-AD6F0A8D3298}"/>
    <cellStyle name="Migliaia 38 6 7" xfId="16503" xr:uid="{47462BA2-18F6-4527-BDE6-F89843CB9319}"/>
    <cellStyle name="Migliaia 38 6 8" xfId="7476" xr:uid="{EC8A6846-4131-43B6-A32F-14DB9E3FACD4}"/>
    <cellStyle name="Migliaia 38 7" xfId="3614" xr:uid="{5B712389-F75E-48E9-9F97-FDA680FC2D5B}"/>
    <cellStyle name="Migliaia 38 7 2" xfId="5340" xr:uid="{CE2A1AFF-8F65-4D9F-B01C-ED7ECCE7CB48}"/>
    <cellStyle name="Migliaia 38 7 2 2" xfId="35345" xr:uid="{D0072D0E-8368-4E2B-9FF9-B403C134B8AB}"/>
    <cellStyle name="Migliaia 38 7 2 2 2" xfId="40505" xr:uid="{727161BA-DCE1-44CC-9372-5EEA48C0E9C4}"/>
    <cellStyle name="Migliaia 38 7 2 2 3" xfId="45807" xr:uid="{836CB491-E48F-4095-AD7E-79E4EA480871}"/>
    <cellStyle name="Migliaia 38 7 2 3" xfId="37854" xr:uid="{901ABC2F-D7F6-49C6-B51E-5B56EC9D6EFA}"/>
    <cellStyle name="Migliaia 38 7 2 4" xfId="43156" xr:uid="{E64924D3-33A8-4FA8-BF9C-3AFD8CAC9ABB}"/>
    <cellStyle name="Migliaia 38 7 2 5" xfId="14272" xr:uid="{C69C7007-FD96-4AB2-BF19-EEF4170C7CD5}"/>
    <cellStyle name="Migliaia 38 7 3" xfId="6532" xr:uid="{8C96FD05-2175-42F0-B465-9A60BA25F179}"/>
    <cellStyle name="Migliaia 38 7 3 2" xfId="39522" xr:uid="{02360B93-5965-4052-9D4A-85CE198146FB}"/>
    <cellStyle name="Migliaia 38 7 3 3" xfId="44824" xr:uid="{99D897BD-E920-4312-9920-AE6062BF1FBB}"/>
    <cellStyle name="Migliaia 38 7 3 4" xfId="33981" xr:uid="{6D8FCC62-7423-4416-89A0-60DF7C1436FC}"/>
    <cellStyle name="Migliaia 38 7 3 5" xfId="20541" xr:uid="{DE5A4458-4033-41EA-AF23-FA86AF4EF498}"/>
    <cellStyle name="Migliaia 38 7 4" xfId="36930" xr:uid="{0AB25883-8096-4D62-BF19-1341D67D7711}"/>
    <cellStyle name="Migliaia 38 7 5" xfId="42173" xr:uid="{53A0BB3D-4D98-43FD-B198-414C02133474}"/>
    <cellStyle name="Migliaia 38 7 6" xfId="16505" xr:uid="{E4BDA299-B8E2-4C25-9BA9-021E7DE2EAD7}"/>
    <cellStyle name="Migliaia 38 7 7" xfId="8334" xr:uid="{0BF76980-5D77-4864-864C-7B845E49A0B5}"/>
    <cellStyle name="Migliaia 38 8" xfId="3615" xr:uid="{FEC2D15C-2EC3-435B-B5CE-C45E47472578}"/>
    <cellStyle name="Migliaia 38 8 2" xfId="5341" xr:uid="{42294420-5BEF-4D46-B74F-ABEAC6D40298}"/>
    <cellStyle name="Migliaia 38 8 2 2" xfId="35346" xr:uid="{4135E346-B0C4-467B-AB39-33DFF1B54AD4}"/>
    <cellStyle name="Migliaia 38 8 2 2 2" xfId="40506" xr:uid="{E4618E37-8259-4D81-90B2-5C653F3616F2}"/>
    <cellStyle name="Migliaia 38 8 2 2 3" xfId="45808" xr:uid="{2A96178B-4164-4F32-A03B-808EF207CFCA}"/>
    <cellStyle name="Migliaia 38 8 2 3" xfId="37855" xr:uid="{53F01672-6580-437F-8B4C-99696E7E49D3}"/>
    <cellStyle name="Migliaia 38 8 2 4" xfId="43157" xr:uid="{819C7FD2-7699-46CD-8C35-BB81186A5DF9}"/>
    <cellStyle name="Migliaia 38 8 2 5" xfId="13977" xr:uid="{12CE5E39-68BF-4336-B861-7928DE3B8FE6}"/>
    <cellStyle name="Migliaia 38 8 3" xfId="6533" xr:uid="{CB580AB0-2084-416E-A6C7-8C65823827ED}"/>
    <cellStyle name="Migliaia 38 8 3 2" xfId="39523" xr:uid="{B84FA462-4A74-4770-AA03-C2A5EEF058A3}"/>
    <cellStyle name="Migliaia 38 8 3 3" xfId="44825" xr:uid="{2FD711A0-0536-4EE6-8B4D-AA35547950BB}"/>
    <cellStyle name="Migliaia 38 8 3 4" xfId="33982" xr:uid="{06DE6B00-85EC-4EE7-8BC2-8432A9126C07}"/>
    <cellStyle name="Migliaia 38 8 3 5" xfId="20542" xr:uid="{FB31FA05-E2FA-4554-8104-5E602221DD2D}"/>
    <cellStyle name="Migliaia 38 8 4" xfId="36931" xr:uid="{A789DFA4-EAAA-45EB-BE4D-E386F63DE8CE}"/>
    <cellStyle name="Migliaia 38 8 5" xfId="42174" xr:uid="{F3A5F626-A9A1-4BFD-B68C-F9F0D4FFF15B}"/>
    <cellStyle name="Migliaia 38 8 6" xfId="16506" xr:uid="{0744CB20-4640-4469-A46D-C463A6D726D2}"/>
    <cellStyle name="Migliaia 38 8 7" xfId="7946" xr:uid="{831DE035-A5C8-47AE-92B7-ABDA8D2A6DA3}"/>
    <cellStyle name="Migliaia 38 9" xfId="5326" xr:uid="{FFABC888-0373-4DA5-9D10-C3F0132A77DA}"/>
    <cellStyle name="Migliaia 38 9 2" xfId="33983" xr:uid="{9E785BA5-22FD-4EE8-B7B3-123BEF5E7F4D}"/>
    <cellStyle name="Migliaia 38 9 2 2" xfId="39524" xr:uid="{BD6032E4-FE5E-4A6C-84FB-135AF1346B76}"/>
    <cellStyle name="Migliaia 38 9 2 3" xfId="44826" xr:uid="{4840CC6D-2F2C-41F5-A246-39D60C16671C}"/>
    <cellStyle name="Migliaia 38 9 3" xfId="36932" xr:uid="{AB55963A-D76D-4FA5-9E96-89F52E2B3330}"/>
    <cellStyle name="Migliaia 38 9 4" xfId="42175" xr:uid="{6AC58B75-5552-44A8-924D-00A0CBD91F99}"/>
    <cellStyle name="Migliaia 38 9 5" xfId="17197" xr:uid="{3F4FDAEF-6FEA-469D-808F-FCB76C288A29}"/>
    <cellStyle name="Migliaia 39" xfId="429" xr:uid="{00000000-0005-0000-0000-0000DF030000}"/>
    <cellStyle name="Migliaia 39 10" xfId="6534" xr:uid="{CFC2E287-C38C-4918-86C7-3ABD9EA5D7EF}"/>
    <cellStyle name="Migliaia 39 10 2" xfId="39525" xr:uid="{E8D584A6-D6E2-4A99-BCFA-D7BAFF33B098}"/>
    <cellStyle name="Migliaia 39 10 3" xfId="44827" xr:uid="{518D6A0A-FA25-49F5-893D-999AF9D36279}"/>
    <cellStyle name="Migliaia 39 10 4" xfId="33984" xr:uid="{16747DD9-8380-4B3F-95C9-D80452D3B4D3}"/>
    <cellStyle name="Migliaia 39 10 5" xfId="20543" xr:uid="{4E03B5DF-C31C-4BA1-9693-1EAE6EBA8D05}"/>
    <cellStyle name="Migliaia 39 11" xfId="3616" xr:uid="{4DF7559D-8ACB-46A8-A601-C3870FEBD4B5}"/>
    <cellStyle name="Migliaia 39 11 2" xfId="36933" xr:uid="{F90B55F5-7AF7-49AD-A929-8EE3EA3F8F30}"/>
    <cellStyle name="Migliaia 39 12" xfId="42176" xr:uid="{6214C8B2-E615-4163-9EC1-C92C530B2FA6}"/>
    <cellStyle name="Migliaia 39 13" xfId="7138" xr:uid="{9545CC27-B02C-4A10-A384-A1507A3722CA}"/>
    <cellStyle name="Migliaia 39 2" xfId="430" xr:uid="{00000000-0005-0000-0000-0000E0030000}"/>
    <cellStyle name="Migliaia 39 2 2" xfId="1816" xr:uid="{00000000-0005-0000-0000-0000E1030000}"/>
    <cellStyle name="Migliaia 39 2 2 2" xfId="5344" xr:uid="{4EEF8358-44C1-4910-815E-9E9540C6B007}"/>
    <cellStyle name="Migliaia 39 2 2 2 2" xfId="14395" xr:uid="{A68F90ED-1675-4333-84A3-9F37EDCD8410}"/>
    <cellStyle name="Migliaia 39 2 2 2 2 2" xfId="39526" xr:uid="{800C7850-53E6-4673-8DF2-F0CADE09EE55}"/>
    <cellStyle name="Migliaia 39 2 2 2 2 3" xfId="44828" xr:uid="{6BA9331F-8ADD-4EC8-9FB1-A07D8569D3E5}"/>
    <cellStyle name="Migliaia 39 2 2 2 3" xfId="18458" xr:uid="{35666D8F-3670-4E9F-A22E-3B391A7BD221}"/>
    <cellStyle name="Migliaia 39 2 2 2 4" xfId="20546" xr:uid="{22DFF55F-AE2E-4FBA-9DA0-FB4E30C3A94B}"/>
    <cellStyle name="Migliaia 39 2 2 2 4 2" xfId="42177" xr:uid="{531CDC44-C77E-4248-91CB-BD1676B45F02}"/>
    <cellStyle name="Migliaia 39 2 2 2 5" xfId="16507" xr:uid="{9C003247-3AED-4121-A131-B4661EB201E6}"/>
    <cellStyle name="Migliaia 39 2 2 2 6" xfId="8673" xr:uid="{6D4BACA8-AC08-4ECF-869C-A012CC4CE493}"/>
    <cellStyle name="Migliaia 39 2 2 3" xfId="6536" xr:uid="{02EB63FC-9469-4416-ACE2-59A140F48404}"/>
    <cellStyle name="Migliaia 39 2 2 3 2" xfId="35347" xr:uid="{2052D74D-BA06-44EF-8E39-51A08EEFB58C}"/>
    <cellStyle name="Migliaia 39 2 2 3 2 2" xfId="40507" xr:uid="{D0FC187F-C955-4CF0-B9D6-EDB70443EE99}"/>
    <cellStyle name="Migliaia 39 2 2 3 2 3" xfId="45809" xr:uid="{B41F007B-9445-40FB-884F-2B6F710FCED9}"/>
    <cellStyle name="Migliaia 39 2 2 3 3" xfId="37856" xr:uid="{A5810752-EB0E-4E79-9539-1093CA579309}"/>
    <cellStyle name="Migliaia 39 2 2 3 4" xfId="43158" xr:uid="{97976791-4D20-4CC0-8237-C4599FE5FE5B}"/>
    <cellStyle name="Migliaia 39 2 2 3 5" xfId="11622" xr:uid="{39C69095-398A-424C-929F-D58716CC3A4F}"/>
    <cellStyle name="Migliaia 39 2 2 4" xfId="3618" xr:uid="{F25BBBD6-FD29-41D9-94DA-E5DD52922C08}"/>
    <cellStyle name="Migliaia 39 2 2 4 2" xfId="21528" xr:uid="{AB403708-2513-47FC-9F2E-2A7044202921}"/>
    <cellStyle name="Migliaia 39 2 2 4 3" xfId="47603" xr:uid="{937F623D-3846-4B46-9877-F367C2566C77}"/>
    <cellStyle name="Migliaia 39 2 2 4 4" xfId="50543" xr:uid="{3326EBA4-2E21-46E2-AA0C-9806294E50AA}"/>
    <cellStyle name="Migliaia 39 2 2 4 5" xfId="53559" xr:uid="{3D5863B7-B395-436C-ABE5-BE01314E1456}"/>
    <cellStyle name="Migliaia 39 2 2 4 6" xfId="10893" xr:uid="{261825A8-6883-43AE-B650-06EE72FA18B0}"/>
    <cellStyle name="Migliaia 39 2 2 5" xfId="20545" xr:uid="{AE3F912A-40D6-4539-A3F5-0369AED0CF9C}"/>
    <cellStyle name="Migliaia 39 2 2 6" xfId="24886" xr:uid="{7560E1A8-AEA0-4D22-9ACA-5076B2A3E69E}"/>
    <cellStyle name="Migliaia 39 2 2 7" xfId="7483" xr:uid="{BA1500E9-C0FE-4AAB-9566-39C5D49D0208}"/>
    <cellStyle name="Migliaia 39 2 3" xfId="3619" xr:uid="{1385B6D2-D70A-416A-80D4-50E6D9CABB6A}"/>
    <cellStyle name="Migliaia 39 2 3 2" xfId="5345" xr:uid="{7E5B0DCB-5B81-4FF9-873F-919D92038554}"/>
    <cellStyle name="Migliaia 39 2 3 2 2" xfId="35348" xr:uid="{49547A22-6951-47AB-9FE6-FE265F87A873}"/>
    <cellStyle name="Migliaia 39 2 3 2 2 2" xfId="40508" xr:uid="{3477EF12-B89B-4E42-A926-6583829EDC10}"/>
    <cellStyle name="Migliaia 39 2 3 2 2 3" xfId="45810" xr:uid="{19E5822B-7BCF-4A26-A857-10BFEC24E375}"/>
    <cellStyle name="Migliaia 39 2 3 2 3" xfId="37857" xr:uid="{6C347C19-805D-4E95-B30D-8BB312E3AAC8}"/>
    <cellStyle name="Migliaia 39 2 3 2 4" xfId="43159" xr:uid="{98EAA1EC-305A-441E-908E-5416420AE7FF}"/>
    <cellStyle name="Migliaia 39 2 3 2 5" xfId="14276" xr:uid="{4FD1EBB6-9FDF-4391-8E95-5040A4544B61}"/>
    <cellStyle name="Migliaia 39 2 3 3" xfId="6537" xr:uid="{48A1327F-BAEF-4FBC-BC9A-6A99552285DF}"/>
    <cellStyle name="Migliaia 39 2 3 3 2" xfId="39527" xr:uid="{1F73E9BC-A4E6-4A69-9C3C-575F9D25BC39}"/>
    <cellStyle name="Migliaia 39 2 3 3 3" xfId="44829" xr:uid="{5DD8EA27-B944-470C-BE23-FDA57919E009}"/>
    <cellStyle name="Migliaia 39 2 3 3 4" xfId="33985" xr:uid="{FE931FA8-92AB-40E1-8834-E0CC08B86A7F}"/>
    <cellStyle name="Migliaia 39 2 3 3 5" xfId="20547" xr:uid="{1CCB78B1-CC1C-4EA2-8F88-92AD26783412}"/>
    <cellStyle name="Migliaia 39 2 3 4" xfId="36934" xr:uid="{D3BC682B-DB9D-489B-A4BA-686C07665A82}"/>
    <cellStyle name="Migliaia 39 2 3 5" xfId="42178" xr:uid="{1A552BE0-E9A1-4944-9188-80170BA68EFB}"/>
    <cellStyle name="Migliaia 39 2 3 6" xfId="16508" xr:uid="{BC555791-082A-41E0-BB27-3667F1FB477B}"/>
    <cellStyle name="Migliaia 39 2 3 7" xfId="8338" xr:uid="{A9054987-6B3A-4749-9D31-F7A488625D68}"/>
    <cellStyle name="Migliaia 39 2 4" xfId="5343" xr:uid="{0017A008-D53C-4605-8121-AEFAA5FC2D95}"/>
    <cellStyle name="Migliaia 39 2 4 2" xfId="13981" xr:uid="{B96DE7FD-BF52-4E37-A9E6-20025753CA65}"/>
    <cellStyle name="Migliaia 39 2 4 2 2" xfId="39528" xr:uid="{54047E1C-FE5C-4EFF-B92F-9837409EE402}"/>
    <cellStyle name="Migliaia 39 2 4 2 3" xfId="44830" xr:uid="{2763DF77-4016-4239-B615-2152353F8C04}"/>
    <cellStyle name="Migliaia 39 2 4 3" xfId="18704" xr:uid="{C345BE5A-EA8E-4F82-8B15-5CC4D982AE73}"/>
    <cellStyle name="Migliaia 39 2 4 4" xfId="20548" xr:uid="{F1069851-EB8C-41B9-AD51-5FA44FE43CDD}"/>
    <cellStyle name="Migliaia 39 2 4 4 2" xfId="42179" xr:uid="{AD56C349-0A8D-4430-92BC-306E68831BA8}"/>
    <cellStyle name="Migliaia 39 2 4 5" xfId="16509" xr:uid="{208764A7-A4E2-43F5-AC50-AD9D879D693E}"/>
    <cellStyle name="Migliaia 39 2 4 6" xfId="7951" xr:uid="{672C059B-BFB9-4BBB-84D1-507A967C1F4B}"/>
    <cellStyle name="Migliaia 39 2 5" xfId="6535" xr:uid="{47C8FCE7-CD69-453A-8748-D9E240DE063B}"/>
    <cellStyle name="Migliaia 39 2 5 2" xfId="33986" xr:uid="{1336F91F-65A2-4A43-8827-019C66CCF6BF}"/>
    <cellStyle name="Migliaia 39 2 5 2 2" xfId="39529" xr:uid="{6B8DD92F-A8E9-4A90-A8A8-06D34F3E2E90}"/>
    <cellStyle name="Migliaia 39 2 5 2 3" xfId="44831" xr:uid="{6937F19D-2D91-4AB1-960D-2B058CEA79BF}"/>
    <cellStyle name="Migliaia 39 2 5 3" xfId="36935" xr:uid="{0B659761-6345-454A-965D-BECEC9B506DF}"/>
    <cellStyle name="Migliaia 39 2 5 4" xfId="42180" xr:uid="{B7D86EAD-7DB7-4E2E-8C7C-4C6EEFBEE98F}"/>
    <cellStyle name="Migliaia 39 2 5 5" xfId="13135" xr:uid="{16EB16D5-5181-41D9-A20E-A3DBDF02E6D5}"/>
    <cellStyle name="Migliaia 39 2 6" xfId="3617" xr:uid="{DC7BE60A-9252-4E57-8C45-E0934247A5F6}"/>
    <cellStyle name="Migliaia 39 2 6 2" xfId="33987" xr:uid="{4A4A2698-5E73-4469-8FF5-4DAF709484F1}"/>
    <cellStyle name="Migliaia 39 2 6 2 2" xfId="39530" xr:uid="{09E9A30A-D222-4724-97E9-460A8F375C5E}"/>
    <cellStyle name="Migliaia 39 2 6 2 3" xfId="44832" xr:uid="{06D36C32-9C52-4BCE-A4F7-97AF0BCEF978}"/>
    <cellStyle name="Migliaia 39 2 6 3" xfId="36936" xr:uid="{F601C551-DCF5-4727-989B-00E6C09B806E}"/>
    <cellStyle name="Migliaia 39 2 6 4" xfId="42181" xr:uid="{5231C3DC-44AA-48D8-B8ED-6764503B41F4}"/>
    <cellStyle name="Migliaia 39 2 6 5" xfId="24887" xr:uid="{97EAEC56-848A-46B6-8610-C65377193928}"/>
    <cellStyle name="Migliaia 39 2 6 6" xfId="20544" xr:uid="{6194EC90-FAD1-4C66-9349-975687FF49EF}"/>
    <cellStyle name="Migliaia 39 2 7" xfId="24885" xr:uid="{C117FF7E-886B-49F8-BA3D-415B61187E32}"/>
    <cellStyle name="Migliaia 39 2 8" xfId="7139" xr:uid="{C117A12B-9623-481C-AA69-B2268352ADB8}"/>
    <cellStyle name="Migliaia 39 3" xfId="431" xr:uid="{00000000-0005-0000-0000-0000E2030000}"/>
    <cellStyle name="Migliaia 39 3 10" xfId="24888" xr:uid="{B7C1BAD9-B927-4F49-B683-8A50BE3BE42A}"/>
    <cellStyle name="Migliaia 39 3 11" xfId="16510" xr:uid="{91856B3E-C32F-48FA-BB25-ACFB0AACC015}"/>
    <cellStyle name="Migliaia 39 3 12" xfId="7140" xr:uid="{42DD65A6-BA7A-4D15-9B24-DF3BDD9A242D}"/>
    <cellStyle name="Migliaia 39 3 2" xfId="432" xr:uid="{00000000-0005-0000-0000-0000E3030000}"/>
    <cellStyle name="Migliaia 39 3 2 2" xfId="1817" xr:uid="{00000000-0005-0000-0000-0000E4030000}"/>
    <cellStyle name="Migliaia 39 3 2 2 2" xfId="5348" xr:uid="{DA376E34-C122-4C97-970E-21CD391347C1}"/>
    <cellStyle name="Migliaia 39 3 2 2 2 2" xfId="18459" xr:uid="{B3656EA0-5C8D-45B6-9D72-8AFB931EB599}"/>
    <cellStyle name="Migliaia 39 3 2 2 2 2 2" xfId="21873" xr:uid="{A1E8E18C-D9C2-4317-86B3-A7867B5928B3}"/>
    <cellStyle name="Migliaia 39 3 2 2 2 2 2 2" xfId="39531" xr:uid="{556E67E0-57DD-4DA2-8B2D-E6C0A71D8FE3}"/>
    <cellStyle name="Migliaia 39 3 2 2 2 2 3" xfId="44833" xr:uid="{AF1C9BFE-6622-489C-8534-626336BCFE93}"/>
    <cellStyle name="Migliaia 39 3 2 2 2 2 4" xfId="33988" xr:uid="{EB567233-1415-4B2A-A661-C6E0B2B62E77}"/>
    <cellStyle name="Migliaia 39 3 2 2 2 3" xfId="36937" xr:uid="{113CFFDE-4FDD-4860-AEB5-8E2C8987EAF2}"/>
    <cellStyle name="Migliaia 39 3 2 2 2 4" xfId="42182" xr:uid="{E4AED56F-8EA9-4F2E-9FFC-6222B70ECA60}"/>
    <cellStyle name="Migliaia 39 3 2 2 2 5" xfId="32434" xr:uid="{F3AB2E02-708C-4721-98E0-2CE657F1843B}"/>
    <cellStyle name="Migliaia 39 3 2 2 2 6" xfId="50901" xr:uid="{2CC20C33-EECE-4F00-8827-B3292154483B}"/>
    <cellStyle name="Migliaia 39 3 2 2 2 7" xfId="53917" xr:uid="{D0BCA0FD-D5DC-44E5-9231-767677ED9C33}"/>
    <cellStyle name="Migliaia 39 3 2 2 2 8" xfId="17670" xr:uid="{7F7C1CB7-E840-471B-BFA7-96EB1C17E031}"/>
    <cellStyle name="Migliaia 39 3 2 2 2 9" xfId="12015" xr:uid="{385CD7A1-FCBB-4E03-8265-51A507E11A89}"/>
    <cellStyle name="Migliaia 39 3 2 2 3" xfId="6540" xr:uid="{263F1D12-AF9B-4129-8A1E-D06510094D81}"/>
    <cellStyle name="Migliaia 39 3 2 2 3 2" xfId="11566" xr:uid="{4B7CF2E5-E457-4D30-BC8E-8F3F01736250}"/>
    <cellStyle name="Migliaia 39 3 2 2 4" xfId="3622" xr:uid="{59FABD8E-0803-4D4D-B625-7CBAF1602C2F}"/>
    <cellStyle name="Migliaia 39 3 2 2 4 2" xfId="21529" xr:uid="{7A352A63-3E76-4B31-8956-786760B42DFD}"/>
    <cellStyle name="Migliaia 39 3 2 2 4 3" xfId="47602" xr:uid="{B721EF49-3E84-4C60-A144-6581B0B4A4D7}"/>
    <cellStyle name="Migliaia 39 3 2 2 4 4" xfId="50544" xr:uid="{49DE03A4-D8E5-4552-8B94-116B07D49B71}"/>
    <cellStyle name="Migliaia 39 3 2 2 4 5" xfId="53560" xr:uid="{FA499CEF-BCD7-4E9B-9523-703626A8807B}"/>
    <cellStyle name="Migliaia 39 3 2 2 4 6" xfId="10894" xr:uid="{82C2670E-280B-4079-8380-01EB95475958}"/>
    <cellStyle name="Migliaia 39 3 2 2 5" xfId="20551" xr:uid="{DA037DB5-086E-46CA-A0F3-872149770DF2}"/>
    <cellStyle name="Migliaia 39 3 2 2 6" xfId="24890" xr:uid="{C5546E1C-6D56-45E0-8F92-1675D5188522}"/>
    <cellStyle name="Migliaia 39 3 2 2 7" xfId="8675" xr:uid="{F51CD125-C37B-4703-BEB7-4931B3871A9B}"/>
    <cellStyle name="Migliaia 39 3 2 3" xfId="5347" xr:uid="{2AD8AE99-A637-4AC3-8F3E-2F9D4FCB2364}"/>
    <cellStyle name="Migliaia 39 3 2 3 2" xfId="12224" xr:uid="{150A9623-C85C-42BF-BF9C-6753E925171A}"/>
    <cellStyle name="Migliaia 39 3 2 3 2 2" xfId="39532" xr:uid="{7938307D-D9AA-4AEE-BAF5-F8362449D337}"/>
    <cellStyle name="Migliaia 39 3 2 3 2 3" xfId="44834" xr:uid="{3139D78A-ECBD-499B-BC9A-51D2B3301113}"/>
    <cellStyle name="Migliaia 39 3 2 3 2 4" xfId="33989" xr:uid="{000A0C9F-CC54-4F9F-97FD-DC6318FB9B5C}"/>
    <cellStyle name="Migliaia 39 3 2 3 3" xfId="12016" xr:uid="{C59C5669-60A7-471C-9B90-08A4FC144127}"/>
    <cellStyle name="Migliaia 39 3 2 3 4" xfId="20552" xr:uid="{91CE704F-4795-4F60-ADB1-D3ECDC16D035}"/>
    <cellStyle name="Migliaia 39 3 2 3 4 2" xfId="42183" xr:uid="{06BC8E8E-4E2C-436C-9E50-1A80C635C1AF}"/>
    <cellStyle name="Migliaia 39 3 2 3 5" xfId="16511" xr:uid="{08A0B994-1EB4-4489-9F00-73B689BD0DA9}"/>
    <cellStyle name="Migliaia 39 3 2 3 6" xfId="7953" xr:uid="{34BA15D5-D651-4274-AF47-297ACD886005}"/>
    <cellStyle name="Migliaia 39 3 2 4" xfId="6539" xr:uid="{8549E9DB-8819-4648-82CF-A7F4713ABB64}"/>
    <cellStyle name="Migliaia 39 3 2 4 2" xfId="18089" xr:uid="{2FC20810-2D96-4D4F-A288-D845A56CFD62}"/>
    <cellStyle name="Migliaia 39 3 2 4 2 2" xfId="39533" xr:uid="{E4AD3CB4-054B-426D-A008-4E92CC2C9399}"/>
    <cellStyle name="Migliaia 39 3 2 4 2 3" xfId="44835" xr:uid="{8811D267-9CD7-4930-A2A9-B19CA98351D8}"/>
    <cellStyle name="Migliaia 39 3 2 4 3" xfId="36939" xr:uid="{FCA77973-3FD4-4044-8484-A2C9DFF03CB2}"/>
    <cellStyle name="Migliaia 39 3 2 4 4" xfId="42184" xr:uid="{FF4CA4BA-E8D4-499F-8805-FB7C9F5BC98B}"/>
    <cellStyle name="Migliaia 39 3 2 4 5" xfId="17200" xr:uid="{6A411EC6-CC4A-41E9-B953-48D783B4B3B4}"/>
    <cellStyle name="Migliaia 39 3 2 4 6" xfId="11364" xr:uid="{9A0C53F5-D210-450E-A124-D83744D141FF}"/>
    <cellStyle name="Migliaia 39 3 2 5" xfId="3621" xr:uid="{2DEF76CC-2892-4195-8E8D-6DC5B9E884B1}"/>
    <cellStyle name="Migliaia 39 3 2 5 2" xfId="33991" xr:uid="{A83A22F4-7DB2-4BD7-A991-90D6F3FADF35}"/>
    <cellStyle name="Migliaia 39 3 2 5 2 2" xfId="39534" xr:uid="{6D3D5BF3-D854-47A2-B4BC-E7DB7C9B4523}"/>
    <cellStyle name="Migliaia 39 3 2 5 2 3" xfId="44836" xr:uid="{D019104C-CFFC-4C74-B067-B8B2FC3EA321}"/>
    <cellStyle name="Migliaia 39 3 2 5 3" xfId="36940" xr:uid="{40C698B4-B1D0-4252-8044-8FAB6E8DC726}"/>
    <cellStyle name="Migliaia 39 3 2 5 4" xfId="42185" xr:uid="{B77BB8A3-70BB-4DCE-AFB0-6B1DDC54D424}"/>
    <cellStyle name="Migliaia 39 3 2 5 5" xfId="17330" xr:uid="{914E09AE-814D-4661-9893-DC3BC2B0F50F}"/>
    <cellStyle name="Migliaia 39 3 2 6" xfId="20550" xr:uid="{0C1A9267-29E6-4FC4-A59D-B97F756CB70D}"/>
    <cellStyle name="Migliaia 39 3 2 6 2" xfId="33992" xr:uid="{28C54FA5-EAD7-4841-984B-23B05B682639}"/>
    <cellStyle name="Migliaia 39 3 2 6 2 2" xfId="39535" xr:uid="{5D728060-8D98-4556-94CF-E0340E9C37DB}"/>
    <cellStyle name="Migliaia 39 3 2 6 2 3" xfId="44837" xr:uid="{D6C7D7D1-BC2B-4B8C-9C15-415113FC736C}"/>
    <cellStyle name="Migliaia 39 3 2 6 3" xfId="36941" xr:uid="{7856E28B-FE0E-4DD0-97C1-E87BF7DD04FE}"/>
    <cellStyle name="Migliaia 39 3 2 6 4" xfId="42186" xr:uid="{DB6C05F6-1779-4319-AA06-C936F6463F92}"/>
    <cellStyle name="Migliaia 39 3 2 6 5" xfId="24893" xr:uid="{B6E43D91-1972-4607-80BA-FE9F901BFBD9}"/>
    <cellStyle name="Migliaia 39 3 2 7" xfId="24889" xr:uid="{C6AD90A9-CEFF-4C0E-AF68-153130DBFB54}"/>
    <cellStyle name="Migliaia 39 3 2 8" xfId="7485" xr:uid="{629E9B1A-018F-4330-A12E-F5756284AAB2}"/>
    <cellStyle name="Migliaia 39 3 3" xfId="3623" xr:uid="{014A9E13-49C7-40AB-9415-918FFDBA1DC0}"/>
    <cellStyle name="Migliaia 39 3 3 10" xfId="7484" xr:uid="{91A00090-8A9F-433A-85FD-98855ADDC681}"/>
    <cellStyle name="Migliaia 39 3 3 2" xfId="5349" xr:uid="{513ED7CB-8380-4F80-BA36-2335FD42EE8B}"/>
    <cellStyle name="Migliaia 39 3 3 2 2" xfId="9946" xr:uid="{64FEE60B-8363-4713-ABB8-FC7195DE6DE7}"/>
    <cellStyle name="Migliaia 39 3 3 2 2 2" xfId="39537" xr:uid="{FD2E0982-D408-4A5D-A717-E0C2E48B9F4E}"/>
    <cellStyle name="Migliaia 39 3 3 2 2 3" xfId="44839" xr:uid="{C70B6F58-AE69-409D-85D5-DD6F0A9AE007}"/>
    <cellStyle name="Migliaia 39 3 3 2 3" xfId="18226" xr:uid="{1A674EF7-7539-40AD-BA9D-A7F6FDAEC187}"/>
    <cellStyle name="Migliaia 39 3 3 2 4" xfId="20554" xr:uid="{5048F0F3-F1E1-474D-890B-93302B151320}"/>
    <cellStyle name="Migliaia 39 3 3 2 4 2" xfId="42188" xr:uid="{11DE0F28-8E14-4A68-8D14-4A77784FE346}"/>
    <cellStyle name="Migliaia 39 3 3 2 5" xfId="16513" xr:uid="{1F710998-EC7F-42C7-9998-8B47A2DF035B}"/>
    <cellStyle name="Migliaia 39 3 3 2 6" xfId="8674" xr:uid="{5A2DF3CB-0EA7-4DEC-B3CC-E374BBE2989B}"/>
    <cellStyle name="Migliaia 39 3 3 3" xfId="6541" xr:uid="{176F2416-6811-4EB4-8420-AF407E1D6085}"/>
    <cellStyle name="Migliaia 39 3 3 3 2" xfId="33995" xr:uid="{24AEE98C-9FCC-4213-B771-74686DEA5021}"/>
    <cellStyle name="Migliaia 39 3 3 3 2 2" xfId="39538" xr:uid="{3A33BA3B-E6CB-49E5-BBA0-C3E63F612330}"/>
    <cellStyle name="Migliaia 39 3 3 3 2 3" xfId="44840" xr:uid="{109A088A-D7A7-4939-8D8A-2EF642C1DE3D}"/>
    <cellStyle name="Migliaia 39 3 3 3 3" xfId="36944" xr:uid="{15995CBE-FDA4-41AB-A16C-8674BD283241}"/>
    <cellStyle name="Migliaia 39 3 3 3 4" xfId="42189" xr:uid="{81E30383-4DBC-42A8-8448-606B76786B85}"/>
    <cellStyle name="Migliaia 39 3 3 3 5" xfId="9709" xr:uid="{5FDB18AB-DB14-4E00-9023-0B9EBED2920F}"/>
    <cellStyle name="Migliaia 39 3 3 4" xfId="20553" xr:uid="{50B378A0-E56C-47C2-BB06-551112A6E6A2}"/>
    <cellStyle name="Migliaia 39 3 3 4 2" xfId="33996" xr:uid="{858E9A93-B85A-4BAB-9E20-EBB2AE404FD9}"/>
    <cellStyle name="Migliaia 39 3 3 4 2 2" xfId="39539" xr:uid="{7071E168-D07B-4446-9143-BBEA34529C5A}"/>
    <cellStyle name="Migliaia 39 3 3 4 2 3" xfId="44841" xr:uid="{2A3758D4-A5D5-4C55-BFFE-CA65CBA54173}"/>
    <cellStyle name="Migliaia 39 3 3 4 3" xfId="36945" xr:uid="{2268797D-5353-406E-AA33-B477B7171749}"/>
    <cellStyle name="Migliaia 39 3 3 4 4" xfId="42190" xr:uid="{E8C79336-AA7C-48A2-964D-576CD39B36D0}"/>
    <cellStyle name="Migliaia 39 3 3 4 5" xfId="24897" xr:uid="{D34AD686-ADF6-4628-91BB-8D560FFE2C2E}"/>
    <cellStyle name="Migliaia 39 3 3 5" xfId="24898" xr:uid="{39EE1A20-2B00-499B-97C4-C8EA380416A2}"/>
    <cellStyle name="Migliaia 39 3 3 5 2" xfId="33997" xr:uid="{EC761F0D-7602-45B1-B952-BD9C74B4DC09}"/>
    <cellStyle name="Migliaia 39 3 3 5 2 2" xfId="39540" xr:uid="{65D7A235-0B49-49AA-AE59-C1331B2568E8}"/>
    <cellStyle name="Migliaia 39 3 3 5 2 3" xfId="44842" xr:uid="{7E9B18D3-9DFF-4CD3-B544-328FCAC9F2B2}"/>
    <cellStyle name="Migliaia 39 3 3 5 3" xfId="36946" xr:uid="{FA9C01C2-9380-4538-94CE-6671F884C5F8}"/>
    <cellStyle name="Migliaia 39 3 3 5 4" xfId="42191" xr:uid="{D031C4A3-5BE1-4710-902E-D37F8515500F}"/>
    <cellStyle name="Migliaia 39 3 3 6" xfId="33993" xr:uid="{D66D6906-E122-4201-88D2-4079C8557C3F}"/>
    <cellStyle name="Migliaia 39 3 3 6 2" xfId="39536" xr:uid="{27D203BC-7200-41F6-9175-0DBB8DA0C718}"/>
    <cellStyle name="Migliaia 39 3 3 6 3" xfId="44838" xr:uid="{364971FE-3BEA-46B6-BE53-BAE7DA19AEA1}"/>
    <cellStyle name="Migliaia 39 3 3 7" xfId="36942" xr:uid="{9D450160-A903-4927-B8DE-9C4EF8263A93}"/>
    <cellStyle name="Migliaia 39 3 3 8" xfId="42187" xr:uid="{1DC18966-B6D1-4923-8203-70DCAFE64597}"/>
    <cellStyle name="Migliaia 39 3 3 9" xfId="16512" xr:uid="{69A21EF7-5263-4E80-AC47-A47D387EDB85}"/>
    <cellStyle name="Migliaia 39 3 4" xfId="3624" xr:uid="{76992008-256F-41EA-B4E0-6903B9E6B7C2}"/>
    <cellStyle name="Migliaia 39 3 4 2" xfId="5350" xr:uid="{E6837375-F6A3-4819-9FAC-D09F42EF1249}"/>
    <cellStyle name="Migliaia 39 3 4 2 2" xfId="14455" xr:uid="{7C3DCBD5-05F3-4293-9FC7-6B05736B1873}"/>
    <cellStyle name="Migliaia 39 3 4 2 3" xfId="18131" xr:uid="{5669A124-9B3A-4EE6-A1C3-18455B0B6530}"/>
    <cellStyle name="Migliaia 39 3 4 2 4" xfId="20556" xr:uid="{0AE08B59-7DE2-4857-9CD4-9EAA971C8A43}"/>
    <cellStyle name="Migliaia 39 3 4 2 5" xfId="32395" xr:uid="{409AE6A7-ED55-4EA1-941A-9950C08E3686}"/>
    <cellStyle name="Migliaia 39 3 4 2 6" xfId="16515" xr:uid="{24E7D8A8-0E4F-4FF9-8C48-A17EE68B8796}"/>
    <cellStyle name="Migliaia 39 3 4 2 7" xfId="8878" xr:uid="{94426A29-481E-433A-B18E-719EAFD391DD}"/>
    <cellStyle name="Migliaia 39 3 4 3" xfId="6542" xr:uid="{D2C3A463-DE6E-4547-91A8-35C252C090FB}"/>
    <cellStyle name="Migliaia 39 3 4 3 2" xfId="35349" xr:uid="{4443D78C-9C58-40A6-8BFE-67D2C423318E}"/>
    <cellStyle name="Migliaia 39 3 4 3 2 2" xfId="40509" xr:uid="{03F43078-4E58-4290-B7B3-14D9CDF9EC3B}"/>
    <cellStyle name="Migliaia 39 3 4 3 2 3" xfId="45811" xr:uid="{8464696A-0D0F-4430-80CB-378448C2F3F0}"/>
    <cellStyle name="Migliaia 39 3 4 3 3" xfId="37858" xr:uid="{5729C90E-93A6-4FD5-AC0E-40EDF149DB57}"/>
    <cellStyle name="Migliaia 39 3 4 3 4" xfId="43160" xr:uid="{C332807E-D2AA-4599-8EFE-68ACB3803C55}"/>
    <cellStyle name="Migliaia 39 3 4 3 5" xfId="13703" xr:uid="{97B3D162-0965-4595-A8F6-7217AD5F0447}"/>
    <cellStyle name="Migliaia 39 3 4 4" xfId="20555" xr:uid="{A12AE1CD-593E-4A54-8A3E-12CECC874BF0}"/>
    <cellStyle name="Migliaia 39 3 4 4 2" xfId="39541" xr:uid="{84C90F0F-2EAC-4E42-8078-0A919E55C254}"/>
    <cellStyle name="Migliaia 39 3 4 4 3" xfId="44843" xr:uid="{3B8006AB-0476-46AC-A023-42054647A3E8}"/>
    <cellStyle name="Migliaia 39 3 4 4 4" xfId="33998" xr:uid="{52F80CAC-397E-49AA-B8A3-0EDB0AD5F6C4}"/>
    <cellStyle name="Migliaia 39 3 4 5" xfId="36947" xr:uid="{F8E78C72-BAAA-4B92-807E-B9C3102EB882}"/>
    <cellStyle name="Migliaia 39 3 4 6" xfId="42192" xr:uid="{B0C33F54-7B08-4CE3-9F57-1AB78A20A228}"/>
    <cellStyle name="Migliaia 39 3 4 7" xfId="16514" xr:uid="{1A3080FC-D56F-4668-A437-86D8C7E2584C}"/>
    <cellStyle name="Migliaia 39 3 4 8" xfId="7688" xr:uid="{9D0C48FA-125A-410F-8082-A4B3A9F5CD85}"/>
    <cellStyle name="Migliaia 39 3 5" xfId="3625" xr:uid="{C2F16917-2C87-4594-838C-79498D90E6C8}"/>
    <cellStyle name="Migliaia 39 3 5 2" xfId="5351" xr:uid="{FCDBD2A5-C6FD-4BD2-B08B-55A1A6D990B8}"/>
    <cellStyle name="Migliaia 39 3 5 2 2" xfId="35350" xr:uid="{FF6619AD-AF1C-48EE-AC24-BD227B1376BE}"/>
    <cellStyle name="Migliaia 39 3 5 2 2 2" xfId="40510" xr:uid="{62C4CB77-6310-4BE9-A6F8-5CFDD2A82E7D}"/>
    <cellStyle name="Migliaia 39 3 5 2 2 3" xfId="45812" xr:uid="{31A670C3-E823-4914-84A9-FE3AD693575F}"/>
    <cellStyle name="Migliaia 39 3 5 2 3" xfId="37859" xr:uid="{F4CA6FD6-8DA2-46F2-8932-2297352BD81E}"/>
    <cellStyle name="Migliaia 39 3 5 2 4" xfId="43161" xr:uid="{25725698-8131-482D-80AF-6CB5AD0DEEFC}"/>
    <cellStyle name="Migliaia 39 3 5 2 5" xfId="14277" xr:uid="{B417E577-37A5-444C-B3C7-2E34321C6116}"/>
    <cellStyle name="Migliaia 39 3 5 3" xfId="6543" xr:uid="{29A6465F-809D-472B-8E8B-DF24D09348DE}"/>
    <cellStyle name="Migliaia 39 3 5 3 2" xfId="39542" xr:uid="{1AA47CE1-35E2-4E52-A5DE-97017FD983BD}"/>
    <cellStyle name="Migliaia 39 3 5 3 3" xfId="44844" xr:uid="{67F4A0F9-9B42-40BD-BCBB-CB5EBB5E9948}"/>
    <cellStyle name="Migliaia 39 3 5 3 4" xfId="33999" xr:uid="{1C069B6C-3460-429A-B24F-59AC68C968F1}"/>
    <cellStyle name="Migliaia 39 3 5 3 5" xfId="20557" xr:uid="{C8E1A30D-AF35-40EE-A803-87933F3A1622}"/>
    <cellStyle name="Migliaia 39 3 5 4" xfId="36948" xr:uid="{9ECB072E-E66F-484B-B27C-CB239A4D53E3}"/>
    <cellStyle name="Migliaia 39 3 5 5" xfId="42193" xr:uid="{7CFD0D6D-07B2-419D-B286-1BFFEC98F02C}"/>
    <cellStyle name="Migliaia 39 3 5 6" xfId="16516" xr:uid="{426B963C-F1A2-4062-8CDE-3F1E685B47BC}"/>
    <cellStyle name="Migliaia 39 3 5 7" xfId="8339" xr:uid="{EB09E490-9FD7-45B9-BBE6-FB2263D56A2E}"/>
    <cellStyle name="Migliaia 39 3 6" xfId="5346" xr:uid="{7A8E6761-B157-4C88-905A-534893E95D41}"/>
    <cellStyle name="Migliaia 39 3 6 2" xfId="13982" xr:uid="{8B645D16-D1D0-4F65-8196-8BA7E9EC6B50}"/>
    <cellStyle name="Migliaia 39 3 6 2 2" xfId="39543" xr:uid="{655C8A16-624D-4A54-94E7-92B1B982E995}"/>
    <cellStyle name="Migliaia 39 3 6 2 3" xfId="44845" xr:uid="{5128CEC1-E109-485E-BCA1-BCA52F9F07EC}"/>
    <cellStyle name="Migliaia 39 3 6 3" xfId="18610" xr:uid="{033B2C41-B3B1-4F12-A9B2-7EB65275021D}"/>
    <cellStyle name="Migliaia 39 3 6 4" xfId="20558" xr:uid="{74F67427-06E8-4691-851B-E4BB8631AD16}"/>
    <cellStyle name="Migliaia 39 3 6 4 2" xfId="42194" xr:uid="{27AAB1DA-2B14-43D0-8FA1-99E59C590C8D}"/>
    <cellStyle name="Migliaia 39 3 6 5" xfId="16517" xr:uid="{7F47B537-9305-4A5E-AAA2-5C21120EC7AF}"/>
    <cellStyle name="Migliaia 39 3 6 6" xfId="7952" xr:uid="{AF0E73A6-FBA5-4001-A3C6-DCBB4EC09CA0}"/>
    <cellStyle name="Migliaia 39 3 7" xfId="6538" xr:uid="{3CA499F2-6FB4-4E52-8750-2A961480390B}"/>
    <cellStyle name="Migliaia 39 3 7 2" xfId="34001" xr:uid="{A935F85C-83DC-4529-8FBA-4739C381D911}"/>
    <cellStyle name="Migliaia 39 3 7 2 2" xfId="39544" xr:uid="{0A6C7FB3-346F-4920-8826-A22FDAEE08CC}"/>
    <cellStyle name="Migliaia 39 3 7 2 3" xfId="44846" xr:uid="{82E5ECC6-C189-4468-B25E-F8EA4899AF5B}"/>
    <cellStyle name="Migliaia 39 3 7 3" xfId="36950" xr:uid="{14BB8D18-A402-4921-BA58-0E96A29C5C7B}"/>
    <cellStyle name="Migliaia 39 3 7 4" xfId="42195" xr:uid="{7DEB72A5-679F-43BF-8FD9-71DF98FE90FD}"/>
    <cellStyle name="Migliaia 39 3 7 5" xfId="12246" xr:uid="{556B4AA2-6CC1-4205-A94F-05DB9E9011F8}"/>
    <cellStyle name="Migliaia 39 3 8" xfId="3620" xr:uid="{5E0C95DF-66EC-4253-B2DD-4DBEBE1FED07}"/>
    <cellStyle name="Migliaia 39 3 8 2" xfId="34002" xr:uid="{955CC0B3-534D-4C0C-9B27-9435C3B8D602}"/>
    <cellStyle name="Migliaia 39 3 8 2 2" xfId="39545" xr:uid="{15BDA1B4-DA03-44AE-8359-B20D8727B7C9}"/>
    <cellStyle name="Migliaia 39 3 8 2 3" xfId="44847" xr:uid="{B5BEF261-432F-4FD8-846C-D7691DCA597B}"/>
    <cellStyle name="Migliaia 39 3 8 3" xfId="36951" xr:uid="{6FD2AC2E-6969-4C82-877F-685B09962B36}"/>
    <cellStyle name="Migliaia 39 3 8 4" xfId="42196" xr:uid="{A639A8A0-E288-4095-A5CC-BBC0FBD63856}"/>
    <cellStyle name="Migliaia 39 3 8 5" xfId="24903" xr:uid="{F657C979-23D6-4CE7-8ABD-951D8CB07E66}"/>
    <cellStyle name="Migliaia 39 3 8 6" xfId="17331" xr:uid="{A87A9A80-F087-4443-85B2-3E2C2ED80E3A}"/>
    <cellStyle name="Migliaia 39 3 9" xfId="20549" xr:uid="{195796D9-7E99-4F0A-B8C3-885E1B21C0D3}"/>
    <cellStyle name="Migliaia 39 4" xfId="1818" xr:uid="{00000000-0005-0000-0000-0000E5030000}"/>
    <cellStyle name="Migliaia 39 4 2" xfId="1819" xr:uid="{00000000-0005-0000-0000-0000E6030000}"/>
    <cellStyle name="Migliaia 39 4 2 2" xfId="5353" xr:uid="{24BBCF88-5249-4052-8B5F-5F74FEE5AA87}"/>
    <cellStyle name="Migliaia 39 4 2 2 2" xfId="34003" xr:uid="{D6329F97-8DBB-4780-BE91-3FA42CAF620C}"/>
    <cellStyle name="Migliaia 39 4 2 2 2 2" xfId="39546" xr:uid="{4E75ACCA-06DA-4D29-98ED-55C1233BAFAA}"/>
    <cellStyle name="Migliaia 39 4 2 2 2 3" xfId="44848" xr:uid="{CF5955BE-AB57-4388-957E-20236AB2535E}"/>
    <cellStyle name="Migliaia 39 4 2 2 3" xfId="36952" xr:uid="{5186D4AC-FD54-47FD-90D7-A6314981F3C9}"/>
    <cellStyle name="Migliaia 39 4 2 2 4" xfId="42197" xr:uid="{4A9C2799-BEB4-413D-8480-6A77BDD8339C}"/>
    <cellStyle name="Migliaia 39 4 2 2 5" xfId="9172" xr:uid="{C8E51782-26C4-4F87-9478-85CE1334D10A}"/>
    <cellStyle name="Migliaia 39 4 2 3" xfId="3627" xr:uid="{DB4BC0AE-548D-4373-8DA4-7F08D8D38D39}"/>
    <cellStyle name="Migliaia 39 4 2 3 2" xfId="34004" xr:uid="{99D41647-2D41-4328-B226-FBCB592DE2E0}"/>
    <cellStyle name="Migliaia 39 4 2 3 2 2" xfId="39547" xr:uid="{667EF3FF-0EC1-4ED6-B024-9F9DFC5A40CA}"/>
    <cellStyle name="Migliaia 39 4 2 3 2 3" xfId="44849" xr:uid="{115868CC-3F23-4E37-B84E-800FF2434BB4}"/>
    <cellStyle name="Migliaia 39 4 2 3 3" xfId="36953" xr:uid="{F7C3DDD1-F56A-4ABE-B9B2-32CFD5F21824}"/>
    <cellStyle name="Migliaia 39 4 2 3 4" xfId="42198" xr:uid="{F5BDFE03-A0E9-43B5-9E74-5E22E1636B96}"/>
    <cellStyle name="Migliaia 39 4 2 3 5" xfId="12017" xr:uid="{C8C85988-D14C-46F8-BAE7-DAA5D2B1CBD0}"/>
    <cellStyle name="Migliaia 39 4 2 4" xfId="11366" xr:uid="{200F21AC-154A-48D0-9AE7-710038605A32}"/>
    <cellStyle name="Migliaia 39 4 2 5" xfId="10896" xr:uid="{F9AE7C16-E1EA-4423-9678-55C6B94029BE}"/>
    <cellStyle name="Migliaia 39 4 2 5 2" xfId="21531" xr:uid="{BE8122A7-D502-4C1B-BFF9-B878A7F0BEA7}"/>
    <cellStyle name="Migliaia 39 4 2 5 3" xfId="48178" xr:uid="{D6F3F009-FE5B-4D25-8C07-C3E1CD673CE9}"/>
    <cellStyle name="Migliaia 39 4 2 5 4" xfId="50546" xr:uid="{C0B15AB4-EBCD-4D9B-BA6C-2D65A05FDF3B}"/>
    <cellStyle name="Migliaia 39 4 2 5 5" xfId="53562" xr:uid="{162B3784-B395-496E-82BE-EFE151EE805F}"/>
    <cellStyle name="Migliaia 39 4 2 6" xfId="20560" xr:uid="{5C20F9A0-6490-41CD-8D57-70FC6E5812B2}"/>
    <cellStyle name="Migliaia 39 4 2 7" xfId="24905" xr:uid="{1C35EB78-C7D2-452A-A102-72DB683BB662}"/>
    <cellStyle name="Migliaia 39 4 2 8" xfId="8676" xr:uid="{819ABC09-B3DE-4F59-B316-ACB7D57EACCC}"/>
    <cellStyle name="Migliaia 39 4 3" xfId="5352" xr:uid="{0BB4C36B-4DD7-41DA-89D7-54542B2A165B}"/>
    <cellStyle name="Migliaia 39 4 3 2" xfId="18227" xr:uid="{59808F72-862B-4336-B4E4-981AF77BE901}"/>
    <cellStyle name="Migliaia 39 4 3 2 2" xfId="39548" xr:uid="{D6FEB8C3-C48F-4374-AC96-5C2DF966F8AD}"/>
    <cellStyle name="Migliaia 39 4 3 2 3" xfId="44850" xr:uid="{20FBA41F-1A12-4940-AD05-731979C5D590}"/>
    <cellStyle name="Migliaia 39 4 3 3" xfId="36954" xr:uid="{40FB2AF8-A59D-470B-9556-7BA583769631}"/>
    <cellStyle name="Migliaia 39 4 3 4" xfId="42199" xr:uid="{13589C14-7177-428B-ADA9-8959D2DAA2DE}"/>
    <cellStyle name="Migliaia 39 4 3 5" xfId="17329" xr:uid="{88F13841-A6DC-41BE-AE35-DF28A1BAEB68}"/>
    <cellStyle name="Migliaia 39 4 3 6" xfId="9173" xr:uid="{3F69CA83-5210-4CFC-8C37-3A806175CC48}"/>
    <cellStyle name="Migliaia 39 4 4" xfId="6544" xr:uid="{AC65918E-E011-483C-BB9F-1AB4CB98BBB4}"/>
    <cellStyle name="Migliaia 39 4 4 2" xfId="34006" xr:uid="{8747304E-FE4A-4591-A7B7-203E1FC35B64}"/>
    <cellStyle name="Migliaia 39 4 4 2 2" xfId="39549" xr:uid="{653708DE-4800-43C4-BDF7-7CE1C11AA67A}"/>
    <cellStyle name="Migliaia 39 4 4 2 3" xfId="44851" xr:uid="{D924349E-7179-466E-96AB-74BFE66FD576}"/>
    <cellStyle name="Migliaia 39 4 4 3" xfId="36955" xr:uid="{E0953F39-86AE-4A5D-BE97-5CA34B56080D}"/>
    <cellStyle name="Migliaia 39 4 4 4" xfId="42200" xr:uid="{5DF0A8B0-F116-4A1D-B6D0-FDCA95E9B44E}"/>
    <cellStyle name="Migliaia 39 4 4 5" xfId="12018" xr:uid="{918772B4-3922-4509-946D-7FD492DD6C57}"/>
    <cellStyle name="Migliaia 39 4 5" xfId="3626" xr:uid="{BACDCCF8-CF0A-4446-8E18-1A5EB17B1C26}"/>
    <cellStyle name="Migliaia 39 4 5 2" xfId="34007" xr:uid="{12B3FAD5-CAE9-4A3B-B80A-CE5D9036A143}"/>
    <cellStyle name="Migliaia 39 4 5 2 2" xfId="39550" xr:uid="{49573AC1-5925-4F7B-99EA-6BC76E37FDB9}"/>
    <cellStyle name="Migliaia 39 4 5 2 3" xfId="44852" xr:uid="{9DD6FE02-E0C1-4DFE-B4DC-E2D6D5E409F1}"/>
    <cellStyle name="Migliaia 39 4 5 3" xfId="36956" xr:uid="{040B7087-C0D7-4BB1-B7B6-7A36F8BDA6DC}"/>
    <cellStyle name="Migliaia 39 4 5 4" xfId="42201" xr:uid="{97DD57BC-A6E8-4D76-8B20-2ADA75981A96}"/>
    <cellStyle name="Migliaia 39 4 5 5" xfId="11365" xr:uid="{F5E36788-3401-4635-82F8-581A242B65D7}"/>
    <cellStyle name="Migliaia 39 4 6" xfId="10895" xr:uid="{20FF2FBE-394B-4BB5-A168-3127F54E41D2}"/>
    <cellStyle name="Migliaia 39 4 6 2" xfId="21530" xr:uid="{513FB039-9C48-4759-B501-A86192C2B87D}"/>
    <cellStyle name="Migliaia 39 4 6 2 2" xfId="39551" xr:uid="{94AAB7F2-7B55-42C4-803A-38497FAB0F87}"/>
    <cellStyle name="Migliaia 39 4 6 2 3" xfId="44853" xr:uid="{BCC04B93-23A3-4607-9A2E-5523DD68749C}"/>
    <cellStyle name="Migliaia 39 4 6 2 4" xfId="34008" xr:uid="{24E384AC-526B-4E76-B4B9-6D8BBD14FEA2}"/>
    <cellStyle name="Migliaia 39 4 6 3" xfId="36957" xr:uid="{B3BBE7C6-F279-4651-93F1-56324B383182}"/>
    <cellStyle name="Migliaia 39 4 6 4" xfId="42202" xr:uid="{2755E988-8563-4D96-BEE9-D5C42B983479}"/>
    <cellStyle name="Migliaia 39 4 6 5" xfId="24911" xr:uid="{8DFB8221-CB70-40DF-9DA5-A5B3E4B76385}"/>
    <cellStyle name="Migliaia 39 4 6 6" xfId="46254" xr:uid="{80FD73B1-4AB9-43D3-A77D-37CC7B4A5A4F}"/>
    <cellStyle name="Migliaia 39 4 6 7" xfId="50545" xr:uid="{DB108F73-0390-41BB-8DFF-C4FE65B6709B}"/>
    <cellStyle name="Migliaia 39 4 6 8" xfId="53561" xr:uid="{F402E0C3-8C96-4181-B40F-F14A5E268494}"/>
    <cellStyle name="Migliaia 39 4 7" xfId="20559" xr:uid="{C0CB2690-351F-48E0-BBAF-8910B1394D6B}"/>
    <cellStyle name="Migliaia 39 4 7 2" xfId="34009" xr:uid="{CA6EC07F-0D32-4564-8887-0184F828DAF3}"/>
    <cellStyle name="Migliaia 39 4 7 2 2" xfId="39552" xr:uid="{851893B4-54FA-4EC1-B3FD-A17C969F3388}"/>
    <cellStyle name="Migliaia 39 4 7 2 3" xfId="44854" xr:uid="{F772A7A2-D1E1-4F41-8E34-3A794C4756EE}"/>
    <cellStyle name="Migliaia 39 4 7 3" xfId="36958" xr:uid="{6F7877A2-CC1A-4001-BA38-830E1518F47C}"/>
    <cellStyle name="Migliaia 39 4 7 4" xfId="42203" xr:uid="{BE784AA9-197F-4227-9796-B8A1F0EEC630}"/>
    <cellStyle name="Migliaia 39 4 7 5" xfId="24912" xr:uid="{87B964DC-DB51-4FCE-878E-B1DFBAC70B1B}"/>
    <cellStyle name="Migliaia 39 4 8" xfId="24904" xr:uid="{2CA02159-5933-4D0C-A79A-3AAED85B46EC}"/>
    <cellStyle name="Migliaia 39 4 9" xfId="7486" xr:uid="{6DE8DA73-D092-4676-9C89-FF7C2203DD49}"/>
    <cellStyle name="Migliaia 39 5" xfId="1820" xr:uid="{00000000-0005-0000-0000-0000E7030000}"/>
    <cellStyle name="Migliaia 39 5 2" xfId="5354" xr:uid="{7059AAB9-9D25-4306-96C5-212CAF7DC14C}"/>
    <cellStyle name="Migliaia 39 5 2 2" xfId="18460" xr:uid="{149A80DE-F1FC-49A2-BB87-C6581038EAA4}"/>
    <cellStyle name="Migliaia 39 5 2 2 2" xfId="39553" xr:uid="{13E927E4-E249-4E63-AB94-4EBADB988BAF}"/>
    <cellStyle name="Migliaia 39 5 2 2 3" xfId="44855" xr:uid="{551A1367-C137-418E-A54B-9A7ED3990345}"/>
    <cellStyle name="Migliaia 39 5 2 3" xfId="20562" xr:uid="{C5DE9C5A-85AC-4D1D-A3C2-5C9EF16757A2}"/>
    <cellStyle name="Migliaia 39 5 2 3 2" xfId="36959" xr:uid="{C8C773D8-93B2-4CA4-9168-45ECAD1EBAB1}"/>
    <cellStyle name="Migliaia 39 5 2 4" xfId="42204" xr:uid="{4D5EB3D9-7973-4534-8D28-0E8C5F61A894}"/>
    <cellStyle name="Migliaia 39 5 2 5" xfId="16518" xr:uid="{5A2A6B34-5B48-4EA1-98EB-7B44B7924FFB}"/>
    <cellStyle name="Migliaia 39 5 2 6" xfId="8677" xr:uid="{2C0ACD1D-00B0-4C2C-9DA3-61EEDF21C352}"/>
    <cellStyle name="Migliaia 39 5 3" xfId="6545" xr:uid="{EEA491A8-2E86-49F3-8450-C8E8BD0AF943}"/>
    <cellStyle name="Migliaia 39 5 3 2" xfId="34011" xr:uid="{C1708F7F-E714-48C0-B2F1-FF1A7FFC00EE}"/>
    <cellStyle name="Migliaia 39 5 3 2 2" xfId="39554" xr:uid="{ED4F4B91-80C7-4950-A29C-57D195EEF46C}"/>
    <cellStyle name="Migliaia 39 5 3 2 3" xfId="44856" xr:uid="{B77C2280-F033-4C3E-A9BD-A6AF2BDC5DB0}"/>
    <cellStyle name="Migliaia 39 5 3 3" xfId="36960" xr:uid="{19FF57B0-F0CE-4B35-AD3A-AC167FEA40B1}"/>
    <cellStyle name="Migliaia 39 5 3 4" xfId="42205" xr:uid="{AA542EFE-B409-40C3-9CDE-D6F99A44040D}"/>
    <cellStyle name="Migliaia 39 5 3 5" xfId="11367" xr:uid="{C6A427F2-962F-492E-A341-9DF44FA74D8D}"/>
    <cellStyle name="Migliaia 39 5 4" xfId="3628" xr:uid="{C7FC68F3-DA80-4C35-B48E-E28C0AF5D606}"/>
    <cellStyle name="Migliaia 39 5 4 2" xfId="21532" xr:uid="{123CC7BD-4D04-4444-8C31-EC1494F33AB6}"/>
    <cellStyle name="Migliaia 39 5 4 2 2" xfId="39555" xr:uid="{BA85741D-82D8-4D82-9FC8-DEAFFB012BD8}"/>
    <cellStyle name="Migliaia 39 5 4 2 3" xfId="44857" xr:uid="{FA18F1D2-27A2-4B44-8430-584990E2A1CF}"/>
    <cellStyle name="Migliaia 39 5 4 2 4" xfId="34012" xr:uid="{880624D5-800F-4E8B-8962-CF17D3BC7FDE}"/>
    <cellStyle name="Migliaia 39 5 4 3" xfId="36961" xr:uid="{CF5B0F94-7374-4188-9108-311A8C1A40CD}"/>
    <cellStyle name="Migliaia 39 5 4 4" xfId="42206" xr:uid="{BF70F695-02D5-4ABC-A754-D7B76B3F75E8}"/>
    <cellStyle name="Migliaia 39 5 4 5" xfId="24915" xr:uid="{BF055DDA-F342-4116-971B-295D934122DE}"/>
    <cellStyle name="Migliaia 39 5 4 6" xfId="46255" xr:uid="{C6B1AFE2-6AD4-4919-A71D-C20681902E3C}"/>
    <cellStyle name="Migliaia 39 5 4 7" xfId="50547" xr:uid="{35F8CBE9-FD8C-4EFF-9F48-B8972741D9BD}"/>
    <cellStyle name="Migliaia 39 5 4 8" xfId="53563" xr:uid="{4CE59E45-418C-4BA4-9378-AC1C69E938EA}"/>
    <cellStyle name="Migliaia 39 5 4 9" xfId="10897" xr:uid="{146A709E-A4C9-49D0-9312-9DA328339AAD}"/>
    <cellStyle name="Migliaia 39 5 5" xfId="20561" xr:uid="{917BC2B3-926E-43C4-B439-9BCC625504A6}"/>
    <cellStyle name="Migliaia 39 5 5 2" xfId="34013" xr:uid="{717F87DB-07EF-4D63-96F1-8FBBA4F5374F}"/>
    <cellStyle name="Migliaia 39 5 5 2 2" xfId="39556" xr:uid="{B7F7BF57-236D-48E8-9A0D-5B5E9821784D}"/>
    <cellStyle name="Migliaia 39 5 5 2 3" xfId="44858" xr:uid="{2438ED2F-6E8F-4735-80A9-F162C04EDED6}"/>
    <cellStyle name="Migliaia 39 5 5 3" xfId="36962" xr:uid="{32878D1B-424A-4F51-8A8E-2794FBB2434E}"/>
    <cellStyle name="Migliaia 39 5 5 4" xfId="42207" xr:uid="{B8B49184-7480-43A2-BE05-CA3BDEAD8F36}"/>
    <cellStyle name="Migliaia 39 5 5 5" xfId="24916" xr:uid="{ABC2B91A-B897-44D5-845B-9D389D3F5DA0}"/>
    <cellStyle name="Migliaia 39 5 6" xfId="24917" xr:uid="{964709F2-BA42-4CE0-A9C2-CF56A9378BE7}"/>
    <cellStyle name="Migliaia 39 5 6 2" xfId="34014" xr:uid="{AF53AF96-897F-44FF-9BFA-7E1233947456}"/>
    <cellStyle name="Migliaia 39 5 6 2 2" xfId="39557" xr:uid="{7D8A9A95-3EC5-447E-BD19-F0E8B4BE4D39}"/>
    <cellStyle name="Migliaia 39 5 6 2 3" xfId="44859" xr:uid="{CFCEBD9D-C873-4BD9-8EF4-9C8819D93DB1}"/>
    <cellStyle name="Migliaia 39 5 6 3" xfId="36963" xr:uid="{E7979051-E936-4836-9043-C20DDFE2B485}"/>
    <cellStyle name="Migliaia 39 5 6 4" xfId="42208" xr:uid="{ABCFC529-BE46-4781-9B71-2C17549D6B9B}"/>
    <cellStyle name="Migliaia 39 5 7" xfId="24913" xr:uid="{2B48FD34-9F74-45F2-887C-68DB1D3ECE0A}"/>
    <cellStyle name="Migliaia 39 5 8" xfId="7487" xr:uid="{648FC253-3EE9-4486-947F-6F6948D52ECD}"/>
    <cellStyle name="Migliaia 39 6" xfId="3629" xr:uid="{2DF91330-6850-4732-A357-34177DCD4B1C}"/>
    <cellStyle name="Migliaia 39 6 2" xfId="5355" xr:uid="{642FEB35-DA3A-4D19-B555-22598D7C37AD}"/>
    <cellStyle name="Migliaia 39 6 2 2" xfId="9945" xr:uid="{387B8713-11CD-4A1E-9AE1-B1C787B36847}"/>
    <cellStyle name="Migliaia 39 6 2 3" xfId="18648" xr:uid="{B6CCF253-9386-40E8-A6AB-68949B6419D1}"/>
    <cellStyle name="Migliaia 39 6 2 4" xfId="20564" xr:uid="{80197F63-7EA5-4543-B208-79C2664858B0}"/>
    <cellStyle name="Migliaia 39 6 2 5" xfId="32398" xr:uid="{6EAEEDA1-2CF7-4BA6-AE55-79BD4E26A612}"/>
    <cellStyle name="Migliaia 39 6 2 6" xfId="16520" xr:uid="{BB438504-FCDA-4259-8936-B576532042DE}"/>
    <cellStyle name="Migliaia 39 6 2 7" xfId="8672" xr:uid="{856E902C-C145-4F0B-B486-DC57C9A47EF1}"/>
    <cellStyle name="Migliaia 39 6 3" xfId="6546" xr:uid="{837932BF-0207-40DD-8A1D-0E391398F323}"/>
    <cellStyle name="Migliaia 39 6 3 2" xfId="35351" xr:uid="{71C5CA33-642F-4F00-9DEB-35D01929316A}"/>
    <cellStyle name="Migliaia 39 6 3 2 2" xfId="40511" xr:uid="{AAA199CE-CAAF-4481-A28E-ECED2D079B5D}"/>
    <cellStyle name="Migliaia 39 6 3 2 3" xfId="45813" xr:uid="{659D21F1-FAFC-4742-AD92-156E0E8A50D9}"/>
    <cellStyle name="Migliaia 39 6 3 3" xfId="37860" xr:uid="{09085A1A-4C68-4692-9DA9-476571E1634E}"/>
    <cellStyle name="Migliaia 39 6 3 4" xfId="43162" xr:uid="{1CD66D07-B0AB-410D-9300-D9BFF7F272AA}"/>
    <cellStyle name="Migliaia 39 6 3 5" xfId="9708" xr:uid="{C30EE54E-4E8B-4880-B0FA-B379BA110C31}"/>
    <cellStyle name="Migliaia 39 6 4" xfId="20563" xr:uid="{A8A9E057-9319-4335-8F98-076680C72397}"/>
    <cellStyle name="Migliaia 39 6 4 2" xfId="39558" xr:uid="{2958291C-F758-4756-B236-DC407CE83AB4}"/>
    <cellStyle name="Migliaia 39 6 4 3" xfId="44860" xr:uid="{F987B816-516A-4727-A6E3-B34D8558C560}"/>
    <cellStyle name="Migliaia 39 6 4 4" xfId="34015" xr:uid="{73A91605-88FC-495A-98C4-492C18F58369}"/>
    <cellStyle name="Migliaia 39 6 5" xfId="36964" xr:uid="{F6102AB9-9FE7-4040-8E4F-AB1A04AD8378}"/>
    <cellStyle name="Migliaia 39 6 6" xfId="42209" xr:uid="{068AC0C8-DBCD-4046-8336-9AF53D99C99F}"/>
    <cellStyle name="Migliaia 39 6 7" xfId="16519" xr:uid="{04C26E5F-2985-43EB-A245-ED0D9ECD4727}"/>
    <cellStyle name="Migliaia 39 6 8" xfId="7482" xr:uid="{A17F5E17-D773-4275-9646-8322CE3B37D5}"/>
    <cellStyle name="Migliaia 39 7" xfId="3630" xr:uid="{82A18DBE-59BD-46DC-98DB-99D492101250}"/>
    <cellStyle name="Migliaia 39 7 2" xfId="5356" xr:uid="{DA87A8CF-90FB-4A7D-AD23-105EA91FA17A}"/>
    <cellStyle name="Migliaia 39 7 2 2" xfId="35352" xr:uid="{BEC030A8-4D18-4231-91A0-C32C37F99C49}"/>
    <cellStyle name="Migliaia 39 7 2 2 2" xfId="40512" xr:uid="{0E0AD2E7-F2BB-4E16-9AF0-B198D1DCC8AF}"/>
    <cellStyle name="Migliaia 39 7 2 2 3" xfId="45814" xr:uid="{AE95AA1C-DF59-4D32-A411-7258A53DE069}"/>
    <cellStyle name="Migliaia 39 7 2 3" xfId="37861" xr:uid="{3C8948DB-2C51-4DB8-A3B0-6808667174D5}"/>
    <cellStyle name="Migliaia 39 7 2 4" xfId="43163" xr:uid="{839B97BA-AA1B-43EC-8328-666DF0EB2393}"/>
    <cellStyle name="Migliaia 39 7 2 5" xfId="14275" xr:uid="{12A75E09-3D47-42FD-9942-0167A6C150E3}"/>
    <cellStyle name="Migliaia 39 7 3" xfId="6547" xr:uid="{0F867A8B-A7FE-487B-B26E-FCC82FE16BD7}"/>
    <cellStyle name="Migliaia 39 7 3 2" xfId="39559" xr:uid="{A75D98E2-9B2F-4325-8C44-913C569A15B2}"/>
    <cellStyle name="Migliaia 39 7 3 3" xfId="44861" xr:uid="{12151E66-5E80-40E6-B170-D8157BE44729}"/>
    <cellStyle name="Migliaia 39 7 3 4" xfId="34016" xr:uid="{049A42E8-7D0D-4D71-BF1B-42E9D778793A}"/>
    <cellStyle name="Migliaia 39 7 3 5" xfId="20565" xr:uid="{90117E44-DF07-495D-9F51-83D4C09A0534}"/>
    <cellStyle name="Migliaia 39 7 4" xfId="36965" xr:uid="{8E9CEB3E-B9AD-4CDA-9A5B-57B8E595DEA1}"/>
    <cellStyle name="Migliaia 39 7 5" xfId="42210" xr:uid="{BA7C80D4-4340-49AC-8CE2-5AB878D2689B}"/>
    <cellStyle name="Migliaia 39 7 6" xfId="16521" xr:uid="{A80DA12A-5D30-4F9A-AE76-ACC407C0601C}"/>
    <cellStyle name="Migliaia 39 7 7" xfId="8337" xr:uid="{11BFD40C-4975-402D-9117-BD044F07A0CB}"/>
    <cellStyle name="Migliaia 39 8" xfId="3631" xr:uid="{A2F0EDE6-0149-4EE1-A70E-AA7E987C56F9}"/>
    <cellStyle name="Migliaia 39 8 2" xfId="5357" xr:uid="{0AD2B88F-1264-482C-9648-81191E107CA2}"/>
    <cellStyle name="Migliaia 39 8 2 2" xfId="35353" xr:uid="{F4D8556C-B2C5-42B2-9F68-F0A898E44483}"/>
    <cellStyle name="Migliaia 39 8 2 2 2" xfId="40513" xr:uid="{8FDBEBD1-8EBE-4044-A29B-791446292DF5}"/>
    <cellStyle name="Migliaia 39 8 2 2 3" xfId="45815" xr:uid="{85AA7121-13EC-41AD-8D92-6442E70D0803}"/>
    <cellStyle name="Migliaia 39 8 2 3" xfId="37862" xr:uid="{85DE8175-4AA1-4D8B-B5CA-7B7840BDCF8A}"/>
    <cellStyle name="Migliaia 39 8 2 4" xfId="43164" xr:uid="{15599CD8-49FD-408F-9616-62698F499143}"/>
    <cellStyle name="Migliaia 39 8 2 5" xfId="13980" xr:uid="{3E1F3A79-01FC-477D-841C-0FB4A11D9CF9}"/>
    <cellStyle name="Migliaia 39 8 3" xfId="6548" xr:uid="{22BCE63F-6CC8-4055-ADFF-3ADDAEB822E7}"/>
    <cellStyle name="Migliaia 39 8 3 2" xfId="39560" xr:uid="{B8C6DF32-F706-4E88-85DC-3E8CC4546B14}"/>
    <cellStyle name="Migliaia 39 8 3 3" xfId="44862" xr:uid="{7C1B54BF-80F9-4C3B-B289-79643A49D065}"/>
    <cellStyle name="Migliaia 39 8 3 4" xfId="34017" xr:uid="{571BA963-EED5-49B3-9EB2-5EA562647D84}"/>
    <cellStyle name="Migliaia 39 8 3 5" xfId="20566" xr:uid="{23619E70-F5F4-4BCC-85C8-39D41472FB67}"/>
    <cellStyle name="Migliaia 39 8 4" xfId="36966" xr:uid="{010E339A-87F5-4723-91BC-A2B7E537AE29}"/>
    <cellStyle name="Migliaia 39 8 5" xfId="42211" xr:uid="{B2C67D41-45FA-43AB-898D-92406C0FA79A}"/>
    <cellStyle name="Migliaia 39 8 6" xfId="16522" xr:uid="{408E5172-9DF1-42EC-B5BE-A1AC65FAEA6A}"/>
    <cellStyle name="Migliaia 39 8 7" xfId="7950" xr:uid="{1AF03328-BA63-44AB-9DC3-568A9AE20D42}"/>
    <cellStyle name="Migliaia 39 9" xfId="5342" xr:uid="{E6D4DAFF-BA00-4F48-B80D-EF6E928434BE}"/>
    <cellStyle name="Migliaia 39 9 2" xfId="34018" xr:uid="{51763DFF-9273-4B66-859E-489D60479BCB}"/>
    <cellStyle name="Migliaia 39 9 2 2" xfId="39561" xr:uid="{DCE75DC5-DCC8-438F-A8FB-177B5EA6C517}"/>
    <cellStyle name="Migliaia 39 9 2 3" xfId="44863" xr:uid="{23D143BE-FD4B-4260-8210-FD3D81284AE5}"/>
    <cellStyle name="Migliaia 39 9 3" xfId="36967" xr:uid="{74223B91-4DEC-4570-9550-E1ED963835A7}"/>
    <cellStyle name="Migliaia 39 9 4" xfId="42212" xr:uid="{CFA851EC-438A-46A7-8700-EDBED71E256E}"/>
    <cellStyle name="Migliaia 39 9 5" xfId="17199" xr:uid="{9D046696-4DD5-4928-8657-91A3FD862588}"/>
    <cellStyle name="Migliaia 4" xfId="433" xr:uid="{00000000-0005-0000-0000-0000E8030000}"/>
    <cellStyle name="Migliaia 4 10" xfId="6549" xr:uid="{DB540070-4EF7-48DE-A8AD-946941EEDE68}"/>
    <cellStyle name="Migliaia 4 10 2" xfId="39562" xr:uid="{D2708D79-F514-417F-A280-EB0ACD156966}"/>
    <cellStyle name="Migliaia 4 10 3" xfId="44864" xr:uid="{604FB403-4614-49C5-8DD8-57AA8A640A91}"/>
    <cellStyle name="Migliaia 4 10 4" xfId="34019" xr:uid="{A71707B0-D5F1-4772-BBFE-E117929C7C9B}"/>
    <cellStyle name="Migliaia 4 10 5" xfId="20567" xr:uid="{1BF2F3DD-C91C-4DA9-BF4F-4DD1C94B873E}"/>
    <cellStyle name="Migliaia 4 11" xfId="3632" xr:uid="{C36E57AC-11D2-46E4-AB60-52C866218C4B}"/>
    <cellStyle name="Migliaia 4 11 2" xfId="36968" xr:uid="{94D8ECD5-FC5C-4B88-A01B-3DE832EE9A43}"/>
    <cellStyle name="Migliaia 4 12" xfId="42213" xr:uid="{0092C8C3-0AFA-4899-B5A9-295D776B9B8A}"/>
    <cellStyle name="Migliaia 4 13" xfId="7141" xr:uid="{5A6952B7-A356-465F-B157-77B984BFF7EE}"/>
    <cellStyle name="Migliaia 4 2" xfId="434" xr:uid="{00000000-0005-0000-0000-0000E9030000}"/>
    <cellStyle name="Migliaia 4 2 2" xfId="1821" xr:uid="{00000000-0005-0000-0000-0000EA030000}"/>
    <cellStyle name="Migliaia 4 2 2 2" xfId="5360" xr:uid="{76765C3C-1981-4C1C-97B3-17F46F0C3222}"/>
    <cellStyle name="Migliaia 4 2 2 2 2" xfId="14396" xr:uid="{8929BF24-07F1-49DC-BBDA-F0E90C3337F7}"/>
    <cellStyle name="Migliaia 4 2 2 2 2 2" xfId="39563" xr:uid="{A55996E7-9E56-4FA0-989F-85EAF06C7DE9}"/>
    <cellStyle name="Migliaia 4 2 2 2 2 3" xfId="44865" xr:uid="{5BDC5C03-EA0A-4857-8CDB-D698A75A9A07}"/>
    <cellStyle name="Migliaia 4 2 2 2 3" xfId="18461" xr:uid="{CE08D9BC-EC67-4DAE-9F39-D48652D19E9F}"/>
    <cellStyle name="Migliaia 4 2 2 2 4" xfId="20570" xr:uid="{1B0FC064-3F0E-491A-9923-C38ADE8AA107}"/>
    <cellStyle name="Migliaia 4 2 2 2 4 2" xfId="42214" xr:uid="{962E0D17-97A4-4F1F-8E43-4D4BEA00E23F}"/>
    <cellStyle name="Migliaia 4 2 2 2 5" xfId="16523" xr:uid="{ECDEDC01-2C26-44C0-97E8-85C89D393ECF}"/>
    <cellStyle name="Migliaia 4 2 2 2 6" xfId="8679" xr:uid="{6A7585A2-30D1-4883-8A69-AE043D809EA4}"/>
    <cellStyle name="Migliaia 4 2 2 3" xfId="6551" xr:uid="{E4E3D661-6755-49EF-9FCD-D076E10CBF93}"/>
    <cellStyle name="Migliaia 4 2 2 3 2" xfId="35354" xr:uid="{FD4ABA22-B9D1-4784-847F-31351E264B21}"/>
    <cellStyle name="Migliaia 4 2 2 3 2 2" xfId="40514" xr:uid="{54A2E82A-5FF1-4550-8B6D-E2B536535072}"/>
    <cellStyle name="Migliaia 4 2 2 3 2 3" xfId="45816" xr:uid="{BAD5BE37-7E91-48FA-907B-4ECE2E2799DF}"/>
    <cellStyle name="Migliaia 4 2 2 3 3" xfId="37863" xr:uid="{AA691E95-7489-4702-9513-55C882B0D203}"/>
    <cellStyle name="Migliaia 4 2 2 3 4" xfId="43165" xr:uid="{38D5B556-FF62-44EA-8122-9DD6E6A6B9CA}"/>
    <cellStyle name="Migliaia 4 2 2 3 5" xfId="11623" xr:uid="{7F0B7A18-5C90-42F4-AF89-D6CBFA3DC851}"/>
    <cellStyle name="Migliaia 4 2 2 4" xfId="3634" xr:uid="{43A942F3-EA15-4179-9350-7A3D01F04B89}"/>
    <cellStyle name="Migliaia 4 2 2 4 2" xfId="21533" xr:uid="{6B7963BB-0A2F-42E0-A689-5928554A48D1}"/>
    <cellStyle name="Migliaia 4 2 2 4 3" xfId="32297" xr:uid="{FBCC89FC-A132-4C8C-ACAD-AC40716FD256}"/>
    <cellStyle name="Migliaia 4 2 2 4 4" xfId="50548" xr:uid="{9885ED8D-7E68-43BD-B0DD-742ED2390B84}"/>
    <cellStyle name="Migliaia 4 2 2 4 5" xfId="53564" xr:uid="{4A5DDAD4-8678-404B-9D62-094BED4A51D8}"/>
    <cellStyle name="Migliaia 4 2 2 4 6" xfId="10898" xr:uid="{952256CD-A1E1-4868-8660-B9669EB52F57}"/>
    <cellStyle name="Migliaia 4 2 2 5" xfId="20569" xr:uid="{DF098DC7-23FA-4A9A-AB3B-6CEADBBC26E9}"/>
    <cellStyle name="Migliaia 4 2 2 6" xfId="24924" xr:uid="{FCC49594-4FB4-4C9B-A628-27802751C64C}"/>
    <cellStyle name="Migliaia 4 2 2 7" xfId="7489" xr:uid="{86EFA997-82F2-42BB-AB11-FF15F204BD14}"/>
    <cellStyle name="Migliaia 4 2 3" xfId="3635" xr:uid="{F7E57930-5846-43E6-B8DE-8AD9898220B1}"/>
    <cellStyle name="Migliaia 4 2 3 2" xfId="5361" xr:uid="{36A04C13-DB88-48A6-B93F-8DEEA38D88CD}"/>
    <cellStyle name="Migliaia 4 2 3 2 2" xfId="35355" xr:uid="{2A52EA7E-B279-4E8F-8D7D-9FB2C0098A63}"/>
    <cellStyle name="Migliaia 4 2 3 2 2 2" xfId="40515" xr:uid="{9630A37C-F318-4A60-A553-9CD4F0972BFB}"/>
    <cellStyle name="Migliaia 4 2 3 2 2 3" xfId="45817" xr:uid="{84B28D83-42A9-4964-B591-C33DFBD5E821}"/>
    <cellStyle name="Migliaia 4 2 3 2 3" xfId="37864" xr:uid="{695636CD-B706-46E6-9F90-96FD1BD522A1}"/>
    <cellStyle name="Migliaia 4 2 3 2 4" xfId="43166" xr:uid="{BE3816C2-DC07-4E4B-BA07-2577E4851207}"/>
    <cellStyle name="Migliaia 4 2 3 2 5" xfId="14279" xr:uid="{E093660E-E65D-41A9-BFC0-1D351F6CE225}"/>
    <cellStyle name="Migliaia 4 2 3 3" xfId="6552" xr:uid="{9E4ED60E-1A9C-4BDF-8CAA-A9C9203A586D}"/>
    <cellStyle name="Migliaia 4 2 3 3 2" xfId="39564" xr:uid="{1CE1A29F-CC36-4473-809B-F7A92A6EFF28}"/>
    <cellStyle name="Migliaia 4 2 3 3 3" xfId="44866" xr:uid="{74B01060-35C9-4106-AE9F-0B41F9053EE0}"/>
    <cellStyle name="Migliaia 4 2 3 3 4" xfId="34021" xr:uid="{692A0E3C-8CE4-4053-958C-713C90334556}"/>
    <cellStyle name="Migliaia 4 2 3 3 5" xfId="20571" xr:uid="{0268FB34-E835-4CBB-93D6-40CE9090D5D0}"/>
    <cellStyle name="Migliaia 4 2 3 4" xfId="36970" xr:uid="{2C34B115-CBF8-440A-A497-51EF7D0A6C7B}"/>
    <cellStyle name="Migliaia 4 2 3 5" xfId="42215" xr:uid="{851857B2-9B4A-47BA-9705-EFC1C3561AE8}"/>
    <cellStyle name="Migliaia 4 2 3 6" xfId="16524" xr:uid="{E29F9012-4BB2-4EF3-845B-1CD39C5217FC}"/>
    <cellStyle name="Migliaia 4 2 3 7" xfId="8341" xr:uid="{2E7EBC5F-A23B-45E5-B2EE-99A8C0531A1B}"/>
    <cellStyle name="Migliaia 4 2 4" xfId="5359" xr:uid="{E38673E1-7937-48EF-8B19-67D42262D4FE}"/>
    <cellStyle name="Migliaia 4 2 4 2" xfId="13984" xr:uid="{89D98156-A9FC-4BDF-9407-06E988215D76}"/>
    <cellStyle name="Migliaia 4 2 4 2 2" xfId="39565" xr:uid="{22DA724F-2766-444F-8D9C-2AA9A16E3F95}"/>
    <cellStyle name="Migliaia 4 2 4 2 3" xfId="44867" xr:uid="{AC55D3C4-3F57-46ED-900B-5332618C9010}"/>
    <cellStyle name="Migliaia 4 2 4 3" xfId="18703" xr:uid="{5465AF22-5B6B-4CBC-ACB4-42AC61FFCAC0}"/>
    <cellStyle name="Migliaia 4 2 4 4" xfId="20572" xr:uid="{4A7310D2-ABE4-4EB2-BE45-77DC5EDD7B96}"/>
    <cellStyle name="Migliaia 4 2 4 4 2" xfId="42216" xr:uid="{C1AF2B96-F906-453D-83F0-05C841B30BD9}"/>
    <cellStyle name="Migliaia 4 2 4 5" xfId="16525" xr:uid="{427D5630-98D2-41F0-9EE5-CCFE6BE38FDB}"/>
    <cellStyle name="Migliaia 4 2 4 6" xfId="7955" xr:uid="{6910115A-F89B-4AA3-9EEC-455391C5FCA5}"/>
    <cellStyle name="Migliaia 4 2 5" xfId="6550" xr:uid="{DE1383EE-94CE-4B8F-818C-312F4599F16F}"/>
    <cellStyle name="Migliaia 4 2 5 2" xfId="34023" xr:uid="{A3FE7C9C-994F-4449-BC98-7472A7CC73BC}"/>
    <cellStyle name="Migliaia 4 2 5 2 2" xfId="39566" xr:uid="{27D792CC-D518-4997-BDF0-2F4F8163F614}"/>
    <cellStyle name="Migliaia 4 2 5 2 3" xfId="44868" xr:uid="{E746F8F9-F459-431C-8835-4D1BFE02F782}"/>
    <cellStyle name="Migliaia 4 2 5 3" xfId="36972" xr:uid="{BC0068B3-8392-4F76-A154-ECC5E8FD82DB}"/>
    <cellStyle name="Migliaia 4 2 5 4" xfId="42217" xr:uid="{C8FE7842-6F38-400F-9866-D9A06EA1A537}"/>
    <cellStyle name="Migliaia 4 2 5 5" xfId="13136" xr:uid="{51F81A8C-A8BB-449D-BB75-C57A6F41A34A}"/>
    <cellStyle name="Migliaia 4 2 6" xfId="3633" xr:uid="{6832B15A-A782-41F5-905D-87979449EA21}"/>
    <cellStyle name="Migliaia 4 2 6 2" xfId="34024" xr:uid="{162E9E20-7721-4D81-8217-ED34760B013A}"/>
    <cellStyle name="Migliaia 4 2 6 2 2" xfId="39567" xr:uid="{62FCB0C5-BFB5-456B-9B20-FDE4EEB3BEBE}"/>
    <cellStyle name="Migliaia 4 2 6 2 3" xfId="44869" xr:uid="{4A9296D4-930E-48B6-A5C7-083532283F8B}"/>
    <cellStyle name="Migliaia 4 2 6 3" xfId="36973" xr:uid="{D58618C3-55EB-41C5-8C02-866822F3A6A1}"/>
    <cellStyle name="Migliaia 4 2 6 4" xfId="42218" xr:uid="{75A7A927-E4CC-4F2C-8B76-95CD9BAEE89C}"/>
    <cellStyle name="Migliaia 4 2 6 5" xfId="24928" xr:uid="{46AB8F3E-8DDA-4556-B063-DBDCA7AEC820}"/>
    <cellStyle name="Migliaia 4 2 6 6" xfId="20568" xr:uid="{2DC5669A-A766-4E87-A7E6-F1874D5D960E}"/>
    <cellStyle name="Migliaia 4 2 7" xfId="24923" xr:uid="{C00714E2-324E-4CB2-AC44-A2658A5FE018}"/>
    <cellStyle name="Migliaia 4 2 8" xfId="7142" xr:uid="{022E1762-20CF-4B22-B7D8-9988893E859A}"/>
    <cellStyle name="Migliaia 4 3" xfId="435" xr:uid="{00000000-0005-0000-0000-0000EB030000}"/>
    <cellStyle name="Migliaia 4 3 10" xfId="24929" xr:uid="{3843D638-F1F8-40DC-BE61-58DE5D8D1C6A}"/>
    <cellStyle name="Migliaia 4 3 11" xfId="16526" xr:uid="{63AA3807-68A7-406A-A297-D0E573524CF8}"/>
    <cellStyle name="Migliaia 4 3 12" xfId="7143" xr:uid="{7F4B1077-3739-4E57-8B85-AAD43705A6FD}"/>
    <cellStyle name="Migliaia 4 3 2" xfId="436" xr:uid="{00000000-0005-0000-0000-0000EC030000}"/>
    <cellStyle name="Migliaia 4 3 2 2" xfId="1822" xr:uid="{00000000-0005-0000-0000-0000ED030000}"/>
    <cellStyle name="Migliaia 4 3 2 2 2" xfId="5364" xr:uid="{25E452A3-3B9C-4355-8D98-DD87FCFA4FE1}"/>
    <cellStyle name="Migliaia 4 3 2 2 2 2" xfId="18462" xr:uid="{8848A93C-C58F-4DE8-942B-791F160B320D}"/>
    <cellStyle name="Migliaia 4 3 2 2 2 2 2" xfId="21874" xr:uid="{8E696A4D-3BFA-42D6-A3B2-7B0380E98BD1}"/>
    <cellStyle name="Migliaia 4 3 2 2 2 2 2 2" xfId="39568" xr:uid="{46280DD1-8832-40CE-A7E6-A6B8A74A0453}"/>
    <cellStyle name="Migliaia 4 3 2 2 2 2 3" xfId="44870" xr:uid="{4896D924-E44D-4A15-A37C-74FAAF193E2C}"/>
    <cellStyle name="Migliaia 4 3 2 2 2 2 4" xfId="34025" xr:uid="{A9DE0449-94C7-4BA8-8055-3AE88D863CF2}"/>
    <cellStyle name="Migliaia 4 3 2 2 2 3" xfId="36974" xr:uid="{2B22D150-6F08-4596-9EB0-849DF4F683B9}"/>
    <cellStyle name="Migliaia 4 3 2 2 2 4" xfId="42219" xr:uid="{30994076-DFA4-428E-AD2F-AA2696BA7DAE}"/>
    <cellStyle name="Migliaia 4 3 2 2 2 5" xfId="47077" xr:uid="{A7EEC294-4380-4F32-B501-A4E895609912}"/>
    <cellStyle name="Migliaia 4 3 2 2 2 6" xfId="50902" xr:uid="{8FA62D2D-9DEB-4A44-BDDF-8C1DF0DE8BDE}"/>
    <cellStyle name="Migliaia 4 3 2 2 2 7" xfId="53918" xr:uid="{6FBDC66D-1214-4B04-9F98-14F801335019}"/>
    <cellStyle name="Migliaia 4 3 2 2 2 8" xfId="17672" xr:uid="{C014CCC7-666B-4AFA-B7C2-2FC612FFD601}"/>
    <cellStyle name="Migliaia 4 3 2 2 2 9" xfId="12019" xr:uid="{0F1EBFA7-3D21-42A3-80D8-0E34463CB6B2}"/>
    <cellStyle name="Migliaia 4 3 2 2 3" xfId="6555" xr:uid="{29E95BFE-1ACC-4CEC-96F9-40C385B695CD}"/>
    <cellStyle name="Migliaia 4 3 2 2 3 2" xfId="11140" xr:uid="{2E0261E5-2181-4997-9E1D-653A04854D3A}"/>
    <cellStyle name="Migliaia 4 3 2 2 4" xfId="3638" xr:uid="{AB48C4E7-AA3F-46EB-892F-F1915196FE97}"/>
    <cellStyle name="Migliaia 4 3 2 2 4 2" xfId="21534" xr:uid="{B46E015F-F9B9-4689-B3D2-27458E3D8434}"/>
    <cellStyle name="Migliaia 4 3 2 2 4 3" xfId="46256" xr:uid="{05C60CF1-2EB7-4790-BBC8-0A6FB604C308}"/>
    <cellStyle name="Migliaia 4 3 2 2 4 4" xfId="50549" xr:uid="{4D3234BA-3698-4D34-8BC8-152A68E64336}"/>
    <cellStyle name="Migliaia 4 3 2 2 4 5" xfId="53565" xr:uid="{363163DE-6B31-47D2-B95A-43D15FAB2DDD}"/>
    <cellStyle name="Migliaia 4 3 2 2 4 6" xfId="10899" xr:uid="{903EC674-6DE6-4431-9B86-136F183AEA94}"/>
    <cellStyle name="Migliaia 4 3 2 2 5" xfId="20575" xr:uid="{B59F5069-2E16-4ACE-BE2B-0359021A0E09}"/>
    <cellStyle name="Migliaia 4 3 2 2 6" xfId="24931" xr:uid="{CB491A96-DFB8-4E84-A138-4B90ADA2F54F}"/>
    <cellStyle name="Migliaia 4 3 2 2 7" xfId="8681" xr:uid="{F9D15335-FF81-4FC5-903E-0E8E4730EF97}"/>
    <cellStyle name="Migliaia 4 3 2 3" xfId="5363" xr:uid="{D086087F-CD5A-4557-AC3A-36ADED505D28}"/>
    <cellStyle name="Migliaia 4 3 2 3 2" xfId="11106" xr:uid="{5B39951B-EB35-4369-BB58-4460B8AE16C5}"/>
    <cellStyle name="Migliaia 4 3 2 3 2 2" xfId="39569" xr:uid="{CD70F68B-D50B-4E07-9DEE-CF98F7DEA476}"/>
    <cellStyle name="Migliaia 4 3 2 3 2 3" xfId="44871" xr:uid="{F813B4A2-252E-4130-B67C-10BD9B338CD7}"/>
    <cellStyle name="Migliaia 4 3 2 3 2 4" xfId="34026" xr:uid="{791991A0-569E-44E4-B0D3-A29B24837ADC}"/>
    <cellStyle name="Migliaia 4 3 2 3 3" xfId="12020" xr:uid="{17CCDCF0-25E6-49DE-A538-5BF0E24CFFDC}"/>
    <cellStyle name="Migliaia 4 3 2 3 4" xfId="20576" xr:uid="{94C54D21-5D6E-4A7A-8A8D-6FA739E6B316}"/>
    <cellStyle name="Migliaia 4 3 2 3 4 2" xfId="42220" xr:uid="{F7736415-6ED9-4C29-91FB-DB054DA8A143}"/>
    <cellStyle name="Migliaia 4 3 2 3 5" xfId="16527" xr:uid="{9BD9B504-CFAA-4C4F-863A-B0F978C26C9A}"/>
    <cellStyle name="Migliaia 4 3 2 3 6" xfId="7957" xr:uid="{F4575712-2E92-4759-8C42-98D55EF80B2D}"/>
    <cellStyle name="Migliaia 4 3 2 4" xfId="6554" xr:uid="{AEE7FDB2-2C73-48F7-85E1-2BB93D89D385}"/>
    <cellStyle name="Migliaia 4 3 2 4 2" xfId="18090" xr:uid="{83752B35-BDEF-4666-83C2-122BA91E646B}"/>
    <cellStyle name="Migliaia 4 3 2 4 2 2" xfId="39570" xr:uid="{2364D572-FD72-4429-BDBB-F8B0322CE405}"/>
    <cellStyle name="Migliaia 4 3 2 4 2 3" xfId="44872" xr:uid="{0E034DF0-3227-4DDC-9519-5A399A80988D}"/>
    <cellStyle name="Migliaia 4 3 2 4 3" xfId="36976" xr:uid="{AF3CD104-30AA-4D63-A673-744149B042B1}"/>
    <cellStyle name="Migliaia 4 3 2 4 4" xfId="42221" xr:uid="{C8B183E7-20B2-4378-BDC0-07FE48500E39}"/>
    <cellStyle name="Migliaia 4 3 2 4 5" xfId="17202" xr:uid="{176EE5A3-70DC-4F6E-9D34-97C2EDDE6503}"/>
    <cellStyle name="Migliaia 4 3 2 4 6" xfId="11368" xr:uid="{C9531B89-67EA-46BB-BB7C-D03975CDB15B}"/>
    <cellStyle name="Migliaia 4 3 2 5" xfId="3637" xr:uid="{774A102B-68E8-4C44-80FF-05E09A4A2734}"/>
    <cellStyle name="Migliaia 4 3 2 5 2" xfId="34028" xr:uid="{DE3B779C-C6B5-48CA-922C-FEFEA5F8EF1A}"/>
    <cellStyle name="Migliaia 4 3 2 5 2 2" xfId="39571" xr:uid="{A4635BA2-355E-4310-ADA0-3749EB0C7401}"/>
    <cellStyle name="Migliaia 4 3 2 5 2 3" xfId="44873" xr:uid="{9237FFD7-22A1-42FE-B2B8-5802B7904CF4}"/>
    <cellStyle name="Migliaia 4 3 2 5 3" xfId="36977" xr:uid="{DC87D592-E889-430C-9E45-79085D12BE59}"/>
    <cellStyle name="Migliaia 4 3 2 5 4" xfId="42222" xr:uid="{F970A323-234A-45F4-A59E-DC955C3B45D4}"/>
    <cellStyle name="Migliaia 4 3 2 5 5" xfId="17327" xr:uid="{3FFB2BBE-9DA8-45BD-BC44-AA7F37EAF666}"/>
    <cellStyle name="Migliaia 4 3 2 6" xfId="20574" xr:uid="{886D7817-6F2A-48D0-9EF1-41A101057F95}"/>
    <cellStyle name="Migliaia 4 3 2 6 2" xfId="34029" xr:uid="{1279C7DF-8454-43F5-8308-E2AEC4257AFA}"/>
    <cellStyle name="Migliaia 4 3 2 6 2 2" xfId="39572" xr:uid="{2D0BC3F3-D423-4DAD-9F45-BD957D935002}"/>
    <cellStyle name="Migliaia 4 3 2 6 2 3" xfId="44874" xr:uid="{80E100C9-C12A-4E3C-85A4-01F9B34A9E73}"/>
    <cellStyle name="Migliaia 4 3 2 6 3" xfId="36978" xr:uid="{A9C2E821-3C5F-4E25-BD8E-4AF65D491597}"/>
    <cellStyle name="Migliaia 4 3 2 6 4" xfId="42223" xr:uid="{4743FF33-217B-40E5-A83B-6317DE4B53CB}"/>
    <cellStyle name="Migliaia 4 3 2 6 5" xfId="24936" xr:uid="{8B699951-70BA-46B0-A14E-825D7CB0A9BC}"/>
    <cellStyle name="Migliaia 4 3 2 7" xfId="24930" xr:uid="{E04CE2AF-86BC-42A4-BCB1-8A35AC9E3A29}"/>
    <cellStyle name="Migliaia 4 3 2 8" xfId="7491" xr:uid="{AEE93DA5-1050-4A30-9FAA-A0FFF160C37B}"/>
    <cellStyle name="Migliaia 4 3 3" xfId="3639" xr:uid="{C4F61EC8-F582-4632-A73E-E51258D72703}"/>
    <cellStyle name="Migliaia 4 3 3 10" xfId="7490" xr:uid="{B0E6D4C6-6BCB-4AAA-B161-248EEFCF1138}"/>
    <cellStyle name="Migliaia 4 3 3 2" xfId="5365" xr:uid="{CDC579E7-863B-43D4-8CF8-79DBB15CD936}"/>
    <cellStyle name="Migliaia 4 3 3 2 2" xfId="9948" xr:uid="{3B7EE5D0-0A47-4776-B94F-5667AAD01E8F}"/>
    <cellStyle name="Migliaia 4 3 3 2 2 2" xfId="39574" xr:uid="{25177448-773C-4EB9-89CF-D6122FAC6070}"/>
    <cellStyle name="Migliaia 4 3 3 2 2 3" xfId="44876" xr:uid="{0417A4A9-DF3C-4B3E-99DD-984F974741A1}"/>
    <cellStyle name="Migliaia 4 3 3 2 3" xfId="18228" xr:uid="{3B1A4B3C-35A7-483C-AEEC-ED89616F4687}"/>
    <cellStyle name="Migliaia 4 3 3 2 4" xfId="20578" xr:uid="{45E0265A-B3FF-4B11-ACEF-81BA36C4BC32}"/>
    <cellStyle name="Migliaia 4 3 3 2 4 2" xfId="42225" xr:uid="{E4F561D0-4356-4DF8-ADBD-54B2D19B044F}"/>
    <cellStyle name="Migliaia 4 3 3 2 5" xfId="16529" xr:uid="{EC601D55-992B-454E-B4C3-80A35020E2C5}"/>
    <cellStyle name="Migliaia 4 3 3 2 6" xfId="8680" xr:uid="{03026B3E-E62C-4710-BBD1-F076511354F6}"/>
    <cellStyle name="Migliaia 4 3 3 3" xfId="6556" xr:uid="{51A59EB4-55BD-49CC-BCD1-67E815F6EFE6}"/>
    <cellStyle name="Migliaia 4 3 3 3 2" xfId="34032" xr:uid="{4EC25BCF-50BE-48A9-A650-5AAF6A4C3803}"/>
    <cellStyle name="Migliaia 4 3 3 3 2 2" xfId="39575" xr:uid="{A9534F89-B318-43A4-9B0B-FD3DD0082F99}"/>
    <cellStyle name="Migliaia 4 3 3 3 2 3" xfId="44877" xr:uid="{F730985D-37E4-48CE-B668-F8C10E4253FB}"/>
    <cellStyle name="Migliaia 4 3 3 3 3" xfId="36981" xr:uid="{96A5193E-148D-40FF-B4E4-49403D97C066}"/>
    <cellStyle name="Migliaia 4 3 3 3 4" xfId="42226" xr:uid="{D975E420-A041-4307-8525-F6D2FAA470E4}"/>
    <cellStyle name="Migliaia 4 3 3 3 5" xfId="9711" xr:uid="{D56218E9-81A6-4B9D-AE39-61ECFC055202}"/>
    <cellStyle name="Migliaia 4 3 3 4" xfId="20577" xr:uid="{734CE600-5C78-4F01-BE4D-CFE4D272979C}"/>
    <cellStyle name="Migliaia 4 3 3 4 2" xfId="34033" xr:uid="{28976844-DCD2-4111-A062-3ED98036064D}"/>
    <cellStyle name="Migliaia 4 3 3 4 2 2" xfId="39576" xr:uid="{41C3A809-69ED-4E13-AD99-1EC109662BEE}"/>
    <cellStyle name="Migliaia 4 3 3 4 2 3" xfId="44878" xr:uid="{FE867912-E0F4-4A0C-8A49-5B72209BF989}"/>
    <cellStyle name="Migliaia 4 3 3 4 3" xfId="36982" xr:uid="{5C28F7F2-3F7B-41AD-91FC-8C99F037FAD0}"/>
    <cellStyle name="Migliaia 4 3 3 4 4" xfId="42227" xr:uid="{F619E393-6BAC-4CB5-9E2E-36A98ED5E234}"/>
    <cellStyle name="Migliaia 4 3 3 4 5" xfId="24940" xr:uid="{58D3E28D-EAF0-4792-AFFF-4575C0BF4FB8}"/>
    <cellStyle name="Migliaia 4 3 3 5" xfId="24941" xr:uid="{BE168DA0-BA56-4DA5-9808-80C0E6F4B17B}"/>
    <cellStyle name="Migliaia 4 3 3 5 2" xfId="34034" xr:uid="{33E15E2F-F3F3-4B65-883B-C35032792348}"/>
    <cellStyle name="Migliaia 4 3 3 5 2 2" xfId="39577" xr:uid="{CE7B87DA-0D5D-401B-9AD1-F432394E044D}"/>
    <cellStyle name="Migliaia 4 3 3 5 2 3" xfId="44879" xr:uid="{96AC4F55-E963-4513-98B2-2A0DF3078216}"/>
    <cellStyle name="Migliaia 4 3 3 5 3" xfId="36983" xr:uid="{F0EA5557-CDEE-4BEE-9137-9B1C2EFD9F49}"/>
    <cellStyle name="Migliaia 4 3 3 5 4" xfId="42228" xr:uid="{CB647618-1877-46DE-924B-06DB6CE371F0}"/>
    <cellStyle name="Migliaia 4 3 3 6" xfId="34030" xr:uid="{F4397DC5-186D-4E34-A5A9-3B97B97B6789}"/>
    <cellStyle name="Migliaia 4 3 3 6 2" xfId="39573" xr:uid="{89C79B57-B07F-42FD-A355-DE9887899A2B}"/>
    <cellStyle name="Migliaia 4 3 3 6 3" xfId="44875" xr:uid="{518617BB-E961-4D2A-B498-DD6951533D86}"/>
    <cellStyle name="Migliaia 4 3 3 7" xfId="36979" xr:uid="{F81C0AE3-2720-4A35-B029-FEC437C55656}"/>
    <cellStyle name="Migliaia 4 3 3 8" xfId="42224" xr:uid="{BACB0650-06EB-4C29-9BC4-BEA759F3DFA0}"/>
    <cellStyle name="Migliaia 4 3 3 9" xfId="16528" xr:uid="{BABCF931-CF73-4635-8E83-183AF9883DAB}"/>
    <cellStyle name="Migliaia 4 3 4" xfId="3640" xr:uid="{18F38CBC-8BCC-4922-890F-12040E12BF7E}"/>
    <cellStyle name="Migliaia 4 3 4 2" xfId="5366" xr:uid="{E67CFD34-9BCD-49EE-8DD6-7B035553830D}"/>
    <cellStyle name="Migliaia 4 3 4 2 2" xfId="14456" xr:uid="{78D105C2-AD9A-4F14-B027-B2C5FC7186D0}"/>
    <cellStyle name="Migliaia 4 3 4 2 3" xfId="18580" xr:uid="{6DC025C6-05AD-4AF9-8CA5-1E1CE4D3609A}"/>
    <cellStyle name="Migliaia 4 3 4 2 4" xfId="20580" xr:uid="{716102DD-C482-4257-BAE0-23B2038FFED9}"/>
    <cellStyle name="Migliaia 4 3 4 2 5" xfId="32404" xr:uid="{12DAD57C-6559-4AFE-BE9B-E91D1C451D5C}"/>
    <cellStyle name="Migliaia 4 3 4 2 6" xfId="16531" xr:uid="{54220C00-8878-4FFE-8135-F666CA3DCE1A}"/>
    <cellStyle name="Migliaia 4 3 4 2 7" xfId="8879" xr:uid="{AC13CB7A-0794-4E7F-9334-C8CD1CEE4427}"/>
    <cellStyle name="Migliaia 4 3 4 3" xfId="6557" xr:uid="{631E5F87-6761-4E87-A9D6-8B080FBB88B3}"/>
    <cellStyle name="Migliaia 4 3 4 3 2" xfId="35356" xr:uid="{3B734706-343D-49D8-B4B9-684B9FC12EE5}"/>
    <cellStyle name="Migliaia 4 3 4 3 2 2" xfId="40516" xr:uid="{D2013CC7-FF87-4DAE-B71F-E57C5B76A110}"/>
    <cellStyle name="Migliaia 4 3 4 3 2 3" xfId="45818" xr:uid="{139E4A9C-8772-4937-98FA-FCC15D7DD1F5}"/>
    <cellStyle name="Migliaia 4 3 4 3 3" xfId="37865" xr:uid="{57452563-1FDE-4FB7-857D-EA4AD9F7A152}"/>
    <cellStyle name="Migliaia 4 3 4 3 4" xfId="43167" xr:uid="{1A3208AD-95CC-41D3-9E7F-9484AD7F9C58}"/>
    <cellStyle name="Migliaia 4 3 4 3 5" xfId="13704" xr:uid="{05004FA1-9C30-49E6-910A-26C0559BE1D5}"/>
    <cellStyle name="Migliaia 4 3 4 4" xfId="20579" xr:uid="{2B98877F-C199-4CED-9F3D-891E1ED5F546}"/>
    <cellStyle name="Migliaia 4 3 4 4 2" xfId="39578" xr:uid="{8B79964E-7CA8-4E44-9A55-1FCA5AFF5E95}"/>
    <cellStyle name="Migliaia 4 3 4 4 3" xfId="44880" xr:uid="{C52DE6A2-15E6-4DCD-8646-16738CA1D1A5}"/>
    <cellStyle name="Migliaia 4 3 4 4 4" xfId="34035" xr:uid="{D77E38E1-0DFA-4C5D-856E-D78A418CD7CA}"/>
    <cellStyle name="Migliaia 4 3 4 5" xfId="36984" xr:uid="{2590269F-74DA-4C1B-AD38-005E5E4AF81F}"/>
    <cellStyle name="Migliaia 4 3 4 6" xfId="42229" xr:uid="{E116304C-1F8C-4EBA-AA0C-092E77DAB3F9}"/>
    <cellStyle name="Migliaia 4 3 4 7" xfId="16530" xr:uid="{A5FD9967-B746-4520-B80F-A39E00902C40}"/>
    <cellStyle name="Migliaia 4 3 4 8" xfId="7689" xr:uid="{D3472088-CF15-4537-99F6-05D253188A4B}"/>
    <cellStyle name="Migliaia 4 3 5" xfId="3641" xr:uid="{D887109D-1C94-4274-BD1D-2AD296DBB16A}"/>
    <cellStyle name="Migliaia 4 3 5 2" xfId="5367" xr:uid="{CF9C5A7D-534C-4310-840D-E9A7F281E376}"/>
    <cellStyle name="Migliaia 4 3 5 2 2" xfId="35357" xr:uid="{FA5A3FE9-83E7-4249-BE34-A4B0A2967A1D}"/>
    <cellStyle name="Migliaia 4 3 5 2 2 2" xfId="40517" xr:uid="{4F7BC34B-6678-404C-A763-D5AAFD269136}"/>
    <cellStyle name="Migliaia 4 3 5 2 2 3" xfId="45819" xr:uid="{B2C7B7E8-9FD5-417B-AB74-6CD84B5927F1}"/>
    <cellStyle name="Migliaia 4 3 5 2 3" xfId="37866" xr:uid="{39132629-D366-449F-8891-E8705C4F8856}"/>
    <cellStyle name="Migliaia 4 3 5 2 4" xfId="43168" xr:uid="{4A51C481-4179-4A97-B5F3-9CABD49FD3A5}"/>
    <cellStyle name="Migliaia 4 3 5 2 5" xfId="14280" xr:uid="{94B1FABE-F20F-4FE3-9AC2-A7F175E111FA}"/>
    <cellStyle name="Migliaia 4 3 5 3" xfId="6558" xr:uid="{D2AA91BB-C8D2-48B9-846E-2D5E9BC1CF94}"/>
    <cellStyle name="Migliaia 4 3 5 3 2" xfId="39579" xr:uid="{9DE59CAD-75E9-4D6F-89A4-C661264ECB19}"/>
    <cellStyle name="Migliaia 4 3 5 3 3" xfId="44881" xr:uid="{F48D507B-BDAA-44CA-B2AF-8598128201A6}"/>
    <cellStyle name="Migliaia 4 3 5 3 4" xfId="34036" xr:uid="{C4C097E1-490D-40B1-97B3-197FBD9E708A}"/>
    <cellStyle name="Migliaia 4 3 5 3 5" xfId="20581" xr:uid="{3EF8CC44-89F9-4471-8420-F79D0458BE42}"/>
    <cellStyle name="Migliaia 4 3 5 4" xfId="36985" xr:uid="{4601004E-831C-4F10-80FA-2EE60CAED393}"/>
    <cellStyle name="Migliaia 4 3 5 5" xfId="42230" xr:uid="{B4CFF321-F168-4AB1-B8FF-56AC6C0B0DDA}"/>
    <cellStyle name="Migliaia 4 3 5 6" xfId="16532" xr:uid="{911C2910-24E9-4037-9DA6-5364FC3A9850}"/>
    <cellStyle name="Migliaia 4 3 5 7" xfId="8342" xr:uid="{0B7A44F7-CE97-44DE-ADF8-FE591747CE05}"/>
    <cellStyle name="Migliaia 4 3 6" xfId="5362" xr:uid="{AF1DC7D3-186F-4992-A3D9-79EAEE59DAB2}"/>
    <cellStyle name="Migliaia 4 3 6 2" xfId="13985" xr:uid="{59093C2D-F4D4-4E24-9101-14A3FD0AC7A5}"/>
    <cellStyle name="Migliaia 4 3 6 2 2" xfId="39580" xr:uid="{774694E2-6056-43A1-BB8B-1002845A3033}"/>
    <cellStyle name="Migliaia 4 3 6 2 3" xfId="44882" xr:uid="{23728D4F-CBB1-4465-A42D-AD2E2CB69AF5}"/>
    <cellStyle name="Migliaia 4 3 6 3" xfId="18702" xr:uid="{32AB7F4A-E1C4-4EDE-8376-463F31CCCF6A}"/>
    <cellStyle name="Migliaia 4 3 6 4" xfId="20582" xr:uid="{5685B875-FC9F-4AD3-8FEC-DFCC68BD506A}"/>
    <cellStyle name="Migliaia 4 3 6 4 2" xfId="42231" xr:uid="{62C73621-EB7D-4510-B7AD-D1163D5F44D7}"/>
    <cellStyle name="Migliaia 4 3 6 5" xfId="16533" xr:uid="{6CF930A3-A242-4133-AFCF-BEE2EACCA537}"/>
    <cellStyle name="Migliaia 4 3 6 6" xfId="7956" xr:uid="{C9EC68B1-9C67-4600-BDC1-75ADF87C4865}"/>
    <cellStyle name="Migliaia 4 3 7" xfId="6553" xr:uid="{0374635D-66E7-4D74-9912-8084B42DB37E}"/>
    <cellStyle name="Migliaia 4 3 7 2" xfId="34038" xr:uid="{D3386157-D575-4EE5-9E0C-54E8384C6427}"/>
    <cellStyle name="Migliaia 4 3 7 2 2" xfId="39581" xr:uid="{30DCA03A-B733-423D-9A46-24AFE27FABDD}"/>
    <cellStyle name="Migliaia 4 3 7 2 3" xfId="44883" xr:uid="{4A18BB65-64CA-4F8D-A08E-055F18C5A17E}"/>
    <cellStyle name="Migliaia 4 3 7 3" xfId="36987" xr:uid="{8BCFA5D8-DD24-49EC-A96F-E4A6A731974B}"/>
    <cellStyle name="Migliaia 4 3 7 4" xfId="42232" xr:uid="{2B93ADB1-FCF9-4109-85E5-636CAC8FA6C5}"/>
    <cellStyle name="Migliaia 4 3 7 5" xfId="12284" xr:uid="{DA27B978-B6E1-403D-AE55-A65AF374A861}"/>
    <cellStyle name="Migliaia 4 3 8" xfId="3636" xr:uid="{6E37D77B-EFA6-4172-9C84-5058D44E2E5A}"/>
    <cellStyle name="Migliaia 4 3 8 2" xfId="34039" xr:uid="{85EFE4A9-FAAE-4A0B-A657-F7EB17014F9C}"/>
    <cellStyle name="Migliaia 4 3 8 2 2" xfId="39582" xr:uid="{27964A03-B563-42E8-8C04-AB6B2DBE3269}"/>
    <cellStyle name="Migliaia 4 3 8 2 3" xfId="44884" xr:uid="{302D2353-D62F-44AF-B369-89AE7746ABF8}"/>
    <cellStyle name="Migliaia 4 3 8 3" xfId="36988" xr:uid="{6907F23E-F2BD-4585-AF45-7229C4D27271}"/>
    <cellStyle name="Migliaia 4 3 8 4" xfId="42233" xr:uid="{A9CE331C-B930-444A-95AB-234340FEAFC6}"/>
    <cellStyle name="Migliaia 4 3 8 5" xfId="24946" xr:uid="{A4D512B0-8AB1-4F36-AFC1-5F3AE1A823D9}"/>
    <cellStyle name="Migliaia 4 3 8 6" xfId="17328" xr:uid="{3D06B50F-8B0E-45E2-BAFF-F1192194683D}"/>
    <cellStyle name="Migliaia 4 3 9" xfId="20573" xr:uid="{58C5BED8-099B-4791-9EAC-DC01178CFEE7}"/>
    <cellStyle name="Migliaia 4 4" xfId="1823" xr:uid="{00000000-0005-0000-0000-0000EE030000}"/>
    <cellStyle name="Migliaia 4 4 2" xfId="1824" xr:uid="{00000000-0005-0000-0000-0000EF030000}"/>
    <cellStyle name="Migliaia 4 4 2 2" xfId="5369" xr:uid="{0A7B6AE2-C82D-4357-BF70-42685159F04C}"/>
    <cellStyle name="Migliaia 4 4 2 2 2" xfId="34040" xr:uid="{84449A1E-C576-40DB-AF7C-6612541370C3}"/>
    <cellStyle name="Migliaia 4 4 2 2 2 2" xfId="39583" xr:uid="{897FF647-8C4A-49D2-9645-E9012CD8CAF3}"/>
    <cellStyle name="Migliaia 4 4 2 2 2 3" xfId="44885" xr:uid="{826FFC1C-39EB-4F2C-8CC5-380E89C56E37}"/>
    <cellStyle name="Migliaia 4 4 2 2 3" xfId="36989" xr:uid="{D43B33A4-B0AE-4C3A-820D-9DADA39ED733}"/>
    <cellStyle name="Migliaia 4 4 2 2 4" xfId="42234" xr:uid="{69EBAD36-F0D7-4449-B767-E90F249466D7}"/>
    <cellStyle name="Migliaia 4 4 2 2 5" xfId="9174" xr:uid="{056E5A88-2461-4585-B1D0-264E98C464DF}"/>
    <cellStyle name="Migliaia 4 4 2 3" xfId="3643" xr:uid="{053F2128-59C7-4FF9-8F12-BBC171429481}"/>
    <cellStyle name="Migliaia 4 4 2 3 2" xfId="34041" xr:uid="{B13C5F29-08C5-4CBC-974C-80706302600B}"/>
    <cellStyle name="Migliaia 4 4 2 3 2 2" xfId="39584" xr:uid="{3F0A4AC7-927B-4E84-AE21-B1F66636A227}"/>
    <cellStyle name="Migliaia 4 4 2 3 2 3" xfId="44886" xr:uid="{E00D8D7A-02B1-4C2C-8B5A-7E5A2916FFCC}"/>
    <cellStyle name="Migliaia 4 4 2 3 3" xfId="36990" xr:uid="{ADDAC1A4-4253-4118-ACA1-04D47FDB88A6}"/>
    <cellStyle name="Migliaia 4 4 2 3 4" xfId="42235" xr:uid="{262E32A9-3612-415B-B22B-5D6D676DEF50}"/>
    <cellStyle name="Migliaia 4 4 2 3 5" xfId="12021" xr:uid="{83F07BAF-DA20-4E91-80A9-797AA8D0F7C0}"/>
    <cellStyle name="Migliaia 4 4 2 4" xfId="11370" xr:uid="{301A8B75-F730-4732-8754-7036EA3E57FB}"/>
    <cellStyle name="Migliaia 4 4 2 5" xfId="10901" xr:uid="{70C527CF-D784-4CB4-AE53-50526D45CEDF}"/>
    <cellStyle name="Migliaia 4 4 2 5 2" xfId="21536" xr:uid="{CD70F500-B85A-4C12-BA0C-E01683D270CC}"/>
    <cellStyle name="Migliaia 4 4 2 5 3" xfId="47116" xr:uid="{726F6E58-5FD3-4C70-B340-9C1FAEA9E58B}"/>
    <cellStyle name="Migliaia 4 4 2 5 4" xfId="50551" xr:uid="{15F1FB2A-448D-4015-AC14-44DA62F535E1}"/>
    <cellStyle name="Migliaia 4 4 2 5 5" xfId="53567" xr:uid="{291E76C8-C732-4DF3-A2B9-135DF88C4F1D}"/>
    <cellStyle name="Migliaia 4 4 2 6" xfId="20584" xr:uid="{BA728E9C-83A5-4215-9F7A-9D39D81D159A}"/>
    <cellStyle name="Migliaia 4 4 2 7" xfId="24948" xr:uid="{08ECD5BA-5A57-4CA6-9D04-C0CB10798CF8}"/>
    <cellStyle name="Migliaia 4 4 2 8" xfId="8682" xr:uid="{06FED83B-C977-4ACE-9D38-C2EE3DC9B026}"/>
    <cellStyle name="Migliaia 4 4 3" xfId="5368" xr:uid="{F07ECBDF-DF21-4AD0-87EA-427071F7F424}"/>
    <cellStyle name="Migliaia 4 4 3 2" xfId="18229" xr:uid="{BCFBA17F-A8B7-4B18-BD98-FDE26AAFBC3F}"/>
    <cellStyle name="Migliaia 4 4 3 2 2" xfId="39585" xr:uid="{98986B2C-594D-4F9A-8BF1-A96247ED0CA9}"/>
    <cellStyle name="Migliaia 4 4 3 2 3" xfId="44887" xr:uid="{662A68D2-BFF7-4C73-82F4-ACF9CF776748}"/>
    <cellStyle name="Migliaia 4 4 3 3" xfId="36991" xr:uid="{CF5AC16A-AA27-4ABC-A104-663F997BD747}"/>
    <cellStyle name="Migliaia 4 4 3 4" xfId="42236" xr:uid="{6735BE25-E760-47E8-9209-33BF996FD366}"/>
    <cellStyle name="Migliaia 4 4 3 5" xfId="17326" xr:uid="{9DE434E5-A5A7-45D1-ABB6-3F8C71457D16}"/>
    <cellStyle name="Migliaia 4 4 3 6" xfId="9175" xr:uid="{7DFE5D0E-77CD-458F-A629-905347A6139F}"/>
    <cellStyle name="Migliaia 4 4 4" xfId="6559" xr:uid="{44E864D9-FFEB-4DBC-8563-D097C8676501}"/>
    <cellStyle name="Migliaia 4 4 4 2" xfId="34043" xr:uid="{185AF2C1-2459-47F4-AD47-6F01130E7592}"/>
    <cellStyle name="Migliaia 4 4 4 2 2" xfId="39586" xr:uid="{EFE9FFBE-A223-4E8A-ABAA-818B403F7422}"/>
    <cellStyle name="Migliaia 4 4 4 2 3" xfId="44888" xr:uid="{15C3ADC0-AB6F-4358-B118-95ADE4207DDA}"/>
    <cellStyle name="Migliaia 4 4 4 3" xfId="36992" xr:uid="{73525AB3-A588-425D-815E-C30287A84F11}"/>
    <cellStyle name="Migliaia 4 4 4 4" xfId="42237" xr:uid="{707E7C6E-17D7-4D8C-B579-6ACC85B97CBC}"/>
    <cellStyle name="Migliaia 4 4 4 5" xfId="12022" xr:uid="{8EAA2108-D2DC-414C-B4F1-878C3F42929D}"/>
    <cellStyle name="Migliaia 4 4 5" xfId="3642" xr:uid="{49E297A0-828B-46EE-910E-632E167F2739}"/>
    <cellStyle name="Migliaia 4 4 5 2" xfId="34044" xr:uid="{52F0852D-F8DD-4763-BB63-959F907063B2}"/>
    <cellStyle name="Migliaia 4 4 5 2 2" xfId="39587" xr:uid="{09BD8BF1-6982-4333-AEDD-33701EDEA182}"/>
    <cellStyle name="Migliaia 4 4 5 2 3" xfId="44889" xr:uid="{95AF467B-5D73-4D64-8D7F-0E7F4828847D}"/>
    <cellStyle name="Migliaia 4 4 5 3" xfId="36993" xr:uid="{64231308-3827-4ECD-BE48-3CDC811E4CB5}"/>
    <cellStyle name="Migliaia 4 4 5 4" xfId="42238" xr:uid="{DCA38B76-7BF1-4245-A62C-7412AFC88828}"/>
    <cellStyle name="Migliaia 4 4 5 5" xfId="11369" xr:uid="{3C686851-C585-4A3F-B57B-C1BE0558020C}"/>
    <cellStyle name="Migliaia 4 4 6" xfId="10900" xr:uid="{905BE364-68A0-4B2E-A5A0-DCCA8E439570}"/>
    <cellStyle name="Migliaia 4 4 6 2" xfId="21535" xr:uid="{8E7FFFFE-DBAC-4B8B-A7DA-EB8798ECA6AA}"/>
    <cellStyle name="Migliaia 4 4 6 2 2" xfId="39588" xr:uid="{5820C5F3-23FF-46D5-9199-4C57B25B89D0}"/>
    <cellStyle name="Migliaia 4 4 6 2 3" xfId="44890" xr:uid="{050F24BB-001A-45AD-BCB1-ED8F926ECA57}"/>
    <cellStyle name="Migliaia 4 4 6 2 4" xfId="34045" xr:uid="{D38D854E-69E8-48A3-876D-0A2D5ED62845}"/>
    <cellStyle name="Migliaia 4 4 6 3" xfId="36994" xr:uid="{1F808397-C613-420A-A746-68DA99A537EB}"/>
    <cellStyle name="Migliaia 4 4 6 4" xfId="42239" xr:uid="{2EE009A0-035F-481E-A7F0-41A014B0F040}"/>
    <cellStyle name="Migliaia 4 4 6 5" xfId="24954" xr:uid="{056DC795-4B6C-407E-95EB-D1BE598DD138}"/>
    <cellStyle name="Migliaia 4 4 6 6" xfId="47308" xr:uid="{DDA4A4DF-E61E-4B2B-9DC7-8E64BF3B9787}"/>
    <cellStyle name="Migliaia 4 4 6 7" xfId="50550" xr:uid="{C6D19D2C-8A0A-4248-9102-B43BC62C0889}"/>
    <cellStyle name="Migliaia 4 4 6 8" xfId="53566" xr:uid="{BDB95807-2CE0-47F1-8213-98695D9AEB8F}"/>
    <cellStyle name="Migliaia 4 4 7" xfId="20583" xr:uid="{58EE3A49-DADD-4E4D-B9E8-99958D84262B}"/>
    <cellStyle name="Migliaia 4 4 7 2" xfId="34046" xr:uid="{5A351417-DE6D-4303-BCAC-89CD7F66F4CE}"/>
    <cellStyle name="Migliaia 4 4 7 2 2" xfId="39589" xr:uid="{0D4C572F-B887-4F03-BCD5-73E5C4B02E68}"/>
    <cellStyle name="Migliaia 4 4 7 2 3" xfId="44891" xr:uid="{178FB839-8FDD-424E-A2B5-0F0FB421BB44}"/>
    <cellStyle name="Migliaia 4 4 7 3" xfId="36995" xr:uid="{62765AED-A694-4C50-B3FE-7A63E4537C1F}"/>
    <cellStyle name="Migliaia 4 4 7 4" xfId="42240" xr:uid="{A369561D-12DE-423B-9AFF-4E1FA555085D}"/>
    <cellStyle name="Migliaia 4 4 7 5" xfId="24955" xr:uid="{EBED3847-7666-45A1-85F5-B316CDB0B931}"/>
    <cellStyle name="Migliaia 4 4 8" xfId="24947" xr:uid="{9631A9B5-3081-4CE8-A57D-A9E645B4AAF9}"/>
    <cellStyle name="Migliaia 4 4 9" xfId="7492" xr:uid="{C566F1C8-5952-40F3-AFF1-E7BB5324ED0C}"/>
    <cellStyle name="Migliaia 4 5" xfId="1825" xr:uid="{00000000-0005-0000-0000-0000F0030000}"/>
    <cellStyle name="Migliaia 4 5 2" xfId="5370" xr:uid="{6A9E9BD3-F75D-4778-BC01-F5822B38C3B1}"/>
    <cellStyle name="Migliaia 4 5 2 2" xfId="18463" xr:uid="{70730FF0-9A0D-4A74-9AFF-C53384E78FDD}"/>
    <cellStyle name="Migliaia 4 5 2 2 2" xfId="39590" xr:uid="{59254C07-CB4C-404C-8EA8-42446F931CDB}"/>
    <cellStyle name="Migliaia 4 5 2 2 3" xfId="44892" xr:uid="{9ACE5E88-E06B-4D4A-992A-8607A3C26793}"/>
    <cellStyle name="Migliaia 4 5 2 3" xfId="20586" xr:uid="{FB723628-09EC-4DA7-831F-5ADFD5F05D3A}"/>
    <cellStyle name="Migliaia 4 5 2 3 2" xfId="36996" xr:uid="{A181843A-430A-4408-BDB4-AA3978D311E5}"/>
    <cellStyle name="Migliaia 4 5 2 4" xfId="42241" xr:uid="{889534C1-2BA1-43C7-82C6-20510E337160}"/>
    <cellStyle name="Migliaia 4 5 2 5" xfId="16534" xr:uid="{D9198CB6-B03D-4527-9898-B1FB38872251}"/>
    <cellStyle name="Migliaia 4 5 2 6" xfId="8683" xr:uid="{24A5F2EC-9357-409E-AF52-60BE043C9ECE}"/>
    <cellStyle name="Migliaia 4 5 3" xfId="6560" xr:uid="{DED86B47-9777-4B51-A0B3-D7DC08A4CF45}"/>
    <cellStyle name="Migliaia 4 5 3 2" xfId="34048" xr:uid="{650A8D9C-5095-43CA-A33A-D92D4CB53C7B}"/>
    <cellStyle name="Migliaia 4 5 3 2 2" xfId="39591" xr:uid="{257977C2-A8C8-43BC-A54F-E39F4EF51B1A}"/>
    <cellStyle name="Migliaia 4 5 3 2 3" xfId="44893" xr:uid="{1F7C7D9E-6602-4303-8AAE-276B026EAA19}"/>
    <cellStyle name="Migliaia 4 5 3 3" xfId="36997" xr:uid="{C61097D2-57A0-4DBB-A7E7-F598E96966B1}"/>
    <cellStyle name="Migliaia 4 5 3 4" xfId="42242" xr:uid="{2B837E3E-8E7B-4CD8-B612-3E3A8FB102D0}"/>
    <cellStyle name="Migliaia 4 5 3 5" xfId="11371" xr:uid="{C171332B-4F7C-4256-BF35-163AC4617C0D}"/>
    <cellStyle name="Migliaia 4 5 4" xfId="3644" xr:uid="{7FF4BD5E-8671-491E-8C6F-A70738CB1F7F}"/>
    <cellStyle name="Migliaia 4 5 4 2" xfId="21537" xr:uid="{9F7D2DF8-CE26-4B10-9786-831AF1935CFB}"/>
    <cellStyle name="Migliaia 4 5 4 2 2" xfId="39592" xr:uid="{E97DCB5A-4199-42F1-AD4C-808E08C28ECF}"/>
    <cellStyle name="Migliaia 4 5 4 2 3" xfId="44894" xr:uid="{7E1F58CC-8AF6-4AB5-BE81-D613A4CCE60A}"/>
    <cellStyle name="Migliaia 4 5 4 2 4" xfId="34049" xr:uid="{070079DE-DD3C-4238-9019-7B8EDEE67C36}"/>
    <cellStyle name="Migliaia 4 5 4 3" xfId="36998" xr:uid="{DACA353E-2E3D-4DFF-A600-88D5B095FA5C}"/>
    <cellStyle name="Migliaia 4 5 4 4" xfId="42243" xr:uid="{115C0761-7260-4B77-9997-F9FA017B67B1}"/>
    <cellStyle name="Migliaia 4 5 4 5" xfId="24959" xr:uid="{0308A294-C2F3-4DE5-973F-1C512FBC6258}"/>
    <cellStyle name="Migliaia 4 5 4 6" xfId="48476" xr:uid="{818BBD83-D335-450A-8E06-B8B86670AAF0}"/>
    <cellStyle name="Migliaia 4 5 4 7" xfId="50552" xr:uid="{AC75D377-BE1C-418E-BD21-58E0CED3C0D3}"/>
    <cellStyle name="Migliaia 4 5 4 8" xfId="53568" xr:uid="{A60D09E8-D592-4172-BF96-D8F9BC67A663}"/>
    <cellStyle name="Migliaia 4 5 4 9" xfId="10902" xr:uid="{D44ED193-5531-421F-8C66-2F41E2F04EF7}"/>
    <cellStyle name="Migliaia 4 5 5" xfId="20585" xr:uid="{74CB0932-E599-46AD-8AE6-DEE0E8BAD208}"/>
    <cellStyle name="Migliaia 4 5 5 2" xfId="34050" xr:uid="{A861614D-07AF-4843-B640-9B8D03C65B3E}"/>
    <cellStyle name="Migliaia 4 5 5 2 2" xfId="39593" xr:uid="{C642C2F3-9170-4455-8FAC-21E308D7E22B}"/>
    <cellStyle name="Migliaia 4 5 5 2 3" xfId="44895" xr:uid="{43536CB7-2FF9-4A29-850E-CEA817DDE21C}"/>
    <cellStyle name="Migliaia 4 5 5 3" xfId="36999" xr:uid="{09174CF5-DEF2-42E3-AECE-02DF0DEC3D24}"/>
    <cellStyle name="Migliaia 4 5 5 4" xfId="42244" xr:uid="{058EA28E-EB40-4126-9B42-FF2D2F9F7918}"/>
    <cellStyle name="Migliaia 4 5 5 5" xfId="24960" xr:uid="{077E7579-5550-4783-B847-D50562B16ED7}"/>
    <cellStyle name="Migliaia 4 5 6" xfId="24961" xr:uid="{139236BC-CD85-4A20-9EA3-03B577217D53}"/>
    <cellStyle name="Migliaia 4 5 6 2" xfId="34051" xr:uid="{0B582FC4-ACCC-49BC-9C9B-BC4734986F10}"/>
    <cellStyle name="Migliaia 4 5 6 2 2" xfId="39594" xr:uid="{272AEC33-17E0-4664-BA1B-9A647EA3B289}"/>
    <cellStyle name="Migliaia 4 5 6 2 3" xfId="44896" xr:uid="{C007CF76-DB6D-4D88-B281-14E286047920}"/>
    <cellStyle name="Migliaia 4 5 6 3" xfId="37000" xr:uid="{2688BF21-7D02-42C9-A9AD-2693D0755B68}"/>
    <cellStyle name="Migliaia 4 5 6 4" xfId="42245" xr:uid="{9131C864-6D7A-44E6-8BC8-32457760A710}"/>
    <cellStyle name="Migliaia 4 5 7" xfId="24956" xr:uid="{586CD731-6ECA-4B66-BF83-505F89D693CE}"/>
    <cellStyle name="Migliaia 4 5 8" xfId="7493" xr:uid="{EA1FEF69-800B-4B80-B369-6599176A1595}"/>
    <cellStyle name="Migliaia 4 6" xfId="3645" xr:uid="{8DC4BE46-180B-4F9C-8041-D9C195BED723}"/>
    <cellStyle name="Migliaia 4 6 2" xfId="5371" xr:uid="{B5275D74-C9AC-4CB9-8A9F-A654DFB4AB89}"/>
    <cellStyle name="Migliaia 4 6 2 2" xfId="9947" xr:uid="{F4A92557-A192-45E9-89E6-E4DED3FE831A}"/>
    <cellStyle name="Migliaia 4 6 2 3" xfId="18647" xr:uid="{8E7D2CC3-1EE5-40BF-A992-CAE62A5EC85C}"/>
    <cellStyle name="Migliaia 4 6 2 4" xfId="20588" xr:uid="{BB10D401-EB31-481D-9318-670D9934AF10}"/>
    <cellStyle name="Migliaia 4 6 2 5" xfId="32407" xr:uid="{710C2ECC-FBCB-4D54-A76E-57428F327997}"/>
    <cellStyle name="Migliaia 4 6 2 6" xfId="16536" xr:uid="{D67934B7-E440-4155-B487-7E2C3A393A8F}"/>
    <cellStyle name="Migliaia 4 6 2 7" xfId="8678" xr:uid="{3BE748FC-8D1B-4AFD-B38A-981AAA39AE30}"/>
    <cellStyle name="Migliaia 4 6 3" xfId="6561" xr:uid="{23B7CDAB-39A2-4C5B-8346-DC713F9D6EEE}"/>
    <cellStyle name="Migliaia 4 6 3 2" xfId="35358" xr:uid="{F0788EF0-DA1D-4FFE-8DF7-36BE02B4FC34}"/>
    <cellStyle name="Migliaia 4 6 3 2 2" xfId="40518" xr:uid="{B0C44329-4137-4594-9BB2-9890C36F38F8}"/>
    <cellStyle name="Migliaia 4 6 3 2 3" xfId="45820" xr:uid="{0D9403C5-1517-44EA-8096-8D28E2B357D6}"/>
    <cellStyle name="Migliaia 4 6 3 3" xfId="37867" xr:uid="{2538B1C1-D0DD-430C-840D-B7981C3695A7}"/>
    <cellStyle name="Migliaia 4 6 3 4" xfId="43169" xr:uid="{4B36827D-2DAC-45E2-90D3-EE251D6D3352}"/>
    <cellStyle name="Migliaia 4 6 3 5" xfId="9710" xr:uid="{99CE6775-57BE-4F7C-A4B8-A80FFA7F22CE}"/>
    <cellStyle name="Migliaia 4 6 4" xfId="20587" xr:uid="{677E4C87-75F8-42A5-A6FD-111F96A587A8}"/>
    <cellStyle name="Migliaia 4 6 4 2" xfId="39595" xr:uid="{FD51BA18-94F0-4D45-AD3A-42D3DD14FA11}"/>
    <cellStyle name="Migliaia 4 6 4 3" xfId="44897" xr:uid="{C4E57680-2388-4EFA-9CEF-483AE043AF0D}"/>
    <cellStyle name="Migliaia 4 6 4 4" xfId="34052" xr:uid="{07819D7C-5C2D-4BA4-9C40-B22ED77823D8}"/>
    <cellStyle name="Migliaia 4 6 5" xfId="37001" xr:uid="{86F22D37-13B2-4D70-9C96-A5138D2C2D1A}"/>
    <cellStyle name="Migliaia 4 6 6" xfId="42246" xr:uid="{F0D785A2-051D-4F2B-A927-08300EE0DF88}"/>
    <cellStyle name="Migliaia 4 6 7" xfId="16535" xr:uid="{22AF3DEA-FCEA-480F-9975-AEFB104B14DF}"/>
    <cellStyle name="Migliaia 4 6 8" xfId="7488" xr:uid="{40F40624-F372-4DBA-BCD5-0ECDF2933D58}"/>
    <cellStyle name="Migliaia 4 7" xfId="3646" xr:uid="{B35065B9-9393-4940-9342-948183CB72CE}"/>
    <cellStyle name="Migliaia 4 7 2" xfId="5372" xr:uid="{97CF11F6-CB96-4039-9F5B-71E2679370E0}"/>
    <cellStyle name="Migliaia 4 7 2 2" xfId="35359" xr:uid="{7B14621E-FC71-4394-8EA9-9A0BACD321E4}"/>
    <cellStyle name="Migliaia 4 7 2 2 2" xfId="40519" xr:uid="{39C2A076-9DA7-42C2-8675-D92ED3F4B204}"/>
    <cellStyle name="Migliaia 4 7 2 2 3" xfId="45821" xr:uid="{C4878F5C-8911-4574-866B-02B785359181}"/>
    <cellStyle name="Migliaia 4 7 2 3" xfId="37868" xr:uid="{1D3D1678-45FB-4983-9713-5749590FF69E}"/>
    <cellStyle name="Migliaia 4 7 2 4" xfId="43170" xr:uid="{44504BAE-A97D-4DD4-987C-1E49762DBC78}"/>
    <cellStyle name="Migliaia 4 7 2 5" xfId="14278" xr:uid="{7975038C-C98A-4E6D-A69F-3BA1C46EE4A6}"/>
    <cellStyle name="Migliaia 4 7 3" xfId="6562" xr:uid="{7484FC6F-6A4E-44DB-AA93-6AAA417D753C}"/>
    <cellStyle name="Migliaia 4 7 3 2" xfId="39596" xr:uid="{54D5645D-1E96-490A-B0AF-3A54A9597CA1}"/>
    <cellStyle name="Migliaia 4 7 3 3" xfId="44898" xr:uid="{69734EF3-27BD-486C-81F3-A712955E7729}"/>
    <cellStyle name="Migliaia 4 7 3 4" xfId="34053" xr:uid="{4D0C88B6-5629-4CF9-846C-8FDF91C4E8CA}"/>
    <cellStyle name="Migliaia 4 7 3 5" xfId="20589" xr:uid="{91D510A5-F7B4-47AD-827D-A37D34DC594A}"/>
    <cellStyle name="Migliaia 4 7 4" xfId="37002" xr:uid="{26B4FBB3-E6DD-432A-B263-5B03647BC1B7}"/>
    <cellStyle name="Migliaia 4 7 5" xfId="42247" xr:uid="{D4C14922-6D96-4C11-88DF-B7D156B149BF}"/>
    <cellStyle name="Migliaia 4 7 6" xfId="16537" xr:uid="{1F8CA726-E694-491E-B0F7-26603DBEFC87}"/>
    <cellStyle name="Migliaia 4 7 7" xfId="8340" xr:uid="{BF170BA1-549C-448A-BA84-878BE46479D6}"/>
    <cellStyle name="Migliaia 4 8" xfId="3647" xr:uid="{1F07FE26-4361-471D-A1E0-6485B1672019}"/>
    <cellStyle name="Migliaia 4 8 2" xfId="5373" xr:uid="{114F8054-6210-43FA-B85C-260F4D637F6C}"/>
    <cellStyle name="Migliaia 4 8 2 2" xfId="35360" xr:uid="{6EAC7FDC-47F0-44EC-B56F-AF152FD2719F}"/>
    <cellStyle name="Migliaia 4 8 2 2 2" xfId="40520" xr:uid="{AC1D5628-3CC6-48C8-A5FF-9AFA826CA09F}"/>
    <cellStyle name="Migliaia 4 8 2 2 3" xfId="45822" xr:uid="{005BF8B5-87C0-4638-B011-305D79BB1CED}"/>
    <cellStyle name="Migliaia 4 8 2 3" xfId="37869" xr:uid="{C3F085D2-919B-4B7A-96DE-037F5A78D883}"/>
    <cellStyle name="Migliaia 4 8 2 4" xfId="43171" xr:uid="{11D45EED-CDDD-47B0-82B4-6ECD5EF7DCF3}"/>
    <cellStyle name="Migliaia 4 8 2 5" xfId="13983" xr:uid="{15C95D41-42D6-4626-856D-16870D8C4F77}"/>
    <cellStyle name="Migliaia 4 8 3" xfId="6563" xr:uid="{817BEC91-123F-47A2-9491-0E24223B3FB7}"/>
    <cellStyle name="Migliaia 4 8 3 2" xfId="39597" xr:uid="{B7C5660F-0CA3-4304-B6FD-C714B5989A09}"/>
    <cellStyle name="Migliaia 4 8 3 3" xfId="44899" xr:uid="{672CF9EF-D9AF-40DB-980A-142D0A1FADD1}"/>
    <cellStyle name="Migliaia 4 8 3 4" xfId="34054" xr:uid="{08F639CD-6885-44F7-8759-C4C31DCF8CB2}"/>
    <cellStyle name="Migliaia 4 8 3 5" xfId="20590" xr:uid="{42D6E2F5-D2C0-4701-9057-DCBF4F24AB23}"/>
    <cellStyle name="Migliaia 4 8 4" xfId="37003" xr:uid="{1E426BA2-A896-4CF2-A28E-61B770875403}"/>
    <cellStyle name="Migliaia 4 8 5" xfId="42248" xr:uid="{28715A8F-819B-4DCE-A1CB-E8D2B39FBB43}"/>
    <cellStyle name="Migliaia 4 8 6" xfId="16538" xr:uid="{14876143-C891-456C-8EE1-80D4F4D7B588}"/>
    <cellStyle name="Migliaia 4 8 7" xfId="7954" xr:uid="{231C9DEA-6294-4D54-B7EC-6816E1239DC2}"/>
    <cellStyle name="Migliaia 4 9" xfId="5358" xr:uid="{FCECB6E5-A6B7-487A-98FC-EA4F8B2032FF}"/>
    <cellStyle name="Migliaia 4 9 2" xfId="34055" xr:uid="{49C4C0C2-2F84-48E9-B0EF-DCAC511DCECD}"/>
    <cellStyle name="Migliaia 4 9 2 2" xfId="39598" xr:uid="{C79FE9F2-8970-4139-A00D-E6C251C70A9E}"/>
    <cellStyle name="Migliaia 4 9 2 3" xfId="44900" xr:uid="{D394EFBC-34FC-4914-A293-D4499C79BF38}"/>
    <cellStyle name="Migliaia 4 9 3" xfId="37004" xr:uid="{2141CA6A-A914-4C46-B3F0-9494CD158296}"/>
    <cellStyle name="Migliaia 4 9 4" xfId="42249" xr:uid="{8510F204-0330-4202-A227-D383954B9FAC}"/>
    <cellStyle name="Migliaia 4 9 5" xfId="17201" xr:uid="{A67027E8-59EE-4A2B-AE13-7BFE081BE1AE}"/>
    <cellStyle name="Migliaia 40" xfId="437" xr:uid="{00000000-0005-0000-0000-0000F1030000}"/>
    <cellStyle name="Migliaia 40 10" xfId="6564" xr:uid="{3F548FCE-A300-454C-9A57-0C44B64D906D}"/>
    <cellStyle name="Migliaia 40 10 2" xfId="39599" xr:uid="{9FF0780A-2BF7-465A-A355-AFF9FB40BC86}"/>
    <cellStyle name="Migliaia 40 10 3" xfId="44901" xr:uid="{3DAB61FC-C459-4BF6-B525-D9BD25DCD327}"/>
    <cellStyle name="Migliaia 40 10 4" xfId="34056" xr:uid="{B8B98F7E-BBC5-4460-882B-88D3F3388560}"/>
    <cellStyle name="Migliaia 40 10 5" xfId="20591" xr:uid="{3FA7C231-C23C-49DC-9469-044759BA7D6D}"/>
    <cellStyle name="Migliaia 40 11" xfId="3648" xr:uid="{2DDCC1D5-2C24-455F-AC00-81AFB21B95BF}"/>
    <cellStyle name="Migliaia 40 11 2" xfId="37005" xr:uid="{B363CC94-AA29-4E13-AFCC-53292E2B2561}"/>
    <cellStyle name="Migliaia 40 12" xfId="42250" xr:uid="{E1EECA55-9B6C-4610-A298-0187E9768492}"/>
    <cellStyle name="Migliaia 40 13" xfId="7144" xr:uid="{DE6FDF63-3DDB-47E6-AB3F-B4F133D6A5DD}"/>
    <cellStyle name="Migliaia 40 2" xfId="438" xr:uid="{00000000-0005-0000-0000-0000F2030000}"/>
    <cellStyle name="Migliaia 40 2 2" xfId="1826" xr:uid="{00000000-0005-0000-0000-0000F3030000}"/>
    <cellStyle name="Migliaia 40 2 2 2" xfId="5376" xr:uid="{E5901360-51EC-402A-B5A7-A3E9CE8EEB5B}"/>
    <cellStyle name="Migliaia 40 2 2 2 2" xfId="14397" xr:uid="{A21CD7D4-88EB-4FC5-932D-14FB5F48D202}"/>
    <cellStyle name="Migliaia 40 2 2 2 2 2" xfId="39600" xr:uid="{AC2567A2-743A-48EE-B465-8B246B4A00C8}"/>
    <cellStyle name="Migliaia 40 2 2 2 2 3" xfId="44902" xr:uid="{614629EA-19A9-4988-985D-483E25B3960F}"/>
    <cellStyle name="Migliaia 40 2 2 2 3" xfId="18464" xr:uid="{E4B9826C-05AF-4445-9587-CCBE7E80122D}"/>
    <cellStyle name="Migliaia 40 2 2 2 4" xfId="20594" xr:uid="{BC3CD92B-F809-4599-B9DB-B55E3F626894}"/>
    <cellStyle name="Migliaia 40 2 2 2 4 2" xfId="42251" xr:uid="{E4CDD84A-58E3-41CF-B975-5DF12FD2F816}"/>
    <cellStyle name="Migliaia 40 2 2 2 5" xfId="16539" xr:uid="{84187E1E-F290-4DB8-89F1-CFEBB3EBB493}"/>
    <cellStyle name="Migliaia 40 2 2 2 6" xfId="8685" xr:uid="{43E8B2EB-7AB9-4A67-BF86-0B5DBFBF0699}"/>
    <cellStyle name="Migliaia 40 2 2 3" xfId="6566" xr:uid="{32D79352-E617-4BEF-BA40-7DED70798825}"/>
    <cellStyle name="Migliaia 40 2 2 3 2" xfId="35361" xr:uid="{F09E6BD1-5A68-4A37-A413-716EE4B2701C}"/>
    <cellStyle name="Migliaia 40 2 2 3 2 2" xfId="40521" xr:uid="{74EFA444-C579-4A97-A86B-5523A803D7A0}"/>
    <cellStyle name="Migliaia 40 2 2 3 2 3" xfId="45823" xr:uid="{0333B11A-1CD7-4801-A808-FC3CB3A9760B}"/>
    <cellStyle name="Migliaia 40 2 2 3 3" xfId="37870" xr:uid="{39B22016-1C51-46EF-A055-0ED5CCD0D5A2}"/>
    <cellStyle name="Migliaia 40 2 2 3 4" xfId="43172" xr:uid="{C0A7687A-F711-4E3F-A34F-67CEC2961306}"/>
    <cellStyle name="Migliaia 40 2 2 3 5" xfId="11624" xr:uid="{35127764-8DF0-4DD4-B5FB-456372024E51}"/>
    <cellStyle name="Migliaia 40 2 2 4" xfId="3650" xr:uid="{71D9899D-9093-4CFD-BD9B-43CA373D767A}"/>
    <cellStyle name="Migliaia 40 2 2 4 2" xfId="21538" xr:uid="{0B6459B3-4CA0-42E3-8AF2-5C7133420C3F}"/>
    <cellStyle name="Migliaia 40 2 2 4 3" xfId="47901" xr:uid="{B9F04CDF-EC91-4047-BA91-86C971FB1889}"/>
    <cellStyle name="Migliaia 40 2 2 4 4" xfId="50553" xr:uid="{7EAAE896-BACB-4990-9874-72509061BD56}"/>
    <cellStyle name="Migliaia 40 2 2 4 5" xfId="53569" xr:uid="{A6340A2C-F92C-43E1-B8EA-B48C6DD9E120}"/>
    <cellStyle name="Migliaia 40 2 2 4 6" xfId="10903" xr:uid="{B1415B4B-6FBA-4190-8410-D5B7743378BF}"/>
    <cellStyle name="Migliaia 40 2 2 5" xfId="20593" xr:uid="{537294FC-FE26-4E40-B710-B464D551EB14}"/>
    <cellStyle name="Migliaia 40 2 2 6" xfId="24968" xr:uid="{CB8EBF23-65DB-43E3-8423-2B0AF1C83DDA}"/>
    <cellStyle name="Migliaia 40 2 2 7" xfId="7495" xr:uid="{C77F6371-E216-46F9-B1C1-D360EE3F6FAE}"/>
    <cellStyle name="Migliaia 40 2 3" xfId="3651" xr:uid="{53BEE199-6FB4-427F-ADED-D1BF60783B9A}"/>
    <cellStyle name="Migliaia 40 2 3 2" xfId="5377" xr:uid="{FB2CDA29-6041-491B-AA1D-AE58514C6506}"/>
    <cellStyle name="Migliaia 40 2 3 2 2" xfId="35362" xr:uid="{E255323F-3FD8-4ABE-A322-F2B202A544F4}"/>
    <cellStyle name="Migliaia 40 2 3 2 2 2" xfId="40522" xr:uid="{0968628F-F392-409F-A09E-01938D76E12C}"/>
    <cellStyle name="Migliaia 40 2 3 2 2 3" xfId="45824" xr:uid="{454343AE-A468-4E29-8E59-BD21DD435B00}"/>
    <cellStyle name="Migliaia 40 2 3 2 3" xfId="37871" xr:uid="{EDA50057-AF19-4B45-BE28-F9A7412CB90B}"/>
    <cellStyle name="Migliaia 40 2 3 2 4" xfId="43173" xr:uid="{B24EBE1C-BB2A-4B11-81CA-EEEEE1A0B857}"/>
    <cellStyle name="Migliaia 40 2 3 2 5" xfId="14282" xr:uid="{66D408B3-1B39-411C-A60C-C8BA15164901}"/>
    <cellStyle name="Migliaia 40 2 3 3" xfId="6567" xr:uid="{AB8201F6-BF34-444A-AA41-2549D83721C5}"/>
    <cellStyle name="Migliaia 40 2 3 3 2" xfId="39601" xr:uid="{22EE30E1-164D-42F0-B381-B7CE5CDA9CA8}"/>
    <cellStyle name="Migliaia 40 2 3 3 3" xfId="44903" xr:uid="{7EA15FA1-1158-48F4-B9E9-BF21D6487FEF}"/>
    <cellStyle name="Migliaia 40 2 3 3 4" xfId="34058" xr:uid="{110D3AC7-E980-4F5D-9EF0-02465EA4523F}"/>
    <cellStyle name="Migliaia 40 2 3 3 5" xfId="20595" xr:uid="{EE0BFE85-41C8-40BC-9F8E-E77553C52EA8}"/>
    <cellStyle name="Migliaia 40 2 3 4" xfId="37007" xr:uid="{00AF6B28-0271-42CA-9D54-531FE996BF01}"/>
    <cellStyle name="Migliaia 40 2 3 5" xfId="42252" xr:uid="{9C1EADE4-6246-4B0A-9B60-C382805C880A}"/>
    <cellStyle name="Migliaia 40 2 3 6" xfId="16540" xr:uid="{A2B114AC-1597-479E-A4A6-626189DE37E2}"/>
    <cellStyle name="Migliaia 40 2 3 7" xfId="8344" xr:uid="{4F901284-43D1-4CAC-B0D6-A064713D6F33}"/>
    <cellStyle name="Migliaia 40 2 4" xfId="5375" xr:uid="{1254A463-2801-4829-B90F-0B124C2BA1BD}"/>
    <cellStyle name="Migliaia 40 2 4 2" xfId="13987" xr:uid="{0E98C99C-96DF-4041-9707-B0538204FD8D}"/>
    <cellStyle name="Migliaia 40 2 4 2 2" xfId="39602" xr:uid="{A9C5BB71-E436-4538-AB95-1C0327AC99F7}"/>
    <cellStyle name="Migliaia 40 2 4 2 3" xfId="44904" xr:uid="{4A6CFB85-286E-4DA3-8E91-D66EACD7A078}"/>
    <cellStyle name="Migliaia 40 2 4 3" xfId="18701" xr:uid="{04486297-4990-4B10-A4CD-2F49712CEA48}"/>
    <cellStyle name="Migliaia 40 2 4 4" xfId="20596" xr:uid="{94C51E1C-B50C-420E-97C1-A8E3A1D734B2}"/>
    <cellStyle name="Migliaia 40 2 4 4 2" xfId="42253" xr:uid="{8740280E-1F43-4657-9422-FC69051F57C9}"/>
    <cellStyle name="Migliaia 40 2 4 5" xfId="16541" xr:uid="{8A58FC5D-7D8D-46A3-82A3-CCFB32481197}"/>
    <cellStyle name="Migliaia 40 2 4 6" xfId="7959" xr:uid="{BE680D8F-D774-472A-BB71-DAA115FB88FD}"/>
    <cellStyle name="Migliaia 40 2 5" xfId="6565" xr:uid="{CBA65061-74AA-49C7-829E-4A359E2ABA62}"/>
    <cellStyle name="Migliaia 40 2 5 2" xfId="34060" xr:uid="{8A51699D-84E0-40BD-9DC6-76837CAAB951}"/>
    <cellStyle name="Migliaia 40 2 5 2 2" xfId="39603" xr:uid="{22E4FBB7-6DD7-4E6A-944D-827265CD306F}"/>
    <cellStyle name="Migliaia 40 2 5 2 3" xfId="44905" xr:uid="{A5DFB281-F6C3-480E-97DD-CEDCAD7D5D40}"/>
    <cellStyle name="Migliaia 40 2 5 3" xfId="37009" xr:uid="{4F0C80AB-516F-46EA-B211-B41FEA4402D2}"/>
    <cellStyle name="Migliaia 40 2 5 4" xfId="42254" xr:uid="{70799F08-AB89-49A3-AF36-DA25D1DD4B7D}"/>
    <cellStyle name="Migliaia 40 2 5 5" xfId="13137" xr:uid="{E7CB4195-53AA-4EAE-980E-DC94A04112B6}"/>
    <cellStyle name="Migliaia 40 2 6" xfId="3649" xr:uid="{11E2DD5E-9B3B-4D3A-9ACC-CCD961C196E8}"/>
    <cellStyle name="Migliaia 40 2 6 2" xfId="34061" xr:uid="{F3DBD151-47F9-4948-8983-43A4B357528A}"/>
    <cellStyle name="Migliaia 40 2 6 2 2" xfId="39604" xr:uid="{59BDB291-1A75-46B8-BDD0-5028F75BADB9}"/>
    <cellStyle name="Migliaia 40 2 6 2 3" xfId="44906" xr:uid="{CA17BA01-6894-418F-A556-63A30F15A981}"/>
    <cellStyle name="Migliaia 40 2 6 3" xfId="37010" xr:uid="{7E8A5813-28F5-45DF-82AB-7F5C98201993}"/>
    <cellStyle name="Migliaia 40 2 6 4" xfId="42255" xr:uid="{E775CDDE-8A21-4639-AE46-85FCE995722D}"/>
    <cellStyle name="Migliaia 40 2 6 5" xfId="24973" xr:uid="{D192117A-2231-4AE0-8967-F6E8E5047773}"/>
    <cellStyle name="Migliaia 40 2 6 6" xfId="20592" xr:uid="{FDF21277-6EE1-460A-A0EC-757B532C85C3}"/>
    <cellStyle name="Migliaia 40 2 7" xfId="24967" xr:uid="{BE50D5A7-5219-4951-97AA-E443EDAE4AF5}"/>
    <cellStyle name="Migliaia 40 2 8" xfId="7145" xr:uid="{E0BDF0DC-A599-47BC-B153-13A02C313A86}"/>
    <cellStyle name="Migliaia 40 3" xfId="439" xr:uid="{00000000-0005-0000-0000-0000F4030000}"/>
    <cellStyle name="Migliaia 40 3 10" xfId="24974" xr:uid="{04DF16EA-6B44-442E-804A-CC63110A36AF}"/>
    <cellStyle name="Migliaia 40 3 11" xfId="16542" xr:uid="{E0D29783-D3CA-4B7D-B589-35D167DCA9D4}"/>
    <cellStyle name="Migliaia 40 3 12" xfId="7146" xr:uid="{DF6C5C25-F622-447B-B47C-F3A1D70E70C6}"/>
    <cellStyle name="Migliaia 40 3 2" xfId="440" xr:uid="{00000000-0005-0000-0000-0000F5030000}"/>
    <cellStyle name="Migliaia 40 3 2 2" xfId="1827" xr:uid="{00000000-0005-0000-0000-0000F6030000}"/>
    <cellStyle name="Migliaia 40 3 2 2 2" xfId="5380" xr:uid="{A35AF7A5-2F1F-4EF8-82E4-AF2E94513DB0}"/>
    <cellStyle name="Migliaia 40 3 2 2 2 2" xfId="18465" xr:uid="{16B18845-5C8F-4506-A8FE-2B4360B0D5D1}"/>
    <cellStyle name="Migliaia 40 3 2 2 2 2 2" xfId="21875" xr:uid="{EF8EC2C0-9F05-496E-B18F-BA306B0112A4}"/>
    <cellStyle name="Migliaia 40 3 2 2 2 2 2 2" xfId="39605" xr:uid="{FFFE6351-8E14-4BCB-BB15-EB14857E8801}"/>
    <cellStyle name="Migliaia 40 3 2 2 2 2 3" xfId="44907" xr:uid="{0D2D6C26-29C8-4249-BB54-5739D55B60DD}"/>
    <cellStyle name="Migliaia 40 3 2 2 2 2 4" xfId="34062" xr:uid="{1412F6C7-C45F-4934-B4C3-052B4A336B3C}"/>
    <cellStyle name="Migliaia 40 3 2 2 2 3" xfId="37011" xr:uid="{131237C6-EBAB-4858-A95B-1E0808B377ED}"/>
    <cellStyle name="Migliaia 40 3 2 2 2 4" xfId="42256" xr:uid="{A3651C63-FB90-4436-9E18-EE8BE9804ACF}"/>
    <cellStyle name="Migliaia 40 3 2 2 2 5" xfId="46749" xr:uid="{025786E8-A5F4-4C82-A341-DA4820445F02}"/>
    <cellStyle name="Migliaia 40 3 2 2 2 6" xfId="50903" xr:uid="{8C5B3888-24AB-4839-ABCA-121CD5CD6CF3}"/>
    <cellStyle name="Migliaia 40 3 2 2 2 7" xfId="53919" xr:uid="{5C6499F8-0CEE-4B32-BE81-83B5A636DC88}"/>
    <cellStyle name="Migliaia 40 3 2 2 2 8" xfId="17673" xr:uid="{BE63C4AD-4456-4849-BF52-0FC126F125C4}"/>
    <cellStyle name="Migliaia 40 3 2 2 2 9" xfId="12023" xr:uid="{38DB8E41-1981-4183-AC64-54858C445F50}"/>
    <cellStyle name="Migliaia 40 3 2 2 3" xfId="6570" xr:uid="{3086855A-C625-421B-9A5F-DF363A5127D8}"/>
    <cellStyle name="Migliaia 40 3 2 2 3 2" xfId="11177" xr:uid="{F3291818-B989-4F04-86E5-5BDA3564F188}"/>
    <cellStyle name="Migliaia 40 3 2 2 4" xfId="3654" xr:uid="{CF9F03F0-8E70-4308-98C1-894B795C6C68}"/>
    <cellStyle name="Migliaia 40 3 2 2 4 2" xfId="21539" xr:uid="{145D2151-4650-4970-803C-D1F84C336672}"/>
    <cellStyle name="Migliaia 40 3 2 2 4 3" xfId="47423" xr:uid="{823151E0-89B2-4BA9-9197-23E675037192}"/>
    <cellStyle name="Migliaia 40 3 2 2 4 4" xfId="50554" xr:uid="{C5E0848B-9122-4015-A525-8C25DDBE133F}"/>
    <cellStyle name="Migliaia 40 3 2 2 4 5" xfId="53570" xr:uid="{77026AAD-0B63-414C-8885-FD14945085A4}"/>
    <cellStyle name="Migliaia 40 3 2 2 4 6" xfId="10904" xr:uid="{2D6123A9-6031-465E-ADDD-8771D345C1EC}"/>
    <cellStyle name="Migliaia 40 3 2 2 5" xfId="20599" xr:uid="{B4215A2E-3EE7-4EB1-A3F1-A97460CD8BD5}"/>
    <cellStyle name="Migliaia 40 3 2 2 6" xfId="24976" xr:uid="{17E76108-C79E-438E-A919-5DC9DD2C6A4E}"/>
    <cellStyle name="Migliaia 40 3 2 2 7" xfId="8687" xr:uid="{03EA865A-061E-463F-9638-F8C694B78606}"/>
    <cellStyle name="Migliaia 40 3 2 3" xfId="5379" xr:uid="{13DC3EE7-8E02-4896-9A4D-F7B08ECAC9B0}"/>
    <cellStyle name="Migliaia 40 3 2 3 2" xfId="12223" xr:uid="{3707D694-19C4-4BE4-A29C-88364C5F2971}"/>
    <cellStyle name="Migliaia 40 3 2 3 2 2" xfId="39606" xr:uid="{D4404CCB-0A71-41DE-99C9-0F5079905FD7}"/>
    <cellStyle name="Migliaia 40 3 2 3 2 3" xfId="44908" xr:uid="{FD502630-C855-4601-BC34-494A2BF692B6}"/>
    <cellStyle name="Migliaia 40 3 2 3 2 4" xfId="34063" xr:uid="{DB0379D9-7B41-4788-B27F-3D4BDC747F3D}"/>
    <cellStyle name="Migliaia 40 3 2 3 3" xfId="12024" xr:uid="{5D695A85-4883-4BB6-B552-3665BE7C17C6}"/>
    <cellStyle name="Migliaia 40 3 2 3 4" xfId="20600" xr:uid="{8D3E1576-6F38-40B7-B731-B674CFA294D4}"/>
    <cellStyle name="Migliaia 40 3 2 3 4 2" xfId="42257" xr:uid="{C5F27EE2-F264-4B9A-8027-06EC098F8AC1}"/>
    <cellStyle name="Migliaia 40 3 2 3 5" xfId="16543" xr:uid="{41685E66-1924-459D-8A7E-6C1D45495D1E}"/>
    <cellStyle name="Migliaia 40 3 2 3 6" xfId="7961" xr:uid="{19802D85-E4E3-4E6E-9C90-D2164BD01FC3}"/>
    <cellStyle name="Migliaia 40 3 2 4" xfId="6569" xr:uid="{3AA213D6-C2D6-458A-BF0A-22C44E871D76}"/>
    <cellStyle name="Migliaia 40 3 2 4 2" xfId="18091" xr:uid="{2E54F842-3123-48AC-BB25-E5F52F291644}"/>
    <cellStyle name="Migliaia 40 3 2 4 2 2" xfId="39607" xr:uid="{E08E2476-8734-4E8C-8501-C5C41AB4FB1D}"/>
    <cellStyle name="Migliaia 40 3 2 4 2 3" xfId="44909" xr:uid="{A5EC403C-F04E-4A35-9401-BAA33E9B6281}"/>
    <cellStyle name="Migliaia 40 3 2 4 3" xfId="37013" xr:uid="{722EB077-EE1A-4930-9C9E-A32555D8949F}"/>
    <cellStyle name="Migliaia 40 3 2 4 4" xfId="42258" xr:uid="{D9A61075-DD41-49BB-9D4E-5A7AEBB2EA4B}"/>
    <cellStyle name="Migliaia 40 3 2 4 5" xfId="17204" xr:uid="{401647B4-7364-4B9D-98BF-062549EE0BAA}"/>
    <cellStyle name="Migliaia 40 3 2 4 6" xfId="11372" xr:uid="{9D83BD44-3B72-4645-92FB-E23674B72B4A}"/>
    <cellStyle name="Migliaia 40 3 2 5" xfId="3653" xr:uid="{EEACEFAB-A5C3-4BBD-BC01-229050BC67C6}"/>
    <cellStyle name="Migliaia 40 3 2 5 2" xfId="34065" xr:uid="{2B9F5EE1-AB19-4B98-9DE7-65A1B1CA07B9}"/>
    <cellStyle name="Migliaia 40 3 2 5 2 2" xfId="39608" xr:uid="{9561DBC3-A8CE-4B9E-9BA1-5DAFCBB22257}"/>
    <cellStyle name="Migliaia 40 3 2 5 2 3" xfId="44910" xr:uid="{9A61443D-81F9-4BB7-8CBF-E93F7A2326A0}"/>
    <cellStyle name="Migliaia 40 3 2 5 3" xfId="37014" xr:uid="{5F03C033-B7A5-4EB8-A44A-4B91D67FBC97}"/>
    <cellStyle name="Migliaia 40 3 2 5 4" xfId="42259" xr:uid="{6EA43870-186E-4914-A427-675C19344E9A}"/>
    <cellStyle name="Migliaia 40 3 2 5 5" xfId="17324" xr:uid="{4F1EAB65-72C9-4800-A591-6709ABC849A7}"/>
    <cellStyle name="Migliaia 40 3 2 6" xfId="20598" xr:uid="{ECA00CFB-368B-4193-92E8-56DBBEDEF100}"/>
    <cellStyle name="Migliaia 40 3 2 6 2" xfId="34066" xr:uid="{B0320758-8546-41C2-BD97-E82F26F7DBA6}"/>
    <cellStyle name="Migliaia 40 3 2 6 2 2" xfId="39609" xr:uid="{64A353C0-E06C-4C34-A9D3-13019FCDB861}"/>
    <cellStyle name="Migliaia 40 3 2 6 2 3" xfId="44911" xr:uid="{C0ED8034-2637-4111-BA46-8391EBDBBA93}"/>
    <cellStyle name="Migliaia 40 3 2 6 3" xfId="37015" xr:uid="{9C5055B7-776C-4079-8AD6-521470907CF5}"/>
    <cellStyle name="Migliaia 40 3 2 6 4" xfId="42260" xr:uid="{9FD535AB-D387-49BA-8BF4-6D44CFDF42BA}"/>
    <cellStyle name="Migliaia 40 3 2 6 5" xfId="24981" xr:uid="{8CEC5436-A8FC-4290-A794-0FFF5143F87D}"/>
    <cellStyle name="Migliaia 40 3 2 7" xfId="24975" xr:uid="{63576FAC-3871-48F6-8695-B25D348E4B0C}"/>
    <cellStyle name="Migliaia 40 3 2 8" xfId="7497" xr:uid="{6B77FDA6-5532-4DBF-B634-582A0B1E72BC}"/>
    <cellStyle name="Migliaia 40 3 3" xfId="3655" xr:uid="{6EE31049-E971-40F1-BAF2-35550E2D1FCA}"/>
    <cellStyle name="Migliaia 40 3 3 10" xfId="7496" xr:uid="{D74618B2-3DDB-44DB-9961-542768B3DFA6}"/>
    <cellStyle name="Migliaia 40 3 3 2" xfId="5381" xr:uid="{864D2D15-010C-48C4-9ADC-6B872AFD4245}"/>
    <cellStyle name="Migliaia 40 3 3 2 2" xfId="9950" xr:uid="{FD930C7C-DBDB-44AB-B812-CC15B32C6D00}"/>
    <cellStyle name="Migliaia 40 3 3 2 2 2" xfId="39611" xr:uid="{338E9DB5-42C5-4FDB-B7E4-8BC5D27C7459}"/>
    <cellStyle name="Migliaia 40 3 3 2 2 3" xfId="44913" xr:uid="{E4AC2DE6-FBF2-4053-9AE2-B35DD1718FEA}"/>
    <cellStyle name="Migliaia 40 3 3 2 3" xfId="18230" xr:uid="{CBF57C9F-4F0C-4643-B92B-3CD60D78BEF5}"/>
    <cellStyle name="Migliaia 40 3 3 2 4" xfId="20602" xr:uid="{7D66451B-58DB-49A7-B785-DC1E93F58BB0}"/>
    <cellStyle name="Migliaia 40 3 3 2 4 2" xfId="42262" xr:uid="{300FA86D-287F-4646-BB81-28BAF85FD7DB}"/>
    <cellStyle name="Migliaia 40 3 3 2 5" xfId="16545" xr:uid="{48AEBCB9-FCFE-4566-9BF7-822F46449D86}"/>
    <cellStyle name="Migliaia 40 3 3 2 6" xfId="8686" xr:uid="{63679DAC-586B-408E-99D4-6CE0150700B3}"/>
    <cellStyle name="Migliaia 40 3 3 3" xfId="6571" xr:uid="{4B56B737-966C-4DE5-9210-390C168CF428}"/>
    <cellStyle name="Migliaia 40 3 3 3 2" xfId="34069" xr:uid="{81E0AD06-1A28-4B8C-8327-8D7060339999}"/>
    <cellStyle name="Migliaia 40 3 3 3 2 2" xfId="39612" xr:uid="{A55E5618-5D11-4195-885B-1FBFBF83CA03}"/>
    <cellStyle name="Migliaia 40 3 3 3 2 3" xfId="44914" xr:uid="{4A682D39-4A31-4540-AFCA-4D8A7959A52E}"/>
    <cellStyle name="Migliaia 40 3 3 3 3" xfId="37018" xr:uid="{7FA34C57-B68F-40BB-A400-E3EC1410E6EE}"/>
    <cellStyle name="Migliaia 40 3 3 3 4" xfId="42263" xr:uid="{7D2D67B9-ED79-4885-8D45-8E2C1C62459D}"/>
    <cellStyle name="Migliaia 40 3 3 3 5" xfId="9713" xr:uid="{448FDE21-5634-4F14-879E-C25254299B04}"/>
    <cellStyle name="Migliaia 40 3 3 4" xfId="20601" xr:uid="{2A55B4EF-A455-4E69-8AF6-863116B72749}"/>
    <cellStyle name="Migliaia 40 3 3 4 2" xfId="34070" xr:uid="{3B28A62E-D9D0-4D25-A978-4EE698BC0B3C}"/>
    <cellStyle name="Migliaia 40 3 3 4 2 2" xfId="39613" xr:uid="{FD5CDB4C-722C-4712-A23A-8EDEA3009112}"/>
    <cellStyle name="Migliaia 40 3 3 4 2 3" xfId="44915" xr:uid="{EF1562DB-63F6-492E-971E-0C7D3FE0A471}"/>
    <cellStyle name="Migliaia 40 3 3 4 3" xfId="37019" xr:uid="{45AE7AF7-BE82-4374-960A-B35E51A81BF1}"/>
    <cellStyle name="Migliaia 40 3 3 4 4" xfId="42264" xr:uid="{B0D6F25C-0038-4741-ADD9-1110F78880AD}"/>
    <cellStyle name="Migliaia 40 3 3 4 5" xfId="24985" xr:uid="{BD6F092C-1A3C-4A70-B2B4-6BF24BA535C9}"/>
    <cellStyle name="Migliaia 40 3 3 5" xfId="24986" xr:uid="{C045BEDC-B9CE-4FF1-ADEE-733BCE0D4258}"/>
    <cellStyle name="Migliaia 40 3 3 5 2" xfId="34071" xr:uid="{83FA60AC-3102-4794-819B-952E09F553CF}"/>
    <cellStyle name="Migliaia 40 3 3 5 2 2" xfId="39614" xr:uid="{5F7342DD-94C9-4907-991C-DECE57448872}"/>
    <cellStyle name="Migliaia 40 3 3 5 2 3" xfId="44916" xr:uid="{A670482B-53B1-434C-9716-1B608F79020F}"/>
    <cellStyle name="Migliaia 40 3 3 5 3" xfId="37020" xr:uid="{EED44E00-8384-4355-B945-BF6D4850440A}"/>
    <cellStyle name="Migliaia 40 3 3 5 4" xfId="42265" xr:uid="{5D7250B3-139D-42E8-BAE0-E183B42129DE}"/>
    <cellStyle name="Migliaia 40 3 3 6" xfId="34067" xr:uid="{1F7DC8A6-F5CB-4212-A8CA-4D49CE071E67}"/>
    <cellStyle name="Migliaia 40 3 3 6 2" xfId="39610" xr:uid="{008E8585-6FDC-4C0F-86C1-0A43E77AF85E}"/>
    <cellStyle name="Migliaia 40 3 3 6 3" xfId="44912" xr:uid="{7986AD2C-CFFC-4A7E-BE33-10D9C9B9787E}"/>
    <cellStyle name="Migliaia 40 3 3 7" xfId="37016" xr:uid="{DA64C292-C3D0-492D-8D65-408FD23E820F}"/>
    <cellStyle name="Migliaia 40 3 3 8" xfId="42261" xr:uid="{3313C9EF-952F-48CF-B2D3-ADD10C7B52FF}"/>
    <cellStyle name="Migliaia 40 3 3 9" xfId="16544" xr:uid="{2D2C9F21-679B-4411-AD4D-07DD7DD4B44A}"/>
    <cellStyle name="Migliaia 40 3 4" xfId="3656" xr:uid="{5BF90421-885E-4F28-A225-FB810E49DA92}"/>
    <cellStyle name="Migliaia 40 3 4 2" xfId="5382" xr:uid="{EB25D9ED-CEB4-484C-8702-F64C5F24969E}"/>
    <cellStyle name="Migliaia 40 3 4 2 2" xfId="14457" xr:uid="{CBDB46AE-FEE8-4079-9FA3-EC34121AEDE9}"/>
    <cellStyle name="Migliaia 40 3 4 2 3" xfId="18581" xr:uid="{C704AFF7-F7EE-46FC-9344-740F87DEC0A7}"/>
    <cellStyle name="Migliaia 40 3 4 2 4" xfId="20604" xr:uid="{59EE7D13-C229-40C5-B3B5-0FEFB139DF0B}"/>
    <cellStyle name="Migliaia 40 3 4 2 5" xfId="32413" xr:uid="{017B6750-60A0-4950-88EA-E4D1FBBFB467}"/>
    <cellStyle name="Migliaia 40 3 4 2 6" xfId="16547" xr:uid="{A2DC02B6-BDAA-483B-828B-CBAF4CCF9E20}"/>
    <cellStyle name="Migliaia 40 3 4 2 7" xfId="8880" xr:uid="{1D600F0A-02AC-49ED-A165-A62A28F1D5AC}"/>
    <cellStyle name="Migliaia 40 3 4 3" xfId="6572" xr:uid="{7C3F7D3E-F9F0-420A-B3E9-593B739973B5}"/>
    <cellStyle name="Migliaia 40 3 4 3 2" xfId="35363" xr:uid="{F497F27D-E790-450B-B137-516EF82E5975}"/>
    <cellStyle name="Migliaia 40 3 4 3 2 2" xfId="40523" xr:uid="{F7E571A0-E0AB-406B-AC33-A6C23408C09E}"/>
    <cellStyle name="Migliaia 40 3 4 3 2 3" xfId="45825" xr:uid="{E6C5BF17-54F5-41C8-8D3D-874EABBA7C6A}"/>
    <cellStyle name="Migliaia 40 3 4 3 3" xfId="37872" xr:uid="{DBF30D78-C7E2-4186-82C7-1DE80676F1BA}"/>
    <cellStyle name="Migliaia 40 3 4 3 4" xfId="43174" xr:uid="{B71AB9CA-6440-4DC9-ADDA-29FA7854904C}"/>
    <cellStyle name="Migliaia 40 3 4 3 5" xfId="13705" xr:uid="{6E34F8A4-193D-4588-8A07-533E100667F2}"/>
    <cellStyle name="Migliaia 40 3 4 4" xfId="20603" xr:uid="{3871E044-EBB6-491C-A49B-D34255558F73}"/>
    <cellStyle name="Migliaia 40 3 4 4 2" xfId="39615" xr:uid="{2A80D6BF-7D71-4CBB-8B7B-997F8EBCCDE6}"/>
    <cellStyle name="Migliaia 40 3 4 4 3" xfId="44917" xr:uid="{60D36D2F-F942-4EE8-B656-A540CE671EE8}"/>
    <cellStyle name="Migliaia 40 3 4 4 4" xfId="34072" xr:uid="{B9BCE288-995F-46A4-8723-DDA627131B84}"/>
    <cellStyle name="Migliaia 40 3 4 5" xfId="37021" xr:uid="{CBA9DA06-2911-4CD1-A067-799891164B91}"/>
    <cellStyle name="Migliaia 40 3 4 6" xfId="42266" xr:uid="{F3A856E8-A7D2-47D1-BB30-22D8F4BAF987}"/>
    <cellStyle name="Migliaia 40 3 4 7" xfId="16546" xr:uid="{EB8C3C29-A82F-479A-A401-9979635B0F0D}"/>
    <cellStyle name="Migliaia 40 3 4 8" xfId="7690" xr:uid="{72A155EA-EFFC-4779-B359-F929878ADA6A}"/>
    <cellStyle name="Migliaia 40 3 5" xfId="3657" xr:uid="{B82AF4CB-65B2-42CF-90C8-D0A33967B291}"/>
    <cellStyle name="Migliaia 40 3 5 2" xfId="5383" xr:uid="{26DFB600-A41E-4C5B-ABB0-60AEF244E8D7}"/>
    <cellStyle name="Migliaia 40 3 5 2 2" xfId="35364" xr:uid="{F53B499F-D5B6-40BC-B87A-83E679B7EF5C}"/>
    <cellStyle name="Migliaia 40 3 5 2 2 2" xfId="40524" xr:uid="{03C8A4E2-D2A8-4BAE-AC7F-93BE277062F5}"/>
    <cellStyle name="Migliaia 40 3 5 2 2 3" xfId="45826" xr:uid="{C80AA801-26D5-4123-A536-07602CF39FE6}"/>
    <cellStyle name="Migliaia 40 3 5 2 3" xfId="37873" xr:uid="{19B5455E-8F9F-4596-86D6-6101D28AA084}"/>
    <cellStyle name="Migliaia 40 3 5 2 4" xfId="43175" xr:uid="{0A03221F-E1C4-45E0-A4FE-137FAADB35BF}"/>
    <cellStyle name="Migliaia 40 3 5 2 5" xfId="14283" xr:uid="{D29D81AE-CED6-4AFA-ADDC-058EE29863CC}"/>
    <cellStyle name="Migliaia 40 3 5 3" xfId="6573" xr:uid="{BF77D1C9-BEDE-4822-9AC6-935ABF49A4F5}"/>
    <cellStyle name="Migliaia 40 3 5 3 2" xfId="39616" xr:uid="{2B5DCFA1-E127-437B-A834-E1B5B313571B}"/>
    <cellStyle name="Migliaia 40 3 5 3 3" xfId="44918" xr:uid="{550B641E-3CF6-4CA9-950B-F0D0A6DF9658}"/>
    <cellStyle name="Migliaia 40 3 5 3 4" xfId="34073" xr:uid="{9F6CD954-CD42-40F5-9E07-C1A5166CC93D}"/>
    <cellStyle name="Migliaia 40 3 5 3 5" xfId="20605" xr:uid="{63635582-6B95-4EFB-8387-B55BF3A763BE}"/>
    <cellStyle name="Migliaia 40 3 5 4" xfId="37022" xr:uid="{95D7FBF1-BF27-4B59-AE01-C208583A31BB}"/>
    <cellStyle name="Migliaia 40 3 5 5" xfId="42267" xr:uid="{80C25C73-A5AA-48ED-8968-E3C5ABA02883}"/>
    <cellStyle name="Migliaia 40 3 5 6" xfId="16548" xr:uid="{9DB7B4DA-A06C-4A88-A3E9-2D033EAFED16}"/>
    <cellStyle name="Migliaia 40 3 5 7" xfId="8345" xr:uid="{72746BFE-D190-46FB-A678-D3ABBB7F9D00}"/>
    <cellStyle name="Migliaia 40 3 6" xfId="5378" xr:uid="{301BF274-5B41-4690-89C4-21264D90D556}"/>
    <cellStyle name="Migliaia 40 3 6 2" xfId="13988" xr:uid="{81B23282-D4AD-4314-87D9-9F2E5E5E357C}"/>
    <cellStyle name="Migliaia 40 3 6 2 2" xfId="39617" xr:uid="{29B801F0-1D51-4C55-B8C9-4B4038BF8D4E}"/>
    <cellStyle name="Migliaia 40 3 6 2 3" xfId="44919" xr:uid="{B8093332-39CD-4DB0-A300-A30A4139B8DA}"/>
    <cellStyle name="Migliaia 40 3 6 3" xfId="18700" xr:uid="{FB1DE14F-A872-4458-9939-93114744910D}"/>
    <cellStyle name="Migliaia 40 3 6 4" xfId="20606" xr:uid="{E3F5E471-8E22-4792-A4EE-3FFF1FC2AB89}"/>
    <cellStyle name="Migliaia 40 3 6 4 2" xfId="42268" xr:uid="{81509DAD-8167-43C8-9BD9-C7FBF69AAF5E}"/>
    <cellStyle name="Migliaia 40 3 6 5" xfId="16549" xr:uid="{B73FE2FE-188E-465A-8DCC-4F60AB0736A3}"/>
    <cellStyle name="Migliaia 40 3 6 6" xfId="7960" xr:uid="{4F7B7B31-3674-42A4-98EC-44E5DFCFBF98}"/>
    <cellStyle name="Migliaia 40 3 7" xfId="6568" xr:uid="{62936169-4996-446A-BC76-A8D45F6E83A5}"/>
    <cellStyle name="Migliaia 40 3 7 2" xfId="34074" xr:uid="{329FA9D4-6492-46FC-9568-D87EB3DBBD8B}"/>
    <cellStyle name="Migliaia 40 3 7 2 2" xfId="39618" xr:uid="{C80B2A7B-233A-4D33-BF9A-B69CBA9EC3AB}"/>
    <cellStyle name="Migliaia 40 3 7 2 3" xfId="44920" xr:uid="{29A740FD-55FB-4D55-AFC4-4C0EC7344586}"/>
    <cellStyle name="Migliaia 40 3 7 3" xfId="37023" xr:uid="{748D622B-A3BA-4CFA-8EFE-822D03EE473E}"/>
    <cellStyle name="Migliaia 40 3 7 4" xfId="42269" xr:uid="{41239423-2F64-4A0F-A065-02652E798543}"/>
    <cellStyle name="Migliaia 40 3 7 5" xfId="11532" xr:uid="{0EEC25BB-B7B5-4068-808F-E2910C2C4FB8}"/>
    <cellStyle name="Migliaia 40 3 8" xfId="3652" xr:uid="{F9EAA708-C0B7-4368-A467-4A951CA22227}"/>
    <cellStyle name="Migliaia 40 3 8 2" xfId="34075" xr:uid="{2F682A28-0FAE-42A4-A8B2-93DF76916B73}"/>
    <cellStyle name="Migliaia 40 3 8 2 2" xfId="39619" xr:uid="{F39F519E-2E29-4E08-AB93-6412A67CCC2F}"/>
    <cellStyle name="Migliaia 40 3 8 2 3" xfId="44921" xr:uid="{1492D772-D02F-48C2-8836-7DC685390989}"/>
    <cellStyle name="Migliaia 40 3 8 3" xfId="37024" xr:uid="{37DA97E3-A9DF-424A-A5CD-5B014D6203EC}"/>
    <cellStyle name="Migliaia 40 3 8 4" xfId="42270" xr:uid="{3ADD2D22-68DD-42B6-9B79-8B4CD2177985}"/>
    <cellStyle name="Migliaia 40 3 8 5" xfId="24988" xr:uid="{C0EDC8E3-D8D0-40C5-9181-0FF668785129}"/>
    <cellStyle name="Migliaia 40 3 8 6" xfId="17325" xr:uid="{A5B8E9DD-EE34-4B59-A6EE-53F1F9CB2EE0}"/>
    <cellStyle name="Migliaia 40 3 9" xfId="20597" xr:uid="{92D5239F-6D1A-4D5F-BF16-C35AC1E0E76C}"/>
    <cellStyle name="Migliaia 40 4" xfId="1828" xr:uid="{00000000-0005-0000-0000-0000F7030000}"/>
    <cellStyle name="Migliaia 40 4 2" xfId="1829" xr:uid="{00000000-0005-0000-0000-0000F8030000}"/>
    <cellStyle name="Migliaia 40 4 2 2" xfId="5385" xr:uid="{AA74ED43-0770-4DB1-B220-2A2EF229484D}"/>
    <cellStyle name="Migliaia 40 4 2 2 2" xfId="34076" xr:uid="{785C804F-F4EF-45FC-84C6-649A7DC3125A}"/>
    <cellStyle name="Migliaia 40 4 2 2 2 2" xfId="39620" xr:uid="{49EF8C30-DB6A-424D-B1A1-37390C38E3C9}"/>
    <cellStyle name="Migliaia 40 4 2 2 2 3" xfId="44922" xr:uid="{F35D67E5-6B19-4F12-9C1A-885DA2F7FEBC}"/>
    <cellStyle name="Migliaia 40 4 2 2 3" xfId="37025" xr:uid="{592825EF-4CFB-4455-A782-909D60BFD3DE}"/>
    <cellStyle name="Migliaia 40 4 2 2 4" xfId="42271" xr:uid="{D0EFE4C3-8D3C-46FB-BB40-EA856416D73F}"/>
    <cellStyle name="Migliaia 40 4 2 2 5" xfId="9176" xr:uid="{28C07F2B-6C87-4A17-A9B6-3158DFC2E0E5}"/>
    <cellStyle name="Migliaia 40 4 2 3" xfId="3659" xr:uid="{91CD397F-3049-4EA6-8EAA-BF7D9665F7B0}"/>
    <cellStyle name="Migliaia 40 4 2 3 2" xfId="34077" xr:uid="{A3344A57-6CA1-4045-8DA3-8F005F583A77}"/>
    <cellStyle name="Migliaia 40 4 2 3 2 2" xfId="39621" xr:uid="{3D308363-A9C1-481E-95BA-756BBCB58B00}"/>
    <cellStyle name="Migliaia 40 4 2 3 2 3" xfId="44923" xr:uid="{66B54AAD-CE7B-48E3-8453-F78BC3E9684D}"/>
    <cellStyle name="Migliaia 40 4 2 3 3" xfId="37026" xr:uid="{D6A7E3C6-5F36-42FA-8802-0FABE70D009E}"/>
    <cellStyle name="Migliaia 40 4 2 3 4" xfId="42272" xr:uid="{6A89BFF9-CCAA-451A-BD92-6C78CE99A2E9}"/>
    <cellStyle name="Migliaia 40 4 2 3 5" xfId="12025" xr:uid="{5217B6FD-5048-4592-89C5-9CF79258A543}"/>
    <cellStyle name="Migliaia 40 4 2 4" xfId="11374" xr:uid="{CD7AB2F7-04CD-445D-85A8-0487DE0D5A0E}"/>
    <cellStyle name="Migliaia 40 4 2 5" xfId="10906" xr:uid="{C39A7557-3E72-4B94-88A6-8BFC83B17E97}"/>
    <cellStyle name="Migliaia 40 4 2 5 2" xfId="21541" xr:uid="{FF7A80FE-0E33-4AB0-AA3F-91B4922DD8E4}"/>
    <cellStyle name="Migliaia 40 4 2 5 3" xfId="47117" xr:uid="{2349D9E2-CC04-4338-A724-FB795DD5E706}"/>
    <cellStyle name="Migliaia 40 4 2 5 4" xfId="50556" xr:uid="{C958D9C6-A11B-4E35-864B-F51CA613C0B0}"/>
    <cellStyle name="Migliaia 40 4 2 5 5" xfId="53572" xr:uid="{6754080B-628F-4031-82A9-E51E9C7F82CB}"/>
    <cellStyle name="Migliaia 40 4 2 6" xfId="20608" xr:uid="{35685CC0-B8E9-4DA6-AFE7-F3F70D7D6C4D}"/>
    <cellStyle name="Migliaia 40 4 2 7" xfId="24990" xr:uid="{E6190895-C543-4C73-9FE5-000E9595ECEF}"/>
    <cellStyle name="Migliaia 40 4 2 8" xfId="8688" xr:uid="{3C5BD1E1-DADC-4377-A886-F18E646A85E6}"/>
    <cellStyle name="Migliaia 40 4 3" xfId="5384" xr:uid="{715ECAF9-CAAE-4B82-86B5-E4B4EAD8F797}"/>
    <cellStyle name="Migliaia 40 4 3 2" xfId="18231" xr:uid="{FD3D6B1A-5C4D-46D6-8663-B41D99BDE4A5}"/>
    <cellStyle name="Migliaia 40 4 3 2 2" xfId="39622" xr:uid="{24F5DAD0-F68B-491D-95FC-96EF0574B2CA}"/>
    <cellStyle name="Migliaia 40 4 3 2 3" xfId="44924" xr:uid="{48181987-2713-45D6-B91C-6BAD74FC9B30}"/>
    <cellStyle name="Migliaia 40 4 3 3" xfId="37027" xr:uid="{C52342F5-AEC5-4B08-890E-E37DE51627AE}"/>
    <cellStyle name="Migliaia 40 4 3 4" xfId="42273" xr:uid="{43A885C3-1CA7-4E1E-AD19-4ABCA41E9FB6}"/>
    <cellStyle name="Migliaia 40 4 3 5" xfId="17323" xr:uid="{86C0BA01-993A-4F2B-BD50-732D2C37C9A7}"/>
    <cellStyle name="Migliaia 40 4 3 6" xfId="9177" xr:uid="{8DB15B35-D767-4BF7-A440-889F5A47E9AF}"/>
    <cellStyle name="Migliaia 40 4 4" xfId="6574" xr:uid="{4AF5CBA4-47CD-4D1F-9798-D5A4A0616AB4}"/>
    <cellStyle name="Migliaia 40 4 4 2" xfId="34078" xr:uid="{F286C3FE-59B2-4CEA-9E96-C8543763D4CB}"/>
    <cellStyle name="Migliaia 40 4 4 2 2" xfId="39623" xr:uid="{F7374414-EC92-459D-8841-972920D16575}"/>
    <cellStyle name="Migliaia 40 4 4 2 3" xfId="44925" xr:uid="{6C3B6F1A-314B-4F8C-869E-C5FCD62ACA06}"/>
    <cellStyle name="Migliaia 40 4 4 3" xfId="37028" xr:uid="{82418CF3-68A8-4596-A0E8-51F8B2211BAB}"/>
    <cellStyle name="Migliaia 40 4 4 4" xfId="42274" xr:uid="{57A2F23D-1D16-4F06-A5F2-34B4403AFB6C}"/>
    <cellStyle name="Migliaia 40 4 4 5" xfId="12026" xr:uid="{914B5EF7-274A-4D34-A2BD-DA79417EB145}"/>
    <cellStyle name="Migliaia 40 4 5" xfId="3658" xr:uid="{99583DAC-1F90-4E1E-9BD8-973810CD5882}"/>
    <cellStyle name="Migliaia 40 4 5 2" xfId="34079" xr:uid="{E332A127-5E72-4431-9AC2-455D2C2DD19B}"/>
    <cellStyle name="Migliaia 40 4 5 2 2" xfId="39624" xr:uid="{0F271002-E442-483A-B822-63DE12CF37BB}"/>
    <cellStyle name="Migliaia 40 4 5 2 3" xfId="44926" xr:uid="{615EDD98-D97B-4D5C-93B5-5D76D29F78B3}"/>
    <cellStyle name="Migliaia 40 4 5 3" xfId="37029" xr:uid="{72AB533B-6542-4F25-A85C-36CC21D13C46}"/>
    <cellStyle name="Migliaia 40 4 5 4" xfId="42275" xr:uid="{12FFC233-9DE6-435E-8358-B2140108E927}"/>
    <cellStyle name="Migliaia 40 4 5 5" xfId="11373" xr:uid="{4909B722-028A-4686-AD15-ECA185BADCBA}"/>
    <cellStyle name="Migliaia 40 4 6" xfId="10905" xr:uid="{ABB9ECA4-878A-4A3D-8AAE-1775C34294D9}"/>
    <cellStyle name="Migliaia 40 4 6 2" xfId="21540" xr:uid="{2584420C-8894-4607-A686-B2507BDAB698}"/>
    <cellStyle name="Migliaia 40 4 6 2 2" xfId="39625" xr:uid="{AB88646B-6853-4FD9-9DD1-BD024377660F}"/>
    <cellStyle name="Migliaia 40 4 6 2 3" xfId="44927" xr:uid="{46017A9F-1BC3-45B2-A60A-52C4ABC13595}"/>
    <cellStyle name="Migliaia 40 4 6 2 4" xfId="34080" xr:uid="{6050C3C5-E234-4B40-BB40-D3152D82C6FE}"/>
    <cellStyle name="Migliaia 40 4 6 3" xfId="37030" xr:uid="{4EF83D5A-82AE-4CE6-9049-FB9E1DB12E6A}"/>
    <cellStyle name="Migliaia 40 4 6 4" xfId="42276" xr:uid="{2B543BF4-A71F-4925-8BD4-E6C15F949FDD}"/>
    <cellStyle name="Migliaia 40 4 6 5" xfId="24991" xr:uid="{2B0C10BF-F086-4F6C-845D-A9CFD4B527D7}"/>
    <cellStyle name="Migliaia 40 4 6 6" xfId="46257" xr:uid="{2F6EC5C3-08AB-4B32-A93A-B4646869E666}"/>
    <cellStyle name="Migliaia 40 4 6 7" xfId="50555" xr:uid="{789A4F5E-B80A-4AA0-BF2D-7D556A5A78B8}"/>
    <cellStyle name="Migliaia 40 4 6 8" xfId="53571" xr:uid="{2AF2948F-D73D-462F-B16A-7F94561E9B1B}"/>
    <cellStyle name="Migliaia 40 4 7" xfId="20607" xr:uid="{04A34A60-109D-4D42-B94A-E7090C09C79C}"/>
    <cellStyle name="Migliaia 40 4 7 2" xfId="34081" xr:uid="{7D738F1D-0AD3-4FB2-A819-190E4FC61105}"/>
    <cellStyle name="Migliaia 40 4 7 2 2" xfId="39626" xr:uid="{042ECC34-0E3B-47E2-9BE9-BCEF19211DC5}"/>
    <cellStyle name="Migliaia 40 4 7 2 3" xfId="44928" xr:uid="{FCC6CFC9-67DD-447C-B3BC-C413B44B3283}"/>
    <cellStyle name="Migliaia 40 4 7 3" xfId="37031" xr:uid="{F68C515C-B223-483E-8F6D-19E5E3317B7E}"/>
    <cellStyle name="Migliaia 40 4 7 4" xfId="42277" xr:uid="{E651993A-DEFD-49DA-8D41-51D29C6D9B4A}"/>
    <cellStyle name="Migliaia 40 4 7 5" xfId="24992" xr:uid="{0599B0AF-25D5-4407-9F31-D313EF83CC9B}"/>
    <cellStyle name="Migliaia 40 4 8" xfId="24989" xr:uid="{C6628F42-F84B-4D92-A259-5D0796DFB4B9}"/>
    <cellStyle name="Migliaia 40 4 9" xfId="7498" xr:uid="{5F9FA653-DC98-45B3-AA82-D3B686A6A9BC}"/>
    <cellStyle name="Migliaia 40 5" xfId="1830" xr:uid="{00000000-0005-0000-0000-0000F9030000}"/>
    <cellStyle name="Migliaia 40 5 2" xfId="5386" xr:uid="{2B1B3094-218A-499B-8251-3AE58343F96A}"/>
    <cellStyle name="Migliaia 40 5 2 2" xfId="18466" xr:uid="{F810B180-9973-4E8A-91B3-F102CEE22321}"/>
    <cellStyle name="Migliaia 40 5 2 2 2" xfId="39627" xr:uid="{EAF040A4-E18E-44F0-9CA7-1020B0771C14}"/>
    <cellStyle name="Migliaia 40 5 2 2 3" xfId="44929" xr:uid="{857FEEFF-F36C-488F-86AC-C1374AE84439}"/>
    <cellStyle name="Migliaia 40 5 2 3" xfId="20610" xr:uid="{35637244-69E2-42DD-978A-1DC1F6540E66}"/>
    <cellStyle name="Migliaia 40 5 2 3 2" xfId="37032" xr:uid="{54F0782E-0866-4A36-B12A-346A07EF5B33}"/>
    <cellStyle name="Migliaia 40 5 2 4" xfId="42278" xr:uid="{0272DE28-C21C-4673-B016-11CC39051218}"/>
    <cellStyle name="Migliaia 40 5 2 5" xfId="16550" xr:uid="{F0C9E0DA-CF3E-4DF7-9E12-08ED8D985478}"/>
    <cellStyle name="Migliaia 40 5 2 6" xfId="8689" xr:uid="{84328031-C691-4265-A008-41A6264970E0}"/>
    <cellStyle name="Migliaia 40 5 3" xfId="6575" xr:uid="{987F6F85-51C7-4FD8-A150-A9794AC2E39E}"/>
    <cellStyle name="Migliaia 40 5 3 2" xfId="34082" xr:uid="{7439DF7B-C9A3-43DB-B2A3-E1A3FA6FC2F0}"/>
    <cellStyle name="Migliaia 40 5 3 2 2" xfId="39628" xr:uid="{CEDD7DFD-D47B-424B-A7D1-B6E074D530DF}"/>
    <cellStyle name="Migliaia 40 5 3 2 3" xfId="44930" xr:uid="{97149C99-F9B4-4D0E-9225-D69586A9338C}"/>
    <cellStyle name="Migliaia 40 5 3 3" xfId="37033" xr:uid="{E86D55BF-83D2-433B-9371-C00EC76862C6}"/>
    <cellStyle name="Migliaia 40 5 3 4" xfId="42279" xr:uid="{959698A7-7FAC-46C9-ABB6-BCD100F77D30}"/>
    <cellStyle name="Migliaia 40 5 3 5" xfId="11375" xr:uid="{B7884250-E043-453A-BE35-6CCFA32F13C9}"/>
    <cellStyle name="Migliaia 40 5 4" xfId="3660" xr:uid="{D7DF010E-A659-4CE0-AE21-F847E91B1374}"/>
    <cellStyle name="Migliaia 40 5 4 2" xfId="21542" xr:uid="{B302A748-1DEB-4C8B-87DA-F0F95CE3DA48}"/>
    <cellStyle name="Migliaia 40 5 4 2 2" xfId="39629" xr:uid="{D6716C6E-EAC1-40AE-8275-EBB7999B706D}"/>
    <cellStyle name="Migliaia 40 5 4 2 3" xfId="44931" xr:uid="{82A7EAFA-74D8-469B-93F5-3103B955EEBE}"/>
    <cellStyle name="Migliaia 40 5 4 2 4" xfId="34083" xr:uid="{10A4D5D6-D1B0-4188-9D17-5BB7B6D18087}"/>
    <cellStyle name="Migliaia 40 5 4 3" xfId="37034" xr:uid="{66703E32-8A7D-46CC-BD23-344323D74048}"/>
    <cellStyle name="Migliaia 40 5 4 4" xfId="42280" xr:uid="{C67B50E9-14D7-41CF-B914-B0B30CE8272D}"/>
    <cellStyle name="Migliaia 40 5 4 5" xfId="24994" xr:uid="{50A77049-0C40-441D-A8B9-7C9DA6EE04A7}"/>
    <cellStyle name="Migliaia 40 5 4 6" xfId="47424" xr:uid="{5E709F3E-FD5D-44AA-82FC-692A595FE1D3}"/>
    <cellStyle name="Migliaia 40 5 4 7" xfId="50557" xr:uid="{883338AD-E35D-4EC4-A104-A370C217D2B4}"/>
    <cellStyle name="Migliaia 40 5 4 8" xfId="53573" xr:uid="{1620A3B6-C00D-46EB-8823-E09AA3095666}"/>
    <cellStyle name="Migliaia 40 5 4 9" xfId="10907" xr:uid="{544F6EB5-440B-4382-8BFA-B5D4E1D67258}"/>
    <cellStyle name="Migliaia 40 5 5" xfId="20609" xr:uid="{BBF0756B-D001-428A-9987-5C263B525A9B}"/>
    <cellStyle name="Migliaia 40 5 5 2" xfId="34084" xr:uid="{FF75B541-53CE-410D-B4CE-652AC8533411}"/>
    <cellStyle name="Migliaia 40 5 5 2 2" xfId="39630" xr:uid="{08403872-3C3B-49AC-913E-66E6CC3523DB}"/>
    <cellStyle name="Migliaia 40 5 5 2 3" xfId="44932" xr:uid="{BB88B5E4-73A2-4998-8F82-3F1746E87917}"/>
    <cellStyle name="Migliaia 40 5 5 3" xfId="37035" xr:uid="{036C4B80-AF1C-4BE3-B995-E6A911A785FB}"/>
    <cellStyle name="Migliaia 40 5 5 4" xfId="42281" xr:uid="{D12FDDAF-AE83-429E-88BD-90110A78C1CB}"/>
    <cellStyle name="Migliaia 40 5 5 5" xfId="24995" xr:uid="{BFF5CC7D-7900-4B54-99E3-04166F1835F1}"/>
    <cellStyle name="Migliaia 40 5 6" xfId="24996" xr:uid="{4FAE78D5-7BC9-467E-8738-D50E292C9416}"/>
    <cellStyle name="Migliaia 40 5 6 2" xfId="34085" xr:uid="{16248633-8B13-49A4-8986-2F0B53F062E3}"/>
    <cellStyle name="Migliaia 40 5 6 2 2" xfId="39631" xr:uid="{DE91ED99-4480-491E-823F-F2863E3FBF4F}"/>
    <cellStyle name="Migliaia 40 5 6 2 3" xfId="44933" xr:uid="{AB463BD3-663B-4D02-83CF-3CA7CC40C3DF}"/>
    <cellStyle name="Migliaia 40 5 6 3" xfId="37036" xr:uid="{EF4393D0-E107-4F09-B06B-EE817E1616A5}"/>
    <cellStyle name="Migliaia 40 5 6 4" xfId="42282" xr:uid="{FDCB282C-0DAC-4D90-A0D4-1586F914D0C4}"/>
    <cellStyle name="Migliaia 40 5 7" xfId="24993" xr:uid="{8D52C39E-1CC5-4FBE-BE65-D67F77BDD9FF}"/>
    <cellStyle name="Migliaia 40 5 8" xfId="7499" xr:uid="{77FB37A9-369D-4A6B-B86D-6FD6631D8DC4}"/>
    <cellStyle name="Migliaia 40 6" xfId="3661" xr:uid="{E19F1F50-49B5-4762-A31B-6464AEF3D2AE}"/>
    <cellStyle name="Migliaia 40 6 2" xfId="5387" xr:uid="{7FAEAEA1-518F-4A9F-B1B9-2D21F8853E18}"/>
    <cellStyle name="Migliaia 40 6 2 2" xfId="9949" xr:uid="{B9E91C0C-392E-4356-9829-5D8E8A36E6BF}"/>
    <cellStyle name="Migliaia 40 6 2 3" xfId="18646" xr:uid="{A3C41829-003F-414C-B1DF-F1349D5573E9}"/>
    <cellStyle name="Migliaia 40 6 2 4" xfId="20612" xr:uid="{F2B73CAB-E1AB-448A-8BF4-15003BA2F6A6}"/>
    <cellStyle name="Migliaia 40 6 2 5" xfId="32415" xr:uid="{C82B02D1-5EFF-435C-A588-317334C829B1}"/>
    <cellStyle name="Migliaia 40 6 2 6" xfId="16552" xr:uid="{2F679070-BBA7-4666-B7C7-0E51131808D0}"/>
    <cellStyle name="Migliaia 40 6 2 7" xfId="8684" xr:uid="{71A4D4FB-4436-4155-9281-6D24B5AA398A}"/>
    <cellStyle name="Migliaia 40 6 3" xfId="6576" xr:uid="{39B3B163-CA0D-476B-9A97-B455440E06D3}"/>
    <cellStyle name="Migliaia 40 6 3 2" xfId="35365" xr:uid="{03591050-0099-40A8-95A7-2745B527336B}"/>
    <cellStyle name="Migliaia 40 6 3 2 2" xfId="40525" xr:uid="{C2457F58-85F3-4E92-B5E5-D043925999BA}"/>
    <cellStyle name="Migliaia 40 6 3 2 3" xfId="45827" xr:uid="{2A9F7C8E-6636-4326-92C8-FED8AC20769D}"/>
    <cellStyle name="Migliaia 40 6 3 3" xfId="37874" xr:uid="{964C0130-6577-4C05-BD83-CBE8EA9657D8}"/>
    <cellStyle name="Migliaia 40 6 3 4" xfId="43176" xr:uid="{E7F97524-B8FF-4060-BFB6-268E095D2B37}"/>
    <cellStyle name="Migliaia 40 6 3 5" xfId="9712" xr:uid="{7BEC77F4-FAEF-4C4F-B170-B284F855BFEC}"/>
    <cellStyle name="Migliaia 40 6 4" xfId="20611" xr:uid="{D0625238-8FDD-49F9-928F-EBC32016A4D0}"/>
    <cellStyle name="Migliaia 40 6 4 2" xfId="39632" xr:uid="{DAB74FFD-CBBC-4E33-985F-C46F16FF8F2B}"/>
    <cellStyle name="Migliaia 40 6 4 3" xfId="44934" xr:uid="{A1520CFC-64A4-492E-ADFC-CE003217976D}"/>
    <cellStyle name="Migliaia 40 6 4 4" xfId="34086" xr:uid="{FE5C0BD0-4486-4C6C-89FD-144EE87528E4}"/>
    <cellStyle name="Migliaia 40 6 5" xfId="37037" xr:uid="{173029BC-859D-4B14-A19E-81AE103F1F54}"/>
    <cellStyle name="Migliaia 40 6 6" xfId="42283" xr:uid="{8EF396F5-629E-4F77-BEE6-2B892FE1F21F}"/>
    <cellStyle name="Migliaia 40 6 7" xfId="16551" xr:uid="{815B2047-1933-446F-9452-E5A5F5ECE689}"/>
    <cellStyle name="Migliaia 40 6 8" xfId="7494" xr:uid="{8DE9B063-9741-4A9C-B3C1-B6B78E40CD79}"/>
    <cellStyle name="Migliaia 40 7" xfId="3662" xr:uid="{EB42B6F9-E3CE-41D2-996C-4B99324B2A42}"/>
    <cellStyle name="Migliaia 40 7 2" xfId="5388" xr:uid="{D18F02D3-C422-4293-9011-DD441643D0F8}"/>
    <cellStyle name="Migliaia 40 7 2 2" xfId="35366" xr:uid="{E2196725-8D8B-4E01-AEB3-C73C0F0E967D}"/>
    <cellStyle name="Migliaia 40 7 2 2 2" xfId="40526" xr:uid="{ADDB2E2B-C2D4-40FC-AE64-3F34BD96D2E3}"/>
    <cellStyle name="Migliaia 40 7 2 2 3" xfId="45828" xr:uid="{7BACBDC5-3C75-4170-BB6C-D3CAF3B8EE70}"/>
    <cellStyle name="Migliaia 40 7 2 3" xfId="37875" xr:uid="{E0F51F4A-C804-42E9-A0E9-B8118B75EDAB}"/>
    <cellStyle name="Migliaia 40 7 2 4" xfId="43177" xr:uid="{B14D66DF-0AC9-40C7-ACF1-4048E8EDAA79}"/>
    <cellStyle name="Migliaia 40 7 2 5" xfId="14281" xr:uid="{2F856FA3-B93D-402F-934D-92441CEC6189}"/>
    <cellStyle name="Migliaia 40 7 3" xfId="6577" xr:uid="{7E10C901-DC2B-458A-B1E2-C6B48A6BE3AE}"/>
    <cellStyle name="Migliaia 40 7 3 2" xfId="39633" xr:uid="{F4ECB484-C588-40DC-ADBB-BB23CAAC2B46}"/>
    <cellStyle name="Migliaia 40 7 3 3" xfId="44935" xr:uid="{A0343788-313D-40DE-B361-5E29011C9966}"/>
    <cellStyle name="Migliaia 40 7 3 4" xfId="34087" xr:uid="{16C4982F-E9BD-4797-BABE-478D9569839C}"/>
    <cellStyle name="Migliaia 40 7 3 5" xfId="20613" xr:uid="{F87854F1-B77B-4516-A88B-D505BB458243}"/>
    <cellStyle name="Migliaia 40 7 4" xfId="37038" xr:uid="{853290E1-B4D7-4BD8-87BA-BEA1E0AA3EAF}"/>
    <cellStyle name="Migliaia 40 7 5" xfId="42284" xr:uid="{5CE49D19-219D-4457-BDB7-A839AC61977B}"/>
    <cellStyle name="Migliaia 40 7 6" xfId="16553" xr:uid="{18BE8D33-33B9-4C6B-BCFC-B37DBF038BBF}"/>
    <cellStyle name="Migliaia 40 7 7" xfId="8343" xr:uid="{E15E6109-FA3A-441A-BA2C-B18570621DB3}"/>
    <cellStyle name="Migliaia 40 8" xfId="3663" xr:uid="{7642D7F4-7196-40D7-9C76-EA470A5BE69F}"/>
    <cellStyle name="Migliaia 40 8 2" xfId="5389" xr:uid="{20A80043-9182-4069-99C2-65386FCE7D8A}"/>
    <cellStyle name="Migliaia 40 8 2 2" xfId="35367" xr:uid="{47CD279D-1CD0-454C-ACC5-E3D9C31FECD6}"/>
    <cellStyle name="Migliaia 40 8 2 2 2" xfId="40527" xr:uid="{113291C4-D0B5-444C-9E1B-5F68E9DDD1E8}"/>
    <cellStyle name="Migliaia 40 8 2 2 3" xfId="45829" xr:uid="{D6940F22-C7B1-4538-B23E-ED9C9AC38A2E}"/>
    <cellStyle name="Migliaia 40 8 2 3" xfId="37876" xr:uid="{A70ADFA3-E7DA-4D39-8027-D54131D2B5EC}"/>
    <cellStyle name="Migliaia 40 8 2 4" xfId="43178" xr:uid="{B0AE7512-496C-4A03-A459-FEA102197AD8}"/>
    <cellStyle name="Migliaia 40 8 2 5" xfId="13986" xr:uid="{513AD09A-7176-4EAC-9633-072BB17A0DE2}"/>
    <cellStyle name="Migliaia 40 8 3" xfId="6578" xr:uid="{EEB67D72-8A3E-44C8-AFC1-729AFAD41242}"/>
    <cellStyle name="Migliaia 40 8 3 2" xfId="39634" xr:uid="{C2D0BDFC-92A3-4EEB-ABB5-0560AE5FE1D6}"/>
    <cellStyle name="Migliaia 40 8 3 3" xfId="44936" xr:uid="{30417659-53DF-46B6-A2D3-509B1827CED8}"/>
    <cellStyle name="Migliaia 40 8 3 4" xfId="34088" xr:uid="{F0AD4526-1B34-4947-BE42-D152A2049AB1}"/>
    <cellStyle name="Migliaia 40 8 3 5" xfId="20614" xr:uid="{4EF73AD6-0A27-49EB-BDCC-5652AB3FEB74}"/>
    <cellStyle name="Migliaia 40 8 4" xfId="37039" xr:uid="{341B9EF9-2AD3-439A-A32D-8F3D5309D8C2}"/>
    <cellStyle name="Migliaia 40 8 5" xfId="42285" xr:uid="{C79790F5-4893-4C0E-8CDE-EE8EA8C062A2}"/>
    <cellStyle name="Migliaia 40 8 6" xfId="16554" xr:uid="{066F4CB0-95BF-4B96-818A-A9B02A484A1E}"/>
    <cellStyle name="Migliaia 40 8 7" xfId="7958" xr:uid="{A494FBB8-0C79-4DA0-91FB-2FECC24BE118}"/>
    <cellStyle name="Migliaia 40 9" xfId="5374" xr:uid="{98D7C1E1-CDFB-485D-92AD-13B8CD95FAEA}"/>
    <cellStyle name="Migliaia 40 9 2" xfId="34089" xr:uid="{D5FF9751-E4C2-4923-B8F5-090C63034A6C}"/>
    <cellStyle name="Migliaia 40 9 2 2" xfId="39635" xr:uid="{A3B35520-6B8B-43C8-89FE-814CC309F68E}"/>
    <cellStyle name="Migliaia 40 9 2 3" xfId="44937" xr:uid="{BE4D0E32-F966-40C0-B399-7915A87BEA08}"/>
    <cellStyle name="Migliaia 40 9 3" xfId="37040" xr:uid="{4E4FE1A1-C2A1-4C80-BE04-4D14FDE405E3}"/>
    <cellStyle name="Migliaia 40 9 4" xfId="42286" xr:uid="{E2E50AB6-A09D-4D91-AFCF-8334AD8A7B8A}"/>
    <cellStyle name="Migliaia 40 9 5" xfId="17203" xr:uid="{62EA7DEA-9E2C-4D20-AB08-C8D79363DB3B}"/>
    <cellStyle name="Migliaia 41" xfId="441" xr:uid="{00000000-0005-0000-0000-0000FA030000}"/>
    <cellStyle name="Migliaia 41 10" xfId="6579" xr:uid="{B6AE73A4-8A73-405B-8428-CE5BD40C5DA2}"/>
    <cellStyle name="Migliaia 41 10 2" xfId="39636" xr:uid="{A5CBE2C6-2B70-40F0-9B14-1DA20FB6D621}"/>
    <cellStyle name="Migliaia 41 10 3" xfId="44938" xr:uid="{FA8B788B-28DE-4F4F-9F1F-D5804197000C}"/>
    <cellStyle name="Migliaia 41 10 4" xfId="34090" xr:uid="{10ADE848-0EE2-484F-A454-DA4316CC6E57}"/>
    <cellStyle name="Migliaia 41 10 5" xfId="20615" xr:uid="{BF9EF805-F67E-4F5E-ACAE-9C664659D076}"/>
    <cellStyle name="Migliaia 41 11" xfId="3664" xr:uid="{24B1569F-0220-4C46-8137-D373FE19626E}"/>
    <cellStyle name="Migliaia 41 11 2" xfId="37041" xr:uid="{AC4963A3-3DAC-4165-9E9B-9E671103E47F}"/>
    <cellStyle name="Migliaia 41 12" xfId="42287" xr:uid="{EB96BB6F-ADF4-4EAE-AA65-7D53E055E816}"/>
    <cellStyle name="Migliaia 41 13" xfId="7147" xr:uid="{31CE06D9-FA02-4731-BD47-E7DB72557DA1}"/>
    <cellStyle name="Migliaia 41 2" xfId="442" xr:uid="{00000000-0005-0000-0000-0000FB030000}"/>
    <cellStyle name="Migliaia 41 2 2" xfId="1831" xr:uid="{00000000-0005-0000-0000-0000FC030000}"/>
    <cellStyle name="Migliaia 41 2 2 2" xfId="5392" xr:uid="{1A8EB5F1-BF4D-482B-A49F-F45BD5CF30B2}"/>
    <cellStyle name="Migliaia 41 2 2 2 2" xfId="14398" xr:uid="{90599C7F-7689-4EF5-AF68-4A2975B0CC72}"/>
    <cellStyle name="Migliaia 41 2 2 2 2 2" xfId="39637" xr:uid="{D13A4986-9F67-490B-8749-9C77226C3ED8}"/>
    <cellStyle name="Migliaia 41 2 2 2 2 3" xfId="44939" xr:uid="{264CC9D4-C86C-4D5E-A0D2-E8E7D314E513}"/>
    <cellStyle name="Migliaia 41 2 2 2 3" xfId="18467" xr:uid="{02FE4AAF-AF30-4C42-8201-E899A4CB409E}"/>
    <cellStyle name="Migliaia 41 2 2 2 4" xfId="20618" xr:uid="{ACEC91DD-DFD4-4D65-BEF5-D001E247C9E0}"/>
    <cellStyle name="Migliaia 41 2 2 2 4 2" xfId="42288" xr:uid="{3D1AF2EC-AD29-417A-B2B7-3AC37796D905}"/>
    <cellStyle name="Migliaia 41 2 2 2 5" xfId="16555" xr:uid="{298B8B99-F84E-4A33-B091-F7AB2D0A3F63}"/>
    <cellStyle name="Migliaia 41 2 2 2 6" xfId="8691" xr:uid="{A6652197-975B-47BC-93F4-5BBD081A4C4A}"/>
    <cellStyle name="Migliaia 41 2 2 3" xfId="6581" xr:uid="{08D5C62D-956C-425E-B8EA-3192A152D32B}"/>
    <cellStyle name="Migliaia 41 2 2 3 2" xfId="35368" xr:uid="{BD87902D-7561-46F4-AC8A-6D2A12E0D811}"/>
    <cellStyle name="Migliaia 41 2 2 3 2 2" xfId="40528" xr:uid="{F901F05B-3E0F-4B0A-879D-BF96C196F7A0}"/>
    <cellStyle name="Migliaia 41 2 2 3 2 3" xfId="45830" xr:uid="{6FA232C4-992A-42D0-98FA-554D0C7CA9EF}"/>
    <cellStyle name="Migliaia 41 2 2 3 3" xfId="37877" xr:uid="{0069C3B5-A09A-43E9-90A2-16F15FC4ABD7}"/>
    <cellStyle name="Migliaia 41 2 2 3 4" xfId="43179" xr:uid="{E445D6B5-A58E-4B4D-BA45-5B86FD3B4469}"/>
    <cellStyle name="Migliaia 41 2 2 3 5" xfId="11625" xr:uid="{38DFC627-820C-4108-AAF5-A13213A28634}"/>
    <cellStyle name="Migliaia 41 2 2 4" xfId="3666" xr:uid="{41DB77EF-B363-49C8-A2F1-52830D0E35F1}"/>
    <cellStyle name="Migliaia 41 2 2 4 2" xfId="21543" xr:uid="{D989958D-404E-4C78-9C70-B7B885DF3ABC}"/>
    <cellStyle name="Migliaia 41 2 2 4 3" xfId="48181" xr:uid="{787921EC-215F-42EB-9D62-04F5B23DC8DE}"/>
    <cellStyle name="Migliaia 41 2 2 4 4" xfId="50558" xr:uid="{F859E345-FBD0-4AA0-A90B-2616953EFF7F}"/>
    <cellStyle name="Migliaia 41 2 2 4 5" xfId="53574" xr:uid="{583B3DD7-C447-4F63-B246-B02BAB42C182}"/>
    <cellStyle name="Migliaia 41 2 2 4 6" xfId="10908" xr:uid="{2DF75FF2-9CF8-4A13-A4A3-952907D9C4DA}"/>
    <cellStyle name="Migliaia 41 2 2 5" xfId="20617" xr:uid="{20B697C7-0F8D-4103-88FD-E8911DCC098E}"/>
    <cellStyle name="Migliaia 41 2 2 6" xfId="24998" xr:uid="{7E7F0D22-436F-4C83-B972-50CF1480B91B}"/>
    <cellStyle name="Migliaia 41 2 2 7" xfId="7501" xr:uid="{BF9FADA5-8CC0-4806-B2D7-65BB0819FEB3}"/>
    <cellStyle name="Migliaia 41 2 3" xfId="3667" xr:uid="{755F7E7D-E15D-43D7-B9E4-F2EB3A943F41}"/>
    <cellStyle name="Migliaia 41 2 3 2" xfId="5393" xr:uid="{C359E737-32B1-4E52-AABC-0758EEB3843C}"/>
    <cellStyle name="Migliaia 41 2 3 2 2" xfId="35369" xr:uid="{47E29B2C-F0CE-4490-9D68-C2C7CC8C285A}"/>
    <cellStyle name="Migliaia 41 2 3 2 2 2" xfId="40529" xr:uid="{110BFBCB-9E83-4FCC-A46B-849142F3AC72}"/>
    <cellStyle name="Migliaia 41 2 3 2 2 3" xfId="45831" xr:uid="{A224337A-0BA1-421A-A823-EB84B6B3718A}"/>
    <cellStyle name="Migliaia 41 2 3 2 3" xfId="37878" xr:uid="{A8B53441-B723-4BE6-B604-42133C04C3FB}"/>
    <cellStyle name="Migliaia 41 2 3 2 4" xfId="43180" xr:uid="{8D8743F9-9AAC-4979-97AB-7DDC0FA195F9}"/>
    <cellStyle name="Migliaia 41 2 3 2 5" xfId="14285" xr:uid="{F0D88E17-40FB-4A9B-A8B4-8DC1524405CF}"/>
    <cellStyle name="Migliaia 41 2 3 3" xfId="6582" xr:uid="{564CD3C9-A399-447F-A669-D88D24533841}"/>
    <cellStyle name="Migliaia 41 2 3 3 2" xfId="39638" xr:uid="{CBF880B3-A8DC-48CA-B71B-161468199BCF}"/>
    <cellStyle name="Migliaia 41 2 3 3 3" xfId="44940" xr:uid="{D337CFD8-2C6D-44DF-A58C-7415B58AF85D}"/>
    <cellStyle name="Migliaia 41 2 3 3 4" xfId="34091" xr:uid="{DD18C9B2-6F88-425B-90DA-5A1DACA5920A}"/>
    <cellStyle name="Migliaia 41 2 3 3 5" xfId="20619" xr:uid="{A733A393-7C6C-46D0-8F3D-94D8960AB62B}"/>
    <cellStyle name="Migliaia 41 2 3 4" xfId="37042" xr:uid="{74A8B156-FDFB-4B93-8364-363A387A2A51}"/>
    <cellStyle name="Migliaia 41 2 3 5" xfId="42289" xr:uid="{CC29908C-8137-4EA2-ABA6-F9421805F488}"/>
    <cellStyle name="Migliaia 41 2 3 6" xfId="16556" xr:uid="{6C9D36DE-4776-41B7-8C8B-440AC56670CD}"/>
    <cellStyle name="Migliaia 41 2 3 7" xfId="8347" xr:uid="{CBAD86FF-096C-4DC7-8DAF-A3EBF4739401}"/>
    <cellStyle name="Migliaia 41 2 4" xfId="5391" xr:uid="{24FCC011-D9B2-4610-A5E0-0480C22F29F4}"/>
    <cellStyle name="Migliaia 41 2 4 2" xfId="13990" xr:uid="{E6EDDC8B-A4D3-4453-9AE2-1917E441439A}"/>
    <cellStyle name="Migliaia 41 2 4 2 2" xfId="39639" xr:uid="{1F5F2463-5A35-42D4-A15E-A6A54E993FC1}"/>
    <cellStyle name="Migliaia 41 2 4 2 3" xfId="44941" xr:uid="{8FAEF81E-26E0-4C99-8AC8-4A735694CEA6}"/>
    <cellStyle name="Migliaia 41 2 4 3" xfId="18153" xr:uid="{DAB9F0A1-A31A-4AB3-9C58-AFF939397131}"/>
    <cellStyle name="Migliaia 41 2 4 4" xfId="20620" xr:uid="{49A26813-1C63-4BBA-9BE8-B70717386228}"/>
    <cellStyle name="Migliaia 41 2 4 4 2" xfId="42290" xr:uid="{A76EAC5A-726A-4070-86C8-E41B87D34F3C}"/>
    <cellStyle name="Migliaia 41 2 4 5" xfId="16557" xr:uid="{F16D268D-B924-476C-9A55-E05707CD823B}"/>
    <cellStyle name="Migliaia 41 2 4 6" xfId="7963" xr:uid="{A712C83D-3D57-4B0D-8BDF-7A22D75663BE}"/>
    <cellStyle name="Migliaia 41 2 5" xfId="6580" xr:uid="{DE08F1CC-6040-4C85-A8B6-048A78AE9957}"/>
    <cellStyle name="Migliaia 41 2 5 2" xfId="34092" xr:uid="{93789C3B-7184-4B4D-B60D-12D083C4C411}"/>
    <cellStyle name="Migliaia 41 2 5 2 2" xfId="39640" xr:uid="{9C412E1E-E188-41F6-85AF-92E1516B4B7D}"/>
    <cellStyle name="Migliaia 41 2 5 2 3" xfId="44942" xr:uid="{397F4F0E-635E-48F9-8BE4-5F20F43F0B81}"/>
    <cellStyle name="Migliaia 41 2 5 3" xfId="37043" xr:uid="{4A7BE68C-2B60-4EF9-9BC6-328387A7BA97}"/>
    <cellStyle name="Migliaia 41 2 5 4" xfId="42291" xr:uid="{F490798F-8E89-4598-9103-A86BB7DC5A57}"/>
    <cellStyle name="Migliaia 41 2 5 5" xfId="13138" xr:uid="{6EA7C34E-6E6B-4787-AB76-CE21E2B2AF25}"/>
    <cellStyle name="Migliaia 41 2 6" xfId="3665" xr:uid="{80785BF2-9B6E-42B0-95FB-B2701C01D253}"/>
    <cellStyle name="Migliaia 41 2 6 2" xfId="34093" xr:uid="{E53A92B6-440E-4420-A4D6-556792231DE3}"/>
    <cellStyle name="Migliaia 41 2 6 2 2" xfId="39641" xr:uid="{60E51DF7-2173-4312-BFF9-F14CDF999C2C}"/>
    <cellStyle name="Migliaia 41 2 6 2 3" xfId="44943" xr:uid="{FB8A3AF2-28C3-419F-8F67-47B0BDA9E18D}"/>
    <cellStyle name="Migliaia 41 2 6 3" xfId="37044" xr:uid="{D2ABFE12-6704-4ED8-8594-8C16D61C88C1}"/>
    <cellStyle name="Migliaia 41 2 6 4" xfId="42292" xr:uid="{26F09DCC-F99C-4E38-9147-118D1EFBEFDE}"/>
    <cellStyle name="Migliaia 41 2 6 5" xfId="24999" xr:uid="{85BC1BB6-6F54-456E-A8DB-FD20A015A0E4}"/>
    <cellStyle name="Migliaia 41 2 6 6" xfId="20616" xr:uid="{08FB3022-B176-4920-9270-F573BA45862F}"/>
    <cellStyle name="Migliaia 41 2 7" xfId="24997" xr:uid="{DC0B12AB-8F25-4758-A241-0151C8F06FA0}"/>
    <cellStyle name="Migliaia 41 2 8" xfId="7148" xr:uid="{52409EC0-5D91-40F7-8958-E5EDBFFDF3A1}"/>
    <cellStyle name="Migliaia 41 3" xfId="443" xr:uid="{00000000-0005-0000-0000-0000FD030000}"/>
    <cellStyle name="Migliaia 41 3 10" xfId="25000" xr:uid="{F55983E0-C5DC-45F0-9E91-D70D7A81164D}"/>
    <cellStyle name="Migliaia 41 3 11" xfId="16558" xr:uid="{19E0B3D2-FFD6-40F2-8377-DBA6B38DBBF4}"/>
    <cellStyle name="Migliaia 41 3 12" xfId="7149" xr:uid="{77970086-BB66-420B-A16E-CECBC5ED062D}"/>
    <cellStyle name="Migliaia 41 3 2" xfId="444" xr:uid="{00000000-0005-0000-0000-0000FE030000}"/>
    <cellStyle name="Migliaia 41 3 2 2" xfId="1832" xr:uid="{00000000-0005-0000-0000-0000FF030000}"/>
    <cellStyle name="Migliaia 41 3 2 2 2" xfId="5396" xr:uid="{E7F5DF68-4D0F-42BB-98DE-F9B8C034CF0B}"/>
    <cellStyle name="Migliaia 41 3 2 2 2 2" xfId="18468" xr:uid="{DB1CAF3B-5451-4C54-A717-1281A8BC8BA8}"/>
    <cellStyle name="Migliaia 41 3 2 2 2 2 2" xfId="21876" xr:uid="{FF9C3021-14E6-42D2-8D5D-FBE402243E58}"/>
    <cellStyle name="Migliaia 41 3 2 2 2 2 2 2" xfId="39642" xr:uid="{6AC22212-D1E5-4F5E-BC37-EDEBE045CE15}"/>
    <cellStyle name="Migliaia 41 3 2 2 2 2 3" xfId="44944" xr:uid="{A3BF4A2B-A728-4B83-B86C-C0AFD9388E78}"/>
    <cellStyle name="Migliaia 41 3 2 2 2 2 4" xfId="34094" xr:uid="{E049D853-EB5B-40E2-9D20-3B283388C8B9}"/>
    <cellStyle name="Migliaia 41 3 2 2 2 3" xfId="37045" xr:uid="{E809266C-C739-4767-B5FD-FED71BC0BC17}"/>
    <cellStyle name="Migliaia 41 3 2 2 2 4" xfId="42293" xr:uid="{51FECCA5-2519-4D9F-BA04-A77D5D776C53}"/>
    <cellStyle name="Migliaia 41 3 2 2 2 5" xfId="36383" xr:uid="{1E825E1F-7B59-4273-8A23-E278C4958529}"/>
    <cellStyle name="Migliaia 41 3 2 2 2 6" xfId="50904" xr:uid="{675A1F0E-0A94-4D89-B313-A97B52400572}"/>
    <cellStyle name="Migliaia 41 3 2 2 2 7" xfId="53920" xr:uid="{EE858222-201D-4CEE-8ABD-7A74AF092A12}"/>
    <cellStyle name="Migliaia 41 3 2 2 2 8" xfId="17674" xr:uid="{23625E0B-8916-4E4D-9520-B5D40A7D0F36}"/>
    <cellStyle name="Migliaia 41 3 2 2 2 9" xfId="12027" xr:uid="{27A9CCAD-C3DB-4DFA-8942-46D1656F4EE9}"/>
    <cellStyle name="Migliaia 41 3 2 2 3" xfId="6585" xr:uid="{1023E66E-3B1E-41E0-87E5-C0623393763F}"/>
    <cellStyle name="Migliaia 41 3 2 2 3 2" xfId="11567" xr:uid="{FEC6F5D9-754B-4583-90FD-886864E413E0}"/>
    <cellStyle name="Migliaia 41 3 2 2 4" xfId="3670" xr:uid="{39CE3AC9-B03E-4EAB-BB40-6BD123818B87}"/>
    <cellStyle name="Migliaia 41 3 2 2 4 2" xfId="21544" xr:uid="{9D98EF69-61BE-4964-9FAF-C6AFBD6EECE9}"/>
    <cellStyle name="Migliaia 41 3 2 2 4 3" xfId="24241" xr:uid="{97C035E6-11A2-45A4-860C-0DA5FB208452}"/>
    <cellStyle name="Migliaia 41 3 2 2 4 4" xfId="50559" xr:uid="{5A9C2C28-CCD5-44BD-91B2-C6F72F206506}"/>
    <cellStyle name="Migliaia 41 3 2 2 4 5" xfId="53575" xr:uid="{43BA6B23-72A4-409E-BE9C-462E06CE36B1}"/>
    <cellStyle name="Migliaia 41 3 2 2 4 6" xfId="10909" xr:uid="{5D70369B-3866-4926-99BF-88ACDC8C5608}"/>
    <cellStyle name="Migliaia 41 3 2 2 5" xfId="20623" xr:uid="{7099677D-E384-4A1A-B379-1DAE1A41D0FB}"/>
    <cellStyle name="Migliaia 41 3 2 2 6" xfId="25002" xr:uid="{8EE0ACA9-B621-49BC-9FF0-FF3C4D2DB993}"/>
    <cellStyle name="Migliaia 41 3 2 2 7" xfId="8693" xr:uid="{D7D80972-ED75-4964-99DD-E970F7C4878F}"/>
    <cellStyle name="Migliaia 41 3 2 3" xfId="5395" xr:uid="{D7E725C4-924A-44F2-9F61-708986A900D2}"/>
    <cellStyle name="Migliaia 41 3 2 3 2" xfId="12407" xr:uid="{C9AE605E-7421-4709-8FC2-4F1C84A20756}"/>
    <cellStyle name="Migliaia 41 3 2 3 2 2" xfId="39643" xr:uid="{6E75FB98-F384-4F2A-AF8B-C34938F8D032}"/>
    <cellStyle name="Migliaia 41 3 2 3 2 3" xfId="44945" xr:uid="{04774580-FD8F-4194-98E0-775A36F538C5}"/>
    <cellStyle name="Migliaia 41 3 2 3 2 4" xfId="34095" xr:uid="{735DB84A-F07E-4BAF-92CF-F99E2580F904}"/>
    <cellStyle name="Migliaia 41 3 2 3 3" xfId="12028" xr:uid="{6CDF0BE9-A9B2-4174-A31B-237EC699113C}"/>
    <cellStyle name="Migliaia 41 3 2 3 4" xfId="20624" xr:uid="{D807D630-3C69-4FB6-9015-1181D7B4FECC}"/>
    <cellStyle name="Migliaia 41 3 2 3 4 2" xfId="42294" xr:uid="{8648EE54-8D27-41C4-BF64-BBA7D375699D}"/>
    <cellStyle name="Migliaia 41 3 2 3 5" xfId="16559" xr:uid="{990B157A-C57A-47CC-A9A5-EC3F26CD280B}"/>
    <cellStyle name="Migliaia 41 3 2 3 6" xfId="7965" xr:uid="{F7D4FEF9-A9CE-49FA-BDFC-390C09AB7997}"/>
    <cellStyle name="Migliaia 41 3 2 4" xfId="6584" xr:uid="{8B786F37-023B-4378-9E26-BC6294ECD313}"/>
    <cellStyle name="Migliaia 41 3 2 4 2" xfId="18092" xr:uid="{E5FE0878-7E9E-4F4A-8576-21816B744B63}"/>
    <cellStyle name="Migliaia 41 3 2 4 2 2" xfId="39644" xr:uid="{F8151C25-43F1-4F8A-AE72-A38AF26F9D8F}"/>
    <cellStyle name="Migliaia 41 3 2 4 2 3" xfId="44946" xr:uid="{C82AE960-F43B-42F7-92B6-B0C2CD5A773D}"/>
    <cellStyle name="Migliaia 41 3 2 4 3" xfId="37046" xr:uid="{F202A4E8-9ABD-48BF-8A5D-203C4429E0EA}"/>
    <cellStyle name="Migliaia 41 3 2 4 4" xfId="42295" xr:uid="{CDE32346-5D0D-47FC-ACD0-76136FD9513C}"/>
    <cellStyle name="Migliaia 41 3 2 4 5" xfId="17206" xr:uid="{F5ECD5AC-1EE8-47B8-9897-5330C9E5B718}"/>
    <cellStyle name="Migliaia 41 3 2 4 6" xfId="11376" xr:uid="{083505BB-DD07-4F15-9148-54DA9CD19D17}"/>
    <cellStyle name="Migliaia 41 3 2 5" xfId="3669" xr:uid="{F701301A-973F-44F5-84DE-75593B3F8F08}"/>
    <cellStyle name="Migliaia 41 3 2 5 2" xfId="34096" xr:uid="{38A07DA2-8954-49AD-89C3-F36C7A413C90}"/>
    <cellStyle name="Migliaia 41 3 2 5 2 2" xfId="39645" xr:uid="{281B793F-989A-4765-877F-B85516EB3DD3}"/>
    <cellStyle name="Migliaia 41 3 2 5 2 3" xfId="44947" xr:uid="{FF840C0A-040B-4721-8DAC-1D5E1B9FB948}"/>
    <cellStyle name="Migliaia 41 3 2 5 3" xfId="37047" xr:uid="{42A7C774-9FE0-4305-8DE2-67D2194DDCC7}"/>
    <cellStyle name="Migliaia 41 3 2 5 4" xfId="42296" xr:uid="{73A14144-025B-49ED-A110-68DF86775C25}"/>
    <cellStyle name="Migliaia 41 3 2 5 5" xfId="17321" xr:uid="{ADFB4761-1CB9-475C-8E66-D69D79FBF822}"/>
    <cellStyle name="Migliaia 41 3 2 6" xfId="20622" xr:uid="{6EC63469-8E9C-470E-B421-3CD2ED3D896D}"/>
    <cellStyle name="Migliaia 41 3 2 6 2" xfId="34097" xr:uid="{45F7A800-FB22-452D-AA57-6CA6A2A918BF}"/>
    <cellStyle name="Migliaia 41 3 2 6 2 2" xfId="39646" xr:uid="{1047FE4F-A0EA-491F-8E67-51E7B2E0CD6A}"/>
    <cellStyle name="Migliaia 41 3 2 6 2 3" xfId="44948" xr:uid="{681CD1AA-74FD-41CB-8C48-6530C1F98B57}"/>
    <cellStyle name="Migliaia 41 3 2 6 3" xfId="37048" xr:uid="{3525D9A3-F71E-416F-907C-F2BFBA74AFD0}"/>
    <cellStyle name="Migliaia 41 3 2 6 4" xfId="42297" xr:uid="{50F03ADB-3700-4978-9329-18EA1D6F93AF}"/>
    <cellStyle name="Migliaia 41 3 2 6 5" xfId="25003" xr:uid="{6CD3AA43-36D3-4124-BEEE-F1D9927A7494}"/>
    <cellStyle name="Migliaia 41 3 2 7" xfId="25001" xr:uid="{079013BC-5E83-406A-91AD-D253BA2A28A3}"/>
    <cellStyle name="Migliaia 41 3 2 8" xfId="7503" xr:uid="{B5012525-EF60-497C-AB04-591EF92178BB}"/>
    <cellStyle name="Migliaia 41 3 3" xfId="3671" xr:uid="{CCC797CA-FBEB-4E93-BFBB-570D0269D9E0}"/>
    <cellStyle name="Migliaia 41 3 3 10" xfId="7502" xr:uid="{18FD1AD1-D1B0-4311-BE69-F0615B335E3E}"/>
    <cellStyle name="Migliaia 41 3 3 2" xfId="5397" xr:uid="{3DBDA27A-78D8-4037-A8E3-22F005BC373E}"/>
    <cellStyle name="Migliaia 41 3 3 2 2" xfId="9952" xr:uid="{5AA84A20-2E79-4B82-BD8F-E49822CD1B35}"/>
    <cellStyle name="Migliaia 41 3 3 2 2 2" xfId="39648" xr:uid="{2B00042F-D211-4A2D-AD72-CCEA3F58A8C1}"/>
    <cellStyle name="Migliaia 41 3 3 2 2 3" xfId="44950" xr:uid="{756CC39A-E2F2-43B6-AE4A-BCEA84235299}"/>
    <cellStyle name="Migliaia 41 3 3 2 3" xfId="18232" xr:uid="{91A4F19B-9C2C-4F18-A467-B6893E48BE97}"/>
    <cellStyle name="Migliaia 41 3 3 2 4" xfId="20626" xr:uid="{3930B3A4-8DA1-4D07-88AD-EA91F1F95FC9}"/>
    <cellStyle name="Migliaia 41 3 3 2 4 2" xfId="42299" xr:uid="{011B03E8-F46A-4CF4-9A6C-D573CEB58E3B}"/>
    <cellStyle name="Migliaia 41 3 3 2 5" xfId="16561" xr:uid="{BA1DBB79-CD30-4086-BFB2-72D0EC8F1B72}"/>
    <cellStyle name="Migliaia 41 3 3 2 6" xfId="8692" xr:uid="{68F61442-95A3-492E-AC16-9DC52B503594}"/>
    <cellStyle name="Migliaia 41 3 3 3" xfId="6586" xr:uid="{B25CEFFB-DD2A-4064-888A-FAD34E38B694}"/>
    <cellStyle name="Migliaia 41 3 3 3 2" xfId="34099" xr:uid="{819364A7-3B78-4ACA-A9F9-A6F29D38CCF9}"/>
    <cellStyle name="Migliaia 41 3 3 3 2 2" xfId="39649" xr:uid="{E79D0DD8-81B0-4862-8060-3247FE141720}"/>
    <cellStyle name="Migliaia 41 3 3 3 2 3" xfId="44951" xr:uid="{15CDA7A5-452C-4B9F-8BD3-8B648AE57C63}"/>
    <cellStyle name="Migliaia 41 3 3 3 3" xfId="37050" xr:uid="{F024124F-657F-41C8-BD22-5185A3C0DC7F}"/>
    <cellStyle name="Migliaia 41 3 3 3 4" xfId="42300" xr:uid="{1E7E6735-7B52-4CC5-8443-4D0BE66317C5}"/>
    <cellStyle name="Migliaia 41 3 3 3 5" xfId="9715" xr:uid="{845F9063-DC25-401D-9AFF-37BF8820265E}"/>
    <cellStyle name="Migliaia 41 3 3 4" xfId="20625" xr:uid="{26E748E5-7D70-4C7E-A3F7-A9D53BF3B418}"/>
    <cellStyle name="Migliaia 41 3 3 4 2" xfId="34100" xr:uid="{4CF09EFF-8FFE-4E5B-A62D-49DE8E2A106E}"/>
    <cellStyle name="Migliaia 41 3 3 4 2 2" xfId="39650" xr:uid="{A60AE7EB-D3E9-48DB-93DA-B5E958C6ABF2}"/>
    <cellStyle name="Migliaia 41 3 3 4 2 3" xfId="44952" xr:uid="{EE4ECD4C-575C-4A0F-95DE-538C0A7E713D}"/>
    <cellStyle name="Migliaia 41 3 3 4 3" xfId="37051" xr:uid="{12D2B6BD-9EF4-4F3C-9A34-1FD948971B85}"/>
    <cellStyle name="Migliaia 41 3 3 4 4" xfId="42301" xr:uid="{8871F7BD-0A79-453B-BB0F-E9E3375D8DC5}"/>
    <cellStyle name="Migliaia 41 3 3 4 5" xfId="25004" xr:uid="{1671B8AF-80D7-404C-9467-A43490713BD6}"/>
    <cellStyle name="Migliaia 41 3 3 5" xfId="25005" xr:uid="{4CF47941-D879-40CE-8FA4-BA5BA7D3A3CB}"/>
    <cellStyle name="Migliaia 41 3 3 5 2" xfId="34101" xr:uid="{5E304405-EC75-49E1-BB03-6D82B1C0098E}"/>
    <cellStyle name="Migliaia 41 3 3 5 2 2" xfId="39651" xr:uid="{3B7D4F69-FDC5-48DD-8E83-5F42244CEC4F}"/>
    <cellStyle name="Migliaia 41 3 3 5 2 3" xfId="44953" xr:uid="{F6B9C8D4-2A52-4702-AAF5-8C4BA9D3D198}"/>
    <cellStyle name="Migliaia 41 3 3 5 3" xfId="37052" xr:uid="{3C17FA83-AEEF-4721-8608-B710E7C09A8A}"/>
    <cellStyle name="Migliaia 41 3 3 5 4" xfId="42302" xr:uid="{E0C847A4-5476-410A-9F4B-4309319AC808}"/>
    <cellStyle name="Migliaia 41 3 3 6" xfId="34098" xr:uid="{4FC95122-826E-4D27-B821-520AB95CBF7D}"/>
    <cellStyle name="Migliaia 41 3 3 6 2" xfId="39647" xr:uid="{50F90400-F9CE-48A3-8BF4-CF09169E8AA6}"/>
    <cellStyle name="Migliaia 41 3 3 6 3" xfId="44949" xr:uid="{55DF8494-8A09-4EF9-AD16-42EF484176AF}"/>
    <cellStyle name="Migliaia 41 3 3 7" xfId="37049" xr:uid="{DDAFE839-01F9-4103-90EF-9A1EAEB355C2}"/>
    <cellStyle name="Migliaia 41 3 3 8" xfId="42298" xr:uid="{A68F6160-4E21-4DBF-B347-BE2DA2DB2DCC}"/>
    <cellStyle name="Migliaia 41 3 3 9" xfId="16560" xr:uid="{143C6E86-5178-4E0A-A27E-3A5F25FAA9A1}"/>
    <cellStyle name="Migliaia 41 3 4" xfId="3672" xr:uid="{D30FD7CA-C51D-440F-98C6-C690A4034CC5}"/>
    <cellStyle name="Migliaia 41 3 4 2" xfId="5398" xr:uid="{A68135B6-C8F5-4D17-8604-B08907A2EDBC}"/>
    <cellStyle name="Migliaia 41 3 4 2 2" xfId="14458" xr:uid="{91E8AE19-16DB-4C2C-8E36-C283F7C57AF4}"/>
    <cellStyle name="Migliaia 41 3 4 2 3" xfId="18559" xr:uid="{727C3342-576F-44BB-A043-FBE11A37FF4A}"/>
    <cellStyle name="Migliaia 41 3 4 2 4" xfId="20628" xr:uid="{43195EEF-4DC1-40A2-B64D-1D7F73F5417A}"/>
    <cellStyle name="Migliaia 41 3 4 2 5" xfId="32416" xr:uid="{D8B450A3-0ED7-4B69-B246-15105107F0FE}"/>
    <cellStyle name="Migliaia 41 3 4 2 6" xfId="16563" xr:uid="{45603A33-DE07-4C36-9DEF-F08A42361FBB}"/>
    <cellStyle name="Migliaia 41 3 4 2 7" xfId="8881" xr:uid="{6B0BFB32-80FF-4F93-9131-99F22841209B}"/>
    <cellStyle name="Migliaia 41 3 4 3" xfId="6587" xr:uid="{8D3D2554-A257-4EEB-952E-57575849FADA}"/>
    <cellStyle name="Migliaia 41 3 4 3 2" xfId="35370" xr:uid="{76EC9C43-7D87-4AA3-82FD-EE340CAF5FD0}"/>
    <cellStyle name="Migliaia 41 3 4 3 2 2" xfId="40530" xr:uid="{5DF57E19-1337-4336-9D3D-372903B6D763}"/>
    <cellStyle name="Migliaia 41 3 4 3 2 3" xfId="45832" xr:uid="{F45AE0CA-6FCC-4B83-A1E7-56BCD71ECB68}"/>
    <cellStyle name="Migliaia 41 3 4 3 3" xfId="37879" xr:uid="{48722FA0-E6A9-4323-A505-C6D904D9FE42}"/>
    <cellStyle name="Migliaia 41 3 4 3 4" xfId="43181" xr:uid="{FFC20FFA-432D-4FA6-94CD-D9EC797F234F}"/>
    <cellStyle name="Migliaia 41 3 4 3 5" xfId="13706" xr:uid="{5EA68E3B-CE69-4A52-B2C7-442F87A65A20}"/>
    <cellStyle name="Migliaia 41 3 4 4" xfId="20627" xr:uid="{C19D4BD5-F786-4780-BFE4-DB13DA16C04F}"/>
    <cellStyle name="Migliaia 41 3 4 4 2" xfId="39652" xr:uid="{18733AF6-CC29-4731-8DD8-4919DA4919B2}"/>
    <cellStyle name="Migliaia 41 3 4 4 3" xfId="44954" xr:uid="{07199F13-7E6B-4194-8125-D9447F9D56AB}"/>
    <cellStyle name="Migliaia 41 3 4 4 4" xfId="34102" xr:uid="{EC8262AE-3055-4D8B-B74B-DE7A8BFE0F09}"/>
    <cellStyle name="Migliaia 41 3 4 5" xfId="37053" xr:uid="{679DC479-B5CC-43EC-A06A-EA77B696D616}"/>
    <cellStyle name="Migliaia 41 3 4 6" xfId="42303" xr:uid="{39F0E50C-7B5D-4B53-B3DB-56314205024A}"/>
    <cellStyle name="Migliaia 41 3 4 7" xfId="16562" xr:uid="{C955CE13-1336-4910-8396-1451B1D2AD31}"/>
    <cellStyle name="Migliaia 41 3 4 8" xfId="7691" xr:uid="{08E9DC64-3CA9-444D-A1CA-4C77336C206D}"/>
    <cellStyle name="Migliaia 41 3 5" xfId="3673" xr:uid="{C4A2ABCB-763C-4A24-8A6D-D5CDE7675D47}"/>
    <cellStyle name="Migliaia 41 3 5 2" xfId="5399" xr:uid="{BD5CB2BD-DDA7-414E-982A-4D238B461DC1}"/>
    <cellStyle name="Migliaia 41 3 5 2 2" xfId="35371" xr:uid="{2A4D9CD1-0FAF-48D1-A741-CD2D176CE807}"/>
    <cellStyle name="Migliaia 41 3 5 2 2 2" xfId="40531" xr:uid="{CC7D5DA3-7AAC-4F05-A10C-6113BD314F73}"/>
    <cellStyle name="Migliaia 41 3 5 2 2 3" xfId="45833" xr:uid="{3C30DE44-E8EE-4ACC-9BAA-ED7102B90480}"/>
    <cellStyle name="Migliaia 41 3 5 2 3" xfId="37880" xr:uid="{661D44C7-29AF-494B-9E6B-81ABB9BEECB9}"/>
    <cellStyle name="Migliaia 41 3 5 2 4" xfId="43182" xr:uid="{0ABCCB9D-59D9-44F5-8C8D-9BE7789F015E}"/>
    <cellStyle name="Migliaia 41 3 5 2 5" xfId="14286" xr:uid="{EBB3EA6D-2A31-477E-8F84-D52F4C2E9B83}"/>
    <cellStyle name="Migliaia 41 3 5 3" xfId="6588" xr:uid="{C2BC8053-3E19-4CF8-A840-2B5F4F0B891C}"/>
    <cellStyle name="Migliaia 41 3 5 3 2" xfId="39653" xr:uid="{A12A9753-AC53-455C-9723-2B7DDF5FDD38}"/>
    <cellStyle name="Migliaia 41 3 5 3 3" xfId="44955" xr:uid="{B17409FC-CEDC-4ECE-A460-41DD0DB781C4}"/>
    <cellStyle name="Migliaia 41 3 5 3 4" xfId="34103" xr:uid="{634F572D-5E7B-4EEF-B13C-2696D56FE283}"/>
    <cellStyle name="Migliaia 41 3 5 3 5" xfId="20629" xr:uid="{8C208878-67C1-492F-8FAF-B177C5C9AAAA}"/>
    <cellStyle name="Migliaia 41 3 5 4" xfId="37054" xr:uid="{9EB73F53-EC4A-4EF2-8370-619E89D74D6F}"/>
    <cellStyle name="Migliaia 41 3 5 5" xfId="42304" xr:uid="{56F8D175-C0C7-4A4E-B2C7-2F117F3AC4BF}"/>
    <cellStyle name="Migliaia 41 3 5 6" xfId="16564" xr:uid="{1A251CBE-BE3F-4E67-82D5-DA5ABE530D96}"/>
    <cellStyle name="Migliaia 41 3 5 7" xfId="8348" xr:uid="{C1107E28-A1FB-4F27-A306-69FFA56613A7}"/>
    <cellStyle name="Migliaia 41 3 6" xfId="5394" xr:uid="{B63FAC98-84DD-48EF-BA3D-FF867E6E66DF}"/>
    <cellStyle name="Migliaia 41 3 6 2" xfId="13991" xr:uid="{425D19BC-618E-4E64-8923-3B74D6343C74}"/>
    <cellStyle name="Migliaia 41 3 6 2 2" xfId="39654" xr:uid="{7AB844E4-3F9A-4B86-830D-B7F5CD032A37}"/>
    <cellStyle name="Migliaia 41 3 6 2 3" xfId="44956" xr:uid="{A000242A-8EFA-4F8B-9D00-B7EEBD759451}"/>
    <cellStyle name="Migliaia 41 3 6 3" xfId="18699" xr:uid="{F78F34CA-F7A9-46BC-BD8B-E62CBD568FF6}"/>
    <cellStyle name="Migliaia 41 3 6 4" xfId="20630" xr:uid="{99CEADA1-5B0A-4B43-8B60-5C9C1FA0C4F3}"/>
    <cellStyle name="Migliaia 41 3 6 4 2" xfId="42305" xr:uid="{030E28E8-527A-468E-B2DD-DC2129E916F1}"/>
    <cellStyle name="Migliaia 41 3 6 5" xfId="16565" xr:uid="{B4B1F38F-E638-4345-ABFE-E8BFD8CFB22B}"/>
    <cellStyle name="Migliaia 41 3 6 6" xfId="7964" xr:uid="{9A3BA60D-AD26-4FEE-879C-BE4B3C19F139}"/>
    <cellStyle name="Migliaia 41 3 7" xfId="6583" xr:uid="{D75A280D-C0F6-4DF2-BD43-C7D366392263}"/>
    <cellStyle name="Migliaia 41 3 7 2" xfId="34104" xr:uid="{CAC07438-1576-4A17-94CC-15E2A7D66C1D}"/>
    <cellStyle name="Migliaia 41 3 7 2 2" xfId="39655" xr:uid="{333030BF-4A2D-4D19-AAB4-2866DD92F6D4}"/>
    <cellStyle name="Migliaia 41 3 7 2 3" xfId="44957" xr:uid="{489F4D29-DAF4-419B-980C-69A701799F04}"/>
    <cellStyle name="Migliaia 41 3 7 3" xfId="37055" xr:uid="{8C1CC1A0-C737-4B26-80B7-FAFF933BF67F}"/>
    <cellStyle name="Migliaia 41 3 7 4" xfId="42306" xr:uid="{1848E72A-F4C9-4BD0-AD43-0E6B866E3332}"/>
    <cellStyle name="Migliaia 41 3 7 5" xfId="12283" xr:uid="{8E821BFE-234B-4711-8F74-F2EC61090BAF}"/>
    <cellStyle name="Migliaia 41 3 8" xfId="3668" xr:uid="{EA780D19-D4FC-42B6-8EF9-A185886509C6}"/>
    <cellStyle name="Migliaia 41 3 8 2" xfId="34105" xr:uid="{09F2C016-FB95-45FA-BF05-9D2CE15E0D1B}"/>
    <cellStyle name="Migliaia 41 3 8 2 2" xfId="39656" xr:uid="{CA17C210-583C-4A54-82F2-C1C573D36E71}"/>
    <cellStyle name="Migliaia 41 3 8 2 3" xfId="44958" xr:uid="{03ECD010-1676-4243-A8FF-EBA8C4462B7D}"/>
    <cellStyle name="Migliaia 41 3 8 3" xfId="37056" xr:uid="{A2012E00-0E37-4AA9-AAD9-0212E09141B7}"/>
    <cellStyle name="Migliaia 41 3 8 4" xfId="42307" xr:uid="{6686506C-E558-461C-89A6-93F1769EDD1D}"/>
    <cellStyle name="Migliaia 41 3 8 5" xfId="25006" xr:uid="{E73927C2-4BB4-4B35-92BD-509324C4C68E}"/>
    <cellStyle name="Migliaia 41 3 8 6" xfId="17322" xr:uid="{3702EA85-3C55-47F3-AF36-CE4E221237D6}"/>
    <cellStyle name="Migliaia 41 3 9" xfId="20621" xr:uid="{77F94837-2E88-4A6F-87B7-3859B74CD333}"/>
    <cellStyle name="Migliaia 41 4" xfId="1833" xr:uid="{00000000-0005-0000-0000-000000040000}"/>
    <cellStyle name="Migliaia 41 4 2" xfId="1834" xr:uid="{00000000-0005-0000-0000-000001040000}"/>
    <cellStyle name="Migliaia 41 4 2 2" xfId="5401" xr:uid="{0BF81CD2-D495-4235-A5F3-8598116771B7}"/>
    <cellStyle name="Migliaia 41 4 2 2 2" xfId="34106" xr:uid="{9F5AC840-0C41-4E93-A8D6-D0E756ABA11B}"/>
    <cellStyle name="Migliaia 41 4 2 2 2 2" xfId="39657" xr:uid="{D3DE2BE5-93A4-4A68-A528-B6E4388C65BA}"/>
    <cellStyle name="Migliaia 41 4 2 2 2 3" xfId="44959" xr:uid="{B3AA32C0-EB7E-4E71-8E2F-C763061AA4D7}"/>
    <cellStyle name="Migliaia 41 4 2 2 3" xfId="37057" xr:uid="{C67112EF-D02A-42F3-BF8A-BC64390C6B22}"/>
    <cellStyle name="Migliaia 41 4 2 2 4" xfId="42308" xr:uid="{655B2B46-B035-4FBF-AFAF-12A5DCAC27AF}"/>
    <cellStyle name="Migliaia 41 4 2 2 5" xfId="9178" xr:uid="{7EA65DB3-471A-49AC-9F98-CA7DE158D027}"/>
    <cellStyle name="Migliaia 41 4 2 3" xfId="3675" xr:uid="{250A6D7E-0F04-4EB3-A22E-E160BB8C9FCB}"/>
    <cellStyle name="Migliaia 41 4 2 3 2" xfId="34107" xr:uid="{8247E28C-BFC6-445B-BB3B-5DC950CC0EAE}"/>
    <cellStyle name="Migliaia 41 4 2 3 2 2" xfId="39658" xr:uid="{7FCD017A-685F-4FCE-976F-246F7C15A43B}"/>
    <cellStyle name="Migliaia 41 4 2 3 2 3" xfId="44960" xr:uid="{3783C4B9-F319-4551-AB30-DB0D1D825C2D}"/>
    <cellStyle name="Migliaia 41 4 2 3 3" xfId="37058" xr:uid="{FC715CF3-EFE4-47CA-9303-E77BFBF79489}"/>
    <cellStyle name="Migliaia 41 4 2 3 4" xfId="42309" xr:uid="{E6DDFDBE-D06D-4074-B86D-99E3EF7A71EC}"/>
    <cellStyle name="Migliaia 41 4 2 3 5" xfId="12029" xr:uid="{9F30BB87-1D97-42A1-B797-EE4AE4DE2AA4}"/>
    <cellStyle name="Migliaia 41 4 2 4" xfId="11378" xr:uid="{DE8E7B8A-7E71-4138-ABB5-2B12FBDD44A0}"/>
    <cellStyle name="Migliaia 41 4 2 5" xfId="10911" xr:uid="{4C1A4322-6650-4108-BCB2-57BD51ACFA0C}"/>
    <cellStyle name="Migliaia 41 4 2 5 2" xfId="21546" xr:uid="{D297181E-B8B6-465B-B4E3-77170C3E9887}"/>
    <cellStyle name="Migliaia 41 4 2 5 3" xfId="32296" xr:uid="{0954944C-C574-4EE4-B282-5958D17161BD}"/>
    <cellStyle name="Migliaia 41 4 2 5 4" xfId="50561" xr:uid="{580CBDB0-F899-4233-AE1F-ECA6C400C83C}"/>
    <cellStyle name="Migliaia 41 4 2 5 5" xfId="53577" xr:uid="{E9E84837-FB54-4E57-87B0-4FD97C3228EE}"/>
    <cellStyle name="Migliaia 41 4 2 6" xfId="20632" xr:uid="{7340A75D-DC49-4EF1-BCB3-5A15CC4430E4}"/>
    <cellStyle name="Migliaia 41 4 2 7" xfId="25008" xr:uid="{13C65749-3881-42EF-A64E-8EE2BB235D9E}"/>
    <cellStyle name="Migliaia 41 4 2 8" xfId="8694" xr:uid="{29870646-EBA1-4B21-8A05-8DC124E8817F}"/>
    <cellStyle name="Migliaia 41 4 3" xfId="5400" xr:uid="{57ABE550-183B-4D9B-91BB-7176C2F47CF2}"/>
    <cellStyle name="Migliaia 41 4 3 2" xfId="18233" xr:uid="{35B943FE-27B3-4651-BD08-B684101A12F6}"/>
    <cellStyle name="Migliaia 41 4 3 2 2" xfId="39659" xr:uid="{F0647A8C-9546-402A-9B69-C17C8338EB75}"/>
    <cellStyle name="Migliaia 41 4 3 2 3" xfId="44961" xr:uid="{0A109135-C54A-4941-AEFC-B4F951313E2D}"/>
    <cellStyle name="Migliaia 41 4 3 3" xfId="37059" xr:uid="{643B86CF-C6C5-461D-9EAE-5534231BD581}"/>
    <cellStyle name="Migliaia 41 4 3 4" xfId="42310" xr:uid="{FECCEF29-FB20-4014-BC75-E918D6051B74}"/>
    <cellStyle name="Migliaia 41 4 3 5" xfId="17320" xr:uid="{D1B6A159-C346-4DFD-B2C5-3849D427E210}"/>
    <cellStyle name="Migliaia 41 4 3 6" xfId="9179" xr:uid="{1EF10DBD-8513-4E72-964B-B4631020BAF7}"/>
    <cellStyle name="Migliaia 41 4 4" xfId="6589" xr:uid="{644339AC-D222-4D57-A042-89D255E7F645}"/>
    <cellStyle name="Migliaia 41 4 4 2" xfId="34108" xr:uid="{8E6ACFAC-6EB7-49FF-BA32-3A74FED2932E}"/>
    <cellStyle name="Migliaia 41 4 4 2 2" xfId="39660" xr:uid="{B407FAB9-4601-46B1-8EBB-32BF9DCA43C7}"/>
    <cellStyle name="Migliaia 41 4 4 2 3" xfId="44962" xr:uid="{8A60B855-4493-4D95-A88A-EB534020B5FB}"/>
    <cellStyle name="Migliaia 41 4 4 3" xfId="37060" xr:uid="{4AB9B8C4-BD01-4CAC-83B4-71A694925EFF}"/>
    <cellStyle name="Migliaia 41 4 4 4" xfId="42311" xr:uid="{794D014E-EB3A-4032-9D74-A103FF59EDB7}"/>
    <cellStyle name="Migliaia 41 4 4 5" xfId="12030" xr:uid="{0538037C-27ED-4B10-BE11-6F7C6C7F2597}"/>
    <cellStyle name="Migliaia 41 4 5" xfId="3674" xr:uid="{48D38193-51CB-4F37-9660-A67B15AF9EA3}"/>
    <cellStyle name="Migliaia 41 4 5 2" xfId="34109" xr:uid="{60F7753D-E222-45A2-A333-F20DB3D03835}"/>
    <cellStyle name="Migliaia 41 4 5 2 2" xfId="39661" xr:uid="{AC51F5AD-652B-4A64-AB8C-8A92CF83F547}"/>
    <cellStyle name="Migliaia 41 4 5 2 3" xfId="44963" xr:uid="{926E6578-054E-4BA0-8972-85E3D6D4CA5D}"/>
    <cellStyle name="Migliaia 41 4 5 3" xfId="37061" xr:uid="{F7A861D7-F6A2-4636-A14F-FDF6281E554E}"/>
    <cellStyle name="Migliaia 41 4 5 4" xfId="42312" xr:uid="{6091078E-A9ED-4CA9-8F03-464AEC4C332E}"/>
    <cellStyle name="Migliaia 41 4 5 5" xfId="11377" xr:uid="{CDCCA49D-692F-4D48-9D55-599A0CDE8DE1}"/>
    <cellStyle name="Migliaia 41 4 6" xfId="10910" xr:uid="{3B874466-C450-4B29-ABA6-0714AFB72B33}"/>
    <cellStyle name="Migliaia 41 4 6 2" xfId="21545" xr:uid="{A87C5062-1B88-4194-B5AE-D753C51BB5C4}"/>
    <cellStyle name="Migliaia 41 4 6 2 2" xfId="39662" xr:uid="{8860EAE8-0F0F-4767-AF0A-FA816EB3D2DD}"/>
    <cellStyle name="Migliaia 41 4 6 2 3" xfId="44964" xr:uid="{013DBEE3-46F1-43CB-8781-8CA57114BBFF}"/>
    <cellStyle name="Migliaia 41 4 6 2 4" xfId="34110" xr:uid="{CC0D77A4-EACD-4582-8E85-EFA5B5F542DB}"/>
    <cellStyle name="Migliaia 41 4 6 3" xfId="37062" xr:uid="{FC37E175-B1D0-43B6-857F-8FAE1FE23656}"/>
    <cellStyle name="Migliaia 41 4 6 4" xfId="42313" xr:uid="{2AD99E77-5025-408B-9E12-58ED825FB11B}"/>
    <cellStyle name="Migliaia 41 4 6 5" xfId="25009" xr:uid="{36CDAB8D-8ED2-4382-8C19-76882376DDD6}"/>
    <cellStyle name="Migliaia 41 4 6 6" xfId="46258" xr:uid="{EDA256BD-7128-4705-AB38-9BEB1ECE9C9D}"/>
    <cellStyle name="Migliaia 41 4 6 7" xfId="50560" xr:uid="{17AA54BB-853D-4F1B-8D71-304ED2919D4B}"/>
    <cellStyle name="Migliaia 41 4 6 8" xfId="53576" xr:uid="{95C50941-CCC4-45FE-B238-CF6B0CDE49DC}"/>
    <cellStyle name="Migliaia 41 4 7" xfId="20631" xr:uid="{06DBF93B-484A-4E5E-83E5-431AEB83DAB5}"/>
    <cellStyle name="Migliaia 41 4 7 2" xfId="34111" xr:uid="{8CBBD78D-0260-419F-AF4D-EE06A6835BB8}"/>
    <cellStyle name="Migliaia 41 4 7 2 2" xfId="39663" xr:uid="{B2DF1348-C5E2-4D43-8E0F-E51B061743AA}"/>
    <cellStyle name="Migliaia 41 4 7 2 3" xfId="44965" xr:uid="{2B8453B4-5257-42E1-8BFC-9B5DCB8D3D76}"/>
    <cellStyle name="Migliaia 41 4 7 3" xfId="37063" xr:uid="{7F7A05E7-4818-48DB-ACE8-D9FD3CD2AA66}"/>
    <cellStyle name="Migliaia 41 4 7 4" xfId="42314" xr:uid="{B2E6EADA-1692-498F-8C0D-1A84AFED3A90}"/>
    <cellStyle name="Migliaia 41 4 7 5" xfId="25010" xr:uid="{B2CF51E2-DD6C-44FB-99A3-D81CB1745392}"/>
    <cellStyle name="Migliaia 41 4 8" xfId="25007" xr:uid="{2CE0A57D-FD9B-43F0-8FD2-75FA808FF554}"/>
    <cellStyle name="Migliaia 41 4 9" xfId="7504" xr:uid="{77B076FB-7022-4C39-8CEC-910716A1F41C}"/>
    <cellStyle name="Migliaia 41 5" xfId="1835" xr:uid="{00000000-0005-0000-0000-000002040000}"/>
    <cellStyle name="Migliaia 41 5 2" xfId="5402" xr:uid="{5B9AF5BB-B682-4D79-8DE9-2B41D3B87B7B}"/>
    <cellStyle name="Migliaia 41 5 2 2" xfId="18469" xr:uid="{BB49E6EF-2F1C-4D41-9D83-25C2EC6DDE20}"/>
    <cellStyle name="Migliaia 41 5 2 2 2" xfId="39664" xr:uid="{BBBADB65-CD3D-4652-82CC-D4DB527FFCA5}"/>
    <cellStyle name="Migliaia 41 5 2 2 3" xfId="44966" xr:uid="{FB4745D1-4178-40BD-91A3-C3BEDE3BBAED}"/>
    <cellStyle name="Migliaia 41 5 2 3" xfId="20634" xr:uid="{549AFE9E-3ACE-463D-A471-0CFD376C6EC5}"/>
    <cellStyle name="Migliaia 41 5 2 3 2" xfId="37064" xr:uid="{7752558F-71C8-4F38-8460-3F69D43C5267}"/>
    <cellStyle name="Migliaia 41 5 2 4" xfId="42315" xr:uid="{7EF7C16D-9DAD-46AA-9426-E4235C93CBEA}"/>
    <cellStyle name="Migliaia 41 5 2 5" xfId="16566" xr:uid="{C8DAAEB5-FC86-4CE0-96BB-CBFE863E5DF9}"/>
    <cellStyle name="Migliaia 41 5 2 6" xfId="8695" xr:uid="{599AF1C2-2745-4E59-B043-B89402E92A36}"/>
    <cellStyle name="Migliaia 41 5 3" xfId="6590" xr:uid="{A9DCFD99-76E1-4D5A-93B9-359DF6A1AA1F}"/>
    <cellStyle name="Migliaia 41 5 3 2" xfId="34112" xr:uid="{1DB1D63B-E34D-40ED-91EE-401888E5FB70}"/>
    <cellStyle name="Migliaia 41 5 3 2 2" xfId="39665" xr:uid="{F3B23F83-9874-412B-97D1-EB313D376B8A}"/>
    <cellStyle name="Migliaia 41 5 3 2 3" xfId="44967" xr:uid="{E940C95F-0AF5-463E-AA5C-EC40AE6B620F}"/>
    <cellStyle name="Migliaia 41 5 3 3" xfId="37065" xr:uid="{7B32B80B-A70C-434C-9713-08B9ADAE9B6F}"/>
    <cellStyle name="Migliaia 41 5 3 4" xfId="42316" xr:uid="{13A427BE-1D48-45CE-9A25-74C608DC0343}"/>
    <cellStyle name="Migliaia 41 5 3 5" xfId="11379" xr:uid="{CC301E79-2B7A-41F0-90DA-439460803275}"/>
    <cellStyle name="Migliaia 41 5 4" xfId="3676" xr:uid="{24A4F75F-356B-46B7-A5D7-9B28498CE010}"/>
    <cellStyle name="Migliaia 41 5 4 2" xfId="21547" xr:uid="{8F67C49A-EE76-4B04-B790-2D2BCCC8C233}"/>
    <cellStyle name="Migliaia 41 5 4 2 2" xfId="39666" xr:uid="{B7D9C7F1-B6F8-41BD-AAFB-537F7443BD5E}"/>
    <cellStyle name="Migliaia 41 5 4 2 3" xfId="44968" xr:uid="{A5D3E2A4-221C-4E9C-A225-313C7D574809}"/>
    <cellStyle name="Migliaia 41 5 4 2 4" xfId="34113" xr:uid="{15B4F3B6-E064-415E-981E-5E90E87698C1}"/>
    <cellStyle name="Migliaia 41 5 4 3" xfId="37066" xr:uid="{A46162F0-776B-4BEE-A9F0-6932C242839F}"/>
    <cellStyle name="Migliaia 41 5 4 4" xfId="42317" xr:uid="{0A10C200-1DDE-43EB-B982-7B1DF5CE5BB2}"/>
    <cellStyle name="Migliaia 41 5 4 5" xfId="25012" xr:uid="{7F0FD481-457B-4D56-82F2-EB95A7171C1C}"/>
    <cellStyle name="Migliaia 41 5 4 6" xfId="47118" xr:uid="{4AF26D37-F88D-4D71-A611-8EE77E1DF4D7}"/>
    <cellStyle name="Migliaia 41 5 4 7" xfId="50562" xr:uid="{F6DE96B4-C9D7-4F24-964C-0B86D2A96D61}"/>
    <cellStyle name="Migliaia 41 5 4 8" xfId="53578" xr:uid="{D3C8623E-B8C2-45F1-8699-2D25483D4A04}"/>
    <cellStyle name="Migliaia 41 5 4 9" xfId="10912" xr:uid="{F2B3FDD6-948F-43B0-9220-D114624EC539}"/>
    <cellStyle name="Migliaia 41 5 5" xfId="20633" xr:uid="{38BE6AA5-5727-4E11-8693-5B0FFD9E5CE1}"/>
    <cellStyle name="Migliaia 41 5 5 2" xfId="34114" xr:uid="{05D5CD27-945A-4910-BACC-5A11B8406C47}"/>
    <cellStyle name="Migliaia 41 5 5 2 2" xfId="39667" xr:uid="{E981CDD4-0A1E-44CA-B211-FD262E04F5AC}"/>
    <cellStyle name="Migliaia 41 5 5 2 3" xfId="44969" xr:uid="{89E14843-C217-4934-A828-C5FED416D201}"/>
    <cellStyle name="Migliaia 41 5 5 3" xfId="37067" xr:uid="{015C0A26-AA0E-4929-B6FB-A37A3CBC5027}"/>
    <cellStyle name="Migliaia 41 5 5 4" xfId="42318" xr:uid="{29C251F7-767A-49A3-941B-5FFB1CB8468D}"/>
    <cellStyle name="Migliaia 41 5 5 5" xfId="25013" xr:uid="{4ABC1534-EC0A-43F7-AC64-B42B09E5A069}"/>
    <cellStyle name="Migliaia 41 5 6" xfId="25014" xr:uid="{A5ACB79F-214F-4597-9F9C-79B10108838A}"/>
    <cellStyle name="Migliaia 41 5 6 2" xfId="34115" xr:uid="{F2E2E127-DC62-4E7E-88CD-DC1453FAD5E0}"/>
    <cellStyle name="Migliaia 41 5 6 2 2" xfId="39668" xr:uid="{13E647D2-2927-4831-B67F-DCD15411F3DA}"/>
    <cellStyle name="Migliaia 41 5 6 2 3" xfId="44970" xr:uid="{109130E9-ECD4-4422-A7B3-69A077626DC8}"/>
    <cellStyle name="Migliaia 41 5 6 3" xfId="37068" xr:uid="{106A4295-F09A-43D6-8D14-05C1D071DA8D}"/>
    <cellStyle name="Migliaia 41 5 6 4" xfId="42319" xr:uid="{0C234BF9-9F2F-41A0-9897-377BDFA4EF72}"/>
    <cellStyle name="Migliaia 41 5 7" xfId="25011" xr:uid="{53901848-5172-4D23-B613-8757119B875D}"/>
    <cellStyle name="Migliaia 41 5 8" xfId="7505" xr:uid="{AFC2450B-8B2B-41D5-91AD-2FEBFFB83D11}"/>
    <cellStyle name="Migliaia 41 6" xfId="3677" xr:uid="{64EBE5BE-22B6-4CD3-ACAB-945D61481878}"/>
    <cellStyle name="Migliaia 41 6 2" xfId="5403" xr:uid="{A182C449-281E-4104-B67F-B8166D007DF1}"/>
    <cellStyle name="Migliaia 41 6 2 2" xfId="9951" xr:uid="{DBCF0ED2-18A6-4DDD-963F-F6F29521C374}"/>
    <cellStyle name="Migliaia 41 6 2 3" xfId="18645" xr:uid="{2BE3DAB5-2C86-4EAB-970B-57ABE0D6CFA9}"/>
    <cellStyle name="Migliaia 41 6 2 4" xfId="20636" xr:uid="{8F2B280A-4CA3-4C6B-BACB-AF9D32E09B51}"/>
    <cellStyle name="Migliaia 41 6 2 5" xfId="32417" xr:uid="{E6219713-C2C3-4BFA-A8F3-E1471704A8FF}"/>
    <cellStyle name="Migliaia 41 6 2 6" xfId="16568" xr:uid="{FB7A3B08-1992-4547-9F92-FB4589648B96}"/>
    <cellStyle name="Migliaia 41 6 2 7" xfId="8690" xr:uid="{71819118-DF65-450D-BD41-B582D66B3822}"/>
    <cellStyle name="Migliaia 41 6 3" xfId="6591" xr:uid="{E4433CCD-FCA9-416A-9A73-816451B07F74}"/>
    <cellStyle name="Migliaia 41 6 3 2" xfId="35372" xr:uid="{73424A20-9428-42C3-8A99-3B40AE34075E}"/>
    <cellStyle name="Migliaia 41 6 3 2 2" xfId="40532" xr:uid="{625F64F1-0505-4532-A5D8-1C19814968C3}"/>
    <cellStyle name="Migliaia 41 6 3 2 3" xfId="45834" xr:uid="{5C6649FB-589D-4C5C-B15A-5E22FCA4DEA6}"/>
    <cellStyle name="Migliaia 41 6 3 3" xfId="37881" xr:uid="{FDA45F98-72A4-4006-9093-C73CEEA3FF56}"/>
    <cellStyle name="Migliaia 41 6 3 4" xfId="43183" xr:uid="{5A74474D-4048-4F7D-A92E-47503E11E4AF}"/>
    <cellStyle name="Migliaia 41 6 3 5" xfId="9714" xr:uid="{E94F2DE0-0C36-4577-9D30-B9B7917C7D3B}"/>
    <cellStyle name="Migliaia 41 6 4" xfId="20635" xr:uid="{A1C58C75-267F-4AFC-AA83-6A703D6F645A}"/>
    <cellStyle name="Migliaia 41 6 4 2" xfId="39669" xr:uid="{7294BEC7-D59C-4F63-9A3C-0B2C990329AC}"/>
    <cellStyle name="Migliaia 41 6 4 3" xfId="44971" xr:uid="{6416DAD6-9462-4E01-8D0E-E0364918B05C}"/>
    <cellStyle name="Migliaia 41 6 4 4" xfId="34116" xr:uid="{477C358B-6F70-48B2-B838-E32B9331B424}"/>
    <cellStyle name="Migliaia 41 6 5" xfId="37069" xr:uid="{73FB0A2D-47D5-4ED4-A739-F7DF158B8731}"/>
    <cellStyle name="Migliaia 41 6 6" xfId="42320" xr:uid="{2C6F5E2A-BA2C-4201-8CBB-87387866D3DE}"/>
    <cellStyle name="Migliaia 41 6 7" xfId="16567" xr:uid="{6A7A8A11-1989-4078-92C6-270B25423B5A}"/>
    <cellStyle name="Migliaia 41 6 8" xfId="7500" xr:uid="{06B433C0-9701-4CA7-8430-750ED955758C}"/>
    <cellStyle name="Migliaia 41 7" xfId="3678" xr:uid="{AB694BBD-D91F-4DE4-B3F6-A942DC9C1F35}"/>
    <cellStyle name="Migliaia 41 7 2" xfId="5404" xr:uid="{E6E82F0C-8A3E-4364-8460-1D0214C26916}"/>
    <cellStyle name="Migliaia 41 7 2 2" xfId="35373" xr:uid="{D56175CD-9B50-4514-BDDC-6A679362798E}"/>
    <cellStyle name="Migliaia 41 7 2 2 2" xfId="40533" xr:uid="{ABDDE411-0707-499D-87ED-994CFCC23D69}"/>
    <cellStyle name="Migliaia 41 7 2 2 3" xfId="45835" xr:uid="{72CC50C2-1340-4215-82B5-F4C2A7A5B94D}"/>
    <cellStyle name="Migliaia 41 7 2 3" xfId="37882" xr:uid="{608E0254-3CA5-4445-89A4-502EDB7CE72E}"/>
    <cellStyle name="Migliaia 41 7 2 4" xfId="43184" xr:uid="{87C6EA41-C821-455E-B96E-F5F53E736370}"/>
    <cellStyle name="Migliaia 41 7 2 5" xfId="14284" xr:uid="{08CABD1B-3429-43A1-8199-8C8196ED8EC7}"/>
    <cellStyle name="Migliaia 41 7 3" xfId="6592" xr:uid="{FF2122F4-0943-43D6-BA95-C723958CF4A9}"/>
    <cellStyle name="Migliaia 41 7 3 2" xfId="39670" xr:uid="{8CBB92C4-45A4-427A-A3F6-B56FB903E85A}"/>
    <cellStyle name="Migliaia 41 7 3 3" xfId="44972" xr:uid="{61E2C023-3C1E-4F8A-8549-907D8389F904}"/>
    <cellStyle name="Migliaia 41 7 3 4" xfId="34117" xr:uid="{9DB40DEE-0BC2-47F1-B991-20EAD9A5C87E}"/>
    <cellStyle name="Migliaia 41 7 3 5" xfId="20637" xr:uid="{90BA7B7B-A7FD-4A4E-AB6F-7188633A83DF}"/>
    <cellStyle name="Migliaia 41 7 4" xfId="37070" xr:uid="{F9E9F99C-6F55-41C9-96E6-F36FFDF4D4DB}"/>
    <cellStyle name="Migliaia 41 7 5" xfId="42321" xr:uid="{28B09A89-7A21-4B06-BD79-F9CAE819E143}"/>
    <cellStyle name="Migliaia 41 7 6" xfId="16569" xr:uid="{427F9776-C4EC-41FD-A631-C8391F01E182}"/>
    <cellStyle name="Migliaia 41 7 7" xfId="8346" xr:uid="{97D2DE38-6700-4F0B-8DA3-4270B6069CB6}"/>
    <cellStyle name="Migliaia 41 8" xfId="3679" xr:uid="{1F3D00DE-01F6-4BD7-95C0-2747F8039565}"/>
    <cellStyle name="Migliaia 41 8 2" xfId="5405" xr:uid="{2F1B0665-19C4-4449-80F2-0E8435B1CBAD}"/>
    <cellStyle name="Migliaia 41 8 2 2" xfId="35374" xr:uid="{16208FFA-5163-42DE-97BA-B2C6F1DA84E8}"/>
    <cellStyle name="Migliaia 41 8 2 2 2" xfId="40534" xr:uid="{5960E34F-48FD-4219-BCC4-6C2CC5E2C4AC}"/>
    <cellStyle name="Migliaia 41 8 2 2 3" xfId="45836" xr:uid="{F5390EF0-6DD0-472B-B31E-A48019A7E879}"/>
    <cellStyle name="Migliaia 41 8 2 3" xfId="37883" xr:uid="{F6EE9643-F643-46E7-8A18-3162593CB5C1}"/>
    <cellStyle name="Migliaia 41 8 2 4" xfId="43185" xr:uid="{5D7512A2-9E44-4E06-A23B-09CD10B8671A}"/>
    <cellStyle name="Migliaia 41 8 2 5" xfId="13989" xr:uid="{1FB5A1EE-7924-4747-884E-A6BAE0D55ED4}"/>
    <cellStyle name="Migliaia 41 8 3" xfId="6593" xr:uid="{DB823D79-6E06-4B3E-A7A2-793B3ADC91C4}"/>
    <cellStyle name="Migliaia 41 8 3 2" xfId="39671" xr:uid="{0A906E5B-5D6E-4898-89E4-2FB33000F402}"/>
    <cellStyle name="Migliaia 41 8 3 3" xfId="44973" xr:uid="{7A299ECC-6B93-4B66-99B4-88D75391B5EB}"/>
    <cellStyle name="Migliaia 41 8 3 4" xfId="34118" xr:uid="{E93B39C3-48AE-4B7A-A9BD-06132B22BA34}"/>
    <cellStyle name="Migliaia 41 8 3 5" xfId="20638" xr:uid="{FD374B21-D3CC-4007-A3EF-C280DD7891FB}"/>
    <cellStyle name="Migliaia 41 8 4" xfId="37071" xr:uid="{199934E5-773F-4A6B-8038-1AB7A294F76B}"/>
    <cellStyle name="Migliaia 41 8 5" xfId="42322" xr:uid="{0032F8C1-43FD-480E-80AB-F8BC538AB216}"/>
    <cellStyle name="Migliaia 41 8 6" xfId="16570" xr:uid="{1143FA6D-93F2-450D-8C60-58DB8E830FCE}"/>
    <cellStyle name="Migliaia 41 8 7" xfId="7962" xr:uid="{2D6C33EC-AB37-4FE0-9C99-F60697025DEE}"/>
    <cellStyle name="Migliaia 41 9" xfId="5390" xr:uid="{4ACE08C6-2C20-46FA-AC8E-1D2D865DA549}"/>
    <cellStyle name="Migliaia 41 9 2" xfId="34119" xr:uid="{0C30C3B9-06AE-4A14-8BF9-F2695B42EC56}"/>
    <cellStyle name="Migliaia 41 9 2 2" xfId="39672" xr:uid="{9E2B7AC6-5332-42F3-B237-468615DCB2DA}"/>
    <cellStyle name="Migliaia 41 9 2 3" xfId="44974" xr:uid="{2980C7C0-9A8C-487F-91DF-4DC808D28D6F}"/>
    <cellStyle name="Migliaia 41 9 3" xfId="37072" xr:uid="{E802DB20-AF27-43B1-9053-2C5120DF0A47}"/>
    <cellStyle name="Migliaia 41 9 4" xfId="42323" xr:uid="{921B04B9-0282-4025-89DB-A79649FD869D}"/>
    <cellStyle name="Migliaia 41 9 5" xfId="17205" xr:uid="{3F74649E-36D4-4D71-A3B5-88596FEBFDB2}"/>
    <cellStyle name="Migliaia 42" xfId="445" xr:uid="{00000000-0005-0000-0000-000003040000}"/>
    <cellStyle name="Migliaia 42 10" xfId="6594" xr:uid="{4CA667ED-9C0C-4A5B-93E9-45E13265C50F}"/>
    <cellStyle name="Migliaia 42 10 2" xfId="39673" xr:uid="{FBA18652-CFCC-4487-B18D-F20E8943328D}"/>
    <cellStyle name="Migliaia 42 10 3" xfId="44975" xr:uid="{C33B1DD2-C26C-49EC-85F0-F882A43535C1}"/>
    <cellStyle name="Migliaia 42 10 4" xfId="34120" xr:uid="{92BAEC75-5046-4F34-865C-C8B08A811C63}"/>
    <cellStyle name="Migliaia 42 10 5" xfId="20639" xr:uid="{78FDB559-F84D-4B8E-A92D-CB7FD5EC773E}"/>
    <cellStyle name="Migliaia 42 11" xfId="3680" xr:uid="{63575C2D-0943-4508-94B2-FF374F8D3B40}"/>
    <cellStyle name="Migliaia 42 11 2" xfId="37073" xr:uid="{C24EEEE5-2650-4934-B852-66EBE9F6E65B}"/>
    <cellStyle name="Migliaia 42 12" xfId="42324" xr:uid="{A4D6DA36-829F-40D9-9100-C556C2CB2D3E}"/>
    <cellStyle name="Migliaia 42 13" xfId="7150" xr:uid="{D53E19C0-5F6C-450C-B516-13CD276D2FFB}"/>
    <cellStyle name="Migliaia 42 2" xfId="446" xr:uid="{00000000-0005-0000-0000-000004040000}"/>
    <cellStyle name="Migliaia 42 2 2" xfId="1836" xr:uid="{00000000-0005-0000-0000-000005040000}"/>
    <cellStyle name="Migliaia 42 2 2 2" xfId="5408" xr:uid="{FC4DF6BE-260D-4227-BB92-FF8BE8E97E50}"/>
    <cellStyle name="Migliaia 42 2 2 2 2" xfId="14399" xr:uid="{16FD9EFA-762F-4CE1-B059-2B1561E22968}"/>
    <cellStyle name="Migliaia 42 2 2 2 2 2" xfId="39674" xr:uid="{474DE85D-5B37-473C-9D76-F8CBB9773ED1}"/>
    <cellStyle name="Migliaia 42 2 2 2 2 3" xfId="44976" xr:uid="{1EF34E44-DD9A-4274-A784-FCC7F69DF060}"/>
    <cellStyle name="Migliaia 42 2 2 2 3" xfId="18470" xr:uid="{603D8668-9A85-41F7-AE7B-D792CED87B6B}"/>
    <cellStyle name="Migliaia 42 2 2 2 4" xfId="20642" xr:uid="{C0E7D02A-B75D-46FF-8E4F-D0780FECC6ED}"/>
    <cellStyle name="Migliaia 42 2 2 2 4 2" xfId="42325" xr:uid="{76E20149-FB91-47A8-84FB-158618E2C3E2}"/>
    <cellStyle name="Migliaia 42 2 2 2 5" xfId="16571" xr:uid="{DAB33F08-4853-4416-B920-577479B8FFBD}"/>
    <cellStyle name="Migliaia 42 2 2 2 6" xfId="8697" xr:uid="{22BA0BCD-22AF-4B70-8273-0921B6C5B3AE}"/>
    <cellStyle name="Migliaia 42 2 2 3" xfId="6596" xr:uid="{9CECB5FF-B687-427A-92DB-2183CFD32993}"/>
    <cellStyle name="Migliaia 42 2 2 3 2" xfId="35375" xr:uid="{391A201B-7809-4275-B189-81D743CAC599}"/>
    <cellStyle name="Migliaia 42 2 2 3 2 2" xfId="40535" xr:uid="{CFD95F3E-85EE-4340-A779-2F1C32325E44}"/>
    <cellStyle name="Migliaia 42 2 2 3 2 3" xfId="45837" xr:uid="{7C7F94A1-7034-4C1F-85D9-B19EBE2AC6B8}"/>
    <cellStyle name="Migliaia 42 2 2 3 3" xfId="37884" xr:uid="{29154DFC-2A20-4D8B-902D-D3B6CFF149F6}"/>
    <cellStyle name="Migliaia 42 2 2 3 4" xfId="43186" xr:uid="{36AF4D62-237A-419E-893A-5A78453A91D9}"/>
    <cellStyle name="Migliaia 42 2 2 3 5" xfId="11626" xr:uid="{0041E145-7DB8-4A09-8A55-9D846EDB3BFE}"/>
    <cellStyle name="Migliaia 42 2 2 4" xfId="3682" xr:uid="{C3433140-B375-4634-B4A8-6DE0989B7C51}"/>
    <cellStyle name="Migliaia 42 2 2 4 2" xfId="21548" xr:uid="{E362E10A-77BB-424A-9D38-5478E96FB660}"/>
    <cellStyle name="Migliaia 42 2 2 4 3" xfId="47309" xr:uid="{3EA5971F-AAFA-4FA2-B634-7C5F74502D3C}"/>
    <cellStyle name="Migliaia 42 2 2 4 4" xfId="50563" xr:uid="{C00BDEED-CA2A-48F3-9344-7848D7E19869}"/>
    <cellStyle name="Migliaia 42 2 2 4 5" xfId="53579" xr:uid="{BB3BC3ED-94AE-4403-A618-050B2239ADF5}"/>
    <cellStyle name="Migliaia 42 2 2 4 6" xfId="10913" xr:uid="{AB72B128-DED0-4546-BF22-475381BA55F9}"/>
    <cellStyle name="Migliaia 42 2 2 5" xfId="20641" xr:uid="{12AB9F2E-D69F-4289-961C-AF5189CACB86}"/>
    <cellStyle name="Migliaia 42 2 2 6" xfId="25016" xr:uid="{152A06A6-5A2D-4BD7-A9F2-D8CFD461D767}"/>
    <cellStyle name="Migliaia 42 2 2 7" xfId="7507" xr:uid="{CB9DE556-7B75-48F5-8773-A2EC8FE61D9C}"/>
    <cellStyle name="Migliaia 42 2 3" xfId="3683" xr:uid="{B7EDE378-2CD8-4A31-8C5A-827F0011BC37}"/>
    <cellStyle name="Migliaia 42 2 3 2" xfId="5409" xr:uid="{7A25153E-547F-4B10-9912-2C02885DF10C}"/>
    <cellStyle name="Migliaia 42 2 3 2 2" xfId="35376" xr:uid="{DA528DE9-17F9-4026-86B5-90E4920F8CF6}"/>
    <cellStyle name="Migliaia 42 2 3 2 2 2" xfId="40536" xr:uid="{D51C024C-236F-44C8-8D5E-7CD627A64CC3}"/>
    <cellStyle name="Migliaia 42 2 3 2 2 3" xfId="45838" xr:uid="{7D8B117B-3332-4F5B-8A4D-16B2EE3967B0}"/>
    <cellStyle name="Migliaia 42 2 3 2 3" xfId="37885" xr:uid="{6432F162-0550-41FA-8C89-ADC22E7CC6C9}"/>
    <cellStyle name="Migliaia 42 2 3 2 4" xfId="43187" xr:uid="{9A8C8520-C97E-416C-833F-EE8282CB605C}"/>
    <cellStyle name="Migliaia 42 2 3 2 5" xfId="14288" xr:uid="{7818B884-3E8C-4EA1-9144-0F7B234EEDCA}"/>
    <cellStyle name="Migliaia 42 2 3 3" xfId="6597" xr:uid="{BEB49CE5-149C-4004-8F7B-74C637C35268}"/>
    <cellStyle name="Migliaia 42 2 3 3 2" xfId="39675" xr:uid="{2C7F0003-4315-4DB9-8585-98232C4F275C}"/>
    <cellStyle name="Migliaia 42 2 3 3 3" xfId="44977" xr:uid="{FE6A2E17-7532-4E08-A00D-063BC3A90268}"/>
    <cellStyle name="Migliaia 42 2 3 3 4" xfId="34121" xr:uid="{2C41090A-6182-401E-BC50-11AF5BF5F7E7}"/>
    <cellStyle name="Migliaia 42 2 3 3 5" xfId="20643" xr:uid="{A228E10F-E31B-4FCA-959B-E5183BF4802C}"/>
    <cellStyle name="Migliaia 42 2 3 4" xfId="37074" xr:uid="{6B16147C-715C-43CB-BD86-6421DCA272F9}"/>
    <cellStyle name="Migliaia 42 2 3 5" xfId="42326" xr:uid="{E79CC83C-FF94-4A04-B183-89556A0605BA}"/>
    <cellStyle name="Migliaia 42 2 3 6" xfId="16572" xr:uid="{1E85E9CB-C049-4B90-B961-231F295486E0}"/>
    <cellStyle name="Migliaia 42 2 3 7" xfId="8350" xr:uid="{42B1F9B4-B46C-4350-BC6C-3C91AA2C1B38}"/>
    <cellStyle name="Migliaia 42 2 4" xfId="5407" xr:uid="{CA689A89-2784-4832-9BD9-6035668EF8D8}"/>
    <cellStyle name="Migliaia 42 2 4 2" xfId="13993" xr:uid="{2C7B4CFF-FA78-4282-8CAE-3871F9C8D840}"/>
    <cellStyle name="Migliaia 42 2 4 2 2" xfId="39676" xr:uid="{C8B4B55F-4478-4A59-BF32-A7BEB0EED60D}"/>
    <cellStyle name="Migliaia 42 2 4 2 3" xfId="44978" xr:uid="{1BDEB0EA-8F9B-479A-B22E-7C8C2F8E4263}"/>
    <cellStyle name="Migliaia 42 2 4 3" xfId="18698" xr:uid="{629751DE-D6A1-4A8E-92D3-443D3B07E9A5}"/>
    <cellStyle name="Migliaia 42 2 4 4" xfId="20644" xr:uid="{47C2361D-4403-4AB3-9AD5-BF208EAE24FE}"/>
    <cellStyle name="Migliaia 42 2 4 4 2" xfId="42327" xr:uid="{DCF47A8D-785A-4C7D-A225-F1E36B1A0CBA}"/>
    <cellStyle name="Migliaia 42 2 4 5" xfId="16573" xr:uid="{B7F70B6D-8CCB-463C-94C4-EB1473027240}"/>
    <cellStyle name="Migliaia 42 2 4 6" xfId="7967" xr:uid="{17310118-7B23-4F76-81BB-C16B75D9215D}"/>
    <cellStyle name="Migliaia 42 2 5" xfId="6595" xr:uid="{E6E24544-EE03-4DAD-93FD-0DE641D8DCCF}"/>
    <cellStyle name="Migliaia 42 2 5 2" xfId="34122" xr:uid="{D5DE7451-7D69-4B81-97C6-AB320B09D45E}"/>
    <cellStyle name="Migliaia 42 2 5 2 2" xfId="39677" xr:uid="{12C3C188-A4A5-4B82-85B8-D9DEB8DAD615}"/>
    <cellStyle name="Migliaia 42 2 5 2 3" xfId="44979" xr:uid="{29AC3EB2-CB36-42F3-B577-EF6A6D0D80BF}"/>
    <cellStyle name="Migliaia 42 2 5 3" xfId="37075" xr:uid="{10AA29A1-3C80-42F6-8614-80B28451E87B}"/>
    <cellStyle name="Migliaia 42 2 5 4" xfId="42328" xr:uid="{3EAE7413-D230-4437-B7CD-FD5F0D69AA4E}"/>
    <cellStyle name="Migliaia 42 2 5 5" xfId="13139" xr:uid="{A73740C3-5E05-4761-A792-B2B280AECDEF}"/>
    <cellStyle name="Migliaia 42 2 6" xfId="3681" xr:uid="{98B60FD5-F5FB-4C1F-B12C-DB87333136C2}"/>
    <cellStyle name="Migliaia 42 2 6 2" xfId="34123" xr:uid="{5A677FA6-D4F6-4B1D-9FEE-71CB50005D38}"/>
    <cellStyle name="Migliaia 42 2 6 2 2" xfId="39678" xr:uid="{9B4F3087-F573-47A2-8CBF-DC48F2CB7103}"/>
    <cellStyle name="Migliaia 42 2 6 2 3" xfId="44980" xr:uid="{110E8423-1CB9-4285-8451-6546F9EACB94}"/>
    <cellStyle name="Migliaia 42 2 6 3" xfId="37076" xr:uid="{3EE9DD15-0BBB-462C-96FA-F5807D7E8336}"/>
    <cellStyle name="Migliaia 42 2 6 4" xfId="42329" xr:uid="{FD4D46B5-4797-4D29-8ADB-DB947C45D3BB}"/>
    <cellStyle name="Migliaia 42 2 6 5" xfId="25017" xr:uid="{72AC9495-4537-40EB-93C0-0977A85AFF0F}"/>
    <cellStyle name="Migliaia 42 2 6 6" xfId="20640" xr:uid="{41A50701-6C6F-4C43-96A3-609540EE791C}"/>
    <cellStyle name="Migliaia 42 2 7" xfId="25015" xr:uid="{D127CEE8-50C8-4219-8735-C47DF7E18DE4}"/>
    <cellStyle name="Migliaia 42 2 8" xfId="7151" xr:uid="{47962C00-BF36-4EA5-9BDA-27F18695023F}"/>
    <cellStyle name="Migliaia 42 3" xfId="447" xr:uid="{00000000-0005-0000-0000-000006040000}"/>
    <cellStyle name="Migliaia 42 3 10" xfId="25018" xr:uid="{D6AADFE3-80E2-4A6E-8472-88BFF57D4C4E}"/>
    <cellStyle name="Migliaia 42 3 11" xfId="16574" xr:uid="{3A20ABCA-E18E-4E83-9C6C-934D62725D78}"/>
    <cellStyle name="Migliaia 42 3 12" xfId="7152" xr:uid="{9379673C-91F8-45BF-87BB-C781451C25C9}"/>
    <cellStyle name="Migliaia 42 3 2" xfId="448" xr:uid="{00000000-0005-0000-0000-000007040000}"/>
    <cellStyle name="Migliaia 42 3 2 2" xfId="1837" xr:uid="{00000000-0005-0000-0000-000008040000}"/>
    <cellStyle name="Migliaia 42 3 2 2 2" xfId="5412" xr:uid="{6F73CBD8-D11F-4FCC-BE10-340B3C8D2687}"/>
    <cellStyle name="Migliaia 42 3 2 2 2 2" xfId="18471" xr:uid="{B0DF7848-59FE-4CF7-8D23-71BA4B1F1BEE}"/>
    <cellStyle name="Migliaia 42 3 2 2 2 2 2" xfId="21877" xr:uid="{E9E7F037-9624-4C90-8119-04AA2263CCAA}"/>
    <cellStyle name="Migliaia 42 3 2 2 2 2 2 2" xfId="39679" xr:uid="{210C82CE-FA05-4C3C-B6B0-3EFB65765F2B}"/>
    <cellStyle name="Migliaia 42 3 2 2 2 2 3" xfId="44981" xr:uid="{FBA4F13F-20D1-4B22-AC54-47C83C97CA24}"/>
    <cellStyle name="Migliaia 42 3 2 2 2 2 4" xfId="34124" xr:uid="{10E01876-9554-41C4-B702-9E38C4F809CC}"/>
    <cellStyle name="Migliaia 42 3 2 2 2 3" xfId="37077" xr:uid="{A92F6058-736B-4F84-A80C-42E4A5F0FD2C}"/>
    <cellStyle name="Migliaia 42 3 2 2 2 4" xfId="42330" xr:uid="{BA8335FC-5ADA-4FC3-8962-E6D643CC6A7E}"/>
    <cellStyle name="Migliaia 42 3 2 2 2 5" xfId="23988" xr:uid="{FFCE5E57-DE31-485F-A3BA-008373997C93}"/>
    <cellStyle name="Migliaia 42 3 2 2 2 6" xfId="50905" xr:uid="{FA9870B7-A6EA-4E8B-975A-DA0212DBF9FC}"/>
    <cellStyle name="Migliaia 42 3 2 2 2 7" xfId="53921" xr:uid="{494B921F-BBB0-417D-9779-4A33E8FEA2B4}"/>
    <cellStyle name="Migliaia 42 3 2 2 2 8" xfId="17675" xr:uid="{2174B7D5-601C-4A58-9744-75950DB64AD2}"/>
    <cellStyle name="Migliaia 42 3 2 2 2 9" xfId="12031" xr:uid="{411375EC-3586-4563-BFF8-DA297BFED320}"/>
    <cellStyle name="Migliaia 42 3 2 2 3" xfId="6600" xr:uid="{0328CB94-615F-4A6E-8AAF-C67B88E1B857}"/>
    <cellStyle name="Migliaia 42 3 2 2 3 2" xfId="11568" xr:uid="{5D7005F5-760A-495C-8C29-C62938DC432D}"/>
    <cellStyle name="Migliaia 42 3 2 2 4" xfId="3686" xr:uid="{8C01A4E3-8ABD-440E-8CDE-7F758DDC3D98}"/>
    <cellStyle name="Migliaia 42 3 2 2 4 2" xfId="21549" xr:uid="{8FAD40E7-F943-4A47-9E48-9C7E0AE1B22C}"/>
    <cellStyle name="Migliaia 42 3 2 2 4 3" xfId="47425" xr:uid="{606EFEA6-FDD2-4E27-91F0-61C082F1BF65}"/>
    <cellStyle name="Migliaia 42 3 2 2 4 4" xfId="50564" xr:uid="{7E585232-475A-4D95-BE5D-4A6CFAD4C7F4}"/>
    <cellStyle name="Migliaia 42 3 2 2 4 5" xfId="53580" xr:uid="{C158CF4A-83C5-4F6F-89E0-EA837C09DFB8}"/>
    <cellStyle name="Migliaia 42 3 2 2 4 6" xfId="10914" xr:uid="{AEBFA000-85C5-4F50-95EE-A714CA995C3A}"/>
    <cellStyle name="Migliaia 42 3 2 2 5" xfId="20647" xr:uid="{79ABB003-FB5B-454D-AD85-769AE11C1DAA}"/>
    <cellStyle name="Migliaia 42 3 2 2 6" xfId="25020" xr:uid="{7FDF8E4C-F6DE-4057-B352-C2714E8CB346}"/>
    <cellStyle name="Migliaia 42 3 2 2 7" xfId="8699" xr:uid="{E82652F7-89C5-4491-8D60-0813ADD81E0A}"/>
    <cellStyle name="Migliaia 42 3 2 3" xfId="5411" xr:uid="{7AE042D6-73EB-4AC6-BC85-07A616024026}"/>
    <cellStyle name="Migliaia 42 3 2 3 2" xfId="12406" xr:uid="{2DCB0AD6-61A0-4DBF-A0E8-16F5DBBFAE5E}"/>
    <cellStyle name="Migliaia 42 3 2 3 2 2" xfId="39680" xr:uid="{C28C5956-783C-4603-A280-666EB5DF5332}"/>
    <cellStyle name="Migliaia 42 3 2 3 2 3" xfId="44982" xr:uid="{6F38F036-6DA4-4DED-8A5D-9BDFA27EE6E5}"/>
    <cellStyle name="Migliaia 42 3 2 3 2 4" xfId="34125" xr:uid="{459715AD-4917-4A8B-A460-EAB7F6E93EB8}"/>
    <cellStyle name="Migliaia 42 3 2 3 3" xfId="12032" xr:uid="{F4BE4F1F-2C76-4735-9E3E-458E919DCD51}"/>
    <cellStyle name="Migliaia 42 3 2 3 4" xfId="20648" xr:uid="{895ACF05-6772-4D5E-B312-1CCB9B524110}"/>
    <cellStyle name="Migliaia 42 3 2 3 4 2" xfId="42331" xr:uid="{90153681-EA6A-4441-8E27-14887EB4C69C}"/>
    <cellStyle name="Migliaia 42 3 2 3 5" xfId="16575" xr:uid="{DCEFB2F3-9728-4A23-8C62-AB17E25AE7BB}"/>
    <cellStyle name="Migliaia 42 3 2 3 6" xfId="7969" xr:uid="{8A98B4BA-22BB-47C6-9CFD-F6F859CCACF1}"/>
    <cellStyle name="Migliaia 42 3 2 4" xfId="6599" xr:uid="{548C2C2F-34C3-4615-B91D-56194F789C96}"/>
    <cellStyle name="Migliaia 42 3 2 4 2" xfId="18093" xr:uid="{9338A041-5061-46EB-B5C4-D84D39735A85}"/>
    <cellStyle name="Migliaia 42 3 2 4 2 2" xfId="39681" xr:uid="{972E6E81-F91B-42F1-ADDE-2DA788FD7EA3}"/>
    <cellStyle name="Migliaia 42 3 2 4 2 3" xfId="44983" xr:uid="{CF25D883-5245-44EF-B3C4-BCE3ACD67541}"/>
    <cellStyle name="Migliaia 42 3 2 4 3" xfId="37078" xr:uid="{F6865A4E-3DE2-465B-84F5-FC4CCDFE6937}"/>
    <cellStyle name="Migliaia 42 3 2 4 4" xfId="42332" xr:uid="{D12478DD-874E-41E0-9012-4329D67C6055}"/>
    <cellStyle name="Migliaia 42 3 2 4 5" xfId="17208" xr:uid="{2C7ED76A-F9A4-490C-ACF9-27C574214624}"/>
    <cellStyle name="Migliaia 42 3 2 4 6" xfId="11380" xr:uid="{1F7B6F86-2BFE-47E7-BED5-9AD7983C8D2C}"/>
    <cellStyle name="Migliaia 42 3 2 5" xfId="3685" xr:uid="{046DF93E-5516-4292-A2CD-BE3E4CE547C4}"/>
    <cellStyle name="Migliaia 42 3 2 5 2" xfId="34126" xr:uid="{C16BB024-944E-4947-8D41-4984FF66AA7D}"/>
    <cellStyle name="Migliaia 42 3 2 5 2 2" xfId="39682" xr:uid="{99627C58-3987-49B3-A012-F16FC9D9D9BF}"/>
    <cellStyle name="Migliaia 42 3 2 5 2 3" xfId="44984" xr:uid="{B07E80A0-19AE-437C-8C3B-DB26858640CB}"/>
    <cellStyle name="Migliaia 42 3 2 5 3" xfId="37079" xr:uid="{5CF27984-ABDB-4688-A9CF-56A6CD8FC148}"/>
    <cellStyle name="Migliaia 42 3 2 5 4" xfId="42333" xr:uid="{CDC4C1FD-E28C-4EF6-9D6C-8F49F8714BA5}"/>
    <cellStyle name="Migliaia 42 3 2 5 5" xfId="17318" xr:uid="{664588A4-A51E-4891-A474-A6803CC71C60}"/>
    <cellStyle name="Migliaia 42 3 2 6" xfId="20646" xr:uid="{919CF251-2508-4690-AED7-701914E4BD49}"/>
    <cellStyle name="Migliaia 42 3 2 6 2" xfId="34127" xr:uid="{A54E5D9B-C3F4-41EC-B53B-825FCFA426AF}"/>
    <cellStyle name="Migliaia 42 3 2 6 2 2" xfId="39683" xr:uid="{9CD4C518-519C-44F8-9661-CBC634A43347}"/>
    <cellStyle name="Migliaia 42 3 2 6 2 3" xfId="44985" xr:uid="{E469F326-0284-49E6-A03C-30555A994FB7}"/>
    <cellStyle name="Migliaia 42 3 2 6 3" xfId="37080" xr:uid="{C2C7C948-3F13-41A2-9905-16D00EDFBEE3}"/>
    <cellStyle name="Migliaia 42 3 2 6 4" xfId="42334" xr:uid="{C47C88A6-A046-44AF-8967-7850DB7A39C1}"/>
    <cellStyle name="Migliaia 42 3 2 6 5" xfId="25021" xr:uid="{464085E3-6782-4785-9AA5-C0FA341E4FD1}"/>
    <cellStyle name="Migliaia 42 3 2 7" xfId="25019" xr:uid="{6D96BA6D-20D5-4BBE-9D30-DC618E1A0DAC}"/>
    <cellStyle name="Migliaia 42 3 2 8" xfId="7509" xr:uid="{5C5AC451-612B-43C6-81A9-7F0CEA49D912}"/>
    <cellStyle name="Migliaia 42 3 3" xfId="3687" xr:uid="{14AD234C-A93C-434D-8AA0-E9E268F695CA}"/>
    <cellStyle name="Migliaia 42 3 3 10" xfId="7508" xr:uid="{3AA6861F-5499-4BD7-BB74-A00259EB6600}"/>
    <cellStyle name="Migliaia 42 3 3 2" xfId="5413" xr:uid="{935F6128-386C-42F2-A7C2-5CED5BA480A5}"/>
    <cellStyle name="Migliaia 42 3 3 2 2" xfId="9954" xr:uid="{C54C5DF8-A766-4A7A-9ED0-0B94FECC10DD}"/>
    <cellStyle name="Migliaia 42 3 3 2 2 2" xfId="39685" xr:uid="{CE015A26-B7D1-4C39-9811-AB79CC501899}"/>
    <cellStyle name="Migliaia 42 3 3 2 2 3" xfId="44987" xr:uid="{9CD1730B-062F-4819-BD7F-D08AB98AC43D}"/>
    <cellStyle name="Migliaia 42 3 3 2 3" xfId="18234" xr:uid="{321031B4-1002-4B1D-83E2-C5F038249221}"/>
    <cellStyle name="Migliaia 42 3 3 2 4" xfId="20650" xr:uid="{4585F5E2-A727-4CC3-85B2-7AF4B3C09AED}"/>
    <cellStyle name="Migliaia 42 3 3 2 4 2" xfId="42336" xr:uid="{8E5B5955-3B8E-4E84-87BF-1F7B856DC025}"/>
    <cellStyle name="Migliaia 42 3 3 2 5" xfId="16577" xr:uid="{690A8058-8C5C-4D49-9A60-EB7E065DE3DE}"/>
    <cellStyle name="Migliaia 42 3 3 2 6" xfId="8698" xr:uid="{225F4972-5E5D-4A75-9148-8DFAF0FE524A}"/>
    <cellStyle name="Migliaia 42 3 3 3" xfId="6601" xr:uid="{CF9E21B0-96BE-4BA8-A247-D8194F45F190}"/>
    <cellStyle name="Migliaia 42 3 3 3 2" xfId="34129" xr:uid="{1DD9C758-0364-49C0-A045-BECD82D26BAF}"/>
    <cellStyle name="Migliaia 42 3 3 3 2 2" xfId="39686" xr:uid="{566BD775-A204-476E-B90A-EEC205DC28CE}"/>
    <cellStyle name="Migliaia 42 3 3 3 2 3" xfId="44988" xr:uid="{D7D039F6-728B-4B68-BC82-D7FFF33DBC20}"/>
    <cellStyle name="Migliaia 42 3 3 3 3" xfId="37082" xr:uid="{14848FD8-D93C-41C2-947B-98F36CB46461}"/>
    <cellStyle name="Migliaia 42 3 3 3 4" xfId="42337" xr:uid="{C9718DD5-02D0-4BDA-8576-9D522D0225C0}"/>
    <cellStyle name="Migliaia 42 3 3 3 5" xfId="9717" xr:uid="{0E80169B-1E6C-44B4-A4D4-A9C123E891BC}"/>
    <cellStyle name="Migliaia 42 3 3 4" xfId="20649" xr:uid="{82F555A5-158E-42ED-8D48-69289CE4B6F4}"/>
    <cellStyle name="Migliaia 42 3 3 4 2" xfId="34130" xr:uid="{BF3F9426-5B0A-4342-AF60-48316662C650}"/>
    <cellStyle name="Migliaia 42 3 3 4 2 2" xfId="39687" xr:uid="{FB8D534E-D82E-49A2-BCDA-D0769E0D31B5}"/>
    <cellStyle name="Migliaia 42 3 3 4 2 3" xfId="44989" xr:uid="{BC382741-B34E-4B46-B8C0-C137AC5E6676}"/>
    <cellStyle name="Migliaia 42 3 3 4 3" xfId="37083" xr:uid="{8E1DB54D-FB00-4211-8302-A677B0A42E62}"/>
    <cellStyle name="Migliaia 42 3 3 4 4" xfId="42338" xr:uid="{F715F4BA-9EFA-4233-AA21-114F93715F83}"/>
    <cellStyle name="Migliaia 42 3 3 4 5" xfId="25022" xr:uid="{F41961CC-134D-4345-9C69-2047B3FE4094}"/>
    <cellStyle name="Migliaia 42 3 3 5" xfId="25023" xr:uid="{5243B470-B646-42BB-B3A9-389D8A85E3B4}"/>
    <cellStyle name="Migliaia 42 3 3 5 2" xfId="34131" xr:uid="{2F4FA38B-E540-4D45-83E0-B5A4AD8F4499}"/>
    <cellStyle name="Migliaia 42 3 3 5 2 2" xfId="39688" xr:uid="{E3484864-E94B-4CC8-8D84-14E9795FF9BD}"/>
    <cellStyle name="Migliaia 42 3 3 5 2 3" xfId="44990" xr:uid="{3A217358-5944-4C17-95B0-F86393E026DF}"/>
    <cellStyle name="Migliaia 42 3 3 5 3" xfId="37084" xr:uid="{DE81502C-6E50-4508-B398-3D64BD167DC7}"/>
    <cellStyle name="Migliaia 42 3 3 5 4" xfId="42339" xr:uid="{E2D48FEB-9EC8-4157-B3D5-745959F64CE0}"/>
    <cellStyle name="Migliaia 42 3 3 6" xfId="34128" xr:uid="{8B6EB805-3E86-4563-927C-5269FC3ED6D6}"/>
    <cellStyle name="Migliaia 42 3 3 6 2" xfId="39684" xr:uid="{44109717-C499-4FCC-A2B8-0013D97A75AA}"/>
    <cellStyle name="Migliaia 42 3 3 6 3" xfId="44986" xr:uid="{572F0177-2376-4424-891E-0540DBE2FA3B}"/>
    <cellStyle name="Migliaia 42 3 3 7" xfId="37081" xr:uid="{5741A35A-74BA-4518-A4AA-7DB5C7AE28E4}"/>
    <cellStyle name="Migliaia 42 3 3 8" xfId="42335" xr:uid="{1D0DFCE9-B5D0-47EB-A1A4-584F734A0100}"/>
    <cellStyle name="Migliaia 42 3 3 9" xfId="16576" xr:uid="{C2AD4F90-E9F1-4E82-8500-DDC260279846}"/>
    <cellStyle name="Migliaia 42 3 4" xfId="3688" xr:uid="{F529A206-FE6C-46CC-BFB3-399F2C0C49CE}"/>
    <cellStyle name="Migliaia 42 3 4 2" xfId="5414" xr:uid="{BDADA8EF-4072-46E6-9238-9652E920CBC7}"/>
    <cellStyle name="Migliaia 42 3 4 2 2" xfId="14459" xr:uid="{56A8C100-BECD-4354-8A52-D33B6A3D3BF0}"/>
    <cellStyle name="Migliaia 42 3 4 2 3" xfId="18628" xr:uid="{2BA26BD7-1FC2-4AD7-879F-92FF607BB406}"/>
    <cellStyle name="Migliaia 42 3 4 2 4" xfId="20652" xr:uid="{C7024B64-1F0C-4A1D-9F46-685C16A1427F}"/>
    <cellStyle name="Migliaia 42 3 4 2 5" xfId="32418" xr:uid="{A9D93383-B5FC-40E3-B227-0C8339B075F4}"/>
    <cellStyle name="Migliaia 42 3 4 2 6" xfId="16579" xr:uid="{8CCD9A84-4652-45FD-9A14-991890218AF0}"/>
    <cellStyle name="Migliaia 42 3 4 2 7" xfId="8882" xr:uid="{99B3A80C-A8FD-4980-9169-04689D52FD2B}"/>
    <cellStyle name="Migliaia 42 3 4 3" xfId="6602" xr:uid="{94099431-B308-4B76-BCDA-426073D11105}"/>
    <cellStyle name="Migliaia 42 3 4 3 2" xfId="35377" xr:uid="{68C7BCAC-2721-4934-AEAF-6FA9739E450F}"/>
    <cellStyle name="Migliaia 42 3 4 3 2 2" xfId="40537" xr:uid="{58558476-16C1-40E3-A7D2-A4FDDBC774BF}"/>
    <cellStyle name="Migliaia 42 3 4 3 2 3" xfId="45839" xr:uid="{08D7F91A-A5D9-4733-BCCB-190A530DEE77}"/>
    <cellStyle name="Migliaia 42 3 4 3 3" xfId="37886" xr:uid="{193B0AA8-ABBC-44D9-BD82-2CE22B33CACF}"/>
    <cellStyle name="Migliaia 42 3 4 3 4" xfId="43188" xr:uid="{B0592774-6268-46EF-A4E0-72C18969CC35}"/>
    <cellStyle name="Migliaia 42 3 4 3 5" xfId="13707" xr:uid="{9E79E41F-1E2E-4A76-9943-D8CC8C476CC4}"/>
    <cellStyle name="Migliaia 42 3 4 4" xfId="20651" xr:uid="{D30DF690-AEF7-4FD6-A5C9-D616D4014E36}"/>
    <cellStyle name="Migliaia 42 3 4 4 2" xfId="39689" xr:uid="{A6C47B8A-7120-412C-9F40-34EE22700BBE}"/>
    <cellStyle name="Migliaia 42 3 4 4 3" xfId="44991" xr:uid="{79E7109D-0E90-47FF-A704-CE138CB25BC1}"/>
    <cellStyle name="Migliaia 42 3 4 4 4" xfId="34132" xr:uid="{D0DE17A3-6E1F-4C87-AA59-8DD00A745CAA}"/>
    <cellStyle name="Migliaia 42 3 4 5" xfId="37085" xr:uid="{4E698B98-1F3E-4640-A263-FCC154F31706}"/>
    <cellStyle name="Migliaia 42 3 4 6" xfId="42340" xr:uid="{FFA5D687-E782-4EDF-AB88-D5E4BCE19592}"/>
    <cellStyle name="Migliaia 42 3 4 7" xfId="16578" xr:uid="{0ED7AB9D-DC8C-4DB5-8D72-6A7D89AAAA07}"/>
    <cellStyle name="Migliaia 42 3 4 8" xfId="7692" xr:uid="{6ADF6C3E-4A22-40F7-BF01-524132127E2D}"/>
    <cellStyle name="Migliaia 42 3 5" xfId="3689" xr:uid="{F8E66518-068A-494A-B58A-A69DDA470BBD}"/>
    <cellStyle name="Migliaia 42 3 5 2" xfId="5415" xr:uid="{0EFAC48A-16B6-4400-83A1-F8E0EB29F1BA}"/>
    <cellStyle name="Migliaia 42 3 5 2 2" xfId="35378" xr:uid="{8F7ACB88-5C37-4F31-A35B-823FA1AA62B4}"/>
    <cellStyle name="Migliaia 42 3 5 2 2 2" xfId="40538" xr:uid="{C9BE55C2-F20A-4C1A-BC9F-C7745923DBE8}"/>
    <cellStyle name="Migliaia 42 3 5 2 2 3" xfId="45840" xr:uid="{1ADF1C08-8641-48F7-A771-A22922A63F5E}"/>
    <cellStyle name="Migliaia 42 3 5 2 3" xfId="37887" xr:uid="{DFABE7B0-7080-4317-A17C-ACD564CE5FC5}"/>
    <cellStyle name="Migliaia 42 3 5 2 4" xfId="43189" xr:uid="{75CAC2C5-56F0-4CEA-B347-10A3E3D14B73}"/>
    <cellStyle name="Migliaia 42 3 5 2 5" xfId="14289" xr:uid="{B65BC46D-037B-4143-BD7C-3F4C84034DAF}"/>
    <cellStyle name="Migliaia 42 3 5 3" xfId="6603" xr:uid="{6F8B11C8-0983-4291-A012-5619273643DE}"/>
    <cellStyle name="Migliaia 42 3 5 3 2" xfId="39690" xr:uid="{77FBB6C4-9410-4978-8859-6178D6CF925C}"/>
    <cellStyle name="Migliaia 42 3 5 3 3" xfId="44992" xr:uid="{96045B64-10A0-4149-A554-1E59907C8F2C}"/>
    <cellStyle name="Migliaia 42 3 5 3 4" xfId="34133" xr:uid="{94E330F9-BC44-45C6-873D-EB06B56D5204}"/>
    <cellStyle name="Migliaia 42 3 5 3 5" xfId="20653" xr:uid="{570D26FC-5C0F-41ED-B108-646DDC59A4E2}"/>
    <cellStyle name="Migliaia 42 3 5 4" xfId="37086" xr:uid="{29C17E89-99E0-472E-8FD4-3D88C75B546F}"/>
    <cellStyle name="Migliaia 42 3 5 5" xfId="42341" xr:uid="{548D2DCD-B4D2-4A07-AAFA-3A6300BBC7FC}"/>
    <cellStyle name="Migliaia 42 3 5 6" xfId="16580" xr:uid="{B165D33E-875F-4109-94DD-099B8BD67F63}"/>
    <cellStyle name="Migliaia 42 3 5 7" xfId="8351" xr:uid="{6EB12D98-E6FC-4280-88DF-0068047FCC3C}"/>
    <cellStyle name="Migliaia 42 3 6" xfId="5410" xr:uid="{D95E8B71-2436-4DF1-B110-FA1A92E0AFF0}"/>
    <cellStyle name="Migliaia 42 3 6 2" xfId="13994" xr:uid="{4A5BF096-EB06-472F-9CC4-7E109587D6B2}"/>
    <cellStyle name="Migliaia 42 3 6 2 2" xfId="39691" xr:uid="{7A7D7358-70AC-46D7-AE40-6181E80FC49D}"/>
    <cellStyle name="Migliaia 42 3 6 2 3" xfId="44993" xr:uid="{C0AAC34A-D2D4-4FF7-BD72-C8AD9CFBA916}"/>
    <cellStyle name="Migliaia 42 3 6 3" xfId="18609" xr:uid="{832B40FE-DED6-42DB-894F-D2A6A9E48C2A}"/>
    <cellStyle name="Migliaia 42 3 6 4" xfId="20654" xr:uid="{6A480FE5-A1E0-46F3-8BB1-E4292A7CE2BC}"/>
    <cellStyle name="Migliaia 42 3 6 4 2" xfId="42342" xr:uid="{97E03AFF-BA59-43B9-B8AB-9A7E8062442B}"/>
    <cellStyle name="Migliaia 42 3 6 5" xfId="16581" xr:uid="{40079096-9E7C-47C7-A83A-F7A136780138}"/>
    <cellStyle name="Migliaia 42 3 6 6" xfId="7968" xr:uid="{02B4B44F-E093-4A04-9A21-762027150C24}"/>
    <cellStyle name="Migliaia 42 3 7" xfId="6598" xr:uid="{E99903A8-AD5F-4B60-A58A-7BE94FBD941C}"/>
    <cellStyle name="Migliaia 42 3 7 2" xfId="34134" xr:uid="{B8BBBE5A-5DEE-4271-A93A-8399D9661805}"/>
    <cellStyle name="Migliaia 42 3 7 2 2" xfId="39692" xr:uid="{3908C0C6-2AE8-4D4F-AB01-1EE1C51D0F77}"/>
    <cellStyle name="Migliaia 42 3 7 2 3" xfId="44994" xr:uid="{C07F44F0-AC2B-48D8-A2F2-87D3CC7717AA}"/>
    <cellStyle name="Migliaia 42 3 7 3" xfId="37087" xr:uid="{A9D39D86-0A7C-489E-8F63-4A19A2B764A3}"/>
    <cellStyle name="Migliaia 42 3 7 4" xfId="42343" xr:uid="{754C375B-A4BC-4E46-BE4A-C1A35F8C4A32}"/>
    <cellStyle name="Migliaia 42 3 7 5" xfId="12247" xr:uid="{3F005B55-F432-4327-8A99-03759731F798}"/>
    <cellStyle name="Migliaia 42 3 8" xfId="3684" xr:uid="{BF2E584E-DB74-4E71-9D2D-2897249F35F7}"/>
    <cellStyle name="Migliaia 42 3 8 2" xfId="34135" xr:uid="{CC1FC2F4-7CF9-4630-B6C4-3D37BDF8DC8A}"/>
    <cellStyle name="Migliaia 42 3 8 2 2" xfId="39693" xr:uid="{365EAC0B-F12A-44D8-B360-5010724E28EE}"/>
    <cellStyle name="Migliaia 42 3 8 2 3" xfId="44995" xr:uid="{400186FC-53B4-4E70-9139-763B4372EF67}"/>
    <cellStyle name="Migliaia 42 3 8 3" xfId="37088" xr:uid="{ABAAC972-8EC0-47AC-9311-9A9AE474F45A}"/>
    <cellStyle name="Migliaia 42 3 8 4" xfId="42344" xr:uid="{DEBC1C1B-4E98-4F79-A1DA-60BB40F58AF2}"/>
    <cellStyle name="Migliaia 42 3 8 5" xfId="25024" xr:uid="{C79967D1-0035-4B07-9C17-52E60D809C7F}"/>
    <cellStyle name="Migliaia 42 3 8 6" xfId="17319" xr:uid="{5D66BA5B-B59E-4AFC-B0BA-C220CC535EDD}"/>
    <cellStyle name="Migliaia 42 3 9" xfId="20645" xr:uid="{AA61BE4B-94F6-4D82-A58F-9C3877A3D12A}"/>
    <cellStyle name="Migliaia 42 4" xfId="1838" xr:uid="{00000000-0005-0000-0000-000009040000}"/>
    <cellStyle name="Migliaia 42 4 2" xfId="1839" xr:uid="{00000000-0005-0000-0000-00000A040000}"/>
    <cellStyle name="Migliaia 42 4 2 2" xfId="5417" xr:uid="{F353511E-7122-4DF1-B2D0-CB89EB433B1C}"/>
    <cellStyle name="Migliaia 42 4 2 2 2" xfId="34136" xr:uid="{085579E7-D7D2-4999-904A-7A570419B02A}"/>
    <cellStyle name="Migliaia 42 4 2 2 2 2" xfId="39694" xr:uid="{8B8AFBAB-DFF6-4F4E-9C58-E14329CEDC8B}"/>
    <cellStyle name="Migliaia 42 4 2 2 2 3" xfId="44996" xr:uid="{FB449D6D-0592-4AE0-9C6C-C9E149038165}"/>
    <cellStyle name="Migliaia 42 4 2 2 3" xfId="37089" xr:uid="{16478EB4-3F56-497E-8F2F-E204D7F79FBB}"/>
    <cellStyle name="Migliaia 42 4 2 2 4" xfId="42345" xr:uid="{92FD4046-5060-4F3E-9150-333972F020E0}"/>
    <cellStyle name="Migliaia 42 4 2 2 5" xfId="9180" xr:uid="{708F96F8-B4E2-4884-B538-AD707E37325F}"/>
    <cellStyle name="Migliaia 42 4 2 3" xfId="3691" xr:uid="{F0016668-CC46-41EE-8DE0-434A015DD712}"/>
    <cellStyle name="Migliaia 42 4 2 3 2" xfId="34137" xr:uid="{C8D39D2C-74D1-4C69-A416-8EB164162F3F}"/>
    <cellStyle name="Migliaia 42 4 2 3 2 2" xfId="39695" xr:uid="{66059E14-89D1-447E-8C0A-36CBAF7152F8}"/>
    <cellStyle name="Migliaia 42 4 2 3 2 3" xfId="44997" xr:uid="{F3D76387-0F67-4B94-BDCD-AB6C26018E4A}"/>
    <cellStyle name="Migliaia 42 4 2 3 3" xfId="37090" xr:uid="{844B621C-CDA5-485F-B147-68E79CBD8CB1}"/>
    <cellStyle name="Migliaia 42 4 2 3 4" xfId="42346" xr:uid="{17110356-0DB1-4732-A1D4-134365C5E38A}"/>
    <cellStyle name="Migliaia 42 4 2 3 5" xfId="12033" xr:uid="{5D7F69AF-3327-4A0D-A394-0B6FDA605FB8}"/>
    <cellStyle name="Migliaia 42 4 2 4" xfId="11382" xr:uid="{0AE7782F-93A3-4834-8DCC-0D41B9619757}"/>
    <cellStyle name="Migliaia 42 4 2 5" xfId="10916" xr:uid="{3456CFC0-55C6-486B-B365-2DBF3F293A78}"/>
    <cellStyle name="Migliaia 42 4 2 5 2" xfId="21551" xr:uid="{8B5DD290-BACE-493A-B357-BF3E2C575750}"/>
    <cellStyle name="Migliaia 42 4 2 5 3" xfId="25350" xr:uid="{86BE9832-EBD2-48FE-965A-97C6F93EBE83}"/>
    <cellStyle name="Migliaia 42 4 2 5 4" xfId="50566" xr:uid="{7A0EA6F6-23CE-4589-9850-9F3585EF9F54}"/>
    <cellStyle name="Migliaia 42 4 2 5 5" xfId="53582" xr:uid="{791E3DDC-93C9-44F4-8F2B-23758393803B}"/>
    <cellStyle name="Migliaia 42 4 2 6" xfId="20656" xr:uid="{9BDC98E3-086B-41F1-8DF5-1F9EFDCE9F97}"/>
    <cellStyle name="Migliaia 42 4 2 7" xfId="25026" xr:uid="{B228C546-5E58-42A6-A976-6C32D62B83D4}"/>
    <cellStyle name="Migliaia 42 4 2 8" xfId="8700" xr:uid="{916E3B09-6D98-454D-B3BC-E3DDC01C4653}"/>
    <cellStyle name="Migliaia 42 4 3" xfId="5416" xr:uid="{97FE7688-E785-41D6-9197-6C70640B3B6C}"/>
    <cellStyle name="Migliaia 42 4 3 2" xfId="18235" xr:uid="{95A122C6-8CAA-414F-A21F-DDC81A26D37B}"/>
    <cellStyle name="Migliaia 42 4 3 2 2" xfId="39696" xr:uid="{6B7CCB82-631B-4F4A-B59A-0FE557CFE5C1}"/>
    <cellStyle name="Migliaia 42 4 3 2 3" xfId="44998" xr:uid="{3821AAA2-51B7-4612-9EA4-5CBF28692F86}"/>
    <cellStyle name="Migliaia 42 4 3 3" xfId="37091" xr:uid="{FBC34D1C-F38D-4F12-A5DD-32D4023B58DF}"/>
    <cellStyle name="Migliaia 42 4 3 4" xfId="42347" xr:uid="{5EB83BF4-6300-456B-A270-C6535DD39961}"/>
    <cellStyle name="Migliaia 42 4 3 5" xfId="17317" xr:uid="{244FC892-FDBC-4590-A83E-AB73B96A6D21}"/>
    <cellStyle name="Migliaia 42 4 3 6" xfId="9181" xr:uid="{3A105F35-1FDD-4F78-9E14-30ACE820FE2F}"/>
    <cellStyle name="Migliaia 42 4 4" xfId="6604" xr:uid="{E5812EF7-A939-4F47-82A0-F11A5EDB1272}"/>
    <cellStyle name="Migliaia 42 4 4 2" xfId="34139" xr:uid="{7157546D-A726-4F46-830C-0EAD428201DA}"/>
    <cellStyle name="Migliaia 42 4 4 2 2" xfId="39697" xr:uid="{28667A3C-0F8E-42DB-9291-ADB42CAE446E}"/>
    <cellStyle name="Migliaia 42 4 4 2 3" xfId="44999" xr:uid="{6C29DF8F-BCB1-45C4-8D07-A39EDBC19B9C}"/>
    <cellStyle name="Migliaia 42 4 4 3" xfId="37092" xr:uid="{29994A0A-3568-4ACE-80E2-0F2F3332189A}"/>
    <cellStyle name="Migliaia 42 4 4 4" xfId="42348" xr:uid="{B14256B5-64D4-484F-8486-A88EB0234EA1}"/>
    <cellStyle name="Migliaia 42 4 4 5" xfId="12034" xr:uid="{86423CAE-C65F-439B-ACD4-8D6CAEBBF3B0}"/>
    <cellStyle name="Migliaia 42 4 5" xfId="3690" xr:uid="{6FC28AF1-43DA-4F9C-8AD9-01091AC3B763}"/>
    <cellStyle name="Migliaia 42 4 5 2" xfId="34140" xr:uid="{30D3BA50-4BB8-441E-85D9-34943EE57AFA}"/>
    <cellStyle name="Migliaia 42 4 5 2 2" xfId="39698" xr:uid="{ABE9ADCA-3F52-480C-B41F-CC55EE767380}"/>
    <cellStyle name="Migliaia 42 4 5 2 3" xfId="45000" xr:uid="{604F3892-337E-4D07-90F6-AEF1F0FAC483}"/>
    <cellStyle name="Migliaia 42 4 5 3" xfId="37093" xr:uid="{4C2515FE-5CB1-4BAC-8869-5197295B12F5}"/>
    <cellStyle name="Migliaia 42 4 5 4" xfId="42349" xr:uid="{807EC45C-F2F2-483F-91EF-AC2237467E2C}"/>
    <cellStyle name="Migliaia 42 4 5 5" xfId="11381" xr:uid="{7E840DF5-48DD-4840-93B3-7630826BBFC7}"/>
    <cellStyle name="Migliaia 42 4 6" xfId="10915" xr:uid="{044C42C3-19D9-4BEC-AACC-C9615294B72C}"/>
    <cellStyle name="Migliaia 42 4 6 2" xfId="21550" xr:uid="{F0F8C6ED-1F35-43E1-91D6-1550E7AE4F78}"/>
    <cellStyle name="Migliaia 42 4 6 2 2" xfId="39699" xr:uid="{2C2F327F-977B-4B2C-8374-6CE49ED9F1B2}"/>
    <cellStyle name="Migliaia 42 4 6 2 3" xfId="45001" xr:uid="{B84CB9B0-67DB-47C8-A26D-3FF23643B1A6}"/>
    <cellStyle name="Migliaia 42 4 6 2 4" xfId="34141" xr:uid="{88D80FC9-CFCE-4E29-85F1-B487C936AC6F}"/>
    <cellStyle name="Migliaia 42 4 6 3" xfId="37094" xr:uid="{BF0BD964-B065-4B30-A6D7-701D74AC6E19}"/>
    <cellStyle name="Migliaia 42 4 6 4" xfId="42350" xr:uid="{7A4702FC-F8D2-4283-95BE-7583CD903C85}"/>
    <cellStyle name="Migliaia 42 4 6 5" xfId="25031" xr:uid="{337E76B7-19C2-47C6-BF50-67B7E1C73838}"/>
    <cellStyle name="Migliaia 42 4 6 6" xfId="47903" xr:uid="{F6C99586-E809-4139-A32B-4BC304936084}"/>
    <cellStyle name="Migliaia 42 4 6 7" xfId="50565" xr:uid="{F92DD9A6-AF17-489D-869A-FE6C211F139C}"/>
    <cellStyle name="Migliaia 42 4 6 8" xfId="53581" xr:uid="{B1EDCFBB-BB40-4B49-85A7-521C843829A3}"/>
    <cellStyle name="Migliaia 42 4 7" xfId="20655" xr:uid="{71F86F2E-0FCD-452F-99FE-FCC55A23FE35}"/>
    <cellStyle name="Migliaia 42 4 7 2" xfId="34142" xr:uid="{2D80DD91-CE47-496A-9AC1-07878BAE9F3D}"/>
    <cellStyle name="Migliaia 42 4 7 2 2" xfId="39700" xr:uid="{DAADC547-4F36-4B87-B578-1472E5C30525}"/>
    <cellStyle name="Migliaia 42 4 7 2 3" xfId="45002" xr:uid="{B43BC6E9-6C6C-40DE-99F2-2A5A6EA2960F}"/>
    <cellStyle name="Migliaia 42 4 7 3" xfId="37095" xr:uid="{E7581B52-504A-4431-AAFC-FD1A241726A4}"/>
    <cellStyle name="Migliaia 42 4 7 4" xfId="42351" xr:uid="{9B48FEE6-4DCA-415E-B1F9-B9C7A1C9DACC}"/>
    <cellStyle name="Migliaia 42 4 7 5" xfId="25032" xr:uid="{09F2F37F-6B7B-4F96-9BC9-787A386A051F}"/>
    <cellStyle name="Migliaia 42 4 8" xfId="25025" xr:uid="{278E04B7-CD0B-4952-AF7A-CD77EB018638}"/>
    <cellStyle name="Migliaia 42 4 9" xfId="7510" xr:uid="{35F41FBD-FD71-45FE-96A7-3EC765E9D364}"/>
    <cellStyle name="Migliaia 42 5" xfId="1840" xr:uid="{00000000-0005-0000-0000-00000B040000}"/>
    <cellStyle name="Migliaia 42 5 2" xfId="5418" xr:uid="{89C8FEB2-EEDB-4A35-9C06-3BEEC11466E6}"/>
    <cellStyle name="Migliaia 42 5 2 2" xfId="18472" xr:uid="{71913396-5AD8-479F-977C-245B420F6236}"/>
    <cellStyle name="Migliaia 42 5 2 2 2" xfId="39701" xr:uid="{09A56A1B-B7B9-4EDD-B8E2-FE1F9677E456}"/>
    <cellStyle name="Migliaia 42 5 2 2 3" xfId="45003" xr:uid="{22954157-D996-4313-B65D-48B4EA72177D}"/>
    <cellStyle name="Migliaia 42 5 2 3" xfId="20658" xr:uid="{776B25E5-49E6-42C4-BF1F-2EE831664061}"/>
    <cellStyle name="Migliaia 42 5 2 3 2" xfId="37096" xr:uid="{712A855E-1832-49BD-B84E-031EF6050D47}"/>
    <cellStyle name="Migliaia 42 5 2 4" xfId="42352" xr:uid="{A5F44E9E-D99A-4CB1-8D4E-07152677ABA9}"/>
    <cellStyle name="Migliaia 42 5 2 5" xfId="16582" xr:uid="{EEDC6D8C-F384-4717-B5DD-FE713485889C}"/>
    <cellStyle name="Migliaia 42 5 2 6" xfId="8701" xr:uid="{0751170D-EBF2-4A14-9BB1-81F0340F697A}"/>
    <cellStyle name="Migliaia 42 5 3" xfId="6605" xr:uid="{28F63BBA-C89B-4692-8F68-297820F79E7E}"/>
    <cellStyle name="Migliaia 42 5 3 2" xfId="34144" xr:uid="{5D2ED6CF-D0C9-4F69-AFE6-667B2FA701A6}"/>
    <cellStyle name="Migliaia 42 5 3 2 2" xfId="39702" xr:uid="{61FCB0B4-4DD9-407F-B64A-A3F4B49E4841}"/>
    <cellStyle name="Migliaia 42 5 3 2 3" xfId="45004" xr:uid="{159854C0-1813-43AD-AC90-A9DCDC6CA20C}"/>
    <cellStyle name="Migliaia 42 5 3 3" xfId="37097" xr:uid="{7DAEA7DC-D5B2-477C-B5C6-2C88B382000D}"/>
    <cellStyle name="Migliaia 42 5 3 4" xfId="42353" xr:uid="{65C81641-3E98-4937-8AF1-10C951A4FFC1}"/>
    <cellStyle name="Migliaia 42 5 3 5" xfId="11383" xr:uid="{20282CAF-A50D-48D0-8DE8-BA72663CA1BE}"/>
    <cellStyle name="Migliaia 42 5 4" xfId="3692" xr:uid="{FC3A25BA-A23A-4BC1-86D8-F1797FCD92AA}"/>
    <cellStyle name="Migliaia 42 5 4 2" xfId="21552" xr:uid="{4F9E3A51-BCE4-4C22-B3C2-7DE750FA89B0}"/>
    <cellStyle name="Migliaia 42 5 4 2 2" xfId="39703" xr:uid="{F3DC06B1-3C14-45D4-B755-40A49FE26D2C}"/>
    <cellStyle name="Migliaia 42 5 4 2 3" xfId="45005" xr:uid="{8C441359-2FED-4416-97DC-D83180C7C25E}"/>
    <cellStyle name="Migliaia 42 5 4 2 4" xfId="34145" xr:uid="{05510ACB-39A7-4BD0-A17C-35931F310413}"/>
    <cellStyle name="Migliaia 42 5 4 3" xfId="37098" xr:uid="{2DA758ED-DA7F-41E2-AFAD-5824E66DC567}"/>
    <cellStyle name="Migliaia 42 5 4 4" xfId="42354" xr:uid="{A4C5A8C5-A031-4912-AF8F-E31066B7CCC3}"/>
    <cellStyle name="Migliaia 42 5 4 5" xfId="25036" xr:uid="{929007F9-4F7D-4425-B6FD-CA009A5F084A}"/>
    <cellStyle name="Migliaia 42 5 4 6" xfId="47684" xr:uid="{D09DA7AA-3FDE-4DA1-A2BC-7382D4EA0C88}"/>
    <cellStyle name="Migliaia 42 5 4 7" xfId="50567" xr:uid="{06AAA181-05A6-4EC1-80B4-5464477E7659}"/>
    <cellStyle name="Migliaia 42 5 4 8" xfId="53583" xr:uid="{5D1B8EE0-FFBC-4DE9-AF5D-5BB1046A1322}"/>
    <cellStyle name="Migliaia 42 5 4 9" xfId="10917" xr:uid="{54E9E6D5-9CE0-4630-B71A-5AD853E5B158}"/>
    <cellStyle name="Migliaia 42 5 5" xfId="20657" xr:uid="{3C92F024-D803-4427-BC08-47A46C67D0B4}"/>
    <cellStyle name="Migliaia 42 5 5 2" xfId="34146" xr:uid="{E106252F-B7F0-4372-83B2-9E1B3287131B}"/>
    <cellStyle name="Migliaia 42 5 5 2 2" xfId="39704" xr:uid="{2F62A187-F02C-4653-A3F5-4DAD06E88209}"/>
    <cellStyle name="Migliaia 42 5 5 2 3" xfId="45006" xr:uid="{31AB2EB6-CAB9-40C9-9AFD-B1523FE452E2}"/>
    <cellStyle name="Migliaia 42 5 5 3" xfId="37099" xr:uid="{916A10A9-30FC-46EA-B362-D0AF2FD585B8}"/>
    <cellStyle name="Migliaia 42 5 5 4" xfId="42355" xr:uid="{57CE34D6-DFEB-45BB-8FFB-A4E618C5E78C}"/>
    <cellStyle name="Migliaia 42 5 5 5" xfId="25037" xr:uid="{B7C15AA2-FF3D-4582-AFF3-21A8988BCAE7}"/>
    <cellStyle name="Migliaia 42 5 6" xfId="25038" xr:uid="{590B0E26-ADB6-45C0-AB39-C7438022B959}"/>
    <cellStyle name="Migliaia 42 5 6 2" xfId="34147" xr:uid="{C6CAA7C5-E433-4D6D-9794-05EA3ABAFF43}"/>
    <cellStyle name="Migliaia 42 5 6 2 2" xfId="39705" xr:uid="{B54E7263-6061-4228-97C8-AD0B95AFC840}"/>
    <cellStyle name="Migliaia 42 5 6 2 3" xfId="45007" xr:uid="{F58790AC-0A54-4ACA-8A2C-F3BDE8A247D1}"/>
    <cellStyle name="Migliaia 42 5 6 3" xfId="37100" xr:uid="{F5743281-DAE1-4B32-ABAC-B8F188F3F1AA}"/>
    <cellStyle name="Migliaia 42 5 6 4" xfId="42356" xr:uid="{07C6A713-2E1D-4F26-832C-E8C459CEAEF0}"/>
    <cellStyle name="Migliaia 42 5 7" xfId="25033" xr:uid="{3D742FCF-7F11-4439-9130-BB69FFD90C32}"/>
    <cellStyle name="Migliaia 42 5 8" xfId="7511" xr:uid="{438F3350-91B1-42F4-93C4-4F4B5064ACEA}"/>
    <cellStyle name="Migliaia 42 6" xfId="3693" xr:uid="{632F3160-871B-4698-BB32-D290612D7D8A}"/>
    <cellStyle name="Migliaia 42 6 2" xfId="5419" xr:uid="{5E0A78F6-9B38-42BD-BDA4-94C39C3CCE10}"/>
    <cellStyle name="Migliaia 42 6 2 2" xfId="9953" xr:uid="{C94CA372-A326-4BA4-9EAB-8D3069556100}"/>
    <cellStyle name="Migliaia 42 6 2 3" xfId="18644" xr:uid="{8338275C-AD53-44FF-8622-FE5E4991A444}"/>
    <cellStyle name="Migliaia 42 6 2 4" xfId="20660" xr:uid="{6474C2C1-DB5B-4545-8A32-B9B3FBD4CDB3}"/>
    <cellStyle name="Migliaia 42 6 2 5" xfId="32419" xr:uid="{CDA34691-F75C-4650-A9FC-D2E5F5D007FE}"/>
    <cellStyle name="Migliaia 42 6 2 6" xfId="16584" xr:uid="{C6F1395F-2893-4D98-BFF5-C892990790AD}"/>
    <cellStyle name="Migliaia 42 6 2 7" xfId="8696" xr:uid="{55625B93-B671-4D1A-B37B-6CD269009727}"/>
    <cellStyle name="Migliaia 42 6 3" xfId="6606" xr:uid="{87D8BCEA-FE4D-4CFA-8F43-CC31D9131F9A}"/>
    <cellStyle name="Migliaia 42 6 3 2" xfId="35379" xr:uid="{35CEE2E6-76E6-4714-AA64-E87E408ABCD3}"/>
    <cellStyle name="Migliaia 42 6 3 2 2" xfId="40539" xr:uid="{56F293E3-7307-4FFC-A6B7-8FFC53484306}"/>
    <cellStyle name="Migliaia 42 6 3 2 3" xfId="45841" xr:uid="{A0937652-114D-4A68-A878-9677C981A4B0}"/>
    <cellStyle name="Migliaia 42 6 3 3" xfId="37888" xr:uid="{9A32E8BB-B5B8-4604-8723-357E31A70C59}"/>
    <cellStyle name="Migliaia 42 6 3 4" xfId="43190" xr:uid="{D0CB7B31-4066-4602-BE9D-02FB445F3670}"/>
    <cellStyle name="Migliaia 42 6 3 5" xfId="9716" xr:uid="{F52C3CF1-7177-40C9-ACA8-35F69BB49C07}"/>
    <cellStyle name="Migliaia 42 6 4" xfId="20659" xr:uid="{86195FB4-9CE8-48C8-ACEA-0BF283F645C7}"/>
    <cellStyle name="Migliaia 42 6 4 2" xfId="39706" xr:uid="{8284C111-2C85-45B5-8DD8-0915D19AC26D}"/>
    <cellStyle name="Migliaia 42 6 4 3" xfId="45008" xr:uid="{DC5251C0-BCDD-435E-B7D3-8DD7711D19E4}"/>
    <cellStyle name="Migliaia 42 6 4 4" xfId="34148" xr:uid="{4A98269E-ADCB-4F3C-BA55-BD0A9014880B}"/>
    <cellStyle name="Migliaia 42 6 5" xfId="37101" xr:uid="{62705112-3FCC-4254-9D27-FB597149D44E}"/>
    <cellStyle name="Migliaia 42 6 6" xfId="42357" xr:uid="{85CBBAA0-02F1-46E8-8ADD-DBE6A322FA32}"/>
    <cellStyle name="Migliaia 42 6 7" xfId="16583" xr:uid="{6E99512B-F487-4724-9388-204FA21AC43A}"/>
    <cellStyle name="Migliaia 42 6 8" xfId="7506" xr:uid="{3A1A4E62-6C7A-4692-B148-EFF938A6D860}"/>
    <cellStyle name="Migliaia 42 7" xfId="3694" xr:uid="{879D1E0B-71AA-4AC4-A310-DA61331F4844}"/>
    <cellStyle name="Migliaia 42 7 2" xfId="5420" xr:uid="{CF49F9FA-E279-4E2A-8397-9A999C594BF7}"/>
    <cellStyle name="Migliaia 42 7 2 2" xfId="35380" xr:uid="{9FB1DC88-E215-4F86-AC06-9807FB596B58}"/>
    <cellStyle name="Migliaia 42 7 2 2 2" xfId="40540" xr:uid="{F2B7B221-A1A6-4712-BB00-85BF242294C7}"/>
    <cellStyle name="Migliaia 42 7 2 2 3" xfId="45842" xr:uid="{EB7DA3E3-797D-40DB-A63B-C84D14C7AFD4}"/>
    <cellStyle name="Migliaia 42 7 2 3" xfId="37889" xr:uid="{121DD3C7-2B49-4BDD-9E45-769EE915D09E}"/>
    <cellStyle name="Migliaia 42 7 2 4" xfId="43191" xr:uid="{EB8DCA5A-C024-463A-9D57-1789DBF95E6F}"/>
    <cellStyle name="Migliaia 42 7 2 5" xfId="14287" xr:uid="{5037202B-2391-4B24-B5C2-436F0F9B8CC9}"/>
    <cellStyle name="Migliaia 42 7 3" xfId="6607" xr:uid="{A0759CFA-4706-4847-B960-D9A8D10A652A}"/>
    <cellStyle name="Migliaia 42 7 3 2" xfId="39707" xr:uid="{D3F1FC1E-9DF4-4742-B5EC-8633C9D4D321}"/>
    <cellStyle name="Migliaia 42 7 3 3" xfId="45009" xr:uid="{42935F49-D243-4398-B3F8-BB3BB052A5DB}"/>
    <cellStyle name="Migliaia 42 7 3 4" xfId="34149" xr:uid="{555C4B1C-DD2B-4061-B80D-1277033CA646}"/>
    <cellStyle name="Migliaia 42 7 3 5" xfId="20661" xr:uid="{CA0FF31B-E8EC-445B-9649-6262140C29F2}"/>
    <cellStyle name="Migliaia 42 7 4" xfId="37102" xr:uid="{1BC709C6-93A6-4C74-8AFA-8FDCE16F7678}"/>
    <cellStyle name="Migliaia 42 7 5" xfId="42358" xr:uid="{C98F35F6-31C8-4E2C-B727-CAFB49DEAC52}"/>
    <cellStyle name="Migliaia 42 7 6" xfId="16585" xr:uid="{CAB21A63-3A81-4569-BCEC-90BC77516C3C}"/>
    <cellStyle name="Migliaia 42 7 7" xfId="8349" xr:uid="{650960B5-31DD-4E25-B70D-50CE8A6E5422}"/>
    <cellStyle name="Migliaia 42 8" xfId="3695" xr:uid="{5ED4FED8-AA9E-4460-93D5-72AC33061130}"/>
    <cellStyle name="Migliaia 42 8 2" xfId="5421" xr:uid="{191A56C6-AC93-447F-81F8-367E259B40C6}"/>
    <cellStyle name="Migliaia 42 8 2 2" xfId="35381" xr:uid="{AC49295C-2D14-4970-914C-3DDC24A1CC33}"/>
    <cellStyle name="Migliaia 42 8 2 2 2" xfId="40541" xr:uid="{AB75B483-C930-45A0-99F7-89EBB7BBD1C1}"/>
    <cellStyle name="Migliaia 42 8 2 2 3" xfId="45843" xr:uid="{C778D8E1-00F8-45C9-8856-57AE50E5FA1C}"/>
    <cellStyle name="Migliaia 42 8 2 3" xfId="37890" xr:uid="{6B5B6772-559C-423D-A8A3-160BEA79A81C}"/>
    <cellStyle name="Migliaia 42 8 2 4" xfId="43192" xr:uid="{235E667D-B7E2-4D75-B361-7B9DA357DD70}"/>
    <cellStyle name="Migliaia 42 8 2 5" xfId="13992" xr:uid="{59030CFF-2F4B-40C7-8EB2-B30B68723314}"/>
    <cellStyle name="Migliaia 42 8 3" xfId="6608" xr:uid="{2E4669DF-12E5-470B-9A61-A0C393B6ABDB}"/>
    <cellStyle name="Migliaia 42 8 3 2" xfId="39708" xr:uid="{91F83CBA-67BD-4F7F-8845-D88C3C1DA8E5}"/>
    <cellStyle name="Migliaia 42 8 3 3" xfId="45010" xr:uid="{110E9A64-DB44-40C6-A564-D376DF7DC4B6}"/>
    <cellStyle name="Migliaia 42 8 3 4" xfId="34150" xr:uid="{FF951990-E552-4794-B4C2-CA456A14F062}"/>
    <cellStyle name="Migliaia 42 8 3 5" xfId="20662" xr:uid="{FC99B20C-281A-418D-ACB5-A86FD1DE53F7}"/>
    <cellStyle name="Migliaia 42 8 4" xfId="37103" xr:uid="{D5BC26DC-A00B-49D0-999F-E4980D5548C8}"/>
    <cellStyle name="Migliaia 42 8 5" xfId="42359" xr:uid="{A09881A1-F812-4D5E-8D45-F89F704E2FC2}"/>
    <cellStyle name="Migliaia 42 8 6" xfId="16586" xr:uid="{D9228E3F-3DA6-40D5-9F3F-1A92361A1F6F}"/>
    <cellStyle name="Migliaia 42 8 7" xfId="7966" xr:uid="{9440F674-15C5-42F1-AD0F-026941564D32}"/>
    <cellStyle name="Migliaia 42 9" xfId="5406" xr:uid="{1DEB2634-39AF-4229-AB19-878D9A76D4A9}"/>
    <cellStyle name="Migliaia 42 9 2" xfId="34151" xr:uid="{609F3586-2594-40CA-A7EF-AEFD1DAF03A6}"/>
    <cellStyle name="Migliaia 42 9 2 2" xfId="39709" xr:uid="{6E96F12C-B860-43C5-9F6E-AEE411E9100E}"/>
    <cellStyle name="Migliaia 42 9 2 3" xfId="45011" xr:uid="{428A8C5B-82DE-4C83-91A6-63F015884195}"/>
    <cellStyle name="Migliaia 42 9 3" xfId="37104" xr:uid="{F1DF73D5-A5B8-49C3-8A2E-A194A1BCFC50}"/>
    <cellStyle name="Migliaia 42 9 4" xfId="42360" xr:uid="{0EAB34A9-27C2-4615-B6AA-7971F8F54945}"/>
    <cellStyle name="Migliaia 42 9 5" xfId="17207" xr:uid="{F854B0F7-E528-4857-8868-7BA7F76C49E6}"/>
    <cellStyle name="Migliaia 43" xfId="449" xr:uid="{00000000-0005-0000-0000-00000C040000}"/>
    <cellStyle name="Migliaia 43 10" xfId="6609" xr:uid="{7828C89F-F659-4428-9044-91FF9D5FA5EC}"/>
    <cellStyle name="Migliaia 43 10 2" xfId="39710" xr:uid="{868D094E-BC63-46A7-8D48-37351FDE7523}"/>
    <cellStyle name="Migliaia 43 10 3" xfId="45012" xr:uid="{EA8D02A2-CC04-4811-A4E3-8136A527576B}"/>
    <cellStyle name="Migliaia 43 10 4" xfId="34152" xr:uid="{C741703E-6EA2-41D1-8A9A-84735AAB9C19}"/>
    <cellStyle name="Migliaia 43 10 5" xfId="20663" xr:uid="{66CBB224-6774-4FE2-8C1E-E0086CD1611D}"/>
    <cellStyle name="Migliaia 43 11" xfId="3696" xr:uid="{1F709AED-F455-4A56-A064-8FBE24D576EA}"/>
    <cellStyle name="Migliaia 43 11 2" xfId="37105" xr:uid="{7B79099D-032F-4B05-BEA5-F4ADD9CEE883}"/>
    <cellStyle name="Migliaia 43 12" xfId="42361" xr:uid="{FB608340-FD6E-4D6D-8A59-D355090013FB}"/>
    <cellStyle name="Migliaia 43 13" xfId="7153" xr:uid="{92BAFA19-9115-4E02-A344-DEAA97C55EF3}"/>
    <cellStyle name="Migliaia 43 2" xfId="450" xr:uid="{00000000-0005-0000-0000-00000D040000}"/>
    <cellStyle name="Migliaia 43 2 2" xfId="1841" xr:uid="{00000000-0005-0000-0000-00000E040000}"/>
    <cellStyle name="Migliaia 43 2 2 2" xfId="5424" xr:uid="{49839C44-7518-468A-BCA9-196611BFD54F}"/>
    <cellStyle name="Migliaia 43 2 2 2 2" xfId="14400" xr:uid="{EFF754C5-6105-4DF8-915A-3920240F4D25}"/>
    <cellStyle name="Migliaia 43 2 2 2 2 2" xfId="39711" xr:uid="{C3EA92F8-7663-449E-9ACC-63E32C7B82E3}"/>
    <cellStyle name="Migliaia 43 2 2 2 2 3" xfId="45013" xr:uid="{FD2B266A-8E54-41E3-B12A-49690057E905}"/>
    <cellStyle name="Migliaia 43 2 2 2 3" xfId="18473" xr:uid="{5CDA7EDA-40AF-4DFB-925F-B4C715A317E9}"/>
    <cellStyle name="Migliaia 43 2 2 2 4" xfId="20666" xr:uid="{27A8FEFB-9078-4CF0-A7A0-EDC76896D069}"/>
    <cellStyle name="Migliaia 43 2 2 2 4 2" xfId="42362" xr:uid="{0AD3DAA4-29B3-4F32-A4B0-0BF76F0851A7}"/>
    <cellStyle name="Migliaia 43 2 2 2 5" xfId="16587" xr:uid="{CC26867F-E2E0-4CE5-B060-D2EF837E6193}"/>
    <cellStyle name="Migliaia 43 2 2 2 6" xfId="8703" xr:uid="{66391FD5-BE31-4705-BD63-A18DD88A3143}"/>
    <cellStyle name="Migliaia 43 2 2 3" xfId="6611" xr:uid="{EBEEF11C-D5DB-41BD-939A-FE7222A02729}"/>
    <cellStyle name="Migliaia 43 2 2 3 2" xfId="35382" xr:uid="{4AFD7B41-E21E-4FC5-857F-F08171696D02}"/>
    <cellStyle name="Migliaia 43 2 2 3 2 2" xfId="40542" xr:uid="{4C6CD827-CBBF-4509-96DC-326B7C56352A}"/>
    <cellStyle name="Migliaia 43 2 2 3 2 3" xfId="45844" xr:uid="{70019DD3-2BFD-4C97-80A1-6F8CA132AF43}"/>
    <cellStyle name="Migliaia 43 2 2 3 3" xfId="37891" xr:uid="{89940BA5-710E-4614-81C8-E8D83DA36CED}"/>
    <cellStyle name="Migliaia 43 2 2 3 4" xfId="43193" xr:uid="{8CBEA2A7-4EED-4D15-A4B2-27400174865D}"/>
    <cellStyle name="Migliaia 43 2 2 3 5" xfId="11627" xr:uid="{9642820D-38BE-46CE-8F7B-07A2F6C41455}"/>
    <cellStyle name="Migliaia 43 2 2 4" xfId="3698" xr:uid="{31C160B1-093A-4118-ABE6-D4859C4E366A}"/>
    <cellStyle name="Migliaia 43 2 2 4 2" xfId="21553" xr:uid="{9092DC02-4A5A-4F9E-B4E4-6593FDFF3884}"/>
    <cellStyle name="Migliaia 43 2 2 4 3" xfId="46648" xr:uid="{2AB0ED83-783A-4BD1-8F73-C0093F8A1092}"/>
    <cellStyle name="Migliaia 43 2 2 4 4" xfId="50568" xr:uid="{D0BC10F8-527C-41F7-A39F-6B01BB77C703}"/>
    <cellStyle name="Migliaia 43 2 2 4 5" xfId="53584" xr:uid="{1413CE68-218C-4B76-B025-7094A52F6B76}"/>
    <cellStyle name="Migliaia 43 2 2 4 6" xfId="10918" xr:uid="{33883E87-9986-4E63-99F5-D7E9FAEFEC90}"/>
    <cellStyle name="Migliaia 43 2 2 5" xfId="20665" xr:uid="{B56C77FE-8919-4F95-8300-FB645D2A009F}"/>
    <cellStyle name="Migliaia 43 2 2 6" xfId="25045" xr:uid="{AD74B53F-B1BC-4571-960C-C4549F319632}"/>
    <cellStyle name="Migliaia 43 2 2 7" xfId="7513" xr:uid="{958D17F3-44B6-40F4-B35A-65CEB223F951}"/>
    <cellStyle name="Migliaia 43 2 3" xfId="3699" xr:uid="{EC4A9E39-04FF-4D3E-96DF-557A0B41BEA1}"/>
    <cellStyle name="Migliaia 43 2 3 2" xfId="5425" xr:uid="{6B6C10FF-3B8A-44F9-86E0-A909BE29BAE9}"/>
    <cellStyle name="Migliaia 43 2 3 2 2" xfId="35383" xr:uid="{B041A09A-4811-4CE9-A383-F5C471B669C6}"/>
    <cellStyle name="Migliaia 43 2 3 2 2 2" xfId="40543" xr:uid="{1D9D4E05-51A0-4E27-BD46-87E3FC98CCB7}"/>
    <cellStyle name="Migliaia 43 2 3 2 2 3" xfId="45845" xr:uid="{C1F486B9-DCE8-4CC3-9758-D9C57E4E9BB2}"/>
    <cellStyle name="Migliaia 43 2 3 2 3" xfId="37892" xr:uid="{E34A3D0D-8D4D-4BDA-BCA9-6D28CF5B28F8}"/>
    <cellStyle name="Migliaia 43 2 3 2 4" xfId="43194" xr:uid="{3389F25F-0569-4FAA-AF48-4280A2ED28D6}"/>
    <cellStyle name="Migliaia 43 2 3 2 5" xfId="14291" xr:uid="{BAC342F4-B1DE-4AAB-8750-BDD886A494FA}"/>
    <cellStyle name="Migliaia 43 2 3 3" xfId="6612" xr:uid="{7093F441-B026-4001-A20C-C1991CA647F4}"/>
    <cellStyle name="Migliaia 43 2 3 3 2" xfId="39712" xr:uid="{EF720481-5E2C-400A-8CE1-3915E9D98EEA}"/>
    <cellStyle name="Migliaia 43 2 3 3 3" xfId="45014" xr:uid="{19055BFE-72E0-442B-BD61-CD77146A52A6}"/>
    <cellStyle name="Migliaia 43 2 3 3 4" xfId="34154" xr:uid="{227C43BC-8BB6-4E83-A81E-7D49FC5D675C}"/>
    <cellStyle name="Migliaia 43 2 3 3 5" xfId="20667" xr:uid="{E2BBD45B-8312-46AD-8D77-59C3021792EB}"/>
    <cellStyle name="Migliaia 43 2 3 4" xfId="37107" xr:uid="{0634D817-DAD2-4BA4-A95C-3FA9311BE7DB}"/>
    <cellStyle name="Migliaia 43 2 3 5" xfId="42363" xr:uid="{B573B628-41EC-4B70-A61A-1D5A870114D5}"/>
    <cellStyle name="Migliaia 43 2 3 6" xfId="16588" xr:uid="{F1FE39D3-6456-4374-9CC8-2E8613CC1E69}"/>
    <cellStyle name="Migliaia 43 2 3 7" xfId="8353" xr:uid="{AE2B5A89-905F-4595-BAE9-8AA25C383DD1}"/>
    <cellStyle name="Migliaia 43 2 4" xfId="5423" xr:uid="{016DC3AE-3817-4F79-9372-9E38E01E7DA3}"/>
    <cellStyle name="Migliaia 43 2 4 2" xfId="13996" xr:uid="{1E457AC8-FF1A-4F08-BE27-522546FC4A90}"/>
    <cellStyle name="Migliaia 43 2 4 2 2" xfId="39713" xr:uid="{2765CB81-FD04-4122-BFF7-A756AEFE0283}"/>
    <cellStyle name="Migliaia 43 2 4 2 3" xfId="45015" xr:uid="{F02DAF1B-1871-4D27-ACFB-9ED58B118B98}"/>
    <cellStyle name="Migliaia 43 2 4 3" xfId="18289" xr:uid="{0C02AFEA-63EA-440D-A70F-7EC55330B7C8}"/>
    <cellStyle name="Migliaia 43 2 4 4" xfId="20668" xr:uid="{5FC2A43D-9DFE-4142-BF8C-903A028CD615}"/>
    <cellStyle name="Migliaia 43 2 4 4 2" xfId="42364" xr:uid="{5BCBA173-0439-47D5-BE58-B0C3A422E8AF}"/>
    <cellStyle name="Migliaia 43 2 4 5" xfId="16589" xr:uid="{6D56A285-53AD-45E7-83E2-758AC74F3464}"/>
    <cellStyle name="Migliaia 43 2 4 6" xfId="7971" xr:uid="{EB0E458F-559B-4779-825C-A758FD5F490A}"/>
    <cellStyle name="Migliaia 43 2 5" xfId="6610" xr:uid="{03C114F5-F6FC-400E-AA53-D915636EBD5E}"/>
    <cellStyle name="Migliaia 43 2 5 2" xfId="34155" xr:uid="{C267EB13-CF07-45B9-816A-A6692F227727}"/>
    <cellStyle name="Migliaia 43 2 5 2 2" xfId="39714" xr:uid="{93BCDC13-E440-41C8-B087-FC86ECE70D6C}"/>
    <cellStyle name="Migliaia 43 2 5 2 3" xfId="45016" xr:uid="{96FD800D-3A5A-4C43-AA5E-C6B3AFEC7DE2}"/>
    <cellStyle name="Migliaia 43 2 5 3" xfId="37109" xr:uid="{43ACFF08-0CAA-43FF-BC07-ADA49DC23259}"/>
    <cellStyle name="Migliaia 43 2 5 4" xfId="42365" xr:uid="{B79B914F-C451-4F01-884F-DE0A70970DF6}"/>
    <cellStyle name="Migliaia 43 2 5 5" xfId="13140" xr:uid="{62DC6C09-F830-4557-AFEA-5A889A6019ED}"/>
    <cellStyle name="Migliaia 43 2 6" xfId="3697" xr:uid="{62560EEF-FDC7-4812-B4A1-1C78330739A4}"/>
    <cellStyle name="Migliaia 43 2 6 2" xfId="34156" xr:uid="{1E122B88-57B2-4230-BF3A-1A07D0FCCA40}"/>
    <cellStyle name="Migliaia 43 2 6 2 2" xfId="39715" xr:uid="{BA3FC78F-6A98-42CF-96C1-F83644F2F5A6}"/>
    <cellStyle name="Migliaia 43 2 6 2 3" xfId="45017" xr:uid="{8C383BE4-B04D-411E-9369-D9B28D1640B9}"/>
    <cellStyle name="Migliaia 43 2 6 3" xfId="37110" xr:uid="{F947CF86-86A2-469E-A2F2-8403C966DDC5}"/>
    <cellStyle name="Migliaia 43 2 6 4" xfId="42366" xr:uid="{A0E3338E-F78C-404D-B57F-8800341A04E5}"/>
    <cellStyle name="Migliaia 43 2 6 5" xfId="25050" xr:uid="{0464839D-0DFA-41D8-916D-358AFE29C213}"/>
    <cellStyle name="Migliaia 43 2 6 6" xfId="20664" xr:uid="{9B3148CE-B8D5-43EB-94D6-9EF4F13B24C1}"/>
    <cellStyle name="Migliaia 43 2 7" xfId="25044" xr:uid="{F2473E12-39A3-4759-AEF6-66C4D21F8251}"/>
    <cellStyle name="Migliaia 43 2 8" xfId="7154" xr:uid="{10E2D32E-DD83-42F1-9D8A-E080D5B3299E}"/>
    <cellStyle name="Migliaia 43 3" xfId="451" xr:uid="{00000000-0005-0000-0000-00000F040000}"/>
    <cellStyle name="Migliaia 43 3 10" xfId="25051" xr:uid="{5757DFDC-AE60-402B-83C2-9FE6CA89CEAB}"/>
    <cellStyle name="Migliaia 43 3 11" xfId="16590" xr:uid="{F191CF5E-E007-4040-858E-22BC47FEA002}"/>
    <cellStyle name="Migliaia 43 3 12" xfId="7155" xr:uid="{0536EF18-715D-4613-8E05-E609FAA17048}"/>
    <cellStyle name="Migliaia 43 3 2" xfId="452" xr:uid="{00000000-0005-0000-0000-000010040000}"/>
    <cellStyle name="Migliaia 43 3 2 2" xfId="1842" xr:uid="{00000000-0005-0000-0000-000011040000}"/>
    <cellStyle name="Migliaia 43 3 2 2 2" xfId="5428" xr:uid="{D5403BE5-FC5B-4B9B-AADD-C7FC6EB8DA3C}"/>
    <cellStyle name="Migliaia 43 3 2 2 2 2" xfId="18474" xr:uid="{BF64C4DD-DC47-442E-87C6-28CEB47FC436}"/>
    <cellStyle name="Migliaia 43 3 2 2 2 2 2" xfId="21878" xr:uid="{40884ED0-4FF2-446E-8ED9-6963F72FABBE}"/>
    <cellStyle name="Migliaia 43 3 2 2 2 2 2 2" xfId="39716" xr:uid="{0E59B65A-784D-4913-8AC5-C524D60269F9}"/>
    <cellStyle name="Migliaia 43 3 2 2 2 2 3" xfId="45018" xr:uid="{E84A62A5-1CF0-4CFC-B7C1-14F2EB12C497}"/>
    <cellStyle name="Migliaia 43 3 2 2 2 2 4" xfId="34157" xr:uid="{14CA3302-0992-4186-9750-207280DBA0E2}"/>
    <cellStyle name="Migliaia 43 3 2 2 2 3" xfId="37111" xr:uid="{32945834-79C6-4622-B8E0-F27EDA633825}"/>
    <cellStyle name="Migliaia 43 3 2 2 2 4" xfId="42367" xr:uid="{12A43A55-6AAC-4A85-9100-17A4FDBA6157}"/>
    <cellStyle name="Migliaia 43 3 2 2 2 5" xfId="46750" xr:uid="{DFD83035-497F-4227-A1AD-C935672F60B9}"/>
    <cellStyle name="Migliaia 43 3 2 2 2 6" xfId="50906" xr:uid="{1751B70A-69EA-47FF-8182-496E7619649F}"/>
    <cellStyle name="Migliaia 43 3 2 2 2 7" xfId="53922" xr:uid="{46E0FD31-5918-4764-8D10-D9C22030B754}"/>
    <cellStyle name="Migliaia 43 3 2 2 2 8" xfId="17676" xr:uid="{12422C07-4C11-44F3-AECE-3A00404E22F3}"/>
    <cellStyle name="Migliaia 43 3 2 2 2 9" xfId="12035" xr:uid="{7CC954FC-7BE8-4C6A-B076-8726B0A74713}"/>
    <cellStyle name="Migliaia 43 3 2 2 3" xfId="6615" xr:uid="{37AA7550-D513-4A67-93FE-B0CE9C60A80A}"/>
    <cellStyle name="Migliaia 43 3 2 2 3 2" xfId="12174" xr:uid="{41708C03-8B40-4D44-811C-C5E1AD181871}"/>
    <cellStyle name="Migliaia 43 3 2 2 4" xfId="3702" xr:uid="{889E4846-3796-4257-AE69-1EF1E0D440D8}"/>
    <cellStyle name="Migliaia 43 3 2 2 4 2" xfId="21554" xr:uid="{F6536B3B-BDC1-4D34-B6F4-3EAACA6F813F}"/>
    <cellStyle name="Migliaia 43 3 2 2 4 3" xfId="48257" xr:uid="{2C9B646A-363A-479B-8B6D-1140D05D756C}"/>
    <cellStyle name="Migliaia 43 3 2 2 4 4" xfId="50569" xr:uid="{853450D7-6FF6-4EEC-95DD-2CEF31D79FA9}"/>
    <cellStyle name="Migliaia 43 3 2 2 4 5" xfId="53585" xr:uid="{8767E1FF-C540-4C07-8976-F8216755FADB}"/>
    <cellStyle name="Migliaia 43 3 2 2 4 6" xfId="10919" xr:uid="{CB8BD4CB-B159-4B5A-812C-7261D2CFC014}"/>
    <cellStyle name="Migliaia 43 3 2 2 5" xfId="20671" xr:uid="{86D4CB2D-A918-4B91-835D-71EC32EC9E25}"/>
    <cellStyle name="Migliaia 43 3 2 2 6" xfId="25053" xr:uid="{EC23201F-83FB-4242-8BD3-AFA89574FC77}"/>
    <cellStyle name="Migliaia 43 3 2 2 7" xfId="8705" xr:uid="{B4B50419-230D-4C7D-8552-D25B504D30D5}"/>
    <cellStyle name="Migliaia 43 3 2 3" xfId="5427" xr:uid="{59F7E196-E6B1-4F5F-BD82-F6E7A666E1A0}"/>
    <cellStyle name="Migliaia 43 3 2 3 2" xfId="12405" xr:uid="{54499A43-FB75-4384-9899-49D2F958FC62}"/>
    <cellStyle name="Migliaia 43 3 2 3 2 2" xfId="39717" xr:uid="{36428C8C-A6B0-41E3-8A27-72BFEEA66BFB}"/>
    <cellStyle name="Migliaia 43 3 2 3 2 3" xfId="45019" xr:uid="{DBA9E010-885D-49AD-97DF-DA480B3D58C1}"/>
    <cellStyle name="Migliaia 43 3 2 3 2 4" xfId="34158" xr:uid="{2996C05D-1199-4E66-A0DE-82CC0AF42F13}"/>
    <cellStyle name="Migliaia 43 3 2 3 3" xfId="12036" xr:uid="{528C95FD-928F-47A7-A1CB-A752FB512C7B}"/>
    <cellStyle name="Migliaia 43 3 2 3 4" xfId="20672" xr:uid="{6464916D-DD3D-48DA-A11B-9F932A4A4694}"/>
    <cellStyle name="Migliaia 43 3 2 3 4 2" xfId="42368" xr:uid="{61BDBAD0-055B-40FA-B4CE-417B84A8E6CF}"/>
    <cellStyle name="Migliaia 43 3 2 3 5" xfId="16591" xr:uid="{0A19EECB-7B91-455B-A014-63D9C08DC81C}"/>
    <cellStyle name="Migliaia 43 3 2 3 6" xfId="7973" xr:uid="{2CD26B0E-740F-459B-89BA-FB97E55E1A1C}"/>
    <cellStyle name="Migliaia 43 3 2 4" xfId="6614" xr:uid="{6C66720D-3082-46EB-8ADC-BC443882FC13}"/>
    <cellStyle name="Migliaia 43 3 2 4 2" xfId="18094" xr:uid="{7EE45EBC-F2B0-4439-B319-941FDD6F1114}"/>
    <cellStyle name="Migliaia 43 3 2 4 2 2" xfId="39718" xr:uid="{F15DD610-E322-41E0-8B1C-57B8C392ED6B}"/>
    <cellStyle name="Migliaia 43 3 2 4 2 3" xfId="45020" xr:uid="{992B3473-FDC7-44AD-9CC5-ED9F1BF7293E}"/>
    <cellStyle name="Migliaia 43 3 2 4 3" xfId="37113" xr:uid="{DEFF0303-A636-47DC-99AB-E9AC22BF8E4D}"/>
    <cellStyle name="Migliaia 43 3 2 4 4" xfId="42369" xr:uid="{161587AC-136D-4BF2-A9BF-F8F905AD2BBE}"/>
    <cellStyle name="Migliaia 43 3 2 4 5" xfId="17210" xr:uid="{EEC5FA0E-23F3-4F41-AD52-1282B9B6ABC6}"/>
    <cellStyle name="Migliaia 43 3 2 4 6" xfId="11384" xr:uid="{42E7D8DD-0778-4ABE-8DCC-6956F9D9C8C1}"/>
    <cellStyle name="Migliaia 43 3 2 5" xfId="3701" xr:uid="{58D20B1C-E517-46D3-B52A-B791A609F367}"/>
    <cellStyle name="Migliaia 43 3 2 5 2" xfId="34160" xr:uid="{3174A042-CE68-4A8B-BBAA-692E3679A807}"/>
    <cellStyle name="Migliaia 43 3 2 5 2 2" xfId="39719" xr:uid="{DAFEDB3B-859F-4A06-B4DE-88C029DF3D3C}"/>
    <cellStyle name="Migliaia 43 3 2 5 2 3" xfId="45021" xr:uid="{3F015F49-7632-43ED-B556-BA09DF914A85}"/>
    <cellStyle name="Migliaia 43 3 2 5 3" xfId="37114" xr:uid="{F9B10F61-ACE8-4AA9-8ADF-CEAED949A40C}"/>
    <cellStyle name="Migliaia 43 3 2 5 4" xfId="42370" xr:uid="{0AB70625-3879-4973-B7C1-34A587151590}"/>
    <cellStyle name="Migliaia 43 3 2 5 5" xfId="17315" xr:uid="{849BCFE8-9989-4214-A44E-E18047CD11A9}"/>
    <cellStyle name="Migliaia 43 3 2 6" xfId="20670" xr:uid="{CBD82545-456D-425E-8CEB-887DF4C3195E}"/>
    <cellStyle name="Migliaia 43 3 2 6 2" xfId="34161" xr:uid="{D81AAFEA-6F22-45EB-A9EF-72E8AB204CB4}"/>
    <cellStyle name="Migliaia 43 3 2 6 2 2" xfId="39720" xr:uid="{3D4C1EA5-C2C4-4EDE-BFCF-8E2835037320}"/>
    <cellStyle name="Migliaia 43 3 2 6 2 3" xfId="45022" xr:uid="{67485ADC-5ADE-4348-8E6E-0F6C18DE0EA6}"/>
    <cellStyle name="Migliaia 43 3 2 6 3" xfId="37115" xr:uid="{C2061F5F-0D44-4FC9-8829-A27CA521CB0B}"/>
    <cellStyle name="Migliaia 43 3 2 6 4" xfId="42371" xr:uid="{09C96970-28CE-4C52-B4E6-644132B6BD4C}"/>
    <cellStyle name="Migliaia 43 3 2 6 5" xfId="25058" xr:uid="{6C620E30-ABC5-45E1-A0AE-E97B4A835128}"/>
    <cellStyle name="Migliaia 43 3 2 7" xfId="25052" xr:uid="{54B8BAD9-9893-4658-8C3D-F1D65B379085}"/>
    <cellStyle name="Migliaia 43 3 2 8" xfId="7515" xr:uid="{15522BE0-E05F-4B41-BC80-87D466DDB24E}"/>
    <cellStyle name="Migliaia 43 3 3" xfId="3703" xr:uid="{65E1434F-A338-4681-AC67-36312D7F0D10}"/>
    <cellStyle name="Migliaia 43 3 3 10" xfId="7514" xr:uid="{85737D3A-BA0F-4946-955B-5A62DD8D3A3F}"/>
    <cellStyle name="Migliaia 43 3 3 2" xfId="5429" xr:uid="{EC01A1EE-AA6F-4060-8A55-8806FDC2501B}"/>
    <cellStyle name="Migliaia 43 3 3 2 2" xfId="9956" xr:uid="{41319265-3843-48DF-9967-692F04B1F1DE}"/>
    <cellStyle name="Migliaia 43 3 3 2 2 2" xfId="39722" xr:uid="{C1C71A9C-1D3D-47B0-8602-6B182F35FCB4}"/>
    <cellStyle name="Migliaia 43 3 3 2 2 3" xfId="45024" xr:uid="{3CFCD39F-ECA0-4041-A3F7-EAE72D3CF3C3}"/>
    <cellStyle name="Migliaia 43 3 3 2 3" xfId="18236" xr:uid="{51C70468-CBF0-43C9-8DE1-F7D5CB4E3392}"/>
    <cellStyle name="Migliaia 43 3 3 2 4" xfId="20674" xr:uid="{F5A1067B-018B-4FEA-A27C-7F6BBC5E26AB}"/>
    <cellStyle name="Migliaia 43 3 3 2 4 2" xfId="42373" xr:uid="{DB32D776-A3D4-4E05-851B-60DF61D0C1F1}"/>
    <cellStyle name="Migliaia 43 3 3 2 5" xfId="16593" xr:uid="{381DCEA5-5A62-4055-8E92-37A5E87C837F}"/>
    <cellStyle name="Migliaia 43 3 3 2 6" xfId="8704" xr:uid="{F85DEF5E-9401-4568-A36B-A4A9C56EFD8D}"/>
    <cellStyle name="Migliaia 43 3 3 3" xfId="6616" xr:uid="{85113703-F0EA-4B30-9BCF-A976FD4CAB38}"/>
    <cellStyle name="Migliaia 43 3 3 3 2" xfId="34164" xr:uid="{2A768E68-DB58-43FB-A311-96DCCF443490}"/>
    <cellStyle name="Migliaia 43 3 3 3 2 2" xfId="39723" xr:uid="{CA0A2A37-BEBF-4268-9067-3057524AB43D}"/>
    <cellStyle name="Migliaia 43 3 3 3 2 3" xfId="45025" xr:uid="{2A2AC789-D897-4DAF-97B5-0E4FB0ACB8D1}"/>
    <cellStyle name="Migliaia 43 3 3 3 3" xfId="37118" xr:uid="{B4692E16-995B-481B-953C-687CBB5511B6}"/>
    <cellStyle name="Migliaia 43 3 3 3 4" xfId="42374" xr:uid="{BA20E789-114B-4415-A08F-12BC74286816}"/>
    <cellStyle name="Migliaia 43 3 3 3 5" xfId="9719" xr:uid="{35E1251F-48D5-4C2E-833A-209C7356DB8F}"/>
    <cellStyle name="Migliaia 43 3 3 4" xfId="20673" xr:uid="{1EDD993B-2BE1-4BF6-920D-430FEDD3A36E}"/>
    <cellStyle name="Migliaia 43 3 3 4 2" xfId="34165" xr:uid="{EB7D0C53-E306-4582-A804-A9792081579A}"/>
    <cellStyle name="Migliaia 43 3 3 4 2 2" xfId="39724" xr:uid="{B0716F1B-BDCD-4F54-814B-4E70EC209B65}"/>
    <cellStyle name="Migliaia 43 3 3 4 2 3" xfId="45026" xr:uid="{B338A192-EE8E-4B31-A7A4-2F30B0A7BCB8}"/>
    <cellStyle name="Migliaia 43 3 3 4 3" xfId="37119" xr:uid="{F4FE3C53-AB9A-472C-9E98-F7CFA41B7CBB}"/>
    <cellStyle name="Migliaia 43 3 3 4 4" xfId="42375" xr:uid="{7AFC23DF-EF6F-455E-BBFD-9D2BC2B61DE7}"/>
    <cellStyle name="Migliaia 43 3 3 4 5" xfId="25062" xr:uid="{9FA1626C-3D2F-460A-BDFD-7AA4DEC443DC}"/>
    <cellStyle name="Migliaia 43 3 3 5" xfId="25063" xr:uid="{8C04FD00-7D64-4C2F-BF0E-ACA897D7BAC4}"/>
    <cellStyle name="Migliaia 43 3 3 5 2" xfId="34166" xr:uid="{C05E6070-2501-44A9-ADF0-A5CBE968FDA7}"/>
    <cellStyle name="Migliaia 43 3 3 5 2 2" xfId="39725" xr:uid="{6EF96632-37AA-45D3-B110-EFF13A515D29}"/>
    <cellStyle name="Migliaia 43 3 3 5 2 3" xfId="45027" xr:uid="{D41182E5-CA26-40BE-9A6A-CC7F9A207C91}"/>
    <cellStyle name="Migliaia 43 3 3 5 3" xfId="37120" xr:uid="{C7716C88-7349-4A5D-934F-75E6529C0CC6}"/>
    <cellStyle name="Migliaia 43 3 3 5 4" xfId="42376" xr:uid="{06696FA3-D502-441C-9905-B6B32A836E00}"/>
    <cellStyle name="Migliaia 43 3 3 6" xfId="34162" xr:uid="{A1B714B5-78E1-4C04-8022-A6471F03ABAA}"/>
    <cellStyle name="Migliaia 43 3 3 6 2" xfId="39721" xr:uid="{9B237987-9F10-46E9-A6EE-36D413B91456}"/>
    <cellStyle name="Migliaia 43 3 3 6 3" xfId="45023" xr:uid="{62675886-F928-4C39-86A3-955AFFDEA149}"/>
    <cellStyle name="Migliaia 43 3 3 7" xfId="37116" xr:uid="{09D522EC-796E-456F-B019-0B5256BFC627}"/>
    <cellStyle name="Migliaia 43 3 3 8" xfId="42372" xr:uid="{A28A638C-48E2-49B1-9B5C-4180C2749FCE}"/>
    <cellStyle name="Migliaia 43 3 3 9" xfId="16592" xr:uid="{48D2FE39-BD28-4379-A631-7A3E89F648AC}"/>
    <cellStyle name="Migliaia 43 3 4" xfId="3704" xr:uid="{6C271BCC-AA0D-4046-BF70-502DC218C912}"/>
    <cellStyle name="Migliaia 43 3 4 2" xfId="5430" xr:uid="{EBDA9C74-000E-4CC2-BB15-E748E45F932A}"/>
    <cellStyle name="Migliaia 43 3 4 2 2" xfId="14460" xr:uid="{5E068F2A-29E9-433A-A6D0-CDF9202244A8}"/>
    <cellStyle name="Migliaia 43 3 4 2 3" xfId="18132" xr:uid="{1A629785-208A-4D97-9566-453B9A19596B}"/>
    <cellStyle name="Migliaia 43 3 4 2 4" xfId="20676" xr:uid="{FA9C0F0B-F4A0-47A8-9D1B-F7D535CA7906}"/>
    <cellStyle name="Migliaia 43 3 4 2 5" xfId="32425" xr:uid="{4C19820A-894F-4C4C-B3DA-F45B2BD111E7}"/>
    <cellStyle name="Migliaia 43 3 4 2 6" xfId="16595" xr:uid="{14A515DD-BDDE-4947-AEC7-9707C7222B39}"/>
    <cellStyle name="Migliaia 43 3 4 2 7" xfId="8883" xr:uid="{DDD17D1B-55E1-4002-9D22-6ADB038A04D3}"/>
    <cellStyle name="Migliaia 43 3 4 3" xfId="6617" xr:uid="{37BD3EBB-C1F3-425D-8E70-C3B4A8566F44}"/>
    <cellStyle name="Migliaia 43 3 4 3 2" xfId="35384" xr:uid="{BBE58207-4C60-4D1F-B65D-0505BB7BAA05}"/>
    <cellStyle name="Migliaia 43 3 4 3 2 2" xfId="40544" xr:uid="{A86CAA9B-B10F-4D47-A307-FFD9E3CFCEF1}"/>
    <cellStyle name="Migliaia 43 3 4 3 2 3" xfId="45846" xr:uid="{BA3372F0-3251-449C-BD9E-62EBC84A913A}"/>
    <cellStyle name="Migliaia 43 3 4 3 3" xfId="37893" xr:uid="{44EB5D94-D115-4C19-80AA-AB58EF330F12}"/>
    <cellStyle name="Migliaia 43 3 4 3 4" xfId="43195" xr:uid="{6FC23DC3-D7C6-4A8C-A523-DDBB2F27AD83}"/>
    <cellStyle name="Migliaia 43 3 4 3 5" xfId="13708" xr:uid="{8D07CD6C-DE5C-41B0-B702-D3B1307F652B}"/>
    <cellStyle name="Migliaia 43 3 4 4" xfId="20675" xr:uid="{BB932412-7C8B-4EF3-A632-3CDA8CF3D84A}"/>
    <cellStyle name="Migliaia 43 3 4 4 2" xfId="39726" xr:uid="{DB5F872A-C917-4804-92A2-92E8C415BC28}"/>
    <cellStyle name="Migliaia 43 3 4 4 3" xfId="45028" xr:uid="{70D94F9E-C546-47A0-A695-F346B63494DF}"/>
    <cellStyle name="Migliaia 43 3 4 4 4" xfId="34167" xr:uid="{684EA4C0-485C-41FA-8B71-2085A27C29E7}"/>
    <cellStyle name="Migliaia 43 3 4 5" xfId="37121" xr:uid="{4B0FACE1-2839-4B50-88E9-4456588AADA1}"/>
    <cellStyle name="Migliaia 43 3 4 6" xfId="42377" xr:uid="{934FF300-6716-41C8-96DA-F0E10C1056F3}"/>
    <cellStyle name="Migliaia 43 3 4 7" xfId="16594" xr:uid="{43FAF9CC-2A03-44B0-A9BC-A6D2C69AFA96}"/>
    <cellStyle name="Migliaia 43 3 4 8" xfId="7693" xr:uid="{1D5DBED4-5994-4FEC-A6AC-6D626295289A}"/>
    <cellStyle name="Migliaia 43 3 5" xfId="3705" xr:uid="{68C33D07-A8C5-4CB2-85C6-A8498106DD2F}"/>
    <cellStyle name="Migliaia 43 3 5 2" xfId="5431" xr:uid="{1D9F2EA8-64E0-407B-B98B-3BE489B96248}"/>
    <cellStyle name="Migliaia 43 3 5 2 2" xfId="35385" xr:uid="{EBCD51A8-7F53-4217-A3AF-C12CDD0BF22B}"/>
    <cellStyle name="Migliaia 43 3 5 2 2 2" xfId="40545" xr:uid="{A879C7D3-4F96-44FD-AD3A-06F23CDC3E48}"/>
    <cellStyle name="Migliaia 43 3 5 2 2 3" xfId="45847" xr:uid="{3CDA5AFA-140F-4295-8331-9BC879834FD1}"/>
    <cellStyle name="Migliaia 43 3 5 2 3" xfId="37894" xr:uid="{8305D945-48DD-46E4-AF2C-942E3958E905}"/>
    <cellStyle name="Migliaia 43 3 5 2 4" xfId="43196" xr:uid="{EFD3B234-BCB7-4880-B664-AFD8D87CC811}"/>
    <cellStyle name="Migliaia 43 3 5 2 5" xfId="14292" xr:uid="{82550F0E-1E35-4546-AA31-2CE5021E90B4}"/>
    <cellStyle name="Migliaia 43 3 5 3" xfId="6618" xr:uid="{F378636C-A7F0-4845-AF59-6745C293FFAD}"/>
    <cellStyle name="Migliaia 43 3 5 3 2" xfId="39727" xr:uid="{8EA2309F-BB2A-44D8-8D5A-C9CAB7D61AAB}"/>
    <cellStyle name="Migliaia 43 3 5 3 3" xfId="45029" xr:uid="{4809AF43-37D2-4855-B110-9CA59350EC02}"/>
    <cellStyle name="Migliaia 43 3 5 3 4" xfId="34168" xr:uid="{DD2BA1D8-6572-4988-A37B-AEC95C43910F}"/>
    <cellStyle name="Migliaia 43 3 5 3 5" xfId="20677" xr:uid="{40A7DABD-507C-40D6-B0DF-69F06A558BB5}"/>
    <cellStyle name="Migliaia 43 3 5 4" xfId="37122" xr:uid="{8649139F-19CD-4AAE-91CC-F6E23007512A}"/>
    <cellStyle name="Migliaia 43 3 5 5" xfId="42378" xr:uid="{87A7DFDA-6BA8-4F6B-A29A-63165DECE69B}"/>
    <cellStyle name="Migliaia 43 3 5 6" xfId="16596" xr:uid="{E6E49358-25B6-4FB1-A9B4-73333C1F0865}"/>
    <cellStyle name="Migliaia 43 3 5 7" xfId="8354" xr:uid="{3C489F8E-78DC-4DC1-B1DC-79C9B38972C8}"/>
    <cellStyle name="Migliaia 43 3 6" xfId="5426" xr:uid="{DBBAE00A-0A95-4A90-A3C2-C92BFB18727F}"/>
    <cellStyle name="Migliaia 43 3 6 2" xfId="13997" xr:uid="{F3C96492-BB16-42CB-930D-C2340E28CA87}"/>
    <cellStyle name="Migliaia 43 3 6 2 2" xfId="39728" xr:uid="{A5FE435E-35CE-49FC-9954-53F7AC5FB6EE}"/>
    <cellStyle name="Migliaia 43 3 6 2 3" xfId="45030" xr:uid="{58494975-409E-4D79-9DA5-D1560ADEBD6D}"/>
    <cellStyle name="Migliaia 43 3 6 3" xfId="18023" xr:uid="{20224FD5-2995-44EB-93E7-2B6EF72AA9ED}"/>
    <cellStyle name="Migliaia 43 3 6 4" xfId="20678" xr:uid="{4F003EF8-E038-4595-8E34-39A98FD3FD6D}"/>
    <cellStyle name="Migliaia 43 3 6 4 2" xfId="42379" xr:uid="{952BD2A4-BF0F-42F2-9507-8BF381D3A14A}"/>
    <cellStyle name="Migliaia 43 3 6 5" xfId="16597" xr:uid="{55396C5B-00CA-431C-A447-B2B79836F566}"/>
    <cellStyle name="Migliaia 43 3 6 6" xfId="7972" xr:uid="{8546FFD2-6044-4ECC-A50F-391F66D9CD07}"/>
    <cellStyle name="Migliaia 43 3 7" xfId="6613" xr:uid="{A2298F06-8173-4CE0-886F-40D57C9B7459}"/>
    <cellStyle name="Migliaia 43 3 7 2" xfId="34170" xr:uid="{A735E35B-510D-4BD8-8187-62F50103A6E7}"/>
    <cellStyle name="Migliaia 43 3 7 2 2" xfId="39729" xr:uid="{0179EF3F-E203-463E-B3A1-951FA793EAB3}"/>
    <cellStyle name="Migliaia 43 3 7 2 3" xfId="45031" xr:uid="{52637D82-16B6-495D-80B0-DB22E5F68FDC}"/>
    <cellStyle name="Migliaia 43 3 7 3" xfId="37124" xr:uid="{29A074B1-4D0B-48D1-BF6A-F16E8BC6ED21}"/>
    <cellStyle name="Migliaia 43 3 7 4" xfId="42380" xr:uid="{9C07E753-AB0E-4458-B687-97229996D54F}"/>
    <cellStyle name="Migliaia 43 3 7 5" xfId="11218" xr:uid="{D0EBA80E-6010-4DEB-A5E8-00C385A28EC6}"/>
    <cellStyle name="Migliaia 43 3 8" xfId="3700" xr:uid="{13A3A862-2990-4B10-9DC9-4CC398BB5405}"/>
    <cellStyle name="Migliaia 43 3 8 2" xfId="34171" xr:uid="{CF0FF482-B624-4C2B-BF39-4B71CD5FE47C}"/>
    <cellStyle name="Migliaia 43 3 8 2 2" xfId="39730" xr:uid="{10335B84-BFF8-4EBB-8DBE-212D77AD4B8A}"/>
    <cellStyle name="Migliaia 43 3 8 2 3" xfId="45032" xr:uid="{091AC831-635B-499D-8B28-3FFBF65378EA}"/>
    <cellStyle name="Migliaia 43 3 8 3" xfId="37125" xr:uid="{C55255FE-4F7A-474D-A32D-22010DE67BD2}"/>
    <cellStyle name="Migliaia 43 3 8 4" xfId="42381" xr:uid="{B8B31C03-490A-42DD-B052-28E1B647D4FF}"/>
    <cellStyle name="Migliaia 43 3 8 5" xfId="25068" xr:uid="{AEB033BC-2A09-4CF1-B4E7-512CDE1FF411}"/>
    <cellStyle name="Migliaia 43 3 8 6" xfId="17316" xr:uid="{66CF9003-BEDB-4B3B-89CD-F4C8CD28C3DE}"/>
    <cellStyle name="Migliaia 43 3 9" xfId="20669" xr:uid="{77FD21BF-8659-4E21-B850-65E6A3D1B1A5}"/>
    <cellStyle name="Migliaia 43 4" xfId="1843" xr:uid="{00000000-0005-0000-0000-000012040000}"/>
    <cellStyle name="Migliaia 43 4 2" xfId="1844" xr:uid="{00000000-0005-0000-0000-000013040000}"/>
    <cellStyle name="Migliaia 43 4 2 2" xfId="5433" xr:uid="{FCA34C9C-2165-4B21-93A9-1693C5E53DEE}"/>
    <cellStyle name="Migliaia 43 4 2 2 2" xfId="34172" xr:uid="{4CB8CF92-56D6-431E-B24F-9DE452EC39AE}"/>
    <cellStyle name="Migliaia 43 4 2 2 2 2" xfId="39731" xr:uid="{616E0339-DE4E-40AD-8248-506E8A6962A1}"/>
    <cellStyle name="Migliaia 43 4 2 2 2 3" xfId="45033" xr:uid="{C19DFF35-C085-4B47-B3D0-541436C833F2}"/>
    <cellStyle name="Migliaia 43 4 2 2 3" xfId="37126" xr:uid="{3BD04D5A-AF7A-4065-B1E3-A487DE9405DF}"/>
    <cellStyle name="Migliaia 43 4 2 2 4" xfId="42382" xr:uid="{BD9321CA-BA1B-40D3-A34A-5A7DD02720E8}"/>
    <cellStyle name="Migliaia 43 4 2 2 5" xfId="9182" xr:uid="{655707D8-4E22-41AE-94B2-64A8C125378D}"/>
    <cellStyle name="Migliaia 43 4 2 3" xfId="3707" xr:uid="{511D714A-B169-4432-9F0A-707476A89686}"/>
    <cellStyle name="Migliaia 43 4 2 3 2" xfId="34173" xr:uid="{BB45BF0F-B66E-451B-8A4A-74A96A074BC7}"/>
    <cellStyle name="Migliaia 43 4 2 3 2 2" xfId="39732" xr:uid="{E2A8E2AB-2555-4651-9FC9-93688D0F5A6D}"/>
    <cellStyle name="Migliaia 43 4 2 3 2 3" xfId="45034" xr:uid="{8A9373B6-230B-4B61-B8AB-4DCF53F23D83}"/>
    <cellStyle name="Migliaia 43 4 2 3 3" xfId="37127" xr:uid="{9D877977-D2BB-40DB-92EE-A43DA4729C8A}"/>
    <cellStyle name="Migliaia 43 4 2 3 4" xfId="42383" xr:uid="{445BE23B-C839-4956-A13A-85F09612DC5E}"/>
    <cellStyle name="Migliaia 43 4 2 3 5" xfId="12037" xr:uid="{C0ADC7E1-5BF7-4B8E-991C-8A796BA4032D}"/>
    <cellStyle name="Migliaia 43 4 2 4" xfId="11386" xr:uid="{94575CD5-D102-441A-B2AA-C9C01ED2CE05}"/>
    <cellStyle name="Migliaia 43 4 2 5" xfId="10921" xr:uid="{3899E73C-0586-4B72-BDE3-1F5627242BFF}"/>
    <cellStyle name="Migliaia 43 4 2 5 2" xfId="21556" xr:uid="{95FB1715-7405-420B-B9E8-5E5B984C227A}"/>
    <cellStyle name="Migliaia 43 4 2 5 3" xfId="47364" xr:uid="{C4B40BF3-02D3-4CA2-9F2A-3EBF3D32BEC3}"/>
    <cellStyle name="Migliaia 43 4 2 5 4" xfId="50571" xr:uid="{37456766-B88B-4B1E-9A40-24A5C7AFC4B5}"/>
    <cellStyle name="Migliaia 43 4 2 5 5" xfId="53587" xr:uid="{E2181475-8738-403D-B224-4B7EDB70D9B4}"/>
    <cellStyle name="Migliaia 43 4 2 6" xfId="20680" xr:uid="{38CE37D6-AC2D-44E3-8298-6C0A229F94CE}"/>
    <cellStyle name="Migliaia 43 4 2 7" xfId="25070" xr:uid="{92154275-68EE-4237-A5C3-903495FC8902}"/>
    <cellStyle name="Migliaia 43 4 2 8" xfId="8706" xr:uid="{F24C4962-701B-49E3-ADB5-075C1405B469}"/>
    <cellStyle name="Migliaia 43 4 3" xfId="5432" xr:uid="{5C16A89C-6620-4EF5-8FBD-1B9F0E2D5A2B}"/>
    <cellStyle name="Migliaia 43 4 3 2" xfId="18237" xr:uid="{980CA8D3-7547-4D6B-BD82-06482480C7FA}"/>
    <cellStyle name="Migliaia 43 4 3 2 2" xfId="39733" xr:uid="{D1070AC1-DD56-41DD-B955-0F0EB4A90903}"/>
    <cellStyle name="Migliaia 43 4 3 2 3" xfId="45035" xr:uid="{93725761-7C5C-4FDC-A77A-98352A57ACA3}"/>
    <cellStyle name="Migliaia 43 4 3 3" xfId="37128" xr:uid="{D92565F8-34A8-49EC-9E06-52EA91AA24F5}"/>
    <cellStyle name="Migliaia 43 4 3 4" xfId="42384" xr:uid="{766AE19D-F67C-47B8-A074-1312BEF06233}"/>
    <cellStyle name="Migliaia 43 4 3 5" xfId="17314" xr:uid="{719319D2-BF1A-4F0C-8302-09F0D14F9C01}"/>
    <cellStyle name="Migliaia 43 4 3 6" xfId="9183" xr:uid="{2693692E-5C2C-4F0A-89D0-E86D01DC87BA}"/>
    <cellStyle name="Migliaia 43 4 4" xfId="6619" xr:uid="{79B51477-2238-42D7-802B-9B4E05057A8A}"/>
    <cellStyle name="Migliaia 43 4 4 2" xfId="34175" xr:uid="{791C7DFC-28DC-444C-A727-58605EE462BC}"/>
    <cellStyle name="Migliaia 43 4 4 2 2" xfId="39734" xr:uid="{E184BEC8-2540-4ABA-8304-E595142D479E}"/>
    <cellStyle name="Migliaia 43 4 4 2 3" xfId="45036" xr:uid="{C5BEEDD2-EA4F-4ED6-B3A0-149D0460BF4F}"/>
    <cellStyle name="Migliaia 43 4 4 3" xfId="37129" xr:uid="{82A5C984-AFA3-450C-A8B8-178F02B3C30A}"/>
    <cellStyle name="Migliaia 43 4 4 4" xfId="42385" xr:uid="{7677C060-9254-46F9-8C2D-1001ACB9504C}"/>
    <cellStyle name="Migliaia 43 4 4 5" xfId="12038" xr:uid="{5F32C596-C382-44F2-86FC-12D88FE8AFD1}"/>
    <cellStyle name="Migliaia 43 4 5" xfId="3706" xr:uid="{55B37FB2-0420-40E0-B31D-40AAE29CC37A}"/>
    <cellStyle name="Migliaia 43 4 5 2" xfId="34176" xr:uid="{AA22D1B6-B66D-40E8-8749-89DBFE0E39D2}"/>
    <cellStyle name="Migliaia 43 4 5 2 2" xfId="39735" xr:uid="{46516304-2F47-4AB9-9E8C-1079D1662872}"/>
    <cellStyle name="Migliaia 43 4 5 2 3" xfId="45037" xr:uid="{79BB87F6-6060-4E2C-A7EC-E936C600E971}"/>
    <cellStyle name="Migliaia 43 4 5 3" xfId="37130" xr:uid="{EAD07527-D0E6-495F-A3D7-7DCA6C3D1A61}"/>
    <cellStyle name="Migliaia 43 4 5 4" xfId="42386" xr:uid="{23394B5E-F416-4E6E-A8BD-AFD906F7D78C}"/>
    <cellStyle name="Migliaia 43 4 5 5" xfId="11385" xr:uid="{43F2C320-C2A3-4F72-B567-83F43E2BAD46}"/>
    <cellStyle name="Migliaia 43 4 6" xfId="10920" xr:uid="{CEA8DB65-C5D6-4AD1-BA81-07C76FD5F5D8}"/>
    <cellStyle name="Migliaia 43 4 6 2" xfId="21555" xr:uid="{EA20C6A8-DA8D-4377-BD24-73B415A29550}"/>
    <cellStyle name="Migliaia 43 4 6 2 2" xfId="39736" xr:uid="{E89DB492-0756-4BE9-A65C-EC63AA4E0DB3}"/>
    <cellStyle name="Migliaia 43 4 6 2 3" xfId="45038" xr:uid="{90B0A57E-706C-47CB-AA67-AA991AB74788}"/>
    <cellStyle name="Migliaia 43 4 6 2 4" xfId="34177" xr:uid="{44FDD22A-728B-4C5B-A258-F0B543510C24}"/>
    <cellStyle name="Migliaia 43 4 6 3" xfId="37131" xr:uid="{D7CB82F5-5AD6-482C-9E8D-C0F9F16FF47B}"/>
    <cellStyle name="Migliaia 43 4 6 4" xfId="42387" xr:uid="{B6FFBCE4-25B3-43BD-9EB2-9F18A253BB59}"/>
    <cellStyle name="Migliaia 43 4 6 5" xfId="25076" xr:uid="{95A8ACF1-E127-44D5-9950-3965C380F7A0}"/>
    <cellStyle name="Migliaia 43 4 6 6" xfId="47264" xr:uid="{F8D86233-6EBA-4C49-9934-AEE128D9BBEF}"/>
    <cellStyle name="Migliaia 43 4 6 7" xfId="50570" xr:uid="{61EEF052-66C1-4668-B3F6-C121D0962261}"/>
    <cellStyle name="Migliaia 43 4 6 8" xfId="53586" xr:uid="{B16FC150-703B-43B0-9CF9-C47CD68AA7D4}"/>
    <cellStyle name="Migliaia 43 4 7" xfId="20679" xr:uid="{72102058-8F77-4B2D-9B07-96398FF7D91A}"/>
    <cellStyle name="Migliaia 43 4 7 2" xfId="34178" xr:uid="{22672D5D-0A6B-4FB8-9DB7-575C083B4983}"/>
    <cellStyle name="Migliaia 43 4 7 2 2" xfId="39737" xr:uid="{03641958-64E5-4875-A852-91C8B2740571}"/>
    <cellStyle name="Migliaia 43 4 7 2 3" xfId="45039" xr:uid="{CCD48F93-C7CB-4837-B821-1542C6DD5E3E}"/>
    <cellStyle name="Migliaia 43 4 7 3" xfId="37132" xr:uid="{D7D7BC0B-FF71-4843-AE10-DFFF0B55E67A}"/>
    <cellStyle name="Migliaia 43 4 7 4" xfId="42388" xr:uid="{C45A65FD-0240-486D-BCB8-A341E0C658E9}"/>
    <cellStyle name="Migliaia 43 4 7 5" xfId="25077" xr:uid="{9117ED36-0E46-4054-BF1C-21806AC64ADF}"/>
    <cellStyle name="Migliaia 43 4 8" xfId="25069" xr:uid="{BE0499CF-A6D4-41DD-99A8-308C959DF963}"/>
    <cellStyle name="Migliaia 43 4 9" xfId="7516" xr:uid="{656B39BA-325F-48EC-A899-12BD22F3166F}"/>
    <cellStyle name="Migliaia 43 5" xfId="1845" xr:uid="{00000000-0005-0000-0000-000014040000}"/>
    <cellStyle name="Migliaia 43 5 2" xfId="5434" xr:uid="{FA42EACE-A059-4BF5-8E5A-48E50AAD8857}"/>
    <cellStyle name="Migliaia 43 5 2 2" xfId="18475" xr:uid="{1DD1D7F2-B799-46ED-83DF-FD8B385752BF}"/>
    <cellStyle name="Migliaia 43 5 2 2 2" xfId="39738" xr:uid="{32318B93-7CA7-46FA-A98A-5825F8CD276B}"/>
    <cellStyle name="Migliaia 43 5 2 2 3" xfId="45040" xr:uid="{FDF9BFB0-9889-4194-9286-BF2EDDA7A4B4}"/>
    <cellStyle name="Migliaia 43 5 2 3" xfId="20682" xr:uid="{0AEC5357-7D78-4B93-92A0-2698326A62BB}"/>
    <cellStyle name="Migliaia 43 5 2 3 2" xfId="37133" xr:uid="{650B1D34-1E9B-4FA3-8AE2-0510C63EB89F}"/>
    <cellStyle name="Migliaia 43 5 2 4" xfId="42389" xr:uid="{68667E0C-A03B-43FC-BFE0-1CBA23294587}"/>
    <cellStyle name="Migliaia 43 5 2 5" xfId="16598" xr:uid="{0118E776-98CE-4895-863E-04E672BC14C5}"/>
    <cellStyle name="Migliaia 43 5 2 6" xfId="8707" xr:uid="{E450942C-5175-4CA4-84FB-5CFEB8C1B2E5}"/>
    <cellStyle name="Migliaia 43 5 3" xfId="6620" xr:uid="{5C3EA93A-136B-4265-8CC5-5660E75BEBAE}"/>
    <cellStyle name="Migliaia 43 5 3 2" xfId="34180" xr:uid="{0D37C7E5-02DA-42C7-91AC-F33C352E1D94}"/>
    <cellStyle name="Migliaia 43 5 3 2 2" xfId="39739" xr:uid="{51400C6A-4C98-465E-8327-C1F229457523}"/>
    <cellStyle name="Migliaia 43 5 3 2 3" xfId="45041" xr:uid="{1EFBD755-841C-4881-876E-29362E8F9894}"/>
    <cellStyle name="Migliaia 43 5 3 3" xfId="37134" xr:uid="{4C949410-1D52-4AFB-928A-A6BFEF193365}"/>
    <cellStyle name="Migliaia 43 5 3 4" xfId="42390" xr:uid="{A7851E4F-D750-4EFD-A3BC-829E222CD2AD}"/>
    <cellStyle name="Migliaia 43 5 3 5" xfId="11387" xr:uid="{9E10C2AE-C794-4041-B233-699F0BFD2518}"/>
    <cellStyle name="Migliaia 43 5 4" xfId="3708" xr:uid="{E224E1F4-931F-4E25-AE94-2E9EF9F2C2C5}"/>
    <cellStyle name="Migliaia 43 5 4 2" xfId="21557" xr:uid="{0DBE780F-0382-4FD3-97AE-A9B816B552C4}"/>
    <cellStyle name="Migliaia 43 5 4 2 2" xfId="39740" xr:uid="{F279D305-57A1-4F2E-9A5B-132B0FFAE2AD}"/>
    <cellStyle name="Migliaia 43 5 4 2 3" xfId="45042" xr:uid="{89775498-2167-4B47-8B1A-BF093639CAC8}"/>
    <cellStyle name="Migliaia 43 5 4 2 4" xfId="34181" xr:uid="{0524A084-E6F1-4CCC-9B4F-2FC07AB8BC3B}"/>
    <cellStyle name="Migliaia 43 5 4 3" xfId="37135" xr:uid="{86511C26-2962-4507-9F61-C914605E96BF}"/>
    <cellStyle name="Migliaia 43 5 4 4" xfId="42391" xr:uid="{D62620D8-4552-43B8-8EF6-3BD0D3457D1E}"/>
    <cellStyle name="Migliaia 43 5 4 5" xfId="25081" xr:uid="{D6684779-F851-48E0-AA09-B247D8BEB77A}"/>
    <cellStyle name="Migliaia 43 5 4 6" xfId="46259" xr:uid="{B663A6B9-0E81-47FD-B6E2-0638407BBA11}"/>
    <cellStyle name="Migliaia 43 5 4 7" xfId="50572" xr:uid="{94EE158C-3315-4569-BE3D-65B929F5B99B}"/>
    <cellStyle name="Migliaia 43 5 4 8" xfId="53588" xr:uid="{CA40F439-C6F7-4A96-A240-AFB6E3ECBEFF}"/>
    <cellStyle name="Migliaia 43 5 4 9" xfId="10922" xr:uid="{EFCB44CE-5AB7-4F43-AF7A-0F281D13DCCC}"/>
    <cellStyle name="Migliaia 43 5 5" xfId="20681" xr:uid="{93A61784-CD46-46A6-AA0B-B53ABADE8897}"/>
    <cellStyle name="Migliaia 43 5 5 2" xfId="34182" xr:uid="{E01A1212-A99B-44E7-A3E6-A2BF0D05345E}"/>
    <cellStyle name="Migliaia 43 5 5 2 2" xfId="39741" xr:uid="{D2986DBD-7FC7-498D-A4C5-DDFB71208819}"/>
    <cellStyle name="Migliaia 43 5 5 2 3" xfId="45043" xr:uid="{460D357E-B93A-43E4-AF08-E1FBFF3B64E4}"/>
    <cellStyle name="Migliaia 43 5 5 3" xfId="37136" xr:uid="{FEB6F996-E0E0-42FB-8EF3-D5D320C62510}"/>
    <cellStyle name="Migliaia 43 5 5 4" xfId="42392" xr:uid="{4CD4B72F-C953-4234-BE85-885E37E7C6FB}"/>
    <cellStyle name="Migliaia 43 5 5 5" xfId="25082" xr:uid="{6B5C94BA-8A65-46E7-8320-E15FA653301A}"/>
    <cellStyle name="Migliaia 43 5 6" xfId="25083" xr:uid="{CBA383BD-3EBF-42A5-8396-FBCE64C4A4DE}"/>
    <cellStyle name="Migliaia 43 5 6 2" xfId="34183" xr:uid="{A3052A38-88B9-44DD-BCB2-14CDC61AC282}"/>
    <cellStyle name="Migliaia 43 5 6 2 2" xfId="39742" xr:uid="{9D0199FC-82A7-4E66-BD15-515DAE66B76E}"/>
    <cellStyle name="Migliaia 43 5 6 2 3" xfId="45044" xr:uid="{4E1C9835-793C-4BE7-A7FF-D40BCBEFCE6D}"/>
    <cellStyle name="Migliaia 43 5 6 3" xfId="37137" xr:uid="{C6330DED-917D-40C4-95E5-485CF9266DF3}"/>
    <cellStyle name="Migliaia 43 5 6 4" xfId="42393" xr:uid="{4ED8858D-EC5E-4CA1-85DC-3F6F1F4A6F28}"/>
    <cellStyle name="Migliaia 43 5 7" xfId="25078" xr:uid="{DCBCBEC3-D5A9-4864-93C4-D356CBC24D15}"/>
    <cellStyle name="Migliaia 43 5 8" xfId="7517" xr:uid="{3C89BBE0-228B-41B5-B700-4B2F115155E1}"/>
    <cellStyle name="Migliaia 43 6" xfId="3709" xr:uid="{F072E6B5-FE24-4E0D-A4DC-03F9C71B9882}"/>
    <cellStyle name="Migliaia 43 6 2" xfId="5435" xr:uid="{0B4D3EA2-B8F0-4CD0-885B-6F83EC6E70ED}"/>
    <cellStyle name="Migliaia 43 6 2 2" xfId="9955" xr:uid="{47DE7256-A376-4740-A9D4-13FE421EA5A6}"/>
    <cellStyle name="Migliaia 43 6 2 3" xfId="18643" xr:uid="{48A983F2-7AE3-4467-8CD6-D88CB78EAF10}"/>
    <cellStyle name="Migliaia 43 6 2 4" xfId="20684" xr:uid="{10EA8155-EA0F-460B-B33F-3397AF55905E}"/>
    <cellStyle name="Migliaia 43 6 2 5" xfId="32427" xr:uid="{6717DDCF-8FB5-408C-8B03-215205B3BAA0}"/>
    <cellStyle name="Migliaia 43 6 2 6" xfId="16600" xr:uid="{0B2002C7-A939-40AA-8366-94BCC85F35CC}"/>
    <cellStyle name="Migliaia 43 6 2 7" xfId="8702" xr:uid="{340B007C-E359-418C-AA4A-3D385D6E0122}"/>
    <cellStyle name="Migliaia 43 6 3" xfId="6621" xr:uid="{8BF9FBF5-236D-49C7-BFD3-6B2B271B0ECA}"/>
    <cellStyle name="Migliaia 43 6 3 2" xfId="35386" xr:uid="{5E7EED87-9663-4C52-8FD5-D8414C4A27E7}"/>
    <cellStyle name="Migliaia 43 6 3 2 2" xfId="40546" xr:uid="{E7AC8B0F-3854-4827-8342-52E4E3ECF1CF}"/>
    <cellStyle name="Migliaia 43 6 3 2 3" xfId="45848" xr:uid="{0A6EB1FD-DA97-42F3-969A-4ABB731F23C9}"/>
    <cellStyle name="Migliaia 43 6 3 3" xfId="37895" xr:uid="{1993A862-22B1-4718-97C2-F38FA88CFB48}"/>
    <cellStyle name="Migliaia 43 6 3 4" xfId="43197" xr:uid="{A5B8DB68-6A7E-41CA-9ABB-52BF4E0D58E8}"/>
    <cellStyle name="Migliaia 43 6 3 5" xfId="9718" xr:uid="{DBAF44B0-B876-41AA-AA2F-AF8C2DBFFFB2}"/>
    <cellStyle name="Migliaia 43 6 4" xfId="20683" xr:uid="{09FD1F59-12C6-4CCB-B823-02DF341006DF}"/>
    <cellStyle name="Migliaia 43 6 4 2" xfId="39743" xr:uid="{A6EB34DE-558C-4CA1-89E9-05133F75DA03}"/>
    <cellStyle name="Migliaia 43 6 4 3" xfId="45045" xr:uid="{5CF2A20D-9DB5-4CA7-B4E4-E03317580649}"/>
    <cellStyle name="Migliaia 43 6 4 4" xfId="34184" xr:uid="{9A6C3B5F-2984-40F7-99C4-3C58C33BFA5E}"/>
    <cellStyle name="Migliaia 43 6 5" xfId="37138" xr:uid="{68E8C4EC-5162-4864-82FE-77B424EE089B}"/>
    <cellStyle name="Migliaia 43 6 6" xfId="42394" xr:uid="{EEE29800-5F47-452B-AE0A-F91C0DDAAB6D}"/>
    <cellStyle name="Migliaia 43 6 7" xfId="16599" xr:uid="{08D31EBD-C698-4C2F-99E4-84AFAB8F5A9D}"/>
    <cellStyle name="Migliaia 43 6 8" xfId="7512" xr:uid="{66884DA4-7A92-4615-A2AB-A3C35AE2F40E}"/>
    <cellStyle name="Migliaia 43 7" xfId="3710" xr:uid="{118DD966-44D8-43A0-B4D9-71ADC72DC010}"/>
    <cellStyle name="Migliaia 43 7 2" xfId="5436" xr:uid="{63826C31-3B57-4F51-A584-91A8D3E5120B}"/>
    <cellStyle name="Migliaia 43 7 2 2" xfId="35387" xr:uid="{BC89A0D4-FE08-44EF-AB80-82A2745832AE}"/>
    <cellStyle name="Migliaia 43 7 2 2 2" xfId="40547" xr:uid="{739587F9-C83C-48AC-AFCB-2BDCC13F95B4}"/>
    <cellStyle name="Migliaia 43 7 2 2 3" xfId="45849" xr:uid="{67525FB6-AC57-476F-88A7-33431C1C0A2C}"/>
    <cellStyle name="Migliaia 43 7 2 3" xfId="37896" xr:uid="{88E63988-EF98-4DCB-95D7-A3E284836D75}"/>
    <cellStyle name="Migliaia 43 7 2 4" xfId="43198" xr:uid="{9FD5DA2F-8AD3-4828-A1EC-325B3906DA37}"/>
    <cellStyle name="Migliaia 43 7 2 5" xfId="14290" xr:uid="{35B87AF5-0EB0-40DA-8826-C332D9FA1923}"/>
    <cellStyle name="Migliaia 43 7 3" xfId="6622" xr:uid="{3544D5E2-072E-40D6-AFE3-D0E85DA1E348}"/>
    <cellStyle name="Migliaia 43 7 3 2" xfId="39744" xr:uid="{F95710EB-193A-4F65-8537-70509C12D038}"/>
    <cellStyle name="Migliaia 43 7 3 3" xfId="45046" xr:uid="{35DD572C-251F-4F76-9C9C-D09966D94AFD}"/>
    <cellStyle name="Migliaia 43 7 3 4" xfId="34185" xr:uid="{FACCC2D0-985C-4F4C-AE3C-A069383C0AC8}"/>
    <cellStyle name="Migliaia 43 7 3 5" xfId="20685" xr:uid="{98B11196-C41D-4CBD-93AF-58CB905EA803}"/>
    <cellStyle name="Migliaia 43 7 4" xfId="37139" xr:uid="{C9521F0F-3D7E-4EE7-92F0-ADEA0A9CE08D}"/>
    <cellStyle name="Migliaia 43 7 5" xfId="42395" xr:uid="{4416FDCC-825F-4EE3-9F60-4EE03FED8200}"/>
    <cellStyle name="Migliaia 43 7 6" xfId="16601" xr:uid="{FE019635-BF6C-4FBB-B1E9-441F6F369E3D}"/>
    <cellStyle name="Migliaia 43 7 7" xfId="8352" xr:uid="{C3E43FB2-27A8-4CD8-AF75-159C7E0BED10}"/>
    <cellStyle name="Migliaia 43 8" xfId="3711" xr:uid="{7780D516-51AA-4E45-B93A-0175E8FF9C2C}"/>
    <cellStyle name="Migliaia 43 8 2" xfId="5437" xr:uid="{276B9114-7D7D-4299-ADFA-B6C80DB86282}"/>
    <cellStyle name="Migliaia 43 8 2 2" xfId="35388" xr:uid="{3FCF122D-6D0A-49D0-8A17-38EE21897407}"/>
    <cellStyle name="Migliaia 43 8 2 2 2" xfId="40548" xr:uid="{E27BDB13-4E3C-4808-B572-C7A697F015B7}"/>
    <cellStyle name="Migliaia 43 8 2 2 3" xfId="45850" xr:uid="{6E784B3F-B21A-4150-A4BB-0DD4C860F23D}"/>
    <cellStyle name="Migliaia 43 8 2 3" xfId="37897" xr:uid="{5FA2D2E1-52FD-49D2-A4A9-A2C07C14DB77}"/>
    <cellStyle name="Migliaia 43 8 2 4" xfId="43199" xr:uid="{B1C5E889-BA2E-470C-8A9E-78FD0C520BF3}"/>
    <cellStyle name="Migliaia 43 8 2 5" xfId="13995" xr:uid="{A48DA4E1-D229-481A-8E68-6C1A5ABADEEE}"/>
    <cellStyle name="Migliaia 43 8 3" xfId="6623" xr:uid="{9F11793E-9177-4C2B-8556-0565DB74A265}"/>
    <cellStyle name="Migliaia 43 8 3 2" xfId="39745" xr:uid="{E534010F-2F91-49A5-BA88-3059B2705E7E}"/>
    <cellStyle name="Migliaia 43 8 3 3" xfId="45047" xr:uid="{14FCC487-C263-4355-B831-38EBFD0F2C3C}"/>
    <cellStyle name="Migliaia 43 8 3 4" xfId="34186" xr:uid="{D982147A-BBB8-47A0-A4DA-F1891678B8F3}"/>
    <cellStyle name="Migliaia 43 8 3 5" xfId="20686" xr:uid="{805BAE3C-32C0-47F5-A315-660737B719CD}"/>
    <cellStyle name="Migliaia 43 8 4" xfId="37140" xr:uid="{B80EF678-A1DA-4772-A0FF-5A3D63673C96}"/>
    <cellStyle name="Migliaia 43 8 5" xfId="42396" xr:uid="{04731A40-E075-488C-A490-1F491A7889C4}"/>
    <cellStyle name="Migliaia 43 8 6" xfId="16602" xr:uid="{0440B9E3-DF16-4671-9159-F2CDC8FA924F}"/>
    <cellStyle name="Migliaia 43 8 7" xfId="7970" xr:uid="{956DC0B6-7E2B-4BAC-A855-CDB815BFDF6A}"/>
    <cellStyle name="Migliaia 43 9" xfId="5422" xr:uid="{63CC7E02-61B6-4E30-A101-7A865BDF1BC2}"/>
    <cellStyle name="Migliaia 43 9 2" xfId="34187" xr:uid="{1EAE561F-FEA9-44D6-954A-750D5C4E5F55}"/>
    <cellStyle name="Migliaia 43 9 2 2" xfId="39746" xr:uid="{7C7FB619-737B-4A43-A067-B300F8C16FD4}"/>
    <cellStyle name="Migliaia 43 9 2 3" xfId="45048" xr:uid="{6A3FB4B5-A8A9-4F6C-AF7A-5F96CA50D00B}"/>
    <cellStyle name="Migliaia 43 9 3" xfId="37141" xr:uid="{E8D1818C-3E28-4EE2-BB00-A0B57CC5085B}"/>
    <cellStyle name="Migliaia 43 9 4" xfId="42397" xr:uid="{7DAEBF02-6682-431D-B363-309CF141DA98}"/>
    <cellStyle name="Migliaia 43 9 5" xfId="17209" xr:uid="{0EE0B0F5-30C3-4E78-AC07-EE33E544D467}"/>
    <cellStyle name="Migliaia 44" xfId="453" xr:uid="{00000000-0005-0000-0000-000015040000}"/>
    <cellStyle name="Migliaia 44 10" xfId="6624" xr:uid="{A8D53E44-37FD-4DC9-8A4A-82D613CB23B6}"/>
    <cellStyle name="Migliaia 44 10 2" xfId="39747" xr:uid="{33A559D5-C87A-4E29-B914-BC828432C12E}"/>
    <cellStyle name="Migliaia 44 10 3" xfId="45049" xr:uid="{6C2E9CA5-5ABB-4968-B8E2-4FF27B1575EA}"/>
    <cellStyle name="Migliaia 44 10 4" xfId="34188" xr:uid="{F239B6AF-DE01-46C3-A0F3-62BA53F23DFE}"/>
    <cellStyle name="Migliaia 44 10 5" xfId="20687" xr:uid="{567A0866-3A18-4714-949A-6CD621199F2D}"/>
    <cellStyle name="Migliaia 44 11" xfId="3712" xr:uid="{6DC8F25D-EE44-4546-85BB-50ED6B7759A6}"/>
    <cellStyle name="Migliaia 44 11 2" xfId="37142" xr:uid="{5109B807-7298-4A5B-B8CD-909E00C96DBC}"/>
    <cellStyle name="Migliaia 44 12" xfId="42398" xr:uid="{984F9000-BA07-4E0A-968C-E0FF961D08D1}"/>
    <cellStyle name="Migliaia 44 13" xfId="7156" xr:uid="{9EBDA7FE-D3B0-41B2-82CC-4A10091EF2EE}"/>
    <cellStyle name="Migliaia 44 2" xfId="454" xr:uid="{00000000-0005-0000-0000-000016040000}"/>
    <cellStyle name="Migliaia 44 2 2" xfId="1846" xr:uid="{00000000-0005-0000-0000-000017040000}"/>
    <cellStyle name="Migliaia 44 2 2 2" xfId="5440" xr:uid="{28D25D56-790E-44B2-993B-A295C3550BA0}"/>
    <cellStyle name="Migliaia 44 2 2 2 2" xfId="14401" xr:uid="{55FCC41F-0BAA-47B3-BE9E-64EA3E786A25}"/>
    <cellStyle name="Migliaia 44 2 2 2 2 2" xfId="39748" xr:uid="{F7F8AF53-7D5D-4F32-95F6-E3F5A6BF41EF}"/>
    <cellStyle name="Migliaia 44 2 2 2 2 3" xfId="45050" xr:uid="{31EA1B0E-D774-4D92-B621-4D1E64A5BBF8}"/>
    <cellStyle name="Migliaia 44 2 2 2 3" xfId="18476" xr:uid="{32A29965-ED6E-49CF-8E7A-70CF5F9697E4}"/>
    <cellStyle name="Migliaia 44 2 2 2 4" xfId="20690" xr:uid="{EABDA32C-DFD9-4CE4-8F14-8BAAF08A56D9}"/>
    <cellStyle name="Migliaia 44 2 2 2 4 2" xfId="42399" xr:uid="{BCCC9A6A-9E96-4C9F-B671-503A59646C08}"/>
    <cellStyle name="Migliaia 44 2 2 2 5" xfId="16603" xr:uid="{FBBA37D3-F281-47D3-A99F-3AF27F6A2B25}"/>
    <cellStyle name="Migliaia 44 2 2 2 6" xfId="8709" xr:uid="{074D9D02-51E4-484E-AF8D-D5773D52E095}"/>
    <cellStyle name="Migliaia 44 2 2 3" xfId="6626" xr:uid="{904E045B-19C4-432B-BC32-05470016BC52}"/>
    <cellStyle name="Migliaia 44 2 2 3 2" xfId="35389" xr:uid="{5F739DC0-E90E-48EC-BED4-6D53A1B13FD7}"/>
    <cellStyle name="Migliaia 44 2 2 3 2 2" xfId="40549" xr:uid="{2CE77EFD-EC1E-4B6B-887F-D838287D1B0C}"/>
    <cellStyle name="Migliaia 44 2 2 3 2 3" xfId="45851" xr:uid="{56121CB7-558D-414D-8C50-075617ED7DFB}"/>
    <cellStyle name="Migliaia 44 2 2 3 3" xfId="37898" xr:uid="{B9295926-0AED-4E1C-B62E-F11E1D9A6707}"/>
    <cellStyle name="Migliaia 44 2 2 3 4" xfId="43200" xr:uid="{A76CF8D2-2DB4-4EC8-B357-C5CB14A6DD6F}"/>
    <cellStyle name="Migliaia 44 2 2 3 5" xfId="11628" xr:uid="{ABA7E34F-D115-4A01-80DD-02D570A22257}"/>
    <cellStyle name="Migliaia 44 2 2 4" xfId="3714" xr:uid="{8D4B1600-5DB4-487D-9980-14978E7BCDC2}"/>
    <cellStyle name="Migliaia 44 2 2 4 2" xfId="21558" xr:uid="{97AB884F-7D6D-42D6-881C-6D2E62B84FAD}"/>
    <cellStyle name="Migliaia 44 2 2 4 3" xfId="47604" xr:uid="{BD9F8AD8-730A-440D-A1F1-CC7248259B27}"/>
    <cellStyle name="Migliaia 44 2 2 4 4" xfId="50573" xr:uid="{ADD7138B-80F0-4B23-B47E-329183788EDF}"/>
    <cellStyle name="Migliaia 44 2 2 4 5" xfId="53589" xr:uid="{BA98F7C4-00F2-4C2C-BC8A-44AB076C33CC}"/>
    <cellStyle name="Migliaia 44 2 2 4 6" xfId="10923" xr:uid="{EFB97BF3-4C81-4581-AD56-1B2E49F3CC9A}"/>
    <cellStyle name="Migliaia 44 2 2 5" xfId="20689" xr:uid="{AE472FB9-574A-4337-9D68-E426957609E5}"/>
    <cellStyle name="Migliaia 44 2 2 6" xfId="25090" xr:uid="{AB3B409B-3297-44EB-AE51-C17BE065289F}"/>
    <cellStyle name="Migliaia 44 2 2 7" xfId="7519" xr:uid="{0372186C-106C-4CB9-95ED-7CAB14732C62}"/>
    <cellStyle name="Migliaia 44 2 3" xfId="3715" xr:uid="{AF28B6FB-A1F2-47A2-BB70-BFC4EF2ED806}"/>
    <cellStyle name="Migliaia 44 2 3 2" xfId="5441" xr:uid="{D00BD111-F711-4EA3-B1D5-2F0821A74D2E}"/>
    <cellStyle name="Migliaia 44 2 3 2 2" xfId="35390" xr:uid="{3FFD429C-B5AF-4277-88C9-FE7B15A1EF66}"/>
    <cellStyle name="Migliaia 44 2 3 2 2 2" xfId="40550" xr:uid="{5BAE779C-8383-4F98-8C5F-8C2B8EAD39EF}"/>
    <cellStyle name="Migliaia 44 2 3 2 2 3" xfId="45852" xr:uid="{5DA84BAF-E980-4C87-879C-D50891A2CF89}"/>
    <cellStyle name="Migliaia 44 2 3 2 3" xfId="37899" xr:uid="{16C3AF66-935D-48E8-ACDF-CBD5B6964574}"/>
    <cellStyle name="Migliaia 44 2 3 2 4" xfId="43201" xr:uid="{C8DD5F52-DA42-4C8E-A2C0-BA5AB86C6CB4}"/>
    <cellStyle name="Migliaia 44 2 3 2 5" xfId="14294" xr:uid="{344F9587-6557-4502-9A75-3F96410A7760}"/>
    <cellStyle name="Migliaia 44 2 3 3" xfId="6627" xr:uid="{D96E467E-E4D7-4E82-A0A1-0500AD740787}"/>
    <cellStyle name="Migliaia 44 2 3 3 2" xfId="39749" xr:uid="{BCAE3F75-0FD3-4CEF-BFDA-27701EE70784}"/>
    <cellStyle name="Migliaia 44 2 3 3 3" xfId="45051" xr:uid="{25BB52EC-CDC5-4EC8-85E9-C7173DF36D71}"/>
    <cellStyle name="Migliaia 44 2 3 3 4" xfId="34190" xr:uid="{0D827030-F4CD-4E9F-ABE3-3C03F6FE064D}"/>
    <cellStyle name="Migliaia 44 2 3 3 5" xfId="20691" xr:uid="{482EC773-4FD2-489F-9442-CEA4E38BE994}"/>
    <cellStyle name="Migliaia 44 2 3 4" xfId="37144" xr:uid="{43513EE5-B022-46D5-A4AB-990BEA962186}"/>
    <cellStyle name="Migliaia 44 2 3 5" xfId="42400" xr:uid="{F73C5625-8403-4100-A3B7-52200BD11B5B}"/>
    <cellStyle name="Migliaia 44 2 3 6" xfId="16604" xr:uid="{C3FC07BC-02CD-40C5-85C1-0056DEB27EB7}"/>
    <cellStyle name="Migliaia 44 2 3 7" xfId="8356" xr:uid="{337820A8-A21A-4974-A120-D822F946591F}"/>
    <cellStyle name="Migliaia 44 2 4" xfId="5439" xr:uid="{8D5A401F-98CC-4B2E-AB8D-78767C17BED6}"/>
    <cellStyle name="Migliaia 44 2 4 2" xfId="13999" xr:uid="{6EF584A2-826D-4833-B383-DE2F91DB691E}"/>
    <cellStyle name="Migliaia 44 2 4 2 2" xfId="39750" xr:uid="{9A49DA97-70D9-4A2F-89B0-69B80527AB97}"/>
    <cellStyle name="Migliaia 44 2 4 2 3" xfId="45052" xr:uid="{45522ED3-4ED4-496D-B479-28C55EDAC0FF}"/>
    <cellStyle name="Migliaia 44 2 4 3" xfId="18608" xr:uid="{D9E092F3-DFD6-4B97-A0D5-140A2D08799F}"/>
    <cellStyle name="Migliaia 44 2 4 4" xfId="20692" xr:uid="{F4D5E7D9-EE1B-4455-A058-702954718656}"/>
    <cellStyle name="Migliaia 44 2 4 4 2" xfId="42401" xr:uid="{6F5BAB18-FBB7-4AA0-BC75-F4E630D29C56}"/>
    <cellStyle name="Migliaia 44 2 4 5" xfId="16605" xr:uid="{827D37D4-4C79-464C-B016-59E510E5AF25}"/>
    <cellStyle name="Migliaia 44 2 4 6" xfId="7975" xr:uid="{631EAAE9-CA59-45D1-9896-973C2D0B996F}"/>
    <cellStyle name="Migliaia 44 2 5" xfId="6625" xr:uid="{3EEDC538-83E2-4FBD-864A-098E6BB934DE}"/>
    <cellStyle name="Migliaia 44 2 5 2" xfId="34191" xr:uid="{AACEAB61-1432-4753-AE3B-0283306B6E2C}"/>
    <cellStyle name="Migliaia 44 2 5 2 2" xfId="39751" xr:uid="{C1F5425D-84DE-4D5F-B01A-0AED104B11CA}"/>
    <cellStyle name="Migliaia 44 2 5 2 3" xfId="45053" xr:uid="{0E64FCAD-B365-4ED3-B69B-00AFB612BD21}"/>
    <cellStyle name="Migliaia 44 2 5 3" xfId="37145" xr:uid="{E3A5E7B5-372C-4EC0-A0A6-75B63C57792B}"/>
    <cellStyle name="Migliaia 44 2 5 4" xfId="42402" xr:uid="{BD093E10-AFCE-4CD6-8CA0-F070AEF2E500}"/>
    <cellStyle name="Migliaia 44 2 5 5" xfId="13141" xr:uid="{78A7402C-5D46-44DB-AFB6-686187D4629A}"/>
    <cellStyle name="Migliaia 44 2 6" xfId="3713" xr:uid="{CA824D8A-2ADC-4E78-AE53-724E9F125FAF}"/>
    <cellStyle name="Migliaia 44 2 6 2" xfId="34192" xr:uid="{DDA26824-854B-4B9B-AED5-DDFD60BB8D99}"/>
    <cellStyle name="Migliaia 44 2 6 2 2" xfId="39752" xr:uid="{BCC8F59B-BCB8-4E91-B6E1-FAE2EFB20D04}"/>
    <cellStyle name="Migliaia 44 2 6 2 3" xfId="45054" xr:uid="{18129C84-51E2-4833-ABFB-193257E4471D}"/>
    <cellStyle name="Migliaia 44 2 6 3" xfId="37146" xr:uid="{87305442-A995-4048-BACB-7B680F00DB42}"/>
    <cellStyle name="Migliaia 44 2 6 4" xfId="42403" xr:uid="{6342FB03-9FFF-40AC-A390-AD323783CEF2}"/>
    <cellStyle name="Migliaia 44 2 6 5" xfId="25092" xr:uid="{6A24767E-394B-44A8-AB57-E45082A883C0}"/>
    <cellStyle name="Migliaia 44 2 6 6" xfId="20688" xr:uid="{4A82205D-1B66-423F-B7D1-A60FE1D2FED5}"/>
    <cellStyle name="Migliaia 44 2 7" xfId="25089" xr:uid="{E40D86A3-4EAA-423A-9135-9F08C45588FD}"/>
    <cellStyle name="Migliaia 44 2 8" xfId="7157" xr:uid="{00B97E6C-587D-4420-8103-D9FF8C7603ED}"/>
    <cellStyle name="Migliaia 44 3" xfId="455" xr:uid="{00000000-0005-0000-0000-000018040000}"/>
    <cellStyle name="Migliaia 44 3 10" xfId="25093" xr:uid="{9EBF86FF-5AB2-4840-84E6-46FA6E94A88A}"/>
    <cellStyle name="Migliaia 44 3 11" xfId="16606" xr:uid="{2A816D33-C4DF-4840-9606-1CE831ADF7B6}"/>
    <cellStyle name="Migliaia 44 3 12" xfId="7158" xr:uid="{5D19B05A-1A84-4AFD-9D28-E4B2E3EA8F0E}"/>
    <cellStyle name="Migliaia 44 3 2" xfId="456" xr:uid="{00000000-0005-0000-0000-000019040000}"/>
    <cellStyle name="Migliaia 44 3 2 2" xfId="1847" xr:uid="{00000000-0005-0000-0000-00001A040000}"/>
    <cellStyle name="Migliaia 44 3 2 2 2" xfId="5444" xr:uid="{861B8755-8FBD-4691-A486-819FA10B0846}"/>
    <cellStyle name="Migliaia 44 3 2 2 2 2" xfId="18477" xr:uid="{5B8761B7-5267-47DE-AA26-BAFD5E05928F}"/>
    <cellStyle name="Migliaia 44 3 2 2 2 2 2" xfId="21879" xr:uid="{AF14AB27-2FE2-41DC-8C70-6705686D7AC9}"/>
    <cellStyle name="Migliaia 44 3 2 2 2 2 2 2" xfId="39753" xr:uid="{3D50B70B-5C4E-4B44-AC36-2A107C391D18}"/>
    <cellStyle name="Migliaia 44 3 2 2 2 2 3" xfId="45055" xr:uid="{56936C79-BE41-4544-9155-AB91F9F9DF21}"/>
    <cellStyle name="Migliaia 44 3 2 2 2 2 4" xfId="34193" xr:uid="{33171C85-FF9E-4149-8962-05D04C9FC7B8}"/>
    <cellStyle name="Migliaia 44 3 2 2 2 3" xfId="37147" xr:uid="{68B731E0-1AEA-4CFB-83AA-A70A723A9753}"/>
    <cellStyle name="Migliaia 44 3 2 2 2 4" xfId="42404" xr:uid="{078152DB-0F8E-4AFD-AB61-A10AAAE0D630}"/>
    <cellStyle name="Migliaia 44 3 2 2 2 5" xfId="47212" xr:uid="{8BE1A9BE-D625-4978-BEEC-81217BE0B5AB}"/>
    <cellStyle name="Migliaia 44 3 2 2 2 6" xfId="50907" xr:uid="{358CC441-9133-4843-8972-4514233B40E6}"/>
    <cellStyle name="Migliaia 44 3 2 2 2 7" xfId="53923" xr:uid="{733EE611-4BC3-4252-B550-5BE2F28B873F}"/>
    <cellStyle name="Migliaia 44 3 2 2 2 8" xfId="17677" xr:uid="{F008281C-9CA1-4A74-9CB6-D5686DB5D943}"/>
    <cellStyle name="Migliaia 44 3 2 2 2 9" xfId="12039" xr:uid="{C4B968C2-D41A-48FE-A9B4-59C0CC3910A1}"/>
    <cellStyle name="Migliaia 44 3 2 2 3" xfId="6630" xr:uid="{917919BD-6B66-4E4E-960F-BA4F0384F55D}"/>
    <cellStyle name="Migliaia 44 3 2 2 3 2" xfId="11569" xr:uid="{015AD682-BAC4-4723-9DC2-6BAE02CCB901}"/>
    <cellStyle name="Migliaia 44 3 2 2 4" xfId="3718" xr:uid="{BD4F330B-D144-4029-9F78-9FF59D30185E}"/>
    <cellStyle name="Migliaia 44 3 2 2 4 2" xfId="21559" xr:uid="{2321D8FA-90E5-408E-B583-202BE6EA9AC0}"/>
    <cellStyle name="Migliaia 44 3 2 2 4 3" xfId="32469" xr:uid="{4F7E9DDA-1FF2-44EC-9274-0B6D105C071B}"/>
    <cellStyle name="Migliaia 44 3 2 2 4 4" xfId="50574" xr:uid="{FD9CB82D-9C48-4875-BB59-78E04C6E9343}"/>
    <cellStyle name="Migliaia 44 3 2 2 4 5" xfId="53590" xr:uid="{3E5B3F3B-437F-4C31-A7EA-2154E421816F}"/>
    <cellStyle name="Migliaia 44 3 2 2 4 6" xfId="10924" xr:uid="{E5CC1809-70B2-4502-BA9B-D90557BD16EE}"/>
    <cellStyle name="Migliaia 44 3 2 2 5" xfId="20695" xr:uid="{E8242429-45C3-4E6E-96B8-09F08D52B3F6}"/>
    <cellStyle name="Migliaia 44 3 2 2 6" xfId="25095" xr:uid="{0CC10331-3B18-4BB5-91B8-7ED461770DE8}"/>
    <cellStyle name="Migliaia 44 3 2 2 7" xfId="8711" xr:uid="{55021F92-B330-4639-8B6E-36DE043E8690}"/>
    <cellStyle name="Migliaia 44 3 2 3" xfId="5443" xr:uid="{B8E228EA-5609-41AA-8907-B20C07421AED}"/>
    <cellStyle name="Migliaia 44 3 2 3 2" xfId="12404" xr:uid="{C9A7FCAF-563C-4C60-961A-F8A19B978974}"/>
    <cellStyle name="Migliaia 44 3 2 3 2 2" xfId="39754" xr:uid="{1E54F82A-5930-4BAE-B8D1-F2F3032D2B83}"/>
    <cellStyle name="Migliaia 44 3 2 3 2 3" xfId="45056" xr:uid="{EBFC4D89-F5D6-4F3E-BBC4-B2E47908C455}"/>
    <cellStyle name="Migliaia 44 3 2 3 2 4" xfId="34194" xr:uid="{55BA28E6-10FF-49FD-9630-B5F8DA97DEAA}"/>
    <cellStyle name="Migliaia 44 3 2 3 3" xfId="12040" xr:uid="{1136854C-8AF9-4E65-94F5-20BC895521EE}"/>
    <cellStyle name="Migliaia 44 3 2 3 4" xfId="20696" xr:uid="{A92DA1FF-145C-42D3-A5ED-9A6D5B66F23F}"/>
    <cellStyle name="Migliaia 44 3 2 3 4 2" xfId="42405" xr:uid="{CD791D95-0D23-4841-874E-16D04451C30D}"/>
    <cellStyle name="Migliaia 44 3 2 3 5" xfId="16607" xr:uid="{325A3BC5-744B-4BD3-95C8-0E6AE0253CF8}"/>
    <cellStyle name="Migliaia 44 3 2 3 6" xfId="7977" xr:uid="{228FB0B2-5F8D-4608-9A5C-CA2A255BA5F0}"/>
    <cellStyle name="Migliaia 44 3 2 4" xfId="6629" xr:uid="{EA1D03E1-00CB-4E2E-A6F2-919D8CFF335F}"/>
    <cellStyle name="Migliaia 44 3 2 4 2" xfId="18095" xr:uid="{1C828EC4-793F-4E54-B0AC-30DE8C06B35E}"/>
    <cellStyle name="Migliaia 44 3 2 4 2 2" xfId="39755" xr:uid="{E1E82E91-CEBE-4E97-A6EC-A7A2159D42E0}"/>
    <cellStyle name="Migliaia 44 3 2 4 2 3" xfId="45057" xr:uid="{630ED773-CF2C-494B-85B3-C71AE30D8647}"/>
    <cellStyle name="Migliaia 44 3 2 4 3" xfId="37148" xr:uid="{C1FD4A05-FE0B-4FC0-9F8E-A4091DE5788A}"/>
    <cellStyle name="Migliaia 44 3 2 4 4" xfId="42406" xr:uid="{DA1CCEBB-F729-44C8-ACBB-1ACA182CC429}"/>
    <cellStyle name="Migliaia 44 3 2 4 5" xfId="17212" xr:uid="{054E3898-362B-485B-913B-7A1480C58CBD}"/>
    <cellStyle name="Migliaia 44 3 2 4 6" xfId="11388" xr:uid="{9A357FE5-6F67-4A72-B0C1-A30B1B10E1CA}"/>
    <cellStyle name="Migliaia 44 3 2 5" xfId="3717" xr:uid="{7B7C961D-9974-4584-88EE-6B3E88E9D2A2}"/>
    <cellStyle name="Migliaia 44 3 2 5 2" xfId="34195" xr:uid="{0D6B56D1-3C32-48BA-AA93-25E3A4D3DA86}"/>
    <cellStyle name="Migliaia 44 3 2 5 2 2" xfId="39756" xr:uid="{8948FEFB-C9D1-45DD-8153-1F24FD7B13DE}"/>
    <cellStyle name="Migliaia 44 3 2 5 2 3" xfId="45058" xr:uid="{4BB23E9A-4348-494D-AFDF-C21029D14F98}"/>
    <cellStyle name="Migliaia 44 3 2 5 3" xfId="37149" xr:uid="{F3601FBB-B351-4615-9720-D03730B6A1C3}"/>
    <cellStyle name="Migliaia 44 3 2 5 4" xfId="42407" xr:uid="{E5DCE5DA-5D16-45CC-99E1-D3EC6E82702B}"/>
    <cellStyle name="Migliaia 44 3 2 5 5" xfId="17312" xr:uid="{361550D7-F118-4FFC-BA67-C451C9033BDB}"/>
    <cellStyle name="Migliaia 44 3 2 6" xfId="20694" xr:uid="{061747CF-3EF1-40B8-81A0-9CE89A64A9D4}"/>
    <cellStyle name="Migliaia 44 3 2 6 2" xfId="34196" xr:uid="{AD43EDBF-06C8-495F-9995-2613540BE6FD}"/>
    <cellStyle name="Migliaia 44 3 2 6 2 2" xfId="39757" xr:uid="{4575AEE7-06D3-49CC-9564-7456AEB618F9}"/>
    <cellStyle name="Migliaia 44 3 2 6 2 3" xfId="45059" xr:uid="{89561864-2343-4B0E-A286-F72145FD13BA}"/>
    <cellStyle name="Migliaia 44 3 2 6 3" xfId="37150" xr:uid="{A283F890-49AF-4B01-85DB-343D74460320}"/>
    <cellStyle name="Migliaia 44 3 2 6 4" xfId="42408" xr:uid="{B345AA3C-A281-4779-AFEB-037126DD2509}"/>
    <cellStyle name="Migliaia 44 3 2 6 5" xfId="25096" xr:uid="{6911CC77-81B9-4FCC-B2D8-756CEB2BE785}"/>
    <cellStyle name="Migliaia 44 3 2 7" xfId="25094" xr:uid="{01C2E9EE-3A26-49F6-A571-4AE51AB32955}"/>
    <cellStyle name="Migliaia 44 3 2 8" xfId="7521" xr:uid="{DD04ADB4-4956-4EE9-B16E-2E056D4D9FD9}"/>
    <cellStyle name="Migliaia 44 3 3" xfId="3719" xr:uid="{6900DCB4-EF93-40FE-BE01-A4A35B96B411}"/>
    <cellStyle name="Migliaia 44 3 3 10" xfId="7520" xr:uid="{DC5C0DEF-2D1C-4018-B012-46119AC14704}"/>
    <cellStyle name="Migliaia 44 3 3 2" xfId="5445" xr:uid="{60ABB838-2A0B-4222-AE93-52A6170EF019}"/>
    <cellStyle name="Migliaia 44 3 3 2 2" xfId="9958" xr:uid="{FE8D5FE4-2FB8-4302-B617-23B3A55FFA82}"/>
    <cellStyle name="Migliaia 44 3 3 2 2 2" xfId="39759" xr:uid="{84071B29-E1FB-42C3-BC9F-B6C53B540EC2}"/>
    <cellStyle name="Migliaia 44 3 3 2 2 3" xfId="45061" xr:uid="{E75707D8-B60C-42FF-9396-F3DA5F37763D}"/>
    <cellStyle name="Migliaia 44 3 3 2 3" xfId="18238" xr:uid="{358C14C5-5785-45EA-819A-F417E98EFF5A}"/>
    <cellStyle name="Migliaia 44 3 3 2 4" xfId="20698" xr:uid="{E8C309C1-8331-4E8F-877C-656642B31E2B}"/>
    <cellStyle name="Migliaia 44 3 3 2 4 2" xfId="42410" xr:uid="{AFAB6AB7-C51C-4B72-94F3-05A6B1317B97}"/>
    <cellStyle name="Migliaia 44 3 3 2 5" xfId="16609" xr:uid="{5278E8F9-81FE-41F7-AEFD-63DCBC671E50}"/>
    <cellStyle name="Migliaia 44 3 3 2 6" xfId="8710" xr:uid="{2E7649A1-FD1B-40F8-AAA3-9466F73C8847}"/>
    <cellStyle name="Migliaia 44 3 3 3" xfId="6631" xr:uid="{2C2A44C1-2D90-4F7E-8C6B-F0C5948DC5B9}"/>
    <cellStyle name="Migliaia 44 3 3 3 2" xfId="34198" xr:uid="{29B94591-9AB1-4087-84EE-656348B3FE09}"/>
    <cellStyle name="Migliaia 44 3 3 3 2 2" xfId="39760" xr:uid="{A9200040-7E7A-426D-92CC-638B5BEAEE19}"/>
    <cellStyle name="Migliaia 44 3 3 3 2 3" xfId="45062" xr:uid="{CAC0975B-D9D1-4E24-9E4A-B28B5A63393B}"/>
    <cellStyle name="Migliaia 44 3 3 3 3" xfId="37152" xr:uid="{97530F50-0673-4D66-BD10-D5B98B91F8EA}"/>
    <cellStyle name="Migliaia 44 3 3 3 4" xfId="42411" xr:uid="{355EEB10-7E1F-4636-9A57-2BAFD5002BE6}"/>
    <cellStyle name="Migliaia 44 3 3 3 5" xfId="9721" xr:uid="{7BA15277-8182-4814-9F46-7249A16C88C5}"/>
    <cellStyle name="Migliaia 44 3 3 4" xfId="20697" xr:uid="{F6D09BE2-F517-4B9A-BDD8-D7D3A9F0489C}"/>
    <cellStyle name="Migliaia 44 3 3 4 2" xfId="34199" xr:uid="{AF67F587-3C30-4AD2-8D6E-E29EAD51CE34}"/>
    <cellStyle name="Migliaia 44 3 3 4 2 2" xfId="39761" xr:uid="{8BD06F36-FFA7-471A-95D2-75670B8C4A01}"/>
    <cellStyle name="Migliaia 44 3 3 4 2 3" xfId="45063" xr:uid="{332620E8-49CF-4B1F-8CAB-8791E58FBDAB}"/>
    <cellStyle name="Migliaia 44 3 3 4 3" xfId="37153" xr:uid="{F7970C24-5621-4E82-A70B-05ACA1D8DC5D}"/>
    <cellStyle name="Migliaia 44 3 3 4 4" xfId="42412" xr:uid="{9B0CEB22-78E5-4191-9F4C-5D0E54B83952}"/>
    <cellStyle name="Migliaia 44 3 3 4 5" xfId="25097" xr:uid="{BB14E425-C5A8-4CC0-AA18-62FF6380548F}"/>
    <cellStyle name="Migliaia 44 3 3 5" xfId="25098" xr:uid="{F0D8F215-A8F4-444E-91A0-156C60720D0D}"/>
    <cellStyle name="Migliaia 44 3 3 5 2" xfId="34200" xr:uid="{29C78F79-6AFA-49F8-BB13-29C0AD725EEF}"/>
    <cellStyle name="Migliaia 44 3 3 5 2 2" xfId="39762" xr:uid="{2D532BBE-92DB-4BD1-AAD4-87A786CB2F2A}"/>
    <cellStyle name="Migliaia 44 3 3 5 2 3" xfId="45064" xr:uid="{C19FB828-CF7C-476E-8F6E-5A932EC12DF7}"/>
    <cellStyle name="Migliaia 44 3 3 5 3" xfId="37154" xr:uid="{111687A4-3951-4CFE-B470-133520E7DD3C}"/>
    <cellStyle name="Migliaia 44 3 3 5 4" xfId="42413" xr:uid="{FDC8A997-AFB4-4B0B-AC67-406159030F78}"/>
    <cellStyle name="Migliaia 44 3 3 6" xfId="34197" xr:uid="{05479C39-857D-4006-9903-DE94D0794D40}"/>
    <cellStyle name="Migliaia 44 3 3 6 2" xfId="39758" xr:uid="{1F81EE7B-0C1B-479E-8E2E-BAE9554D5446}"/>
    <cellStyle name="Migliaia 44 3 3 6 3" xfId="45060" xr:uid="{3E7430DB-4C59-4C8A-A001-16F5A9B31AB2}"/>
    <cellStyle name="Migliaia 44 3 3 7" xfId="37151" xr:uid="{6903BEFE-A182-48F4-8C51-08405D06D680}"/>
    <cellStyle name="Migliaia 44 3 3 8" xfId="42409" xr:uid="{9E5767DB-CD3F-40CB-87AC-D784075D6598}"/>
    <cellStyle name="Migliaia 44 3 3 9" xfId="16608" xr:uid="{537A3BAE-7D70-4CDD-BB25-9FF7647C2BEF}"/>
    <cellStyle name="Migliaia 44 3 4" xfId="3720" xr:uid="{AF33F740-0144-403E-8DE8-9F5640CCEE60}"/>
    <cellStyle name="Migliaia 44 3 4 2" xfId="5446" xr:uid="{173D0A7A-6705-42BC-8CF2-4742FE979774}"/>
    <cellStyle name="Migliaia 44 3 4 2 2" xfId="14461" xr:uid="{A4DF7D1E-7FD4-4D68-A8DF-702EA5A65EC1}"/>
    <cellStyle name="Migliaia 44 3 4 2 3" xfId="18133" xr:uid="{64ACF327-6074-40EE-B3BA-D64CE1883201}"/>
    <cellStyle name="Migliaia 44 3 4 2 4" xfId="20700" xr:uid="{AA58EA23-DF28-4024-8011-80AFE78D7098}"/>
    <cellStyle name="Migliaia 44 3 4 2 5" xfId="32432" xr:uid="{475BDA86-DD9B-4A9D-AD2E-52CA515E4B19}"/>
    <cellStyle name="Migliaia 44 3 4 2 6" xfId="16611" xr:uid="{6100AAE0-4F78-4B29-A362-090705D8FFA8}"/>
    <cellStyle name="Migliaia 44 3 4 2 7" xfId="8884" xr:uid="{944BAD98-FD2A-4FF9-9571-2976991A4936}"/>
    <cellStyle name="Migliaia 44 3 4 3" xfId="6632" xr:uid="{72EB8694-7FEE-4D7B-AAF3-7D8B1BAC25BC}"/>
    <cellStyle name="Migliaia 44 3 4 3 2" xfId="35391" xr:uid="{12ACAD47-B94E-4285-A68E-397C3FE379FF}"/>
    <cellStyle name="Migliaia 44 3 4 3 2 2" xfId="40551" xr:uid="{07A75CC3-EF3A-48F5-BCDA-E8E2F6705B51}"/>
    <cellStyle name="Migliaia 44 3 4 3 2 3" xfId="45853" xr:uid="{575DEFC5-B06E-454C-B675-D25AED47226F}"/>
    <cellStyle name="Migliaia 44 3 4 3 3" xfId="37900" xr:uid="{2A74C8F5-43A6-44DC-94DF-202761129431}"/>
    <cellStyle name="Migliaia 44 3 4 3 4" xfId="43202" xr:uid="{942B5F2B-16DF-4BB9-A2F4-0C81F1C20535}"/>
    <cellStyle name="Migliaia 44 3 4 3 5" xfId="13709" xr:uid="{50E72A2F-953C-4308-A4A0-C4A33A78E5C0}"/>
    <cellStyle name="Migliaia 44 3 4 4" xfId="20699" xr:uid="{09606D36-F6D8-4F2B-92CB-D4649A144E3D}"/>
    <cellStyle name="Migliaia 44 3 4 4 2" xfId="39763" xr:uid="{5CF6B0A3-7195-4BAE-B80A-FF3491D2296A}"/>
    <cellStyle name="Migliaia 44 3 4 4 3" xfId="45065" xr:uid="{4EE2B89B-A882-4A77-AC11-114E43379586}"/>
    <cellStyle name="Migliaia 44 3 4 4 4" xfId="34201" xr:uid="{D57B0A9C-7349-4E3D-830A-84900E2350A8}"/>
    <cellStyle name="Migliaia 44 3 4 5" xfId="37155" xr:uid="{4335E90B-FE1F-4AED-BAFE-B842FAD11B1F}"/>
    <cellStyle name="Migliaia 44 3 4 6" xfId="42414" xr:uid="{361A997E-3E5B-4438-B1A4-C608DEBA49D7}"/>
    <cellStyle name="Migliaia 44 3 4 7" xfId="16610" xr:uid="{46664480-FAAC-4E1B-B73D-3322F4BE499A}"/>
    <cellStyle name="Migliaia 44 3 4 8" xfId="7694" xr:uid="{5FD6CB5D-C6C0-42E7-B366-CAEDE923D10C}"/>
    <cellStyle name="Migliaia 44 3 5" xfId="3721" xr:uid="{0B522378-E586-43EB-818D-2A491ADD29E9}"/>
    <cellStyle name="Migliaia 44 3 5 2" xfId="5447" xr:uid="{84000AE2-4D60-455E-9FE7-E5398ED7EE40}"/>
    <cellStyle name="Migliaia 44 3 5 2 2" xfId="35392" xr:uid="{B40FCCC0-7C13-4A58-9C7B-B19213FBAD7E}"/>
    <cellStyle name="Migliaia 44 3 5 2 2 2" xfId="40552" xr:uid="{AEDC7F82-6DB1-4541-8AA2-F37CE472EBFA}"/>
    <cellStyle name="Migliaia 44 3 5 2 2 3" xfId="45854" xr:uid="{734B6949-0F60-4D88-BEAE-505A62C163C8}"/>
    <cellStyle name="Migliaia 44 3 5 2 3" xfId="37901" xr:uid="{F79F5A23-0C35-46F8-871C-4F37E10FE7B4}"/>
    <cellStyle name="Migliaia 44 3 5 2 4" xfId="43203" xr:uid="{54AA181D-2BAA-4181-9EB2-A975F64C7DD8}"/>
    <cellStyle name="Migliaia 44 3 5 2 5" xfId="14295" xr:uid="{29CF4C3F-E8FE-441C-8851-29D89D4CEBE5}"/>
    <cellStyle name="Migliaia 44 3 5 3" xfId="6633" xr:uid="{AEA74206-CA55-40DB-B82C-46250188FAA6}"/>
    <cellStyle name="Migliaia 44 3 5 3 2" xfId="39764" xr:uid="{5678D900-2EB4-46FE-BF3B-F5FD0ADAFE01}"/>
    <cellStyle name="Migliaia 44 3 5 3 3" xfId="45066" xr:uid="{25899101-768C-4362-8633-18245B204DAF}"/>
    <cellStyle name="Migliaia 44 3 5 3 4" xfId="34202" xr:uid="{70DB9935-9FFA-4814-8C4A-4B8A3CE1E21C}"/>
    <cellStyle name="Migliaia 44 3 5 3 5" xfId="20701" xr:uid="{9A0F9F40-AE43-469F-BE98-35A40D3C341D}"/>
    <cellStyle name="Migliaia 44 3 5 4" xfId="37156" xr:uid="{C29B3F41-044B-47D6-8107-2ECADA207EEC}"/>
    <cellStyle name="Migliaia 44 3 5 5" xfId="42415" xr:uid="{DE1F5FA3-E79C-40A9-B86A-5F2177FC30C0}"/>
    <cellStyle name="Migliaia 44 3 5 6" xfId="16612" xr:uid="{98B9F411-6EB0-4493-BCDF-16B980B8B1AF}"/>
    <cellStyle name="Migliaia 44 3 5 7" xfId="8357" xr:uid="{0E7BB83C-E6D5-4031-B770-86C86DC48501}"/>
    <cellStyle name="Migliaia 44 3 6" xfId="5442" xr:uid="{3EEFC3D4-2C66-4584-8D4A-860EF4388484}"/>
    <cellStyle name="Migliaia 44 3 6 2" xfId="14000" xr:uid="{3E379953-BA96-4E81-A208-959496E8CF21}"/>
    <cellStyle name="Migliaia 44 3 6 2 2" xfId="39765" xr:uid="{1F8CABC8-CE63-4F4A-B94D-0A831CBBED8D}"/>
    <cellStyle name="Migliaia 44 3 6 2 3" xfId="45067" xr:uid="{A178D84F-4A04-4496-B04D-F895B8FE8329}"/>
    <cellStyle name="Migliaia 44 3 6 3" xfId="18290" xr:uid="{DFA0BFA5-3FB9-49B8-A2EC-6582CEF25699}"/>
    <cellStyle name="Migliaia 44 3 6 4" xfId="20702" xr:uid="{100DB960-6333-4EB6-99FF-3A030BB4758F}"/>
    <cellStyle name="Migliaia 44 3 6 4 2" xfId="42416" xr:uid="{355E7388-C344-4F30-9625-CAB25584D9E6}"/>
    <cellStyle name="Migliaia 44 3 6 5" xfId="16613" xr:uid="{EF25E997-7DF6-42B0-AAAB-F0D257721C8A}"/>
    <cellStyle name="Migliaia 44 3 6 6" xfId="7976" xr:uid="{866A2EF3-9A12-44AD-924D-B416DF1743F1}"/>
    <cellStyle name="Migliaia 44 3 7" xfId="6628" xr:uid="{55B4266E-D3C1-413C-9139-63CD568310AD}"/>
    <cellStyle name="Migliaia 44 3 7 2" xfId="34203" xr:uid="{BD21876C-3F8A-4B2C-8953-5FD735D10F0C}"/>
    <cellStyle name="Migliaia 44 3 7 2 2" xfId="39766" xr:uid="{39A78412-2AAC-450C-94B9-5699F747F83B}"/>
    <cellStyle name="Migliaia 44 3 7 2 3" xfId="45068" xr:uid="{568A4226-78D4-421A-88EA-4C9E769FDDDF}"/>
    <cellStyle name="Migliaia 44 3 7 3" xfId="37157" xr:uid="{4404E111-0D53-4E8A-802E-22ADD0EAC5E8}"/>
    <cellStyle name="Migliaia 44 3 7 4" xfId="42417" xr:uid="{7FEC17CB-DC28-418C-91D9-14008645EFC9}"/>
    <cellStyle name="Migliaia 44 3 7 5" xfId="11531" xr:uid="{25606D7E-4E2A-4AD9-B1B0-B89A57D0D5F3}"/>
    <cellStyle name="Migliaia 44 3 8" xfId="3716" xr:uid="{5EC787BA-4D6C-42C2-99E6-631453E03DE8}"/>
    <cellStyle name="Migliaia 44 3 8 2" xfId="34204" xr:uid="{B40A5357-340D-46C9-BFEE-375DB67C5442}"/>
    <cellStyle name="Migliaia 44 3 8 2 2" xfId="39767" xr:uid="{52ED2925-1961-4E11-A6EA-F1569C09C53F}"/>
    <cellStyle name="Migliaia 44 3 8 2 3" xfId="45069" xr:uid="{4D57276E-18BF-45A8-9852-2E03E66E268B}"/>
    <cellStyle name="Migliaia 44 3 8 3" xfId="37158" xr:uid="{726EA871-584C-4FAC-9F01-0D48D10D5D5C}"/>
    <cellStyle name="Migliaia 44 3 8 4" xfId="42418" xr:uid="{B0C898F8-22CF-4415-AC1A-FBB13446E96A}"/>
    <cellStyle name="Migliaia 44 3 8 5" xfId="25099" xr:uid="{1EDCF5FB-808F-421E-B23B-8B2FEE906CC2}"/>
    <cellStyle name="Migliaia 44 3 8 6" xfId="17313" xr:uid="{AE05D928-3506-47CE-A58D-C08F00E758DD}"/>
    <cellStyle name="Migliaia 44 3 9" xfId="20693" xr:uid="{4AB8EFAF-F417-4F78-A7FD-261A0AA7B14A}"/>
    <cellStyle name="Migliaia 44 4" xfId="1848" xr:uid="{00000000-0005-0000-0000-00001B040000}"/>
    <cellStyle name="Migliaia 44 4 2" xfId="1849" xr:uid="{00000000-0005-0000-0000-00001C040000}"/>
    <cellStyle name="Migliaia 44 4 2 2" xfId="5449" xr:uid="{8DD2AA22-2652-4242-BD9A-1F8296586DC6}"/>
    <cellStyle name="Migliaia 44 4 2 2 2" xfId="34205" xr:uid="{FE3FB68E-1436-44BA-9927-DC69C3FD8EE3}"/>
    <cellStyle name="Migliaia 44 4 2 2 2 2" xfId="39768" xr:uid="{03BFBE08-5DB5-4AA4-9E6F-957571FBAAE1}"/>
    <cellStyle name="Migliaia 44 4 2 2 2 3" xfId="45070" xr:uid="{6048DFDB-47BE-470E-8C4A-C32DBB01ECB6}"/>
    <cellStyle name="Migliaia 44 4 2 2 3" xfId="37159" xr:uid="{A5ECB326-65DC-4969-974F-4D9492D57C1A}"/>
    <cellStyle name="Migliaia 44 4 2 2 4" xfId="42419" xr:uid="{FD8C9492-5834-4C34-A38E-6B22C509D55A}"/>
    <cellStyle name="Migliaia 44 4 2 2 5" xfId="9184" xr:uid="{2677F580-784C-441C-A3AF-9307507E0519}"/>
    <cellStyle name="Migliaia 44 4 2 3" xfId="3723" xr:uid="{FDE08B28-0A17-43A8-B934-8F33F81E52E9}"/>
    <cellStyle name="Migliaia 44 4 2 3 2" xfId="34206" xr:uid="{505A79BD-C7A1-4AE6-BD9A-0F6D286F930D}"/>
    <cellStyle name="Migliaia 44 4 2 3 2 2" xfId="39769" xr:uid="{085B96AB-E2C8-4871-AB3E-AE90125E46E7}"/>
    <cellStyle name="Migliaia 44 4 2 3 2 3" xfId="45071" xr:uid="{0EDB73A1-E78B-40AC-864D-5D2B5B522C0C}"/>
    <cellStyle name="Migliaia 44 4 2 3 3" xfId="37160" xr:uid="{713616E1-4E9A-42FC-BF42-23B8826D1232}"/>
    <cellStyle name="Migliaia 44 4 2 3 4" xfId="42420" xr:uid="{6BC613D0-3644-47DE-9E3A-45BF36C7453B}"/>
    <cellStyle name="Migliaia 44 4 2 3 5" xfId="12041" xr:uid="{EA6993FD-D8DB-40F4-9E1E-743C549ED5B6}"/>
    <cellStyle name="Migliaia 44 4 2 4" xfId="11390" xr:uid="{4BD26477-30C2-4FBB-9C1E-E6AB2267B82D}"/>
    <cellStyle name="Migliaia 44 4 2 5" xfId="10926" xr:uid="{31D58768-C77A-4B47-82DB-1478056B22A8}"/>
    <cellStyle name="Migliaia 44 4 2 5 2" xfId="21561" xr:uid="{24FED794-7C0F-4227-8312-341358D8EF8A}"/>
    <cellStyle name="Migliaia 44 4 2 5 3" xfId="46649" xr:uid="{7BB45274-71D9-4C55-AB88-F11859EF1BB1}"/>
    <cellStyle name="Migliaia 44 4 2 5 4" xfId="50576" xr:uid="{20B441FD-702F-4F93-A8AE-D23639CCFA2A}"/>
    <cellStyle name="Migliaia 44 4 2 5 5" xfId="53592" xr:uid="{B427FDF6-2C25-48F4-B37F-A10FABA48208}"/>
    <cellStyle name="Migliaia 44 4 2 6" xfId="20704" xr:uid="{72494F94-6151-456A-B828-89B1D2ACD283}"/>
    <cellStyle name="Migliaia 44 4 2 7" xfId="25101" xr:uid="{65385FFB-AEF9-4F02-BC65-EE24E7949154}"/>
    <cellStyle name="Migliaia 44 4 2 8" xfId="8712" xr:uid="{0B6A4F7D-538D-4AB1-A793-0BCD011CEEE5}"/>
    <cellStyle name="Migliaia 44 4 3" xfId="5448" xr:uid="{927E3CEB-76A2-4C0F-8642-5F4F187E2C88}"/>
    <cellStyle name="Migliaia 44 4 3 2" xfId="18239" xr:uid="{20AD7DB2-7A43-4A7E-87D8-80E7E2ADA54C}"/>
    <cellStyle name="Migliaia 44 4 3 2 2" xfId="39770" xr:uid="{FC929D02-180C-482E-A0C7-BF720F283FD8}"/>
    <cellStyle name="Migliaia 44 4 3 2 3" xfId="45072" xr:uid="{2E3AE97A-1FF3-4597-AD8E-E31970BB58B0}"/>
    <cellStyle name="Migliaia 44 4 3 3" xfId="37161" xr:uid="{8BFC251F-49FC-4745-8F82-80A9C284FFAF}"/>
    <cellStyle name="Migliaia 44 4 3 4" xfId="42421" xr:uid="{ECD3EC9A-5109-42CA-BA76-3AED4FBCDA2B}"/>
    <cellStyle name="Migliaia 44 4 3 5" xfId="17311" xr:uid="{A5B7D536-EC07-4FA6-9866-D4671362AB8F}"/>
    <cellStyle name="Migliaia 44 4 3 6" xfId="9185" xr:uid="{4CBF72AB-A388-4BEB-B77C-D1F6FD112A66}"/>
    <cellStyle name="Migliaia 44 4 4" xfId="6634" xr:uid="{8FB85026-CE7E-4BB5-8FEA-AF23276BC979}"/>
    <cellStyle name="Migliaia 44 4 4 2" xfId="34207" xr:uid="{9665C257-262C-4FE3-BE77-C4B554247195}"/>
    <cellStyle name="Migliaia 44 4 4 2 2" xfId="39771" xr:uid="{D2607FA3-9D31-4FE7-A44F-E0936D357848}"/>
    <cellStyle name="Migliaia 44 4 4 2 3" xfId="45073" xr:uid="{F9F5BCB0-E4ED-44F3-9F0B-9758B3249C67}"/>
    <cellStyle name="Migliaia 44 4 4 3" xfId="37162" xr:uid="{05200463-51EA-49D0-9337-2980656F3FD7}"/>
    <cellStyle name="Migliaia 44 4 4 4" xfId="42422" xr:uid="{AB94BECC-D867-4023-8AD3-E41F264F5EE9}"/>
    <cellStyle name="Migliaia 44 4 4 5" xfId="12042" xr:uid="{EAF97073-B993-49AF-9945-CA4E0B1BF2DA}"/>
    <cellStyle name="Migliaia 44 4 5" xfId="3722" xr:uid="{59F3572B-9313-423A-A1AF-4B4018541B15}"/>
    <cellStyle name="Migliaia 44 4 5 2" xfId="34208" xr:uid="{C2C05EFE-F8D4-40F4-B2DC-382C811C8359}"/>
    <cellStyle name="Migliaia 44 4 5 2 2" xfId="39772" xr:uid="{9889FA51-76CC-4EA4-9178-6AE4EAC3344A}"/>
    <cellStyle name="Migliaia 44 4 5 2 3" xfId="45074" xr:uid="{A42D45D4-B381-4030-B27D-00DCC278E3FC}"/>
    <cellStyle name="Migliaia 44 4 5 3" xfId="37163" xr:uid="{1D34534B-9631-4754-91B4-128E5326A27C}"/>
    <cellStyle name="Migliaia 44 4 5 4" xfId="42423" xr:uid="{2F6BDE68-46CA-4875-A650-27B8F96DA1C8}"/>
    <cellStyle name="Migliaia 44 4 5 5" xfId="11389" xr:uid="{581FA83E-AFF5-48E0-95BA-D1ED41492DA8}"/>
    <cellStyle name="Migliaia 44 4 6" xfId="10925" xr:uid="{F2E1D25E-AA62-48B3-873C-9BB099E20FB6}"/>
    <cellStyle name="Migliaia 44 4 6 2" xfId="21560" xr:uid="{65A9F7D7-2D84-4502-9ACC-C28E909B1F79}"/>
    <cellStyle name="Migliaia 44 4 6 2 2" xfId="39773" xr:uid="{775FC090-EC8E-4EF6-9B23-17E951C1EDEF}"/>
    <cellStyle name="Migliaia 44 4 6 2 3" xfId="45075" xr:uid="{D5EAE920-7E4F-4D65-A492-D8B87007C6DB}"/>
    <cellStyle name="Migliaia 44 4 6 2 4" xfId="34209" xr:uid="{34875ECC-B65F-4CD6-A330-F92A85A6343A}"/>
    <cellStyle name="Migliaia 44 4 6 3" xfId="37164" xr:uid="{2F0CB3C0-5E51-487F-B2D5-059E29ADF9B2}"/>
    <cellStyle name="Migliaia 44 4 6 4" xfId="42424" xr:uid="{2CF355FF-8CA2-4B57-B1E5-9BF645719AA6}"/>
    <cellStyle name="Migliaia 44 4 6 5" xfId="25102" xr:uid="{F726B957-0F09-4E34-8E86-5BC079E5713E}"/>
    <cellStyle name="Migliaia 44 4 6 6" xfId="48265" xr:uid="{ADB060B3-E544-4E44-B7BD-E559F9248D9A}"/>
    <cellStyle name="Migliaia 44 4 6 7" xfId="50575" xr:uid="{B125ED72-C7CC-41AC-BCB8-550210E92FDE}"/>
    <cellStyle name="Migliaia 44 4 6 8" xfId="53591" xr:uid="{03D0DF0B-B9A8-42D6-9FA0-2F7466714028}"/>
    <cellStyle name="Migliaia 44 4 7" xfId="20703" xr:uid="{7CA85A8B-11E0-47C5-9167-DAB2B405E4D1}"/>
    <cellStyle name="Migliaia 44 4 7 2" xfId="34210" xr:uid="{C0EE8309-0F1C-4AD1-9C2C-8C1C945E6544}"/>
    <cellStyle name="Migliaia 44 4 7 2 2" xfId="39774" xr:uid="{5A6E74B2-E643-407C-90A9-E63278F69D05}"/>
    <cellStyle name="Migliaia 44 4 7 2 3" xfId="45076" xr:uid="{746597BC-B466-427F-9F4F-6B67A34B1AE3}"/>
    <cellStyle name="Migliaia 44 4 7 3" xfId="37165" xr:uid="{8440DFAB-106D-437C-99B4-953285C06F4A}"/>
    <cellStyle name="Migliaia 44 4 7 4" xfId="42425" xr:uid="{2F7A3132-01F3-428A-BD43-DE9421EC919D}"/>
    <cellStyle name="Migliaia 44 4 7 5" xfId="25103" xr:uid="{1333DCF3-CFCB-48E8-B983-03BAB33AA72B}"/>
    <cellStyle name="Migliaia 44 4 8" xfId="25100" xr:uid="{ADBF2E3A-4FB5-45AB-81F7-9554D546571B}"/>
    <cellStyle name="Migliaia 44 4 9" xfId="7522" xr:uid="{F2F93A9F-A1DC-4E4C-AF55-6F5920CD2129}"/>
    <cellStyle name="Migliaia 44 5" xfId="1850" xr:uid="{00000000-0005-0000-0000-00001D040000}"/>
    <cellStyle name="Migliaia 44 5 2" xfId="5450" xr:uid="{4E6E42EF-E27B-459B-B41A-9B4449054B5B}"/>
    <cellStyle name="Migliaia 44 5 2 2" xfId="18478" xr:uid="{7A1AFB66-F85C-4364-A031-112A588DD996}"/>
    <cellStyle name="Migliaia 44 5 2 2 2" xfId="39775" xr:uid="{2175ECD3-383B-4D11-883C-BCAE6A675328}"/>
    <cellStyle name="Migliaia 44 5 2 2 3" xfId="45077" xr:uid="{D4210010-CE8A-4BA0-8305-D1F92818E71F}"/>
    <cellStyle name="Migliaia 44 5 2 3" xfId="20706" xr:uid="{694CAF9C-C412-42D2-AA74-025C3448FEA7}"/>
    <cellStyle name="Migliaia 44 5 2 3 2" xfId="37166" xr:uid="{CE300E90-9A6C-445A-8B80-07CE29DFBD38}"/>
    <cellStyle name="Migliaia 44 5 2 4" xfId="42426" xr:uid="{79992522-403A-4BFC-872D-E7BD588E5160}"/>
    <cellStyle name="Migliaia 44 5 2 5" xfId="16614" xr:uid="{0B6BA713-A1A0-403E-B02A-9E6564952FA4}"/>
    <cellStyle name="Migliaia 44 5 2 6" xfId="8713" xr:uid="{DECBF57D-E45E-403F-8699-31CEF86F4C0D}"/>
    <cellStyle name="Migliaia 44 5 3" xfId="6635" xr:uid="{22BB5BC8-F2A8-4609-A595-51234E78F983}"/>
    <cellStyle name="Migliaia 44 5 3 2" xfId="34211" xr:uid="{A977745A-1609-4864-AF5F-A05866A44717}"/>
    <cellStyle name="Migliaia 44 5 3 2 2" xfId="39776" xr:uid="{EF7EC22C-AB3E-4F47-9B8E-47FE0CE7DF64}"/>
    <cellStyle name="Migliaia 44 5 3 2 3" xfId="45078" xr:uid="{3D05E8EA-E843-481C-9172-6984D9A2FBA6}"/>
    <cellStyle name="Migliaia 44 5 3 3" xfId="37167" xr:uid="{97A88EC7-67AD-4981-8E7E-4C47563BD10D}"/>
    <cellStyle name="Migliaia 44 5 3 4" xfId="42427" xr:uid="{18C626EF-EE18-4739-ACC7-17475D54A451}"/>
    <cellStyle name="Migliaia 44 5 3 5" xfId="11391" xr:uid="{A7E7D77A-3C1B-4C52-89B4-3EB83D5CFEBE}"/>
    <cellStyle name="Migliaia 44 5 4" xfId="3724" xr:uid="{B1B9CAE4-A201-40C2-AFD1-274C107521F9}"/>
    <cellStyle name="Migliaia 44 5 4 2" xfId="21562" xr:uid="{37746872-E93F-4360-9299-3A828A39EAA8}"/>
    <cellStyle name="Migliaia 44 5 4 2 2" xfId="39777" xr:uid="{2F033F72-5647-488B-8377-193CC1AEE448}"/>
    <cellStyle name="Migliaia 44 5 4 2 3" xfId="45079" xr:uid="{F8991CFE-DED0-45FC-9A60-9E6E435D58E4}"/>
    <cellStyle name="Migliaia 44 5 4 2 4" xfId="34212" xr:uid="{3FEEED97-07DC-4963-B865-F006579AF0F0}"/>
    <cellStyle name="Migliaia 44 5 4 3" xfId="37168" xr:uid="{76862522-164D-4991-842D-C447791B0832}"/>
    <cellStyle name="Migliaia 44 5 4 4" xfId="42428" xr:uid="{73300D37-B649-456A-AD7C-1E8D207D04C2}"/>
    <cellStyle name="Migliaia 44 5 4 5" xfId="25106" xr:uid="{8579DAC7-34D3-48FE-B088-0945FEB3E467}"/>
    <cellStyle name="Migliaia 44 5 4 6" xfId="47144" xr:uid="{E04C95D9-66B7-42AC-98BE-C396DE564BC3}"/>
    <cellStyle name="Migliaia 44 5 4 7" xfId="50577" xr:uid="{C3B863F9-6BEA-4EDE-8F13-FDD8612E54CA}"/>
    <cellStyle name="Migliaia 44 5 4 8" xfId="53593" xr:uid="{83E82749-3A77-43C7-94DB-CB44B41C8CC5}"/>
    <cellStyle name="Migliaia 44 5 4 9" xfId="10927" xr:uid="{FE06348E-4502-417B-9A08-AA343CDAA203}"/>
    <cellStyle name="Migliaia 44 5 5" xfId="20705" xr:uid="{C28E810E-0973-4059-9C30-F7B07D383AD1}"/>
    <cellStyle name="Migliaia 44 5 5 2" xfId="34213" xr:uid="{54278351-DF2C-41D5-A0C8-901ACFE3F21C}"/>
    <cellStyle name="Migliaia 44 5 5 2 2" xfId="39778" xr:uid="{90BB5106-C184-4E11-8494-2FC11049B34F}"/>
    <cellStyle name="Migliaia 44 5 5 2 3" xfId="45080" xr:uid="{80EB85CD-4309-459B-A956-AB8AB12791C0}"/>
    <cellStyle name="Migliaia 44 5 5 3" xfId="37169" xr:uid="{1A2916C2-FBA7-4250-9DE2-CF8AF7526543}"/>
    <cellStyle name="Migliaia 44 5 5 4" xfId="42429" xr:uid="{9F15883F-747D-4658-959F-562BEE87155F}"/>
    <cellStyle name="Migliaia 44 5 5 5" xfId="25107" xr:uid="{93EBC265-331B-4CE8-97EF-210C7502B73B}"/>
    <cellStyle name="Migliaia 44 5 6" xfId="25108" xr:uid="{53AF20FC-3B2C-4F32-83D4-CA2D0E8CA2AB}"/>
    <cellStyle name="Migliaia 44 5 6 2" xfId="34214" xr:uid="{FDD68640-8EE7-4AA5-8238-D7DE177F7295}"/>
    <cellStyle name="Migliaia 44 5 6 2 2" xfId="39779" xr:uid="{B4701F5E-5E3F-49D2-8F0F-E7A9BFD1B6C7}"/>
    <cellStyle name="Migliaia 44 5 6 2 3" xfId="45081" xr:uid="{67036E29-0A02-4DF1-B847-9C26757CCD24}"/>
    <cellStyle name="Migliaia 44 5 6 3" xfId="37170" xr:uid="{10E74408-7940-4117-AF17-B8E71A94DE0F}"/>
    <cellStyle name="Migliaia 44 5 6 4" xfId="42430" xr:uid="{80C83B32-368A-4619-AC3E-7B6839C1872D}"/>
    <cellStyle name="Migliaia 44 5 7" xfId="25104" xr:uid="{6C0FC56C-1D4E-4369-BF9A-2F4738FF729A}"/>
    <cellStyle name="Migliaia 44 5 8" xfId="7523" xr:uid="{5AE19133-2A6A-4836-A1F0-2FF68BC94F65}"/>
    <cellStyle name="Migliaia 44 6" xfId="3725" xr:uid="{CF324E23-EDE7-4354-9AEB-A0CEC7FDF5B6}"/>
    <cellStyle name="Migliaia 44 6 2" xfId="5451" xr:uid="{4DB200AB-90A7-46BD-BA97-66E0989B388C}"/>
    <cellStyle name="Migliaia 44 6 2 2" xfId="9957" xr:uid="{487BB87C-C853-4B76-A8FB-282A9675EF8D}"/>
    <cellStyle name="Migliaia 44 6 2 3" xfId="18642" xr:uid="{728B8EE7-B157-4CD9-A002-531F9446FF78}"/>
    <cellStyle name="Migliaia 44 6 2 4" xfId="20708" xr:uid="{CB749558-0E4E-4826-A645-7017EB013495}"/>
    <cellStyle name="Migliaia 44 6 2 5" xfId="32433" xr:uid="{451BC901-4BE0-4F0B-A275-EC2E77C76025}"/>
    <cellStyle name="Migliaia 44 6 2 6" xfId="16616" xr:uid="{558F8D16-2B69-45FB-B791-7A6AA0F082A9}"/>
    <cellStyle name="Migliaia 44 6 2 7" xfId="8708" xr:uid="{41FC712F-140B-4FEE-98C0-FAA7D9FA5792}"/>
    <cellStyle name="Migliaia 44 6 3" xfId="6636" xr:uid="{E26374A9-8151-4087-88CF-21E30ADADF34}"/>
    <cellStyle name="Migliaia 44 6 3 2" xfId="35393" xr:uid="{BFFC31B7-2D03-4570-8C1D-9A61E56EF4D2}"/>
    <cellStyle name="Migliaia 44 6 3 2 2" xfId="40553" xr:uid="{822684EF-B8B8-483B-AD0B-5C7D9FFB0698}"/>
    <cellStyle name="Migliaia 44 6 3 2 3" xfId="45855" xr:uid="{A6737DC9-FEA6-4405-996C-365F9589661D}"/>
    <cellStyle name="Migliaia 44 6 3 3" xfId="37902" xr:uid="{F74A463A-239C-4CC7-A8F7-BB6EBC65EB2A}"/>
    <cellStyle name="Migliaia 44 6 3 4" xfId="43204" xr:uid="{78F52D41-61EB-4638-9669-84D451626749}"/>
    <cellStyle name="Migliaia 44 6 3 5" xfId="9720" xr:uid="{7907CBFF-FB45-4462-9F0F-27392BCA9535}"/>
    <cellStyle name="Migliaia 44 6 4" xfId="20707" xr:uid="{BC8EF088-9DB7-4881-BA52-1C25373D2D87}"/>
    <cellStyle name="Migliaia 44 6 4 2" xfId="39780" xr:uid="{2A195C70-6783-410E-ACAE-89DC90CFE612}"/>
    <cellStyle name="Migliaia 44 6 4 3" xfId="45082" xr:uid="{2300E7E5-04C2-4E1F-8E59-14B9EF50D04A}"/>
    <cellStyle name="Migliaia 44 6 4 4" xfId="34215" xr:uid="{0D5F5EC0-C84B-4127-BE1F-5283224FD488}"/>
    <cellStyle name="Migliaia 44 6 5" xfId="37171" xr:uid="{713C1E22-542F-45B4-BAA7-95B10A5AE682}"/>
    <cellStyle name="Migliaia 44 6 6" xfId="42431" xr:uid="{8F11D115-D676-4465-B411-1F88C3DF56AF}"/>
    <cellStyle name="Migliaia 44 6 7" xfId="16615" xr:uid="{809628F2-F373-4689-BE05-1232ECAC4C1C}"/>
    <cellStyle name="Migliaia 44 6 8" xfId="7518" xr:uid="{4392AC52-7483-4BD5-8924-EF5168E4380C}"/>
    <cellStyle name="Migliaia 44 7" xfId="3726" xr:uid="{14D4DD88-180E-4CD7-B583-DD33A3BFB54F}"/>
    <cellStyle name="Migliaia 44 7 2" xfId="5452" xr:uid="{F5C7DC81-4AA8-4935-A67C-701B272661B8}"/>
    <cellStyle name="Migliaia 44 7 2 2" xfId="35394" xr:uid="{361E4FFE-B302-44EF-B771-5ADC11EF8CD3}"/>
    <cellStyle name="Migliaia 44 7 2 2 2" xfId="40554" xr:uid="{146A8E0B-2D5E-46A4-AD04-AA11AE14FEF4}"/>
    <cellStyle name="Migliaia 44 7 2 2 3" xfId="45856" xr:uid="{32F9A35C-8AE1-456B-B646-2B4452FB565B}"/>
    <cellStyle name="Migliaia 44 7 2 3" xfId="37903" xr:uid="{849B5FC1-6354-4BEC-A58A-B74A27D65396}"/>
    <cellStyle name="Migliaia 44 7 2 4" xfId="43205" xr:uid="{4DC36DBA-0468-4386-95B9-1687F49A61CB}"/>
    <cellStyle name="Migliaia 44 7 2 5" xfId="14293" xr:uid="{AC03A435-D745-4FB7-AE42-B4A394420738}"/>
    <cellStyle name="Migliaia 44 7 3" xfId="6637" xr:uid="{F3C72B20-1445-4CC3-87A4-28E5E62066B0}"/>
    <cellStyle name="Migliaia 44 7 3 2" xfId="39781" xr:uid="{FC272549-1DD4-4825-96E3-A27F49E10FDC}"/>
    <cellStyle name="Migliaia 44 7 3 3" xfId="45083" xr:uid="{E4678D1D-213C-4E16-B36E-12FFC22FB450}"/>
    <cellStyle name="Migliaia 44 7 3 4" xfId="34216" xr:uid="{F5CE154C-3C28-4104-93EB-E188AFBF5E7B}"/>
    <cellStyle name="Migliaia 44 7 3 5" xfId="20709" xr:uid="{D3567147-4D8D-4703-86AD-06A37C6626A0}"/>
    <cellStyle name="Migliaia 44 7 4" xfId="37172" xr:uid="{CD2D7DB7-C675-4D01-B3BA-94E69147463F}"/>
    <cellStyle name="Migliaia 44 7 5" xfId="42432" xr:uid="{EEB9800A-3359-4D91-8F41-7BD4E804B203}"/>
    <cellStyle name="Migliaia 44 7 6" xfId="16617" xr:uid="{58298541-006D-43AD-9F8A-37762B149C2B}"/>
    <cellStyle name="Migliaia 44 7 7" xfId="8355" xr:uid="{4091219D-BE11-4F79-AB09-73F26F239575}"/>
    <cellStyle name="Migliaia 44 8" xfId="3727" xr:uid="{5E796974-C4BC-46FB-91D4-D41B3BB4EF58}"/>
    <cellStyle name="Migliaia 44 8 2" xfId="5453" xr:uid="{89D24175-CFDB-474D-AE7A-AED0EFF4A9C7}"/>
    <cellStyle name="Migliaia 44 8 2 2" xfId="35395" xr:uid="{88F5ACA7-08C5-4E81-A3C6-684D3C9F62BB}"/>
    <cellStyle name="Migliaia 44 8 2 2 2" xfId="40555" xr:uid="{AF633EFE-4219-48D7-AB70-89079FE53A20}"/>
    <cellStyle name="Migliaia 44 8 2 2 3" xfId="45857" xr:uid="{0C738855-409D-42D2-ACF6-61819E3B854E}"/>
    <cellStyle name="Migliaia 44 8 2 3" xfId="37904" xr:uid="{ADEDCA4F-1D5E-4CD4-BA75-F5C6AB07392B}"/>
    <cellStyle name="Migliaia 44 8 2 4" xfId="43206" xr:uid="{99D9B21C-780C-411A-A97D-59AD7E0DC944}"/>
    <cellStyle name="Migliaia 44 8 2 5" xfId="13998" xr:uid="{283935A5-892A-4825-B158-AFD5173C0170}"/>
    <cellStyle name="Migliaia 44 8 3" xfId="6638" xr:uid="{72EB42BE-18CE-4E08-816E-BE04A1D72D2C}"/>
    <cellStyle name="Migliaia 44 8 3 2" xfId="39782" xr:uid="{1E9982F9-CEEE-4EA3-822B-1CFAA9A1B122}"/>
    <cellStyle name="Migliaia 44 8 3 3" xfId="45084" xr:uid="{DFECC3E8-C503-4BD3-B784-0634D57F2945}"/>
    <cellStyle name="Migliaia 44 8 3 4" xfId="34217" xr:uid="{CD611326-C62D-4AC2-B36D-69D0F0BB6B20}"/>
    <cellStyle name="Migliaia 44 8 3 5" xfId="20710" xr:uid="{1006290D-DB25-4691-9F5D-C4B3B7C1C0CB}"/>
    <cellStyle name="Migliaia 44 8 4" xfId="37173" xr:uid="{AC75CC8A-13F7-4FB9-AB47-5E51ABD03A0C}"/>
    <cellStyle name="Migliaia 44 8 5" xfId="42433" xr:uid="{DC6901EC-D55D-4EE8-9C1F-6AA43893F89F}"/>
    <cellStyle name="Migliaia 44 8 6" xfId="16618" xr:uid="{266F34E5-4F0C-485D-A473-DA00D21046B5}"/>
    <cellStyle name="Migliaia 44 8 7" xfId="7974" xr:uid="{BF7754CF-A331-4911-8805-46C009290C5A}"/>
    <cellStyle name="Migliaia 44 9" xfId="5438" xr:uid="{4E77F5C1-8DAE-4B56-90A3-1C629B13C55F}"/>
    <cellStyle name="Migliaia 44 9 2" xfId="34218" xr:uid="{84FC19BA-1CB9-4008-B249-76B2ECB5F9B5}"/>
    <cellStyle name="Migliaia 44 9 2 2" xfId="39783" xr:uid="{D3546828-6B42-4595-B141-78E173E4B878}"/>
    <cellStyle name="Migliaia 44 9 2 3" xfId="45085" xr:uid="{626068B7-E48E-445F-BAEC-F60742F1FEAD}"/>
    <cellStyle name="Migliaia 44 9 3" xfId="37174" xr:uid="{330E2C1D-03F3-4517-A8CD-CFEA04B61558}"/>
    <cellStyle name="Migliaia 44 9 4" xfId="42434" xr:uid="{E7197999-D648-4F39-B417-1F2416EBABB9}"/>
    <cellStyle name="Migliaia 44 9 5" xfId="17211" xr:uid="{ADBC7CDF-294A-4863-9B01-53E7C9C570AB}"/>
    <cellStyle name="Migliaia 45" xfId="457" xr:uid="{00000000-0005-0000-0000-00001E040000}"/>
    <cellStyle name="Migliaia 45 10" xfId="6639" xr:uid="{CB4C5E9D-DB0B-402A-B61B-58D73708FDC3}"/>
    <cellStyle name="Migliaia 45 10 2" xfId="39784" xr:uid="{66CDC3D7-5918-4513-82B7-D4B88208F41A}"/>
    <cellStyle name="Migliaia 45 10 3" xfId="45086" xr:uid="{82DF6D56-1180-40AE-91E8-7F20DD24BBF5}"/>
    <cellStyle name="Migliaia 45 10 4" xfId="34219" xr:uid="{6E3F5C12-D477-45F2-BD74-A3423AD2E33A}"/>
    <cellStyle name="Migliaia 45 10 5" xfId="20711" xr:uid="{3DE811A1-6F37-4AC4-9064-94012F863504}"/>
    <cellStyle name="Migliaia 45 11" xfId="3728" xr:uid="{360FA787-C808-4CDB-954B-1A945C46AE26}"/>
    <cellStyle name="Migliaia 45 11 2" xfId="37175" xr:uid="{559D9D8C-4A1C-4DC1-91B5-2EFF08F71A75}"/>
    <cellStyle name="Migliaia 45 12" xfId="42435" xr:uid="{BB01DEC1-90B4-4626-8642-B25B201F63BC}"/>
    <cellStyle name="Migliaia 45 13" xfId="7159" xr:uid="{91A7E6B3-9DE8-48B3-85E1-C7DF8E14C32D}"/>
    <cellStyle name="Migliaia 45 2" xfId="458" xr:uid="{00000000-0005-0000-0000-00001F040000}"/>
    <cellStyle name="Migliaia 45 2 2" xfId="1851" xr:uid="{00000000-0005-0000-0000-000020040000}"/>
    <cellStyle name="Migliaia 45 2 2 2" xfId="5456" xr:uid="{88F7DDCA-EF5E-4A07-ABBC-3E9667C945B8}"/>
    <cellStyle name="Migliaia 45 2 2 2 2" xfId="14402" xr:uid="{7B7BB0D5-D698-4C07-8D2C-98BD39B1D7E4}"/>
    <cellStyle name="Migliaia 45 2 2 2 2 2" xfId="39785" xr:uid="{2EC8EB29-4B25-40EC-810A-7D18C6883EBC}"/>
    <cellStyle name="Migliaia 45 2 2 2 2 3" xfId="45087" xr:uid="{62A9A0E0-F95E-4C11-8044-76672D8ACBD7}"/>
    <cellStyle name="Migliaia 45 2 2 2 3" xfId="18479" xr:uid="{D23C11FD-FFD6-487A-8447-F461D0D2D640}"/>
    <cellStyle name="Migliaia 45 2 2 2 4" xfId="20714" xr:uid="{7A00DDB7-19C9-4E92-9506-89198520033E}"/>
    <cellStyle name="Migliaia 45 2 2 2 4 2" xfId="42436" xr:uid="{59DA8315-34EB-4C6F-9820-CB79BA1FCAD0}"/>
    <cellStyle name="Migliaia 45 2 2 2 5" xfId="16619" xr:uid="{43E534D8-ABD6-4DE5-A6C5-DF3908E19937}"/>
    <cellStyle name="Migliaia 45 2 2 2 6" xfId="8715" xr:uid="{EF2B23CC-CC8E-4EF0-A50C-07C1A3D4A53F}"/>
    <cellStyle name="Migliaia 45 2 2 3" xfId="6641" xr:uid="{910B35A0-D794-4DF7-8ADE-42D25A6AE7E8}"/>
    <cellStyle name="Migliaia 45 2 2 3 2" xfId="35396" xr:uid="{98FA80E6-38D6-4AB2-B88E-1FDFFF03DDC4}"/>
    <cellStyle name="Migliaia 45 2 2 3 2 2" xfId="40556" xr:uid="{1B0F17BB-C4BF-47E1-91AD-F22C4AE9D07C}"/>
    <cellStyle name="Migliaia 45 2 2 3 2 3" xfId="45858" xr:uid="{C33653E0-A198-4B26-AEB2-AAD2371A792B}"/>
    <cellStyle name="Migliaia 45 2 2 3 3" xfId="37905" xr:uid="{7DB8AA02-5D1D-416B-B31E-47524DB46140}"/>
    <cellStyle name="Migliaia 45 2 2 3 4" xfId="43207" xr:uid="{04408EC0-DC71-432A-977E-58673072D0C8}"/>
    <cellStyle name="Migliaia 45 2 2 3 5" xfId="11629" xr:uid="{B61F0270-85CD-4C9A-A3A7-CAE377BD8FCC}"/>
    <cellStyle name="Migliaia 45 2 2 4" xfId="3730" xr:uid="{86429CD3-D532-47BF-B58E-E1C62B77B5CE}"/>
    <cellStyle name="Migliaia 45 2 2 4 2" xfId="21563" xr:uid="{E80CC313-B42B-4DEF-A0BB-8C9626B0142B}"/>
    <cellStyle name="Migliaia 45 2 2 4 3" xfId="47856" xr:uid="{08A37D9B-427E-417E-8F97-E65295640573}"/>
    <cellStyle name="Migliaia 45 2 2 4 4" xfId="50578" xr:uid="{5F3CEE38-1047-4955-BAC3-0BC65C5E3FD6}"/>
    <cellStyle name="Migliaia 45 2 2 4 5" xfId="53594" xr:uid="{299F0FEB-EEEC-4C8A-AF17-8D3695741770}"/>
    <cellStyle name="Migliaia 45 2 2 4 6" xfId="10928" xr:uid="{D91CB6CC-8C0C-467E-982F-CD83E08EE83B}"/>
    <cellStyle name="Migliaia 45 2 2 5" xfId="20713" xr:uid="{372433FE-1BAE-409E-AE18-9CB7E91810B0}"/>
    <cellStyle name="Migliaia 45 2 2 6" xfId="25112" xr:uid="{91092F69-25A9-4BDD-B645-DB957F0195D3}"/>
    <cellStyle name="Migliaia 45 2 2 7" xfId="7525" xr:uid="{AB3D5AD9-7298-4743-A651-29E8010E0643}"/>
    <cellStyle name="Migliaia 45 2 3" xfId="3731" xr:uid="{6A8FC345-B4E5-4724-B61F-ED1BC940140B}"/>
    <cellStyle name="Migliaia 45 2 3 2" xfId="5457" xr:uid="{7EEE3B49-ED0F-4137-904D-DA37DA464E60}"/>
    <cellStyle name="Migliaia 45 2 3 2 2" xfId="35397" xr:uid="{DB83C961-55B1-4152-AFD7-B0693B459539}"/>
    <cellStyle name="Migliaia 45 2 3 2 2 2" xfId="40557" xr:uid="{CA2672BA-36B3-4D10-8F81-B168D3A05E2B}"/>
    <cellStyle name="Migliaia 45 2 3 2 2 3" xfId="45859" xr:uid="{E6037EFC-5D93-4FBE-8126-616711CF5749}"/>
    <cellStyle name="Migliaia 45 2 3 2 3" xfId="37906" xr:uid="{344B88A5-15F7-4FD5-B378-5DC133731939}"/>
    <cellStyle name="Migliaia 45 2 3 2 4" xfId="43208" xr:uid="{DED0BF62-CF63-4B76-9BEC-92273C0B4EAA}"/>
    <cellStyle name="Migliaia 45 2 3 2 5" xfId="14297" xr:uid="{A48DB99A-5974-4621-8025-7D35F10D9C22}"/>
    <cellStyle name="Migliaia 45 2 3 3" xfId="6642" xr:uid="{22B73B88-3A39-4166-B7EB-FF9993985D73}"/>
    <cellStyle name="Migliaia 45 2 3 3 2" xfId="39786" xr:uid="{F98E0055-2E94-40D7-9E12-22399950BEF8}"/>
    <cellStyle name="Migliaia 45 2 3 3 3" xfId="45088" xr:uid="{89F31F87-77F9-48FA-AC82-B9AFAAE91333}"/>
    <cellStyle name="Migliaia 45 2 3 3 4" xfId="34220" xr:uid="{C3953363-4B42-49AC-A46F-DBFC4F8CF9A3}"/>
    <cellStyle name="Migliaia 45 2 3 3 5" xfId="20715" xr:uid="{9ED77180-2063-4F70-8267-0AB42E3C3E04}"/>
    <cellStyle name="Migliaia 45 2 3 4" xfId="37177" xr:uid="{6C3D5455-FA1B-455D-B39E-FC9C63BDC34C}"/>
    <cellStyle name="Migliaia 45 2 3 5" xfId="42437" xr:uid="{95CD7692-3A11-49FE-8780-62CEDA5EBED6}"/>
    <cellStyle name="Migliaia 45 2 3 6" xfId="16620" xr:uid="{755C988A-DA55-4EA4-AC3A-FC30D7B1AED4}"/>
    <cellStyle name="Migliaia 45 2 3 7" xfId="8359" xr:uid="{23EC7A05-E422-4D04-AC8D-F49C18F70514}"/>
    <cellStyle name="Migliaia 45 2 4" xfId="5455" xr:uid="{C2416A9B-8DB7-4782-9264-1681D1062B36}"/>
    <cellStyle name="Migliaia 45 2 4 2" xfId="14002" xr:uid="{F72DC0DB-E00C-4137-A977-2CC298DBC4E0}"/>
    <cellStyle name="Migliaia 45 2 4 2 2" xfId="39787" xr:uid="{F17479EC-E972-4135-AB51-B78719B9EBE2}"/>
    <cellStyle name="Migliaia 45 2 4 2 3" xfId="45089" xr:uid="{5B526D6B-B386-462C-BF59-62AB28567290}"/>
    <cellStyle name="Migliaia 45 2 4 3" xfId="18024" xr:uid="{B80F02A4-CD4A-4880-9BB2-42F55D00CF46}"/>
    <cellStyle name="Migliaia 45 2 4 4" xfId="20716" xr:uid="{9E59E0E0-CB64-4BB7-95BA-7787BD5ACF2A}"/>
    <cellStyle name="Migliaia 45 2 4 4 2" xfId="42438" xr:uid="{DDF35E80-F8D0-4FFE-9E60-9E457B4A741E}"/>
    <cellStyle name="Migliaia 45 2 4 5" xfId="16621" xr:uid="{D56B3BBD-9F30-431C-8FC9-24EEE02AD483}"/>
    <cellStyle name="Migliaia 45 2 4 6" xfId="7979" xr:uid="{A8371B9A-3648-407F-81D2-F7272A200F30}"/>
    <cellStyle name="Migliaia 45 2 5" xfId="6640" xr:uid="{D59A5B6D-17E7-4CD8-96BA-08E86CFD4FEE}"/>
    <cellStyle name="Migliaia 45 2 5 2" xfId="34222" xr:uid="{7D597830-64E4-4DCD-9C6B-10428804D113}"/>
    <cellStyle name="Migliaia 45 2 5 2 2" xfId="39788" xr:uid="{90DE4638-FAC2-4D3C-8807-534666921BAE}"/>
    <cellStyle name="Migliaia 45 2 5 2 3" xfId="45090" xr:uid="{C886D7F1-DAD6-469C-85FB-CDB7955D6EA7}"/>
    <cellStyle name="Migliaia 45 2 5 3" xfId="37179" xr:uid="{7283F7B7-1CD5-417A-8A65-C9B57C9DF177}"/>
    <cellStyle name="Migliaia 45 2 5 4" xfId="42439" xr:uid="{4C804A67-818E-4BCF-9722-346B2723230F}"/>
    <cellStyle name="Migliaia 45 2 5 5" xfId="13142" xr:uid="{91F989F4-F70F-4920-90B5-12B984558B3A}"/>
    <cellStyle name="Migliaia 45 2 6" xfId="3729" xr:uid="{27D1F830-6362-4398-BF56-F877B072F498}"/>
    <cellStyle name="Migliaia 45 2 6 2" xfId="34223" xr:uid="{2950634D-A99B-45E9-AA5C-8C1640F1BCF7}"/>
    <cellStyle name="Migliaia 45 2 6 2 2" xfId="39789" xr:uid="{6DBE2081-7069-4A33-BD04-104C986563AE}"/>
    <cellStyle name="Migliaia 45 2 6 2 3" xfId="45091" xr:uid="{8885DC2E-F1BA-4B3A-9A73-EC48BD2AADF0}"/>
    <cellStyle name="Migliaia 45 2 6 3" xfId="37180" xr:uid="{EEB8E7D0-087A-4BE7-8F95-FAAA9E91D300}"/>
    <cellStyle name="Migliaia 45 2 6 4" xfId="42440" xr:uid="{BA4E6575-0DBC-4A4A-8F73-7856DF3B46F0}"/>
    <cellStyle name="Migliaia 45 2 6 5" xfId="25114" xr:uid="{0599041C-4D9D-4C50-8398-1397B34DF8CC}"/>
    <cellStyle name="Migliaia 45 2 6 6" xfId="20712" xr:uid="{5F54EC99-A227-4EC2-9153-67E74155D96B}"/>
    <cellStyle name="Migliaia 45 2 7" xfId="25111" xr:uid="{A60F0CAF-4A1C-4A7B-A197-92914179D0AA}"/>
    <cellStyle name="Migliaia 45 2 8" xfId="7160" xr:uid="{A47486D4-8A5C-40F7-B192-109EC2AE0F71}"/>
    <cellStyle name="Migliaia 45 3" xfId="459" xr:uid="{00000000-0005-0000-0000-000021040000}"/>
    <cellStyle name="Migliaia 45 3 10" xfId="25115" xr:uid="{7C0BD1EA-64B8-4D15-A2C7-0803045A551D}"/>
    <cellStyle name="Migliaia 45 3 11" xfId="16622" xr:uid="{95FCEDDF-65B1-4E32-B8CF-930214F119E8}"/>
    <cellStyle name="Migliaia 45 3 12" xfId="7161" xr:uid="{B6929698-D8AA-4E31-8174-8B2F93B464F2}"/>
    <cellStyle name="Migliaia 45 3 2" xfId="460" xr:uid="{00000000-0005-0000-0000-000022040000}"/>
    <cellStyle name="Migliaia 45 3 2 2" xfId="1852" xr:uid="{00000000-0005-0000-0000-000023040000}"/>
    <cellStyle name="Migliaia 45 3 2 2 2" xfId="5460" xr:uid="{BE2C701F-5550-42E7-B73F-C491CBAA30AE}"/>
    <cellStyle name="Migliaia 45 3 2 2 2 2" xfId="18480" xr:uid="{50502FD0-F02F-4405-B28C-F2EA65B580B7}"/>
    <cellStyle name="Migliaia 45 3 2 2 2 2 2" xfId="21880" xr:uid="{E7974282-DD09-4E10-ACED-533771A24D40}"/>
    <cellStyle name="Migliaia 45 3 2 2 2 2 2 2" xfId="39790" xr:uid="{028789F2-62E8-4102-BB87-8CD8065DF1C2}"/>
    <cellStyle name="Migliaia 45 3 2 2 2 2 3" xfId="45092" xr:uid="{00B05A83-BC02-4DA8-8A64-5797A565CD74}"/>
    <cellStyle name="Migliaia 45 3 2 2 2 2 4" xfId="34224" xr:uid="{1B9F9302-C23B-4CA7-89FB-1B0B5F5794CB}"/>
    <cellStyle name="Migliaia 45 3 2 2 2 3" xfId="37181" xr:uid="{B5580A1D-41BA-487B-B66B-9BAC594C33C8}"/>
    <cellStyle name="Migliaia 45 3 2 2 2 4" xfId="42441" xr:uid="{EA5866DB-5ED2-47D6-81B7-E359CB35044C}"/>
    <cellStyle name="Migliaia 45 3 2 2 2 5" xfId="47085" xr:uid="{AFCC765B-D9C4-4A22-95E6-99DB935D410D}"/>
    <cellStyle name="Migliaia 45 3 2 2 2 6" xfId="50908" xr:uid="{5840C98F-597B-408E-83DC-0CED955E6BBA}"/>
    <cellStyle name="Migliaia 45 3 2 2 2 7" xfId="53924" xr:uid="{438F0080-E747-4DE3-9DBF-3D1ED0583B7E}"/>
    <cellStyle name="Migliaia 45 3 2 2 2 8" xfId="17678" xr:uid="{4AF6FA34-60D9-4D5F-AE1F-AED4743662FA}"/>
    <cellStyle name="Migliaia 45 3 2 2 2 9" xfId="12043" xr:uid="{D41A1B06-E962-4377-AA48-9E56F6C09381}"/>
    <cellStyle name="Migliaia 45 3 2 2 3" xfId="6645" xr:uid="{B8EA651F-A8BC-400B-AC3D-30C5207B9EEE}"/>
    <cellStyle name="Migliaia 45 3 2 2 3 2" xfId="11570" xr:uid="{99250ABB-B485-4342-A92B-9CC83921D700}"/>
    <cellStyle name="Migliaia 45 3 2 2 4" xfId="3734" xr:uid="{747CD7D9-9F0A-48CA-AC5D-23795C1AFE49}"/>
    <cellStyle name="Migliaia 45 3 2 2 4 2" xfId="21564" xr:uid="{BE4D146A-BC87-48F9-A978-74357400179D}"/>
    <cellStyle name="Migliaia 45 3 2 2 4 3" xfId="47959" xr:uid="{E47726BC-9637-49A3-9409-DDEB510CA5B5}"/>
    <cellStyle name="Migliaia 45 3 2 2 4 4" xfId="50579" xr:uid="{67C6772C-C730-4136-84E9-4D5F04954D48}"/>
    <cellStyle name="Migliaia 45 3 2 2 4 5" xfId="53595" xr:uid="{70F96E7E-ECB9-43FF-AAA3-39CB23008A12}"/>
    <cellStyle name="Migliaia 45 3 2 2 4 6" xfId="10929" xr:uid="{EBD16809-388D-4585-8C05-46CA0DA7B7FA}"/>
    <cellStyle name="Migliaia 45 3 2 2 5" xfId="20719" xr:uid="{14DF95D7-10B4-462C-9C9E-2DB4B83098EE}"/>
    <cellStyle name="Migliaia 45 3 2 2 6" xfId="25117" xr:uid="{8760939D-FF77-49E2-86D2-1F7CCFFEF491}"/>
    <cellStyle name="Migliaia 45 3 2 2 7" xfId="8717" xr:uid="{1FADDA78-CAA7-4754-8BED-8CBFBF06C14E}"/>
    <cellStyle name="Migliaia 45 3 2 3" xfId="5459" xr:uid="{A766F0A4-BECE-447A-A59E-ABD5E4B7942A}"/>
    <cellStyle name="Migliaia 45 3 2 3 2" xfId="12403" xr:uid="{94DADAEF-9723-4A98-A861-BCFB9AD43910}"/>
    <cellStyle name="Migliaia 45 3 2 3 2 2" xfId="39791" xr:uid="{FA147434-5B72-4BD0-89A1-58F609398B76}"/>
    <cellStyle name="Migliaia 45 3 2 3 2 3" xfId="45093" xr:uid="{FFEF7BCA-FB70-4436-9006-0014F4D5C954}"/>
    <cellStyle name="Migliaia 45 3 2 3 2 4" xfId="34225" xr:uid="{F9C59EBA-182A-4BEB-82D0-6A18C7A08A4E}"/>
    <cellStyle name="Migliaia 45 3 2 3 3" xfId="12044" xr:uid="{637A2C40-8AA5-40F0-A5F4-1FD7EC1195B7}"/>
    <cellStyle name="Migliaia 45 3 2 3 4" xfId="20720" xr:uid="{EB863725-0092-4CE2-BDA3-EAE48C86AD09}"/>
    <cellStyle name="Migliaia 45 3 2 3 4 2" xfId="42442" xr:uid="{34EFACB2-2B7A-4669-8ACC-4E5B0203A8DE}"/>
    <cellStyle name="Migliaia 45 3 2 3 5" xfId="16623" xr:uid="{2AF31D6F-8EAB-46D1-8DF1-EF25C708B5A2}"/>
    <cellStyle name="Migliaia 45 3 2 3 6" xfId="7981" xr:uid="{9C77BEA7-1656-44A9-986B-25E35B46D707}"/>
    <cellStyle name="Migliaia 45 3 2 4" xfId="6644" xr:uid="{DFCC49E6-783B-4FF8-94DA-29C6F0094B2B}"/>
    <cellStyle name="Migliaia 45 3 2 4 2" xfId="18096" xr:uid="{675D3225-EF35-401B-9F48-D86E72037866}"/>
    <cellStyle name="Migliaia 45 3 2 4 2 2" xfId="39792" xr:uid="{677C5FE3-997D-48C8-8B56-A2B8EE49A411}"/>
    <cellStyle name="Migliaia 45 3 2 4 2 3" xfId="45094" xr:uid="{C16550D2-DAB3-489F-BA4F-4DE651C09DB4}"/>
    <cellStyle name="Migliaia 45 3 2 4 3" xfId="37183" xr:uid="{956DE352-2D6E-459B-A501-B6D8DAF064E0}"/>
    <cellStyle name="Migliaia 45 3 2 4 4" xfId="42443" xr:uid="{12C6C9A5-772A-4944-BDE8-E5491FC6BA8E}"/>
    <cellStyle name="Migliaia 45 3 2 4 5" xfId="17214" xr:uid="{95540FE3-DC7A-4073-9CBB-8FDFE37C8063}"/>
    <cellStyle name="Migliaia 45 3 2 4 6" xfId="11392" xr:uid="{A6ED6001-FEDE-43A0-85A6-A38BAE5F3940}"/>
    <cellStyle name="Migliaia 45 3 2 5" xfId="3733" xr:uid="{8F2C7B16-3A2E-4CC8-8E0A-D1F03CEB7E30}"/>
    <cellStyle name="Migliaia 45 3 2 5 2" xfId="34226" xr:uid="{BD865915-67B4-47A1-87E7-EED370C70361}"/>
    <cellStyle name="Migliaia 45 3 2 5 2 2" xfId="39793" xr:uid="{CD5EC84E-199E-4237-8FFC-5A60B422338B}"/>
    <cellStyle name="Migliaia 45 3 2 5 2 3" xfId="45095" xr:uid="{A982714C-0330-403C-B971-403E24E534F0}"/>
    <cellStyle name="Migliaia 45 3 2 5 3" xfId="37184" xr:uid="{FA8B1FD2-938D-4606-BADE-6E55ADCC80E8}"/>
    <cellStyle name="Migliaia 45 3 2 5 4" xfId="42444" xr:uid="{45479597-B476-4503-B950-14BD13F2AD06}"/>
    <cellStyle name="Migliaia 45 3 2 5 5" xfId="17309" xr:uid="{D5431EA5-6D96-4EB3-B89A-A2187CAC599E}"/>
    <cellStyle name="Migliaia 45 3 2 6" xfId="20718" xr:uid="{2C07C621-B629-4150-AF21-FB2F1ACD43CE}"/>
    <cellStyle name="Migliaia 45 3 2 6 2" xfId="34227" xr:uid="{4D50E917-6BB8-46AC-8FC6-1E1767D0958D}"/>
    <cellStyle name="Migliaia 45 3 2 6 2 2" xfId="39794" xr:uid="{88EC071B-3313-418B-BE4F-A728D1361C9A}"/>
    <cellStyle name="Migliaia 45 3 2 6 2 3" xfId="45096" xr:uid="{732E0E18-D6F6-40E1-B676-E08CF5128C0C}"/>
    <cellStyle name="Migliaia 45 3 2 6 3" xfId="37185" xr:uid="{BDFE6CF7-57E0-4ED8-9010-8EE3DC639FBC}"/>
    <cellStyle name="Migliaia 45 3 2 6 4" xfId="42445" xr:uid="{8C94AA93-7FA7-4EA3-90DA-89C926B27823}"/>
    <cellStyle name="Migliaia 45 3 2 6 5" xfId="25120" xr:uid="{C844152D-5A23-4521-BDDE-FF9D22C735F4}"/>
    <cellStyle name="Migliaia 45 3 2 7" xfId="25116" xr:uid="{C9E3B218-F3BC-4C2B-857B-104E0A6045F7}"/>
    <cellStyle name="Migliaia 45 3 2 8" xfId="7527" xr:uid="{EE6DA81A-8722-4504-B4AB-886D949F2706}"/>
    <cellStyle name="Migliaia 45 3 3" xfId="3735" xr:uid="{87AB3AED-A4E9-4E5B-B820-C06F19DC3C20}"/>
    <cellStyle name="Migliaia 45 3 3 10" xfId="7526" xr:uid="{C3A8D475-EC34-4C9A-8B72-A2F8F46E13EB}"/>
    <cellStyle name="Migliaia 45 3 3 2" xfId="5461" xr:uid="{BE2787CE-5D37-4F48-BF6E-6A3F2FA3B8C7}"/>
    <cellStyle name="Migliaia 45 3 3 2 2" xfId="9960" xr:uid="{370D1BA4-91A5-49EE-806E-06C82B7F49B5}"/>
    <cellStyle name="Migliaia 45 3 3 2 2 2" xfId="39796" xr:uid="{1E36631D-7A8D-4653-812E-693E70877CAD}"/>
    <cellStyle name="Migliaia 45 3 3 2 2 3" xfId="45098" xr:uid="{25004DCE-2130-4765-83B3-BA223757ED12}"/>
    <cellStyle name="Migliaia 45 3 3 2 3" xfId="18240" xr:uid="{1B2A1D8D-357F-4397-B690-58A23B753C91}"/>
    <cellStyle name="Migliaia 45 3 3 2 4" xfId="20722" xr:uid="{527F6B9E-CD44-4F50-AFBE-D0FD321A6701}"/>
    <cellStyle name="Migliaia 45 3 3 2 4 2" xfId="42447" xr:uid="{C8DB6842-5EB0-4F33-9CE4-296140E5E289}"/>
    <cellStyle name="Migliaia 45 3 3 2 5" xfId="16625" xr:uid="{AFBD6098-2DB4-454C-BC24-F520093E31C1}"/>
    <cellStyle name="Migliaia 45 3 3 2 6" xfId="8716" xr:uid="{43DDEFDC-EDB1-4DB6-ADFF-845AA479F2E9}"/>
    <cellStyle name="Migliaia 45 3 3 3" xfId="6646" xr:uid="{B02DDF3B-00CC-4AC4-89C8-881B11D9C2EA}"/>
    <cellStyle name="Migliaia 45 3 3 3 2" xfId="34230" xr:uid="{D506240B-4182-40C1-8D60-521C3B7EC536}"/>
    <cellStyle name="Migliaia 45 3 3 3 2 2" xfId="39797" xr:uid="{B48FF1CA-423F-45F9-8979-3EDE3EC7FF6C}"/>
    <cellStyle name="Migliaia 45 3 3 3 2 3" xfId="45099" xr:uid="{1CD7F514-5C69-4396-853A-71B23A622061}"/>
    <cellStyle name="Migliaia 45 3 3 3 3" xfId="37188" xr:uid="{4036BA9C-1D3C-4499-B72A-F96EDC35D993}"/>
    <cellStyle name="Migliaia 45 3 3 3 4" xfId="42448" xr:uid="{62EDE648-8CD7-45D9-9FA3-75158CC442CF}"/>
    <cellStyle name="Migliaia 45 3 3 3 5" xfId="9723" xr:uid="{29EE7561-AEF8-451B-95A0-1F0EC79D1108}"/>
    <cellStyle name="Migliaia 45 3 3 4" xfId="20721" xr:uid="{220CEF73-65B9-4926-8433-BB17EE2A5DB1}"/>
    <cellStyle name="Migliaia 45 3 3 4 2" xfId="34231" xr:uid="{1C0FC007-6358-4FF9-8E5A-C8912B1A44C5}"/>
    <cellStyle name="Migliaia 45 3 3 4 2 2" xfId="39798" xr:uid="{E4E761C2-3D7B-42EE-9619-1108B806A28D}"/>
    <cellStyle name="Migliaia 45 3 3 4 2 3" xfId="45100" xr:uid="{A1793CD0-3EBD-46D7-9C1D-9B37CB2E3FCE}"/>
    <cellStyle name="Migliaia 45 3 3 4 3" xfId="37189" xr:uid="{B3AC9461-F74D-427B-8E48-2A75F2AA96D7}"/>
    <cellStyle name="Migliaia 45 3 3 4 4" xfId="42449" xr:uid="{183D56B0-14C8-4D39-A038-61C7C6611B72}"/>
    <cellStyle name="Migliaia 45 3 3 4 5" xfId="25121" xr:uid="{D22ECC61-323D-47A7-A26F-E590DCCF7322}"/>
    <cellStyle name="Migliaia 45 3 3 5" xfId="25122" xr:uid="{17AC6C59-B62D-4519-8327-C06EE0BE1AC6}"/>
    <cellStyle name="Migliaia 45 3 3 5 2" xfId="34232" xr:uid="{2CCC7965-98D0-41E0-B759-8111F0475038}"/>
    <cellStyle name="Migliaia 45 3 3 5 2 2" xfId="39799" xr:uid="{CE40BB23-3F9A-4922-93DA-B306D0F01005}"/>
    <cellStyle name="Migliaia 45 3 3 5 2 3" xfId="45101" xr:uid="{595A97F4-BA19-4AA8-A0A5-D4ADB0DEFD89}"/>
    <cellStyle name="Migliaia 45 3 3 5 3" xfId="37190" xr:uid="{C227CAF4-532A-4744-ABED-62E20761185B}"/>
    <cellStyle name="Migliaia 45 3 3 5 4" xfId="42450" xr:uid="{B2E646E1-D116-47DB-BD33-EA91D1180400}"/>
    <cellStyle name="Migliaia 45 3 3 6" xfId="34228" xr:uid="{1CCA2A4A-EAF0-4D14-AC40-893D980DDF98}"/>
    <cellStyle name="Migliaia 45 3 3 6 2" xfId="39795" xr:uid="{CB95168F-B420-4781-87C1-8BD5EEF128AB}"/>
    <cellStyle name="Migliaia 45 3 3 6 3" xfId="45097" xr:uid="{88AF4CE3-0680-4A76-BCC9-D3816B7ADDCE}"/>
    <cellStyle name="Migliaia 45 3 3 7" xfId="37186" xr:uid="{A4D690D1-66E7-43CE-A794-787AEF26B2AF}"/>
    <cellStyle name="Migliaia 45 3 3 8" xfId="42446" xr:uid="{A5AFAEE1-1654-4AF9-BEB4-B0A11B2C3DF6}"/>
    <cellStyle name="Migliaia 45 3 3 9" xfId="16624" xr:uid="{93F7703D-87DE-401D-ADCA-D9167170E828}"/>
    <cellStyle name="Migliaia 45 3 4" xfId="3736" xr:uid="{C0D1102E-0BD9-4CE7-9214-A63F183C73DD}"/>
    <cellStyle name="Migliaia 45 3 4 2" xfId="5462" xr:uid="{67491AEB-0A8E-4CAC-B321-FE81104E4818}"/>
    <cellStyle name="Migliaia 45 3 4 2 2" xfId="14462" xr:uid="{07A70A63-9CE1-450C-8482-542396D692F5}"/>
    <cellStyle name="Migliaia 45 3 4 2 3" xfId="18579" xr:uid="{CF2D1954-54F6-44E8-AAB6-167232A8FF1D}"/>
    <cellStyle name="Migliaia 45 3 4 2 4" xfId="20724" xr:uid="{3A8C5123-E8B6-4252-A10E-E3C67BE00FBE}"/>
    <cellStyle name="Migliaia 45 3 4 2 5" xfId="32435" xr:uid="{E6B9A436-5E31-4599-96A1-B80B28E4F37C}"/>
    <cellStyle name="Migliaia 45 3 4 2 6" xfId="16627" xr:uid="{F7469200-191A-4AE0-8B5A-A933F4974C66}"/>
    <cellStyle name="Migliaia 45 3 4 2 7" xfId="8885" xr:uid="{9B504185-4EF7-4547-B561-75B7BF979D58}"/>
    <cellStyle name="Migliaia 45 3 4 3" xfId="6647" xr:uid="{FF84C7C2-1871-447F-82B4-CADC2FF2D9CC}"/>
    <cellStyle name="Migliaia 45 3 4 3 2" xfId="35398" xr:uid="{4A0546EB-8DD4-42BA-9BD4-025677F7515A}"/>
    <cellStyle name="Migliaia 45 3 4 3 2 2" xfId="40558" xr:uid="{54C191E3-AF16-402E-8619-F0BCBA036867}"/>
    <cellStyle name="Migliaia 45 3 4 3 2 3" xfId="45860" xr:uid="{3ECA2AC2-3135-490F-A75D-FEBCE9D0A33B}"/>
    <cellStyle name="Migliaia 45 3 4 3 3" xfId="37907" xr:uid="{4E846CE6-8551-4E18-8AC9-2AC339803851}"/>
    <cellStyle name="Migliaia 45 3 4 3 4" xfId="43209" xr:uid="{2DC1DA25-6AD2-497C-BA2D-07ACD26AEF08}"/>
    <cellStyle name="Migliaia 45 3 4 3 5" xfId="13710" xr:uid="{09FD28DC-2A05-4EB2-9007-2807D9B8CF32}"/>
    <cellStyle name="Migliaia 45 3 4 4" xfId="20723" xr:uid="{80A2AD85-1A95-483F-8BB9-636672214D05}"/>
    <cellStyle name="Migliaia 45 3 4 4 2" xfId="39800" xr:uid="{8FDBE668-837D-4B0F-9219-2D7CCE3BA6E6}"/>
    <cellStyle name="Migliaia 45 3 4 4 3" xfId="45102" xr:uid="{C9074BF0-46E8-42B3-BB2F-D94CE449842A}"/>
    <cellStyle name="Migliaia 45 3 4 4 4" xfId="34233" xr:uid="{9403D04B-7108-4AC9-8221-C04F370F2AC1}"/>
    <cellStyle name="Migliaia 45 3 4 5" xfId="37191" xr:uid="{9FE0DB7D-7594-4E54-9C21-FC0FBF926DFD}"/>
    <cellStyle name="Migliaia 45 3 4 6" xfId="42451" xr:uid="{087AC798-F38D-45FA-8E04-3431665DB04D}"/>
    <cellStyle name="Migliaia 45 3 4 7" xfId="16626" xr:uid="{C6DBFE85-BCB9-44D8-B2FA-157526ACC819}"/>
    <cellStyle name="Migliaia 45 3 4 8" xfId="7695" xr:uid="{7740A718-6D75-4A15-9265-FB71B1F6901F}"/>
    <cellStyle name="Migliaia 45 3 5" xfId="3737" xr:uid="{8DCC063F-A2FC-4C0B-A9EE-9A42D165D1A7}"/>
    <cellStyle name="Migliaia 45 3 5 2" xfId="5463" xr:uid="{2E9A93E2-1CD2-4A38-B17B-4D42818A8DF9}"/>
    <cellStyle name="Migliaia 45 3 5 2 2" xfId="35399" xr:uid="{11E4E4C9-39D4-497F-B04A-2647AA65E566}"/>
    <cellStyle name="Migliaia 45 3 5 2 2 2" xfId="40559" xr:uid="{F13970E0-54DF-4A5F-9912-DFF877B5E2D7}"/>
    <cellStyle name="Migliaia 45 3 5 2 2 3" xfId="45861" xr:uid="{13481850-DACC-4F8B-9D4B-38E86BA86B65}"/>
    <cellStyle name="Migliaia 45 3 5 2 3" xfId="37908" xr:uid="{6EAE9652-58B3-4EE7-BDD1-F3055BAD608A}"/>
    <cellStyle name="Migliaia 45 3 5 2 4" xfId="43210" xr:uid="{E5405B0B-297D-455F-A6A1-4B5ED33759F3}"/>
    <cellStyle name="Migliaia 45 3 5 2 5" xfId="14298" xr:uid="{A696BB32-C558-4A0D-B1D2-B7A781A64A2E}"/>
    <cellStyle name="Migliaia 45 3 5 3" xfId="6648" xr:uid="{986F262D-8A60-48A5-8FF9-35A6173712D1}"/>
    <cellStyle name="Migliaia 45 3 5 3 2" xfId="39801" xr:uid="{E04CEBE5-0BDD-443A-BB74-69B29B11981E}"/>
    <cellStyle name="Migliaia 45 3 5 3 3" xfId="45103" xr:uid="{EB04BDEE-3328-4D86-AD5F-FAB64598D4EA}"/>
    <cellStyle name="Migliaia 45 3 5 3 4" xfId="34234" xr:uid="{15F6D9FB-542C-4785-980C-D1231BA9CB67}"/>
    <cellStyle name="Migliaia 45 3 5 3 5" xfId="20725" xr:uid="{44337DCD-1872-4B5B-BAEC-45400155B04B}"/>
    <cellStyle name="Migliaia 45 3 5 4" xfId="37192" xr:uid="{E5A441FC-180A-4FBA-8183-6B85F1C9B150}"/>
    <cellStyle name="Migliaia 45 3 5 5" xfId="42452" xr:uid="{90EDA9A5-7FCC-4AA3-ACAC-4C89340A100C}"/>
    <cellStyle name="Migliaia 45 3 5 6" xfId="16628" xr:uid="{C92159C3-D759-4B42-9BFE-8B50A7D11C69}"/>
    <cellStyle name="Migliaia 45 3 5 7" xfId="8360" xr:uid="{D0FCD5A2-C945-4F85-973B-5E1C55D46A3E}"/>
    <cellStyle name="Migliaia 45 3 6" xfId="5458" xr:uid="{E17BC920-A66D-4798-8763-18F7574402A1}"/>
    <cellStyle name="Migliaia 45 3 6 2" xfId="14003" xr:uid="{6021065D-7D9C-4620-B2B2-582AA8C28810}"/>
    <cellStyle name="Migliaia 45 3 6 2 2" xfId="39802" xr:uid="{45ECA847-875F-4918-8D91-1453B6BFB5C9}"/>
    <cellStyle name="Migliaia 45 3 6 2 3" xfId="45104" xr:uid="{ADDD94E0-456C-4678-8EBE-7B30525D8431}"/>
    <cellStyle name="Migliaia 45 3 6 3" xfId="18291" xr:uid="{D3BC4769-B187-4CB5-9EED-486164EA856C}"/>
    <cellStyle name="Migliaia 45 3 6 4" xfId="20726" xr:uid="{06739DEE-2482-4D2A-BC3C-683344AC9DE5}"/>
    <cellStyle name="Migliaia 45 3 6 4 2" xfId="42453" xr:uid="{E5D380B8-45FD-4477-9096-01FB562C3CF6}"/>
    <cellStyle name="Migliaia 45 3 6 5" xfId="16629" xr:uid="{F2200DE4-4047-4F5D-BAC7-C993A4F3D046}"/>
    <cellStyle name="Migliaia 45 3 6 6" xfId="7980" xr:uid="{2CE726F2-1110-4472-A5B8-252F9686163B}"/>
    <cellStyle name="Migliaia 45 3 7" xfId="6643" xr:uid="{EDCFE344-C2AD-4359-8EA1-DD7858ED757D}"/>
    <cellStyle name="Migliaia 45 3 7 2" xfId="34236" xr:uid="{A97D94E5-3560-459B-B368-199F0881643A}"/>
    <cellStyle name="Migliaia 45 3 7 2 2" xfId="39803" xr:uid="{A7AFB845-FC90-4BF2-A723-B0568AFA8175}"/>
    <cellStyle name="Migliaia 45 3 7 2 3" xfId="45105" xr:uid="{01109F6C-6B6F-456F-BE98-91665EDC0A8B}"/>
    <cellStyle name="Migliaia 45 3 7 3" xfId="37194" xr:uid="{3051F8B2-CAE1-43BC-B2B5-9425BE32336B}"/>
    <cellStyle name="Migliaia 45 3 7 4" xfId="42454" xr:uid="{9E062EB0-D5E1-438C-8C5E-FF225FDE2DCD}"/>
    <cellStyle name="Migliaia 45 3 7 5" xfId="11518" xr:uid="{44AED69B-5CA7-43C5-A9B1-0FC4A5649A0B}"/>
    <cellStyle name="Migliaia 45 3 8" xfId="3732" xr:uid="{3ABBACF6-F343-4BE6-8D60-6B581AED1DA7}"/>
    <cellStyle name="Migliaia 45 3 8 2" xfId="34237" xr:uid="{86D220F4-7689-4FA7-A447-718831632FAD}"/>
    <cellStyle name="Migliaia 45 3 8 2 2" xfId="39804" xr:uid="{365BF8C8-1C69-4413-B005-CE7EEFDAF94B}"/>
    <cellStyle name="Migliaia 45 3 8 2 3" xfId="45106" xr:uid="{D9981C0E-260B-4F1D-8D0E-EFEB5E6374B7}"/>
    <cellStyle name="Migliaia 45 3 8 3" xfId="37195" xr:uid="{A7A6D12F-876C-4AA3-B2CD-4C3371EDAE9C}"/>
    <cellStyle name="Migliaia 45 3 8 4" xfId="42455" xr:uid="{6CFB2E0F-2522-40F7-9BCD-95347DAFF07B}"/>
    <cellStyle name="Migliaia 45 3 8 5" xfId="25126" xr:uid="{2C9CF865-45F8-440C-AAD7-648039249D3C}"/>
    <cellStyle name="Migliaia 45 3 8 6" xfId="17310" xr:uid="{2BB9AE42-8220-47A9-81E7-BD455D6E6052}"/>
    <cellStyle name="Migliaia 45 3 9" xfId="20717" xr:uid="{2EC4ADD8-6F2B-43DB-A984-951F5636CA73}"/>
    <cellStyle name="Migliaia 45 4" xfId="1853" xr:uid="{00000000-0005-0000-0000-000024040000}"/>
    <cellStyle name="Migliaia 45 4 2" xfId="1854" xr:uid="{00000000-0005-0000-0000-000025040000}"/>
    <cellStyle name="Migliaia 45 4 2 2" xfId="5465" xr:uid="{A19FA925-73A8-4C77-836B-9ECD9943A7E9}"/>
    <cellStyle name="Migliaia 45 4 2 2 2" xfId="34238" xr:uid="{9922C7FC-36B1-4D7E-A50C-0947E45CB67B}"/>
    <cellStyle name="Migliaia 45 4 2 2 2 2" xfId="39805" xr:uid="{AFDCE943-1BC6-46C0-B42A-B9A3749F3492}"/>
    <cellStyle name="Migliaia 45 4 2 2 2 3" xfId="45107" xr:uid="{0DA012CE-2746-4FAD-BC5C-23CB05251E07}"/>
    <cellStyle name="Migliaia 45 4 2 2 3" xfId="37196" xr:uid="{070DC943-9F9A-4906-AFA0-08AF4244ADC8}"/>
    <cellStyle name="Migliaia 45 4 2 2 4" xfId="42456" xr:uid="{7C2FC211-A0D4-409C-A400-FB9DC28B4129}"/>
    <cellStyle name="Migliaia 45 4 2 2 5" xfId="9186" xr:uid="{669179BA-AF99-435C-8924-715750F91B39}"/>
    <cellStyle name="Migliaia 45 4 2 3" xfId="3739" xr:uid="{3A0F199E-214D-483B-A13E-5237C9BF53AD}"/>
    <cellStyle name="Migliaia 45 4 2 3 2" xfId="34239" xr:uid="{9055B643-DDD6-411C-9D6E-2FF2229BA8E1}"/>
    <cellStyle name="Migliaia 45 4 2 3 2 2" xfId="39806" xr:uid="{3CE6E19F-842E-4249-852C-F128CBE2874D}"/>
    <cellStyle name="Migliaia 45 4 2 3 2 3" xfId="45108" xr:uid="{ADF72078-63DD-4DAA-941E-C7636BBAA870}"/>
    <cellStyle name="Migliaia 45 4 2 3 3" xfId="37197" xr:uid="{992D6750-50EA-4AD8-93D6-D21841F6609A}"/>
    <cellStyle name="Migliaia 45 4 2 3 4" xfId="42457" xr:uid="{A01751A2-6151-4A56-ACC8-EA23323C69EA}"/>
    <cellStyle name="Migliaia 45 4 2 3 5" xfId="12045" xr:uid="{646792A6-1453-44AB-9C82-50DDA7853468}"/>
    <cellStyle name="Migliaia 45 4 2 4" xfId="11394" xr:uid="{A756B019-A0F4-4F8A-A66C-8A6D0128027B}"/>
    <cellStyle name="Migliaia 45 4 2 5" xfId="10931" xr:uid="{9FA1084A-63EB-4A27-8C5A-35978753A358}"/>
    <cellStyle name="Migliaia 45 4 2 5 2" xfId="21566" xr:uid="{B5EE4CB3-B6B7-4D2E-B6CF-6CAB1009B4D6}"/>
    <cellStyle name="Migliaia 45 4 2 5 3" xfId="47119" xr:uid="{5B32A75B-CB38-4213-8531-7743659AAC1A}"/>
    <cellStyle name="Migliaia 45 4 2 5 4" xfId="50581" xr:uid="{30397D28-E6C3-442F-B85B-6C46EDD8D4FA}"/>
    <cellStyle name="Migliaia 45 4 2 5 5" xfId="53597" xr:uid="{3C4C63A2-AEDA-4A2A-99AA-5E46066E204D}"/>
    <cellStyle name="Migliaia 45 4 2 6" xfId="20728" xr:uid="{EFD4A683-1A47-4DCA-924B-63C131CA62E9}"/>
    <cellStyle name="Migliaia 45 4 2 7" xfId="25128" xr:uid="{C2A6E085-ED68-4457-9295-796D23894D75}"/>
    <cellStyle name="Migliaia 45 4 2 8" xfId="8718" xr:uid="{C4ED253F-9DDB-48CC-B7A0-492B5755B51D}"/>
    <cellStyle name="Migliaia 45 4 3" xfId="5464" xr:uid="{A6D791CB-7226-4EBC-9337-25A7E4AE20FE}"/>
    <cellStyle name="Migliaia 45 4 3 2" xfId="18241" xr:uid="{3CBE9B00-3265-46C0-9475-430FF9AAE1DF}"/>
    <cellStyle name="Migliaia 45 4 3 2 2" xfId="39807" xr:uid="{609C0E27-9C4F-4905-B3B3-8B131F5D1096}"/>
    <cellStyle name="Migliaia 45 4 3 2 3" xfId="45109" xr:uid="{F1DA4B02-0C8C-4188-BCAA-19BB46A070A2}"/>
    <cellStyle name="Migliaia 45 4 3 3" xfId="37198" xr:uid="{DD954A36-78C4-46E3-A32D-128D76A8401D}"/>
    <cellStyle name="Migliaia 45 4 3 4" xfId="42458" xr:uid="{3B3535F4-CC5B-4CEA-AB05-82A1C28D9295}"/>
    <cellStyle name="Migliaia 45 4 3 5" xfId="17308" xr:uid="{F0FD3884-949A-45BF-9CEB-D4FDE51C7FBD}"/>
    <cellStyle name="Migliaia 45 4 3 6" xfId="9187" xr:uid="{ADFE7A5D-F744-4120-8F20-53C973EB86C7}"/>
    <cellStyle name="Migliaia 45 4 4" xfId="6649" xr:uid="{F803B11A-A649-49DF-8393-D44AC82BF769}"/>
    <cellStyle name="Migliaia 45 4 4 2" xfId="34240" xr:uid="{B1E8774A-8EDD-4C14-A527-C2B2E983DF4A}"/>
    <cellStyle name="Migliaia 45 4 4 2 2" xfId="39808" xr:uid="{B67CD498-5783-48F6-A753-748800C542FC}"/>
    <cellStyle name="Migliaia 45 4 4 2 3" xfId="45110" xr:uid="{54278422-80AD-4B1F-9DA1-A6A202DC4B90}"/>
    <cellStyle name="Migliaia 45 4 4 3" xfId="37199" xr:uid="{F5EAC6FA-E683-41C6-89E3-1EE509B22936}"/>
    <cellStyle name="Migliaia 45 4 4 4" xfId="42459" xr:uid="{1772222B-4FAC-4805-B8EA-251E70231A57}"/>
    <cellStyle name="Migliaia 45 4 4 5" xfId="12046" xr:uid="{6C191470-67FD-4144-AA34-18C0810297BF}"/>
    <cellStyle name="Migliaia 45 4 5" xfId="3738" xr:uid="{977BDE80-8F24-404B-BC20-4854FC8F22FB}"/>
    <cellStyle name="Migliaia 45 4 5 2" xfId="34241" xr:uid="{D3BC4D75-318C-4B47-8D38-4C77150DC94B}"/>
    <cellStyle name="Migliaia 45 4 5 2 2" xfId="39809" xr:uid="{C62BB664-E7FA-49A6-A0EA-9D91E498C456}"/>
    <cellStyle name="Migliaia 45 4 5 2 3" xfId="45111" xr:uid="{F26903B0-0DAA-4351-83CF-1D9BC9CEAB4D}"/>
    <cellStyle name="Migliaia 45 4 5 3" xfId="37200" xr:uid="{AB75E32A-8AC9-43F1-B469-C0AFE4A660BE}"/>
    <cellStyle name="Migliaia 45 4 5 4" xfId="42460" xr:uid="{59F773AD-54AB-44F3-BD10-6216BA6D2FB8}"/>
    <cellStyle name="Migliaia 45 4 5 5" xfId="11393" xr:uid="{EA5B949C-3AFF-4F09-B27A-8FB1B35AAFFE}"/>
    <cellStyle name="Migliaia 45 4 6" xfId="10930" xr:uid="{ECA5175E-36B6-469E-B17D-FBB033370444}"/>
    <cellStyle name="Migliaia 45 4 6 2" xfId="21565" xr:uid="{D20ABC73-D830-4437-AC44-631680AD2184}"/>
    <cellStyle name="Migliaia 45 4 6 2 2" xfId="39810" xr:uid="{FD0B24B5-8AE3-493F-9B8C-93617BFE75E7}"/>
    <cellStyle name="Migliaia 45 4 6 2 3" xfId="45112" xr:uid="{5C799CFC-070E-4B70-A0A0-92422B158E36}"/>
    <cellStyle name="Migliaia 45 4 6 2 4" xfId="34242" xr:uid="{99C975A1-E9BB-4A70-87A8-006285057A53}"/>
    <cellStyle name="Migliaia 45 4 6 3" xfId="37201" xr:uid="{510D5132-5DE4-4743-A6DE-97443A6D33D0}"/>
    <cellStyle name="Migliaia 45 4 6 4" xfId="42461" xr:uid="{52879D29-F391-489F-A7FA-7C16B656544E}"/>
    <cellStyle name="Migliaia 45 4 6 5" xfId="25132" xr:uid="{72C93969-0471-44E8-B5AC-3944390DA003}"/>
    <cellStyle name="Migliaia 45 4 6 6" xfId="48477" xr:uid="{6C2D15E5-D4C5-4280-AD9F-D0545A5DA43A}"/>
    <cellStyle name="Migliaia 45 4 6 7" xfId="50580" xr:uid="{EDCE24FC-706F-4315-A314-170E78913FD7}"/>
    <cellStyle name="Migliaia 45 4 6 8" xfId="53596" xr:uid="{D7812963-357A-498D-9087-0ECE2E8AF4CA}"/>
    <cellStyle name="Migliaia 45 4 7" xfId="20727" xr:uid="{0635AA40-7DAD-4F32-822C-B1DAA33EEE99}"/>
    <cellStyle name="Migliaia 45 4 7 2" xfId="34243" xr:uid="{5328FDA5-1675-48CE-8ADC-8EBB027A44E9}"/>
    <cellStyle name="Migliaia 45 4 7 2 2" xfId="39811" xr:uid="{7B21CE7C-5F89-4FAA-9B36-773A0163F7A4}"/>
    <cellStyle name="Migliaia 45 4 7 2 3" xfId="45113" xr:uid="{1C456E24-2C0C-4E72-853B-8FD601F4CEDE}"/>
    <cellStyle name="Migliaia 45 4 7 3" xfId="37202" xr:uid="{DE330603-0993-4703-989B-63CE8F3919DA}"/>
    <cellStyle name="Migliaia 45 4 7 4" xfId="42462" xr:uid="{8B923D09-89D6-475A-B54F-5BD4BB1B621A}"/>
    <cellStyle name="Migliaia 45 4 7 5" xfId="25133" xr:uid="{363242D6-9524-4CB7-92A4-38AC4E3D8358}"/>
    <cellStyle name="Migliaia 45 4 8" xfId="25127" xr:uid="{ECE7054D-1CB0-469D-AC04-81DF1D769DEF}"/>
    <cellStyle name="Migliaia 45 4 9" xfId="7528" xr:uid="{93293FDD-7888-4174-9720-D4F524FED94B}"/>
    <cellStyle name="Migliaia 45 5" xfId="1855" xr:uid="{00000000-0005-0000-0000-000026040000}"/>
    <cellStyle name="Migliaia 45 5 2" xfId="5466" xr:uid="{9406E960-03A3-4D04-BAF5-C29F5A07AE7F}"/>
    <cellStyle name="Migliaia 45 5 2 2" xfId="18481" xr:uid="{50E4E1C1-4CB0-43C8-ADB6-919873A76FCB}"/>
    <cellStyle name="Migliaia 45 5 2 2 2" xfId="39812" xr:uid="{0F99C936-2C0F-4978-946F-0DB3578C7985}"/>
    <cellStyle name="Migliaia 45 5 2 2 3" xfId="45114" xr:uid="{D49C5E82-C161-4B7E-83DA-9D0744A2BAD4}"/>
    <cellStyle name="Migliaia 45 5 2 3" xfId="20730" xr:uid="{9BA2E7B1-B9F9-4938-A45B-34264E2D1D1D}"/>
    <cellStyle name="Migliaia 45 5 2 3 2" xfId="37203" xr:uid="{EFFEF3FE-C4C2-4B9E-A1DC-59B514EF4F57}"/>
    <cellStyle name="Migliaia 45 5 2 4" xfId="42463" xr:uid="{F15990F6-C78B-4177-B5E4-D83D675A9726}"/>
    <cellStyle name="Migliaia 45 5 2 5" xfId="16630" xr:uid="{8EB14286-09B5-4DE8-8A54-4B15C3B8B27F}"/>
    <cellStyle name="Migliaia 45 5 2 6" xfId="8719" xr:uid="{834C45BD-6A96-45F3-A8BA-527D1761C02D}"/>
    <cellStyle name="Migliaia 45 5 3" xfId="6650" xr:uid="{7CFB10BC-54DA-4BB7-BD88-0033A14A8EAB}"/>
    <cellStyle name="Migliaia 45 5 3 2" xfId="34244" xr:uid="{CFE3165E-0241-45C1-A5A0-D6B67282F87D}"/>
    <cellStyle name="Migliaia 45 5 3 2 2" xfId="39813" xr:uid="{AAE948AB-8A77-45EB-B542-1439AB30A713}"/>
    <cellStyle name="Migliaia 45 5 3 2 3" xfId="45115" xr:uid="{496374FD-5DC1-44EA-8539-BD3724727451}"/>
    <cellStyle name="Migliaia 45 5 3 3" xfId="37204" xr:uid="{EE4E39DE-01E9-4374-A57F-573E254A4735}"/>
    <cellStyle name="Migliaia 45 5 3 4" xfId="42464" xr:uid="{37311EBA-0138-49BD-98B7-B8B92DF70D2D}"/>
    <cellStyle name="Migliaia 45 5 3 5" xfId="11395" xr:uid="{E8EEC1EF-9DAE-4726-AA3A-5FF97A5F21E5}"/>
    <cellStyle name="Migliaia 45 5 4" xfId="3740" xr:uid="{4329E875-D24C-488F-BFF9-C28865C5A93F}"/>
    <cellStyle name="Migliaia 45 5 4 2" xfId="21567" xr:uid="{C2CF2829-467E-4826-ACEC-837C6514E10D}"/>
    <cellStyle name="Migliaia 45 5 4 2 2" xfId="39814" xr:uid="{1371714C-D032-4DFF-90FF-0ED9FEC34B63}"/>
    <cellStyle name="Migliaia 45 5 4 2 3" xfId="45116" xr:uid="{BEF4DB5F-9B42-4860-99B5-2482EFA271B6}"/>
    <cellStyle name="Migliaia 45 5 4 2 4" xfId="34245" xr:uid="{2A57DE87-AE46-47B3-BA01-DF8726E7BE3B}"/>
    <cellStyle name="Migliaia 45 5 4 3" xfId="37205" xr:uid="{6493A185-B332-423E-8E72-460D3B010AFF}"/>
    <cellStyle name="Migliaia 45 5 4 4" xfId="42465" xr:uid="{CD8991CD-564C-4A59-802C-62C28FBB77F8}"/>
    <cellStyle name="Migliaia 45 5 4 5" xfId="25135" xr:uid="{04EA2A00-7D43-4B7D-B1FB-FCDA67692C44}"/>
    <cellStyle name="Migliaia 45 5 4 6" xfId="47426" xr:uid="{17CD3F9F-8559-4D71-9764-383A65703F1D}"/>
    <cellStyle name="Migliaia 45 5 4 7" xfId="50582" xr:uid="{B7E6DFFC-67A0-4058-80DE-9C108D91C191}"/>
    <cellStyle name="Migliaia 45 5 4 8" xfId="53598" xr:uid="{C3E462EA-DEAC-4D73-A496-BE3A813FEB9C}"/>
    <cellStyle name="Migliaia 45 5 4 9" xfId="10932" xr:uid="{70263C65-D144-4BEB-8DC6-F8FE7BAAB7F9}"/>
    <cellStyle name="Migliaia 45 5 5" xfId="20729" xr:uid="{C8EEC835-BE01-4C6B-AE47-1584369023B6}"/>
    <cellStyle name="Migliaia 45 5 5 2" xfId="34246" xr:uid="{F21CF628-A94C-4CFA-9872-C8BB9ADAEA1D}"/>
    <cellStyle name="Migliaia 45 5 5 2 2" xfId="39815" xr:uid="{AC9CDFB8-B764-4500-BD48-4561685604C2}"/>
    <cellStyle name="Migliaia 45 5 5 2 3" xfId="45117" xr:uid="{2D7953B6-ACC5-4050-B594-6CAD8E3B7B5F}"/>
    <cellStyle name="Migliaia 45 5 5 3" xfId="37206" xr:uid="{79B47CCE-6835-4BC0-9FBC-18ADB5DE7C15}"/>
    <cellStyle name="Migliaia 45 5 5 4" xfId="42466" xr:uid="{8E76CBCD-5662-416B-8574-3EE0D9591602}"/>
    <cellStyle name="Migliaia 45 5 5 5" xfId="25136" xr:uid="{92EE93E7-E03E-49D0-8A4B-D56F4B652F1F}"/>
    <cellStyle name="Migliaia 45 5 6" xfId="25137" xr:uid="{EDC7E65F-B3B8-49AB-9D2E-9EB11FCC61D2}"/>
    <cellStyle name="Migliaia 45 5 6 2" xfId="34247" xr:uid="{6B45AA86-7B35-4D43-B6FE-B1CD2D60387F}"/>
    <cellStyle name="Migliaia 45 5 6 2 2" xfId="39816" xr:uid="{1C402B77-F0C9-4CA0-B3F0-3B1B05D21735}"/>
    <cellStyle name="Migliaia 45 5 6 2 3" xfId="45118" xr:uid="{B34B63AE-5CC1-4D3E-AF28-2AB045BBF2DE}"/>
    <cellStyle name="Migliaia 45 5 6 3" xfId="37207" xr:uid="{B39B5CA9-482B-49CA-BC2A-63BF47354EC6}"/>
    <cellStyle name="Migliaia 45 5 6 4" xfId="42467" xr:uid="{7F76569F-49BE-439B-87F0-E3D11D101BF5}"/>
    <cellStyle name="Migliaia 45 5 7" xfId="25134" xr:uid="{921C0C15-B184-4209-A8AB-5B3BF9784498}"/>
    <cellStyle name="Migliaia 45 5 8" xfId="7529" xr:uid="{BE3AAF14-0C64-4D07-8B97-F8E5C99E81BC}"/>
    <cellStyle name="Migliaia 45 6" xfId="3741" xr:uid="{450938BB-9F5A-4E2C-A7C4-7181921BC508}"/>
    <cellStyle name="Migliaia 45 6 2" xfId="5467" xr:uid="{33C47DBF-1611-418E-A7A9-A0BDE21937DA}"/>
    <cellStyle name="Migliaia 45 6 2 2" xfId="9959" xr:uid="{D822049D-E6D0-4EAB-A722-E1BFF588ACB1}"/>
    <cellStyle name="Migliaia 45 6 2 3" xfId="18641" xr:uid="{413D7C8C-EAE4-4F33-BD32-148612B00CC7}"/>
    <cellStyle name="Migliaia 45 6 2 4" xfId="20732" xr:uid="{DEBD9671-ED7B-44CA-AF66-B5EB3B3BD741}"/>
    <cellStyle name="Migliaia 45 6 2 5" xfId="32438" xr:uid="{A396503A-1DD5-4D9E-8C5A-AD3D7149C9C1}"/>
    <cellStyle name="Migliaia 45 6 2 6" xfId="16632" xr:uid="{DED9508C-767B-4E65-B9E4-97024DEABEAE}"/>
    <cellStyle name="Migliaia 45 6 2 7" xfId="8714" xr:uid="{A3418D3A-7E5F-4377-A69A-D0C304366509}"/>
    <cellStyle name="Migliaia 45 6 3" xfId="6651" xr:uid="{55D62B0F-254E-4D2F-8B17-9C019BAA0D82}"/>
    <cellStyle name="Migliaia 45 6 3 2" xfId="35400" xr:uid="{380F3D45-719E-46F9-B14D-B1C7DE389E6D}"/>
    <cellStyle name="Migliaia 45 6 3 2 2" xfId="40560" xr:uid="{6952155B-678D-4BCF-86B7-21D492550AD3}"/>
    <cellStyle name="Migliaia 45 6 3 2 3" xfId="45862" xr:uid="{4ED6700F-A62E-4500-AA0B-8258F8FD946E}"/>
    <cellStyle name="Migliaia 45 6 3 3" xfId="37909" xr:uid="{50C467DB-85D0-4AC3-9F44-1809DBA69D71}"/>
    <cellStyle name="Migliaia 45 6 3 4" xfId="43211" xr:uid="{ED909338-FCBD-4953-BDDA-56EEAFE6E11B}"/>
    <cellStyle name="Migliaia 45 6 3 5" xfId="9722" xr:uid="{54D76FFD-D5E0-42EF-97C4-803BE89CF5A5}"/>
    <cellStyle name="Migliaia 45 6 4" xfId="20731" xr:uid="{E1238E69-932A-447F-BC7B-261DC591BBBF}"/>
    <cellStyle name="Migliaia 45 6 4 2" xfId="39817" xr:uid="{BF2A76B4-01D0-48D5-B0B1-6EE2CF655FBA}"/>
    <cellStyle name="Migliaia 45 6 4 3" xfId="45119" xr:uid="{15144446-C8D9-4918-B63E-9378D7646A25}"/>
    <cellStyle name="Migliaia 45 6 4 4" xfId="34248" xr:uid="{DED34DD1-D5DB-42A4-9B45-5B51485A3094}"/>
    <cellStyle name="Migliaia 45 6 5" xfId="37208" xr:uid="{A5283D05-30AE-4F24-9668-8E7B35840A82}"/>
    <cellStyle name="Migliaia 45 6 6" xfId="42468" xr:uid="{3ADD8D98-7D2D-4A82-818C-8AAF24F1CC99}"/>
    <cellStyle name="Migliaia 45 6 7" xfId="16631" xr:uid="{410C6538-E39D-4768-A063-3526F935C4C7}"/>
    <cellStyle name="Migliaia 45 6 8" xfId="7524" xr:uid="{787BBD76-BB1C-49AD-82F8-10DF6278732D}"/>
    <cellStyle name="Migliaia 45 7" xfId="3742" xr:uid="{9F506B05-3B13-4232-84CB-B1337D50D4BA}"/>
    <cellStyle name="Migliaia 45 7 2" xfId="5468" xr:uid="{066C1883-C6B9-4211-A12B-AC88EAF1B14F}"/>
    <cellStyle name="Migliaia 45 7 2 2" xfId="35401" xr:uid="{2895F71B-240F-4BFC-83B9-9CA6A5244A30}"/>
    <cellStyle name="Migliaia 45 7 2 2 2" xfId="40561" xr:uid="{AAAD7A7E-7ECE-4546-8863-6BAC7DDBD138}"/>
    <cellStyle name="Migliaia 45 7 2 2 3" xfId="45863" xr:uid="{EA49D6D3-BB28-4FAC-BEBA-654E26F28B7B}"/>
    <cellStyle name="Migliaia 45 7 2 3" xfId="37910" xr:uid="{E66BE94B-B34D-49A2-AEA8-22E1C29C0A11}"/>
    <cellStyle name="Migliaia 45 7 2 4" xfId="43212" xr:uid="{422E6E9E-C920-4608-AA44-EDA5DBC5A30A}"/>
    <cellStyle name="Migliaia 45 7 2 5" xfId="14296" xr:uid="{0F5B7DEC-0532-47A7-8858-11CE5FAAB7E6}"/>
    <cellStyle name="Migliaia 45 7 3" xfId="6652" xr:uid="{04A80393-4B6E-431C-A69F-FD25D45DD4AF}"/>
    <cellStyle name="Migliaia 45 7 3 2" xfId="39818" xr:uid="{73D1A1E2-8812-4E3F-97A4-5E71CC543887}"/>
    <cellStyle name="Migliaia 45 7 3 3" xfId="45120" xr:uid="{13DD975C-4907-466D-8EEE-528B35D0190D}"/>
    <cellStyle name="Migliaia 45 7 3 4" xfId="34249" xr:uid="{CD8F0C9D-B5C6-4E15-BE15-B428A942B9D1}"/>
    <cellStyle name="Migliaia 45 7 3 5" xfId="20733" xr:uid="{C2F73DE9-BAA1-4424-92EF-5DFDAA4D5780}"/>
    <cellStyle name="Migliaia 45 7 4" xfId="37209" xr:uid="{76B86065-2013-4311-BA65-F2997133EA54}"/>
    <cellStyle name="Migliaia 45 7 5" xfId="42469" xr:uid="{DF598FEF-360E-4B84-A3EB-8A05B35C5BF1}"/>
    <cellStyle name="Migliaia 45 7 6" xfId="16633" xr:uid="{E1D5C459-E3AA-45E4-8662-33C9EEE4AED6}"/>
    <cellStyle name="Migliaia 45 7 7" xfId="8358" xr:uid="{33972E4E-9565-4650-A39B-2307618139FB}"/>
    <cellStyle name="Migliaia 45 8" xfId="3743" xr:uid="{605F0FA4-7C77-4BF0-A639-D7734D66A3CB}"/>
    <cellStyle name="Migliaia 45 8 2" xfId="5469" xr:uid="{5D8CA892-ABDC-4A6A-82AB-B149F5226BD6}"/>
    <cellStyle name="Migliaia 45 8 2 2" xfId="35402" xr:uid="{E7D60BF3-5F5D-462F-97D9-3606552393E3}"/>
    <cellStyle name="Migliaia 45 8 2 2 2" xfId="40562" xr:uid="{C832DB11-88EE-4D21-9F28-B6DD68D61F93}"/>
    <cellStyle name="Migliaia 45 8 2 2 3" xfId="45864" xr:uid="{CD5F2D9C-F42F-4D3D-91C5-0DBE2D934FA6}"/>
    <cellStyle name="Migliaia 45 8 2 3" xfId="37911" xr:uid="{01547B9E-2FF5-42AA-B0BC-7DEB2A6B08B6}"/>
    <cellStyle name="Migliaia 45 8 2 4" xfId="43213" xr:uid="{2061C742-B892-4ACE-9114-ACC059EE9CBE}"/>
    <cellStyle name="Migliaia 45 8 2 5" xfId="14001" xr:uid="{8B4386B0-CE47-42B1-8FD9-87780B7D7046}"/>
    <cellStyle name="Migliaia 45 8 3" xfId="6653" xr:uid="{04731D4E-7C5B-4C35-90D9-0701F6FEF57B}"/>
    <cellStyle name="Migliaia 45 8 3 2" xfId="39819" xr:uid="{48D57B12-FD9F-465D-A688-AFBC45747175}"/>
    <cellStyle name="Migliaia 45 8 3 3" xfId="45121" xr:uid="{E2CEEB3E-97AB-4CF9-8E55-60F25CC60296}"/>
    <cellStyle name="Migliaia 45 8 3 4" xfId="34250" xr:uid="{43D72B16-29DA-401B-9E87-63055D4D7DEC}"/>
    <cellStyle name="Migliaia 45 8 3 5" xfId="20734" xr:uid="{A9F4723D-91F6-4CD6-89AB-17439135B9BF}"/>
    <cellStyle name="Migliaia 45 8 4" xfId="37210" xr:uid="{B0580AFE-069B-4960-AA9A-C8D5BC79A4F9}"/>
    <cellStyle name="Migliaia 45 8 5" xfId="42470" xr:uid="{9A342F7E-BE68-413B-827E-D65C4A3226FA}"/>
    <cellStyle name="Migliaia 45 8 6" xfId="16634" xr:uid="{58A6C0BD-C257-4FAB-9AB4-50E2A01FB3EA}"/>
    <cellStyle name="Migliaia 45 8 7" xfId="7978" xr:uid="{58D19ABD-B5D5-4B93-A007-200A33FD1707}"/>
    <cellStyle name="Migliaia 45 9" xfId="5454" xr:uid="{719EF2D7-D3E8-457B-8ABB-7535F1BCD2FD}"/>
    <cellStyle name="Migliaia 45 9 2" xfId="34251" xr:uid="{6EEF1C9B-D359-48A2-A5D9-3EDDD7515A24}"/>
    <cellStyle name="Migliaia 45 9 2 2" xfId="39820" xr:uid="{99A8F06E-A386-438E-9A7A-8FF25C101121}"/>
    <cellStyle name="Migliaia 45 9 2 3" xfId="45122" xr:uid="{D14A444B-5BE6-44D6-AC05-E791A353E333}"/>
    <cellStyle name="Migliaia 45 9 3" xfId="37211" xr:uid="{9DA7A5B6-A119-4627-8A63-A12DF613513A}"/>
    <cellStyle name="Migliaia 45 9 4" xfId="42471" xr:uid="{16E3CB42-5C08-4B90-B993-C0211F107416}"/>
    <cellStyle name="Migliaia 45 9 5" xfId="17213" xr:uid="{D679D634-CD93-4F90-ABC6-A32C0B4997F5}"/>
    <cellStyle name="Migliaia 46" xfId="461" xr:uid="{00000000-0005-0000-0000-000027040000}"/>
    <cellStyle name="Migliaia 46 10" xfId="6654" xr:uid="{391522CE-0ACD-4306-AEAE-3609E2D6424A}"/>
    <cellStyle name="Migliaia 46 10 2" xfId="39821" xr:uid="{89A775B0-C599-47D2-A5F2-73072D0A6406}"/>
    <cellStyle name="Migliaia 46 10 3" xfId="45123" xr:uid="{F7EDDF2E-05A6-4425-ADFC-975BC5C4ADB2}"/>
    <cellStyle name="Migliaia 46 10 4" xfId="34252" xr:uid="{87C1FD44-D276-40CF-A5EF-187247ADF280}"/>
    <cellStyle name="Migliaia 46 10 5" xfId="20735" xr:uid="{DDB0E91A-1AC8-405B-8DCB-6E4DCB938684}"/>
    <cellStyle name="Migliaia 46 11" xfId="3744" xr:uid="{5848253A-7386-41FE-A382-6ECDE73DEA24}"/>
    <cellStyle name="Migliaia 46 11 2" xfId="37212" xr:uid="{78028635-0E4E-4F3B-BECD-4DE40A182062}"/>
    <cellStyle name="Migliaia 46 12" xfId="42472" xr:uid="{A8A27DE4-D2A3-4412-8BEC-E288F7A81F82}"/>
    <cellStyle name="Migliaia 46 13" xfId="7162" xr:uid="{5903FFD7-22B2-4E07-83E7-393EDD4953C9}"/>
    <cellStyle name="Migliaia 46 2" xfId="462" xr:uid="{00000000-0005-0000-0000-000028040000}"/>
    <cellStyle name="Migliaia 46 2 2" xfId="1856" xr:uid="{00000000-0005-0000-0000-000029040000}"/>
    <cellStyle name="Migliaia 46 2 2 2" xfId="5472" xr:uid="{65774CC7-9EF2-4C9F-B057-C0DFF1C58B0F}"/>
    <cellStyle name="Migliaia 46 2 2 2 2" xfId="14403" xr:uid="{72214872-DF8C-4D00-95B6-994ACFACFA55}"/>
    <cellStyle name="Migliaia 46 2 2 2 2 2" xfId="39822" xr:uid="{62A2EB27-EEF2-4885-8518-7C7B31AC2524}"/>
    <cellStyle name="Migliaia 46 2 2 2 2 3" xfId="45124" xr:uid="{8205D10D-99DF-4A51-A765-88582C64FC54}"/>
    <cellStyle name="Migliaia 46 2 2 2 3" xfId="18482" xr:uid="{780A5981-39A8-45E2-8186-19B689D3FE76}"/>
    <cellStyle name="Migliaia 46 2 2 2 4" xfId="20738" xr:uid="{2D19F1F5-6348-4FBF-AEC5-5310EA3090BE}"/>
    <cellStyle name="Migliaia 46 2 2 2 4 2" xfId="42473" xr:uid="{EBC291D7-EFEC-42FB-A2BA-EDB7057256B0}"/>
    <cellStyle name="Migliaia 46 2 2 2 5" xfId="16635" xr:uid="{1046D646-2D26-4550-B55C-DD718AB772B1}"/>
    <cellStyle name="Migliaia 46 2 2 2 6" xfId="8721" xr:uid="{BEA41339-7F19-479A-BB8B-AC4820C00045}"/>
    <cellStyle name="Migliaia 46 2 2 3" xfId="6656" xr:uid="{F4720053-1D51-4B19-874E-4191BF2ACA33}"/>
    <cellStyle name="Migliaia 46 2 2 3 2" xfId="35403" xr:uid="{D8F1F4DF-043B-418B-995E-338FD8C8B500}"/>
    <cellStyle name="Migliaia 46 2 2 3 2 2" xfId="40563" xr:uid="{F5374F7A-AB97-4434-BCF6-45AE5649D202}"/>
    <cellStyle name="Migliaia 46 2 2 3 2 3" xfId="45865" xr:uid="{509B071E-7349-4614-BFF7-48CC0EB099A8}"/>
    <cellStyle name="Migliaia 46 2 2 3 3" xfId="37912" xr:uid="{FEBE7420-65F1-43C7-B0CA-73838E26B8AC}"/>
    <cellStyle name="Migliaia 46 2 2 3 4" xfId="43214" xr:uid="{1E65A623-1847-41B3-AA9B-970B5397D9D8}"/>
    <cellStyle name="Migliaia 46 2 2 3 5" xfId="11630" xr:uid="{4B03E32B-07B7-40AF-94DF-7A9971254E7E}"/>
    <cellStyle name="Migliaia 46 2 2 4" xfId="3746" xr:uid="{8E595C51-E99F-416C-B8F0-B8B2371E07C6}"/>
    <cellStyle name="Migliaia 46 2 2 4 2" xfId="21568" xr:uid="{481015BA-182A-4FF4-ACD9-D11C058BA0DE}"/>
    <cellStyle name="Migliaia 46 2 2 4 3" xfId="47120" xr:uid="{9A46B6FD-89B7-473B-A323-4534C9C438DD}"/>
    <cellStyle name="Migliaia 46 2 2 4 4" xfId="50583" xr:uid="{EFB06574-B328-438D-AF93-76C8A06A1AC4}"/>
    <cellStyle name="Migliaia 46 2 2 4 5" xfId="53599" xr:uid="{B5FBFE10-3C34-4956-8F9E-60D01186BD87}"/>
    <cellStyle name="Migliaia 46 2 2 4 6" xfId="10933" xr:uid="{3C401081-0D3C-4443-B6A4-C2B4222E7EDF}"/>
    <cellStyle name="Migliaia 46 2 2 5" xfId="20737" xr:uid="{63F9FA3B-8056-4E95-8020-DB1A83FD5310}"/>
    <cellStyle name="Migliaia 46 2 2 6" xfId="25140" xr:uid="{32236567-56C8-4718-977C-1A70D2080EF7}"/>
    <cellStyle name="Migliaia 46 2 2 7" xfId="7531" xr:uid="{57B5C3C8-FF66-48BF-86FD-F22A0E641E1C}"/>
    <cellStyle name="Migliaia 46 2 3" xfId="3747" xr:uid="{2FF833E5-177F-4732-AAB1-0F674947457F}"/>
    <cellStyle name="Migliaia 46 2 3 2" xfId="5473" xr:uid="{9D94B1AE-DCD4-4B8A-A324-60D8270ACCCD}"/>
    <cellStyle name="Migliaia 46 2 3 2 2" xfId="35404" xr:uid="{E38DE8D5-1A22-4467-BDB6-EC41C7687FD5}"/>
    <cellStyle name="Migliaia 46 2 3 2 2 2" xfId="40564" xr:uid="{FE862C1D-49B9-4938-8B7A-BF5670B36076}"/>
    <cellStyle name="Migliaia 46 2 3 2 2 3" xfId="45866" xr:uid="{64D8E1E6-BD0B-454B-AC61-2B2B268C531D}"/>
    <cellStyle name="Migliaia 46 2 3 2 3" xfId="37913" xr:uid="{1408C725-385B-43BF-BE5D-0704AC1F34D8}"/>
    <cellStyle name="Migliaia 46 2 3 2 4" xfId="43215" xr:uid="{C93F110A-49EB-43E3-B143-296BC9EA6542}"/>
    <cellStyle name="Migliaia 46 2 3 2 5" xfId="14300" xr:uid="{8AA7DE8D-E12B-4DC7-880B-2E27A34B4485}"/>
    <cellStyle name="Migliaia 46 2 3 3" xfId="6657" xr:uid="{70877106-0C80-4F5E-B2D0-0E9591468102}"/>
    <cellStyle name="Migliaia 46 2 3 3 2" xfId="39823" xr:uid="{56851DD1-41E9-42DC-BE85-8CD9C41A1EF4}"/>
    <cellStyle name="Migliaia 46 2 3 3 3" xfId="45125" xr:uid="{2CD99399-0CB1-4A32-9DF1-F8480E2C6AEB}"/>
    <cellStyle name="Migliaia 46 2 3 3 4" xfId="34253" xr:uid="{71464DEE-C378-40FC-B62D-EE9D87784AD4}"/>
    <cellStyle name="Migliaia 46 2 3 3 5" xfId="20739" xr:uid="{AFBA7D24-4334-4052-A475-DEB177FE504B}"/>
    <cellStyle name="Migliaia 46 2 3 4" xfId="37213" xr:uid="{2BB84C6E-CE97-4E85-9DEE-9EFF62367AFD}"/>
    <cellStyle name="Migliaia 46 2 3 5" xfId="42474" xr:uid="{22C0C35C-23E9-483A-910D-B02386062461}"/>
    <cellStyle name="Migliaia 46 2 3 6" xfId="16636" xr:uid="{CEEFB32C-8437-4065-98D3-D96CC891549D}"/>
    <cellStyle name="Migliaia 46 2 3 7" xfId="8362" xr:uid="{5B558C6E-A637-49E2-A2F7-51387C147232}"/>
    <cellStyle name="Migliaia 46 2 4" xfId="5471" xr:uid="{C43B14DB-CC7B-4866-A8C8-3343755BF1DC}"/>
    <cellStyle name="Migliaia 46 2 4 2" xfId="14005" xr:uid="{84591C2D-4574-4819-9CB6-50F24F9BA087}"/>
    <cellStyle name="Migliaia 46 2 4 2 2" xfId="39824" xr:uid="{1C419466-E4E0-4E8C-9EF8-36CF0049E10B}"/>
    <cellStyle name="Migliaia 46 2 4 2 3" xfId="45126" xr:uid="{09703170-7BA6-4739-A2FE-55FBE261B26A}"/>
    <cellStyle name="Migliaia 46 2 4 3" xfId="18607" xr:uid="{B1E0B324-E638-4C14-98A9-AFD23DA284FF}"/>
    <cellStyle name="Migliaia 46 2 4 4" xfId="20740" xr:uid="{A20D167D-9FE8-44E5-B602-A64402EF43AD}"/>
    <cellStyle name="Migliaia 46 2 4 4 2" xfId="42475" xr:uid="{11E23A95-C9DC-405F-A35D-2F40AE0DA8FE}"/>
    <cellStyle name="Migliaia 46 2 4 5" xfId="16637" xr:uid="{EDABA50B-8058-4705-999C-3BD37CD01804}"/>
    <cellStyle name="Migliaia 46 2 4 6" xfId="7983" xr:uid="{CE462B0F-17DC-4007-B9AA-11F1562FBA93}"/>
    <cellStyle name="Migliaia 46 2 5" xfId="6655" xr:uid="{9FF78595-24EE-435E-BADA-9083442DB8C9}"/>
    <cellStyle name="Migliaia 46 2 5 2" xfId="34254" xr:uid="{25D32D34-4D2B-4A1A-834B-638D87D33821}"/>
    <cellStyle name="Migliaia 46 2 5 2 2" xfId="39825" xr:uid="{BE2CB0DE-44E3-40EC-9BF6-6B7C297DCF03}"/>
    <cellStyle name="Migliaia 46 2 5 2 3" xfId="45127" xr:uid="{3B1525A7-B306-4874-9029-F3957F9023A5}"/>
    <cellStyle name="Migliaia 46 2 5 3" xfId="37215" xr:uid="{4B89A0BA-852E-4DD9-8860-8C16C9B86A62}"/>
    <cellStyle name="Migliaia 46 2 5 4" xfId="42476" xr:uid="{BCBCC785-E17A-433C-9162-E792109321BF}"/>
    <cellStyle name="Migliaia 46 2 5 5" xfId="13143" xr:uid="{41E047D3-4F2D-4CCA-9FAF-3CB5F840EB3C}"/>
    <cellStyle name="Migliaia 46 2 6" xfId="3745" xr:uid="{D40B4495-0E33-4118-A6BB-EC0019ADEB1A}"/>
    <cellStyle name="Migliaia 46 2 6 2" xfId="34255" xr:uid="{22F95DA9-9990-4347-A450-F867C637CC40}"/>
    <cellStyle name="Migliaia 46 2 6 2 2" xfId="39826" xr:uid="{5A27A16F-EA9D-498C-98D3-1CC02CEF9429}"/>
    <cellStyle name="Migliaia 46 2 6 2 3" xfId="45128" xr:uid="{E0B44F92-FCBF-453F-A45C-437A6A71EF5C}"/>
    <cellStyle name="Migliaia 46 2 6 3" xfId="37216" xr:uid="{5ED8203E-728B-429F-8D72-05CED495F975}"/>
    <cellStyle name="Migliaia 46 2 6 4" xfId="42477" xr:uid="{15FD1443-1220-4DCC-8E6B-171DEE5CB9E2}"/>
    <cellStyle name="Migliaia 46 2 6 5" xfId="25141" xr:uid="{78B1D546-FE2A-429B-975C-0312E69CA189}"/>
    <cellStyle name="Migliaia 46 2 6 6" xfId="20736" xr:uid="{6E07B773-842F-4578-8BA1-FD631806CDB3}"/>
    <cellStyle name="Migliaia 46 2 7" xfId="25139" xr:uid="{32F970A4-562B-4678-9BE2-18DC106C885D}"/>
    <cellStyle name="Migliaia 46 2 8" xfId="7163" xr:uid="{38C67086-1CEB-4B05-AA65-6786604A83E3}"/>
    <cellStyle name="Migliaia 46 3" xfId="463" xr:uid="{00000000-0005-0000-0000-00002A040000}"/>
    <cellStyle name="Migliaia 46 3 10" xfId="25142" xr:uid="{8C505DFB-B596-4543-904C-6051816C03D6}"/>
    <cellStyle name="Migliaia 46 3 11" xfId="16638" xr:uid="{567D3072-F03E-4438-8AB8-77C016AE6557}"/>
    <cellStyle name="Migliaia 46 3 12" xfId="7164" xr:uid="{87A15F8D-E9F3-4B04-B313-D504399B21F1}"/>
    <cellStyle name="Migliaia 46 3 2" xfId="464" xr:uid="{00000000-0005-0000-0000-00002B040000}"/>
    <cellStyle name="Migliaia 46 3 2 2" xfId="1857" xr:uid="{00000000-0005-0000-0000-00002C040000}"/>
    <cellStyle name="Migliaia 46 3 2 2 2" xfId="5476" xr:uid="{53C39A1D-DE4C-42F5-9625-18EDD8F92182}"/>
    <cellStyle name="Migliaia 46 3 2 2 2 2" xfId="18483" xr:uid="{291AF77A-BC19-4E29-A00A-F9ACCFD587A7}"/>
    <cellStyle name="Migliaia 46 3 2 2 2 2 2" xfId="21881" xr:uid="{AB5D534C-51D7-4E7C-98E5-7AF620499264}"/>
    <cellStyle name="Migliaia 46 3 2 2 2 2 2 2" xfId="39827" xr:uid="{A3655E92-EA3A-4ACA-924C-600FAEB4DA4B}"/>
    <cellStyle name="Migliaia 46 3 2 2 2 2 3" xfId="45129" xr:uid="{58CC6756-E784-44B4-A08A-320E32521F5F}"/>
    <cellStyle name="Migliaia 46 3 2 2 2 2 4" xfId="34256" xr:uid="{27DECB42-E636-4C60-BCB7-CEFFCB301BF0}"/>
    <cellStyle name="Migliaia 46 3 2 2 2 3" xfId="37217" xr:uid="{8667230F-5F88-48FE-9D77-22754B106F74}"/>
    <cellStyle name="Migliaia 46 3 2 2 2 4" xfId="42478" xr:uid="{E0F58D24-18DB-4B76-8539-BD841455E009}"/>
    <cellStyle name="Migliaia 46 3 2 2 2 5" xfId="24489" xr:uid="{0E2E7347-C485-4F33-B7BF-73F50A9F230A}"/>
    <cellStyle name="Migliaia 46 3 2 2 2 6" xfId="50909" xr:uid="{20A3BCF3-C025-4B47-BFBD-C2B6676BB9F9}"/>
    <cellStyle name="Migliaia 46 3 2 2 2 7" xfId="53925" xr:uid="{5565C536-3E59-40D9-B255-8D4A90723FE4}"/>
    <cellStyle name="Migliaia 46 3 2 2 2 8" xfId="17679" xr:uid="{A5803C8C-8E58-4F8A-BC88-C850A4123F6C}"/>
    <cellStyle name="Migliaia 46 3 2 2 2 9" xfId="12047" xr:uid="{09B988F6-B200-4F2E-82E2-59D3549F0367}"/>
    <cellStyle name="Migliaia 46 3 2 2 3" xfId="6660" xr:uid="{462E83BA-0363-4214-8938-0FA27B056877}"/>
    <cellStyle name="Migliaia 46 3 2 2 3 2" xfId="11571" xr:uid="{2CBEEB92-D63D-42B0-B022-8CC9E33B4235}"/>
    <cellStyle name="Migliaia 46 3 2 2 4" xfId="3750" xr:uid="{9B940950-B9A1-4442-A2C0-3D1AC51C7988}"/>
    <cellStyle name="Migliaia 46 3 2 2 4 2" xfId="21569" xr:uid="{4264836C-CB11-4579-8087-CCB3C41EE6C8}"/>
    <cellStyle name="Migliaia 46 3 2 2 4 3" xfId="24240" xr:uid="{CB83C2EC-C663-48DC-A078-988DF3895E81}"/>
    <cellStyle name="Migliaia 46 3 2 2 4 4" xfId="50584" xr:uid="{D07063D9-1209-42B2-805F-0F8758A60FB6}"/>
    <cellStyle name="Migliaia 46 3 2 2 4 5" xfId="53600" xr:uid="{B1126C60-6F56-4044-A73E-9F5F1E3917E1}"/>
    <cellStyle name="Migliaia 46 3 2 2 4 6" xfId="10934" xr:uid="{19E24EC8-0E98-480F-AF98-F23A047190B6}"/>
    <cellStyle name="Migliaia 46 3 2 2 5" xfId="20743" xr:uid="{565FD44E-81DA-4E87-BF86-BE1D3EB9FC1F}"/>
    <cellStyle name="Migliaia 46 3 2 2 6" xfId="25144" xr:uid="{008D097B-FCD0-4169-87C1-5AFD01E04994}"/>
    <cellStyle name="Migliaia 46 3 2 2 7" xfId="8723" xr:uid="{0BD16203-3403-40D3-AB62-D2E993B85C42}"/>
    <cellStyle name="Migliaia 46 3 2 3" xfId="5475" xr:uid="{4E7388B4-F95E-4AC6-8D8D-E2FBB2ABBB91}"/>
    <cellStyle name="Migliaia 46 3 2 3 2" xfId="12170" xr:uid="{8249BF9E-6789-4B3E-8FE3-409531EE4AE3}"/>
    <cellStyle name="Migliaia 46 3 2 3 2 2" xfId="39828" xr:uid="{260671C8-3C9E-4C88-B210-CB6572B27173}"/>
    <cellStyle name="Migliaia 46 3 2 3 2 3" xfId="45130" xr:uid="{1C694A1E-53DD-4B06-9D37-5D02B3E98B22}"/>
    <cellStyle name="Migliaia 46 3 2 3 2 4" xfId="34257" xr:uid="{3E0D57D2-FE2E-46FF-9968-67458BD51AF7}"/>
    <cellStyle name="Migliaia 46 3 2 3 3" xfId="12048" xr:uid="{0483D667-54C4-476D-8072-E65A1AC31306}"/>
    <cellStyle name="Migliaia 46 3 2 3 4" xfId="20744" xr:uid="{493ABC4E-891D-45C3-9470-16447EA1F684}"/>
    <cellStyle name="Migliaia 46 3 2 3 4 2" xfId="42479" xr:uid="{C463947D-E2CA-4841-B9C0-86F252391B31}"/>
    <cellStyle name="Migliaia 46 3 2 3 5" xfId="16639" xr:uid="{62D7C965-5498-4F4D-A5B3-BF6625B76C9D}"/>
    <cellStyle name="Migliaia 46 3 2 3 6" xfId="7985" xr:uid="{BE9C52A0-794B-4F49-BF2B-FA599A66C460}"/>
    <cellStyle name="Migliaia 46 3 2 4" xfId="6659" xr:uid="{B2B3B897-7254-4567-8261-FEE1FFDCBAF3}"/>
    <cellStyle name="Migliaia 46 3 2 4 2" xfId="18097" xr:uid="{63E557C0-7AF5-478A-BBAB-6BAA79A4686E}"/>
    <cellStyle name="Migliaia 46 3 2 4 2 2" xfId="39829" xr:uid="{836E47B3-EA77-444B-8B13-3EBB22EF88A9}"/>
    <cellStyle name="Migliaia 46 3 2 4 2 3" xfId="45131" xr:uid="{9CBBFFE3-F719-4432-90C2-FA6784340CFA}"/>
    <cellStyle name="Migliaia 46 3 2 4 3" xfId="37218" xr:uid="{D52B548A-F9F7-4681-B4C2-33B9FDE0F58C}"/>
    <cellStyle name="Migliaia 46 3 2 4 4" xfId="42480" xr:uid="{52E4482D-8D1E-471B-825C-97E4A7280DF7}"/>
    <cellStyle name="Migliaia 46 3 2 4 5" xfId="17216" xr:uid="{7D001DCF-E028-4E6F-9EE4-15DE3891A7E7}"/>
    <cellStyle name="Migliaia 46 3 2 4 6" xfId="11396" xr:uid="{5D954A4A-0196-42C7-9C62-F0977551DEA0}"/>
    <cellStyle name="Migliaia 46 3 2 5" xfId="3749" xr:uid="{4F36FF56-3621-495C-A151-C50598CC00E7}"/>
    <cellStyle name="Migliaia 46 3 2 5 2" xfId="34258" xr:uid="{D375DFE4-2B79-49A0-A798-1DEBD2B5C208}"/>
    <cellStyle name="Migliaia 46 3 2 5 2 2" xfId="39830" xr:uid="{E8F31DA4-84FA-482F-B9F9-FB56105038E1}"/>
    <cellStyle name="Migliaia 46 3 2 5 2 3" xfId="45132" xr:uid="{D12B770A-25A5-429D-92B8-657C36959916}"/>
    <cellStyle name="Migliaia 46 3 2 5 3" xfId="37219" xr:uid="{66A205DC-FE16-48CF-A5C1-B3092934BE46}"/>
    <cellStyle name="Migliaia 46 3 2 5 4" xfId="42481" xr:uid="{3845D922-E422-40F7-97C8-3C9EB63EE64C}"/>
    <cellStyle name="Migliaia 46 3 2 5 5" xfId="17306" xr:uid="{DEC600DD-FC86-4F4C-8B32-C380F3316238}"/>
    <cellStyle name="Migliaia 46 3 2 6" xfId="20742" xr:uid="{79DB43BA-8273-4144-BB66-D8B04468E5DD}"/>
    <cellStyle name="Migliaia 46 3 2 6 2" xfId="34259" xr:uid="{9DA2990E-9808-4C02-8730-73099DC5FB9A}"/>
    <cellStyle name="Migliaia 46 3 2 6 2 2" xfId="39831" xr:uid="{978F9AE3-F325-493C-92C0-CF2BB9A0C9A0}"/>
    <cellStyle name="Migliaia 46 3 2 6 2 3" xfId="45133" xr:uid="{0895DB03-CBC8-448A-A803-379A3DEC0535}"/>
    <cellStyle name="Migliaia 46 3 2 6 3" xfId="37220" xr:uid="{8A19D509-0CB6-4AB6-824A-7293E271D300}"/>
    <cellStyle name="Migliaia 46 3 2 6 4" xfId="42482" xr:uid="{140FD21B-D8C6-4BD3-8403-B6E7B75BB047}"/>
    <cellStyle name="Migliaia 46 3 2 6 5" xfId="25145" xr:uid="{2EC2B624-9B7B-458F-9F3E-0B125B8BFA67}"/>
    <cellStyle name="Migliaia 46 3 2 7" xfId="25143" xr:uid="{4297F773-8663-4D05-84F2-564E3989A00A}"/>
    <cellStyle name="Migliaia 46 3 2 8" xfId="7533" xr:uid="{DCC633F1-9B6C-48CB-AE1A-E8D535BCE642}"/>
    <cellStyle name="Migliaia 46 3 3" xfId="3751" xr:uid="{0ECE847B-586F-4868-B327-6DD573066B0D}"/>
    <cellStyle name="Migliaia 46 3 3 10" xfId="7532" xr:uid="{BFB30BBA-AC6B-4605-95FA-C9839E0AA212}"/>
    <cellStyle name="Migliaia 46 3 3 2" xfId="5477" xr:uid="{F90AC99B-D04D-4982-AA39-6B65C31669C5}"/>
    <cellStyle name="Migliaia 46 3 3 2 2" xfId="9962" xr:uid="{FF86E377-B2A7-4671-BEA5-B50374CE07F1}"/>
    <cellStyle name="Migliaia 46 3 3 2 2 2" xfId="39833" xr:uid="{AF26A725-16DD-434A-BB89-4DA5C1677285}"/>
    <cellStyle name="Migliaia 46 3 3 2 2 3" xfId="45135" xr:uid="{A991418B-7876-4345-B919-F283E54D7267}"/>
    <cellStyle name="Migliaia 46 3 3 2 3" xfId="18242" xr:uid="{2D6C3D78-9153-4EF2-8832-578DFF95D014}"/>
    <cellStyle name="Migliaia 46 3 3 2 4" xfId="20746" xr:uid="{22AC1B1A-CD1E-419F-8014-F9E381926B6A}"/>
    <cellStyle name="Migliaia 46 3 3 2 4 2" xfId="42484" xr:uid="{C4404672-D65A-462E-9B69-535DFDE4268F}"/>
    <cellStyle name="Migliaia 46 3 3 2 5" xfId="16641" xr:uid="{116E79E9-D651-46CD-8BEF-0FA46DE2E925}"/>
    <cellStyle name="Migliaia 46 3 3 2 6" xfId="8722" xr:uid="{1393B9A3-F1C7-4697-8ED9-03915A6BD377}"/>
    <cellStyle name="Migliaia 46 3 3 3" xfId="6661" xr:uid="{8A330E73-8DD2-4390-93D7-FA2701227ED1}"/>
    <cellStyle name="Migliaia 46 3 3 3 2" xfId="34261" xr:uid="{36FCE927-5D4D-4F6E-8715-A1CE2DD5DC3E}"/>
    <cellStyle name="Migliaia 46 3 3 3 2 2" xfId="39834" xr:uid="{BD978327-DEB0-4F89-9478-18541BDE031A}"/>
    <cellStyle name="Migliaia 46 3 3 3 2 3" xfId="45136" xr:uid="{4263C511-4DE9-4C35-AC2D-105AD3075F09}"/>
    <cellStyle name="Migliaia 46 3 3 3 3" xfId="37222" xr:uid="{9C344B60-C497-4E93-9207-71662A3D656F}"/>
    <cellStyle name="Migliaia 46 3 3 3 4" xfId="42485" xr:uid="{C78643DE-54D2-427B-AE54-FCBDD5FE3BB9}"/>
    <cellStyle name="Migliaia 46 3 3 3 5" xfId="9725" xr:uid="{31348892-9D61-417B-9D5F-71ADD78B8B7C}"/>
    <cellStyle name="Migliaia 46 3 3 4" xfId="20745" xr:uid="{C79B5DF7-30F6-4FB7-9E3F-F609AF93AB3A}"/>
    <cellStyle name="Migliaia 46 3 3 4 2" xfId="34262" xr:uid="{D509CED4-FCDE-49DB-9900-3148AB33BBE7}"/>
    <cellStyle name="Migliaia 46 3 3 4 2 2" xfId="39835" xr:uid="{D4BF6B67-136F-43EC-B677-21B7BE6079A5}"/>
    <cellStyle name="Migliaia 46 3 3 4 2 3" xfId="45137" xr:uid="{B4DA6074-28E6-4BD8-ABDE-C87D38993064}"/>
    <cellStyle name="Migliaia 46 3 3 4 3" xfId="37223" xr:uid="{AD603A8B-5221-4ED2-B666-956FCF241F20}"/>
    <cellStyle name="Migliaia 46 3 3 4 4" xfId="42486" xr:uid="{DC885DDE-8B2A-463B-AC71-40665974020E}"/>
    <cellStyle name="Migliaia 46 3 3 4 5" xfId="25146" xr:uid="{7B5EB095-17FE-4165-AAA6-60C3D1445999}"/>
    <cellStyle name="Migliaia 46 3 3 5" xfId="25147" xr:uid="{5275B099-EE02-4177-BD71-3EFB05EB6076}"/>
    <cellStyle name="Migliaia 46 3 3 5 2" xfId="34263" xr:uid="{5492A7CA-A3DF-4ECB-99A5-73C8B023B92B}"/>
    <cellStyle name="Migliaia 46 3 3 5 2 2" xfId="39836" xr:uid="{75EB9314-3887-4CB9-AE4E-F3927AF94762}"/>
    <cellStyle name="Migliaia 46 3 3 5 2 3" xfId="45138" xr:uid="{69A9099C-A2EC-441F-8908-9CA552CA6699}"/>
    <cellStyle name="Migliaia 46 3 3 5 3" xfId="37224" xr:uid="{CF0E302B-AC7E-4B9A-868E-25201F39DC5F}"/>
    <cellStyle name="Migliaia 46 3 3 5 4" xfId="42487" xr:uid="{866E928E-4CDB-4958-8A23-D6E9A38F0264}"/>
    <cellStyle name="Migliaia 46 3 3 6" xfId="34260" xr:uid="{07BE22AF-526E-4045-907E-39493D0115FD}"/>
    <cellStyle name="Migliaia 46 3 3 6 2" xfId="39832" xr:uid="{9E0D82C6-9F83-4BF0-959F-76A73A9B810B}"/>
    <cellStyle name="Migliaia 46 3 3 6 3" xfId="45134" xr:uid="{7F403CBD-DEEC-4326-8193-D6FEF72B1BD6}"/>
    <cellStyle name="Migliaia 46 3 3 7" xfId="37221" xr:uid="{B203DE2A-DF74-4D4A-A327-1B5BA25547CC}"/>
    <cellStyle name="Migliaia 46 3 3 8" xfId="42483" xr:uid="{423F5DAF-D1F1-4288-A710-7C07936189DF}"/>
    <cellStyle name="Migliaia 46 3 3 9" xfId="16640" xr:uid="{43C4C240-AE1B-4CF5-8C1A-51084B824037}"/>
    <cellStyle name="Migliaia 46 3 4" xfId="3752" xr:uid="{0F8DE620-6C6F-4062-977E-41F319C49A36}"/>
    <cellStyle name="Migliaia 46 3 4 2" xfId="5478" xr:uid="{8206242C-0D65-4891-BC60-8A03F510F333}"/>
    <cellStyle name="Migliaia 46 3 4 2 2" xfId="14463" xr:uid="{F2B80D22-FC79-443E-9989-ACD1C52119F5}"/>
    <cellStyle name="Migliaia 46 3 4 2 3" xfId="18047" xr:uid="{7F18AC64-64C6-449A-BE40-33D16C079A09}"/>
    <cellStyle name="Migliaia 46 3 4 2 4" xfId="20748" xr:uid="{F77CB776-957B-4757-9FA5-BD386D53DEF4}"/>
    <cellStyle name="Migliaia 46 3 4 2 5" xfId="32440" xr:uid="{6A639CC2-83A1-4FE6-8398-CA0E728BE2B9}"/>
    <cellStyle name="Migliaia 46 3 4 2 6" xfId="16643" xr:uid="{86292850-7936-415E-AF71-AF5FC0B5A108}"/>
    <cellStyle name="Migliaia 46 3 4 2 7" xfId="8886" xr:uid="{D578884C-25F3-472A-AB34-3265450A6D56}"/>
    <cellStyle name="Migliaia 46 3 4 3" xfId="6662" xr:uid="{350087F6-2FAC-4028-9028-E3C833BE3CB6}"/>
    <cellStyle name="Migliaia 46 3 4 3 2" xfId="35405" xr:uid="{8E560535-6AFF-47C6-96A2-D1553E365CC3}"/>
    <cellStyle name="Migliaia 46 3 4 3 2 2" xfId="40565" xr:uid="{C7FF7C6E-6EA6-483B-A5BE-2C62CA19F942}"/>
    <cellStyle name="Migliaia 46 3 4 3 2 3" xfId="45867" xr:uid="{707C9BE1-0197-426B-AEEE-036A5A69D4BE}"/>
    <cellStyle name="Migliaia 46 3 4 3 3" xfId="37914" xr:uid="{C2C10D93-B7DE-4327-A304-8A507097B792}"/>
    <cellStyle name="Migliaia 46 3 4 3 4" xfId="43216" xr:uid="{D71D576A-2352-4B37-8791-A658FDEE0BC5}"/>
    <cellStyle name="Migliaia 46 3 4 3 5" xfId="13711" xr:uid="{AB1DAF6D-BC57-497A-9119-1A6DF9A0D012}"/>
    <cellStyle name="Migliaia 46 3 4 4" xfId="20747" xr:uid="{D8969F87-58DC-44B4-90E5-4553D8D7E8BC}"/>
    <cellStyle name="Migliaia 46 3 4 4 2" xfId="39837" xr:uid="{0AE8AD8B-23F8-423B-9B7B-A3B1083E75F6}"/>
    <cellStyle name="Migliaia 46 3 4 4 3" xfId="45139" xr:uid="{6CB9E858-FE06-4F96-9239-3CCCBB0E09BE}"/>
    <cellStyle name="Migliaia 46 3 4 4 4" xfId="34264" xr:uid="{4DBE1E2D-1570-4329-879A-8CEE18BBEC8B}"/>
    <cellStyle name="Migliaia 46 3 4 5" xfId="37225" xr:uid="{3B658666-2F13-47FF-A496-C6B75000ECD2}"/>
    <cellStyle name="Migliaia 46 3 4 6" xfId="42488" xr:uid="{9E6DAB67-A7AD-44BF-AE30-7018E96EC373}"/>
    <cellStyle name="Migliaia 46 3 4 7" xfId="16642" xr:uid="{FB2FFD9A-461D-4111-B12D-F3E9F784979B}"/>
    <cellStyle name="Migliaia 46 3 4 8" xfId="7696" xr:uid="{EF75146A-E40A-4297-8F90-7B43CBCBAD89}"/>
    <cellStyle name="Migliaia 46 3 5" xfId="3753" xr:uid="{96EF8DCE-EBA0-4540-A29C-075BA3A6B594}"/>
    <cellStyle name="Migliaia 46 3 5 2" xfId="5479" xr:uid="{142E5445-07C7-4A47-8072-7A021AC9AA93}"/>
    <cellStyle name="Migliaia 46 3 5 2 2" xfId="35406" xr:uid="{801E2A33-1C1A-4B4C-B3F0-E10DAC037C30}"/>
    <cellStyle name="Migliaia 46 3 5 2 2 2" xfId="40566" xr:uid="{8DCF7864-2731-4A23-8A82-8518D14FFF6C}"/>
    <cellStyle name="Migliaia 46 3 5 2 2 3" xfId="45868" xr:uid="{1DB6E03E-ED4E-4868-A041-43B7ABCC3B00}"/>
    <cellStyle name="Migliaia 46 3 5 2 3" xfId="37915" xr:uid="{B2E4EEDD-5C5D-46F2-A8EC-9421BA8354A1}"/>
    <cellStyle name="Migliaia 46 3 5 2 4" xfId="43217" xr:uid="{1F84CB10-9C67-45E0-847D-45F61D002882}"/>
    <cellStyle name="Migliaia 46 3 5 2 5" xfId="14301" xr:uid="{AAEB9E7D-5353-458A-A9D0-56EF91BE3FDA}"/>
    <cellStyle name="Migliaia 46 3 5 3" xfId="6663" xr:uid="{E97B99D4-CFEF-455D-B549-94A713F7A832}"/>
    <cellStyle name="Migliaia 46 3 5 3 2" xfId="39838" xr:uid="{D3100E9E-51F9-43C9-8CE7-DCD08FF132E3}"/>
    <cellStyle name="Migliaia 46 3 5 3 3" xfId="45140" xr:uid="{80E3E301-FA38-4846-BD91-7DA143BED360}"/>
    <cellStyle name="Migliaia 46 3 5 3 4" xfId="34265" xr:uid="{1B06AC8E-0C63-4781-BB77-571F92EB9149}"/>
    <cellStyle name="Migliaia 46 3 5 3 5" xfId="20749" xr:uid="{6F4DEE75-B74E-41C5-8A0E-EA2E57D7B5EE}"/>
    <cellStyle name="Migliaia 46 3 5 4" xfId="37226" xr:uid="{CFDB4FE6-A32A-45C4-A015-8E0D7F16A81F}"/>
    <cellStyle name="Migliaia 46 3 5 5" xfId="42489" xr:uid="{2C6AF2DA-CC54-4293-A005-B2C454111974}"/>
    <cellStyle name="Migliaia 46 3 5 6" xfId="16644" xr:uid="{13E8C87D-C988-4A11-8C3D-D6FC9F549D99}"/>
    <cellStyle name="Migliaia 46 3 5 7" xfId="8363" xr:uid="{4A745A9B-DDA1-40AF-9FC8-0DA504B5C26D}"/>
    <cellStyle name="Migliaia 46 3 6" xfId="5474" xr:uid="{791EB1AA-901B-4755-A300-2AA74D7CE06C}"/>
    <cellStyle name="Migliaia 46 3 6 2" xfId="14006" xr:uid="{316936FF-441A-4963-95A5-8A127F7A3734}"/>
    <cellStyle name="Migliaia 46 3 6 2 2" xfId="39839" xr:uid="{E5D21603-D262-4942-816C-BB0AB8397437}"/>
    <cellStyle name="Migliaia 46 3 6 2 3" xfId="45141" xr:uid="{DF49DEC7-2F98-4BCE-9307-361EEDE27045}"/>
    <cellStyle name="Migliaia 46 3 6 3" xfId="18143" xr:uid="{AD750B1E-B0B2-40D1-B21C-8DCBBFF408C2}"/>
    <cellStyle name="Migliaia 46 3 6 4" xfId="20750" xr:uid="{0D4ACB03-7676-4127-B8F8-D895670CC45F}"/>
    <cellStyle name="Migliaia 46 3 6 4 2" xfId="42490" xr:uid="{C0591369-13D8-4CC3-A35B-1807684C57EA}"/>
    <cellStyle name="Migliaia 46 3 6 5" xfId="16645" xr:uid="{F218D61A-631F-482C-9523-0701B355C9E7}"/>
    <cellStyle name="Migliaia 46 3 6 6" xfId="7984" xr:uid="{3FD3313F-2394-4D0A-9AF1-DFAB78A2C64D}"/>
    <cellStyle name="Migliaia 46 3 7" xfId="6658" xr:uid="{7BCFB411-9239-44B8-AD44-E74FF61584A3}"/>
    <cellStyle name="Migliaia 46 3 7 2" xfId="34266" xr:uid="{8D23C66D-F6B8-4C42-B342-456E3DAE0242}"/>
    <cellStyle name="Migliaia 46 3 7 2 2" xfId="39840" xr:uid="{BE99A6C0-3483-4FE0-AA66-1F871185CEEA}"/>
    <cellStyle name="Migliaia 46 3 7 2 3" xfId="45142" xr:uid="{E5A6F1A2-D339-4543-979A-4C1A26ECBE56}"/>
    <cellStyle name="Migliaia 46 3 7 3" xfId="37227" xr:uid="{8D7C06AB-6DE4-44A4-9151-7408B26F6D2F}"/>
    <cellStyle name="Migliaia 46 3 7 4" xfId="42491" xr:uid="{9475610D-5C4E-4854-A7C0-CADA719418EC}"/>
    <cellStyle name="Migliaia 46 3 7 5" xfId="12248" xr:uid="{4B4AF906-C59A-4E26-AADC-95811D5980F5}"/>
    <cellStyle name="Migliaia 46 3 8" xfId="3748" xr:uid="{7AF1ED60-1AF0-46F3-A238-E22CB4B93686}"/>
    <cellStyle name="Migliaia 46 3 8 2" xfId="34267" xr:uid="{924A7540-99E4-4468-8D26-421B49CB7BEC}"/>
    <cellStyle name="Migliaia 46 3 8 2 2" xfId="39841" xr:uid="{BB4BF53C-73A7-4EA9-9CC9-A55C30695BE4}"/>
    <cellStyle name="Migliaia 46 3 8 2 3" xfId="45143" xr:uid="{BE840805-BD3E-4FB4-967B-D349B52A4713}"/>
    <cellStyle name="Migliaia 46 3 8 3" xfId="37228" xr:uid="{9EE4AE36-9D21-476A-86AC-7C5ACB31750F}"/>
    <cellStyle name="Migliaia 46 3 8 4" xfId="42492" xr:uid="{DFD80FE6-7AFC-44DB-B669-2A6FD6CE2FE9}"/>
    <cellStyle name="Migliaia 46 3 8 5" xfId="25148" xr:uid="{22F17F04-C591-4327-ABC2-FD82A1FAEE8D}"/>
    <cellStyle name="Migliaia 46 3 8 6" xfId="17307" xr:uid="{21498629-CC6A-4382-A719-33CC21EEC0CE}"/>
    <cellStyle name="Migliaia 46 3 9" xfId="20741" xr:uid="{CF35EF3C-01C9-409B-9C4B-99ABDBD0796C}"/>
    <cellStyle name="Migliaia 46 4" xfId="1858" xr:uid="{00000000-0005-0000-0000-00002D040000}"/>
    <cellStyle name="Migliaia 46 4 2" xfId="1859" xr:uid="{00000000-0005-0000-0000-00002E040000}"/>
    <cellStyle name="Migliaia 46 4 2 2" xfId="5481" xr:uid="{8EE5C577-EE62-4743-9615-ACAC84407180}"/>
    <cellStyle name="Migliaia 46 4 2 2 2" xfId="34268" xr:uid="{4E1E0A8B-E58D-4391-B776-45DDFCE99E91}"/>
    <cellStyle name="Migliaia 46 4 2 2 2 2" xfId="39842" xr:uid="{F76C486C-BAB0-4816-B0F6-5D13EDD63AF3}"/>
    <cellStyle name="Migliaia 46 4 2 2 2 3" xfId="45144" xr:uid="{7F1B81A3-A4FB-4E7A-B307-16F29E7B5FAB}"/>
    <cellStyle name="Migliaia 46 4 2 2 3" xfId="37229" xr:uid="{CFD9DE00-1ABA-4CAF-97D6-7318E3D18AB0}"/>
    <cellStyle name="Migliaia 46 4 2 2 4" xfId="42493" xr:uid="{F355B6A7-53D9-4C57-8F15-3B8808FCC84A}"/>
    <cellStyle name="Migliaia 46 4 2 2 5" xfId="9188" xr:uid="{A7582FF8-057B-435C-8451-2219A00E4D8D}"/>
    <cellStyle name="Migliaia 46 4 2 3" xfId="3755" xr:uid="{7DFFFB86-9FD2-49D6-8218-34A4FF769132}"/>
    <cellStyle name="Migliaia 46 4 2 3 2" xfId="34269" xr:uid="{C1E7341C-2962-40C0-8FF0-092DCB837259}"/>
    <cellStyle name="Migliaia 46 4 2 3 2 2" xfId="39843" xr:uid="{51CAEE99-CEB3-4DD8-ADB4-7B7D687CEBA3}"/>
    <cellStyle name="Migliaia 46 4 2 3 2 3" xfId="45145" xr:uid="{E0E3FE48-E048-45F2-8D6B-63D3499E53C5}"/>
    <cellStyle name="Migliaia 46 4 2 3 3" xfId="37230" xr:uid="{30CBB57A-1752-447A-BEFF-50922180A6AA}"/>
    <cellStyle name="Migliaia 46 4 2 3 4" xfId="42494" xr:uid="{B5C8EF9F-73FC-4E28-BC8A-8E000C0F4738}"/>
    <cellStyle name="Migliaia 46 4 2 3 5" xfId="12049" xr:uid="{2CDE1213-E5EA-4D91-ABD4-8CE61935FED7}"/>
    <cellStyle name="Migliaia 46 4 2 4" xfId="11398" xr:uid="{C1DC0481-6A64-42DB-B641-ECF728AC468A}"/>
    <cellStyle name="Migliaia 46 4 2 5" xfId="10936" xr:uid="{6DD5FBFA-1077-4142-BA85-C1FD32916431}"/>
    <cellStyle name="Migliaia 46 4 2 5 2" xfId="21571" xr:uid="{BA1F5722-5EE4-4373-B050-E043BA6B1CFA}"/>
    <cellStyle name="Migliaia 46 4 2 5 3" xfId="47310" xr:uid="{3416746A-652F-4D4D-8B30-3BA2F63B0A69}"/>
    <cellStyle name="Migliaia 46 4 2 5 4" xfId="50586" xr:uid="{B9F8B641-262D-4BF0-98F6-2D51F378C89C}"/>
    <cellStyle name="Migliaia 46 4 2 5 5" xfId="53602" xr:uid="{7D40FD53-4C08-4B0E-8DC2-AB24D0AB2F9C}"/>
    <cellStyle name="Migliaia 46 4 2 6" xfId="20752" xr:uid="{F2E49407-6D76-4300-AC5F-0258E8243C8F}"/>
    <cellStyle name="Migliaia 46 4 2 7" xfId="25150" xr:uid="{C491E25F-00AE-4382-B151-FB8DCB885C54}"/>
    <cellStyle name="Migliaia 46 4 2 8" xfId="8724" xr:uid="{92E852B0-B8F5-4859-B46F-D652592EE3B9}"/>
    <cellStyle name="Migliaia 46 4 3" xfId="5480" xr:uid="{80163026-F19E-4685-8285-E88D17E548D9}"/>
    <cellStyle name="Migliaia 46 4 3 2" xfId="18243" xr:uid="{788812CE-3E87-47C5-B13E-CBCCF4F83280}"/>
    <cellStyle name="Migliaia 46 4 3 2 2" xfId="39844" xr:uid="{3FBB2D95-B8B2-4681-A0A8-B45418E7A80C}"/>
    <cellStyle name="Migliaia 46 4 3 2 3" xfId="45146" xr:uid="{8E8B7554-02BD-42A4-AF99-DAACD478AE50}"/>
    <cellStyle name="Migliaia 46 4 3 3" xfId="37231" xr:uid="{A46E9FA3-3ACA-4B5B-803F-1DC99EAA5A1B}"/>
    <cellStyle name="Migliaia 46 4 3 4" xfId="42495" xr:uid="{B0FEBC88-AC81-448A-9B4C-9FFB0BA247A4}"/>
    <cellStyle name="Migliaia 46 4 3 5" xfId="17305" xr:uid="{9762606E-B860-41E1-BC4C-84C96329FA4E}"/>
    <cellStyle name="Migliaia 46 4 3 6" xfId="9189" xr:uid="{AB0BA984-0651-432B-A289-544D83E8E5FC}"/>
    <cellStyle name="Migliaia 46 4 4" xfId="6664" xr:uid="{DD892B3B-1930-4DA2-9FCF-6C45F366021C}"/>
    <cellStyle name="Migliaia 46 4 4 2" xfId="34270" xr:uid="{B6B82E84-D0FC-441F-9018-37167A8CAF4E}"/>
    <cellStyle name="Migliaia 46 4 4 2 2" xfId="39845" xr:uid="{1E847A80-D441-41F8-931F-C2D5C8CA3099}"/>
    <cellStyle name="Migliaia 46 4 4 2 3" xfId="45147" xr:uid="{A6EFC519-9878-4579-819E-FB49CEB774BC}"/>
    <cellStyle name="Migliaia 46 4 4 3" xfId="37232" xr:uid="{9C9EA2B8-B95F-41F2-B8A6-EEFD4CDEDE1B}"/>
    <cellStyle name="Migliaia 46 4 4 4" xfId="42496" xr:uid="{002E3897-7F46-42D5-91A7-B2F6AD4121C9}"/>
    <cellStyle name="Migliaia 46 4 4 5" xfId="12050" xr:uid="{4B53916D-40ED-4468-8110-28C7E573280E}"/>
    <cellStyle name="Migliaia 46 4 5" xfId="3754" xr:uid="{21D75C22-4D3D-460C-8760-F59B699F5A4B}"/>
    <cellStyle name="Migliaia 46 4 5 2" xfId="34271" xr:uid="{DBD64D81-9136-48A6-B885-D91563E885CF}"/>
    <cellStyle name="Migliaia 46 4 5 2 2" xfId="39846" xr:uid="{618D7159-B307-4DE5-A9EB-80BFDC31095C}"/>
    <cellStyle name="Migliaia 46 4 5 2 3" xfId="45148" xr:uid="{1B5110C7-FED1-4CC3-819C-70B98AAD96ED}"/>
    <cellStyle name="Migliaia 46 4 5 3" xfId="37233" xr:uid="{22EFE003-144B-4B02-BCC7-AA86B2CA6152}"/>
    <cellStyle name="Migliaia 46 4 5 4" xfId="42497" xr:uid="{96811363-F9BC-4309-AC90-E16472071013}"/>
    <cellStyle name="Migliaia 46 4 5 5" xfId="11397" xr:uid="{5F6939AB-771A-455C-9B1B-EA59F9373482}"/>
    <cellStyle name="Migliaia 46 4 6" xfId="10935" xr:uid="{E0625DD4-B6BE-4460-B757-333F5F6CBFA2}"/>
    <cellStyle name="Migliaia 46 4 6 2" xfId="21570" xr:uid="{AF570ED4-CDE6-4FE9-A60A-4051BA107993}"/>
    <cellStyle name="Migliaia 46 4 6 2 2" xfId="39847" xr:uid="{49133F8A-EC2E-41F2-A07F-47885D48183B}"/>
    <cellStyle name="Migliaia 46 4 6 2 3" xfId="45149" xr:uid="{24D038BE-6A06-40B1-8A8E-E24F927D2B17}"/>
    <cellStyle name="Migliaia 46 4 6 2 4" xfId="34272" xr:uid="{3F52F045-6809-4A97-8430-A4D5CFFEA950}"/>
    <cellStyle name="Migliaia 46 4 6 3" xfId="37234" xr:uid="{785D8B59-6F26-49E6-81FA-BF7F4AC25BD1}"/>
    <cellStyle name="Migliaia 46 4 6 4" xfId="42498" xr:uid="{64B385A4-BAED-4278-8781-2FDE56CB1DAF}"/>
    <cellStyle name="Migliaia 46 4 6 5" xfId="25151" xr:uid="{AC217BEF-B8A5-4F7F-B1EF-782128C323BA}"/>
    <cellStyle name="Migliaia 46 4 6 6" xfId="47427" xr:uid="{1F4301F0-752A-4D97-806D-5238A496DB7D}"/>
    <cellStyle name="Migliaia 46 4 6 7" xfId="50585" xr:uid="{B2C1D74B-76C1-4783-8C27-74EDDCEAD175}"/>
    <cellStyle name="Migliaia 46 4 6 8" xfId="53601" xr:uid="{3B7F9402-6E0A-4158-BFD6-3949F9A17D1F}"/>
    <cellStyle name="Migliaia 46 4 7" xfId="20751" xr:uid="{40F36421-FF64-4A3F-99A6-D90B7EB2363B}"/>
    <cellStyle name="Migliaia 46 4 7 2" xfId="34273" xr:uid="{67AD894B-7EC7-4EC0-8A7A-E99D2CF15118}"/>
    <cellStyle name="Migliaia 46 4 7 2 2" xfId="39848" xr:uid="{27914DBA-EBB5-4362-8BAB-5C37014BF385}"/>
    <cellStyle name="Migliaia 46 4 7 2 3" xfId="45150" xr:uid="{3B00FC05-90ED-4D99-B478-96E19EE6FEAA}"/>
    <cellStyle name="Migliaia 46 4 7 3" xfId="37235" xr:uid="{EB166857-FC0A-444E-9080-34279478D67A}"/>
    <cellStyle name="Migliaia 46 4 7 4" xfId="42499" xr:uid="{BA3AD520-E55C-4ADF-A657-22445C514F15}"/>
    <cellStyle name="Migliaia 46 4 7 5" xfId="25152" xr:uid="{8C535E9A-77BE-4ECE-BF4A-0499ADC7A6C4}"/>
    <cellStyle name="Migliaia 46 4 8" xfId="25149" xr:uid="{FD7B0012-0401-4708-9A2D-2DCA1F5B4CF9}"/>
    <cellStyle name="Migliaia 46 4 9" xfId="7534" xr:uid="{C6399183-FEE4-4182-BAA6-2F3BECE6BAAA}"/>
    <cellStyle name="Migliaia 46 5" xfId="1860" xr:uid="{00000000-0005-0000-0000-00002F040000}"/>
    <cellStyle name="Migliaia 46 5 2" xfId="5482" xr:uid="{59338C53-D48E-457B-B9C3-C5DC44F3310B}"/>
    <cellStyle name="Migliaia 46 5 2 2" xfId="18484" xr:uid="{E8CA00F7-879B-4F53-B05F-1677C76D0DC4}"/>
    <cellStyle name="Migliaia 46 5 2 2 2" xfId="39849" xr:uid="{19B72BFA-0BA6-404D-B33D-CE6234FAF7D5}"/>
    <cellStyle name="Migliaia 46 5 2 2 3" xfId="45151" xr:uid="{527460D6-73F0-4AC7-A347-D4990DBB91C0}"/>
    <cellStyle name="Migliaia 46 5 2 3" xfId="20754" xr:uid="{29BC4323-F4DA-40B9-88D0-40EF046D43EF}"/>
    <cellStyle name="Migliaia 46 5 2 3 2" xfId="37236" xr:uid="{D8E4CE0E-8272-42E8-AD0C-B63AF3261CAF}"/>
    <cellStyle name="Migliaia 46 5 2 4" xfId="42500" xr:uid="{2694F40B-09DA-4F4B-96F5-1DF8374529D2}"/>
    <cellStyle name="Migliaia 46 5 2 5" xfId="16646" xr:uid="{954F5968-8D79-41F8-BFFE-1ED007BF2858}"/>
    <cellStyle name="Migliaia 46 5 2 6" xfId="8725" xr:uid="{78A7551B-8C95-49EE-B95E-01C87CB247F6}"/>
    <cellStyle name="Migliaia 46 5 3" xfId="6665" xr:uid="{DA403AF9-9141-4A89-B56A-92414CFE7274}"/>
    <cellStyle name="Migliaia 46 5 3 2" xfId="34274" xr:uid="{2F3EC246-BCAE-4A7D-BC25-99520B06A03E}"/>
    <cellStyle name="Migliaia 46 5 3 2 2" xfId="39850" xr:uid="{549DFA70-F5CB-4AB5-AFE1-7AD08D566660}"/>
    <cellStyle name="Migliaia 46 5 3 2 3" xfId="45152" xr:uid="{119DEFF2-C599-468D-A32F-C0635FDFBBA3}"/>
    <cellStyle name="Migliaia 46 5 3 3" xfId="37237" xr:uid="{BA90ACD1-E479-4253-A071-59501BC51BB6}"/>
    <cellStyle name="Migliaia 46 5 3 4" xfId="42501" xr:uid="{8715A3CC-9310-49A7-ACE5-27FA312C89CE}"/>
    <cellStyle name="Migliaia 46 5 3 5" xfId="11399" xr:uid="{E660679F-7E4A-47F0-90B6-3884C9DDB17B}"/>
    <cellStyle name="Migliaia 46 5 4" xfId="3756" xr:uid="{C7A418DF-17FC-4179-BF40-776395AB3D11}"/>
    <cellStyle name="Migliaia 46 5 4 2" xfId="21572" xr:uid="{CC9DADE3-2683-4DF6-B663-2367E1CC6DD0}"/>
    <cellStyle name="Migliaia 46 5 4 2 2" xfId="39851" xr:uid="{B360582F-B539-4719-BBFC-A33A85467706}"/>
    <cellStyle name="Migliaia 46 5 4 2 3" xfId="45153" xr:uid="{42FAD991-6672-488E-9BD4-6F216288FB24}"/>
    <cellStyle name="Migliaia 46 5 4 2 4" xfId="34275" xr:uid="{C1880878-7F5B-4208-AFA8-DDDD0219F1A1}"/>
    <cellStyle name="Migliaia 46 5 4 3" xfId="37238" xr:uid="{DCA5BAE4-D0A1-4EF9-BD6E-F631315CF414}"/>
    <cellStyle name="Migliaia 46 5 4 4" xfId="42502" xr:uid="{30EE2E70-3C5B-46C7-9D1D-D61038332661}"/>
    <cellStyle name="Migliaia 46 5 4 5" xfId="25154" xr:uid="{30DBA3F3-AA0D-44FA-AFF7-E0A6510A8EBF}"/>
    <cellStyle name="Migliaia 46 5 4 6" xfId="46260" xr:uid="{A4C25B83-26AB-445F-90E1-D72E09FE0E7F}"/>
    <cellStyle name="Migliaia 46 5 4 7" xfId="50587" xr:uid="{0697CABF-A99A-44BD-9986-C43AA96E681D}"/>
    <cellStyle name="Migliaia 46 5 4 8" xfId="53603" xr:uid="{FD674446-56F1-4BF6-86D8-EEEAE271F08C}"/>
    <cellStyle name="Migliaia 46 5 4 9" xfId="10937" xr:uid="{D38BB2C6-706E-49B8-BE0E-FEB79E6822B0}"/>
    <cellStyle name="Migliaia 46 5 5" xfId="20753" xr:uid="{A3FB3B2E-5889-4A82-88B0-1F666300E87D}"/>
    <cellStyle name="Migliaia 46 5 5 2" xfId="34276" xr:uid="{59DE34D0-0332-4B79-A8E3-C2FE8DA8F28E}"/>
    <cellStyle name="Migliaia 46 5 5 2 2" xfId="39852" xr:uid="{235E6BB8-703E-4953-9A7C-EDD3024E0CE6}"/>
    <cellStyle name="Migliaia 46 5 5 2 3" xfId="45154" xr:uid="{3559690E-B7B8-4220-8E57-80F14ED738AF}"/>
    <cellStyle name="Migliaia 46 5 5 3" xfId="37239" xr:uid="{A918EA5D-479D-44A7-B42B-A7301BFD0FA9}"/>
    <cellStyle name="Migliaia 46 5 5 4" xfId="42503" xr:uid="{8C894095-8164-4F28-9E72-9D81B8480D1D}"/>
    <cellStyle name="Migliaia 46 5 5 5" xfId="25155" xr:uid="{FF552209-3998-47E3-B109-FEE85968FECE}"/>
    <cellStyle name="Migliaia 46 5 6" xfId="25156" xr:uid="{FD38D098-E8EE-4DFA-A91F-CB42264D1DC6}"/>
    <cellStyle name="Migliaia 46 5 6 2" xfId="34277" xr:uid="{DD3F8A60-9754-4EF6-9DC2-26E389BBEC2A}"/>
    <cellStyle name="Migliaia 46 5 6 2 2" xfId="39853" xr:uid="{7EBCC056-6C73-4884-B8FF-2BA0DF76628F}"/>
    <cellStyle name="Migliaia 46 5 6 2 3" xfId="45155" xr:uid="{1B8247D6-C38A-443C-BA77-EDCD241B50A6}"/>
    <cellStyle name="Migliaia 46 5 6 3" xfId="37240" xr:uid="{7ABFF4B3-CA57-41C4-A8B9-9F640E25FD2F}"/>
    <cellStyle name="Migliaia 46 5 6 4" xfId="42504" xr:uid="{81FD7248-0338-4C50-9A9A-4D770F672E5E}"/>
    <cellStyle name="Migliaia 46 5 7" xfId="25153" xr:uid="{0294ADE2-1227-4332-AC94-7550C8622EC0}"/>
    <cellStyle name="Migliaia 46 5 8" xfId="7535" xr:uid="{395C751D-9921-4122-879F-CEADFB5255D1}"/>
    <cellStyle name="Migliaia 46 6" xfId="3757" xr:uid="{C7EB0CDC-7E81-4458-87BA-F2890ECBD7C0}"/>
    <cellStyle name="Migliaia 46 6 2" xfId="5483" xr:uid="{709C9577-B994-42ED-B7F3-08AA34E5BC19}"/>
    <cellStyle name="Migliaia 46 6 2 2" xfId="9961" xr:uid="{1F2B35AB-3795-4E74-906D-61C565D267B4}"/>
    <cellStyle name="Migliaia 46 6 2 3" xfId="18640" xr:uid="{E01BD415-341C-408E-8064-3662671FC776}"/>
    <cellStyle name="Migliaia 46 6 2 4" xfId="20756" xr:uid="{EF18E96B-C0B5-48B6-9B26-42F7DC554B6F}"/>
    <cellStyle name="Migliaia 46 6 2 5" xfId="32441" xr:uid="{827704D9-3A15-49BB-BABF-B3182B78841B}"/>
    <cellStyle name="Migliaia 46 6 2 6" xfId="16648" xr:uid="{236767C9-AB73-496A-A1BF-8357B30A6084}"/>
    <cellStyle name="Migliaia 46 6 2 7" xfId="8720" xr:uid="{59D57109-857F-454F-9264-1D0071DDBE25}"/>
    <cellStyle name="Migliaia 46 6 3" xfId="6666" xr:uid="{ED4F6FE0-6C02-4CF3-90EA-0F6E0EF41885}"/>
    <cellStyle name="Migliaia 46 6 3 2" xfId="35407" xr:uid="{48B8CCFC-D7DF-401C-AD4E-C260829400E9}"/>
    <cellStyle name="Migliaia 46 6 3 2 2" xfId="40567" xr:uid="{9D2525A8-2D6D-481E-8692-E81ECE39DD17}"/>
    <cellStyle name="Migliaia 46 6 3 2 3" xfId="45869" xr:uid="{3F4600AE-F898-4C92-8423-59878228F6D7}"/>
    <cellStyle name="Migliaia 46 6 3 3" xfId="37916" xr:uid="{27AB7022-A6E5-45DD-8317-1EE88737B21B}"/>
    <cellStyle name="Migliaia 46 6 3 4" xfId="43218" xr:uid="{B68A4CD7-11EB-4896-956D-D9DE176C1A55}"/>
    <cellStyle name="Migliaia 46 6 3 5" xfId="9724" xr:uid="{74D8D098-FEE6-43AE-9BF4-FF2C0FF8AB14}"/>
    <cellStyle name="Migliaia 46 6 4" xfId="20755" xr:uid="{ACF3C187-BED3-4D51-B5D5-8D444571B95F}"/>
    <cellStyle name="Migliaia 46 6 4 2" xfId="39854" xr:uid="{DD459F02-7C0A-402C-A495-402C1E06A9C8}"/>
    <cellStyle name="Migliaia 46 6 4 3" xfId="45156" xr:uid="{87AD234F-57BD-40FA-8343-56C0F63B1379}"/>
    <cellStyle name="Migliaia 46 6 4 4" xfId="34278" xr:uid="{0278D5CC-8FC0-43F6-B472-D5AC5D7FEAE5}"/>
    <cellStyle name="Migliaia 46 6 5" xfId="37241" xr:uid="{5D18C243-7FC6-4527-B471-95B067997D10}"/>
    <cellStyle name="Migliaia 46 6 6" xfId="42505" xr:uid="{79D5237E-3706-4B54-8147-26AAF11C6412}"/>
    <cellStyle name="Migliaia 46 6 7" xfId="16647" xr:uid="{5BC2763D-7483-4EC2-A89C-51743015FF3F}"/>
    <cellStyle name="Migliaia 46 6 8" xfId="7530" xr:uid="{EBFEC8B9-6571-455B-859E-A89DC6C609EB}"/>
    <cellStyle name="Migliaia 46 7" xfId="3758" xr:uid="{ED74A01A-CB09-41E1-A89C-E75A48F8B810}"/>
    <cellStyle name="Migliaia 46 7 2" xfId="5484" xr:uid="{20B75C15-BCA0-423B-9D2D-637D9587551D}"/>
    <cellStyle name="Migliaia 46 7 2 2" xfId="35408" xr:uid="{5F1628F2-152D-43DE-A092-AC2C3C5F7212}"/>
    <cellStyle name="Migliaia 46 7 2 2 2" xfId="40568" xr:uid="{41E8E01C-4E15-4E02-A09E-1AF769E15B05}"/>
    <cellStyle name="Migliaia 46 7 2 2 3" xfId="45870" xr:uid="{6CEB436F-E06A-4D15-B31D-C754075646D0}"/>
    <cellStyle name="Migliaia 46 7 2 3" xfId="37917" xr:uid="{380B0764-D2CD-4509-B1E1-D03AA7761B32}"/>
    <cellStyle name="Migliaia 46 7 2 4" xfId="43219" xr:uid="{BF06D51E-70DC-4CA4-B5D2-A0010E1F4B71}"/>
    <cellStyle name="Migliaia 46 7 2 5" xfId="14299" xr:uid="{5979E2FF-279D-4ABC-891F-ACCB72A1DB36}"/>
    <cellStyle name="Migliaia 46 7 3" xfId="6667" xr:uid="{CDEAFA78-86A6-4034-8C33-82ABFC96A806}"/>
    <cellStyle name="Migliaia 46 7 3 2" xfId="39855" xr:uid="{4269250F-91C2-4A95-85D7-6D5BDA9B6F39}"/>
    <cellStyle name="Migliaia 46 7 3 3" xfId="45157" xr:uid="{0696E9E8-5B22-467A-8486-6A9887254126}"/>
    <cellStyle name="Migliaia 46 7 3 4" xfId="34279" xr:uid="{524004A6-C62B-4A7A-AAB6-69E63161B4DC}"/>
    <cellStyle name="Migliaia 46 7 3 5" xfId="20757" xr:uid="{039B9ECF-4DBB-47A1-8BE8-AA6747B17DB1}"/>
    <cellStyle name="Migliaia 46 7 4" xfId="37242" xr:uid="{6362FE89-3989-4972-A2D7-FCFAFA1EB8AA}"/>
    <cellStyle name="Migliaia 46 7 5" xfId="42506" xr:uid="{AEFFE9E8-E8AF-42B1-B9CE-536C7E611F34}"/>
    <cellStyle name="Migliaia 46 7 6" xfId="16649" xr:uid="{AA314AED-6B78-4252-B89D-30370803292B}"/>
    <cellStyle name="Migliaia 46 7 7" xfId="8361" xr:uid="{EA8D4DCD-2FCD-41CA-BD6E-110EB0B628A4}"/>
    <cellStyle name="Migliaia 46 8" xfId="3759" xr:uid="{5BF3515C-FA1A-4236-91D3-5547CA86AF7A}"/>
    <cellStyle name="Migliaia 46 8 2" xfId="5485" xr:uid="{407376C9-4ED2-413C-92F2-C534AC9748E5}"/>
    <cellStyle name="Migliaia 46 8 2 2" xfId="35409" xr:uid="{B2DB2B43-D906-4FC7-8294-ADBBCFD3171D}"/>
    <cellStyle name="Migliaia 46 8 2 2 2" xfId="40569" xr:uid="{0193B82E-5C1A-40BB-877C-2246B34E7C22}"/>
    <cellStyle name="Migliaia 46 8 2 2 3" xfId="45871" xr:uid="{4A63D364-721D-4A8D-A86F-E43376A4EFED}"/>
    <cellStyle name="Migliaia 46 8 2 3" xfId="37918" xr:uid="{DA947AEF-CE8F-41E3-AE2B-9FEB87E7BFF9}"/>
    <cellStyle name="Migliaia 46 8 2 4" xfId="43220" xr:uid="{9B2BDE60-1CCE-4559-B1AB-54BB39B073C4}"/>
    <cellStyle name="Migliaia 46 8 2 5" xfId="14004" xr:uid="{9AB3B737-5671-4C24-A26E-E1625AEE500B}"/>
    <cellStyle name="Migliaia 46 8 3" xfId="6668" xr:uid="{87B3C641-C4DC-4C6C-87F3-A705526F1A55}"/>
    <cellStyle name="Migliaia 46 8 3 2" xfId="39856" xr:uid="{640FF09B-B3C1-42DB-8739-3BD764FC7D05}"/>
    <cellStyle name="Migliaia 46 8 3 3" xfId="45158" xr:uid="{5FDED6FC-4AA0-492B-83FD-D6FA3E405FD7}"/>
    <cellStyle name="Migliaia 46 8 3 4" xfId="34280" xr:uid="{DFE76762-72B0-4F38-A749-62DF7C03E6EA}"/>
    <cellStyle name="Migliaia 46 8 3 5" xfId="20758" xr:uid="{A298DB5A-7375-465E-BA4C-D249F13B2086}"/>
    <cellStyle name="Migliaia 46 8 4" xfId="37243" xr:uid="{55784EA6-78F1-4D64-BB5A-BA7B86D30B9E}"/>
    <cellStyle name="Migliaia 46 8 5" xfId="42507" xr:uid="{8F5897CC-C990-4B7C-9AAA-D17DD07D0E52}"/>
    <cellStyle name="Migliaia 46 8 6" xfId="16650" xr:uid="{54EB37E9-FDCC-436B-A284-E7AFEF3EA574}"/>
    <cellStyle name="Migliaia 46 8 7" xfId="7982" xr:uid="{AEB58526-D24F-4DBC-9890-7529A6DFE925}"/>
    <cellStyle name="Migliaia 46 9" xfId="5470" xr:uid="{1DF514BA-51C7-4BB3-9BCC-D90476BF9D38}"/>
    <cellStyle name="Migliaia 46 9 2" xfId="34281" xr:uid="{AD8D2C6E-E218-4E4D-A1EB-CCE7C5072EA6}"/>
    <cellStyle name="Migliaia 46 9 2 2" xfId="39857" xr:uid="{6410B75C-B84C-44BC-B26B-664A1E052896}"/>
    <cellStyle name="Migliaia 46 9 2 3" xfId="45159" xr:uid="{1C3779F0-EB8B-42DE-B74D-5ED6F3D7F352}"/>
    <cellStyle name="Migliaia 46 9 3" xfId="37244" xr:uid="{8E0EB2AB-BF79-4F3F-AFF9-130FD55A2088}"/>
    <cellStyle name="Migliaia 46 9 4" xfId="42508" xr:uid="{755DDED4-4CD3-440F-B742-D756626BEC0A}"/>
    <cellStyle name="Migliaia 46 9 5" xfId="17215" xr:uid="{4583C464-3551-42BA-9173-91D82C49AB6A}"/>
    <cellStyle name="Migliaia 47" xfId="465" xr:uid="{00000000-0005-0000-0000-000030040000}"/>
    <cellStyle name="Migliaia 47 10" xfId="6669" xr:uid="{58B66077-9DE4-4615-8A05-88F40868DFA6}"/>
    <cellStyle name="Migliaia 47 10 2" xfId="39858" xr:uid="{51E7F5DB-3F10-459D-A1C8-365BB86F70E7}"/>
    <cellStyle name="Migliaia 47 10 3" xfId="45160" xr:uid="{A8DDBE16-93BB-477C-8ED4-0175F96084AB}"/>
    <cellStyle name="Migliaia 47 10 4" xfId="34282" xr:uid="{5580C26A-C636-4D2E-9C7E-BBC96A91C404}"/>
    <cellStyle name="Migliaia 47 10 5" xfId="20759" xr:uid="{8FF02B87-D020-4B8B-9ADE-45D0E7D6FC0D}"/>
    <cellStyle name="Migliaia 47 11" xfId="3760" xr:uid="{30D4AB59-2E0C-4BD0-845B-896614282AC1}"/>
    <cellStyle name="Migliaia 47 11 2" xfId="37245" xr:uid="{602A5055-D0BE-476B-97D4-35F24F30258B}"/>
    <cellStyle name="Migliaia 47 12" xfId="42509" xr:uid="{AB6FA7D1-A3DF-4E56-9314-CA25C3D30F44}"/>
    <cellStyle name="Migliaia 47 13" xfId="7165" xr:uid="{AC5E1B96-ECB5-4302-AA74-780DD5ECF69E}"/>
    <cellStyle name="Migliaia 47 2" xfId="466" xr:uid="{00000000-0005-0000-0000-000031040000}"/>
    <cellStyle name="Migliaia 47 2 2" xfId="1861" xr:uid="{00000000-0005-0000-0000-000032040000}"/>
    <cellStyle name="Migliaia 47 2 2 2" xfId="5488" xr:uid="{F5D4E436-81DE-4984-8C33-44D2F5D5B7CF}"/>
    <cellStyle name="Migliaia 47 2 2 2 2" xfId="14404" xr:uid="{6142B4D7-85BE-4481-A99B-B1061E15952E}"/>
    <cellStyle name="Migliaia 47 2 2 2 2 2" xfId="39859" xr:uid="{0FC8357E-76CB-4C25-BE15-CAC46D25CE30}"/>
    <cellStyle name="Migliaia 47 2 2 2 2 3" xfId="45161" xr:uid="{47A78FA1-0302-415A-8EE5-75FAECEC3928}"/>
    <cellStyle name="Migliaia 47 2 2 2 3" xfId="18485" xr:uid="{434AD15B-14C9-412F-A333-A16475E681B4}"/>
    <cellStyle name="Migliaia 47 2 2 2 4" xfId="20762" xr:uid="{6FCCBBB8-DA9D-44EC-A5E7-89F73FF09F78}"/>
    <cellStyle name="Migliaia 47 2 2 2 4 2" xfId="42510" xr:uid="{390775AA-D824-48E9-B201-287EDB29860E}"/>
    <cellStyle name="Migliaia 47 2 2 2 5" xfId="16651" xr:uid="{E9663506-DCF1-4417-BE54-F7CDA3F66927}"/>
    <cellStyle name="Migliaia 47 2 2 2 6" xfId="8727" xr:uid="{A8DE60AA-F427-4930-972C-4083BDF202CC}"/>
    <cellStyle name="Migliaia 47 2 2 3" xfId="6671" xr:uid="{E007C20A-A4FD-4785-B414-CFCD199C7B8F}"/>
    <cellStyle name="Migliaia 47 2 2 3 2" xfId="35410" xr:uid="{011DB7B5-F66C-4D07-8EDC-DA36550D085C}"/>
    <cellStyle name="Migliaia 47 2 2 3 2 2" xfId="40570" xr:uid="{EFA84E2F-712C-4E00-ABD4-56F6FCBABA1E}"/>
    <cellStyle name="Migliaia 47 2 2 3 2 3" xfId="45872" xr:uid="{F6CC6A80-C285-4E18-A3DD-8A598819CB8D}"/>
    <cellStyle name="Migliaia 47 2 2 3 3" xfId="37919" xr:uid="{6F6B54C3-BFC1-4D68-AADD-03AE43709777}"/>
    <cellStyle name="Migliaia 47 2 2 3 4" xfId="43221" xr:uid="{D3504D7F-33B5-43DD-9EDA-85DE683767D6}"/>
    <cellStyle name="Migliaia 47 2 2 3 5" xfId="11631" xr:uid="{8839CAE9-A517-4904-A670-22F1510D4DFB}"/>
    <cellStyle name="Migliaia 47 2 2 4" xfId="3762" xr:uid="{6A4DA001-497B-4567-95EE-9EE8B2F1E73A}"/>
    <cellStyle name="Migliaia 47 2 2 4 2" xfId="21573" xr:uid="{5A75D05C-C193-4175-AAF5-31C809227508}"/>
    <cellStyle name="Migliaia 47 2 2 4 3" xfId="47904" xr:uid="{2F28772F-7970-4E18-82B8-1F5B469F8559}"/>
    <cellStyle name="Migliaia 47 2 2 4 4" xfId="50588" xr:uid="{3B5F8D1D-0DD9-4B77-B7E5-C9AAA7AF5A85}"/>
    <cellStyle name="Migliaia 47 2 2 4 5" xfId="53604" xr:uid="{20FBBB76-BB1C-42F8-9454-15CFD15681A6}"/>
    <cellStyle name="Migliaia 47 2 2 4 6" xfId="10938" xr:uid="{86B14F87-F0E5-487D-92B3-25C72C066038}"/>
    <cellStyle name="Migliaia 47 2 2 5" xfId="20761" xr:uid="{601AB84D-8BEE-483F-A21C-05C7950F01D9}"/>
    <cellStyle name="Migliaia 47 2 2 6" xfId="25158" xr:uid="{34D4EC2D-2FFE-463C-8EB6-D568D3C9D0A8}"/>
    <cellStyle name="Migliaia 47 2 2 7" xfId="7537" xr:uid="{0E856AE8-A8FA-4F22-B5E8-2857BBAA249B}"/>
    <cellStyle name="Migliaia 47 2 3" xfId="3763" xr:uid="{8EC71CED-A63F-453C-83FF-A7FDAC949A3E}"/>
    <cellStyle name="Migliaia 47 2 3 2" xfId="5489" xr:uid="{F62E0981-0B94-4DEF-A2AC-7464D851E043}"/>
    <cellStyle name="Migliaia 47 2 3 2 2" xfId="35411" xr:uid="{AB6D45B2-F0BF-4763-BC2D-1C62BA4AA59A}"/>
    <cellStyle name="Migliaia 47 2 3 2 2 2" xfId="40571" xr:uid="{05C75B21-64A9-4D47-8AA5-ACB20D8B65A7}"/>
    <cellStyle name="Migliaia 47 2 3 2 2 3" xfId="45873" xr:uid="{C598D2AF-4954-424A-A449-B621E0D3E0CF}"/>
    <cellStyle name="Migliaia 47 2 3 2 3" xfId="37920" xr:uid="{6772EA97-3909-4FEB-A594-838C9BF98CE9}"/>
    <cellStyle name="Migliaia 47 2 3 2 4" xfId="43222" xr:uid="{F7727180-FD67-410B-BF99-894FAA478183}"/>
    <cellStyle name="Migliaia 47 2 3 2 5" xfId="14303" xr:uid="{5F699C29-A1EE-44C6-9A18-AA1C0FD7E4D4}"/>
    <cellStyle name="Migliaia 47 2 3 3" xfId="6672" xr:uid="{3251134C-5FD7-4504-B782-8AB3957D207D}"/>
    <cellStyle name="Migliaia 47 2 3 3 2" xfId="39860" xr:uid="{453ADDCA-C92A-4249-95AE-184778F9F114}"/>
    <cellStyle name="Migliaia 47 2 3 3 3" xfId="45162" xr:uid="{22599909-C5CC-4144-B1BB-ABAD25454FEF}"/>
    <cellStyle name="Migliaia 47 2 3 3 4" xfId="34283" xr:uid="{6B17FF00-BD58-451C-933E-29ED5EF317DB}"/>
    <cellStyle name="Migliaia 47 2 3 3 5" xfId="20763" xr:uid="{91ED2D15-9211-4B30-9F88-D4BC44936EFD}"/>
    <cellStyle name="Migliaia 47 2 3 4" xfId="37246" xr:uid="{92E930DE-A76F-48D8-B8F7-8D63DB860DA2}"/>
    <cellStyle name="Migliaia 47 2 3 5" xfId="42511" xr:uid="{B8CFE0A3-2CB7-40FC-B597-132AB69DFB25}"/>
    <cellStyle name="Migliaia 47 2 3 6" xfId="16652" xr:uid="{34506406-7D51-4ACE-84F1-ECED2636B20A}"/>
    <cellStyle name="Migliaia 47 2 3 7" xfId="8365" xr:uid="{5D2039A7-F463-4FFF-B71F-85101202B48B}"/>
    <cellStyle name="Migliaia 47 2 4" xfId="5487" xr:uid="{9A483735-BE3F-41D2-89FE-BFEE098C3787}"/>
    <cellStyle name="Migliaia 47 2 4 2" xfId="14008" xr:uid="{4EA7AE78-F146-43DA-87B3-F1D44CBA627B}"/>
    <cellStyle name="Migliaia 47 2 4 2 2" xfId="39861" xr:uid="{97C359DF-916C-403A-A5E0-AE6AE1678C93}"/>
    <cellStyle name="Migliaia 47 2 4 2 3" xfId="45163" xr:uid="{93AF5596-080D-4294-8FC4-EFD57C9AA511}"/>
    <cellStyle name="Migliaia 47 2 4 3" xfId="18697" xr:uid="{DB4F0684-6453-46A3-B5B0-19FE758B2E55}"/>
    <cellStyle name="Migliaia 47 2 4 4" xfId="20764" xr:uid="{7D48CAAA-EE2A-4B71-B7BE-74D814299C8D}"/>
    <cellStyle name="Migliaia 47 2 4 4 2" xfId="42512" xr:uid="{818553DD-6566-4947-9C8B-DB98CE755081}"/>
    <cellStyle name="Migliaia 47 2 4 5" xfId="16653" xr:uid="{F13AB95F-C28B-4F76-83C8-215F87ED0176}"/>
    <cellStyle name="Migliaia 47 2 4 6" xfId="7987" xr:uid="{552376A4-F09E-43E1-AE4D-3D5430112559}"/>
    <cellStyle name="Migliaia 47 2 5" xfId="6670" xr:uid="{67FB58E4-996B-4C2F-8B1B-29FFED53830F}"/>
    <cellStyle name="Migliaia 47 2 5 2" xfId="34285" xr:uid="{942789D6-E523-4C3F-8034-AE50579AD94D}"/>
    <cellStyle name="Migliaia 47 2 5 2 2" xfId="39862" xr:uid="{B36BD3A4-3ADC-435C-B545-B00FB73741D4}"/>
    <cellStyle name="Migliaia 47 2 5 2 3" xfId="45164" xr:uid="{A05919B9-C81B-492B-B3C1-FE915E7C2DDD}"/>
    <cellStyle name="Migliaia 47 2 5 3" xfId="37247" xr:uid="{4594CAB5-DA24-408B-BA92-3A6049A9E9F6}"/>
    <cellStyle name="Migliaia 47 2 5 4" xfId="42513" xr:uid="{C1D260C0-EC01-4A37-9F88-2A3C4574E708}"/>
    <cellStyle name="Migliaia 47 2 5 5" xfId="13144" xr:uid="{5A9F3F0E-C538-4FEC-93B0-DEFBB258383A}"/>
    <cellStyle name="Migliaia 47 2 6" xfId="3761" xr:uid="{E70DB612-ECDB-48D8-9547-5B659033AB11}"/>
    <cellStyle name="Migliaia 47 2 6 2" xfId="34286" xr:uid="{94FD381C-9396-4BAE-9A4E-599E6AB3C6F5}"/>
    <cellStyle name="Migliaia 47 2 6 2 2" xfId="39863" xr:uid="{97D7DDF5-C614-48F7-A0E3-44341B5957B8}"/>
    <cellStyle name="Migliaia 47 2 6 2 3" xfId="45165" xr:uid="{3B0B99FB-A3B8-4167-BE75-3CB3953FC7E3}"/>
    <cellStyle name="Migliaia 47 2 6 3" xfId="37248" xr:uid="{404811EF-CDE6-4F4F-8B1D-B4B095B05B8B}"/>
    <cellStyle name="Migliaia 47 2 6 4" xfId="42514" xr:uid="{03A77F18-290F-4657-BC4E-1EF2AFBAD374}"/>
    <cellStyle name="Migliaia 47 2 6 5" xfId="25160" xr:uid="{4D74BE74-FFB8-4A1C-A80A-ABD3EA784CB8}"/>
    <cellStyle name="Migliaia 47 2 6 6" xfId="20760" xr:uid="{38F59E28-4FF2-457A-BFE7-7C4192FEC312}"/>
    <cellStyle name="Migliaia 47 2 7" xfId="25157" xr:uid="{2258533B-CD2B-423C-94E0-A187DAFD9404}"/>
    <cellStyle name="Migliaia 47 2 8" xfId="7166" xr:uid="{A91C51FF-2429-4C81-AE3C-F1AD531AA9C8}"/>
    <cellStyle name="Migliaia 47 3" xfId="467" xr:uid="{00000000-0005-0000-0000-000033040000}"/>
    <cellStyle name="Migliaia 47 3 10" xfId="25161" xr:uid="{86EBABEF-0264-4F73-A663-C458E79BA2F6}"/>
    <cellStyle name="Migliaia 47 3 11" xfId="16654" xr:uid="{DDB50030-9857-4680-A7FB-B8CAAFDD302F}"/>
    <cellStyle name="Migliaia 47 3 12" xfId="7167" xr:uid="{034EE52F-8D10-4BD4-B3CC-052F54656821}"/>
    <cellStyle name="Migliaia 47 3 2" xfId="468" xr:uid="{00000000-0005-0000-0000-000034040000}"/>
    <cellStyle name="Migliaia 47 3 2 2" xfId="1862" xr:uid="{00000000-0005-0000-0000-000035040000}"/>
    <cellStyle name="Migliaia 47 3 2 2 2" xfId="5492" xr:uid="{D97BA747-D864-41C6-9A12-C0317C2B2ED2}"/>
    <cellStyle name="Migliaia 47 3 2 2 2 2" xfId="18486" xr:uid="{B94587E5-53D0-481B-A131-6F2266C35E62}"/>
    <cellStyle name="Migliaia 47 3 2 2 2 2 2" xfId="21882" xr:uid="{DF3672D3-4C4A-420F-AE8F-D658DDF45E41}"/>
    <cellStyle name="Migliaia 47 3 2 2 2 2 2 2" xfId="39864" xr:uid="{B123DF8E-19D2-40D3-A0DD-A7A0802F6B8E}"/>
    <cellStyle name="Migliaia 47 3 2 2 2 2 3" xfId="45166" xr:uid="{2D6C8048-6EC5-4434-9853-8510F1AF8FAA}"/>
    <cellStyle name="Migliaia 47 3 2 2 2 2 4" xfId="34287" xr:uid="{378A444D-33EC-4BA0-93C9-6D9513C1D4D8}"/>
    <cellStyle name="Migliaia 47 3 2 2 2 3" xfId="37249" xr:uid="{00BF4221-0CE3-41D5-96E5-8B834006AE1D}"/>
    <cellStyle name="Migliaia 47 3 2 2 2 4" xfId="42515" xr:uid="{D75576E4-4273-4FB1-A0AF-7B350EA77ACF}"/>
    <cellStyle name="Migliaia 47 3 2 2 2 5" xfId="25113" xr:uid="{6B3127EB-B190-4990-9BFB-D30EC8C54965}"/>
    <cellStyle name="Migliaia 47 3 2 2 2 6" xfId="50910" xr:uid="{6B655601-FC96-455C-91DB-3B7C455C632F}"/>
    <cellStyle name="Migliaia 47 3 2 2 2 7" xfId="53926" xr:uid="{9E9644D2-917C-421D-AA51-C2E9E36E0240}"/>
    <cellStyle name="Migliaia 47 3 2 2 2 8" xfId="17680" xr:uid="{37D79C8D-C231-4474-9CF4-80F7D114C888}"/>
    <cellStyle name="Migliaia 47 3 2 2 2 9" xfId="12051" xr:uid="{67B72CB5-A15E-4225-A0FF-7AECC3A0C144}"/>
    <cellStyle name="Migliaia 47 3 2 2 3" xfId="6675" xr:uid="{6AA901BF-7931-428C-BC04-8FF206E9E720}"/>
    <cellStyle name="Migliaia 47 3 2 2 3 2" xfId="11141" xr:uid="{353CECCE-0FCF-4EC6-B91C-7308D9069A2A}"/>
    <cellStyle name="Migliaia 47 3 2 2 4" xfId="3766" xr:uid="{80C05CA8-F4FF-40E6-83AF-4B0FDAF5919F}"/>
    <cellStyle name="Migliaia 47 3 2 2 4 2" xfId="21574" xr:uid="{77AF271E-01A5-4262-98B2-D9E6E7D51215}"/>
    <cellStyle name="Migliaia 47 3 2 2 4 3" xfId="25349" xr:uid="{428F9E32-1E00-48E4-B329-D85873593EBD}"/>
    <cellStyle name="Migliaia 47 3 2 2 4 4" xfId="50589" xr:uid="{A441CC85-1DA0-416D-962F-1715CAF39D26}"/>
    <cellStyle name="Migliaia 47 3 2 2 4 5" xfId="53605" xr:uid="{36D407E6-54DA-46EF-AB07-6213340F3255}"/>
    <cellStyle name="Migliaia 47 3 2 2 4 6" xfId="10939" xr:uid="{25E0EAB5-1DAD-4434-9ADA-1010F7FB3B13}"/>
    <cellStyle name="Migliaia 47 3 2 2 5" xfId="20767" xr:uid="{F1A8499A-7E2D-41A2-BB22-ACEB8857AF87}"/>
    <cellStyle name="Migliaia 47 3 2 2 6" xfId="25163" xr:uid="{6B491CA1-CB39-4016-8D31-3E756D79A3E6}"/>
    <cellStyle name="Migliaia 47 3 2 2 7" xfId="8729" xr:uid="{930344C8-A30F-44FB-AB2F-8CECE3C06F61}"/>
    <cellStyle name="Migliaia 47 3 2 3" xfId="5491" xr:uid="{0F95BC40-D8CB-4E74-95F3-077FB8C3D444}"/>
    <cellStyle name="Migliaia 47 3 2 3 2" xfId="12402" xr:uid="{25537D91-0525-409C-AEC5-FF27A046D5E1}"/>
    <cellStyle name="Migliaia 47 3 2 3 2 2" xfId="39865" xr:uid="{8C2B3F2A-A780-4742-835E-2970083C2270}"/>
    <cellStyle name="Migliaia 47 3 2 3 2 3" xfId="45167" xr:uid="{139838F6-524B-4897-A8AB-88C559369A4D}"/>
    <cellStyle name="Migliaia 47 3 2 3 2 4" xfId="34288" xr:uid="{697C2133-5755-4DF8-9313-9C8A80FEDD9D}"/>
    <cellStyle name="Migliaia 47 3 2 3 3" xfId="12052" xr:uid="{AB9BF880-C414-4C66-87B8-AA410ADBCD9B}"/>
    <cellStyle name="Migliaia 47 3 2 3 4" xfId="20768" xr:uid="{0932AF06-0580-45E7-BFBB-4DE8C9DC8B88}"/>
    <cellStyle name="Migliaia 47 3 2 3 4 2" xfId="42516" xr:uid="{26334DB4-7E59-4618-A0B0-BC9DAF10D55C}"/>
    <cellStyle name="Migliaia 47 3 2 3 5" xfId="16655" xr:uid="{20B36C75-1C15-445B-A3C7-097F1D9390FD}"/>
    <cellStyle name="Migliaia 47 3 2 3 6" xfId="7989" xr:uid="{21E34490-9A14-46E0-8E5E-DDBD2BD7F4D9}"/>
    <cellStyle name="Migliaia 47 3 2 4" xfId="6674" xr:uid="{0A14D3A0-B26E-43E3-93E6-4EBD80449D44}"/>
    <cellStyle name="Migliaia 47 3 2 4 2" xfId="18098" xr:uid="{9B734395-9AF5-401B-9A9A-C5DC8D2AC4F8}"/>
    <cellStyle name="Migliaia 47 3 2 4 2 2" xfId="39866" xr:uid="{39AADF45-315F-4A71-958D-F8655400D757}"/>
    <cellStyle name="Migliaia 47 3 2 4 2 3" xfId="45168" xr:uid="{D3AF07F6-9374-4502-8A18-E057A34FD642}"/>
    <cellStyle name="Migliaia 47 3 2 4 3" xfId="37250" xr:uid="{F505F607-9D0B-4F7C-8B3F-F1BEAC56A95B}"/>
    <cellStyle name="Migliaia 47 3 2 4 4" xfId="42517" xr:uid="{EDCEDEFE-E580-471A-A694-C019998F32AE}"/>
    <cellStyle name="Migliaia 47 3 2 4 5" xfId="17218" xr:uid="{320C3DB3-7B49-4B93-B757-4031CCE8D0A0}"/>
    <cellStyle name="Migliaia 47 3 2 4 6" xfId="11400" xr:uid="{B457EAC7-F25B-4C77-A182-2C8F711E261E}"/>
    <cellStyle name="Migliaia 47 3 2 5" xfId="3765" xr:uid="{1A7309DA-6A1B-4F7F-8B67-8B35A65810EF}"/>
    <cellStyle name="Migliaia 47 3 2 5 2" xfId="34289" xr:uid="{22C38159-95A1-41E8-8D77-A1B5A85D2BA8}"/>
    <cellStyle name="Migliaia 47 3 2 5 2 2" xfId="39867" xr:uid="{C50C136F-87CB-4C02-A821-BD0CC2C6B52A}"/>
    <cellStyle name="Migliaia 47 3 2 5 2 3" xfId="45169" xr:uid="{4D6BBB46-38D9-4A2C-B71C-DC4333F2B088}"/>
    <cellStyle name="Migliaia 47 3 2 5 3" xfId="37251" xr:uid="{1D0F04D8-CC29-4E0A-9E1A-66FF5BD667A3}"/>
    <cellStyle name="Migliaia 47 3 2 5 4" xfId="42518" xr:uid="{52D243F1-67EF-4430-8959-54CA0CCFC149}"/>
    <cellStyle name="Migliaia 47 3 2 5 5" xfId="17303" xr:uid="{A0566FC9-F770-47FE-B567-E12CCFB3D479}"/>
    <cellStyle name="Migliaia 47 3 2 6" xfId="20766" xr:uid="{D68548A8-5CE6-4066-A37B-8BEE0331E8F8}"/>
    <cellStyle name="Migliaia 47 3 2 6 2" xfId="34290" xr:uid="{5EAE3E20-B17A-46C6-8C55-C7682E53A14F}"/>
    <cellStyle name="Migliaia 47 3 2 6 2 2" xfId="39868" xr:uid="{8B5AE849-D749-44DD-9A67-2769821167B9}"/>
    <cellStyle name="Migliaia 47 3 2 6 2 3" xfId="45170" xr:uid="{82D29505-3657-4EB5-AF13-0B442F029670}"/>
    <cellStyle name="Migliaia 47 3 2 6 3" xfId="37252" xr:uid="{5A1E7661-1C73-47D1-9E7E-3B3C6CA6CBB4}"/>
    <cellStyle name="Migliaia 47 3 2 6 4" xfId="42519" xr:uid="{24CF22EF-B30C-48D2-844B-A2769235EF88}"/>
    <cellStyle name="Migliaia 47 3 2 6 5" xfId="25165" xr:uid="{27FA2C89-E83E-4CB3-86C2-6471B18B21E2}"/>
    <cellStyle name="Migliaia 47 3 2 7" xfId="25162" xr:uid="{74FF6A7C-F812-43B6-AE2F-CF14922E3906}"/>
    <cellStyle name="Migliaia 47 3 2 8" xfId="7539" xr:uid="{1490735C-549A-43B7-B293-C9108ECD897C}"/>
    <cellStyle name="Migliaia 47 3 3" xfId="3767" xr:uid="{F7D5CB41-EAC1-4919-A03A-2F0918E86579}"/>
    <cellStyle name="Migliaia 47 3 3 10" xfId="7538" xr:uid="{2099C720-C1F2-4B97-82A8-3B07F240255A}"/>
    <cellStyle name="Migliaia 47 3 3 2" xfId="5493" xr:uid="{C72CD9F1-027F-47C9-ACF3-556ED879D09B}"/>
    <cellStyle name="Migliaia 47 3 3 2 2" xfId="9964" xr:uid="{7EAD3058-244B-4E95-B12D-5185B6EDD603}"/>
    <cellStyle name="Migliaia 47 3 3 2 2 2" xfId="39870" xr:uid="{DFF2E03E-68FA-4B7C-B4FD-8A9054E4C5DC}"/>
    <cellStyle name="Migliaia 47 3 3 2 2 3" xfId="45172" xr:uid="{1AA3501A-2445-4319-932D-7D8F5639D8E0}"/>
    <cellStyle name="Migliaia 47 3 3 2 3" xfId="18244" xr:uid="{D432E71C-8AD4-45CB-ADB1-8352828642CD}"/>
    <cellStyle name="Migliaia 47 3 3 2 4" xfId="20770" xr:uid="{F5C118C5-900A-4FE7-92DB-853E4821DCE7}"/>
    <cellStyle name="Migliaia 47 3 3 2 4 2" xfId="42521" xr:uid="{8A870803-CB49-40E0-B239-34EC61D60DCE}"/>
    <cellStyle name="Migliaia 47 3 3 2 5" xfId="16657" xr:uid="{72471BDB-997F-4604-A647-781A84291E90}"/>
    <cellStyle name="Migliaia 47 3 3 2 6" xfId="8728" xr:uid="{B2B4B00B-30FB-47F8-9F96-7FDA5B22294D}"/>
    <cellStyle name="Migliaia 47 3 3 3" xfId="6676" xr:uid="{0EA9DBD3-D086-40B4-AA09-5E3D43286F9B}"/>
    <cellStyle name="Migliaia 47 3 3 3 2" xfId="34292" xr:uid="{CA429718-0262-4E5A-9014-D7C9E0357771}"/>
    <cellStyle name="Migliaia 47 3 3 3 2 2" xfId="39871" xr:uid="{F8FC02A1-7886-42D9-8A60-FD09DA79147D}"/>
    <cellStyle name="Migliaia 47 3 3 3 2 3" xfId="45173" xr:uid="{00C7F549-5BF7-4D5E-93CE-B98AC9906933}"/>
    <cellStyle name="Migliaia 47 3 3 3 3" xfId="37255" xr:uid="{F3BAE4E8-F7BC-4FC5-B3FF-3A67541809F2}"/>
    <cellStyle name="Migliaia 47 3 3 3 4" xfId="42522" xr:uid="{D3F85A8E-EEC5-446E-A02C-AD7BA0CE87F8}"/>
    <cellStyle name="Migliaia 47 3 3 3 5" xfId="9727" xr:uid="{7A828BBC-67AD-4A5A-95E4-DF475242BF8C}"/>
    <cellStyle name="Migliaia 47 3 3 4" xfId="20769" xr:uid="{F7D691DE-DCFD-44ED-82FE-F65A87215F7B}"/>
    <cellStyle name="Migliaia 47 3 3 4 2" xfId="34293" xr:uid="{0AF4D0E0-291F-45CF-B503-8FCF72CA7EED}"/>
    <cellStyle name="Migliaia 47 3 3 4 2 2" xfId="39872" xr:uid="{88995DEB-BF69-4F78-8298-6140AFB29558}"/>
    <cellStyle name="Migliaia 47 3 3 4 2 3" xfId="45174" xr:uid="{E859A849-D9C0-43F8-AB20-FAC39E01DFC3}"/>
    <cellStyle name="Migliaia 47 3 3 4 3" xfId="37256" xr:uid="{203BFED0-6365-4B54-B32F-B59AB0C48801}"/>
    <cellStyle name="Migliaia 47 3 3 4 4" xfId="42523" xr:uid="{DB56FA77-C201-4425-B4E4-8E4D94E0FB6F}"/>
    <cellStyle name="Migliaia 47 3 3 4 5" xfId="25166" xr:uid="{21B4DF81-1201-45D9-BA32-16298FA1C95B}"/>
    <cellStyle name="Migliaia 47 3 3 5" xfId="25167" xr:uid="{3855A2C1-0AFB-4279-8A2C-70D6F4D6D37C}"/>
    <cellStyle name="Migliaia 47 3 3 5 2" xfId="34294" xr:uid="{66EDB81E-EB93-404B-8367-648C5CB6C172}"/>
    <cellStyle name="Migliaia 47 3 3 5 2 2" xfId="39873" xr:uid="{C54CBAC4-5792-41C8-A72F-DAB31EEBABDE}"/>
    <cellStyle name="Migliaia 47 3 3 5 2 3" xfId="45175" xr:uid="{869497F4-AA4F-4A45-ACDB-9EF08239E6F8}"/>
    <cellStyle name="Migliaia 47 3 3 5 3" xfId="37257" xr:uid="{C0AA95A1-47C6-4435-9A3E-EBA1D3B3F467}"/>
    <cellStyle name="Migliaia 47 3 3 5 4" xfId="42524" xr:uid="{1324C8F1-06E5-4E96-BED5-3A1C066A01D5}"/>
    <cellStyle name="Migliaia 47 3 3 6" xfId="34291" xr:uid="{0E6AC50C-0415-457F-B99F-E9E81BE43326}"/>
    <cellStyle name="Migliaia 47 3 3 6 2" xfId="39869" xr:uid="{6F5A3A88-A2DE-496C-9282-1E757623B1DF}"/>
    <cellStyle name="Migliaia 47 3 3 6 3" xfId="45171" xr:uid="{6CB28241-90AB-4304-A624-8E057D560421}"/>
    <cellStyle name="Migliaia 47 3 3 7" xfId="37253" xr:uid="{84490E46-780F-4313-8AE9-27AD2C3D6F13}"/>
    <cellStyle name="Migliaia 47 3 3 8" xfId="42520" xr:uid="{07D7A513-2175-4012-B2A6-27690B96DD41}"/>
    <cellStyle name="Migliaia 47 3 3 9" xfId="16656" xr:uid="{3286F16D-F8B0-413D-BD26-0CE1521B1BC7}"/>
    <cellStyle name="Migliaia 47 3 4" xfId="3768" xr:uid="{54DE5148-DC8B-4FE0-ACD6-26A88986EC46}"/>
    <cellStyle name="Migliaia 47 3 4 2" xfId="5494" xr:uid="{AC022AD0-71F0-428F-ABDA-6C5F6E96AE7F}"/>
    <cellStyle name="Migliaia 47 3 4 2 2" xfId="14464" xr:uid="{01F72089-D19B-49C5-B1D8-09EB0E2866E2}"/>
    <cellStyle name="Migliaia 47 3 4 2 3" xfId="18157" xr:uid="{BBE2763D-3521-4955-BB4A-6DF39290D038}"/>
    <cellStyle name="Migliaia 47 3 4 2 4" xfId="20772" xr:uid="{2F9D3861-4C37-4B8B-8BD5-A977BF932505}"/>
    <cellStyle name="Migliaia 47 3 4 2 5" xfId="32443" xr:uid="{75DA4484-E8F4-4EEB-A259-7F1ED819D664}"/>
    <cellStyle name="Migliaia 47 3 4 2 6" xfId="16659" xr:uid="{C06D5D2C-22EA-454C-8FD4-8D41B4ACF6B4}"/>
    <cellStyle name="Migliaia 47 3 4 2 7" xfId="8887" xr:uid="{C8F4A317-BD8E-43AE-87E5-957237F38437}"/>
    <cellStyle name="Migliaia 47 3 4 3" xfId="6677" xr:uid="{1BAD6652-6290-4D20-8DE9-43C90B311574}"/>
    <cellStyle name="Migliaia 47 3 4 3 2" xfId="35412" xr:uid="{BF39891E-3BB4-4989-B7A9-8C226E6D4251}"/>
    <cellStyle name="Migliaia 47 3 4 3 2 2" xfId="40572" xr:uid="{06AD624B-D51F-4D8B-921F-B5A468CF7AF1}"/>
    <cellStyle name="Migliaia 47 3 4 3 2 3" xfId="45874" xr:uid="{CF45F20F-4CB6-4458-8012-C2748FEE8F86}"/>
    <cellStyle name="Migliaia 47 3 4 3 3" xfId="37921" xr:uid="{24E1592E-AF58-458C-A243-CB1AFF6B1A41}"/>
    <cellStyle name="Migliaia 47 3 4 3 4" xfId="43223" xr:uid="{3E4CA121-2D08-4E26-96C7-56BDEBC5A7FE}"/>
    <cellStyle name="Migliaia 47 3 4 3 5" xfId="13712" xr:uid="{F2DDE577-73FB-45F2-857A-7FD18452C492}"/>
    <cellStyle name="Migliaia 47 3 4 4" xfId="20771" xr:uid="{5B49CDDD-8B8E-4A5A-9F3D-D267AE7B98B0}"/>
    <cellStyle name="Migliaia 47 3 4 4 2" xfId="39874" xr:uid="{E08A2EEC-D89A-4A80-BEF6-DB7966541553}"/>
    <cellStyle name="Migliaia 47 3 4 4 3" xfId="45176" xr:uid="{9D6982AA-5055-4BE1-991B-69D73D51B459}"/>
    <cellStyle name="Migliaia 47 3 4 4 4" xfId="34295" xr:uid="{BB441A6B-D698-4030-9D3D-BCF813101349}"/>
    <cellStyle name="Migliaia 47 3 4 5" xfId="37258" xr:uid="{05B9126A-DE53-43D3-9CB8-C78DCE38F0B0}"/>
    <cellStyle name="Migliaia 47 3 4 6" xfId="42525" xr:uid="{6226ADFC-EB50-48F3-93D7-68054C75C14D}"/>
    <cellStyle name="Migliaia 47 3 4 7" xfId="16658" xr:uid="{DEAC3563-EFDB-487A-818E-E639182071AC}"/>
    <cellStyle name="Migliaia 47 3 4 8" xfId="7697" xr:uid="{0E8E13FD-D560-4FD9-A204-F3AF8875C89F}"/>
    <cellStyle name="Migliaia 47 3 5" xfId="3769" xr:uid="{C595156D-C7D3-4253-9746-1D984E684331}"/>
    <cellStyle name="Migliaia 47 3 5 2" xfId="5495" xr:uid="{2C230855-C095-427A-A035-64D971060BE7}"/>
    <cellStyle name="Migliaia 47 3 5 2 2" xfId="35413" xr:uid="{6E95DE45-AF58-4BAD-AD5E-F365AD11EB56}"/>
    <cellStyle name="Migliaia 47 3 5 2 2 2" xfId="40573" xr:uid="{9F7C6865-021D-48EF-9559-C99A563E41A9}"/>
    <cellStyle name="Migliaia 47 3 5 2 2 3" xfId="45875" xr:uid="{3D570F39-A4FC-40A7-B4BF-635A47A7F54D}"/>
    <cellStyle name="Migliaia 47 3 5 2 3" xfId="37922" xr:uid="{643BEEFE-AF8A-4948-8743-BA8C7FEF7237}"/>
    <cellStyle name="Migliaia 47 3 5 2 4" xfId="43224" xr:uid="{748ABF92-4D71-4D52-9124-383670F84F4E}"/>
    <cellStyle name="Migliaia 47 3 5 2 5" xfId="14304" xr:uid="{76007187-6888-4C1D-A47D-E059021D1B3E}"/>
    <cellStyle name="Migliaia 47 3 5 3" xfId="6678" xr:uid="{35923231-D47C-4F65-A646-DD4E3BFDC13E}"/>
    <cellStyle name="Migliaia 47 3 5 3 2" xfId="39875" xr:uid="{261F15D1-48FD-4DA5-9C12-826B6617EAA0}"/>
    <cellStyle name="Migliaia 47 3 5 3 3" xfId="45177" xr:uid="{85FC0F5F-CA6C-4283-84FA-C8D3C6EE4AEF}"/>
    <cellStyle name="Migliaia 47 3 5 3 4" xfId="34296" xr:uid="{D3AF8B83-8FEB-4D9E-829E-587BA1FCC23E}"/>
    <cellStyle name="Migliaia 47 3 5 3 5" xfId="20773" xr:uid="{E968300E-9995-4439-BA5B-537E40F625AA}"/>
    <cellStyle name="Migliaia 47 3 5 4" xfId="37259" xr:uid="{AB15B2B9-BCA3-4978-8A25-D8D318B44957}"/>
    <cellStyle name="Migliaia 47 3 5 5" xfId="42526" xr:uid="{E1999B78-BB36-48B7-8CDA-814C1B842DDD}"/>
    <cellStyle name="Migliaia 47 3 5 6" xfId="16660" xr:uid="{69DEFB94-98DD-45DC-8CEF-12FC57B8B9DB}"/>
    <cellStyle name="Migliaia 47 3 5 7" xfId="8366" xr:uid="{EFFE0D21-ACA8-49B7-BDB3-BD7811059902}"/>
    <cellStyle name="Migliaia 47 3 6" xfId="5490" xr:uid="{27034741-B3A1-45F6-A9C8-18A29448D514}"/>
    <cellStyle name="Migliaia 47 3 6 2" xfId="14009" xr:uid="{CE020B0C-3875-4F2E-BD65-FF0629181634}"/>
    <cellStyle name="Migliaia 47 3 6 2 2" xfId="39876" xr:uid="{93B1A6BE-AF8D-4E43-AB74-7DE0584C177C}"/>
    <cellStyle name="Migliaia 47 3 6 2 3" xfId="45178" xr:uid="{01E1005C-D923-4FB7-8473-42DB5869B262}"/>
    <cellStyle name="Migliaia 47 3 6 3" xfId="18025" xr:uid="{167A2682-B37B-474C-A88B-735D4999D381}"/>
    <cellStyle name="Migliaia 47 3 6 4" xfId="20774" xr:uid="{B7D09F72-B729-4FC1-ABB2-3BF009E0C95C}"/>
    <cellStyle name="Migliaia 47 3 6 4 2" xfId="42527" xr:uid="{141A75E9-D0D3-4662-B9E4-AB3E79F3996A}"/>
    <cellStyle name="Migliaia 47 3 6 5" xfId="16661" xr:uid="{73FECE0F-E042-4858-92FE-77E3254561AA}"/>
    <cellStyle name="Migliaia 47 3 6 6" xfId="7988" xr:uid="{C001EA63-07C5-4B35-B8B3-33A40DBFE192}"/>
    <cellStyle name="Migliaia 47 3 7" xfId="6673" xr:uid="{591A807B-902C-469B-80E2-EA9A262943D1}"/>
    <cellStyle name="Migliaia 47 3 7 2" xfId="34297" xr:uid="{DA0C67E4-E2BF-4F7D-9A47-BF9E1AB7E09E}"/>
    <cellStyle name="Migliaia 47 3 7 2 2" xfId="39877" xr:uid="{AE7A60BB-8FC8-4AB4-8756-1BE09C7C00A7}"/>
    <cellStyle name="Migliaia 47 3 7 2 3" xfId="45179" xr:uid="{475F1490-9EA0-4314-815C-D64D609E2095}"/>
    <cellStyle name="Migliaia 47 3 7 3" xfId="37260" xr:uid="{897EF9A8-D173-4D5D-BACE-B072049728AF}"/>
    <cellStyle name="Migliaia 47 3 7 4" xfId="42528" xr:uid="{5AE83559-DA27-4E2A-A4AD-64DB9A56FF66}"/>
    <cellStyle name="Migliaia 47 3 7 5" xfId="11163" xr:uid="{254A6E2A-5B4C-469F-A90A-C596D979EE37}"/>
    <cellStyle name="Migliaia 47 3 8" xfId="3764" xr:uid="{9ED0196E-2303-4849-8493-4EA214F8D607}"/>
    <cellStyle name="Migliaia 47 3 8 2" xfId="34298" xr:uid="{A3AE379B-28C2-470A-83D7-F19C6E7422AE}"/>
    <cellStyle name="Migliaia 47 3 8 2 2" xfId="39878" xr:uid="{947B5054-DF51-42CC-8378-8FB1B66E7719}"/>
    <cellStyle name="Migliaia 47 3 8 2 3" xfId="45180" xr:uid="{BA2FDFA8-CB0A-49CD-B0D2-A44B0ED81476}"/>
    <cellStyle name="Migliaia 47 3 8 3" xfId="37261" xr:uid="{2CFC5381-3894-4E68-87CD-04EED3E95CA5}"/>
    <cellStyle name="Migliaia 47 3 8 4" xfId="42529" xr:uid="{3F7E12C7-6E7C-4037-B30F-13C06253531D}"/>
    <cellStyle name="Migliaia 47 3 8 5" xfId="25171" xr:uid="{2FEC1AF3-C23E-4B0B-8C69-DD8D8653B229}"/>
    <cellStyle name="Migliaia 47 3 8 6" xfId="17304" xr:uid="{DB7519D3-2E1A-4644-93E4-D847BDCF3C74}"/>
    <cellStyle name="Migliaia 47 3 9" xfId="20765" xr:uid="{D36CCA53-0C57-45BA-99B1-700ED795179E}"/>
    <cellStyle name="Migliaia 47 4" xfId="1863" xr:uid="{00000000-0005-0000-0000-000036040000}"/>
    <cellStyle name="Migliaia 47 4 2" xfId="1864" xr:uid="{00000000-0005-0000-0000-000037040000}"/>
    <cellStyle name="Migliaia 47 4 2 2" xfId="5497" xr:uid="{40EB5BB5-5E11-49C1-9341-C1E88426028B}"/>
    <cellStyle name="Migliaia 47 4 2 2 2" xfId="34299" xr:uid="{321BD443-416A-4445-B3CC-B766CC3E820C}"/>
    <cellStyle name="Migliaia 47 4 2 2 2 2" xfId="39879" xr:uid="{ECEEAFA2-E694-4B6A-940F-46A9FAA2E7CC}"/>
    <cellStyle name="Migliaia 47 4 2 2 2 3" xfId="45181" xr:uid="{A4EA0352-B9B7-44EF-8A2A-E0AD49D1DC71}"/>
    <cellStyle name="Migliaia 47 4 2 2 3" xfId="37262" xr:uid="{96B38762-EA6C-4FB7-9616-D377F7742FEA}"/>
    <cellStyle name="Migliaia 47 4 2 2 4" xfId="42530" xr:uid="{7A9FFB6F-4A6C-4BB7-BDE2-BE44E38358AB}"/>
    <cellStyle name="Migliaia 47 4 2 2 5" xfId="9190" xr:uid="{A48789BF-12F6-4919-AE73-2A1DB09D1818}"/>
    <cellStyle name="Migliaia 47 4 2 3" xfId="3771" xr:uid="{F86FDFCB-22D4-4228-A273-4AFE1278E143}"/>
    <cellStyle name="Migliaia 47 4 2 3 2" xfId="34300" xr:uid="{EAA93607-6399-41E5-BAE6-250367890D56}"/>
    <cellStyle name="Migliaia 47 4 2 3 2 2" xfId="39880" xr:uid="{DDAC986D-595F-437C-B153-BC33CB324B6D}"/>
    <cellStyle name="Migliaia 47 4 2 3 2 3" xfId="45182" xr:uid="{3D7215FE-E9B6-4CC0-BE99-6304D15E86BA}"/>
    <cellStyle name="Migliaia 47 4 2 3 3" xfId="37263" xr:uid="{6AFC6221-8272-4FDF-AF1F-9729FA33F078}"/>
    <cellStyle name="Migliaia 47 4 2 3 4" xfId="42531" xr:uid="{676D4BF2-C1CB-4E6A-A79A-0CD7AB9C08B2}"/>
    <cellStyle name="Migliaia 47 4 2 3 5" xfId="12053" xr:uid="{13516A8A-7B14-4783-919A-664850E6526C}"/>
    <cellStyle name="Migliaia 47 4 2 4" xfId="11402" xr:uid="{4E080F5F-3275-4E4F-8C97-1A9A37FEFC65}"/>
    <cellStyle name="Migliaia 47 4 2 5" xfId="10941" xr:uid="{5C97EB3B-4B17-41D3-9EB2-2135AFD8E554}"/>
    <cellStyle name="Migliaia 47 4 2 5 2" xfId="21576" xr:uid="{8F52D687-3D20-4C95-9243-AC6A7C870227}"/>
    <cellStyle name="Migliaia 47 4 2 5 3" xfId="32553" xr:uid="{F62F8DE9-7FC1-49EE-AE30-F09E20DAAE6F}"/>
    <cellStyle name="Migliaia 47 4 2 5 4" xfId="50591" xr:uid="{82EB0BB9-D147-435E-84FE-AFB445AB156F}"/>
    <cellStyle name="Migliaia 47 4 2 5 5" xfId="53607" xr:uid="{9229DC2A-C980-4162-A769-8F7B5E347453}"/>
    <cellStyle name="Migliaia 47 4 2 6" xfId="20776" xr:uid="{430678B8-3924-486C-8A00-62953608AC26}"/>
    <cellStyle name="Migliaia 47 4 2 7" xfId="25173" xr:uid="{B33221D5-C724-4212-A5A9-0E6A7BB3E3C3}"/>
    <cellStyle name="Migliaia 47 4 2 8" xfId="8730" xr:uid="{0BA10670-1363-493B-BD1C-AB85C86201E0}"/>
    <cellStyle name="Migliaia 47 4 3" xfId="5496" xr:uid="{FE84EDD8-556C-42B4-AABE-549869E9BAF6}"/>
    <cellStyle name="Migliaia 47 4 3 2" xfId="18245" xr:uid="{D6D39A4C-A9AC-4A17-8FA5-D0B32FEF9E47}"/>
    <cellStyle name="Migliaia 47 4 3 2 2" xfId="39881" xr:uid="{7541AF84-1476-49B5-9A00-56C0EAADB4EF}"/>
    <cellStyle name="Migliaia 47 4 3 2 3" xfId="45183" xr:uid="{99906653-CBFA-4EBC-AEDF-247532EAE92B}"/>
    <cellStyle name="Migliaia 47 4 3 3" xfId="37264" xr:uid="{C3817691-E42F-46FA-BCA8-EC22EB07B7BE}"/>
    <cellStyle name="Migliaia 47 4 3 4" xfId="42532" xr:uid="{2B97FD93-38FE-4589-B408-C8659C205CFE}"/>
    <cellStyle name="Migliaia 47 4 3 5" xfId="17302" xr:uid="{C2343E41-94BC-4997-8469-6BE9E6448D98}"/>
    <cellStyle name="Migliaia 47 4 3 6" xfId="9191" xr:uid="{6A4848EA-E3EA-40E2-BDAA-408710A9683E}"/>
    <cellStyle name="Migliaia 47 4 4" xfId="6679" xr:uid="{E7E8BE65-91E8-4E9C-8A64-6E84047B4220}"/>
    <cellStyle name="Migliaia 47 4 4 2" xfId="34301" xr:uid="{F00CCB8E-EFE4-485B-9786-B1EA51C80EC8}"/>
    <cellStyle name="Migliaia 47 4 4 2 2" xfId="39882" xr:uid="{64B4E10B-DE6E-459F-B8FE-B725F636A150}"/>
    <cellStyle name="Migliaia 47 4 4 2 3" xfId="45184" xr:uid="{46476A36-3D8E-4206-871F-269BF831535D}"/>
    <cellStyle name="Migliaia 47 4 4 3" xfId="37265" xr:uid="{DFB10F49-421C-4FE4-BD04-3A1D3C2FBD55}"/>
    <cellStyle name="Migliaia 47 4 4 4" xfId="42533" xr:uid="{385AEC5C-F8E6-4A08-A129-06638BE4306D}"/>
    <cellStyle name="Migliaia 47 4 4 5" xfId="12054" xr:uid="{E0FFC106-45FB-45B0-901B-404C5593CCBB}"/>
    <cellStyle name="Migliaia 47 4 5" xfId="3770" xr:uid="{F9FCEB1A-986E-4E83-835C-C19127D1077C}"/>
    <cellStyle name="Migliaia 47 4 5 2" xfId="34302" xr:uid="{8934BF95-58F3-439B-8399-E72EA57973E9}"/>
    <cellStyle name="Migliaia 47 4 5 2 2" xfId="39883" xr:uid="{F6B54338-B4CA-4495-89AC-3D50E216FFFE}"/>
    <cellStyle name="Migliaia 47 4 5 2 3" xfId="45185" xr:uid="{88C6E741-0D9F-4679-A2BB-3FCBA76BAE40}"/>
    <cellStyle name="Migliaia 47 4 5 3" xfId="37266" xr:uid="{CF44C9E1-8D31-447A-9EDF-CA54F5299BD2}"/>
    <cellStyle name="Migliaia 47 4 5 4" xfId="42534" xr:uid="{14FB4E05-FA8C-406A-84E7-2189948E61F4}"/>
    <cellStyle name="Migliaia 47 4 5 5" xfId="11401" xr:uid="{D2AC3E75-CB28-43A0-8150-4F331B3248A6}"/>
    <cellStyle name="Migliaia 47 4 6" xfId="10940" xr:uid="{43059E03-F228-42FD-A9FF-EDAB42BFEA98}"/>
    <cellStyle name="Migliaia 47 4 6 2" xfId="21575" xr:uid="{9BAE11F5-7C60-4DE0-B74E-DB602BA25AB0}"/>
    <cellStyle name="Migliaia 47 4 6 2 2" xfId="39884" xr:uid="{94CD6D63-FF19-4DC9-88B3-6757FFEB92AB}"/>
    <cellStyle name="Migliaia 47 4 6 2 3" xfId="45186" xr:uid="{167F5E53-2EEF-4BB6-B315-143B6DC3D7C3}"/>
    <cellStyle name="Migliaia 47 4 6 2 4" xfId="34303" xr:uid="{45970FDF-118E-4F5F-8245-3D02AB415C9E}"/>
    <cellStyle name="Migliaia 47 4 6 3" xfId="37267" xr:uid="{9D52B6B7-B8E6-413D-80B3-A4B9EA0133D2}"/>
    <cellStyle name="Migliaia 47 4 6 4" xfId="42535" xr:uid="{BA8E12E7-7A30-49F3-8647-E05AE62B0382}"/>
    <cellStyle name="Migliaia 47 4 6 5" xfId="25175" xr:uid="{DDAA58D1-6748-450E-9C5E-71AC8E415F49}"/>
    <cellStyle name="Migliaia 47 4 6 6" xfId="47209" xr:uid="{43F33F8B-82EC-4C3F-86E5-45485626CB39}"/>
    <cellStyle name="Migliaia 47 4 6 7" xfId="50590" xr:uid="{24D96710-579D-4661-876B-F940D92799D5}"/>
    <cellStyle name="Migliaia 47 4 6 8" xfId="53606" xr:uid="{F1907221-4F8C-4188-B04D-6A83049B0E47}"/>
    <cellStyle name="Migliaia 47 4 7" xfId="20775" xr:uid="{4616FDF0-D782-40FF-A5E8-D1C66BA71669}"/>
    <cellStyle name="Migliaia 47 4 7 2" xfId="34304" xr:uid="{A087E3AA-FDA1-4EA6-B5C0-660287B4685E}"/>
    <cellStyle name="Migliaia 47 4 7 2 2" xfId="39885" xr:uid="{671790B1-3947-4227-B19B-1F603F32E20F}"/>
    <cellStyle name="Migliaia 47 4 7 2 3" xfId="45187" xr:uid="{88188C6F-E99A-43E7-96C6-E5A5EC2BC9E4}"/>
    <cellStyle name="Migliaia 47 4 7 3" xfId="37268" xr:uid="{56AD5EC4-36C9-4E1C-B176-AF830DE32562}"/>
    <cellStyle name="Migliaia 47 4 7 4" xfId="42536" xr:uid="{9E7E177E-E8F4-4F5C-9FF8-E29EEA43A97A}"/>
    <cellStyle name="Migliaia 47 4 7 5" xfId="25176" xr:uid="{12F6CE44-6CD7-46BF-985F-67F1971FDEE7}"/>
    <cellStyle name="Migliaia 47 4 8" xfId="25172" xr:uid="{D2B142D3-3938-4E33-9FF4-B46043C009D8}"/>
    <cellStyle name="Migliaia 47 4 9" xfId="7540" xr:uid="{7E827C17-BC48-4F00-B021-4FE8A4FC4284}"/>
    <cellStyle name="Migliaia 47 5" xfId="1865" xr:uid="{00000000-0005-0000-0000-000038040000}"/>
    <cellStyle name="Migliaia 47 5 2" xfId="5498" xr:uid="{86B3F866-57F0-48F9-9415-1BB773E959A2}"/>
    <cellStyle name="Migliaia 47 5 2 2" xfId="18487" xr:uid="{59D2F3F2-36CB-4129-A6EE-F0F6705A92BC}"/>
    <cellStyle name="Migliaia 47 5 2 2 2" xfId="39886" xr:uid="{CF54274E-EDFC-4AF8-A992-BD3640DD425C}"/>
    <cellStyle name="Migliaia 47 5 2 2 3" xfId="45188" xr:uid="{02EDE3AB-2AFD-4F51-AA0A-54168F2039E2}"/>
    <cellStyle name="Migliaia 47 5 2 3" xfId="20778" xr:uid="{1ABF89EE-1A7F-45AD-8547-70D4ABF0BB45}"/>
    <cellStyle name="Migliaia 47 5 2 3 2" xfId="37269" xr:uid="{758377C9-09E3-4084-9A9A-5C6202C90F8E}"/>
    <cellStyle name="Migliaia 47 5 2 4" xfId="42537" xr:uid="{331F2717-0913-460E-92F6-D27E3E50AD55}"/>
    <cellStyle name="Migliaia 47 5 2 5" xfId="16662" xr:uid="{8C3BE350-9382-410B-B8E2-BD3C4ED1ABE9}"/>
    <cellStyle name="Migliaia 47 5 2 6" xfId="8731" xr:uid="{5FE614E9-92E4-445D-9D91-CB26BED698DC}"/>
    <cellStyle name="Migliaia 47 5 3" xfId="6680" xr:uid="{56F67C40-C458-4314-8602-2B88CD1860E9}"/>
    <cellStyle name="Migliaia 47 5 3 2" xfId="34305" xr:uid="{EA43E082-69C8-4F23-8B7B-637714CE4750}"/>
    <cellStyle name="Migliaia 47 5 3 2 2" xfId="39887" xr:uid="{00B0DA99-CB9E-4861-AE69-BDB4F2BFEFD2}"/>
    <cellStyle name="Migliaia 47 5 3 2 3" xfId="45189" xr:uid="{0C47D06F-4950-4B04-8219-2BB46FE2034E}"/>
    <cellStyle name="Migliaia 47 5 3 3" xfId="37270" xr:uid="{3EF8FBE0-EBFE-4905-974E-901E35C67FBC}"/>
    <cellStyle name="Migliaia 47 5 3 4" xfId="42538" xr:uid="{B12EFDA5-1456-4BF4-86F2-CA52577DC878}"/>
    <cellStyle name="Migliaia 47 5 3 5" xfId="11403" xr:uid="{4364C444-C7A6-4BD9-A6E2-33A88BA3A637}"/>
    <cellStyle name="Migliaia 47 5 4" xfId="3772" xr:uid="{EBD8CF46-CA09-4524-8FCF-CF63257C73A5}"/>
    <cellStyle name="Migliaia 47 5 4 2" xfId="21577" xr:uid="{2AE5CB77-C7EA-4E12-97AC-1123B35B834B}"/>
    <cellStyle name="Migliaia 47 5 4 2 2" xfId="39888" xr:uid="{100E6193-5BB1-4CCD-BF86-83DF0F6C823F}"/>
    <cellStyle name="Migliaia 47 5 4 2 3" xfId="45190" xr:uid="{207D17CA-B093-4A2F-9EF2-72622D47E5F6}"/>
    <cellStyle name="Migliaia 47 5 4 2 4" xfId="34306" xr:uid="{C75B337F-C82F-4473-93DD-601BDC4E634F}"/>
    <cellStyle name="Migliaia 47 5 4 3" xfId="37271" xr:uid="{A61B6B37-8D15-4FF3-AEA8-F37C933CF1EF}"/>
    <cellStyle name="Migliaia 47 5 4 4" xfId="42539" xr:uid="{82580673-AD6E-4CFF-8A2A-C473FE9D3D8D}"/>
    <cellStyle name="Migliaia 47 5 4 5" xfId="25178" xr:uid="{4B767563-C2BC-4BC3-9143-8F033BDB72C4}"/>
    <cellStyle name="Migliaia 47 5 4 6" xfId="47737" xr:uid="{9C41322F-AE9B-4FB1-8D44-85B711C3AECD}"/>
    <cellStyle name="Migliaia 47 5 4 7" xfId="50592" xr:uid="{D55843E9-3C4B-4D6C-825A-AED52732D35E}"/>
    <cellStyle name="Migliaia 47 5 4 8" xfId="53608" xr:uid="{C0D66378-E7C7-479E-9A92-C7ABB8C252CD}"/>
    <cellStyle name="Migliaia 47 5 4 9" xfId="10942" xr:uid="{10CFED4F-62EE-4880-BFB5-6CAFC949EA8E}"/>
    <cellStyle name="Migliaia 47 5 5" xfId="20777" xr:uid="{8227A77A-7AD5-4723-8D6D-C8A90F6B24E2}"/>
    <cellStyle name="Migliaia 47 5 5 2" xfId="34307" xr:uid="{7315FDD3-FE55-4F1D-A9CE-C7FAA0D15254}"/>
    <cellStyle name="Migliaia 47 5 5 2 2" xfId="39889" xr:uid="{C8BFBA6A-A8D7-4C4F-9927-DA7A036F37F9}"/>
    <cellStyle name="Migliaia 47 5 5 2 3" xfId="45191" xr:uid="{1B4960A9-F45B-4725-8984-76171523E32D}"/>
    <cellStyle name="Migliaia 47 5 5 3" xfId="37272" xr:uid="{1182978B-928C-4D22-A1D8-470D146EB666}"/>
    <cellStyle name="Migliaia 47 5 5 4" xfId="42540" xr:uid="{62531CC6-8D42-410F-B0E0-18531944B9E1}"/>
    <cellStyle name="Migliaia 47 5 5 5" xfId="25179" xr:uid="{57E02871-A959-4410-9F3E-889D5B668263}"/>
    <cellStyle name="Migliaia 47 5 6" xfId="25180" xr:uid="{78EE03AA-A6A4-4E3B-B5EA-FC1C6B6DB158}"/>
    <cellStyle name="Migliaia 47 5 6 2" xfId="34308" xr:uid="{6F666A42-85F3-40E7-AAF3-BBA1A19330C6}"/>
    <cellStyle name="Migliaia 47 5 6 2 2" xfId="39890" xr:uid="{ABB9EB56-9E65-44C1-9B67-AA0D59031097}"/>
    <cellStyle name="Migliaia 47 5 6 2 3" xfId="45192" xr:uid="{E357B4D5-6335-4164-B3D6-38FCAB282288}"/>
    <cellStyle name="Migliaia 47 5 6 3" xfId="37273" xr:uid="{624139EA-C295-4DA2-A89D-4E97E35EBF22}"/>
    <cellStyle name="Migliaia 47 5 6 4" xfId="42541" xr:uid="{795A4C96-086B-4DEF-89EB-E781A2E2CC36}"/>
    <cellStyle name="Migliaia 47 5 7" xfId="25177" xr:uid="{D26D3EB8-69C9-4146-B321-4A667E159B17}"/>
    <cellStyle name="Migliaia 47 5 8" xfId="7541" xr:uid="{FA7C2F83-FDA8-4B1B-A827-E3D238371F9A}"/>
    <cellStyle name="Migliaia 47 6" xfId="3773" xr:uid="{CDE3A044-E971-42C6-8D1A-07950CFB2EB2}"/>
    <cellStyle name="Migliaia 47 6 2" xfId="5499" xr:uid="{F400D2B8-F47C-4AB2-8FDC-7DABD42BFC71}"/>
    <cellStyle name="Migliaia 47 6 2 2" xfId="9963" xr:uid="{9D1CA0E8-F7D1-454F-BF78-469D824252A7}"/>
    <cellStyle name="Migliaia 47 6 2 3" xfId="18639" xr:uid="{D86548C1-0A91-4FAA-A8CD-F2D2D405CDE9}"/>
    <cellStyle name="Migliaia 47 6 2 4" xfId="20780" xr:uid="{ED84726D-0CBA-4C1F-A527-0C1BC533A2DB}"/>
    <cellStyle name="Migliaia 47 6 2 5" xfId="32445" xr:uid="{592FFEE5-BD12-4066-8F4F-01487BC938E4}"/>
    <cellStyle name="Migliaia 47 6 2 6" xfId="16664" xr:uid="{7696FC80-0402-4C3D-8E7A-FF453AF3444D}"/>
    <cellStyle name="Migliaia 47 6 2 7" xfId="8726" xr:uid="{9A0A6848-9991-4287-8B12-F015DFAB7739}"/>
    <cellStyle name="Migliaia 47 6 3" xfId="6681" xr:uid="{EC0021BD-192E-46FE-A9A3-1141A3CE7481}"/>
    <cellStyle name="Migliaia 47 6 3 2" xfId="35414" xr:uid="{B7B71E11-2DD0-450B-A5BF-3D55796950F3}"/>
    <cellStyle name="Migliaia 47 6 3 2 2" xfId="40574" xr:uid="{FF20BB84-2E60-42F2-8542-0A76D4EB8527}"/>
    <cellStyle name="Migliaia 47 6 3 2 3" xfId="45876" xr:uid="{728BFE40-9E0F-42D1-9D55-0A30879D7C26}"/>
    <cellStyle name="Migliaia 47 6 3 3" xfId="37923" xr:uid="{5840C7D0-87D0-4967-8700-93757C891569}"/>
    <cellStyle name="Migliaia 47 6 3 4" xfId="43225" xr:uid="{D143AABD-CA19-4F23-9CD7-5A4B78DDA1D9}"/>
    <cellStyle name="Migliaia 47 6 3 5" xfId="9726" xr:uid="{90164652-F29F-453F-81C0-5B9DCDB426BA}"/>
    <cellStyle name="Migliaia 47 6 4" xfId="20779" xr:uid="{3BD70A28-606D-4D4D-AF8B-5BB007553B83}"/>
    <cellStyle name="Migliaia 47 6 4 2" xfId="39891" xr:uid="{F3785E33-845C-46A8-8D42-2B2F0DA3FF8C}"/>
    <cellStyle name="Migliaia 47 6 4 3" xfId="45193" xr:uid="{92BB3B90-7FE9-4578-ABCB-C9D4A71C02A0}"/>
    <cellStyle name="Migliaia 47 6 4 4" xfId="34309" xr:uid="{07414CA7-5AC4-4FD8-831E-6A4B19178FBF}"/>
    <cellStyle name="Migliaia 47 6 5" xfId="37274" xr:uid="{35F37371-CF47-4DD9-B429-73C8F68AC1CE}"/>
    <cellStyle name="Migliaia 47 6 6" xfId="42542" xr:uid="{3B37100A-D174-4206-93FE-926B3C8AF1BC}"/>
    <cellStyle name="Migliaia 47 6 7" xfId="16663" xr:uid="{7DF49897-3F9B-4076-84B5-83D9EE6A269A}"/>
    <cellStyle name="Migliaia 47 6 8" xfId="7536" xr:uid="{2DAAA1AB-EE8A-4821-BDA5-1E5F20961114}"/>
    <cellStyle name="Migliaia 47 7" xfId="3774" xr:uid="{C7AA7706-B7C6-4C07-9B06-8E7E7687E563}"/>
    <cellStyle name="Migliaia 47 7 2" xfId="5500" xr:uid="{13CEC47B-BA4E-48F9-BB66-B74A36124A94}"/>
    <cellStyle name="Migliaia 47 7 2 2" xfId="35415" xr:uid="{EC4C61D0-3FC3-4C6A-A3CE-8E0088A89C72}"/>
    <cellStyle name="Migliaia 47 7 2 2 2" xfId="40575" xr:uid="{0C2A1DAD-825D-4DA7-A5FD-EAA5C6188E74}"/>
    <cellStyle name="Migliaia 47 7 2 2 3" xfId="45877" xr:uid="{9CB01EAC-A3AA-4D78-A46B-388D1A52372F}"/>
    <cellStyle name="Migliaia 47 7 2 3" xfId="37924" xr:uid="{2F1599AB-9FE8-4010-B695-D0D1C90E4917}"/>
    <cellStyle name="Migliaia 47 7 2 4" xfId="43226" xr:uid="{1477BB95-EC99-4900-BA53-1F49569CD794}"/>
    <cellStyle name="Migliaia 47 7 2 5" xfId="14302" xr:uid="{17A18AEB-4099-454D-9221-DDFD68E631AB}"/>
    <cellStyle name="Migliaia 47 7 3" xfId="6682" xr:uid="{40D4BAE2-4E95-4EB8-9D1E-7B92E5A019F4}"/>
    <cellStyle name="Migliaia 47 7 3 2" xfId="39892" xr:uid="{AC41E8DF-CFA0-4AB9-BB93-1182A9BF0FC5}"/>
    <cellStyle name="Migliaia 47 7 3 3" xfId="45194" xr:uid="{E703F0D0-8088-4F10-BA47-864AFB5A2FAE}"/>
    <cellStyle name="Migliaia 47 7 3 4" xfId="34310" xr:uid="{10353415-06DB-4385-B0D1-CC1B5A37DDB1}"/>
    <cellStyle name="Migliaia 47 7 3 5" xfId="20781" xr:uid="{087F3623-F37C-4AD5-9A63-66C044283945}"/>
    <cellStyle name="Migliaia 47 7 4" xfId="37275" xr:uid="{6FC80417-5590-42A3-A999-4C2A545133F7}"/>
    <cellStyle name="Migliaia 47 7 5" xfId="42543" xr:uid="{129A6DA8-76F9-4C59-A3D8-273ACA19720C}"/>
    <cellStyle name="Migliaia 47 7 6" xfId="16665" xr:uid="{7CB74436-6501-4947-8333-FA0F0FAB89FD}"/>
    <cellStyle name="Migliaia 47 7 7" xfId="8364" xr:uid="{DF1C7B4B-F237-45FB-810B-0D39E0A9133C}"/>
    <cellStyle name="Migliaia 47 8" xfId="3775" xr:uid="{20A380C3-7557-4424-BBD7-E92C1A0DB05F}"/>
    <cellStyle name="Migliaia 47 8 2" xfId="5501" xr:uid="{7F8D32F9-8891-4C85-BD71-A5A12F9C5C85}"/>
    <cellStyle name="Migliaia 47 8 2 2" xfId="35416" xr:uid="{D3400A62-1112-43E9-A3DE-8FDF07051C23}"/>
    <cellStyle name="Migliaia 47 8 2 2 2" xfId="40576" xr:uid="{AA972A2C-6F08-461F-B7EA-F3E02AC52146}"/>
    <cellStyle name="Migliaia 47 8 2 2 3" xfId="45878" xr:uid="{B1C7E997-02BA-4A0F-986E-2ED40AA78322}"/>
    <cellStyle name="Migliaia 47 8 2 3" xfId="37925" xr:uid="{1395AF42-F734-4E91-9FB5-03553DEAEBE9}"/>
    <cellStyle name="Migliaia 47 8 2 4" xfId="43227" xr:uid="{1BC47B1E-5ED4-4B27-AEC3-9E1C6B2D8A5B}"/>
    <cellStyle name="Migliaia 47 8 2 5" xfId="14007" xr:uid="{A0117D08-C797-45F5-91D1-4A6F8F9093D4}"/>
    <cellStyle name="Migliaia 47 8 3" xfId="6683" xr:uid="{DA3599F0-5027-4D8D-9DA6-4F90B5F6B702}"/>
    <cellStyle name="Migliaia 47 8 3 2" xfId="39893" xr:uid="{D8F62528-1756-45A1-8685-536E5D516420}"/>
    <cellStyle name="Migliaia 47 8 3 3" xfId="45195" xr:uid="{75289C44-4E3B-4C66-BDB6-40BBDDF16037}"/>
    <cellStyle name="Migliaia 47 8 3 4" xfId="34311" xr:uid="{9F9B9402-BFBA-4857-B5F9-50649EB10F25}"/>
    <cellStyle name="Migliaia 47 8 3 5" xfId="20782" xr:uid="{DD9EFA82-B360-420C-A338-9BBED71BBC72}"/>
    <cellStyle name="Migliaia 47 8 4" xfId="37276" xr:uid="{0A28D8B8-3F8E-4041-A919-369A6D3867AD}"/>
    <cellStyle name="Migliaia 47 8 5" xfId="42544" xr:uid="{D75A7EDA-84E5-438A-B904-180C6B16BC03}"/>
    <cellStyle name="Migliaia 47 8 6" xfId="16666" xr:uid="{BB79D7FD-D58B-4A29-B3D6-FC7C4113E3F0}"/>
    <cellStyle name="Migliaia 47 8 7" xfId="7986" xr:uid="{C9C6A09E-0C2C-4357-AE41-481088D8B7D6}"/>
    <cellStyle name="Migliaia 47 9" xfId="5486" xr:uid="{57D67CFF-0252-4A5F-A505-D0751A14898B}"/>
    <cellStyle name="Migliaia 47 9 2" xfId="34312" xr:uid="{9D681870-1127-4431-87AD-3B873D64408F}"/>
    <cellStyle name="Migliaia 47 9 2 2" xfId="39894" xr:uid="{2C0D8306-21E2-4EB0-B41A-CAE78B5FC550}"/>
    <cellStyle name="Migliaia 47 9 2 3" xfId="45196" xr:uid="{0768250D-6548-4A89-B97B-DC6C5E85C775}"/>
    <cellStyle name="Migliaia 47 9 3" xfId="37277" xr:uid="{BCD2F151-A845-4802-A396-30304C4EF8BB}"/>
    <cellStyle name="Migliaia 47 9 4" xfId="42545" xr:uid="{785EF9D5-89E2-4638-8563-38FC7DA245E4}"/>
    <cellStyle name="Migliaia 47 9 5" xfId="17217" xr:uid="{681B3650-A6EE-4F22-8494-870E93A3D940}"/>
    <cellStyle name="Migliaia 48" xfId="469" xr:uid="{00000000-0005-0000-0000-000039040000}"/>
    <cellStyle name="Migliaia 48 10" xfId="6684" xr:uid="{3D47937B-DB6C-4AC4-ADF6-63CAEF2DB7F1}"/>
    <cellStyle name="Migliaia 48 10 2" xfId="39895" xr:uid="{71A8DC60-A678-4483-8416-F53F749A5868}"/>
    <cellStyle name="Migliaia 48 10 3" xfId="45197" xr:uid="{5B9D4E74-A503-4283-9274-672D64689E0E}"/>
    <cellStyle name="Migliaia 48 10 4" xfId="34313" xr:uid="{6332E180-C799-49C8-93E4-E91050893A4F}"/>
    <cellStyle name="Migliaia 48 10 5" xfId="20783" xr:uid="{E8FC5488-56D2-407D-B9F6-89AA2340509C}"/>
    <cellStyle name="Migliaia 48 11" xfId="3776" xr:uid="{7DEA1472-11A5-44F9-AB88-6330FB2FE8D6}"/>
    <cellStyle name="Migliaia 48 11 2" xfId="37278" xr:uid="{AABD7D6E-3C3C-440B-97A1-2DDB9B1CC6A8}"/>
    <cellStyle name="Migliaia 48 12" xfId="42546" xr:uid="{29E9E20D-2C51-41FC-A98B-0B747865654A}"/>
    <cellStyle name="Migliaia 48 13" xfId="7168" xr:uid="{511DBFB1-128D-493E-88C7-742167E02EE3}"/>
    <cellStyle name="Migliaia 48 2" xfId="470" xr:uid="{00000000-0005-0000-0000-00003A040000}"/>
    <cellStyle name="Migliaia 48 2 2" xfId="1866" xr:uid="{00000000-0005-0000-0000-00003B040000}"/>
    <cellStyle name="Migliaia 48 2 2 2" xfId="5504" xr:uid="{6389DF05-C1F1-4A24-8A92-26C60F8D97CA}"/>
    <cellStyle name="Migliaia 48 2 2 2 2" xfId="14405" xr:uid="{FFE3E2EA-67AB-4F47-AF2F-A5FFFDF51922}"/>
    <cellStyle name="Migliaia 48 2 2 2 2 2" xfId="39896" xr:uid="{FFB0ADE5-17E7-4241-BC03-CD1EE7B66962}"/>
    <cellStyle name="Migliaia 48 2 2 2 2 3" xfId="45198" xr:uid="{7C106805-BFDA-447F-AF5F-4A333FF41F02}"/>
    <cellStyle name="Migliaia 48 2 2 2 3" xfId="18488" xr:uid="{2E324FD4-BCAE-4801-8262-DA513B0999EE}"/>
    <cellStyle name="Migliaia 48 2 2 2 4" xfId="20786" xr:uid="{E75F2792-84CF-46F4-AFBC-E536A9BD6D04}"/>
    <cellStyle name="Migliaia 48 2 2 2 4 2" xfId="42547" xr:uid="{C5F67810-ACEF-415E-8606-47865B7F6E84}"/>
    <cellStyle name="Migliaia 48 2 2 2 5" xfId="16667" xr:uid="{8CABD6C0-99C8-44CD-9F33-1559F60136FB}"/>
    <cellStyle name="Migliaia 48 2 2 2 6" xfId="8733" xr:uid="{8433486C-2D72-47B0-8A03-D37B40D77ECD}"/>
    <cellStyle name="Migliaia 48 2 2 3" xfId="6686" xr:uid="{1B73C074-83AA-422B-A239-B68041C08319}"/>
    <cellStyle name="Migliaia 48 2 2 3 2" xfId="35417" xr:uid="{B574AF1C-0533-4E3E-ADE0-240947924408}"/>
    <cellStyle name="Migliaia 48 2 2 3 2 2" xfId="40577" xr:uid="{872BE6E3-FB1B-427B-A601-98AB766E3473}"/>
    <cellStyle name="Migliaia 48 2 2 3 2 3" xfId="45879" xr:uid="{2FECBEC7-FE14-4038-86E2-6B539CF36D67}"/>
    <cellStyle name="Migliaia 48 2 2 3 3" xfId="37926" xr:uid="{A7D75EB5-6978-42C0-9AC5-DB6780DCEFB1}"/>
    <cellStyle name="Migliaia 48 2 2 3 4" xfId="43228" xr:uid="{604BB730-8AF9-4332-BC8F-4ACBDCB00B0E}"/>
    <cellStyle name="Migliaia 48 2 2 3 5" xfId="11632" xr:uid="{BC77FAEB-B172-4C10-A5E1-2522EA398BE9}"/>
    <cellStyle name="Migliaia 48 2 2 4" xfId="3778" xr:uid="{8A4CCAC0-0234-4289-9063-52FAA553EA87}"/>
    <cellStyle name="Migliaia 48 2 2 4 2" xfId="21578" xr:uid="{0719EF64-4425-41CF-8B43-7AFFF7FE7546}"/>
    <cellStyle name="Migliaia 48 2 2 4 3" xfId="48432" xr:uid="{01404B25-73BE-4254-928B-96478CA17F00}"/>
    <cellStyle name="Migliaia 48 2 2 4 4" xfId="50593" xr:uid="{A95067B8-835D-45AE-977E-7DFF12B840C6}"/>
    <cellStyle name="Migliaia 48 2 2 4 5" xfId="53609" xr:uid="{436282F3-73CA-45E3-9E8E-D90A3FCA8D35}"/>
    <cellStyle name="Migliaia 48 2 2 4 6" xfId="10943" xr:uid="{7E8FB35A-DFA1-470C-BFE6-DF2C44DBDD6A}"/>
    <cellStyle name="Migliaia 48 2 2 5" xfId="20785" xr:uid="{4742E514-C0B0-4C0A-B06B-7BBF74005212}"/>
    <cellStyle name="Migliaia 48 2 2 6" xfId="25187" xr:uid="{9552922C-5052-45D5-ACCD-1845E92A2A6E}"/>
    <cellStyle name="Migliaia 48 2 2 7" xfId="7543" xr:uid="{2B7FA726-340C-4BCA-B5CA-2A7B6273EDA8}"/>
    <cellStyle name="Migliaia 48 2 3" xfId="3779" xr:uid="{8ECAB38A-695B-4371-9215-6C326D33AF86}"/>
    <cellStyle name="Migliaia 48 2 3 2" xfId="5505" xr:uid="{BA9D5057-023E-4B8F-A2EB-2C343CF56E11}"/>
    <cellStyle name="Migliaia 48 2 3 2 2" xfId="35418" xr:uid="{277C38CA-B840-4D3A-A252-DE14348E6F80}"/>
    <cellStyle name="Migliaia 48 2 3 2 2 2" xfId="40578" xr:uid="{03343EEA-EE2A-4635-BB94-B2F4D79478AE}"/>
    <cellStyle name="Migliaia 48 2 3 2 2 3" xfId="45880" xr:uid="{3B689167-FEF5-463C-9308-4C626784112B}"/>
    <cellStyle name="Migliaia 48 2 3 2 3" xfId="37927" xr:uid="{70933116-8B4D-44E9-BE84-8F8CEBC98763}"/>
    <cellStyle name="Migliaia 48 2 3 2 4" xfId="43229" xr:uid="{CB737483-9D3C-40E5-9FCC-A39D70B4B237}"/>
    <cellStyle name="Migliaia 48 2 3 2 5" xfId="14306" xr:uid="{FE080E35-CD86-4D6B-BA58-7E34E868C666}"/>
    <cellStyle name="Migliaia 48 2 3 3" xfId="6687" xr:uid="{78BB7882-912F-4C9D-9563-DB64300C24F6}"/>
    <cellStyle name="Migliaia 48 2 3 3 2" xfId="39897" xr:uid="{BA340F37-AF87-40EE-A8A9-9CCFE2F0280D}"/>
    <cellStyle name="Migliaia 48 2 3 3 3" xfId="45199" xr:uid="{EEDA2C6D-7EB8-4E7E-8812-FB71E9F2CA1B}"/>
    <cellStyle name="Migliaia 48 2 3 3 4" xfId="34315" xr:uid="{9EB2FD98-0C59-4490-ABB3-12808F80E096}"/>
    <cellStyle name="Migliaia 48 2 3 3 5" xfId="20787" xr:uid="{0CC3DF0D-C426-43A7-9063-2B1B81A43FF8}"/>
    <cellStyle name="Migliaia 48 2 3 4" xfId="37280" xr:uid="{642A6966-1CCB-41C5-94FA-D89F32B034A8}"/>
    <cellStyle name="Migliaia 48 2 3 5" xfId="42548" xr:uid="{BFC69EB1-5F36-41DC-BA24-C8DD98E490F8}"/>
    <cellStyle name="Migliaia 48 2 3 6" xfId="16668" xr:uid="{CD26F154-3AEE-4FAD-A9DE-6ED3423E1C80}"/>
    <cellStyle name="Migliaia 48 2 3 7" xfId="8368" xr:uid="{7060236D-7CAC-4357-B18F-49642F5DFCC0}"/>
    <cellStyle name="Migliaia 48 2 4" xfId="5503" xr:uid="{643AE65E-EC19-4928-AA9D-32E5AA3C1274}"/>
    <cellStyle name="Migliaia 48 2 4 2" xfId="14011" xr:uid="{3B828AE0-063E-43B1-AD7E-E873522F4FFD}"/>
    <cellStyle name="Migliaia 48 2 4 2 2" xfId="39898" xr:uid="{1269C178-C7FD-4D4E-B0C8-3C5A5103D2FF}"/>
    <cellStyle name="Migliaia 48 2 4 2 3" xfId="45200" xr:uid="{E9B56106-79AA-41AB-8609-E41E68FC2929}"/>
    <cellStyle name="Migliaia 48 2 4 3" xfId="18696" xr:uid="{FF69DBD1-9CE1-46AC-8A0D-46326B883C3A}"/>
    <cellStyle name="Migliaia 48 2 4 4" xfId="20788" xr:uid="{E447062E-A0FA-4CCD-BA86-E7E44CB0B438}"/>
    <cellStyle name="Migliaia 48 2 4 4 2" xfId="42549" xr:uid="{897134C2-1BBC-406B-BD43-396150AAE3EC}"/>
    <cellStyle name="Migliaia 48 2 4 5" xfId="16669" xr:uid="{C39EC201-DE2F-4AD6-88E6-09458216FA63}"/>
    <cellStyle name="Migliaia 48 2 4 6" xfId="7991" xr:uid="{EEBFC40C-3E0F-404F-8B85-3A694FE4FF58}"/>
    <cellStyle name="Migliaia 48 2 5" xfId="6685" xr:uid="{DA6EF1CF-B13B-4420-9C74-34694DEDEDB6}"/>
    <cellStyle name="Migliaia 48 2 5 2" xfId="34316" xr:uid="{FD7706BD-F86D-440D-BCD4-C5E45E570B30}"/>
    <cellStyle name="Migliaia 48 2 5 2 2" xfId="39899" xr:uid="{294BD096-831A-40A0-AA7C-0F99B6E590B8}"/>
    <cellStyle name="Migliaia 48 2 5 2 3" xfId="45201" xr:uid="{2F3615CA-4DA4-4C60-BF2F-384FAA552AFF}"/>
    <cellStyle name="Migliaia 48 2 5 3" xfId="37281" xr:uid="{28726015-86E5-4EB5-A505-4C3CCB0CE7E6}"/>
    <cellStyle name="Migliaia 48 2 5 4" xfId="42550" xr:uid="{6D86E9C2-3A0A-486D-9B86-B8A9357CD41E}"/>
    <cellStyle name="Migliaia 48 2 5 5" xfId="13145" xr:uid="{69CECA01-0F72-421B-BFC0-AA85C792C6D8}"/>
    <cellStyle name="Migliaia 48 2 6" xfId="3777" xr:uid="{00EF5211-487E-4A7D-B71D-62B98ED4D1D0}"/>
    <cellStyle name="Migliaia 48 2 6 2" xfId="34317" xr:uid="{499E3DC3-3FE2-4CB4-85A7-E624B3C9021E}"/>
    <cellStyle name="Migliaia 48 2 6 2 2" xfId="39900" xr:uid="{6600DF1C-7D39-4FA8-8B5C-4B8247BF94D8}"/>
    <cellStyle name="Migliaia 48 2 6 2 3" xfId="45202" xr:uid="{CD920690-B4E3-412F-A2F3-A2CFCB9A4329}"/>
    <cellStyle name="Migliaia 48 2 6 3" xfId="37282" xr:uid="{62982527-E09C-4F5D-860B-39DD33F928F4}"/>
    <cellStyle name="Migliaia 48 2 6 4" xfId="42551" xr:uid="{FD675EF6-C570-4315-9F12-89439A3D73A8}"/>
    <cellStyle name="Migliaia 48 2 6 5" xfId="25189" xr:uid="{2BAA33F9-3707-485B-9948-4C9E1DEC371E}"/>
    <cellStyle name="Migliaia 48 2 6 6" xfId="20784" xr:uid="{0C83BD0D-2B53-462D-AC1E-F725EE23E9C1}"/>
    <cellStyle name="Migliaia 48 2 7" xfId="25186" xr:uid="{9A755F64-F5D0-4EA9-B6CA-2F3469117E67}"/>
    <cellStyle name="Migliaia 48 2 8" xfId="7169" xr:uid="{01F9929A-044C-4775-BD7C-16606CA89933}"/>
    <cellStyle name="Migliaia 48 3" xfId="471" xr:uid="{00000000-0005-0000-0000-00003C040000}"/>
    <cellStyle name="Migliaia 48 3 10" xfId="25190" xr:uid="{5E0E0345-9F4A-4BE3-91B0-BDD154688338}"/>
    <cellStyle name="Migliaia 48 3 11" xfId="16670" xr:uid="{CDF0C226-BF04-4097-B1E6-8A02C29E0B61}"/>
    <cellStyle name="Migliaia 48 3 12" xfId="7170" xr:uid="{D9D2E1A3-6172-4540-8D20-9943FCDF0556}"/>
    <cellStyle name="Migliaia 48 3 2" xfId="472" xr:uid="{00000000-0005-0000-0000-00003D040000}"/>
    <cellStyle name="Migliaia 48 3 2 2" xfId="1867" xr:uid="{00000000-0005-0000-0000-00003E040000}"/>
    <cellStyle name="Migliaia 48 3 2 2 2" xfId="5508" xr:uid="{AC7ED50C-0128-4CA4-89E0-F70F4FD41733}"/>
    <cellStyle name="Migliaia 48 3 2 2 2 2" xfId="18489" xr:uid="{0E5CD169-6D0E-41DC-80E4-EB38EEE88461}"/>
    <cellStyle name="Migliaia 48 3 2 2 2 2 2" xfId="21883" xr:uid="{0D069C24-EE1D-4AF7-8BA4-FF6F42322153}"/>
    <cellStyle name="Migliaia 48 3 2 2 2 2 2 2" xfId="39901" xr:uid="{76584A69-7A6C-410A-8BDA-DAE9D5FDAE40}"/>
    <cellStyle name="Migliaia 48 3 2 2 2 2 3" xfId="45203" xr:uid="{E4BF8832-8DE9-4B96-8D40-1E375C975F3C}"/>
    <cellStyle name="Migliaia 48 3 2 2 2 2 4" xfId="34318" xr:uid="{7FB4D5FC-AA7D-4C45-A64A-BB423C0D2927}"/>
    <cellStyle name="Migliaia 48 3 2 2 2 3" xfId="37283" xr:uid="{583A3562-DDC9-4199-8B6D-C08C1601A3C5}"/>
    <cellStyle name="Migliaia 48 3 2 2 2 4" xfId="42552" xr:uid="{C349A94A-C3D0-4756-B8A2-C6AFDD104DBA}"/>
    <cellStyle name="Migliaia 48 3 2 2 2 5" xfId="48578" xr:uid="{7E1E7E45-E117-4EDC-BCC3-DB2289B5DD25}"/>
    <cellStyle name="Migliaia 48 3 2 2 2 6" xfId="50911" xr:uid="{9F4A93F7-D939-46DE-A224-B9B94672153F}"/>
    <cellStyle name="Migliaia 48 3 2 2 2 7" xfId="53927" xr:uid="{9D9E544E-B177-4D6A-B6A6-48DF847C7E26}"/>
    <cellStyle name="Migliaia 48 3 2 2 2 8" xfId="17681" xr:uid="{3FF10A45-A951-4DD8-A4B3-3FAF13C35538}"/>
    <cellStyle name="Migliaia 48 3 2 2 2 9" xfId="12055" xr:uid="{5E4FBE32-05B4-4D07-B182-27D2B23EF3B8}"/>
    <cellStyle name="Migliaia 48 3 2 2 3" xfId="6690" xr:uid="{DC76F674-9FC7-4B44-A8F0-EC3B3B69E631}"/>
    <cellStyle name="Migliaia 48 3 2 2 3 2" xfId="11178" xr:uid="{D92C78ED-84F7-4002-A5A4-DCC4188DEC44}"/>
    <cellStyle name="Migliaia 48 3 2 2 4" xfId="3782" xr:uid="{2F07C70B-EA86-474D-AC16-D8DEF1E3E3B9}"/>
    <cellStyle name="Migliaia 48 3 2 2 4 2" xfId="21579" xr:uid="{61BDC72F-A0AA-459F-8E36-61CE6181858C}"/>
    <cellStyle name="Migliaia 48 3 2 2 4 3" xfId="48530" xr:uid="{60814731-617F-48DF-B2A7-0DCDA7042140}"/>
    <cellStyle name="Migliaia 48 3 2 2 4 4" xfId="50594" xr:uid="{9A0E4ABB-DE2E-4A07-9A3E-B5BE372FAF6C}"/>
    <cellStyle name="Migliaia 48 3 2 2 4 5" xfId="53610" xr:uid="{D46DBC5F-B176-4565-9EF3-1B633BBC35F5}"/>
    <cellStyle name="Migliaia 48 3 2 2 4 6" xfId="10944" xr:uid="{F0102A04-5665-40B3-A5F5-C05956DA3AA6}"/>
    <cellStyle name="Migliaia 48 3 2 2 5" xfId="20791" xr:uid="{BA13CE46-532A-4DBE-AF90-3AA304E18AF1}"/>
    <cellStyle name="Migliaia 48 3 2 2 6" xfId="25192" xr:uid="{18873292-8E9B-452A-829B-321EC01D2481}"/>
    <cellStyle name="Migliaia 48 3 2 2 7" xfId="8735" xr:uid="{246B3C80-3672-424C-B21D-123277BBD91D}"/>
    <cellStyle name="Migliaia 48 3 2 3" xfId="5507" xr:uid="{DB6A0758-D8D0-4739-B8FF-73BC2C69B6A3}"/>
    <cellStyle name="Migliaia 48 3 2 3 2" xfId="11107" xr:uid="{236C2EDF-AA38-41B3-9DE7-455A9A659949}"/>
    <cellStyle name="Migliaia 48 3 2 3 2 2" xfId="39902" xr:uid="{01AA14B7-F6A7-482D-8E21-FE7080AD579B}"/>
    <cellStyle name="Migliaia 48 3 2 3 2 3" xfId="45204" xr:uid="{7D88B59A-9708-43B5-9182-E08437E45BE1}"/>
    <cellStyle name="Migliaia 48 3 2 3 2 4" xfId="34319" xr:uid="{632A7D35-1DA0-4C98-9D29-D96B30611A7C}"/>
    <cellStyle name="Migliaia 48 3 2 3 3" xfId="12056" xr:uid="{3C3F4E35-ACF8-4551-ABCD-D313E2581384}"/>
    <cellStyle name="Migliaia 48 3 2 3 4" xfId="20792" xr:uid="{C6D2A29F-90C3-4591-8097-FCAE9D48B32A}"/>
    <cellStyle name="Migliaia 48 3 2 3 4 2" xfId="42553" xr:uid="{DD6F8419-522F-45FE-BD1A-E3BA4F414EA3}"/>
    <cellStyle name="Migliaia 48 3 2 3 5" xfId="16671" xr:uid="{98795B0B-89D1-4698-9D48-F4A20D316C4D}"/>
    <cellStyle name="Migliaia 48 3 2 3 6" xfId="7993" xr:uid="{EB5362FD-38CC-48FA-A197-7E191016E187}"/>
    <cellStyle name="Migliaia 48 3 2 4" xfId="6689" xr:uid="{450F15B9-738A-4853-9C42-3284AD0A0193}"/>
    <cellStyle name="Migliaia 48 3 2 4 2" xfId="18099" xr:uid="{B81FF524-C3EE-4856-8218-AF62481C2599}"/>
    <cellStyle name="Migliaia 48 3 2 4 2 2" xfId="39903" xr:uid="{6C602E76-B239-4CE6-B838-B1FA2F9AE16D}"/>
    <cellStyle name="Migliaia 48 3 2 4 2 3" xfId="45205" xr:uid="{492EFB8E-343B-43A4-B083-96F8824570F0}"/>
    <cellStyle name="Migliaia 48 3 2 4 3" xfId="37284" xr:uid="{CA7B2C91-7795-4C4D-B12A-D63FDF6B6EB9}"/>
    <cellStyle name="Migliaia 48 3 2 4 4" xfId="42554" xr:uid="{124C4903-977B-4D91-88D7-5080F2F70CFB}"/>
    <cellStyle name="Migliaia 48 3 2 4 5" xfId="17220" xr:uid="{EDE0BACA-B299-471A-AED9-296FCFA073A7}"/>
    <cellStyle name="Migliaia 48 3 2 4 6" xfId="11404" xr:uid="{070EB49D-9A58-40C2-A185-B362F92B7AAD}"/>
    <cellStyle name="Migliaia 48 3 2 5" xfId="3781" xr:uid="{4AA643C6-73FD-4601-BAAF-AB97EA0EE2EE}"/>
    <cellStyle name="Migliaia 48 3 2 5 2" xfId="34320" xr:uid="{CE72EF21-9871-4809-B155-029D4EFA4666}"/>
    <cellStyle name="Migliaia 48 3 2 5 2 2" xfId="39904" xr:uid="{A9645318-0FA7-46CA-97AD-09652CBCEC93}"/>
    <cellStyle name="Migliaia 48 3 2 5 2 3" xfId="45206" xr:uid="{F3D47164-E324-4710-AEDD-8FC717DA8EEB}"/>
    <cellStyle name="Migliaia 48 3 2 5 3" xfId="37285" xr:uid="{C2454A70-BD40-4E33-AD4C-74BC5DDC46F3}"/>
    <cellStyle name="Migliaia 48 3 2 5 4" xfId="42555" xr:uid="{CEECAE3E-401E-4B69-A7AC-2D847D572176}"/>
    <cellStyle name="Migliaia 48 3 2 5 5" xfId="17300" xr:uid="{6CB01F70-1EB9-4755-BEA2-0D6D1A522888}"/>
    <cellStyle name="Migliaia 48 3 2 6" xfId="20790" xr:uid="{FA323745-B210-414A-B862-E3F295FCEF5A}"/>
    <cellStyle name="Migliaia 48 3 2 6 2" xfId="34321" xr:uid="{2EADC999-6AA6-44C3-AD8E-F82A45B4DFC2}"/>
    <cellStyle name="Migliaia 48 3 2 6 2 2" xfId="39905" xr:uid="{D8C1D67C-507B-4FDD-A21B-0C99F7D0880A}"/>
    <cellStyle name="Migliaia 48 3 2 6 2 3" xfId="45207" xr:uid="{E9575110-854D-4A62-9B32-DA004112001D}"/>
    <cellStyle name="Migliaia 48 3 2 6 3" xfId="37286" xr:uid="{42FE3723-E83E-45DB-9BB2-355C86FF82EF}"/>
    <cellStyle name="Migliaia 48 3 2 6 4" xfId="42556" xr:uid="{72F41237-6630-465F-8916-75DAE0CA22F2}"/>
    <cellStyle name="Migliaia 48 3 2 6 5" xfId="25193" xr:uid="{610CDB42-42D9-4135-AA02-82D30DEDFD1F}"/>
    <cellStyle name="Migliaia 48 3 2 7" xfId="25191" xr:uid="{24596585-9359-43EA-A305-191CB990CF6B}"/>
    <cellStyle name="Migliaia 48 3 2 8" xfId="7545" xr:uid="{AA3011A2-974A-4F6F-BEFB-F5FCADDEE849}"/>
    <cellStyle name="Migliaia 48 3 3" xfId="3783" xr:uid="{C74081EA-1D19-46DC-B806-49767859E545}"/>
    <cellStyle name="Migliaia 48 3 3 10" xfId="7544" xr:uid="{BC9920B4-7A72-4FD7-BDEC-9B8E1FBE7118}"/>
    <cellStyle name="Migliaia 48 3 3 2" xfId="5509" xr:uid="{39CFEEF8-C86C-4A81-B443-88762A4AE44B}"/>
    <cellStyle name="Migliaia 48 3 3 2 2" xfId="9966" xr:uid="{75D8A674-C99B-4032-B4BD-339D98FB097D}"/>
    <cellStyle name="Migliaia 48 3 3 2 2 2" xfId="39907" xr:uid="{FABD7A2A-49CC-4CD1-9C3C-9CA82F637BA8}"/>
    <cellStyle name="Migliaia 48 3 3 2 2 3" xfId="45209" xr:uid="{35F16C11-451F-4A9D-9DCA-29933614DD47}"/>
    <cellStyle name="Migliaia 48 3 3 2 3" xfId="18246" xr:uid="{FF3A1DAA-0FEE-4AFA-AE0E-425E28F01EAA}"/>
    <cellStyle name="Migliaia 48 3 3 2 4" xfId="20794" xr:uid="{3B696FF1-518F-4211-ABB1-1D19F8AF3CA2}"/>
    <cellStyle name="Migliaia 48 3 3 2 4 2" xfId="42558" xr:uid="{8C0DBB3B-39D0-4712-887C-228062204B5D}"/>
    <cellStyle name="Migliaia 48 3 3 2 5" xfId="16673" xr:uid="{C706ECD3-296D-4646-A776-B50058FFF1D7}"/>
    <cellStyle name="Migliaia 48 3 3 2 6" xfId="8734" xr:uid="{69AD834F-EA76-4277-99B1-719C49595F90}"/>
    <cellStyle name="Migliaia 48 3 3 3" xfId="6691" xr:uid="{AF1AD14A-AE50-4630-A229-9F0F396F30D8}"/>
    <cellStyle name="Migliaia 48 3 3 3 2" xfId="34323" xr:uid="{44E05175-F8E4-4BC5-A63B-8D0547A06642}"/>
    <cellStyle name="Migliaia 48 3 3 3 2 2" xfId="39908" xr:uid="{617CE376-0C72-43F2-8E83-FCB976D2A1E2}"/>
    <cellStyle name="Migliaia 48 3 3 3 2 3" xfId="45210" xr:uid="{0E1D64CE-92F7-4552-BCCE-595EFE4314E7}"/>
    <cellStyle name="Migliaia 48 3 3 3 3" xfId="37288" xr:uid="{31722E77-AFBD-437A-AD0E-DB6176AC7542}"/>
    <cellStyle name="Migliaia 48 3 3 3 4" xfId="42559" xr:uid="{1FC18113-7F4B-4535-AB0B-1770C5E30F92}"/>
    <cellStyle name="Migliaia 48 3 3 3 5" xfId="9729" xr:uid="{161DF7C3-8068-4DBA-B18E-6CF1BAE5BC9A}"/>
    <cellStyle name="Migliaia 48 3 3 4" xfId="20793" xr:uid="{3A6EB377-C45F-41BC-9F4B-756241C061DD}"/>
    <cellStyle name="Migliaia 48 3 3 4 2" xfId="34324" xr:uid="{2CE57851-2DBE-4075-B490-A8942B28FAD9}"/>
    <cellStyle name="Migliaia 48 3 3 4 2 2" xfId="39909" xr:uid="{FE971DB6-015D-44E9-82F6-1D60DCF9EF74}"/>
    <cellStyle name="Migliaia 48 3 3 4 2 3" xfId="45211" xr:uid="{A217FF19-D124-4056-8E1A-9FB382DA6323}"/>
    <cellStyle name="Migliaia 48 3 3 4 3" xfId="37289" xr:uid="{B2F6E3F0-7224-4825-A855-09769B5D25B3}"/>
    <cellStyle name="Migliaia 48 3 3 4 4" xfId="42560" xr:uid="{1B42A339-08DF-4045-B2E8-51D184500510}"/>
    <cellStyle name="Migliaia 48 3 3 4 5" xfId="25194" xr:uid="{FA85DD8E-A5F6-4555-BB92-6201508A6D2A}"/>
    <cellStyle name="Migliaia 48 3 3 5" xfId="25195" xr:uid="{FF0B154D-775A-414F-9037-B220C2EB6A19}"/>
    <cellStyle name="Migliaia 48 3 3 5 2" xfId="34325" xr:uid="{72B9530E-1771-4635-9A9E-537FE14D912E}"/>
    <cellStyle name="Migliaia 48 3 3 5 2 2" xfId="39910" xr:uid="{4A9C3008-B846-4827-A3A4-D28E56E25A88}"/>
    <cellStyle name="Migliaia 48 3 3 5 2 3" xfId="45212" xr:uid="{C47B872F-039E-4651-B96E-9E902300C914}"/>
    <cellStyle name="Migliaia 48 3 3 5 3" xfId="37290" xr:uid="{125D2236-E651-4D1D-9B54-CD5F899ACA5B}"/>
    <cellStyle name="Migliaia 48 3 3 5 4" xfId="42561" xr:uid="{8F7CC100-7A4E-4E83-905C-6D7268411E30}"/>
    <cellStyle name="Migliaia 48 3 3 6" xfId="34322" xr:uid="{760DE741-BA78-4245-9767-61475F3852F9}"/>
    <cellStyle name="Migliaia 48 3 3 6 2" xfId="39906" xr:uid="{8289D6F9-B2B3-4815-AC71-7F78274CCC79}"/>
    <cellStyle name="Migliaia 48 3 3 6 3" xfId="45208" xr:uid="{514D9855-B6E4-47EE-A755-07ACD6E8A4FF}"/>
    <cellStyle name="Migliaia 48 3 3 7" xfId="37287" xr:uid="{174A627A-6AF6-4531-971A-D0EACB340E36}"/>
    <cellStyle name="Migliaia 48 3 3 8" xfId="42557" xr:uid="{B447DE2D-62B7-4D4D-8D5B-48B7D538217C}"/>
    <cellStyle name="Migliaia 48 3 3 9" xfId="16672" xr:uid="{F40A4708-5635-4D8B-8BDC-320F887468EC}"/>
    <cellStyle name="Migliaia 48 3 4" xfId="3784" xr:uid="{4847FAC4-0631-46AF-ADCD-401C2B28AF6D}"/>
    <cellStyle name="Migliaia 48 3 4 2" xfId="5510" xr:uid="{A8F58F4C-594A-463E-B524-886752F71768}"/>
    <cellStyle name="Migliaia 48 3 4 2 2" xfId="14465" xr:uid="{15CF7C00-4393-4155-802E-34BD2D0499DF}"/>
    <cellStyle name="Migliaia 48 3 4 2 3" xfId="18134" xr:uid="{2F74B57A-FA8A-4026-97CE-53ADC679C103}"/>
    <cellStyle name="Migliaia 48 3 4 2 4" xfId="20796" xr:uid="{CED4C17A-2861-45F5-B826-3E727586295B}"/>
    <cellStyle name="Migliaia 48 3 4 2 5" xfId="32449" xr:uid="{2DA9706A-E65C-4B60-AA88-D0354EC4B77F}"/>
    <cellStyle name="Migliaia 48 3 4 2 6" xfId="16675" xr:uid="{B8269B55-A731-43CE-8B19-07F81E4400AF}"/>
    <cellStyle name="Migliaia 48 3 4 2 7" xfId="8888" xr:uid="{D0C9FE1E-EC44-48BE-A3A9-1F100B4D67E4}"/>
    <cellStyle name="Migliaia 48 3 4 3" xfId="6692" xr:uid="{3087FD74-8AE7-4B3E-8131-DA762FF0E701}"/>
    <cellStyle name="Migliaia 48 3 4 3 2" xfId="35419" xr:uid="{DCD84910-8505-41DA-A8A9-4680E7C79A1B}"/>
    <cellStyle name="Migliaia 48 3 4 3 2 2" xfId="40579" xr:uid="{088FFA95-4A40-43CB-9F33-7C021CA8E1E0}"/>
    <cellStyle name="Migliaia 48 3 4 3 2 3" xfId="45881" xr:uid="{BDA89DE6-C0ED-41B2-9A0C-C3C1689107D6}"/>
    <cellStyle name="Migliaia 48 3 4 3 3" xfId="37928" xr:uid="{CBD58126-B816-45FA-B67F-DBAB66AB68D4}"/>
    <cellStyle name="Migliaia 48 3 4 3 4" xfId="43230" xr:uid="{33F9F1FD-F6F4-46E9-B51F-A9988D0B0ECE}"/>
    <cellStyle name="Migliaia 48 3 4 3 5" xfId="13713" xr:uid="{49E7CC5E-F5F3-459C-B268-89696A7E488F}"/>
    <cellStyle name="Migliaia 48 3 4 4" xfId="20795" xr:uid="{D358C62C-3AC8-4173-9E06-C05F76B781A0}"/>
    <cellStyle name="Migliaia 48 3 4 4 2" xfId="39911" xr:uid="{F212BCA0-90DE-4BD7-9375-16CFEAF425C5}"/>
    <cellStyle name="Migliaia 48 3 4 4 3" xfId="45213" xr:uid="{8A0EFED3-1177-4CA7-863C-1D89F7F1E601}"/>
    <cellStyle name="Migliaia 48 3 4 4 4" xfId="34326" xr:uid="{C0156715-244F-4692-A189-CC612B59E023}"/>
    <cellStyle name="Migliaia 48 3 4 5" xfId="37291" xr:uid="{0552153D-6C99-49CE-8676-4DF871CC59AD}"/>
    <cellStyle name="Migliaia 48 3 4 6" xfId="42562" xr:uid="{BD7E8D36-F717-4BC5-9E1C-8B1DAB1F80F7}"/>
    <cellStyle name="Migliaia 48 3 4 7" xfId="16674" xr:uid="{754A7BA8-F37B-4C68-A198-FEBCC8543644}"/>
    <cellStyle name="Migliaia 48 3 4 8" xfId="7698" xr:uid="{BBAAA4F5-8D61-4CCC-8757-252E12E403E3}"/>
    <cellStyle name="Migliaia 48 3 5" xfId="3785" xr:uid="{68DF3283-8196-4DE0-A23E-0163C178D0FF}"/>
    <cellStyle name="Migliaia 48 3 5 2" xfId="5511" xr:uid="{D15ECDD6-20D1-4F4E-BE84-5B3A9629EA01}"/>
    <cellStyle name="Migliaia 48 3 5 2 2" xfId="35420" xr:uid="{ADA58CE5-825D-466F-9E99-216E85119776}"/>
    <cellStyle name="Migliaia 48 3 5 2 2 2" xfId="40580" xr:uid="{BA3E57FE-77D7-4104-9F91-F3F55F3657DC}"/>
    <cellStyle name="Migliaia 48 3 5 2 2 3" xfId="45882" xr:uid="{8571430C-BEDA-4534-8BB5-31B41B061E37}"/>
    <cellStyle name="Migliaia 48 3 5 2 3" xfId="37929" xr:uid="{8A25C452-69B3-4ED3-B314-95F36A624513}"/>
    <cellStyle name="Migliaia 48 3 5 2 4" xfId="43231" xr:uid="{B967788C-4760-4A3F-8A95-98CC997FC1AB}"/>
    <cellStyle name="Migliaia 48 3 5 2 5" xfId="14307" xr:uid="{8C9FA3BC-0920-430D-9078-4A8653461C0E}"/>
    <cellStyle name="Migliaia 48 3 5 3" xfId="6693" xr:uid="{372D6505-49C2-43C8-8F6B-0E0B786D6CE9}"/>
    <cellStyle name="Migliaia 48 3 5 3 2" xfId="39912" xr:uid="{8D3DAE34-8B16-4FCF-A5B2-D42567E8A342}"/>
    <cellStyle name="Migliaia 48 3 5 3 3" xfId="45214" xr:uid="{CECA242D-7532-434E-9644-5E8103178A00}"/>
    <cellStyle name="Migliaia 48 3 5 3 4" xfId="34327" xr:uid="{978D9292-7FF5-49DB-8822-5E15A0C83357}"/>
    <cellStyle name="Migliaia 48 3 5 3 5" xfId="20797" xr:uid="{A18A5677-CC86-417D-B758-370FB0581260}"/>
    <cellStyle name="Migliaia 48 3 5 4" xfId="37292" xr:uid="{1BE62ADA-8AA2-46AC-80EB-C1AD34BCA2F3}"/>
    <cellStyle name="Migliaia 48 3 5 5" xfId="42563" xr:uid="{14207CC5-1021-410C-AFCD-908DB7BAC271}"/>
    <cellStyle name="Migliaia 48 3 5 6" xfId="16676" xr:uid="{64D614CD-78E4-4225-A0A8-08ABA3FC0E2E}"/>
    <cellStyle name="Migliaia 48 3 5 7" xfId="8369" xr:uid="{2F603D21-7D0B-49EB-BCDB-AA79803E3F9F}"/>
    <cellStyle name="Migliaia 48 3 6" xfId="5506" xr:uid="{AEA81241-B79B-4D67-ACB4-BE74D8BBD72C}"/>
    <cellStyle name="Migliaia 48 3 6 2" xfId="14012" xr:uid="{8AB5A21C-2E1C-4147-901D-D0C8B03325AA}"/>
    <cellStyle name="Migliaia 48 3 6 2 2" xfId="39913" xr:uid="{E0386945-B96D-4882-AADD-C14EB4ACBB44}"/>
    <cellStyle name="Migliaia 48 3 6 2 3" xfId="45215" xr:uid="{8DCE9D0C-BA85-4744-9AE0-0CEA7CD97A96}"/>
    <cellStyle name="Migliaia 48 3 6 3" xfId="18606" xr:uid="{FFB9AA45-7CB3-4B3B-A02A-9E6D7EAE5C3A}"/>
    <cellStyle name="Migliaia 48 3 6 4" xfId="20798" xr:uid="{DD8941A8-DBDF-4083-A027-15250E57762B}"/>
    <cellStyle name="Migliaia 48 3 6 4 2" xfId="42564" xr:uid="{F1620333-B4E6-4F6A-B4A7-9262125A3F1F}"/>
    <cellStyle name="Migliaia 48 3 6 5" xfId="16677" xr:uid="{174314A3-133D-4420-9C73-66616405A0D7}"/>
    <cellStyle name="Migliaia 48 3 6 6" xfId="7992" xr:uid="{C624E57A-CFBB-420C-B8A5-9E6F6B70718B}"/>
    <cellStyle name="Migliaia 48 3 7" xfId="6688" xr:uid="{65A0DD9E-D934-48B0-9E79-7D59EBB52E88}"/>
    <cellStyle name="Migliaia 48 3 7 2" xfId="34328" xr:uid="{D2F1C04C-6214-4A2F-92E2-FFA2F99E95D1}"/>
    <cellStyle name="Migliaia 48 3 7 2 2" xfId="39914" xr:uid="{2ECD03DA-9F45-48BB-8BDB-91CE539FD6AE}"/>
    <cellStyle name="Migliaia 48 3 7 2 3" xfId="45216" xr:uid="{27BFBBC3-F9CD-4062-A0F8-4E5007461437}"/>
    <cellStyle name="Migliaia 48 3 7 3" xfId="37293" xr:uid="{02AC31D0-84EA-4AC0-A0A1-2171F015FECA}"/>
    <cellStyle name="Migliaia 48 3 7 4" xfId="42565" xr:uid="{EBF20BE5-26F0-439A-92C1-FD4C9731B123}"/>
    <cellStyle name="Migliaia 48 3 7 5" xfId="11169" xr:uid="{6F9AB829-C8E6-43A8-BB50-765A8DE0AAD7}"/>
    <cellStyle name="Migliaia 48 3 8" xfId="3780" xr:uid="{54C99EC7-1A21-41CB-B9D2-4922FEB3971F}"/>
    <cellStyle name="Migliaia 48 3 8 2" xfId="34329" xr:uid="{C1183BBB-61E6-4E6F-98C3-F927A98DC901}"/>
    <cellStyle name="Migliaia 48 3 8 2 2" xfId="39915" xr:uid="{08DADE00-D8CB-48C8-8634-6C87CDD8D097}"/>
    <cellStyle name="Migliaia 48 3 8 2 3" xfId="45217" xr:uid="{AC0E0425-A958-43D8-BA94-0A1A96C683E7}"/>
    <cellStyle name="Migliaia 48 3 8 3" xfId="37294" xr:uid="{2C11E3DF-4065-4643-9A31-D17FD24892F9}"/>
    <cellStyle name="Migliaia 48 3 8 4" xfId="42566" xr:uid="{B39EB8BF-6C15-4E04-818D-02BDD3826800}"/>
    <cellStyle name="Migliaia 48 3 8 5" xfId="25196" xr:uid="{D16B441E-F3C5-44E3-AA30-600105453BA3}"/>
    <cellStyle name="Migliaia 48 3 8 6" xfId="17301" xr:uid="{1FEA1972-C098-4A72-8EBB-7B009AE684C1}"/>
    <cellStyle name="Migliaia 48 3 9" xfId="20789" xr:uid="{741130FB-F7BE-4D60-AEFF-0832C5A2F5A0}"/>
    <cellStyle name="Migliaia 48 4" xfId="1868" xr:uid="{00000000-0005-0000-0000-00003F040000}"/>
    <cellStyle name="Migliaia 48 4 2" xfId="1869" xr:uid="{00000000-0005-0000-0000-000040040000}"/>
    <cellStyle name="Migliaia 48 4 2 2" xfId="5513" xr:uid="{AEB9DAD4-3907-46EA-B673-E6C58C2C56CC}"/>
    <cellStyle name="Migliaia 48 4 2 2 2" xfId="34330" xr:uid="{9FA21B63-0641-40A7-A385-F50E1E40CD0F}"/>
    <cellStyle name="Migliaia 48 4 2 2 2 2" xfId="39916" xr:uid="{C6836BE7-19D6-46DC-A707-01D90CCE95DE}"/>
    <cellStyle name="Migliaia 48 4 2 2 2 3" xfId="45218" xr:uid="{9A4F4AFB-6F1B-4BAD-BE39-38E3251732F8}"/>
    <cellStyle name="Migliaia 48 4 2 2 3" xfId="37295" xr:uid="{3E0E5EEF-27CB-4529-85AC-C70A9292491B}"/>
    <cellStyle name="Migliaia 48 4 2 2 4" xfId="42567" xr:uid="{E030154A-678D-4854-92B0-74D164970EB2}"/>
    <cellStyle name="Migliaia 48 4 2 2 5" xfId="9192" xr:uid="{C1726DDD-E37D-488A-8CA9-A7FC90BB46FB}"/>
    <cellStyle name="Migliaia 48 4 2 3" xfId="3787" xr:uid="{21864041-358F-4787-A0D0-CEBF4A88267F}"/>
    <cellStyle name="Migliaia 48 4 2 3 2" xfId="34331" xr:uid="{0F995EC9-B509-4191-A7CF-1099806DC8D2}"/>
    <cellStyle name="Migliaia 48 4 2 3 2 2" xfId="39917" xr:uid="{510F5DD4-783B-4608-BA2F-B585389DC1B3}"/>
    <cellStyle name="Migliaia 48 4 2 3 2 3" xfId="45219" xr:uid="{D55659E3-89A0-4490-A2E6-26B45C1624DE}"/>
    <cellStyle name="Migliaia 48 4 2 3 3" xfId="37296" xr:uid="{BC9221A4-05CD-4741-812C-ABFCB7C695A4}"/>
    <cellStyle name="Migliaia 48 4 2 3 4" xfId="42568" xr:uid="{AB6C5D17-89D0-4B5C-9154-93F9C8A0B7A4}"/>
    <cellStyle name="Migliaia 48 4 2 3 5" xfId="12057" xr:uid="{94E9441E-BFFE-4804-AB86-9EA839B1D236}"/>
    <cellStyle name="Migliaia 48 4 2 4" xfId="11406" xr:uid="{DABAD712-615A-478A-908E-1FDC8702B9DC}"/>
    <cellStyle name="Migliaia 48 4 2 5" xfId="10946" xr:uid="{AA314360-7A50-4110-9DD4-BB8654E57D74}"/>
    <cellStyle name="Migliaia 48 4 2 5 2" xfId="21581" xr:uid="{2DFAB021-3423-48F8-A65E-8CFB867D8FAE}"/>
    <cellStyle name="Migliaia 48 4 2 5 3" xfId="48478" xr:uid="{AC573756-DD3B-4DB6-A1A0-2A5882091D8E}"/>
    <cellStyle name="Migliaia 48 4 2 5 4" xfId="50596" xr:uid="{AE0815AC-7C14-4B64-95B1-89C26C86610C}"/>
    <cellStyle name="Migliaia 48 4 2 5 5" xfId="53612" xr:uid="{DEFCF27B-EB8E-4F48-AF54-91A38C1F6AAC}"/>
    <cellStyle name="Migliaia 48 4 2 6" xfId="20800" xr:uid="{3C02D39B-92BE-4D8F-9C43-0B8866AAFF5F}"/>
    <cellStyle name="Migliaia 48 4 2 7" xfId="25198" xr:uid="{CEC4ED92-5708-41CB-A0FE-0248EE974CD6}"/>
    <cellStyle name="Migliaia 48 4 2 8" xfId="8736" xr:uid="{EF92C7AD-40F8-4993-AF6E-1B87417E2C22}"/>
    <cellStyle name="Migliaia 48 4 3" xfId="5512" xr:uid="{D0DE0E64-6928-447B-BFF8-913E4CB69654}"/>
    <cellStyle name="Migliaia 48 4 3 2" xfId="18247" xr:uid="{7AEB2BF4-181B-4FE4-ABB0-F12DA7BC54F9}"/>
    <cellStyle name="Migliaia 48 4 3 2 2" xfId="39918" xr:uid="{0DC6FF48-6CDE-460C-B53D-C04CF9BD2C99}"/>
    <cellStyle name="Migliaia 48 4 3 2 3" xfId="45220" xr:uid="{1A7FDF82-EF67-4C5A-8604-7B038736E579}"/>
    <cellStyle name="Migliaia 48 4 3 3" xfId="37297" xr:uid="{FA76F945-D140-4F1D-97D2-1502F6D31D71}"/>
    <cellStyle name="Migliaia 48 4 3 4" xfId="42569" xr:uid="{61F3998D-9B5A-48A2-AF52-6A60B0B4FCB3}"/>
    <cellStyle name="Migliaia 48 4 3 5" xfId="17299" xr:uid="{625BCA23-9CE5-456D-9365-EE6BB41AB917}"/>
    <cellStyle name="Migliaia 48 4 3 6" xfId="9193" xr:uid="{687DA09B-6FDE-4F62-BF0B-763B3D21E260}"/>
    <cellStyle name="Migliaia 48 4 4" xfId="6694" xr:uid="{D7A7A348-6AA8-4B1C-985B-206A2DDBF0E5}"/>
    <cellStyle name="Migliaia 48 4 4 2" xfId="34332" xr:uid="{05FCB37E-25F3-4ED3-A46D-BF4D12B7EF9C}"/>
    <cellStyle name="Migliaia 48 4 4 2 2" xfId="39919" xr:uid="{6AE4CFE8-765F-43A4-863B-B528AA1C804F}"/>
    <cellStyle name="Migliaia 48 4 4 2 3" xfId="45221" xr:uid="{87D0BD30-662F-4137-9838-A322223AFF66}"/>
    <cellStyle name="Migliaia 48 4 4 3" xfId="37298" xr:uid="{CA6D168C-4BC8-4CF3-92CA-D7B714D6DD85}"/>
    <cellStyle name="Migliaia 48 4 4 4" xfId="42570" xr:uid="{B36135AA-3725-46EE-BA2A-A6AF820A309C}"/>
    <cellStyle name="Migliaia 48 4 4 5" xfId="12058" xr:uid="{95C5183D-FA0A-411A-AE4E-0EA761C00494}"/>
    <cellStyle name="Migliaia 48 4 5" xfId="3786" xr:uid="{DCB3BB2B-D570-4C4D-9C7D-404AEB09421F}"/>
    <cellStyle name="Migliaia 48 4 5 2" xfId="34333" xr:uid="{F317DB74-3092-4A13-8FCD-1B4754C2DD40}"/>
    <cellStyle name="Migliaia 48 4 5 2 2" xfId="39920" xr:uid="{5B6534C1-4748-449C-B6C1-9C07EA1F984F}"/>
    <cellStyle name="Migliaia 48 4 5 2 3" xfId="45222" xr:uid="{0DC51601-BF63-4BD5-8780-5B5A85C77282}"/>
    <cellStyle name="Migliaia 48 4 5 3" xfId="37299" xr:uid="{E55487DD-57A7-4BC1-B363-878011C8F213}"/>
    <cellStyle name="Migliaia 48 4 5 4" xfId="42571" xr:uid="{B86A2225-5525-4DF9-BAB3-D519C11ADA09}"/>
    <cellStyle name="Migliaia 48 4 5 5" xfId="11405" xr:uid="{DEC180DF-A449-4328-B8C0-9F88E10714CA}"/>
    <cellStyle name="Migliaia 48 4 6" xfId="10945" xr:uid="{D8037709-78B7-46DF-A685-88FC4F1D5044}"/>
    <cellStyle name="Migliaia 48 4 6 2" xfId="21580" xr:uid="{F4792857-B0D1-4641-9C42-D2F87CEBADF0}"/>
    <cellStyle name="Migliaia 48 4 6 2 2" xfId="39921" xr:uid="{EC20A3CB-36CE-4081-8B10-F07D2289254B}"/>
    <cellStyle name="Migliaia 48 4 6 2 3" xfId="45223" xr:uid="{5C90095C-69F9-4617-BE2A-E1F07A629115}"/>
    <cellStyle name="Migliaia 48 4 6 2 4" xfId="34334" xr:uid="{FF24ECAC-7BAF-4377-AAEC-8EC60AFAE592}"/>
    <cellStyle name="Migliaia 48 4 6 3" xfId="37300" xr:uid="{E584B651-4AE2-4382-8B99-87FE4652915A}"/>
    <cellStyle name="Migliaia 48 4 6 4" xfId="42572" xr:uid="{4A5EE25B-0A4A-466A-A3BD-0773DBB886B4}"/>
    <cellStyle name="Migliaia 48 4 6 5" xfId="25199" xr:uid="{353D44A7-803F-4C5C-8D0A-845AE63C33A4}"/>
    <cellStyle name="Migliaia 48 4 6 6" xfId="47087" xr:uid="{1E41E4AC-6CEB-43F6-BFC2-C9FA10D68137}"/>
    <cellStyle name="Migliaia 48 4 6 7" xfId="50595" xr:uid="{DD321EE7-6858-404B-9B40-22666293B95A}"/>
    <cellStyle name="Migliaia 48 4 6 8" xfId="53611" xr:uid="{EB6FDC66-73F3-4794-948F-D52D983DFBE9}"/>
    <cellStyle name="Migliaia 48 4 7" xfId="20799" xr:uid="{31D0549D-4E16-4A01-93D5-15D548E7F235}"/>
    <cellStyle name="Migliaia 48 4 7 2" xfId="34335" xr:uid="{65043A76-4FE1-4F4B-84A1-4A5C844F56EA}"/>
    <cellStyle name="Migliaia 48 4 7 2 2" xfId="39922" xr:uid="{507B0798-0322-437F-BF4A-C16722BBAF22}"/>
    <cellStyle name="Migliaia 48 4 7 2 3" xfId="45224" xr:uid="{4AE6FC8E-C9F1-4E97-8D31-5976758A14C6}"/>
    <cellStyle name="Migliaia 48 4 7 3" xfId="37301" xr:uid="{28A0EF39-6C7E-4A2E-9C5D-6747B92F0A4D}"/>
    <cellStyle name="Migliaia 48 4 7 4" xfId="42573" xr:uid="{9A85AE3B-F616-495A-8792-03BF61FF9490}"/>
    <cellStyle name="Migliaia 48 4 7 5" xfId="25200" xr:uid="{8F24C04A-1255-446D-8925-CDFC862F9C9C}"/>
    <cellStyle name="Migliaia 48 4 8" xfId="25197" xr:uid="{34D4006E-EEE9-4EFC-8EF3-9A04F73AFB04}"/>
    <cellStyle name="Migliaia 48 4 9" xfId="7546" xr:uid="{09CD6FC3-4AAB-4E94-8373-376163F166CE}"/>
    <cellStyle name="Migliaia 48 5" xfId="1870" xr:uid="{00000000-0005-0000-0000-000041040000}"/>
    <cellStyle name="Migliaia 48 5 2" xfId="5514" xr:uid="{87CCBA65-76AE-4546-A10E-067202ABDBCD}"/>
    <cellStyle name="Migliaia 48 5 2 2" xfId="18490" xr:uid="{FE6C9DBE-C4DE-407B-B011-E0F839E767B8}"/>
    <cellStyle name="Migliaia 48 5 2 2 2" xfId="39923" xr:uid="{CFD1D766-A687-4370-B6EF-8E2B51943C0F}"/>
    <cellStyle name="Migliaia 48 5 2 2 3" xfId="45225" xr:uid="{E484F37B-1DDB-4C9E-A941-CD96F7D16B36}"/>
    <cellStyle name="Migliaia 48 5 2 3" xfId="20802" xr:uid="{984A8E86-AF09-4981-9A9F-5CAD17CE70FE}"/>
    <cellStyle name="Migliaia 48 5 2 3 2" xfId="37302" xr:uid="{418B0B65-2F2F-4DA3-9094-669EA7FAC1FE}"/>
    <cellStyle name="Migliaia 48 5 2 4" xfId="42574" xr:uid="{8D947594-45FA-4D9B-9228-859B7B4A4926}"/>
    <cellStyle name="Migliaia 48 5 2 5" xfId="16678" xr:uid="{8122314A-1FA9-45F6-BA3C-94DCC0F43432}"/>
    <cellStyle name="Migliaia 48 5 2 6" xfId="8737" xr:uid="{8DDD49AE-6052-4370-B575-8D7FEA0D1B6B}"/>
    <cellStyle name="Migliaia 48 5 3" xfId="6695" xr:uid="{35ED1B91-CC29-48E0-B959-5DCE55C6E8D4}"/>
    <cellStyle name="Migliaia 48 5 3 2" xfId="34336" xr:uid="{89BAA414-31B2-4E2B-9EA5-099FC398E862}"/>
    <cellStyle name="Migliaia 48 5 3 2 2" xfId="39924" xr:uid="{457939C9-9F36-44C6-A899-3F728B5C7E23}"/>
    <cellStyle name="Migliaia 48 5 3 2 3" xfId="45226" xr:uid="{5CC64CE9-5B84-41F5-B01B-E6474C394B40}"/>
    <cellStyle name="Migliaia 48 5 3 3" xfId="37303" xr:uid="{C667D726-5E5E-4260-9F85-AC34A1D66525}"/>
    <cellStyle name="Migliaia 48 5 3 4" xfId="42575" xr:uid="{15F2FB6D-1895-45AD-8061-37A648FD19A3}"/>
    <cellStyle name="Migliaia 48 5 3 5" xfId="11407" xr:uid="{77646003-CEC8-4F2B-935D-11B3C73D62CB}"/>
    <cellStyle name="Migliaia 48 5 4" xfId="3788" xr:uid="{E7E88798-A9FA-4AB5-BBE1-D8E55D93FAF6}"/>
    <cellStyle name="Migliaia 48 5 4 2" xfId="21582" xr:uid="{FA47319C-17BC-4B0E-9286-5CE3F17D5546}"/>
    <cellStyle name="Migliaia 48 5 4 2 2" xfId="39925" xr:uid="{6C72F2A1-7C6B-4AE2-AD21-1E09494807F3}"/>
    <cellStyle name="Migliaia 48 5 4 2 3" xfId="45227" xr:uid="{8A270DFF-B57F-4801-B304-B7DA132270D6}"/>
    <cellStyle name="Migliaia 48 5 4 2 4" xfId="34337" xr:uid="{3C75A034-9FB2-4488-91BC-AFEAEBF72294}"/>
    <cellStyle name="Migliaia 48 5 4 3" xfId="37304" xr:uid="{473D6342-6714-4A06-A638-91A2C03FB130}"/>
    <cellStyle name="Migliaia 48 5 4 4" xfId="42576" xr:uid="{67634ED4-1E08-49FB-9CA0-F6E676B84A2C}"/>
    <cellStyle name="Migliaia 48 5 4 5" xfId="25202" xr:uid="{0A52C892-79B4-4362-8D61-F7E3120E2226}"/>
    <cellStyle name="Migliaia 48 5 4 6" xfId="46991" xr:uid="{5830593E-994E-4AB2-85F6-AB0B405E5A42}"/>
    <cellStyle name="Migliaia 48 5 4 7" xfId="50597" xr:uid="{79828EE0-3F68-4630-B81C-B79DBEC945D0}"/>
    <cellStyle name="Migliaia 48 5 4 8" xfId="53613" xr:uid="{4464BB53-B1C8-40F3-B099-513A0BDD4831}"/>
    <cellStyle name="Migliaia 48 5 4 9" xfId="10947" xr:uid="{5FFAEDB9-2918-42D5-8A78-9BDF83394ACC}"/>
    <cellStyle name="Migliaia 48 5 5" xfId="20801" xr:uid="{8E1DB324-CCD3-4D01-9E03-E3E4BD2DFE88}"/>
    <cellStyle name="Migliaia 48 5 5 2" xfId="34338" xr:uid="{E40BEA21-ADBE-4670-B13D-B9F2A8E12116}"/>
    <cellStyle name="Migliaia 48 5 5 2 2" xfId="39926" xr:uid="{E1DF89A7-3BED-4774-9CB1-3582C751108B}"/>
    <cellStyle name="Migliaia 48 5 5 2 3" xfId="45228" xr:uid="{2C811034-501D-4A52-A380-9E978CD2902A}"/>
    <cellStyle name="Migliaia 48 5 5 3" xfId="37305" xr:uid="{37B83766-B5C1-4576-B0B3-3F4A9FCB130C}"/>
    <cellStyle name="Migliaia 48 5 5 4" xfId="42577" xr:uid="{4F716E40-D8C2-43F4-AA5C-460B77A72E85}"/>
    <cellStyle name="Migliaia 48 5 5 5" xfId="25203" xr:uid="{697BA2ED-E7A2-4E49-B3DA-83A43B67BF03}"/>
    <cellStyle name="Migliaia 48 5 6" xfId="25204" xr:uid="{14F92297-64A0-4DAC-84C7-30A9167E1020}"/>
    <cellStyle name="Migliaia 48 5 6 2" xfId="34339" xr:uid="{C802D5B7-D1B4-41DA-9622-1DCD37D98C8D}"/>
    <cellStyle name="Migliaia 48 5 6 2 2" xfId="39927" xr:uid="{5AFB58E2-0401-4DD2-A2FA-5AC7343940A3}"/>
    <cellStyle name="Migliaia 48 5 6 2 3" xfId="45229" xr:uid="{A8044929-E903-4568-A09C-D2FFB406CDB0}"/>
    <cellStyle name="Migliaia 48 5 6 3" xfId="37306" xr:uid="{2DA40D9B-0632-4050-8E3C-E28A129BCE51}"/>
    <cellStyle name="Migliaia 48 5 6 4" xfId="42578" xr:uid="{8E963313-8F05-4C74-ADF5-6CFD6A5E4586}"/>
    <cellStyle name="Migliaia 48 5 7" xfId="25201" xr:uid="{96D660CF-4EA6-45E5-8010-651986390126}"/>
    <cellStyle name="Migliaia 48 5 8" xfId="7547" xr:uid="{2679216B-6EE0-497B-AABA-331889F04E2E}"/>
    <cellStyle name="Migliaia 48 6" xfId="3789" xr:uid="{A50335F4-9147-45BE-AFF9-EFB3F1D643B8}"/>
    <cellStyle name="Migliaia 48 6 2" xfId="5515" xr:uid="{953A9F1D-C700-457D-8ED2-D6588F439E22}"/>
    <cellStyle name="Migliaia 48 6 2 2" xfId="9965" xr:uid="{5902E5FB-8E6D-4BA7-8E3A-82C7B8B23B9E}"/>
    <cellStyle name="Migliaia 48 6 2 3" xfId="18638" xr:uid="{8CB9CB36-34BE-4BD4-9AD7-CA6BA18144C9}"/>
    <cellStyle name="Migliaia 48 6 2 4" xfId="20804" xr:uid="{8179E165-825B-4FFA-BABC-842C9919E723}"/>
    <cellStyle name="Migliaia 48 6 2 5" xfId="32450" xr:uid="{829E2618-D3AC-4CFC-AA0D-81662B035F80}"/>
    <cellStyle name="Migliaia 48 6 2 6" xfId="16680" xr:uid="{CDA72F4F-2D5C-408F-981A-AF5F9A20C74C}"/>
    <cellStyle name="Migliaia 48 6 2 7" xfId="8732" xr:uid="{BC18908C-CA04-44EB-AAC6-1BF934FD785E}"/>
    <cellStyle name="Migliaia 48 6 3" xfId="6696" xr:uid="{1A306D7D-4DE1-4F4C-AB24-98A481D733E4}"/>
    <cellStyle name="Migliaia 48 6 3 2" xfId="35421" xr:uid="{F34598B2-AC15-44FE-895C-C5A69AA1DDD9}"/>
    <cellStyle name="Migliaia 48 6 3 2 2" xfId="40581" xr:uid="{4AF51E5A-6EF0-44A0-8298-C7160D1521DE}"/>
    <cellStyle name="Migliaia 48 6 3 2 3" xfId="45883" xr:uid="{32478DB7-F2D8-41D8-A6F9-C35DAAD9932E}"/>
    <cellStyle name="Migliaia 48 6 3 3" xfId="37930" xr:uid="{042A621F-EB58-4C86-BB67-919E051825B2}"/>
    <cellStyle name="Migliaia 48 6 3 4" xfId="43232" xr:uid="{EDA5885C-57F9-4CA8-B771-2C590264978F}"/>
    <cellStyle name="Migliaia 48 6 3 5" xfId="9728" xr:uid="{6BA8E892-7A2E-4065-89F7-F6349A359A30}"/>
    <cellStyle name="Migliaia 48 6 4" xfId="20803" xr:uid="{51BEAC6B-6F5B-4903-8416-B0F26FC636EA}"/>
    <cellStyle name="Migliaia 48 6 4 2" xfId="39928" xr:uid="{0B205A92-25D7-4FD6-BB74-0B38CE706A09}"/>
    <cellStyle name="Migliaia 48 6 4 3" xfId="45230" xr:uid="{C9AFF8C4-2FDC-439E-AF6E-8311FAE07FFA}"/>
    <cellStyle name="Migliaia 48 6 4 4" xfId="34340" xr:uid="{738E1DBF-1178-47C4-BF95-2C77AF9DABAB}"/>
    <cellStyle name="Migliaia 48 6 5" xfId="37307" xr:uid="{2F4D7584-1C26-46ED-9201-7B9DD37038CA}"/>
    <cellStyle name="Migliaia 48 6 6" xfId="42579" xr:uid="{650D3992-5F49-4F8D-B8CF-64978D997860}"/>
    <cellStyle name="Migliaia 48 6 7" xfId="16679" xr:uid="{2D2E5DC2-F4D4-4C13-82BD-885323F2A504}"/>
    <cellStyle name="Migliaia 48 6 8" xfId="7542" xr:uid="{518A33E8-497D-4A42-8CB5-F80CCA1195B4}"/>
    <cellStyle name="Migliaia 48 7" xfId="3790" xr:uid="{2FABA8D4-0C29-44AF-948E-607CD9ADA7C4}"/>
    <cellStyle name="Migliaia 48 7 2" xfId="5516" xr:uid="{25700625-F857-42BC-B736-C3433CD70E9F}"/>
    <cellStyle name="Migliaia 48 7 2 2" xfId="35422" xr:uid="{7B9AE0B4-E022-40ED-A76D-6BEC05259EFF}"/>
    <cellStyle name="Migliaia 48 7 2 2 2" xfId="40582" xr:uid="{A28229E8-1C80-4A9B-88BB-2DFE2A590EAC}"/>
    <cellStyle name="Migliaia 48 7 2 2 3" xfId="45884" xr:uid="{B5CD82C6-BFC0-4EFA-8791-4FDB979955AE}"/>
    <cellStyle name="Migliaia 48 7 2 3" xfId="37931" xr:uid="{CB44EB5A-93E5-4DBE-9B7B-337948ECF353}"/>
    <cellStyle name="Migliaia 48 7 2 4" xfId="43233" xr:uid="{35D04FA2-4637-43D9-B999-C9DF294011B0}"/>
    <cellStyle name="Migliaia 48 7 2 5" xfId="14305" xr:uid="{B3209797-5C04-4FFD-B2D6-9937265017BE}"/>
    <cellStyle name="Migliaia 48 7 3" xfId="6697" xr:uid="{DF904197-D8D6-46AB-8E80-438444B0B648}"/>
    <cellStyle name="Migliaia 48 7 3 2" xfId="39929" xr:uid="{E2286941-6F57-4486-BECA-61591A5E41A9}"/>
    <cellStyle name="Migliaia 48 7 3 3" xfId="45231" xr:uid="{B095B818-F74C-478D-8608-016A92803D89}"/>
    <cellStyle name="Migliaia 48 7 3 4" xfId="34341" xr:uid="{B301E0A7-B10E-42E8-B582-34C464310260}"/>
    <cellStyle name="Migliaia 48 7 3 5" xfId="20805" xr:uid="{97DF1A7A-61DD-4B31-8243-76A05A38A913}"/>
    <cellStyle name="Migliaia 48 7 4" xfId="37308" xr:uid="{F4F3DA02-7E58-40B9-9D14-28BFFD86536C}"/>
    <cellStyle name="Migliaia 48 7 5" xfId="42580" xr:uid="{AC4FB797-996D-4E0C-B09C-CE55C130BB24}"/>
    <cellStyle name="Migliaia 48 7 6" xfId="16681" xr:uid="{3C6ABF8F-9035-4CED-BBE4-4C00ACA878E1}"/>
    <cellStyle name="Migliaia 48 7 7" xfId="8367" xr:uid="{B39F5FE5-EE57-4EB6-9463-E3FAD5A50636}"/>
    <cellStyle name="Migliaia 48 8" xfId="3791" xr:uid="{D5117569-CCF8-4353-9502-AE4FB3C8EBEB}"/>
    <cellStyle name="Migliaia 48 8 2" xfId="5517" xr:uid="{28E51732-AC1C-42BE-9A44-1D5376DAF197}"/>
    <cellStyle name="Migliaia 48 8 2 2" xfId="35423" xr:uid="{7D53F495-C939-457C-8FA7-C30228BCC7BA}"/>
    <cellStyle name="Migliaia 48 8 2 2 2" xfId="40583" xr:uid="{0738E404-47AC-4C16-8C19-9E011150459E}"/>
    <cellStyle name="Migliaia 48 8 2 2 3" xfId="45885" xr:uid="{827E6BCD-8758-4B84-8FC2-A2A70CCCF908}"/>
    <cellStyle name="Migliaia 48 8 2 3" xfId="37932" xr:uid="{59DC1FAD-43E7-4FB4-AAA7-D0A34F22FB33}"/>
    <cellStyle name="Migliaia 48 8 2 4" xfId="43234" xr:uid="{517C7EDC-0B76-4B8B-9D94-17D6CCDDA8C9}"/>
    <cellStyle name="Migliaia 48 8 2 5" xfId="14010" xr:uid="{0E0A4C2D-D56D-4014-BDD2-0CA092B81347}"/>
    <cellStyle name="Migliaia 48 8 3" xfId="6698" xr:uid="{274E9AED-2EAD-42DC-8377-05BA7B016936}"/>
    <cellStyle name="Migliaia 48 8 3 2" xfId="39930" xr:uid="{E22AB9DE-1F58-459B-9CD3-1645AE9E3921}"/>
    <cellStyle name="Migliaia 48 8 3 3" xfId="45232" xr:uid="{55990ED8-5442-4FDA-AD62-509821ED6463}"/>
    <cellStyle name="Migliaia 48 8 3 4" xfId="34342" xr:uid="{843DE820-2338-442C-91DF-6957F19C60B7}"/>
    <cellStyle name="Migliaia 48 8 3 5" xfId="20806" xr:uid="{8920A2D3-43C9-4338-ADCA-1D966A5BC8B4}"/>
    <cellStyle name="Migliaia 48 8 4" xfId="37309" xr:uid="{C3EFB1B0-64E0-436B-9BA6-410323162245}"/>
    <cellStyle name="Migliaia 48 8 5" xfId="42581" xr:uid="{4CDF8C7E-58A9-4C53-8B53-4729D5CE3FFA}"/>
    <cellStyle name="Migliaia 48 8 6" xfId="16682" xr:uid="{6DE8C44C-BFCE-4278-A4AF-0ACCEFB05D5A}"/>
    <cellStyle name="Migliaia 48 8 7" xfId="7990" xr:uid="{C56933F6-53F3-4010-A0B8-A14E96EDB6D3}"/>
    <cellStyle name="Migliaia 48 9" xfId="5502" xr:uid="{48022C8E-27DE-4119-B6ED-6ADBA780E501}"/>
    <cellStyle name="Migliaia 48 9 2" xfId="34343" xr:uid="{E02FBCC4-CE81-45FA-95B0-31032EF87B52}"/>
    <cellStyle name="Migliaia 48 9 2 2" xfId="39931" xr:uid="{C8E5407E-BC02-41BE-AAA5-AB5ACF2EDB0B}"/>
    <cellStyle name="Migliaia 48 9 2 3" xfId="45233" xr:uid="{CBB42CE2-446A-4781-BFA6-684A5C544396}"/>
    <cellStyle name="Migliaia 48 9 3" xfId="37310" xr:uid="{589DE146-7DEB-4835-8C98-88F43B34B18F}"/>
    <cellStyle name="Migliaia 48 9 4" xfId="42582" xr:uid="{8DA75E30-F091-4970-BA4F-9E4C2AC32892}"/>
    <cellStyle name="Migliaia 48 9 5" xfId="17219" xr:uid="{08517867-E1F6-48CD-BC99-C8BA76B19ECB}"/>
    <cellStyle name="Migliaia 49" xfId="473" xr:uid="{00000000-0005-0000-0000-000042040000}"/>
    <cellStyle name="Migliaia 49 10" xfId="6699" xr:uid="{BB4905F9-BC9C-410C-9D22-59AC415F1409}"/>
    <cellStyle name="Migliaia 49 10 2" xfId="39932" xr:uid="{0621F250-F530-4177-B6B8-E80421BDB9E4}"/>
    <cellStyle name="Migliaia 49 10 3" xfId="45234" xr:uid="{A9C9270A-FD5B-41E4-B5EB-CBF726EF84B2}"/>
    <cellStyle name="Migliaia 49 10 4" xfId="34344" xr:uid="{48E11784-BF21-4B1A-A023-FCF22CE2D25D}"/>
    <cellStyle name="Migliaia 49 10 5" xfId="20807" xr:uid="{6525FF28-5FB0-43E3-AB03-A5B90212AFDC}"/>
    <cellStyle name="Migliaia 49 11" xfId="3792" xr:uid="{455D6FC7-1B5F-45F9-B4D2-66FCB40951BE}"/>
    <cellStyle name="Migliaia 49 11 2" xfId="37311" xr:uid="{FD581562-EB0A-45B5-91BE-061E845BF07A}"/>
    <cellStyle name="Migliaia 49 12" xfId="42583" xr:uid="{97F98A30-6192-407E-A48B-488D1BDBDE9E}"/>
    <cellStyle name="Migliaia 49 13" xfId="7171" xr:uid="{67FA0B97-282D-430B-9DE7-E3D9E605FDE6}"/>
    <cellStyle name="Migliaia 49 2" xfId="474" xr:uid="{00000000-0005-0000-0000-000043040000}"/>
    <cellStyle name="Migliaia 49 2 2" xfId="1871" xr:uid="{00000000-0005-0000-0000-000044040000}"/>
    <cellStyle name="Migliaia 49 2 2 2" xfId="5520" xr:uid="{A9AFC466-633B-4806-8ADA-7AAB19C8CACA}"/>
    <cellStyle name="Migliaia 49 2 2 2 2" xfId="14406" xr:uid="{5FFE0A0F-47A0-4F20-99BF-89818ADB8F2C}"/>
    <cellStyle name="Migliaia 49 2 2 2 2 2" xfId="39933" xr:uid="{D26043B3-D55B-4732-B393-F3A7B6A15D67}"/>
    <cellStyle name="Migliaia 49 2 2 2 2 3" xfId="45235" xr:uid="{EB0F07A9-F33F-4E3B-A7AB-572B4248C285}"/>
    <cellStyle name="Migliaia 49 2 2 2 3" xfId="18491" xr:uid="{E7535B19-F6DF-4A97-927D-0A40BC30A678}"/>
    <cellStyle name="Migliaia 49 2 2 2 4" xfId="20810" xr:uid="{24A1883F-EA05-4437-A49A-B6B513930CFD}"/>
    <cellStyle name="Migliaia 49 2 2 2 4 2" xfId="42584" xr:uid="{1137D73D-A6A0-41F8-97C1-B9F42B60DD34}"/>
    <cellStyle name="Migliaia 49 2 2 2 5" xfId="16683" xr:uid="{27767F62-8B22-44DC-B590-F8DA58B2080F}"/>
    <cellStyle name="Migliaia 49 2 2 2 6" xfId="8739" xr:uid="{CA972C93-BE13-4103-BF27-4211B921A5AE}"/>
    <cellStyle name="Migliaia 49 2 2 3" xfId="6701" xr:uid="{CC5D1ECA-727E-42D7-A867-9408DDFD9C67}"/>
    <cellStyle name="Migliaia 49 2 2 3 2" xfId="35424" xr:uid="{8FB962F2-9740-4DEB-9D37-B7D774E2174E}"/>
    <cellStyle name="Migliaia 49 2 2 3 2 2" xfId="40584" xr:uid="{287F4258-C656-48EB-931C-07A1022E7652}"/>
    <cellStyle name="Migliaia 49 2 2 3 2 3" xfId="45886" xr:uid="{1834C121-FB65-4EDA-8E39-8AF9C9761B0D}"/>
    <cellStyle name="Migliaia 49 2 2 3 3" xfId="37933" xr:uid="{E5E60E3A-15C7-4135-A681-6098873A4658}"/>
    <cellStyle name="Migliaia 49 2 2 3 4" xfId="43235" xr:uid="{37CB6F0B-8622-44B4-9964-5C5DCBD86489}"/>
    <cellStyle name="Migliaia 49 2 2 3 5" xfId="11633" xr:uid="{4882BD90-D3DA-4C67-BF22-A8FADA6D9F12}"/>
    <cellStyle name="Migliaia 49 2 2 4" xfId="3794" xr:uid="{073E5CFD-8CB3-4413-ADA5-F0F20FCDE3CD}"/>
    <cellStyle name="Migliaia 49 2 2 4 2" xfId="21583" xr:uid="{240283D5-16CD-45E2-A3D8-68C0985A8962}"/>
    <cellStyle name="Migliaia 49 2 2 4 3" xfId="47801" xr:uid="{5BC7CE32-B981-4ACA-932D-EF06B38A3D79}"/>
    <cellStyle name="Migliaia 49 2 2 4 4" xfId="50598" xr:uid="{3480238A-F0FF-4273-9DF8-C8374F5F88F4}"/>
    <cellStyle name="Migliaia 49 2 2 4 5" xfId="53614" xr:uid="{34DBF262-AE73-42EC-A879-504B94A02C00}"/>
    <cellStyle name="Migliaia 49 2 2 4 6" xfId="10948" xr:uid="{77E05BD6-0239-4C45-AA12-ECC47C7FFEA4}"/>
    <cellStyle name="Migliaia 49 2 2 5" xfId="20809" xr:uid="{E4BD5745-3C46-49A7-B4E1-8584B63C7AC6}"/>
    <cellStyle name="Migliaia 49 2 2 6" xfId="25206" xr:uid="{E79509F3-957F-4BFA-8FAC-ABBF8B209639}"/>
    <cellStyle name="Migliaia 49 2 2 7" xfId="7549" xr:uid="{7ABFE8B6-FB5B-44C3-8518-AA64A214224D}"/>
    <cellStyle name="Migliaia 49 2 3" xfId="3795" xr:uid="{82AA7E3A-8E9D-46B5-9D1D-DB8659C23E61}"/>
    <cellStyle name="Migliaia 49 2 3 2" xfId="5521" xr:uid="{6D41C37A-57FD-4D54-AF99-BFE61157C205}"/>
    <cellStyle name="Migliaia 49 2 3 2 2" xfId="35425" xr:uid="{94CDB2C6-35A8-42E1-AA7C-A6FA7C5757B1}"/>
    <cellStyle name="Migliaia 49 2 3 2 2 2" xfId="40585" xr:uid="{53A0B90E-42C1-46D8-BD3D-56457CFE2385}"/>
    <cellStyle name="Migliaia 49 2 3 2 2 3" xfId="45887" xr:uid="{B68AAC2A-9BED-44E8-9D7A-23FD9FCB0705}"/>
    <cellStyle name="Migliaia 49 2 3 2 3" xfId="37934" xr:uid="{C5BF0CDD-5E88-43B2-895A-F7A0CA882333}"/>
    <cellStyle name="Migliaia 49 2 3 2 4" xfId="43236" xr:uid="{276F4742-5644-42B3-B9CC-F27758E75E69}"/>
    <cellStyle name="Migliaia 49 2 3 2 5" xfId="14309" xr:uid="{534603D9-12D0-4694-985A-2517BC717B9E}"/>
    <cellStyle name="Migliaia 49 2 3 3" xfId="6702" xr:uid="{F57C6B5F-5728-44A0-A22F-54EBF1F7EB8B}"/>
    <cellStyle name="Migliaia 49 2 3 3 2" xfId="39934" xr:uid="{3D725425-F601-4C29-8641-557A10CF50CF}"/>
    <cellStyle name="Migliaia 49 2 3 3 3" xfId="45236" xr:uid="{6491468F-040F-4228-A8EF-9F7AAE747D35}"/>
    <cellStyle name="Migliaia 49 2 3 3 4" xfId="34345" xr:uid="{B7A6640F-DF8A-47E8-9577-6ACC205F9214}"/>
    <cellStyle name="Migliaia 49 2 3 3 5" xfId="20811" xr:uid="{0FF6E212-201A-4A64-8EB3-9F9195EC4304}"/>
    <cellStyle name="Migliaia 49 2 3 4" xfId="37312" xr:uid="{7D95DFF8-EF89-4FDA-8ABF-74CBFA621AD9}"/>
    <cellStyle name="Migliaia 49 2 3 5" xfId="42585" xr:uid="{44BF79CC-AD5C-447F-B283-E78BA83F614B}"/>
    <cellStyle name="Migliaia 49 2 3 6" xfId="16684" xr:uid="{C6613F8D-027E-4E07-9ED1-486C41D9060D}"/>
    <cellStyle name="Migliaia 49 2 3 7" xfId="8371" xr:uid="{AAF06480-BCC2-4385-89F1-DC4552341367}"/>
    <cellStyle name="Migliaia 49 2 4" xfId="5519" xr:uid="{2A9D3D26-29CF-431E-84C9-6DC5DE80668B}"/>
    <cellStyle name="Migliaia 49 2 4 2" xfId="14014" xr:uid="{11B02B8A-7909-4F31-8764-D8B525B4EA92}"/>
    <cellStyle name="Migliaia 49 2 4 2 2" xfId="39935" xr:uid="{4CE4CD9B-1730-42CC-BF84-FE8D107A1E2F}"/>
    <cellStyle name="Migliaia 49 2 4 2 3" xfId="45237" xr:uid="{116E821D-4B62-4369-AB8F-5E006A7C4989}"/>
    <cellStyle name="Migliaia 49 2 4 3" xfId="18695" xr:uid="{A3D42CD5-794E-412F-95BB-538A61E0F986}"/>
    <cellStyle name="Migliaia 49 2 4 4" xfId="20812" xr:uid="{B0047BD2-DEF7-46AE-87B4-2BA0204F017D}"/>
    <cellStyle name="Migliaia 49 2 4 4 2" xfId="42586" xr:uid="{C7DED7FD-57CE-4F16-869A-92CE703ABB7B}"/>
    <cellStyle name="Migliaia 49 2 4 5" xfId="16685" xr:uid="{848EF817-E317-4DE4-8407-44486095934F}"/>
    <cellStyle name="Migliaia 49 2 4 6" xfId="7995" xr:uid="{59FB8A52-0DE1-4CF2-8467-85B04A5EC6BF}"/>
    <cellStyle name="Migliaia 49 2 5" xfId="6700" xr:uid="{DFAC791D-D784-4752-A78A-6620C3EC0010}"/>
    <cellStyle name="Migliaia 49 2 5 2" xfId="34346" xr:uid="{F73FB6CC-6AB4-4934-8AFF-70630DD4F79F}"/>
    <cellStyle name="Migliaia 49 2 5 2 2" xfId="39936" xr:uid="{6B02BCC2-BA3B-488B-B6AD-0A72FC594ECF}"/>
    <cellStyle name="Migliaia 49 2 5 2 3" xfId="45238" xr:uid="{0003B17C-375A-4355-8EDA-65FD993C515E}"/>
    <cellStyle name="Migliaia 49 2 5 3" xfId="37313" xr:uid="{B8FA12B3-53A1-497A-8734-BE17AAF2E003}"/>
    <cellStyle name="Migliaia 49 2 5 4" xfId="42587" xr:uid="{72AD90E8-102F-429D-981A-6B82C691FBD6}"/>
    <cellStyle name="Migliaia 49 2 5 5" xfId="13146" xr:uid="{CB8F51D8-162E-4A44-892C-36C604D362DA}"/>
    <cellStyle name="Migliaia 49 2 6" xfId="3793" xr:uid="{86284552-B9FE-4B43-9A77-42E376C094CB}"/>
    <cellStyle name="Migliaia 49 2 6 2" xfId="34347" xr:uid="{1DDA1424-E9E1-439F-B150-A1E5BACF80BB}"/>
    <cellStyle name="Migliaia 49 2 6 2 2" xfId="39937" xr:uid="{9FB5E43F-6B9F-4D95-81B1-47BD038F6931}"/>
    <cellStyle name="Migliaia 49 2 6 2 3" xfId="45239" xr:uid="{0F330055-7CC5-4783-9C92-826391E29700}"/>
    <cellStyle name="Migliaia 49 2 6 3" xfId="37314" xr:uid="{0AB7936C-7BDC-4B1F-A7B7-9620DD404218}"/>
    <cellStyle name="Migliaia 49 2 6 4" xfId="42588" xr:uid="{A51E9C99-A374-4BAE-B227-ED962C3435A9}"/>
    <cellStyle name="Migliaia 49 2 6 5" xfId="25207" xr:uid="{E96D8C58-1241-49E4-87F6-498AFC0A82CE}"/>
    <cellStyle name="Migliaia 49 2 6 6" xfId="20808" xr:uid="{E561E1DD-3253-4E2E-90A2-579B67227D35}"/>
    <cellStyle name="Migliaia 49 2 7" xfId="25205" xr:uid="{66AA3F06-4221-440B-AAC3-7B49A016A5E4}"/>
    <cellStyle name="Migliaia 49 2 8" xfId="7172" xr:uid="{1EAA41B5-392F-432A-8E1B-B12EA44048F9}"/>
    <cellStyle name="Migliaia 49 3" xfId="475" xr:uid="{00000000-0005-0000-0000-000045040000}"/>
    <cellStyle name="Migliaia 49 3 10" xfId="25208" xr:uid="{20119A23-0B6E-4848-B263-E7CEEF0E2CD9}"/>
    <cellStyle name="Migliaia 49 3 11" xfId="16686" xr:uid="{3F66DD9F-34C6-439B-BD4F-49A6039DC382}"/>
    <cellStyle name="Migliaia 49 3 12" xfId="7173" xr:uid="{68A86F74-9F9C-4232-A238-3219225B99E3}"/>
    <cellStyle name="Migliaia 49 3 2" xfId="476" xr:uid="{00000000-0005-0000-0000-000046040000}"/>
    <cellStyle name="Migliaia 49 3 2 2" xfId="1872" xr:uid="{00000000-0005-0000-0000-000047040000}"/>
    <cellStyle name="Migliaia 49 3 2 2 2" xfId="5524" xr:uid="{53758397-6EC9-40C8-AB81-22EF54A51014}"/>
    <cellStyle name="Migliaia 49 3 2 2 2 2" xfId="18492" xr:uid="{BC0D6987-12E3-4966-83F1-947650E061D9}"/>
    <cellStyle name="Migliaia 49 3 2 2 2 2 2" xfId="21884" xr:uid="{4AA219F3-DB57-4018-927A-8BE9B7A6D924}"/>
    <cellStyle name="Migliaia 49 3 2 2 2 2 2 2" xfId="39938" xr:uid="{6E5AFCC5-2EE1-4C6F-8D84-B43EDE9F2B0E}"/>
    <cellStyle name="Migliaia 49 3 2 2 2 2 3" xfId="45240" xr:uid="{FCE6B103-F0C6-4432-BDAB-4469CCB6AA52}"/>
    <cellStyle name="Migliaia 49 3 2 2 2 2 4" xfId="34348" xr:uid="{D800878D-EDD0-44AC-BD91-52F02A27B0EA}"/>
    <cellStyle name="Migliaia 49 3 2 2 2 3" xfId="37315" xr:uid="{93D92006-0C79-4D2A-B028-8F0CB37A08C2}"/>
    <cellStyle name="Migliaia 49 3 2 2 2 4" xfId="42589" xr:uid="{0D7EC5E7-81BB-4C31-A3B9-E53A810AD757}"/>
    <cellStyle name="Migliaia 49 3 2 2 2 5" xfId="46751" xr:uid="{B2004F73-BDB9-41A3-9864-EF08F6881422}"/>
    <cellStyle name="Migliaia 49 3 2 2 2 6" xfId="50912" xr:uid="{540A96C4-BDFD-4057-96A5-04EC92C885C4}"/>
    <cellStyle name="Migliaia 49 3 2 2 2 7" xfId="53928" xr:uid="{65335514-11EF-48E9-AEA9-B7EF51356F02}"/>
    <cellStyle name="Migliaia 49 3 2 2 2 8" xfId="17682" xr:uid="{6D3711BE-27C7-4BE9-99FB-97F5CDC55420}"/>
    <cellStyle name="Migliaia 49 3 2 2 2 9" xfId="12059" xr:uid="{5328D1E9-091C-4E50-89E0-E62147049CDF}"/>
    <cellStyle name="Migliaia 49 3 2 2 3" xfId="6705" xr:uid="{2B7C1CB5-9EFC-4DDD-8BDB-E5B2D61DF1C3}"/>
    <cellStyle name="Migliaia 49 3 2 2 3 2" xfId="11572" xr:uid="{5B9809BA-0F73-4CBD-8ED8-A692D3444048}"/>
    <cellStyle name="Migliaia 49 3 2 2 4" xfId="3798" xr:uid="{65F40D06-C0BC-4F9F-AF0F-158B383FA004}"/>
    <cellStyle name="Migliaia 49 3 2 2 4 2" xfId="21584" xr:uid="{50E2E2E2-DD45-495A-BAFC-650569464C89}"/>
    <cellStyle name="Migliaia 49 3 2 2 4 3" xfId="46650" xr:uid="{D2150957-75D5-4656-9704-AD1B21D361BD}"/>
    <cellStyle name="Migliaia 49 3 2 2 4 4" xfId="50599" xr:uid="{3F6F96C4-A82A-497B-BACE-458739CE5870}"/>
    <cellStyle name="Migliaia 49 3 2 2 4 5" xfId="53615" xr:uid="{4206B53A-8208-4A9C-B4C3-63E5B8A11467}"/>
    <cellStyle name="Migliaia 49 3 2 2 4 6" xfId="10949" xr:uid="{164C4FD7-8B2A-4918-9361-7CDC6F5F4555}"/>
    <cellStyle name="Migliaia 49 3 2 2 5" xfId="20815" xr:uid="{4D9D48AF-7865-4A01-882A-BFF4F182598B}"/>
    <cellStyle name="Migliaia 49 3 2 2 6" xfId="25210" xr:uid="{9C165F4F-862B-414B-A805-DB41CCC88B4A}"/>
    <cellStyle name="Migliaia 49 3 2 2 7" xfId="8741" xr:uid="{F5809C33-32FB-49D5-9EFA-3C00A9028457}"/>
    <cellStyle name="Migliaia 49 3 2 3" xfId="5523" xr:uid="{364E6C59-73C5-43F2-AB88-9ABC33D57793}"/>
    <cellStyle name="Migliaia 49 3 2 3 2" xfId="12222" xr:uid="{215E15C7-5FD3-4BF1-B6ED-39429237C4D8}"/>
    <cellStyle name="Migliaia 49 3 2 3 2 2" xfId="39939" xr:uid="{A7A42A46-8541-40DE-9B24-B8067D32D615}"/>
    <cellStyle name="Migliaia 49 3 2 3 2 3" xfId="45241" xr:uid="{3174B2EE-08E4-4913-B962-41FA992B183B}"/>
    <cellStyle name="Migliaia 49 3 2 3 2 4" xfId="34349" xr:uid="{7B21E41E-ABDC-413C-BD13-EA09DFD525F6}"/>
    <cellStyle name="Migliaia 49 3 2 3 3" xfId="12060" xr:uid="{00310B22-A3D8-4CB4-8F10-F36DD72EBB56}"/>
    <cellStyle name="Migliaia 49 3 2 3 4" xfId="20816" xr:uid="{02F073D6-72E9-4233-8CE4-F30677264E9A}"/>
    <cellStyle name="Migliaia 49 3 2 3 4 2" xfId="42590" xr:uid="{B6ED6742-C5F2-448D-A052-E16C9E874DF8}"/>
    <cellStyle name="Migliaia 49 3 2 3 5" xfId="16687" xr:uid="{0F95F282-F1CD-443A-9239-7781030A6993}"/>
    <cellStyle name="Migliaia 49 3 2 3 6" xfId="7997" xr:uid="{11E7E425-1F40-4E5B-8D0E-925CF3C51DF1}"/>
    <cellStyle name="Migliaia 49 3 2 4" xfId="6704" xr:uid="{32382014-9CC0-49BF-86D7-0DAA61B06E25}"/>
    <cellStyle name="Migliaia 49 3 2 4 2" xfId="18100" xr:uid="{DA5E8925-1463-4E51-A163-F0B3EFC7B972}"/>
    <cellStyle name="Migliaia 49 3 2 4 2 2" xfId="39940" xr:uid="{F50D2ACF-E580-445C-80CB-61CE60906F86}"/>
    <cellStyle name="Migliaia 49 3 2 4 2 3" xfId="45242" xr:uid="{7907890E-F7A6-493B-9F87-A538E10174D2}"/>
    <cellStyle name="Migliaia 49 3 2 4 3" xfId="37316" xr:uid="{B9FD3CED-5F9D-477D-BD9F-1C93B6B84D65}"/>
    <cellStyle name="Migliaia 49 3 2 4 4" xfId="42591" xr:uid="{188CE17C-1A0F-48BA-9B59-9759671BF30D}"/>
    <cellStyle name="Migliaia 49 3 2 4 5" xfId="17222" xr:uid="{9A2CD6B7-E13E-4B1C-A01F-B37D0430A2CD}"/>
    <cellStyle name="Migliaia 49 3 2 4 6" xfId="11408" xr:uid="{ADB06FE1-DA7D-400D-8B2B-5CF559706643}"/>
    <cellStyle name="Migliaia 49 3 2 5" xfId="3797" xr:uid="{AD7C1244-45FB-49F7-A444-523100B82F2F}"/>
    <cellStyle name="Migliaia 49 3 2 5 2" xfId="34350" xr:uid="{77C078D3-E1B7-4A78-B295-202B28E1F883}"/>
    <cellStyle name="Migliaia 49 3 2 5 2 2" xfId="39941" xr:uid="{B27B7400-2AE4-4CE0-9921-4970FD263194}"/>
    <cellStyle name="Migliaia 49 3 2 5 2 3" xfId="45243" xr:uid="{0B820653-ACB7-44C3-9534-9A9B2A9997DB}"/>
    <cellStyle name="Migliaia 49 3 2 5 3" xfId="37317" xr:uid="{5004F6E1-7308-4EBC-A3DF-587B00B68DC0}"/>
    <cellStyle name="Migliaia 49 3 2 5 4" xfId="42592" xr:uid="{8F615E9B-DC6B-4BA4-89A4-BB76B7107903}"/>
    <cellStyle name="Migliaia 49 3 2 5 5" xfId="17297" xr:uid="{D69A9E37-CDDA-4A0D-B2A1-6D4548BA0CD1}"/>
    <cellStyle name="Migliaia 49 3 2 6" xfId="20814" xr:uid="{58606D3D-1928-46B3-BF5B-1176985FAD54}"/>
    <cellStyle name="Migliaia 49 3 2 6 2" xfId="34351" xr:uid="{9E519003-6420-4A24-8E07-99EFF5856060}"/>
    <cellStyle name="Migliaia 49 3 2 6 2 2" xfId="39942" xr:uid="{A577D995-6F6A-48F3-8371-ACA33A0FDF67}"/>
    <cellStyle name="Migliaia 49 3 2 6 2 3" xfId="45244" xr:uid="{3803E024-9D9F-4F2E-902A-55A6D2FBE4C0}"/>
    <cellStyle name="Migliaia 49 3 2 6 3" xfId="37318" xr:uid="{035A40D2-BD29-454F-9D39-F3AEA768D736}"/>
    <cellStyle name="Migliaia 49 3 2 6 4" xfId="42593" xr:uid="{17B8F123-D435-4190-B9A8-E69A4DC54A1B}"/>
    <cellStyle name="Migliaia 49 3 2 6 5" xfId="25211" xr:uid="{6820A460-4C99-4884-8793-E2C26EAB537D}"/>
    <cellStyle name="Migliaia 49 3 2 7" xfId="25209" xr:uid="{A3D49C2A-1898-4BEF-9456-716AB7BF15FF}"/>
    <cellStyle name="Migliaia 49 3 2 8" xfId="7551" xr:uid="{D75EF8EC-2C14-4038-BED7-33A040CD4625}"/>
    <cellStyle name="Migliaia 49 3 3" xfId="3799" xr:uid="{7AF4B83D-4624-45C3-8BC8-E5A5F5607F71}"/>
    <cellStyle name="Migliaia 49 3 3 10" xfId="7550" xr:uid="{E434C3CD-09A2-48DE-BA41-9700DAB01D06}"/>
    <cellStyle name="Migliaia 49 3 3 2" xfId="5525" xr:uid="{65782560-CC9E-4D0A-B4F9-E2F178134124}"/>
    <cellStyle name="Migliaia 49 3 3 2 2" xfId="9968" xr:uid="{B9993EA6-A6AF-45D1-A4AB-2D5727E121F7}"/>
    <cellStyle name="Migliaia 49 3 3 2 2 2" xfId="39944" xr:uid="{EC4389C2-7D9A-44F6-9538-D2CED40D6F40}"/>
    <cellStyle name="Migliaia 49 3 3 2 2 3" xfId="45246" xr:uid="{BADFFB08-1291-41F0-93E2-B9A0A5B3F824}"/>
    <cellStyle name="Migliaia 49 3 3 2 3" xfId="18248" xr:uid="{1BB47877-DBF7-4D0B-B1F4-E112C6E03620}"/>
    <cellStyle name="Migliaia 49 3 3 2 4" xfId="20818" xr:uid="{0FDB4BF1-1D0C-4D2E-9FD3-D97D05988DE6}"/>
    <cellStyle name="Migliaia 49 3 3 2 4 2" xfId="42595" xr:uid="{593737AD-2396-45CB-82A6-AEEBB1D65E51}"/>
    <cellStyle name="Migliaia 49 3 3 2 5" xfId="16689" xr:uid="{91F1598F-1554-406A-8AD4-318ACEE6E07C}"/>
    <cellStyle name="Migliaia 49 3 3 2 6" xfId="8740" xr:uid="{F48D2F51-8AEC-4BC1-BFF6-581E0935F821}"/>
    <cellStyle name="Migliaia 49 3 3 3" xfId="6706" xr:uid="{51C20236-45A2-4441-9922-39746BBFB2D1}"/>
    <cellStyle name="Migliaia 49 3 3 3 2" xfId="34353" xr:uid="{E82905CD-BECB-44F5-8EBD-905737A20926}"/>
    <cellStyle name="Migliaia 49 3 3 3 2 2" xfId="39945" xr:uid="{580C2FAB-D69E-4398-B60E-96783ECD8D5A}"/>
    <cellStyle name="Migliaia 49 3 3 3 2 3" xfId="45247" xr:uid="{C3F5C5DC-67C1-452A-AFC5-3CD668948828}"/>
    <cellStyle name="Migliaia 49 3 3 3 3" xfId="37320" xr:uid="{B1D4F15A-D2EE-4EB0-8570-DF814508F824}"/>
    <cellStyle name="Migliaia 49 3 3 3 4" xfId="42596" xr:uid="{8713D2E3-EB4D-47AA-A69D-E2806EC5B196}"/>
    <cellStyle name="Migliaia 49 3 3 3 5" xfId="9731" xr:uid="{2B7B4338-5D25-4F20-BDCA-14BE3F47FA88}"/>
    <cellStyle name="Migliaia 49 3 3 4" xfId="20817" xr:uid="{5F88DA5D-6742-4D45-90ED-1F1C2B269AA9}"/>
    <cellStyle name="Migliaia 49 3 3 4 2" xfId="34354" xr:uid="{0A583ED5-5EA2-46D8-A1A7-27FDED12A712}"/>
    <cellStyle name="Migliaia 49 3 3 4 2 2" xfId="39946" xr:uid="{278707B6-B462-4013-9C60-DFB98C79EDEC}"/>
    <cellStyle name="Migliaia 49 3 3 4 2 3" xfId="45248" xr:uid="{0D1EE59E-8905-417E-8B49-E922F05EF942}"/>
    <cellStyle name="Migliaia 49 3 3 4 3" xfId="37321" xr:uid="{F516277F-2304-423D-B0C9-0695507F0080}"/>
    <cellStyle name="Migliaia 49 3 3 4 4" xfId="42597" xr:uid="{CBFFDDDD-178E-41A8-B9D0-F16272BB443A}"/>
    <cellStyle name="Migliaia 49 3 3 4 5" xfId="25212" xr:uid="{51367531-7F03-4B8F-8730-DD526EA7A310}"/>
    <cellStyle name="Migliaia 49 3 3 5" xfId="25213" xr:uid="{3E4258BE-B8A5-4B7A-8BF3-FA3AE5AFBC0B}"/>
    <cellStyle name="Migliaia 49 3 3 5 2" xfId="34355" xr:uid="{A3139647-B060-4E59-8287-18A6459CDE76}"/>
    <cellStyle name="Migliaia 49 3 3 5 2 2" xfId="39947" xr:uid="{F5ADCA0A-DEE3-4910-B2BE-E80B21F09A69}"/>
    <cellStyle name="Migliaia 49 3 3 5 2 3" xfId="45249" xr:uid="{9D4AB652-C01D-4BA4-8D4D-180C28897160}"/>
    <cellStyle name="Migliaia 49 3 3 5 3" xfId="37322" xr:uid="{DE622A37-91B4-4BB9-B7DA-2117DA56C824}"/>
    <cellStyle name="Migliaia 49 3 3 5 4" xfId="42598" xr:uid="{0BB6EEBD-4158-4F41-ACD8-D8455C2F9B09}"/>
    <cellStyle name="Migliaia 49 3 3 6" xfId="34352" xr:uid="{80C79BD6-9F1D-4720-B4B2-8AB0C84A2EEC}"/>
    <cellStyle name="Migliaia 49 3 3 6 2" xfId="39943" xr:uid="{46540B2E-5D98-4B24-833D-CC3298148A6B}"/>
    <cellStyle name="Migliaia 49 3 3 6 3" xfId="45245" xr:uid="{B89EFCDD-4981-4EF6-BFE1-496106F18DE6}"/>
    <cellStyle name="Migliaia 49 3 3 7" xfId="37319" xr:uid="{230379F9-7E4E-4FAD-AE9E-4D3A7A037B1C}"/>
    <cellStyle name="Migliaia 49 3 3 8" xfId="42594" xr:uid="{D7566574-E86E-4C35-B28C-1741458B3CC8}"/>
    <cellStyle name="Migliaia 49 3 3 9" xfId="16688" xr:uid="{B1DB312A-FB3E-4F58-A22C-0FD1FA782C9C}"/>
    <cellStyle name="Migliaia 49 3 4" xfId="3800" xr:uid="{2419BAEE-6AA4-4408-8921-F67F4F8BC873}"/>
    <cellStyle name="Migliaia 49 3 4 2" xfId="5526" xr:uid="{FD40C6F9-764D-428D-AE27-32D22A2295DC}"/>
    <cellStyle name="Migliaia 49 3 4 2 2" xfId="14466" xr:uid="{3D976F6C-644F-402D-9973-2BCE14A219FF}"/>
    <cellStyle name="Migliaia 49 3 4 2 3" xfId="18577" xr:uid="{83B2C32E-F09F-400E-A3B4-EE696A60DBD9}"/>
    <cellStyle name="Migliaia 49 3 4 2 4" xfId="20820" xr:uid="{A3E72D26-05EF-4DAD-9A17-4A41D194B5BD}"/>
    <cellStyle name="Migliaia 49 3 4 2 5" xfId="32451" xr:uid="{A7E6AA0E-C3FD-4116-843D-69ECA64D2CB0}"/>
    <cellStyle name="Migliaia 49 3 4 2 6" xfId="16691" xr:uid="{BD67D7EA-E358-445E-86A2-9BBE9A26627E}"/>
    <cellStyle name="Migliaia 49 3 4 2 7" xfId="8889" xr:uid="{78CCE7EF-4B8B-4339-A3E2-72B4C60A47F9}"/>
    <cellStyle name="Migliaia 49 3 4 3" xfId="6707" xr:uid="{B2628B23-C69E-4C31-A457-D4E0049F509D}"/>
    <cellStyle name="Migliaia 49 3 4 3 2" xfId="35426" xr:uid="{8BD6942F-2A5A-4A7C-853C-EC633D161891}"/>
    <cellStyle name="Migliaia 49 3 4 3 2 2" xfId="40586" xr:uid="{4EB59ABE-3CF2-403A-9239-54E561B0CE6C}"/>
    <cellStyle name="Migliaia 49 3 4 3 2 3" xfId="45888" xr:uid="{F794DB72-0711-45FF-A285-56AF1BCC2795}"/>
    <cellStyle name="Migliaia 49 3 4 3 3" xfId="37935" xr:uid="{B9E2AB07-EC5E-4D8D-906D-17433B77968F}"/>
    <cellStyle name="Migliaia 49 3 4 3 4" xfId="43237" xr:uid="{90358C09-53C7-4F99-8977-0C0D1FE4E042}"/>
    <cellStyle name="Migliaia 49 3 4 3 5" xfId="13714" xr:uid="{121D5C05-A5D9-4CB8-9F65-C6F1BB8568B1}"/>
    <cellStyle name="Migliaia 49 3 4 4" xfId="20819" xr:uid="{B764DCDB-1FBF-4E0B-B54B-96B63C456ED6}"/>
    <cellStyle name="Migliaia 49 3 4 4 2" xfId="39948" xr:uid="{513E1883-6268-422F-BB2C-E33A42A25E8A}"/>
    <cellStyle name="Migliaia 49 3 4 4 3" xfId="45250" xr:uid="{F0381070-81CA-4A19-8280-4CFEDE65FA97}"/>
    <cellStyle name="Migliaia 49 3 4 4 4" xfId="34356" xr:uid="{DD395AFC-A83D-40B1-8E6D-670A0428A671}"/>
    <cellStyle name="Migliaia 49 3 4 5" xfId="37323" xr:uid="{A9206D91-E698-481F-8695-FC9F063C288A}"/>
    <cellStyle name="Migliaia 49 3 4 6" xfId="42599" xr:uid="{1EE727FD-FE68-42A4-B91C-BDA40B03A533}"/>
    <cellStyle name="Migliaia 49 3 4 7" xfId="16690" xr:uid="{37AE9535-25BC-4BFC-915A-9A2B35AA2BC8}"/>
    <cellStyle name="Migliaia 49 3 4 8" xfId="7699" xr:uid="{1C0800BF-C456-42C3-A6A8-C84B132937B4}"/>
    <cellStyle name="Migliaia 49 3 5" xfId="3801" xr:uid="{F10C7564-55D1-4C39-80E8-F25E2C4297C0}"/>
    <cellStyle name="Migliaia 49 3 5 2" xfId="5527" xr:uid="{272B0ACC-07E9-4FD7-B12E-BF70C17BA4FD}"/>
    <cellStyle name="Migliaia 49 3 5 2 2" xfId="35427" xr:uid="{965BE2A1-0C92-49F4-A284-8EF42238B561}"/>
    <cellStyle name="Migliaia 49 3 5 2 2 2" xfId="40587" xr:uid="{292C4D1D-D3C5-4F87-9EFA-57A05C66D011}"/>
    <cellStyle name="Migliaia 49 3 5 2 2 3" xfId="45889" xr:uid="{037C7ABB-B567-450B-B6B6-DE66EB280A28}"/>
    <cellStyle name="Migliaia 49 3 5 2 3" xfId="37936" xr:uid="{5549A7AF-9568-4A91-BAAF-3B4442320A6F}"/>
    <cellStyle name="Migliaia 49 3 5 2 4" xfId="43238" xr:uid="{21E64167-F671-48C7-B1B8-73710E53C765}"/>
    <cellStyle name="Migliaia 49 3 5 2 5" xfId="14310" xr:uid="{E6A06C6F-2E77-4A61-9A41-343B6E98EC28}"/>
    <cellStyle name="Migliaia 49 3 5 3" xfId="6708" xr:uid="{E225E5D1-0F5B-44E5-A872-01E2777A0BC3}"/>
    <cellStyle name="Migliaia 49 3 5 3 2" xfId="39949" xr:uid="{BA269DD7-03BD-481B-9EB8-9402437524CB}"/>
    <cellStyle name="Migliaia 49 3 5 3 3" xfId="45251" xr:uid="{31FED7B3-A2A2-4F49-8013-901D47780E3E}"/>
    <cellStyle name="Migliaia 49 3 5 3 4" xfId="34357" xr:uid="{CE753C4C-26C3-4CFD-8F7B-BB96154BA32A}"/>
    <cellStyle name="Migliaia 49 3 5 3 5" xfId="20821" xr:uid="{650824E1-FCAD-4B3F-9152-465F01B1D7C1}"/>
    <cellStyle name="Migliaia 49 3 5 4" xfId="37324" xr:uid="{BBF97F13-DF01-4FE1-B47F-1EB04B0B9A87}"/>
    <cellStyle name="Migliaia 49 3 5 5" xfId="42600" xr:uid="{662D909C-5CDD-4BCA-94B7-1D0964807E40}"/>
    <cellStyle name="Migliaia 49 3 5 6" xfId="16692" xr:uid="{C948BE45-E410-498E-A550-CC6E72958DB1}"/>
    <cellStyle name="Migliaia 49 3 5 7" xfId="8372" xr:uid="{3903FDEE-7A1A-4702-BD24-200A1EE7DAA4}"/>
    <cellStyle name="Migliaia 49 3 6" xfId="5522" xr:uid="{C48D5032-6783-4B8B-9597-5B4E97349912}"/>
    <cellStyle name="Migliaia 49 3 6 2" xfId="14015" xr:uid="{7F998BD3-DDD1-4868-8FDE-722BA2B1B79D}"/>
    <cellStyle name="Migliaia 49 3 6 2 2" xfId="39950" xr:uid="{65B1C6FD-8275-46DB-8E91-919FBDD3F670}"/>
    <cellStyle name="Migliaia 49 3 6 2 3" xfId="45252" xr:uid="{B59422B4-406E-44D7-852F-FA4085D2604E}"/>
    <cellStyle name="Migliaia 49 3 6 3" xfId="18605" xr:uid="{F1198EB4-7AA5-4B15-9018-3A031E58EDF9}"/>
    <cellStyle name="Migliaia 49 3 6 4" xfId="20822" xr:uid="{21BDD228-B052-4AB2-BA01-0FE309B55CE1}"/>
    <cellStyle name="Migliaia 49 3 6 4 2" xfId="42601" xr:uid="{6D9E445D-ECC4-44B1-93B8-35664B97FFA5}"/>
    <cellStyle name="Migliaia 49 3 6 5" xfId="16693" xr:uid="{C49FCF6F-6106-431D-9250-F9C26A9E075E}"/>
    <cellStyle name="Migliaia 49 3 6 6" xfId="7996" xr:uid="{CE15FFF0-DAD6-4701-85E1-48F3F6658222}"/>
    <cellStyle name="Migliaia 49 3 7" xfId="6703" xr:uid="{7973CA98-CB3B-467E-A87E-692BAB0588FC}"/>
    <cellStyle name="Migliaia 49 3 7 2" xfId="34358" xr:uid="{4245ED38-A26D-49C7-BFEB-C70A9A3C8EF0}"/>
    <cellStyle name="Migliaia 49 3 7 2 2" xfId="39951" xr:uid="{6B276974-CDE1-4566-82F8-DB72487718E2}"/>
    <cellStyle name="Migliaia 49 3 7 2 3" xfId="45253" xr:uid="{12BB941A-7DF4-44B6-B4E1-E4F496272883}"/>
    <cellStyle name="Migliaia 49 3 7 3" xfId="37325" xr:uid="{57406720-F5B9-43DA-991D-6E36CA2C18B9}"/>
    <cellStyle name="Migliaia 49 3 7 4" xfId="42602" xr:uid="{794844A6-9233-4609-856C-9E9B04A94FB0}"/>
    <cellStyle name="Migliaia 49 3 7 5" xfId="12285" xr:uid="{9DCF7D2B-5234-42E5-8165-B5FBB7A89B15}"/>
    <cellStyle name="Migliaia 49 3 8" xfId="3796" xr:uid="{2F000C90-CEB5-4F4B-8E44-567F74616F2F}"/>
    <cellStyle name="Migliaia 49 3 8 2" xfId="34359" xr:uid="{0AB7F2D8-D62F-4319-8A68-B47E6546AFBE}"/>
    <cellStyle name="Migliaia 49 3 8 2 2" xfId="39952" xr:uid="{4A0ABF8E-8B58-4B6F-B357-9620288166FA}"/>
    <cellStyle name="Migliaia 49 3 8 2 3" xfId="45254" xr:uid="{A9C0FF43-42E0-41F4-A406-DE5C0EB2F7C5}"/>
    <cellStyle name="Migliaia 49 3 8 3" xfId="37326" xr:uid="{06147FD2-EB57-431D-A249-7640588F1FBA}"/>
    <cellStyle name="Migliaia 49 3 8 4" xfId="42603" xr:uid="{FB65CE88-E5CA-4D0F-80A6-B8CFE4A1BF49}"/>
    <cellStyle name="Migliaia 49 3 8 5" xfId="25214" xr:uid="{6B8D4FBB-4639-4CCB-8C79-A16D75276F68}"/>
    <cellStyle name="Migliaia 49 3 8 6" xfId="17298" xr:uid="{183262DC-1CE5-4C3A-BFE9-F299A903F083}"/>
    <cellStyle name="Migliaia 49 3 9" xfId="20813" xr:uid="{CD4063EF-66F4-4E3E-81E4-D595B3144D3C}"/>
    <cellStyle name="Migliaia 49 4" xfId="1873" xr:uid="{00000000-0005-0000-0000-000048040000}"/>
    <cellStyle name="Migliaia 49 4 2" xfId="1874" xr:uid="{00000000-0005-0000-0000-000049040000}"/>
    <cellStyle name="Migliaia 49 4 2 2" xfId="5529" xr:uid="{F9996BD8-A53B-4290-93E2-927AE598AE0C}"/>
    <cellStyle name="Migliaia 49 4 2 2 2" xfId="34360" xr:uid="{A82EC071-646C-4DD7-8DD0-C8583207167E}"/>
    <cellStyle name="Migliaia 49 4 2 2 2 2" xfId="39953" xr:uid="{3C7D765C-6DF6-487E-91C1-051C85DECC4F}"/>
    <cellStyle name="Migliaia 49 4 2 2 2 3" xfId="45255" xr:uid="{8769744B-748F-45E8-8CC9-E70EF950F22E}"/>
    <cellStyle name="Migliaia 49 4 2 2 3" xfId="37327" xr:uid="{32C56CE8-E0C8-46EE-A884-54A1975053BE}"/>
    <cellStyle name="Migliaia 49 4 2 2 4" xfId="42604" xr:uid="{41773E7F-5F2F-4905-8E6B-9667436EAAB5}"/>
    <cellStyle name="Migliaia 49 4 2 2 5" xfId="9194" xr:uid="{4789B4E1-0375-484C-A244-CA06A6A24A92}"/>
    <cellStyle name="Migliaia 49 4 2 3" xfId="3803" xr:uid="{FFDF6696-8266-4CE5-9FC3-8E64F86A77A6}"/>
    <cellStyle name="Migliaia 49 4 2 3 2" xfId="34361" xr:uid="{AB13785A-F0CE-4605-AA1E-9903E8C32106}"/>
    <cellStyle name="Migliaia 49 4 2 3 2 2" xfId="39954" xr:uid="{D4046969-2EEF-4AB1-89D9-608AD0B1C023}"/>
    <cellStyle name="Migliaia 49 4 2 3 2 3" xfId="45256" xr:uid="{6BD10AFE-CEEB-420C-AE18-46458DD0D4D0}"/>
    <cellStyle name="Migliaia 49 4 2 3 3" xfId="37328" xr:uid="{E0FB99FB-7F3D-48A6-BCFC-13957ADD2B77}"/>
    <cellStyle name="Migliaia 49 4 2 3 4" xfId="42605" xr:uid="{142C026E-0AD9-49F0-BF0B-DCFE3FBC3C41}"/>
    <cellStyle name="Migliaia 49 4 2 3 5" xfId="12061" xr:uid="{ADD75B58-70E2-4B66-86D2-CFF8B1E375EA}"/>
    <cellStyle name="Migliaia 49 4 2 4" xfId="11410" xr:uid="{E6C16E55-1F6E-46F4-A757-77E028B42C6B}"/>
    <cellStyle name="Migliaia 49 4 2 5" xfId="10951" xr:uid="{8C7E385A-C053-4B3E-BAFC-1E0B8AAF4B1A}"/>
    <cellStyle name="Migliaia 49 4 2 5 2" xfId="21586" xr:uid="{D5C971B9-01D0-4E88-B733-ABB40705A00B}"/>
    <cellStyle name="Migliaia 49 4 2 5 3" xfId="47561" xr:uid="{DE8F904F-BF21-4E1B-B7D1-F8713A552960}"/>
    <cellStyle name="Migliaia 49 4 2 5 4" xfId="50601" xr:uid="{25A295F8-3DB7-458B-BF58-A91C6FF26234}"/>
    <cellStyle name="Migliaia 49 4 2 5 5" xfId="53617" xr:uid="{1DB6146F-BB68-462E-9DC2-166EDD1092E3}"/>
    <cellStyle name="Migliaia 49 4 2 6" xfId="20824" xr:uid="{CFBCD37E-79AC-46BD-A530-20213A99D3E1}"/>
    <cellStyle name="Migliaia 49 4 2 7" xfId="25216" xr:uid="{BE3304DA-C243-4C14-AC67-64D2EE81AC2B}"/>
    <cellStyle name="Migliaia 49 4 2 8" xfId="8742" xr:uid="{70B779AA-FF92-463A-8645-2322357F237C}"/>
    <cellStyle name="Migliaia 49 4 3" xfId="5528" xr:uid="{B10BF2AF-AA1A-4DA4-8E4D-8D3686E3DCE0}"/>
    <cellStyle name="Migliaia 49 4 3 2" xfId="18249" xr:uid="{67052E38-F889-4AA7-A54D-242F86FCAEE0}"/>
    <cellStyle name="Migliaia 49 4 3 2 2" xfId="39955" xr:uid="{2DED0EF3-E3DB-44E1-BADB-061FC1E5355C}"/>
    <cellStyle name="Migliaia 49 4 3 2 3" xfId="45257" xr:uid="{AB7622A6-3627-47D4-8082-4624038C73AE}"/>
    <cellStyle name="Migliaia 49 4 3 3" xfId="37329" xr:uid="{4BF95C18-A83F-49A4-8E4C-EB1324AF34CC}"/>
    <cellStyle name="Migliaia 49 4 3 4" xfId="42606" xr:uid="{040D5019-6CAD-4A88-9C8D-FE36B48A67F2}"/>
    <cellStyle name="Migliaia 49 4 3 5" xfId="17296" xr:uid="{6EB644B1-C360-401D-BD39-C9F4A1524908}"/>
    <cellStyle name="Migliaia 49 4 3 6" xfId="9195" xr:uid="{7CFE715D-9971-4D03-BE0C-0539B4F69153}"/>
    <cellStyle name="Migliaia 49 4 4" xfId="6709" xr:uid="{3D5412EF-D26C-4138-952C-1400769C8EA8}"/>
    <cellStyle name="Migliaia 49 4 4 2" xfId="34362" xr:uid="{1B2209B3-0969-4C71-B711-E2ED6787C110}"/>
    <cellStyle name="Migliaia 49 4 4 2 2" xfId="39956" xr:uid="{A28EC7C7-ED98-42B4-8078-F315A91D6786}"/>
    <cellStyle name="Migliaia 49 4 4 2 3" xfId="45258" xr:uid="{10A6F7D1-BFAB-4B01-85AC-F659A2DC6179}"/>
    <cellStyle name="Migliaia 49 4 4 3" xfId="37330" xr:uid="{07FFB0FB-9E79-4F17-98F6-F63250F1B974}"/>
    <cellStyle name="Migliaia 49 4 4 4" xfId="42607" xr:uid="{2421AC7F-7CD7-4082-8A99-2E6094209766}"/>
    <cellStyle name="Migliaia 49 4 4 5" xfId="12062" xr:uid="{B4E1E724-31E3-4DFB-8109-292877A954D5}"/>
    <cellStyle name="Migliaia 49 4 5" xfId="3802" xr:uid="{B0141B7E-E089-433A-A74E-041688EC4FC1}"/>
    <cellStyle name="Migliaia 49 4 5 2" xfId="34363" xr:uid="{2E740C68-4CC0-4593-9F0C-D023601F4F82}"/>
    <cellStyle name="Migliaia 49 4 5 2 2" xfId="39957" xr:uid="{4570C411-3D1F-485B-B5C4-6EA95E5650FF}"/>
    <cellStyle name="Migliaia 49 4 5 2 3" xfId="45259" xr:uid="{532B47B2-8C70-4C38-AE24-E93DCFD9A60A}"/>
    <cellStyle name="Migliaia 49 4 5 3" xfId="37331" xr:uid="{9294CCD0-C0AD-4771-AE2C-093DF22C80AF}"/>
    <cellStyle name="Migliaia 49 4 5 4" xfId="42608" xr:uid="{BE49DFFF-0F19-456B-ABBF-6691C96B98C5}"/>
    <cellStyle name="Migliaia 49 4 5 5" xfId="11409" xr:uid="{3E8654E1-AD78-4885-BBB9-A387A9C02C86}"/>
    <cellStyle name="Migliaia 49 4 6" xfId="10950" xr:uid="{4F963629-5286-4516-9A23-973659940D95}"/>
    <cellStyle name="Migliaia 49 4 6 2" xfId="21585" xr:uid="{0356BA29-0DE7-4BCC-8527-AD58133D8523}"/>
    <cellStyle name="Migliaia 49 4 6 2 2" xfId="39958" xr:uid="{B2E72253-D9DC-4692-8CAF-E42C9438EB10}"/>
    <cellStyle name="Migliaia 49 4 6 2 3" xfId="45260" xr:uid="{40154F22-BC45-4F70-9903-A5B0AABC14A2}"/>
    <cellStyle name="Migliaia 49 4 6 2 4" xfId="34364" xr:uid="{BE8578C9-B48A-4460-8CF4-E73F25E77223}"/>
    <cellStyle name="Migliaia 49 4 6 3" xfId="37332" xr:uid="{0D1DB539-DE88-492E-85EE-AC418C688B37}"/>
    <cellStyle name="Migliaia 49 4 6 4" xfId="42609" xr:uid="{FBC34268-5C7E-4511-8D8A-56F11CA9748D}"/>
    <cellStyle name="Migliaia 49 4 6 5" xfId="25217" xr:uid="{E84F4399-3262-4B22-8722-CF7155CBD52A}"/>
    <cellStyle name="Migliaia 49 4 6 6" xfId="48316" xr:uid="{BF658470-5496-4899-8290-2B436710BDA4}"/>
    <cellStyle name="Migliaia 49 4 6 7" xfId="50600" xr:uid="{13EAD483-E066-44AB-8C75-6B98922EBAF9}"/>
    <cellStyle name="Migliaia 49 4 6 8" xfId="53616" xr:uid="{591F9972-4181-4D62-8DAA-ECC105C93B52}"/>
    <cellStyle name="Migliaia 49 4 7" xfId="20823" xr:uid="{AE69C6C0-4E01-4647-9711-C5978E1633C0}"/>
    <cellStyle name="Migliaia 49 4 7 2" xfId="34365" xr:uid="{5B9E7730-3364-4394-9F5F-741E1545B30A}"/>
    <cellStyle name="Migliaia 49 4 7 2 2" xfId="39959" xr:uid="{D6124AC5-8664-47E2-8528-D80557A739C0}"/>
    <cellStyle name="Migliaia 49 4 7 2 3" xfId="45261" xr:uid="{AF485867-A230-4B29-ACCE-C0A60437CA94}"/>
    <cellStyle name="Migliaia 49 4 7 3" xfId="37333" xr:uid="{6C40A20C-A324-4154-A97D-16F52978E24A}"/>
    <cellStyle name="Migliaia 49 4 7 4" xfId="42610" xr:uid="{8A8358C4-010D-41F9-850D-34EBD7A0E084}"/>
    <cellStyle name="Migliaia 49 4 7 5" xfId="25218" xr:uid="{431E5C9C-B661-4066-B45F-709C2FE033FC}"/>
    <cellStyle name="Migliaia 49 4 8" xfId="25215" xr:uid="{825858C3-7C39-4D9A-94A3-3BF3637E449F}"/>
    <cellStyle name="Migliaia 49 4 9" xfId="7552" xr:uid="{9A4DF914-F8B7-4DD3-8642-DB9C048B78EA}"/>
    <cellStyle name="Migliaia 49 5" xfId="1875" xr:uid="{00000000-0005-0000-0000-00004A040000}"/>
    <cellStyle name="Migliaia 49 5 2" xfId="5530" xr:uid="{B6CB7350-2973-4FB9-97CE-9B28427B98FC}"/>
    <cellStyle name="Migliaia 49 5 2 2" xfId="18493" xr:uid="{F8EE2B24-4B81-4C07-919A-E291C58F364A}"/>
    <cellStyle name="Migliaia 49 5 2 2 2" xfId="39960" xr:uid="{F40A9B29-A160-45AD-992E-EEE05DB6804F}"/>
    <cellStyle name="Migliaia 49 5 2 2 3" xfId="45262" xr:uid="{66DF4524-4FB7-4776-A6CA-6CDD5F34F775}"/>
    <cellStyle name="Migliaia 49 5 2 3" xfId="20826" xr:uid="{4238E2EE-18E1-4E9E-9FA4-64E76BF42621}"/>
    <cellStyle name="Migliaia 49 5 2 3 2" xfId="37334" xr:uid="{4925C123-1726-4E0D-94CC-05C90B8E26C8}"/>
    <cellStyle name="Migliaia 49 5 2 4" xfId="42611" xr:uid="{10518E4E-5449-4F8E-90C0-CB8AC8C4602A}"/>
    <cellStyle name="Migliaia 49 5 2 5" xfId="16694" xr:uid="{AD14315D-8CF3-40C2-93D9-6577F50630EC}"/>
    <cellStyle name="Migliaia 49 5 2 6" xfId="8743" xr:uid="{46FDFBF2-302B-4E47-BA7A-AB38AA800D0B}"/>
    <cellStyle name="Migliaia 49 5 3" xfId="6710" xr:uid="{F3A212A5-079C-4642-8B6B-EFD2F3CF4D01}"/>
    <cellStyle name="Migliaia 49 5 3 2" xfId="34366" xr:uid="{92631D94-8052-4F72-B314-D3F460342BC4}"/>
    <cellStyle name="Migliaia 49 5 3 2 2" xfId="39961" xr:uid="{F56B7FC8-9063-40B1-8637-1C594797EEBF}"/>
    <cellStyle name="Migliaia 49 5 3 2 3" xfId="45263" xr:uid="{5A5A76D7-3646-4BA3-A62A-DAB5B61D7D6D}"/>
    <cellStyle name="Migliaia 49 5 3 3" xfId="37335" xr:uid="{90B35019-6D72-436D-8403-0184320ECD99}"/>
    <cellStyle name="Migliaia 49 5 3 4" xfId="42612" xr:uid="{1C1CFEA0-E2F4-4BFC-B6F4-AFA9C2AB34A8}"/>
    <cellStyle name="Migliaia 49 5 3 5" xfId="11411" xr:uid="{5A1A483E-49AA-4D0C-87C1-CDF98B855F9B}"/>
    <cellStyle name="Migliaia 49 5 4" xfId="3804" xr:uid="{A6C57765-AC11-4650-96E8-5A6A76385E51}"/>
    <cellStyle name="Migliaia 49 5 4 2" xfId="21587" xr:uid="{F2EB6C35-56B9-4573-A9AB-EA26E8C61798}"/>
    <cellStyle name="Migliaia 49 5 4 2 2" xfId="39962" xr:uid="{21D3BD32-169B-487C-BD98-6DE5EB1F46F0}"/>
    <cellStyle name="Migliaia 49 5 4 2 3" xfId="45264" xr:uid="{E40538B2-D374-4BF9-B142-2C1A051CFE72}"/>
    <cellStyle name="Migliaia 49 5 4 2 4" xfId="34367" xr:uid="{700E10D4-17C0-4E5B-BCC7-4D6F6C083248}"/>
    <cellStyle name="Migliaia 49 5 4 3" xfId="37336" xr:uid="{703DBE2B-1090-423D-BDDA-497991CDD6EA}"/>
    <cellStyle name="Migliaia 49 5 4 4" xfId="42613" xr:uid="{4402E863-4167-4513-8D00-9D5D9B148875}"/>
    <cellStyle name="Migliaia 49 5 4 5" xfId="25220" xr:uid="{6E8BC534-1680-4E7C-9A72-33D71403A823}"/>
    <cellStyle name="Migliaia 49 5 4 6" xfId="47659" xr:uid="{D27BC162-F949-4E50-B749-E6DC6F286B52}"/>
    <cellStyle name="Migliaia 49 5 4 7" xfId="50602" xr:uid="{E131B8B3-28C7-4CEB-8DCA-39AA330CAD33}"/>
    <cellStyle name="Migliaia 49 5 4 8" xfId="53618" xr:uid="{1330B9FA-A4BF-4828-B78C-1C9D92B35380}"/>
    <cellStyle name="Migliaia 49 5 4 9" xfId="10952" xr:uid="{7E05C852-7A10-4D72-8E95-8DFD4442A55B}"/>
    <cellStyle name="Migliaia 49 5 5" xfId="20825" xr:uid="{144F44E1-D763-40AA-933D-F0435EC12039}"/>
    <cellStyle name="Migliaia 49 5 5 2" xfId="34368" xr:uid="{7A38394B-77AF-4D24-971C-D1D9635F3C4B}"/>
    <cellStyle name="Migliaia 49 5 5 2 2" xfId="39963" xr:uid="{4BD508F5-32FC-4F26-AA57-69AF12CDAD99}"/>
    <cellStyle name="Migliaia 49 5 5 2 3" xfId="45265" xr:uid="{083F83FD-8C8E-424E-8A5A-796F10585421}"/>
    <cellStyle name="Migliaia 49 5 5 3" xfId="37337" xr:uid="{251FE6C4-3C86-4E35-AE2B-BE59B560F4B5}"/>
    <cellStyle name="Migliaia 49 5 5 4" xfId="42614" xr:uid="{53CE3AB8-91EF-441B-AA7E-A4A3657C1923}"/>
    <cellStyle name="Migliaia 49 5 5 5" xfId="25221" xr:uid="{38D9BB12-9928-40D5-BD68-33D8BF5A64F6}"/>
    <cellStyle name="Migliaia 49 5 6" xfId="25222" xr:uid="{4F0ECC35-1D39-497C-A581-E909202C97B3}"/>
    <cellStyle name="Migliaia 49 5 6 2" xfId="34369" xr:uid="{9C61613B-9225-48DA-B75E-EC6C389175A5}"/>
    <cellStyle name="Migliaia 49 5 6 2 2" xfId="39964" xr:uid="{7EDBA784-9C38-4B4A-9AFF-F75D791D3EFB}"/>
    <cellStyle name="Migliaia 49 5 6 2 3" xfId="45266" xr:uid="{22D5F2FE-A5A4-41B0-B9D9-D0B4A43343C1}"/>
    <cellStyle name="Migliaia 49 5 6 3" xfId="37338" xr:uid="{440887DA-4D95-4848-B7CA-F94D867C0B9D}"/>
    <cellStyle name="Migliaia 49 5 6 4" xfId="42615" xr:uid="{F42C0B24-CFAE-44D5-987F-73DC2CCC6DC1}"/>
    <cellStyle name="Migliaia 49 5 7" xfId="25219" xr:uid="{74C7B017-FAEC-498B-9793-B01E06E434B9}"/>
    <cellStyle name="Migliaia 49 5 8" xfId="7553" xr:uid="{48E6E08A-1C74-4545-8B78-8301DB44A1F6}"/>
    <cellStyle name="Migliaia 49 6" xfId="3805" xr:uid="{B9BB8B28-43C5-42BD-BEF7-9E02554CA7D5}"/>
    <cellStyle name="Migliaia 49 6 2" xfId="5531" xr:uid="{4EE0CC1A-957A-4392-9115-1B6FFA41EA5D}"/>
    <cellStyle name="Migliaia 49 6 2 2" xfId="9967" xr:uid="{84B1643E-FD6E-4B9B-AC03-70CBC6E91426}"/>
    <cellStyle name="Migliaia 49 6 2 3" xfId="18637" xr:uid="{5609E90B-0CEF-4610-9E6C-C2B47F8C8749}"/>
    <cellStyle name="Migliaia 49 6 2 4" xfId="20828" xr:uid="{624FA6EF-C158-4329-B350-4884AFA2A106}"/>
    <cellStyle name="Migliaia 49 6 2 5" xfId="32452" xr:uid="{7D0CCCE9-FC0E-49E2-9447-46E16FF566CE}"/>
    <cellStyle name="Migliaia 49 6 2 6" xfId="16696" xr:uid="{1F39030E-145A-4BC5-8964-BCD3C9AA1462}"/>
    <cellStyle name="Migliaia 49 6 2 7" xfId="8738" xr:uid="{D254C046-6078-4658-AA72-9523BE2EBD36}"/>
    <cellStyle name="Migliaia 49 6 3" xfId="6711" xr:uid="{DAE40A19-7B96-4B23-9981-5DC2BAC010A2}"/>
    <cellStyle name="Migliaia 49 6 3 2" xfId="35428" xr:uid="{A64481C8-EB01-4988-8729-8B10E449DC46}"/>
    <cellStyle name="Migliaia 49 6 3 2 2" xfId="40588" xr:uid="{D5F9A19A-6E2E-4FC2-8F6C-4A492E8CB089}"/>
    <cellStyle name="Migliaia 49 6 3 2 3" xfId="45890" xr:uid="{46986C50-B832-4461-9624-6626AF7F4A79}"/>
    <cellStyle name="Migliaia 49 6 3 3" xfId="37937" xr:uid="{C57BC79A-8B8C-48CE-9079-8D703281764B}"/>
    <cellStyle name="Migliaia 49 6 3 4" xfId="43239" xr:uid="{AAE49C26-3804-41AE-ADA9-B24BCD9720BF}"/>
    <cellStyle name="Migliaia 49 6 3 5" xfId="9730" xr:uid="{C4A10B8C-8B9B-474D-B7DD-80EAD7DCAF8A}"/>
    <cellStyle name="Migliaia 49 6 4" xfId="20827" xr:uid="{74989444-9FCE-4857-B3CA-25D749CC0B0D}"/>
    <cellStyle name="Migliaia 49 6 4 2" xfId="39965" xr:uid="{337FCE58-2174-469D-95E2-C605992C1FD3}"/>
    <cellStyle name="Migliaia 49 6 4 3" xfId="45267" xr:uid="{009CACF6-3A79-4F48-9F23-32C58BE5586A}"/>
    <cellStyle name="Migliaia 49 6 4 4" xfId="34370" xr:uid="{6B3F6C6E-57D3-47D9-8023-596C792B7989}"/>
    <cellStyle name="Migliaia 49 6 5" xfId="37339" xr:uid="{A8981C4D-3E11-490F-80CB-83A8FA75AD48}"/>
    <cellStyle name="Migliaia 49 6 6" xfId="42616" xr:uid="{2788790B-3BA0-4FEB-BB33-7F70C0ADE368}"/>
    <cellStyle name="Migliaia 49 6 7" xfId="16695" xr:uid="{FA5FC75C-826D-46C9-B0D1-92DCE8567FBF}"/>
    <cellStyle name="Migliaia 49 6 8" xfId="7548" xr:uid="{750EE6F5-3A97-421C-A2B1-F046E9D136CF}"/>
    <cellStyle name="Migliaia 49 7" xfId="3806" xr:uid="{4468C6DB-D02F-4EC8-B05F-A095D13287AB}"/>
    <cellStyle name="Migliaia 49 7 2" xfId="5532" xr:uid="{8AA45AA5-A8ED-4DD6-A8F9-D8A947B656CB}"/>
    <cellStyle name="Migliaia 49 7 2 2" xfId="35429" xr:uid="{8EB57E97-85D5-42E5-82F6-0E78291AC33D}"/>
    <cellStyle name="Migliaia 49 7 2 2 2" xfId="40589" xr:uid="{A6F7A93C-C2D1-45D4-A28E-C41528C5B1F2}"/>
    <cellStyle name="Migliaia 49 7 2 2 3" xfId="45891" xr:uid="{3C99B8DD-599F-4E28-A2A3-E0D3EE6E851A}"/>
    <cellStyle name="Migliaia 49 7 2 3" xfId="37938" xr:uid="{A4265A6B-488A-4900-BF35-FD0AE81D5335}"/>
    <cellStyle name="Migliaia 49 7 2 4" xfId="43240" xr:uid="{886566B4-2D00-46A3-8FE8-3E926B94FF1C}"/>
    <cellStyle name="Migliaia 49 7 2 5" xfId="14308" xr:uid="{33C08B17-AA2B-4D86-9630-AAA3B1F75B16}"/>
    <cellStyle name="Migliaia 49 7 3" xfId="6712" xr:uid="{74DD8914-0605-4D98-A487-594388E11F9F}"/>
    <cellStyle name="Migliaia 49 7 3 2" xfId="39966" xr:uid="{378871E8-9A15-4087-B5AD-1E53C157588C}"/>
    <cellStyle name="Migliaia 49 7 3 3" xfId="45268" xr:uid="{C900FEEC-E26D-4910-BFA2-AD91ECD2439E}"/>
    <cellStyle name="Migliaia 49 7 3 4" xfId="34371" xr:uid="{70411F6D-CFD2-4202-A884-43B254CF78D9}"/>
    <cellStyle name="Migliaia 49 7 3 5" xfId="20829" xr:uid="{5E926F79-CA1B-4184-8820-95AC22FB152E}"/>
    <cellStyle name="Migliaia 49 7 4" xfId="37340" xr:uid="{158EB44F-789F-4096-B71C-8913C390B5BB}"/>
    <cellStyle name="Migliaia 49 7 5" xfId="42617" xr:uid="{12742B14-966E-4A11-886E-A9C87C0B7582}"/>
    <cellStyle name="Migliaia 49 7 6" xfId="16697" xr:uid="{0E663EB8-5507-4C19-918F-77B598843C21}"/>
    <cellStyle name="Migliaia 49 7 7" xfId="8370" xr:uid="{7EC6756B-B4EC-4EEC-9DB9-D8412077D59C}"/>
    <cellStyle name="Migliaia 49 8" xfId="3807" xr:uid="{15EE6375-2F2F-421D-AD09-C145716C4224}"/>
    <cellStyle name="Migliaia 49 8 2" xfId="5533" xr:uid="{F593E36D-F2A4-4812-B195-6A107445F818}"/>
    <cellStyle name="Migliaia 49 8 2 2" xfId="35430" xr:uid="{B4A634ED-FD30-4A96-8FF1-91AA855F6811}"/>
    <cellStyle name="Migliaia 49 8 2 2 2" xfId="40590" xr:uid="{72FF7194-9342-45B7-89A6-7B126CF6B55B}"/>
    <cellStyle name="Migliaia 49 8 2 2 3" xfId="45892" xr:uid="{32E98AAE-DF13-4955-95AD-530C7FA6FAA4}"/>
    <cellStyle name="Migliaia 49 8 2 3" xfId="37939" xr:uid="{B5DA0B8A-1F12-47A1-A598-D88E87294732}"/>
    <cellStyle name="Migliaia 49 8 2 4" xfId="43241" xr:uid="{16A02600-EE1F-47B8-8E61-6775A04623A4}"/>
    <cellStyle name="Migliaia 49 8 2 5" xfId="14013" xr:uid="{339582FA-1751-4B8F-B4D1-142AAFBB8770}"/>
    <cellStyle name="Migliaia 49 8 3" xfId="6713" xr:uid="{A5782382-01E0-4985-879F-9D32FD4005F7}"/>
    <cellStyle name="Migliaia 49 8 3 2" xfId="39967" xr:uid="{C3286191-499A-4913-98D4-B6574264BD68}"/>
    <cellStyle name="Migliaia 49 8 3 3" xfId="45269" xr:uid="{441055F7-F106-4A94-9593-41E27FA8986C}"/>
    <cellStyle name="Migliaia 49 8 3 4" xfId="34372" xr:uid="{364CCEAD-D0E8-4BFA-9AE0-ED1D60CB4779}"/>
    <cellStyle name="Migliaia 49 8 3 5" xfId="20830" xr:uid="{A655277A-3015-4A37-B6DD-36E539D09C0B}"/>
    <cellStyle name="Migliaia 49 8 4" xfId="37341" xr:uid="{6D81E529-9FE6-40BB-A170-98A53FC18A9F}"/>
    <cellStyle name="Migliaia 49 8 5" xfId="42618" xr:uid="{CE011F40-3754-485E-88BD-2705F7974573}"/>
    <cellStyle name="Migliaia 49 8 6" xfId="16698" xr:uid="{FEB10960-7A0D-4C37-9245-C8D6B53AEEEE}"/>
    <cellStyle name="Migliaia 49 8 7" xfId="7994" xr:uid="{7DE35DC5-24DC-4A73-AFFE-20AAF7FB1F99}"/>
    <cellStyle name="Migliaia 49 9" xfId="5518" xr:uid="{D3569D0B-9FB4-4FF5-9949-3F597449754D}"/>
    <cellStyle name="Migliaia 49 9 2" xfId="34373" xr:uid="{0226F961-2D8D-4132-8095-072E35F84EF0}"/>
    <cellStyle name="Migliaia 49 9 2 2" xfId="39968" xr:uid="{683D286B-5143-4E73-B009-716DA4F060CC}"/>
    <cellStyle name="Migliaia 49 9 2 3" xfId="45270" xr:uid="{7F3D9293-D491-4156-88E6-66AF52A2DFA4}"/>
    <cellStyle name="Migliaia 49 9 3" xfId="37342" xr:uid="{262C0256-C600-45DC-9C06-535C6EDA99E0}"/>
    <cellStyle name="Migliaia 49 9 4" xfId="42619" xr:uid="{2FAA6383-0C1B-450A-906B-7D1EF6D329EB}"/>
    <cellStyle name="Migliaia 49 9 5" xfId="17221" xr:uid="{C58A0DAE-1F5E-4AC7-82A4-59FF43457DEE}"/>
    <cellStyle name="Migliaia 5" xfId="477" xr:uid="{00000000-0005-0000-0000-00004B040000}"/>
    <cellStyle name="Migliaia 5 10" xfId="6714" xr:uid="{AD76C527-5B80-44C2-BDBE-5491B84CC103}"/>
    <cellStyle name="Migliaia 5 10 2" xfId="39969" xr:uid="{6D431D0A-2707-4D14-A3C2-581B90F4F13D}"/>
    <cellStyle name="Migliaia 5 10 3" xfId="45271" xr:uid="{B393370F-E238-4861-B3C0-49C94B0110A6}"/>
    <cellStyle name="Migliaia 5 10 4" xfId="34374" xr:uid="{6A31253D-4923-463C-8D9B-58248B2446E0}"/>
    <cellStyle name="Migliaia 5 10 5" xfId="20831" xr:uid="{90A35A41-66C1-4567-ADC4-A331D1108646}"/>
    <cellStyle name="Migliaia 5 11" xfId="3808" xr:uid="{924B5315-42D7-4D27-B17E-B9EA06A9402D}"/>
    <cellStyle name="Migliaia 5 11 2" xfId="37343" xr:uid="{4DF9F833-5CE7-45CF-895E-F0066636F81D}"/>
    <cellStyle name="Migliaia 5 12" xfId="42620" xr:uid="{ABB96B24-9A86-46FB-8983-90EA037ACA69}"/>
    <cellStyle name="Migliaia 5 13" xfId="7174" xr:uid="{5542979C-B66B-4FF6-A815-40DBE50433F7}"/>
    <cellStyle name="Migliaia 5 2" xfId="478" xr:uid="{00000000-0005-0000-0000-00004C040000}"/>
    <cellStyle name="Migliaia 5 2 2" xfId="1876" xr:uid="{00000000-0005-0000-0000-00004D040000}"/>
    <cellStyle name="Migliaia 5 2 2 2" xfId="5536" xr:uid="{4E97F7C5-F444-4F14-9BCE-B34A6DA47276}"/>
    <cellStyle name="Migliaia 5 2 2 2 2" xfId="14407" xr:uid="{0F7E492A-57CE-4D2A-B73F-AE565D809AC4}"/>
    <cellStyle name="Migliaia 5 2 2 2 2 2" xfId="39970" xr:uid="{A7EF3CD3-D77E-4C5D-B43B-FE3D7B53D6A8}"/>
    <cellStyle name="Migliaia 5 2 2 2 2 3" xfId="45272" xr:uid="{07DF6311-3973-4093-98DA-A56D2C602D23}"/>
    <cellStyle name="Migliaia 5 2 2 2 3" xfId="18494" xr:uid="{F11986A8-E86B-4799-8FA1-1A04EA52BEBE}"/>
    <cellStyle name="Migliaia 5 2 2 2 4" xfId="20834" xr:uid="{3788D300-5D23-4BF8-BF81-9252F4E84B22}"/>
    <cellStyle name="Migliaia 5 2 2 2 4 2" xfId="42621" xr:uid="{BD81DD65-2A51-4153-ACFE-8EC700AD69EE}"/>
    <cellStyle name="Migliaia 5 2 2 2 5" xfId="16699" xr:uid="{CEF93F96-3D33-496D-B14D-CF976BCB2A3D}"/>
    <cellStyle name="Migliaia 5 2 2 2 6" xfId="8745" xr:uid="{FC42CAC9-86CC-400B-B7F3-209B5D7A4D62}"/>
    <cellStyle name="Migliaia 5 2 2 3" xfId="6716" xr:uid="{7DAE6998-7C0B-408C-B682-F2CF68CF32F2}"/>
    <cellStyle name="Migliaia 5 2 2 3 2" xfId="35431" xr:uid="{ED75E14E-7248-4CB7-8E7F-6BDCE31E2668}"/>
    <cellStyle name="Migliaia 5 2 2 3 2 2" xfId="40591" xr:uid="{5F5A3940-70A7-4861-853E-648B149626B3}"/>
    <cellStyle name="Migliaia 5 2 2 3 2 3" xfId="45893" xr:uid="{59534CE2-3C96-43D4-8320-DBF6B0E823E7}"/>
    <cellStyle name="Migliaia 5 2 2 3 3" xfId="37940" xr:uid="{8923F737-E6AC-4049-9C1D-82E00EF31FE2}"/>
    <cellStyle name="Migliaia 5 2 2 3 4" xfId="43242" xr:uid="{2866AF06-7AB2-476A-BC14-E096B2B1E9EA}"/>
    <cellStyle name="Migliaia 5 2 2 3 5" xfId="11634" xr:uid="{71E3D1B2-BB78-44EE-AFF6-D562785B5BC7}"/>
    <cellStyle name="Migliaia 5 2 2 4" xfId="3810" xr:uid="{6FDE6C22-9DCC-432E-A8A6-DC85EF377E28}"/>
    <cellStyle name="Migliaia 5 2 2 4 2" xfId="21588" xr:uid="{0AB4F50C-06E4-490E-9412-BF935112CFA9}"/>
    <cellStyle name="Migliaia 5 2 2 4 3" xfId="47422" xr:uid="{F6BB5EEE-E539-4D38-8373-9D0141D08695}"/>
    <cellStyle name="Migliaia 5 2 2 4 4" xfId="50603" xr:uid="{153F8CC1-39AF-4D1D-8BB2-5B0D19EBCD4E}"/>
    <cellStyle name="Migliaia 5 2 2 4 5" xfId="53619" xr:uid="{F6E7133C-C904-453B-8552-0293F9844907}"/>
    <cellStyle name="Migliaia 5 2 2 4 6" xfId="10953" xr:uid="{2F7D58F3-7341-4515-AB2E-DCA68DEB3B34}"/>
    <cellStyle name="Migliaia 5 2 2 5" xfId="20833" xr:uid="{46557730-3EE5-40A8-85C0-8B54F0D746B7}"/>
    <cellStyle name="Migliaia 5 2 2 6" xfId="25224" xr:uid="{E068FBBE-9AA1-41CC-AFB4-4B094B212555}"/>
    <cellStyle name="Migliaia 5 2 2 7" xfId="7555" xr:uid="{70C9B004-795A-4980-9AD4-D9B97FA4C2F2}"/>
    <cellStyle name="Migliaia 5 2 3" xfId="3811" xr:uid="{43E0B9DF-A9D3-4004-9992-B3196A6235F3}"/>
    <cellStyle name="Migliaia 5 2 3 2" xfId="5537" xr:uid="{B8164968-F388-4E2C-9992-F9D8CA4716A1}"/>
    <cellStyle name="Migliaia 5 2 3 2 2" xfId="35432" xr:uid="{D9113759-6BA7-44D5-8D6F-DB343413B588}"/>
    <cellStyle name="Migliaia 5 2 3 2 2 2" xfId="40592" xr:uid="{5A74B0B1-75E6-4C21-B195-5A82C9E04D73}"/>
    <cellStyle name="Migliaia 5 2 3 2 2 3" xfId="45894" xr:uid="{397006BF-3395-41B3-9D12-BCAB2D5C1A1D}"/>
    <cellStyle name="Migliaia 5 2 3 2 3" xfId="37941" xr:uid="{879C7591-E9EB-48F2-ADDE-850D16858541}"/>
    <cellStyle name="Migliaia 5 2 3 2 4" xfId="43243" xr:uid="{8EE4DB11-3B91-43D0-AC27-A24B2DD05AE4}"/>
    <cellStyle name="Migliaia 5 2 3 2 5" xfId="14312" xr:uid="{84A7E241-18E2-431B-93FF-768F113BDA39}"/>
    <cellStyle name="Migliaia 5 2 3 3" xfId="6717" xr:uid="{477FA175-A307-4D31-A839-E2818BBCD462}"/>
    <cellStyle name="Migliaia 5 2 3 3 2" xfId="39971" xr:uid="{CED6FCBA-870C-40DE-98AC-98204DFE22FC}"/>
    <cellStyle name="Migliaia 5 2 3 3 3" xfId="45273" xr:uid="{1A0BA50C-FD08-49D2-AA6F-64F36828A922}"/>
    <cellStyle name="Migliaia 5 2 3 3 4" xfId="34375" xr:uid="{5F88D68D-302C-4102-8F9B-0884E6B06C1C}"/>
    <cellStyle name="Migliaia 5 2 3 3 5" xfId="20835" xr:uid="{DC4A81C7-AF12-426D-A1E5-96A2C4335761}"/>
    <cellStyle name="Migliaia 5 2 3 4" xfId="37344" xr:uid="{CCF0DCA3-EC86-4A61-91F2-9DE1ADA9A723}"/>
    <cellStyle name="Migliaia 5 2 3 5" xfId="42622" xr:uid="{38798073-4355-4D6D-B4EA-3685BF98642E}"/>
    <cellStyle name="Migliaia 5 2 3 6" xfId="16700" xr:uid="{886A7120-99A6-4226-89C7-462D9FC48CF9}"/>
    <cellStyle name="Migliaia 5 2 3 7" xfId="8374" xr:uid="{DEB4A818-CAE0-4E06-8DF5-4CF63BAE9473}"/>
    <cellStyle name="Migliaia 5 2 4" xfId="5535" xr:uid="{13C3A97E-146A-4D56-8169-AA12BA64623E}"/>
    <cellStyle name="Migliaia 5 2 4 2" xfId="14017" xr:uid="{4D576873-E408-464B-B70B-5B8EA932BFA2}"/>
    <cellStyle name="Migliaia 5 2 4 2 2" xfId="39972" xr:uid="{388054B0-94C5-4816-B568-B24C6F937A37}"/>
    <cellStyle name="Migliaia 5 2 4 2 3" xfId="45274" xr:uid="{EB2E59FC-2D0F-40FE-A842-6731DF727F27}"/>
    <cellStyle name="Migliaia 5 2 4 3" xfId="18694" xr:uid="{3684B295-F1C2-4FA6-AAB4-53E8DC52E348}"/>
    <cellStyle name="Migliaia 5 2 4 4" xfId="20836" xr:uid="{116E082C-CDCF-4645-8BA5-42ADC1016748}"/>
    <cellStyle name="Migliaia 5 2 4 4 2" xfId="42623" xr:uid="{207BAA72-77D9-4201-86B6-44D049DCD82A}"/>
    <cellStyle name="Migliaia 5 2 4 5" xfId="16701" xr:uid="{C99CC78C-BA4E-439C-99D9-EAEDD0608C60}"/>
    <cellStyle name="Migliaia 5 2 4 6" xfId="7999" xr:uid="{349C2A82-5950-4D81-BFA9-818C850E92A0}"/>
    <cellStyle name="Migliaia 5 2 5" xfId="6715" xr:uid="{42BA3A54-2731-47E2-A3E6-AA8C47E35474}"/>
    <cellStyle name="Migliaia 5 2 5 2" xfId="34376" xr:uid="{7BD49FB9-E01A-4582-BEB2-33B41C4F1F90}"/>
    <cellStyle name="Migliaia 5 2 5 2 2" xfId="39973" xr:uid="{89735AB6-6151-4EDF-B70B-88158D6C8FA1}"/>
    <cellStyle name="Migliaia 5 2 5 2 3" xfId="45275" xr:uid="{097FA977-3F0A-4341-8DFD-2E2BC35CAFC1}"/>
    <cellStyle name="Migliaia 5 2 5 3" xfId="37345" xr:uid="{F319D1A6-896C-4506-810D-86E496F5B0D0}"/>
    <cellStyle name="Migliaia 5 2 5 4" xfId="42624" xr:uid="{B8B6243A-361F-430B-A4C6-F8182F6E398C}"/>
    <cellStyle name="Migliaia 5 2 5 5" xfId="13147" xr:uid="{54EFDD34-4FFB-4DE7-B357-90BD383061BE}"/>
    <cellStyle name="Migliaia 5 2 6" xfId="3809" xr:uid="{FB04150B-0427-440A-9E74-3ADCAA9301F2}"/>
    <cellStyle name="Migliaia 5 2 6 2" xfId="34377" xr:uid="{1615F987-28E4-460B-9F26-CD7F991B878E}"/>
    <cellStyle name="Migliaia 5 2 6 2 2" xfId="39974" xr:uid="{8B5D6C45-FC73-4A20-A709-9D2CB1EFEB14}"/>
    <cellStyle name="Migliaia 5 2 6 2 3" xfId="45276" xr:uid="{7F1B6CF0-DFD4-40CB-BB5C-CDD94A0E5D22}"/>
    <cellStyle name="Migliaia 5 2 6 3" xfId="37346" xr:uid="{02448FD7-3D59-416F-8D94-231754969DEB}"/>
    <cellStyle name="Migliaia 5 2 6 4" xfId="42625" xr:uid="{98F6EC0A-E7AA-452F-8163-E64565BEA9D0}"/>
    <cellStyle name="Migliaia 5 2 6 5" xfId="25225" xr:uid="{81F8F3B2-3EC3-4767-B4A5-993243A41884}"/>
    <cellStyle name="Migliaia 5 2 6 6" xfId="20832" xr:uid="{A0E492A2-6BF3-435F-AC60-B1123249B2AB}"/>
    <cellStyle name="Migliaia 5 2 7" xfId="25223" xr:uid="{E8D4D1F6-A9C1-4471-9905-B664E9A89C80}"/>
    <cellStyle name="Migliaia 5 2 8" xfId="7175" xr:uid="{B4A8F99C-1D21-4C23-8001-FBB2F25ED3FF}"/>
    <cellStyle name="Migliaia 5 3" xfId="479" xr:uid="{00000000-0005-0000-0000-00004E040000}"/>
    <cellStyle name="Migliaia 5 3 10" xfId="25226" xr:uid="{AFDD52B9-1282-4A50-BBF4-2221FCB95ECF}"/>
    <cellStyle name="Migliaia 5 3 11" xfId="16702" xr:uid="{07E78668-7CF0-433B-B5DE-7693E04DED91}"/>
    <cellStyle name="Migliaia 5 3 12" xfId="7176" xr:uid="{0DC1A3DF-75C0-4B62-BF61-BDBD1319D113}"/>
    <cellStyle name="Migliaia 5 3 2" xfId="480" xr:uid="{00000000-0005-0000-0000-00004F040000}"/>
    <cellStyle name="Migliaia 5 3 2 2" xfId="1877" xr:uid="{00000000-0005-0000-0000-000050040000}"/>
    <cellStyle name="Migliaia 5 3 2 2 2" xfId="5540" xr:uid="{E18F2D7E-A3AB-4817-9DDE-AB43A7E66C96}"/>
    <cellStyle name="Migliaia 5 3 2 2 2 2" xfId="18495" xr:uid="{2C6E57C5-EA6F-4021-AE43-A10885EE89DA}"/>
    <cellStyle name="Migliaia 5 3 2 2 2 2 2" xfId="21885" xr:uid="{8D0FD38C-21BE-4139-829F-1409C8E18014}"/>
    <cellStyle name="Migliaia 5 3 2 2 2 2 2 2" xfId="39975" xr:uid="{FA226767-3C7E-4076-882C-F706CDA95312}"/>
    <cellStyle name="Migliaia 5 3 2 2 2 2 3" xfId="45277" xr:uid="{DB17B2DF-F37E-43F5-AC89-633379F9020D}"/>
    <cellStyle name="Migliaia 5 3 2 2 2 2 4" xfId="34378" xr:uid="{A097FB4C-3E60-49AD-A0AC-E32B74522D2F}"/>
    <cellStyle name="Migliaia 5 3 2 2 2 3" xfId="37347" xr:uid="{DC20CB6B-12DC-45CF-893F-F1F8737D351D}"/>
    <cellStyle name="Migliaia 5 3 2 2 2 4" xfId="42626" xr:uid="{CD0BF98E-DA0E-43E9-A4F9-BCD7384AD12E}"/>
    <cellStyle name="Migliaia 5 3 2 2 2 5" xfId="37176" xr:uid="{AA939278-141F-497A-994C-95C522A2FC51}"/>
    <cellStyle name="Migliaia 5 3 2 2 2 6" xfId="50913" xr:uid="{FE55B360-4EE2-4DD6-B262-47D56156D8EE}"/>
    <cellStyle name="Migliaia 5 3 2 2 2 7" xfId="53929" xr:uid="{BA541F78-2E44-45C8-9368-C793BCC2B331}"/>
    <cellStyle name="Migliaia 5 3 2 2 2 8" xfId="17683" xr:uid="{C1717170-6254-4953-84AB-EB554EC5AE81}"/>
    <cellStyle name="Migliaia 5 3 2 2 2 9" xfId="12063" xr:uid="{9F840DBA-42ED-48FF-954A-4AA683588B6F}"/>
    <cellStyle name="Migliaia 5 3 2 2 3" xfId="6720" xr:uid="{D644B5D6-12A5-499A-96C0-9609CECB7DFE}"/>
    <cellStyle name="Migliaia 5 3 2 2 3 2" xfId="11573" xr:uid="{28E90548-33FA-438F-A92D-16AFB3002093}"/>
    <cellStyle name="Migliaia 5 3 2 2 4" xfId="3814" xr:uid="{8674B428-DF2D-4E98-AB27-52A9F087ED95}"/>
    <cellStyle name="Migliaia 5 3 2 2 4 2" xfId="21589" xr:uid="{5B9C5761-F184-441C-825D-0675D0508D03}"/>
    <cellStyle name="Migliaia 5 3 2 2 4 3" xfId="37279" xr:uid="{FBB8C965-F23B-4315-958A-F7B68F79E837}"/>
    <cellStyle name="Migliaia 5 3 2 2 4 4" xfId="50604" xr:uid="{5EAE280C-E575-4A0F-A365-A0B34C4EE200}"/>
    <cellStyle name="Migliaia 5 3 2 2 4 5" xfId="53620" xr:uid="{A96247EB-6E5D-4BAF-B492-452DC341C3F1}"/>
    <cellStyle name="Migliaia 5 3 2 2 4 6" xfId="10954" xr:uid="{E22E41D2-C224-4066-AC34-772BCC2D0466}"/>
    <cellStyle name="Migliaia 5 3 2 2 5" xfId="20839" xr:uid="{E5FD0E3C-1FF9-4239-9CE2-647ED13A1AF9}"/>
    <cellStyle name="Migliaia 5 3 2 2 6" xfId="25228" xr:uid="{26CA53EC-FEFF-4B41-84D8-73AB0F682556}"/>
    <cellStyle name="Migliaia 5 3 2 2 7" xfId="8747" xr:uid="{766F9CD5-43B0-4839-90D8-4C246AF2259E}"/>
    <cellStyle name="Migliaia 5 3 2 3" xfId="5539" xr:uid="{E405FDFE-4BAD-4A22-B470-6A60EB205CA7}"/>
    <cellStyle name="Migliaia 5 3 2 3 2" xfId="11659" xr:uid="{C20B43D3-036E-42B2-830E-FA3C2217D35B}"/>
    <cellStyle name="Migliaia 5 3 2 3 2 2" xfId="39976" xr:uid="{A0A54590-D91A-4DE2-94C6-B493AA598CCC}"/>
    <cellStyle name="Migliaia 5 3 2 3 2 3" xfId="45278" xr:uid="{0BD3DF8D-CAC2-4046-8DE8-40F3EC113234}"/>
    <cellStyle name="Migliaia 5 3 2 3 2 4" xfId="34379" xr:uid="{D5074D0A-0D18-4DAD-9C78-CB1729D7C3EB}"/>
    <cellStyle name="Migliaia 5 3 2 3 3" xfId="12064" xr:uid="{E901DB05-7518-4930-8431-A946706F5C21}"/>
    <cellStyle name="Migliaia 5 3 2 3 4" xfId="20840" xr:uid="{236AEC3A-7ED0-4D0D-8BEF-AF9267FFE10F}"/>
    <cellStyle name="Migliaia 5 3 2 3 4 2" xfId="42627" xr:uid="{E4C6EC45-EA71-46A4-98BE-3E172E4B8CC2}"/>
    <cellStyle name="Migliaia 5 3 2 3 5" xfId="16703" xr:uid="{40B81D6E-F0C3-42F7-8BF5-6BDFDF3BC084}"/>
    <cellStyle name="Migliaia 5 3 2 3 6" xfId="8001" xr:uid="{E3DFFBE5-3996-46DD-8804-196A31FCA031}"/>
    <cellStyle name="Migliaia 5 3 2 4" xfId="6719" xr:uid="{6F839173-E108-484A-B421-E1833EBC154B}"/>
    <cellStyle name="Migliaia 5 3 2 4 2" xfId="18101" xr:uid="{6BB4160A-2259-4C5B-8D7F-41D9C7C8F302}"/>
    <cellStyle name="Migliaia 5 3 2 4 2 2" xfId="39977" xr:uid="{D35ABC43-D0C6-4AAF-9EF3-4CFA7B949B48}"/>
    <cellStyle name="Migliaia 5 3 2 4 2 3" xfId="45279" xr:uid="{BEE65CB1-61F6-4AE3-B84A-C2D2EB97103A}"/>
    <cellStyle name="Migliaia 5 3 2 4 3" xfId="37348" xr:uid="{5D1F0EA9-F26D-4F74-A58A-971DB4156890}"/>
    <cellStyle name="Migliaia 5 3 2 4 4" xfId="42628" xr:uid="{B3733FE5-9A9E-4873-9D0E-AB74C109672B}"/>
    <cellStyle name="Migliaia 5 3 2 4 5" xfId="17224" xr:uid="{B74EE711-0C86-4C13-8F9C-DD8AB7DA52CB}"/>
    <cellStyle name="Migliaia 5 3 2 4 6" xfId="11412" xr:uid="{76893237-5221-4CB1-97E5-A4A86EFEBB02}"/>
    <cellStyle name="Migliaia 5 3 2 5" xfId="3813" xr:uid="{FC0D35F5-FB78-4338-8C42-628CF3F20AB3}"/>
    <cellStyle name="Migliaia 5 3 2 5 2" xfId="34380" xr:uid="{645C5C25-0028-4FFE-948F-AF1254B1CC21}"/>
    <cellStyle name="Migliaia 5 3 2 5 2 2" xfId="39978" xr:uid="{4E1E3595-1F58-4998-8880-A1B39165050F}"/>
    <cellStyle name="Migliaia 5 3 2 5 2 3" xfId="45280" xr:uid="{A6C0AFD2-8FB8-4F96-BFFA-6A8EB8D0829B}"/>
    <cellStyle name="Migliaia 5 3 2 5 3" xfId="37349" xr:uid="{AA6B67EC-541D-41E7-AA27-C13995633ADD}"/>
    <cellStyle name="Migliaia 5 3 2 5 4" xfId="42629" xr:uid="{915A7D28-62ED-476C-A593-6C0A02F88E6D}"/>
    <cellStyle name="Migliaia 5 3 2 5 5" xfId="17294" xr:uid="{E266EEFA-9868-4C0C-AFC4-4736E58AD185}"/>
    <cellStyle name="Migliaia 5 3 2 6" xfId="20838" xr:uid="{4E612781-3151-4351-BD73-A119A77E79EA}"/>
    <cellStyle name="Migliaia 5 3 2 6 2" xfId="34381" xr:uid="{E6848BC5-3BB7-4356-A126-A793F03732E5}"/>
    <cellStyle name="Migliaia 5 3 2 6 2 2" xfId="39979" xr:uid="{EEFCF862-732E-4AD7-984E-44BEA92B2C50}"/>
    <cellStyle name="Migliaia 5 3 2 6 2 3" xfId="45281" xr:uid="{2C1725EB-B282-4947-A5E3-4C483E86FF7C}"/>
    <cellStyle name="Migliaia 5 3 2 6 3" xfId="37350" xr:uid="{A729CC55-41F2-4E22-B131-7E8343237E99}"/>
    <cellStyle name="Migliaia 5 3 2 6 4" xfId="42630" xr:uid="{829A85CC-1364-4B8A-9047-AEE11F52310D}"/>
    <cellStyle name="Migliaia 5 3 2 6 5" xfId="25229" xr:uid="{2A4A2867-C3F4-4465-8DD3-B60157A4325E}"/>
    <cellStyle name="Migliaia 5 3 2 7" xfId="25227" xr:uid="{F2005047-4DC0-45F8-9C65-EDEA5564D07C}"/>
    <cellStyle name="Migliaia 5 3 2 8" xfId="7557" xr:uid="{A970B618-52DF-4ABD-9D7B-9713D51323B1}"/>
    <cellStyle name="Migliaia 5 3 3" xfId="3815" xr:uid="{A9FDEA38-5F1E-48CB-8E30-67560893E707}"/>
    <cellStyle name="Migliaia 5 3 3 10" xfId="7556" xr:uid="{35C9B468-E6ED-4F34-B129-8A5A97BC0160}"/>
    <cellStyle name="Migliaia 5 3 3 2" xfId="5541" xr:uid="{8F0CE5DE-B6FF-4335-B0B8-66728B524739}"/>
    <cellStyle name="Migliaia 5 3 3 2 2" xfId="9970" xr:uid="{C763AF1A-3A99-4FA5-A700-0133BCE4FAEB}"/>
    <cellStyle name="Migliaia 5 3 3 2 2 2" xfId="39981" xr:uid="{10337CE8-63D4-4ACD-A9D3-5D8F62CC6D63}"/>
    <cellStyle name="Migliaia 5 3 3 2 2 3" xfId="45283" xr:uid="{DBF6AA5D-7054-4452-BC7D-9C1A52D4B485}"/>
    <cellStyle name="Migliaia 5 3 3 2 3" xfId="18250" xr:uid="{6011E2BB-6E28-4680-B133-DD378131F11E}"/>
    <cellStyle name="Migliaia 5 3 3 2 4" xfId="20842" xr:uid="{8EDE2DEA-F092-4D85-B7D2-3C7B9604E9DE}"/>
    <cellStyle name="Migliaia 5 3 3 2 4 2" xfId="42632" xr:uid="{1698D657-F994-4912-A637-BF604150CEFD}"/>
    <cellStyle name="Migliaia 5 3 3 2 5" xfId="16705" xr:uid="{35866AF7-686A-4E4A-AE6A-EC3594D15259}"/>
    <cellStyle name="Migliaia 5 3 3 2 6" xfId="8746" xr:uid="{A042BA7A-D873-4BEF-A336-A675E4391ABA}"/>
    <cellStyle name="Migliaia 5 3 3 3" xfId="6721" xr:uid="{6A95519A-173B-4A08-8225-AE2E136C0D06}"/>
    <cellStyle name="Migliaia 5 3 3 3 2" xfId="34383" xr:uid="{380A34E1-AD02-4248-B7C2-25B7A5275075}"/>
    <cellStyle name="Migliaia 5 3 3 3 2 2" xfId="39982" xr:uid="{1B899A12-5921-4B6E-AD72-BB337C779620}"/>
    <cellStyle name="Migliaia 5 3 3 3 2 3" xfId="45284" xr:uid="{A0079ADC-38A1-430C-BE57-4D838F5A1DE6}"/>
    <cellStyle name="Migliaia 5 3 3 3 3" xfId="37352" xr:uid="{1202E9F8-FFF8-40C4-97A3-AA5D490FC548}"/>
    <cellStyle name="Migliaia 5 3 3 3 4" xfId="42633" xr:uid="{40924B42-B8CF-424E-A4F5-6FC00ECD7C7E}"/>
    <cellStyle name="Migliaia 5 3 3 3 5" xfId="9733" xr:uid="{0055499E-7635-4A68-9EDB-7A5CC8880053}"/>
    <cellStyle name="Migliaia 5 3 3 4" xfId="20841" xr:uid="{E15FD984-2884-460A-8E1A-8C50909E3EAE}"/>
    <cellStyle name="Migliaia 5 3 3 4 2" xfId="34384" xr:uid="{DCA0A4B7-4BFB-41EC-B904-0931825EE319}"/>
    <cellStyle name="Migliaia 5 3 3 4 2 2" xfId="39983" xr:uid="{9DC7C347-13E8-407E-B3FD-6AC07C01B6D9}"/>
    <cellStyle name="Migliaia 5 3 3 4 2 3" xfId="45285" xr:uid="{7C5A9593-F8B2-450A-AE7B-81858C9005CB}"/>
    <cellStyle name="Migliaia 5 3 3 4 3" xfId="37353" xr:uid="{68F84BA1-C9A5-40C6-AE99-9049969C418C}"/>
    <cellStyle name="Migliaia 5 3 3 4 4" xfId="42634" xr:uid="{FE4C4054-E7F7-4466-97D4-127AAF2918F1}"/>
    <cellStyle name="Migliaia 5 3 3 4 5" xfId="25230" xr:uid="{11F0C8EE-A2B4-4503-86D1-EA4B865727C4}"/>
    <cellStyle name="Migliaia 5 3 3 5" xfId="25231" xr:uid="{2EF01E62-51D5-4D37-B529-D2CE3C05A540}"/>
    <cellStyle name="Migliaia 5 3 3 5 2" xfId="34385" xr:uid="{AD17F659-88AF-4807-95AF-7AF7D35230FA}"/>
    <cellStyle name="Migliaia 5 3 3 5 2 2" xfId="39984" xr:uid="{5DD769AD-1AF2-4815-9506-D501FC53DD35}"/>
    <cellStyle name="Migliaia 5 3 3 5 2 3" xfId="45286" xr:uid="{FF83A8A9-47AA-480B-961F-C3E119F77A18}"/>
    <cellStyle name="Migliaia 5 3 3 5 3" xfId="37354" xr:uid="{7C4B29C4-9B0A-4D19-808D-FA4BBB684ED6}"/>
    <cellStyle name="Migliaia 5 3 3 5 4" xfId="42635" xr:uid="{2B751C55-B07C-40AB-9182-06B0ECFE9EF4}"/>
    <cellStyle name="Migliaia 5 3 3 6" xfId="34382" xr:uid="{B968364D-572F-4A6A-9D88-984B1B9B53A9}"/>
    <cellStyle name="Migliaia 5 3 3 6 2" xfId="39980" xr:uid="{E8D453A7-57F6-4889-8B24-08EF77F36F37}"/>
    <cellStyle name="Migliaia 5 3 3 6 3" xfId="45282" xr:uid="{F6197027-5316-42C6-9122-FDFE410A5E10}"/>
    <cellStyle name="Migliaia 5 3 3 7" xfId="37351" xr:uid="{64833410-4957-476E-936E-E529AE8FD3DC}"/>
    <cellStyle name="Migliaia 5 3 3 8" xfId="42631" xr:uid="{801D8C58-F537-47D1-80C0-80029A85EBCB}"/>
    <cellStyle name="Migliaia 5 3 3 9" xfId="16704" xr:uid="{E3DE884D-AFA9-4DF3-9CF8-A60572FD1AEC}"/>
    <cellStyle name="Migliaia 5 3 4" xfId="3816" xr:uid="{93244E45-3500-4C7A-A1AA-A88B4B364CBB}"/>
    <cellStyle name="Migliaia 5 3 4 2" xfId="5542" xr:uid="{4554231B-24DA-42FA-9CE7-0BA3CE539CD8}"/>
    <cellStyle name="Migliaia 5 3 4 2 2" xfId="14467" xr:uid="{D3FB3AD3-7AC0-424A-9286-1FF360A6E695}"/>
    <cellStyle name="Migliaia 5 3 4 2 3" xfId="18578" xr:uid="{E912D3BB-54C5-4E31-B76F-FEC44E9E333B}"/>
    <cellStyle name="Migliaia 5 3 4 2 4" xfId="20844" xr:uid="{043DA093-2D35-42E7-BD82-CADEDDF6CF5E}"/>
    <cellStyle name="Migliaia 5 3 4 2 5" xfId="32453" xr:uid="{9EEED1F4-3105-4F34-8780-19AF91ADECD2}"/>
    <cellStyle name="Migliaia 5 3 4 2 6" xfId="16707" xr:uid="{83D21728-0AC6-4AF9-88E6-3A1853E4600B}"/>
    <cellStyle name="Migliaia 5 3 4 2 7" xfId="8890" xr:uid="{A8DBF91B-FFC0-478D-ABDF-E90AC23A4540}"/>
    <cellStyle name="Migliaia 5 3 4 3" xfId="6722" xr:uid="{A909F13F-5F56-46DF-9EE4-58FC9D6497AF}"/>
    <cellStyle name="Migliaia 5 3 4 3 2" xfId="35433" xr:uid="{D2002148-F157-4A03-8269-9816E64B4478}"/>
    <cellStyle name="Migliaia 5 3 4 3 2 2" xfId="40593" xr:uid="{32A8A377-2294-4E42-930F-407AFC842B85}"/>
    <cellStyle name="Migliaia 5 3 4 3 2 3" xfId="45895" xr:uid="{C7F60DC3-1C49-402B-B93B-CDE7E56F8278}"/>
    <cellStyle name="Migliaia 5 3 4 3 3" xfId="37942" xr:uid="{B3725BA8-682B-4B56-AA52-354A03B910C0}"/>
    <cellStyle name="Migliaia 5 3 4 3 4" xfId="43244" xr:uid="{D317B7F6-3ECD-482C-B024-86CEA1912DB7}"/>
    <cellStyle name="Migliaia 5 3 4 3 5" xfId="13715" xr:uid="{437C1773-3BC7-4BF0-ADA4-AB27BB9641ED}"/>
    <cellStyle name="Migliaia 5 3 4 4" xfId="20843" xr:uid="{AA9EDCB8-C0B7-46FD-8B30-D919B4F33EF0}"/>
    <cellStyle name="Migliaia 5 3 4 4 2" xfId="39985" xr:uid="{ED6BADD6-A72C-47B5-ABB6-7F52EF44D147}"/>
    <cellStyle name="Migliaia 5 3 4 4 3" xfId="45287" xr:uid="{D7DC664E-4D4D-4C53-BE78-D2E2058F0BC5}"/>
    <cellStyle name="Migliaia 5 3 4 4 4" xfId="34386" xr:uid="{D8C328CD-3143-46AE-8623-C9A559CC95A0}"/>
    <cellStyle name="Migliaia 5 3 4 5" xfId="37355" xr:uid="{C4A04745-8DFA-4BC2-837E-6DCCBFB227D8}"/>
    <cellStyle name="Migliaia 5 3 4 6" xfId="42636" xr:uid="{414455FC-3236-4795-84F0-05AE75B7F3E0}"/>
    <cellStyle name="Migliaia 5 3 4 7" xfId="16706" xr:uid="{F45A944F-1D3D-4F9B-BA06-71BD3AC753DD}"/>
    <cellStyle name="Migliaia 5 3 4 8" xfId="7700" xr:uid="{2A60E96F-82E5-4D4D-9CB3-E8EE7B3D91C1}"/>
    <cellStyle name="Migliaia 5 3 5" xfId="3817" xr:uid="{E1B9C5C9-706F-4AB4-93DD-6EBF8D7F9DBF}"/>
    <cellStyle name="Migliaia 5 3 5 2" xfId="5543" xr:uid="{8781A64A-5D57-48B3-8371-3A6873440D32}"/>
    <cellStyle name="Migliaia 5 3 5 2 2" xfId="35434" xr:uid="{9A0B664D-6AB2-415E-8D31-E01B223B9CD8}"/>
    <cellStyle name="Migliaia 5 3 5 2 2 2" xfId="40594" xr:uid="{867563CE-D6A1-40D7-ACE0-ABCEEBBC420E}"/>
    <cellStyle name="Migliaia 5 3 5 2 2 3" xfId="45896" xr:uid="{968B0DD7-F93D-4EAE-AE9F-ADB7FBC9B99B}"/>
    <cellStyle name="Migliaia 5 3 5 2 3" xfId="37943" xr:uid="{7B34CAF9-6792-44CE-BE5B-0F4334A16B85}"/>
    <cellStyle name="Migliaia 5 3 5 2 4" xfId="43245" xr:uid="{DF45E102-1577-420A-AA63-1572CEF2C929}"/>
    <cellStyle name="Migliaia 5 3 5 2 5" xfId="14313" xr:uid="{01219714-8FD0-4A7E-BFF8-8EA09E01EC0D}"/>
    <cellStyle name="Migliaia 5 3 5 3" xfId="6723" xr:uid="{C78D0715-5A68-4C8E-98F0-10A95C27698E}"/>
    <cellStyle name="Migliaia 5 3 5 3 2" xfId="39986" xr:uid="{85721612-344E-4741-9842-6C486268AB25}"/>
    <cellStyle name="Migliaia 5 3 5 3 3" xfId="45288" xr:uid="{4743FB08-313F-4BB2-91DC-7EF295812E98}"/>
    <cellStyle name="Migliaia 5 3 5 3 4" xfId="34387" xr:uid="{1379D653-B1B3-4ACF-9F5D-FF8AC9253026}"/>
    <cellStyle name="Migliaia 5 3 5 3 5" xfId="20845" xr:uid="{BD537CF5-5D9D-4D22-BA27-C4CCCAFA8ACE}"/>
    <cellStyle name="Migliaia 5 3 5 4" xfId="37356" xr:uid="{86C36E48-33D1-4533-BAF4-CCA0F33BFF9B}"/>
    <cellStyle name="Migliaia 5 3 5 5" xfId="42637" xr:uid="{D51A9E7C-EFCD-4DEA-AE3D-9BB44BC4F626}"/>
    <cellStyle name="Migliaia 5 3 5 6" xfId="16708" xr:uid="{BE2F908F-10F1-458F-A4CE-9EEFA0C79316}"/>
    <cellStyle name="Migliaia 5 3 5 7" xfId="8375" xr:uid="{899F3870-9944-4651-8312-B3806558CFB1}"/>
    <cellStyle name="Migliaia 5 3 6" xfId="5538" xr:uid="{702EAA1D-238A-4614-8CDF-00AFA46C4C2E}"/>
    <cellStyle name="Migliaia 5 3 6 2" xfId="14018" xr:uid="{3FBD0180-4633-488D-8896-2919E82DA646}"/>
    <cellStyle name="Migliaia 5 3 6 2 2" xfId="39987" xr:uid="{34E649B3-80EF-4DB1-9571-184C91E75F85}"/>
    <cellStyle name="Migliaia 5 3 6 2 3" xfId="45289" xr:uid="{EEFD76F9-E741-4925-AD03-5CFCD2349D79}"/>
    <cellStyle name="Migliaia 5 3 6 3" xfId="18693" xr:uid="{09E92D59-17CC-437C-A0D9-C13DD4006C5E}"/>
    <cellStyle name="Migliaia 5 3 6 4" xfId="20846" xr:uid="{121EDB3E-F92B-4A4F-82BC-FDCBCD9DC946}"/>
    <cellStyle name="Migliaia 5 3 6 4 2" xfId="42638" xr:uid="{A3DE28F3-D213-47A6-B2A8-8308427B88BA}"/>
    <cellStyle name="Migliaia 5 3 6 5" xfId="16709" xr:uid="{54B94E31-6852-4F68-9134-721B941464E3}"/>
    <cellStyle name="Migliaia 5 3 6 6" xfId="8000" xr:uid="{47BC419A-391F-417E-AC51-CBAB1232C07D}"/>
    <cellStyle name="Migliaia 5 3 7" xfId="6718" xr:uid="{7504247B-5B92-4CCB-AE5E-075C4006CEDE}"/>
    <cellStyle name="Migliaia 5 3 7 2" xfId="34388" xr:uid="{11E470B6-87AD-42D8-A3FE-03BC5E65F590}"/>
    <cellStyle name="Migliaia 5 3 7 2 2" xfId="39988" xr:uid="{4695E8D0-76A3-4FD7-970F-F088FAD80CFF}"/>
    <cellStyle name="Migliaia 5 3 7 2 3" xfId="45290" xr:uid="{D082A99D-C64D-4080-BA5D-B55470BCF423}"/>
    <cellStyle name="Migliaia 5 3 7 3" xfId="37357" xr:uid="{1DD1373E-2C0C-47E7-BB56-795A91FB2CE8}"/>
    <cellStyle name="Migliaia 5 3 7 4" xfId="42639" xr:uid="{11C4A42D-83AD-4C15-9B45-4185FA3568D9}"/>
    <cellStyle name="Migliaia 5 3 7 5" xfId="12249" xr:uid="{A8EDA127-8CA2-434D-9087-BFF7AF8F9353}"/>
    <cellStyle name="Migliaia 5 3 8" xfId="3812" xr:uid="{023F59AE-9885-4B4C-9EFD-1579A61659BF}"/>
    <cellStyle name="Migliaia 5 3 8 2" xfId="34389" xr:uid="{4AD50FE4-ED5A-46C3-B810-C9B3832ACBAB}"/>
    <cellStyle name="Migliaia 5 3 8 2 2" xfId="39989" xr:uid="{335B1855-99AF-40E1-A301-097ED62C104C}"/>
    <cellStyle name="Migliaia 5 3 8 2 3" xfId="45291" xr:uid="{E58316D1-D936-4B2F-92F8-C34D73A14B20}"/>
    <cellStyle name="Migliaia 5 3 8 3" xfId="37358" xr:uid="{CCF79119-3237-4F80-B480-D6C501C3C54A}"/>
    <cellStyle name="Migliaia 5 3 8 4" xfId="42640" xr:uid="{F890EA81-BD02-4126-8660-CCE493D89064}"/>
    <cellStyle name="Migliaia 5 3 8 5" xfId="25232" xr:uid="{E6902332-AC9E-4B7F-9809-CD3D32CC20DE}"/>
    <cellStyle name="Migliaia 5 3 8 6" xfId="17295" xr:uid="{7DD6E700-AA44-47B9-B625-D1A30133A946}"/>
    <cellStyle name="Migliaia 5 3 9" xfId="20837" xr:uid="{56651DDE-B982-42A0-B50C-888E8B4C99C0}"/>
    <cellStyle name="Migliaia 5 4" xfId="1878" xr:uid="{00000000-0005-0000-0000-000051040000}"/>
    <cellStyle name="Migliaia 5 4 2" xfId="1879" xr:uid="{00000000-0005-0000-0000-000052040000}"/>
    <cellStyle name="Migliaia 5 4 2 2" xfId="5545" xr:uid="{0167749C-44DC-4E9D-A530-BD9B865A70E1}"/>
    <cellStyle name="Migliaia 5 4 2 2 2" xfId="34390" xr:uid="{4D302760-FAFF-4975-A015-F8D4055AFAC8}"/>
    <cellStyle name="Migliaia 5 4 2 2 2 2" xfId="39990" xr:uid="{73ACB4F5-1D02-4714-B15C-76DDF157F83B}"/>
    <cellStyle name="Migliaia 5 4 2 2 2 3" xfId="45292" xr:uid="{A20D45B2-FFBE-449D-AEAC-635782A144D0}"/>
    <cellStyle name="Migliaia 5 4 2 2 3" xfId="37359" xr:uid="{98861604-BEB3-4FEA-80E1-9583264BA7D6}"/>
    <cellStyle name="Migliaia 5 4 2 2 4" xfId="42641" xr:uid="{6D5D52FA-2B06-4846-977D-7C8DC029A18C}"/>
    <cellStyle name="Migliaia 5 4 2 2 5" xfId="9196" xr:uid="{E03837E7-87C5-48D2-BC18-79174DE5280F}"/>
    <cellStyle name="Migliaia 5 4 2 3" xfId="3819" xr:uid="{2055642A-EE01-41F6-9ACF-9B57EA4C314C}"/>
    <cellStyle name="Migliaia 5 4 2 3 2" xfId="34391" xr:uid="{CB05F654-947C-4607-9412-B11B0E8B1AB2}"/>
    <cellStyle name="Migliaia 5 4 2 3 2 2" xfId="39991" xr:uid="{AED8BF23-23FC-4DCF-A813-BF632186213C}"/>
    <cellStyle name="Migliaia 5 4 2 3 2 3" xfId="45293" xr:uid="{66D2348D-42BC-436F-B4F5-4D7E22DC2FC4}"/>
    <cellStyle name="Migliaia 5 4 2 3 3" xfId="37360" xr:uid="{E853A31F-8D5A-4569-91A8-BF7481B59E60}"/>
    <cellStyle name="Migliaia 5 4 2 3 4" xfId="42642" xr:uid="{81CC9E79-B683-47F6-870F-DCB4B3E46CB8}"/>
    <cellStyle name="Migliaia 5 4 2 3 5" xfId="12065" xr:uid="{864F6DF3-D955-42E9-9850-B49DBAF53682}"/>
    <cellStyle name="Migliaia 5 4 2 4" xfId="11414" xr:uid="{97DA3E19-551F-4A1C-9171-203C1E0789DF}"/>
    <cellStyle name="Migliaia 5 4 2 5" xfId="10956" xr:uid="{CDDA48D2-6472-42F8-B096-3E8CBCC7875D}"/>
    <cellStyle name="Migliaia 5 4 2 5 2" xfId="21591" xr:uid="{101BA41A-6A52-48BE-A6BD-6CB3EA228F31}"/>
    <cellStyle name="Migliaia 5 4 2 5 3" xfId="46705" xr:uid="{B0F5DDD7-7C38-46A0-9A14-81DB0E3B865B}"/>
    <cellStyle name="Migliaia 5 4 2 5 4" xfId="50606" xr:uid="{259D383B-F8D2-477D-BCA3-27A51D360C40}"/>
    <cellStyle name="Migliaia 5 4 2 5 5" xfId="53622" xr:uid="{3B7A5051-1C5F-4277-A663-039CB56CBD42}"/>
    <cellStyle name="Migliaia 5 4 2 6" xfId="20848" xr:uid="{CB1749F2-EDAF-44D2-B005-00BEBF0E29E8}"/>
    <cellStyle name="Migliaia 5 4 2 7" xfId="25234" xr:uid="{192B4A80-B1D1-45B9-AF84-C6E3BF99B53C}"/>
    <cellStyle name="Migliaia 5 4 2 8" xfId="8748" xr:uid="{415E45E2-1779-48E5-A6AC-BCE1A9163AA0}"/>
    <cellStyle name="Migliaia 5 4 3" xfId="5544" xr:uid="{28873FEF-A138-476C-8494-7DB887C20B08}"/>
    <cellStyle name="Migliaia 5 4 3 2" xfId="18251" xr:uid="{040DFB7A-A652-4E5A-BAB1-881B48515041}"/>
    <cellStyle name="Migliaia 5 4 3 2 2" xfId="39992" xr:uid="{CBE34F32-3406-4D99-91B7-1A29C34ACFD4}"/>
    <cellStyle name="Migliaia 5 4 3 2 3" xfId="45294" xr:uid="{CFB8CD0B-2A26-48AB-8D1F-44BA13EFED68}"/>
    <cellStyle name="Migliaia 5 4 3 3" xfId="37361" xr:uid="{1EAD98AF-55A6-4189-BC34-5CC3819261C8}"/>
    <cellStyle name="Migliaia 5 4 3 4" xfId="42643" xr:uid="{84FAC2D1-08BD-4EF2-8954-B9DBECF15423}"/>
    <cellStyle name="Migliaia 5 4 3 5" xfId="17293" xr:uid="{7AF3824B-F760-4877-A00F-E0F91D91A531}"/>
    <cellStyle name="Migliaia 5 4 3 6" xfId="9197" xr:uid="{511EC98D-B990-48D2-938D-A5475237BEE7}"/>
    <cellStyle name="Migliaia 5 4 4" xfId="6724" xr:uid="{0530E6AF-86F4-4AB3-ADE1-8ABC895C8FE0}"/>
    <cellStyle name="Migliaia 5 4 4 2" xfId="34392" xr:uid="{B8B70A72-E42D-4D46-B47D-AE8BA0FF2CA8}"/>
    <cellStyle name="Migliaia 5 4 4 2 2" xfId="39993" xr:uid="{3CCF1475-8427-4D6F-A658-01A14B385CB5}"/>
    <cellStyle name="Migliaia 5 4 4 2 3" xfId="45295" xr:uid="{479E1E45-DBC3-423A-8461-B7FE84EC3DBE}"/>
    <cellStyle name="Migliaia 5 4 4 3" xfId="37362" xr:uid="{516F19B9-AF0C-4C02-B423-E1C11BCF3FAE}"/>
    <cellStyle name="Migliaia 5 4 4 4" xfId="42644" xr:uid="{B6B88C94-508B-4F55-8E0D-6C5E02484426}"/>
    <cellStyle name="Migliaia 5 4 4 5" xfId="12066" xr:uid="{C9C389FE-AB70-4624-9947-98159CFE757C}"/>
    <cellStyle name="Migliaia 5 4 5" xfId="3818" xr:uid="{DE259583-13F6-4785-B48D-3749074649A2}"/>
    <cellStyle name="Migliaia 5 4 5 2" xfId="34393" xr:uid="{B37F7491-3643-4B88-B4EA-DDE6880545A1}"/>
    <cellStyle name="Migliaia 5 4 5 2 2" xfId="39994" xr:uid="{69B88B55-D856-42DB-979A-BE382312031F}"/>
    <cellStyle name="Migliaia 5 4 5 2 3" xfId="45296" xr:uid="{C9D7E25B-2E3E-44D2-8F9A-1356C7F6AAC2}"/>
    <cellStyle name="Migliaia 5 4 5 3" xfId="37363" xr:uid="{C6E72AB7-3AD6-42B9-82BF-CB2634F7D8A7}"/>
    <cellStyle name="Migliaia 5 4 5 4" xfId="42645" xr:uid="{59492B96-DBAA-4776-A429-2D07D4160274}"/>
    <cellStyle name="Migliaia 5 4 5 5" xfId="11413" xr:uid="{D98686CD-B6B3-4F07-92D1-E57798FEF481}"/>
    <cellStyle name="Migliaia 5 4 6" xfId="10955" xr:uid="{5CEC437A-4D0E-4CC2-BAAE-A17F4B37CE77}"/>
    <cellStyle name="Migliaia 5 4 6 2" xfId="21590" xr:uid="{9FB3D63B-626E-487C-B309-EDA766E52E97}"/>
    <cellStyle name="Migliaia 5 4 6 2 2" xfId="39995" xr:uid="{45DE9CD7-26E3-49B9-B6F6-5CC430D7DB8A}"/>
    <cellStyle name="Migliaia 5 4 6 2 3" xfId="45297" xr:uid="{3DCABF03-E813-4461-983E-7CAB4203B59D}"/>
    <cellStyle name="Migliaia 5 4 6 2 4" xfId="34394" xr:uid="{3ED083B2-B7F0-45C3-9523-26D9FF818969}"/>
    <cellStyle name="Migliaia 5 4 6 3" xfId="37364" xr:uid="{5DDD3DA0-0F8D-43AC-A633-7E55D1036086}"/>
    <cellStyle name="Migliaia 5 4 6 4" xfId="42646" xr:uid="{E60B1573-BA96-429D-BDEC-F2B24EC012FB}"/>
    <cellStyle name="Migliaia 5 4 6 5" xfId="25235" xr:uid="{FB428DBF-AF6B-4170-AA24-AD88BF27E55B}"/>
    <cellStyle name="Migliaia 5 4 6 6" xfId="32341" xr:uid="{2D7A637A-5137-48AA-8F76-76546A14EC87}"/>
    <cellStyle name="Migliaia 5 4 6 7" xfId="50605" xr:uid="{2331F716-C5FE-4B94-A7B9-BB7624BD7385}"/>
    <cellStyle name="Migliaia 5 4 6 8" xfId="53621" xr:uid="{F9186532-A44D-4461-B71A-E5D9F6C07FCA}"/>
    <cellStyle name="Migliaia 5 4 7" xfId="20847" xr:uid="{C90433A2-AD75-43C1-9DFC-6DE0280CC508}"/>
    <cellStyle name="Migliaia 5 4 7 2" xfId="34395" xr:uid="{399B778F-673A-4A62-BAB9-6A1DA02F3EC7}"/>
    <cellStyle name="Migliaia 5 4 7 2 2" xfId="39996" xr:uid="{6F823FB7-9BFF-45C7-B99B-CFF611AC5C7A}"/>
    <cellStyle name="Migliaia 5 4 7 2 3" xfId="45298" xr:uid="{438486FA-B574-43AA-9165-C9E79CAE8A37}"/>
    <cellStyle name="Migliaia 5 4 7 3" xfId="37365" xr:uid="{3A2A5118-D885-4AD0-B542-E49FB7EE2C3C}"/>
    <cellStyle name="Migliaia 5 4 7 4" xfId="42647" xr:uid="{E2064950-280A-43D3-899A-CD1A1DCACA0B}"/>
    <cellStyle name="Migliaia 5 4 7 5" xfId="25236" xr:uid="{34B8FEB9-71C7-4697-AB8D-3AFFBC02AA04}"/>
    <cellStyle name="Migliaia 5 4 8" xfId="25233" xr:uid="{D140ED66-ED85-4FA9-B3B8-2C505A38B038}"/>
    <cellStyle name="Migliaia 5 4 9" xfId="7558" xr:uid="{02627831-237D-4427-B0E9-353A77BFE80C}"/>
    <cellStyle name="Migliaia 5 5" xfId="1880" xr:uid="{00000000-0005-0000-0000-000053040000}"/>
    <cellStyle name="Migliaia 5 5 2" xfId="5546" xr:uid="{A3C92435-0753-4229-86D3-D003802E8B94}"/>
    <cellStyle name="Migliaia 5 5 2 2" xfId="18496" xr:uid="{7DC56B8E-1375-4107-AB26-AA95686C4E9C}"/>
    <cellStyle name="Migliaia 5 5 2 2 2" xfId="39997" xr:uid="{40DB36E5-59CB-481C-80BC-29A34A8CDD79}"/>
    <cellStyle name="Migliaia 5 5 2 2 3" xfId="45299" xr:uid="{887290FC-D176-4475-8898-66D6CE70DD98}"/>
    <cellStyle name="Migliaia 5 5 2 3" xfId="20850" xr:uid="{C7BE6731-3A2E-48A0-A2CE-715DFF59FB54}"/>
    <cellStyle name="Migliaia 5 5 2 3 2" xfId="37366" xr:uid="{58C49BFB-1916-427C-B1D2-8B74C54881A6}"/>
    <cellStyle name="Migliaia 5 5 2 4" xfId="42648" xr:uid="{2CEEC880-595A-446B-AE64-003FDF103D0F}"/>
    <cellStyle name="Migliaia 5 5 2 5" xfId="16710" xr:uid="{3F2F71AF-D59C-4264-BE8E-0A1429AF50B7}"/>
    <cellStyle name="Migliaia 5 5 2 6" xfId="8749" xr:uid="{21E394A2-28B8-4537-BB17-D35CFDCA8030}"/>
    <cellStyle name="Migliaia 5 5 3" xfId="6725" xr:uid="{73ED6986-017D-4A07-9812-B2DBF10FE10F}"/>
    <cellStyle name="Migliaia 5 5 3 2" xfId="34396" xr:uid="{D9D9C407-7291-4655-ABE1-FC2D2AC3A6C0}"/>
    <cellStyle name="Migliaia 5 5 3 2 2" xfId="39998" xr:uid="{625358CA-DCA0-4A25-8548-ACE6C4D6DF34}"/>
    <cellStyle name="Migliaia 5 5 3 2 3" xfId="45300" xr:uid="{2A888EFC-7A14-4555-BAF0-222CC6C89F2B}"/>
    <cellStyle name="Migliaia 5 5 3 3" xfId="37367" xr:uid="{16370075-90DB-4DE7-BA5D-3DEEDDF04984}"/>
    <cellStyle name="Migliaia 5 5 3 4" xfId="42649" xr:uid="{DC06D464-1485-45EA-B5BC-ABAE3784D97E}"/>
    <cellStyle name="Migliaia 5 5 3 5" xfId="11415" xr:uid="{84CF682F-5905-4C00-97E1-D29E04278DE8}"/>
    <cellStyle name="Migliaia 5 5 4" xfId="3820" xr:uid="{AD3C3143-4292-4071-8393-832E4CA01768}"/>
    <cellStyle name="Migliaia 5 5 4 2" xfId="21592" xr:uid="{80F2279E-38AC-47B5-B930-7780C3749E73}"/>
    <cellStyle name="Migliaia 5 5 4 2 2" xfId="39999" xr:uid="{DFEFE25E-FEF3-4159-8744-E60C5545B472}"/>
    <cellStyle name="Migliaia 5 5 4 2 3" xfId="45301" xr:uid="{6D66741F-4578-4E6C-B321-94D5B55F2D86}"/>
    <cellStyle name="Migliaia 5 5 4 2 4" xfId="34397" xr:uid="{8084E36D-EF1C-461E-8A78-2700AED9B154}"/>
    <cellStyle name="Migliaia 5 5 4 3" xfId="37368" xr:uid="{6F6F64D1-7F27-44E8-9E7C-7253FF5130D7}"/>
    <cellStyle name="Migliaia 5 5 4 4" xfId="42650" xr:uid="{17A66FB8-588B-4EA2-B87F-5E2910787F84}"/>
    <cellStyle name="Migliaia 5 5 4 5" xfId="25238" xr:uid="{12FB3F15-9601-4A27-BCFE-08B70BDFB7BE}"/>
    <cellStyle name="Migliaia 5 5 4 6" xfId="24720" xr:uid="{C6E927F1-55B6-44AA-944A-0D2FD49EEEE7}"/>
    <cellStyle name="Migliaia 5 5 4 7" xfId="50607" xr:uid="{16803708-6338-4CB0-B287-26DC05916DA2}"/>
    <cellStyle name="Migliaia 5 5 4 8" xfId="53623" xr:uid="{104EEF92-DEE2-4293-8152-3DD2399DD20B}"/>
    <cellStyle name="Migliaia 5 5 4 9" xfId="10957" xr:uid="{9723EBAD-DF7F-490E-937D-72FB026EEDE0}"/>
    <cellStyle name="Migliaia 5 5 5" xfId="20849" xr:uid="{F4DD48A7-8F75-4FE5-962E-60B49FB44C4C}"/>
    <cellStyle name="Migliaia 5 5 5 2" xfId="34398" xr:uid="{0824283E-8527-4431-8754-BB56D5A41B78}"/>
    <cellStyle name="Migliaia 5 5 5 2 2" xfId="40000" xr:uid="{9866A127-D811-4A52-B783-1F679667820F}"/>
    <cellStyle name="Migliaia 5 5 5 2 3" xfId="45302" xr:uid="{E9CB339F-0D5C-44F6-BBC0-9378CF097445}"/>
    <cellStyle name="Migliaia 5 5 5 3" xfId="37369" xr:uid="{D24E9E4C-2103-4148-9D51-656D6263F0BF}"/>
    <cellStyle name="Migliaia 5 5 5 4" xfId="42651" xr:uid="{5E3E9EDD-2A24-403F-8495-6FC693DFC137}"/>
    <cellStyle name="Migliaia 5 5 5 5" xfId="25239" xr:uid="{C9505F00-100E-42E0-BB8C-F985FC23DCEB}"/>
    <cellStyle name="Migliaia 5 5 6" xfId="25240" xr:uid="{0B608196-142E-4F4C-90CB-6CB25B083754}"/>
    <cellStyle name="Migliaia 5 5 6 2" xfId="34399" xr:uid="{EC29A917-7A5F-4DF2-A5D3-DD2CC8AF3085}"/>
    <cellStyle name="Migliaia 5 5 6 2 2" xfId="40001" xr:uid="{0AADB28E-9A13-40D6-B970-3C36C74DABE0}"/>
    <cellStyle name="Migliaia 5 5 6 2 3" xfId="45303" xr:uid="{59F74441-DBDF-4860-B35E-6F189E57704E}"/>
    <cellStyle name="Migliaia 5 5 6 3" xfId="37370" xr:uid="{AACED6E4-F6DA-45B7-B4C7-77FB6E7800EC}"/>
    <cellStyle name="Migliaia 5 5 6 4" xfId="42652" xr:uid="{94BD8A15-0EAA-4907-9712-C6A5B3B2649D}"/>
    <cellStyle name="Migliaia 5 5 7" xfId="25237" xr:uid="{8F3470F1-020A-47B6-8CA4-619BF1B6565F}"/>
    <cellStyle name="Migliaia 5 5 8" xfId="7559" xr:uid="{3A1BFA5F-F976-46BD-943B-CC3C7BAAB7B7}"/>
    <cellStyle name="Migliaia 5 6" xfId="3821" xr:uid="{CE1128FF-0D85-442E-9973-298B89165B4A}"/>
    <cellStyle name="Migliaia 5 6 2" xfId="5547" xr:uid="{81AC2B4E-3750-4111-B38B-86D77C12DFB3}"/>
    <cellStyle name="Migliaia 5 6 2 2" xfId="9969" xr:uid="{5AA4D4C8-8C6A-4E05-B243-BA7A6546B66B}"/>
    <cellStyle name="Migliaia 5 6 2 3" xfId="18636" xr:uid="{259D02E7-4BAA-42EF-A7D5-1E2D1D952133}"/>
    <cellStyle name="Migliaia 5 6 2 4" xfId="20852" xr:uid="{B04FBF2D-F2B0-48E8-AF95-52B24425EFC3}"/>
    <cellStyle name="Migliaia 5 6 2 5" xfId="32454" xr:uid="{A1B5C696-3AF5-4508-A11E-70F0313BA00A}"/>
    <cellStyle name="Migliaia 5 6 2 6" xfId="16712" xr:uid="{459166F9-E681-4F4C-9A08-9210031F53CB}"/>
    <cellStyle name="Migliaia 5 6 2 7" xfId="8744" xr:uid="{56F4F906-B522-459F-80B3-0CCA5D65F1DA}"/>
    <cellStyle name="Migliaia 5 6 3" xfId="6726" xr:uid="{99C53AF2-D058-4BA6-94FE-4145134FB039}"/>
    <cellStyle name="Migliaia 5 6 3 2" xfId="35435" xr:uid="{6E0EDDAA-3FEA-49F0-B448-6DA3DD9E645B}"/>
    <cellStyle name="Migliaia 5 6 3 2 2" xfId="40595" xr:uid="{3280987E-8AEF-4384-8A02-DC1A6E4D4B0E}"/>
    <cellStyle name="Migliaia 5 6 3 2 3" xfId="45897" xr:uid="{8A714A0F-D449-467D-8D99-EF5EA7D633AF}"/>
    <cellStyle name="Migliaia 5 6 3 3" xfId="37944" xr:uid="{A3619829-F755-43B8-B64A-CD2BF42C7000}"/>
    <cellStyle name="Migliaia 5 6 3 4" xfId="43246" xr:uid="{F68173D9-0E4F-4595-8091-16DC09DC9EC9}"/>
    <cellStyle name="Migliaia 5 6 3 5" xfId="9732" xr:uid="{96DF2FF4-4AB9-4B07-9941-37D25839CEE4}"/>
    <cellStyle name="Migliaia 5 6 4" xfId="20851" xr:uid="{B63AD8F5-1D3E-456D-8D69-F40C7B748F6A}"/>
    <cellStyle name="Migliaia 5 6 4 2" xfId="40002" xr:uid="{45E28E8D-C37A-438A-B3DD-D6074104A209}"/>
    <cellStyle name="Migliaia 5 6 4 3" xfId="45304" xr:uid="{B5B42F05-D118-4B80-9821-1681D37EB0FE}"/>
    <cellStyle name="Migliaia 5 6 4 4" xfId="34400" xr:uid="{9F2296D6-75F5-40D3-B8FE-D6CB252319B9}"/>
    <cellStyle name="Migliaia 5 6 5" xfId="37371" xr:uid="{C0ABD0AC-5293-4897-8B23-BACE357E5B89}"/>
    <cellStyle name="Migliaia 5 6 6" xfId="42653" xr:uid="{5D86956E-C24F-4599-A451-689C150228FE}"/>
    <cellStyle name="Migliaia 5 6 7" xfId="16711" xr:uid="{96939378-E89E-4B18-BD36-22032515F21D}"/>
    <cellStyle name="Migliaia 5 6 8" xfId="7554" xr:uid="{324D7363-9171-48C0-9E7E-AA26A3F0696E}"/>
    <cellStyle name="Migliaia 5 7" xfId="3822" xr:uid="{7961EA66-A6B4-405A-B106-2843D4B1AD3F}"/>
    <cellStyle name="Migliaia 5 7 2" xfId="5548" xr:uid="{5691E667-E1E9-4312-9C77-50F4CAE58B42}"/>
    <cellStyle name="Migliaia 5 7 2 2" xfId="35436" xr:uid="{503ACAA0-7FDD-4494-89FD-4BB359BFD361}"/>
    <cellStyle name="Migliaia 5 7 2 2 2" xfId="40596" xr:uid="{D2F14187-EDD0-4083-8029-DF5A7A6926A3}"/>
    <cellStyle name="Migliaia 5 7 2 2 3" xfId="45898" xr:uid="{D1C1A21F-B03B-4F91-B0FB-C033529DD6F7}"/>
    <cellStyle name="Migliaia 5 7 2 3" xfId="37945" xr:uid="{1AE235EA-B501-47AB-853F-86FBFA750E5D}"/>
    <cellStyle name="Migliaia 5 7 2 4" xfId="43247" xr:uid="{9D7E0107-5F24-4321-853F-3BA50DBDCDB6}"/>
    <cellStyle name="Migliaia 5 7 2 5" xfId="14311" xr:uid="{CCC8C58A-81AF-4BA8-BF41-A04F1E8EEDEC}"/>
    <cellStyle name="Migliaia 5 7 3" xfId="6727" xr:uid="{129E5703-D28C-4465-A944-AEBF33E8C04D}"/>
    <cellStyle name="Migliaia 5 7 3 2" xfId="40003" xr:uid="{3095C999-8E97-44F9-85B3-5478BA02BE3C}"/>
    <cellStyle name="Migliaia 5 7 3 3" xfId="45305" xr:uid="{95C45DFD-5C5E-47C0-A088-272BEAFBF1EB}"/>
    <cellStyle name="Migliaia 5 7 3 4" xfId="34401" xr:uid="{A63E9FC5-C363-4D82-9138-62C77B5CAF88}"/>
    <cellStyle name="Migliaia 5 7 3 5" xfId="20853" xr:uid="{4BC26CAF-E727-410C-8B2A-B1BBF811DF29}"/>
    <cellStyle name="Migliaia 5 7 4" xfId="37372" xr:uid="{9AD99234-96BA-47C0-A737-5E9A6E329681}"/>
    <cellStyle name="Migliaia 5 7 5" xfId="42654" xr:uid="{D48BE7D7-AD80-429F-96B8-E344C15E53FB}"/>
    <cellStyle name="Migliaia 5 7 6" xfId="16713" xr:uid="{63844465-9BF4-4F3D-B7A5-49C3D61FDF28}"/>
    <cellStyle name="Migliaia 5 7 7" xfId="8373" xr:uid="{7B710853-8D52-43E6-938C-1B2D174BF63B}"/>
    <cellStyle name="Migliaia 5 8" xfId="3823" xr:uid="{D0A3D77F-4B84-4DB4-AA41-9B697CA2AE02}"/>
    <cellStyle name="Migliaia 5 8 2" xfId="5549" xr:uid="{62E944AA-BF42-482D-AE25-7B56A058083A}"/>
    <cellStyle name="Migliaia 5 8 2 2" xfId="35437" xr:uid="{5BFF006F-53CD-493A-A0F5-36D356D6D0D9}"/>
    <cellStyle name="Migliaia 5 8 2 2 2" xfId="40597" xr:uid="{FAFA651A-3B41-472E-A4B7-3959D7FC37B4}"/>
    <cellStyle name="Migliaia 5 8 2 2 3" xfId="45899" xr:uid="{1909C446-5678-4007-8E81-D4AF1057E25D}"/>
    <cellStyle name="Migliaia 5 8 2 3" xfId="37946" xr:uid="{19D8B3AC-75AD-44C5-8AAF-F89D3AF78B58}"/>
    <cellStyle name="Migliaia 5 8 2 4" xfId="43248" xr:uid="{55FC7461-8E95-4414-B378-92B3EB37CE80}"/>
    <cellStyle name="Migliaia 5 8 2 5" xfId="14016" xr:uid="{EBF96282-B9C0-48A6-B9AD-924314456721}"/>
    <cellStyle name="Migliaia 5 8 3" xfId="6728" xr:uid="{EE294F82-CD30-4E58-B51B-7CCD2E6991F4}"/>
    <cellStyle name="Migliaia 5 8 3 2" xfId="40004" xr:uid="{EC915E49-99B8-46F2-A89E-08C4CD7774BC}"/>
    <cellStyle name="Migliaia 5 8 3 3" xfId="45306" xr:uid="{9F33AE13-AB85-4DFE-91BF-66DC410A7F1C}"/>
    <cellStyle name="Migliaia 5 8 3 4" xfId="34402" xr:uid="{AC785B4A-4358-4CC4-B942-CBA2CAE64B1C}"/>
    <cellStyle name="Migliaia 5 8 3 5" xfId="20854" xr:uid="{EA35FEE5-76CA-4486-8C03-EB55071DB776}"/>
    <cellStyle name="Migliaia 5 8 4" xfId="37373" xr:uid="{1E3F65BD-5F85-40A4-AE85-9F55F1E1D403}"/>
    <cellStyle name="Migliaia 5 8 5" xfId="42655" xr:uid="{F071FA07-2AC3-457A-A583-0A7AAA54B866}"/>
    <cellStyle name="Migliaia 5 8 6" xfId="16714" xr:uid="{B4C9966D-226D-4A5D-9B8C-04CA19B8B4C4}"/>
    <cellStyle name="Migliaia 5 8 7" xfId="7998" xr:uid="{A21C0FCE-9160-48F8-9462-EAAC5AD6BA13}"/>
    <cellStyle name="Migliaia 5 9" xfId="5534" xr:uid="{12662844-185E-4B71-B45E-27291F21D528}"/>
    <cellStyle name="Migliaia 5 9 2" xfId="34403" xr:uid="{528F1F59-C13D-4A82-96C8-73120A137573}"/>
    <cellStyle name="Migliaia 5 9 2 2" xfId="40005" xr:uid="{32039327-E66E-4A6D-BA77-75E89415D71B}"/>
    <cellStyle name="Migliaia 5 9 2 3" xfId="45307" xr:uid="{A0606472-F143-4A5C-B852-042338BAC561}"/>
    <cellStyle name="Migliaia 5 9 3" xfId="37374" xr:uid="{664EE7C0-6DBC-422B-A3E7-880782847963}"/>
    <cellStyle name="Migliaia 5 9 4" xfId="42656" xr:uid="{C5950AEB-7F98-43D4-963D-692BCD665326}"/>
    <cellStyle name="Migliaia 5 9 5" xfId="17223" xr:uid="{ABE4999F-39F0-487B-9F05-FA5EF0F7A444}"/>
    <cellStyle name="Migliaia 50" xfId="481" xr:uid="{00000000-0005-0000-0000-000054040000}"/>
    <cellStyle name="Migliaia 50 10" xfId="6729" xr:uid="{052FC603-D84D-4F4D-BE55-B5DD14B44695}"/>
    <cellStyle name="Migliaia 50 10 2" xfId="40006" xr:uid="{8DE0F05C-FC88-415D-89F7-98D79F06AE3D}"/>
    <cellStyle name="Migliaia 50 10 3" xfId="45308" xr:uid="{DC010A7E-E8C1-4529-AC3D-926F9800C5B9}"/>
    <cellStyle name="Migliaia 50 10 4" xfId="34404" xr:uid="{AAA5F5D7-C4DA-447E-ACE1-695B40BEFDF1}"/>
    <cellStyle name="Migliaia 50 10 5" xfId="20855" xr:uid="{C56F879A-8CFF-4511-991B-6312F17F1254}"/>
    <cellStyle name="Migliaia 50 11" xfId="3824" xr:uid="{9194D318-F10F-4F49-BABD-EB9451D83A6C}"/>
    <cellStyle name="Migliaia 50 11 2" xfId="37375" xr:uid="{4B57BE20-A10E-44B4-9F6D-05EAC78EB5E6}"/>
    <cellStyle name="Migliaia 50 12" xfId="42657" xr:uid="{38752330-E883-489E-8911-4EE3C37A02F3}"/>
    <cellStyle name="Migliaia 50 13" xfId="7177" xr:uid="{846E15DE-CD52-4814-9188-01275CA1ADCE}"/>
    <cellStyle name="Migliaia 50 2" xfId="482" xr:uid="{00000000-0005-0000-0000-000055040000}"/>
    <cellStyle name="Migliaia 50 2 2" xfId="1881" xr:uid="{00000000-0005-0000-0000-000056040000}"/>
    <cellStyle name="Migliaia 50 2 2 2" xfId="5552" xr:uid="{B83964E4-AD91-47C3-A227-E66AA3CB4163}"/>
    <cellStyle name="Migliaia 50 2 2 2 2" xfId="14408" xr:uid="{990E9C72-8FB2-4415-9C3A-55456FA7E9A1}"/>
    <cellStyle name="Migliaia 50 2 2 2 2 2" xfId="40007" xr:uid="{B8C214E9-AA2C-4B0D-B903-1DDF2ECCEA14}"/>
    <cellStyle name="Migliaia 50 2 2 2 2 3" xfId="45309" xr:uid="{0D2061AC-C3AB-4B03-B93C-4F8DC5C080B9}"/>
    <cellStyle name="Migliaia 50 2 2 2 3" xfId="18497" xr:uid="{7D82A9E7-A0BC-4035-8702-4E25AE330730}"/>
    <cellStyle name="Migliaia 50 2 2 2 4" xfId="20858" xr:uid="{349E0C03-4FC1-44E5-B234-C0EF29A73F54}"/>
    <cellStyle name="Migliaia 50 2 2 2 4 2" xfId="42658" xr:uid="{CFCE3053-2FFD-4746-8DF2-46611AE05C2F}"/>
    <cellStyle name="Migliaia 50 2 2 2 5" xfId="16715" xr:uid="{C3EA8A6D-C6B9-43D7-951F-BA700F4E7C69}"/>
    <cellStyle name="Migliaia 50 2 2 2 6" xfId="8751" xr:uid="{4C46C00E-9759-457B-928D-544FDFE1F92D}"/>
    <cellStyle name="Migliaia 50 2 2 3" xfId="6731" xr:uid="{21659E38-682F-4D1A-9EEE-0E257D2179BF}"/>
    <cellStyle name="Migliaia 50 2 2 3 2" xfId="35438" xr:uid="{F778906A-7820-4991-91AE-D9199633A315}"/>
    <cellStyle name="Migliaia 50 2 2 3 2 2" xfId="40598" xr:uid="{D921909B-7B61-4348-BA98-604117D2CB56}"/>
    <cellStyle name="Migliaia 50 2 2 3 2 3" xfId="45900" xr:uid="{4E1CF54A-1D56-4C23-A9B7-95B8E54B8E34}"/>
    <cellStyle name="Migliaia 50 2 2 3 3" xfId="37947" xr:uid="{5A28089C-C52E-4FF2-98ED-85F189A0BC5B}"/>
    <cellStyle name="Migliaia 50 2 2 3 4" xfId="43249" xr:uid="{2DF63C92-570E-45D0-92C1-BA943ED5DCD5}"/>
    <cellStyle name="Migliaia 50 2 2 3 5" xfId="11635" xr:uid="{36FA4622-82E3-4B94-A9A9-8104F5B4D3C2}"/>
    <cellStyle name="Migliaia 50 2 2 4" xfId="3826" xr:uid="{AC041363-C6D6-4287-8909-82CF016A2150}"/>
    <cellStyle name="Migliaia 50 2 2 4 2" xfId="21593" xr:uid="{70E8AB08-A926-4F58-98A0-12E3EBEC026C}"/>
    <cellStyle name="Migliaia 50 2 2 4 3" xfId="47605" xr:uid="{FFDBA0B5-CF03-4213-81FB-AA7878F3BCB0}"/>
    <cellStyle name="Migliaia 50 2 2 4 4" xfId="50608" xr:uid="{93370C5A-5443-4F2D-8A81-8A682DECFA2E}"/>
    <cellStyle name="Migliaia 50 2 2 4 5" xfId="53624" xr:uid="{11862F70-9AD3-4545-B637-8B2BCD50FB26}"/>
    <cellStyle name="Migliaia 50 2 2 4 6" xfId="10958" xr:uid="{B1F77770-B5B9-47FE-A9BD-649967423EB9}"/>
    <cellStyle name="Migliaia 50 2 2 5" xfId="20857" xr:uid="{DB0F6EF0-197C-487E-9530-22E400CA014B}"/>
    <cellStyle name="Migliaia 50 2 2 6" xfId="25242" xr:uid="{2ABC4743-3C39-4B05-9081-9E05F8B8F7EC}"/>
    <cellStyle name="Migliaia 50 2 2 7" xfId="7561" xr:uid="{A32AB292-30EA-44B8-B0C1-4C7E29432C0A}"/>
    <cellStyle name="Migliaia 50 2 3" xfId="3827" xr:uid="{02174822-0FCF-479A-B155-C55555097B84}"/>
    <cellStyle name="Migliaia 50 2 3 2" xfId="5553" xr:uid="{78A044AF-D18F-4777-A6D3-95AA7EF59786}"/>
    <cellStyle name="Migliaia 50 2 3 2 2" xfId="35439" xr:uid="{C2A17D68-FC05-40A9-B550-FD895F5B3AFD}"/>
    <cellStyle name="Migliaia 50 2 3 2 2 2" xfId="40599" xr:uid="{24AA418D-8301-4700-AE61-BD76E5EBA054}"/>
    <cellStyle name="Migliaia 50 2 3 2 2 3" xfId="45901" xr:uid="{681B12E2-538D-4A01-BB83-C86A10BA3C44}"/>
    <cellStyle name="Migliaia 50 2 3 2 3" xfId="37948" xr:uid="{F7F51AC0-2BDD-4253-8E17-B125679DE720}"/>
    <cellStyle name="Migliaia 50 2 3 2 4" xfId="43250" xr:uid="{BBD18F84-078E-48DA-8715-E478B11E5227}"/>
    <cellStyle name="Migliaia 50 2 3 2 5" xfId="14315" xr:uid="{937CF1EC-4811-4B40-8840-9ECEB9529305}"/>
    <cellStyle name="Migliaia 50 2 3 3" xfId="6732" xr:uid="{8B83B2CE-6689-4747-8B42-969BB066F1F8}"/>
    <cellStyle name="Migliaia 50 2 3 3 2" xfId="40008" xr:uid="{ACBCFE2E-E7D7-48DD-85AC-2E7342F75B57}"/>
    <cellStyle name="Migliaia 50 2 3 3 3" xfId="45310" xr:uid="{A0092A32-3ACF-45AF-B22E-CD6B87B178D4}"/>
    <cellStyle name="Migliaia 50 2 3 3 4" xfId="34405" xr:uid="{7055C6B1-0BC3-48C1-9190-234CBE000DF0}"/>
    <cellStyle name="Migliaia 50 2 3 3 5" xfId="20859" xr:uid="{C7EE88AA-1448-4EFE-8DB1-AFD09EFB27FD}"/>
    <cellStyle name="Migliaia 50 2 3 4" xfId="37376" xr:uid="{91C6C635-3E23-4971-9B57-40680279760E}"/>
    <cellStyle name="Migliaia 50 2 3 5" xfId="42659" xr:uid="{A2964E7F-74A3-4B46-A10B-36079B5B6030}"/>
    <cellStyle name="Migliaia 50 2 3 6" xfId="16716" xr:uid="{86B4763C-295C-40E9-9005-037EFADCD760}"/>
    <cellStyle name="Migliaia 50 2 3 7" xfId="8377" xr:uid="{DD630E3C-E427-494D-8A3F-2E1A9C9FD693}"/>
    <cellStyle name="Migliaia 50 2 4" xfId="5551" xr:uid="{F2C26353-A5B3-447F-945E-395C4FB3BF14}"/>
    <cellStyle name="Migliaia 50 2 4 2" xfId="14020" xr:uid="{B9389293-AE01-4F00-BED3-EE8C7B2199F1}"/>
    <cellStyle name="Migliaia 50 2 4 2 2" xfId="40009" xr:uid="{098DACEC-4993-4D08-9333-3FDE4198C15F}"/>
    <cellStyle name="Migliaia 50 2 4 2 3" xfId="45311" xr:uid="{6FC3A7DE-6CB4-4C0F-9717-72126EFE8FBD}"/>
    <cellStyle name="Migliaia 50 2 4 3" xfId="18692" xr:uid="{EA4916CB-8DD0-4042-8BA6-2DC033F6C66F}"/>
    <cellStyle name="Migliaia 50 2 4 4" xfId="20860" xr:uid="{2080AB20-54AA-43E6-A582-5C4F6386FF2C}"/>
    <cellStyle name="Migliaia 50 2 4 4 2" xfId="42660" xr:uid="{43641815-1FC0-4F30-B8D3-A60016A1D9D1}"/>
    <cellStyle name="Migliaia 50 2 4 5" xfId="16717" xr:uid="{971C4747-BEAA-43DD-B650-E70BE07CC025}"/>
    <cellStyle name="Migliaia 50 2 4 6" xfId="8003" xr:uid="{6600C3EF-5850-45BD-91A0-A6C877F5CEE8}"/>
    <cellStyle name="Migliaia 50 2 5" xfId="6730" xr:uid="{2F450306-4C8D-4EA9-9E55-98CD6E7D5AC1}"/>
    <cellStyle name="Migliaia 50 2 5 2" xfId="34406" xr:uid="{33B620DB-FC65-4C35-BE6C-64694E2E24C3}"/>
    <cellStyle name="Migliaia 50 2 5 2 2" xfId="40010" xr:uid="{9BF78AF5-D6A4-402D-AFAA-42841807DC05}"/>
    <cellStyle name="Migliaia 50 2 5 2 3" xfId="45312" xr:uid="{A9EE93D9-45BC-4C0E-BA1E-186E93A25EAD}"/>
    <cellStyle name="Migliaia 50 2 5 3" xfId="37377" xr:uid="{32D02DBF-7DCB-4211-8BBD-13EBEB602260}"/>
    <cellStyle name="Migliaia 50 2 5 4" xfId="42661" xr:uid="{4DB940D1-3721-4EBA-AB7C-E93761001662}"/>
    <cellStyle name="Migliaia 50 2 5 5" xfId="13148" xr:uid="{749C0734-B8BC-4804-B0EF-FCF07E422E16}"/>
    <cellStyle name="Migliaia 50 2 6" xfId="3825" xr:uid="{0786225E-232F-42B6-93C1-8F1439FE2E8B}"/>
    <cellStyle name="Migliaia 50 2 6 2" xfId="34407" xr:uid="{71C8A3B7-D653-4225-A623-309B9A53D6D5}"/>
    <cellStyle name="Migliaia 50 2 6 2 2" xfId="40011" xr:uid="{A2A75A44-CDF1-4E1A-B851-AA1787469570}"/>
    <cellStyle name="Migliaia 50 2 6 2 3" xfId="45313" xr:uid="{6F4AE9F9-2744-4B27-9765-9B1474A83757}"/>
    <cellStyle name="Migliaia 50 2 6 3" xfId="37378" xr:uid="{019C5821-737F-45AD-957E-C7674B9D73F1}"/>
    <cellStyle name="Migliaia 50 2 6 4" xfId="42662" xr:uid="{72BA8E35-2F36-4F2F-A039-F899BCFCE2DF}"/>
    <cellStyle name="Migliaia 50 2 6 5" xfId="25243" xr:uid="{62D775BF-9F3D-480C-953D-A1CD4CF9D9A6}"/>
    <cellStyle name="Migliaia 50 2 6 6" xfId="20856" xr:uid="{10B85188-0580-4286-A669-50D13537899A}"/>
    <cellStyle name="Migliaia 50 2 7" xfId="25241" xr:uid="{0DAC3987-D2A5-4940-8B98-63485FDB2126}"/>
    <cellStyle name="Migliaia 50 2 8" xfId="7178" xr:uid="{FEEC5733-DE57-4B73-A53B-652E87F9F18D}"/>
    <cellStyle name="Migliaia 50 3" xfId="483" xr:uid="{00000000-0005-0000-0000-000057040000}"/>
    <cellStyle name="Migliaia 50 3 10" xfId="25244" xr:uid="{7AA51D1C-9110-4321-8140-1C682DD59042}"/>
    <cellStyle name="Migliaia 50 3 11" xfId="16718" xr:uid="{612F560F-BCFE-476B-BC20-A5483AD310A4}"/>
    <cellStyle name="Migliaia 50 3 12" xfId="7179" xr:uid="{F27AC40C-F8A5-4B86-93E6-914F9CD6E667}"/>
    <cellStyle name="Migliaia 50 3 2" xfId="484" xr:uid="{00000000-0005-0000-0000-000058040000}"/>
    <cellStyle name="Migliaia 50 3 2 2" xfId="1882" xr:uid="{00000000-0005-0000-0000-000059040000}"/>
    <cellStyle name="Migliaia 50 3 2 2 2" xfId="5556" xr:uid="{0A4540D2-E20A-4B29-A1DB-F1542F602C60}"/>
    <cellStyle name="Migliaia 50 3 2 2 2 2" xfId="18498" xr:uid="{840E4419-61DD-4240-BE3E-4C7E96F00038}"/>
    <cellStyle name="Migliaia 50 3 2 2 2 2 2" xfId="21886" xr:uid="{1752DB52-310E-402E-A1CA-7458A90AB0D9}"/>
    <cellStyle name="Migliaia 50 3 2 2 2 2 2 2" xfId="40012" xr:uid="{CEE7B235-A0D0-43DF-AE64-E711B1D62C04}"/>
    <cellStyle name="Migliaia 50 3 2 2 2 2 3" xfId="45314" xr:uid="{06055586-85F1-4BE2-8C66-6F8BA61A86D0}"/>
    <cellStyle name="Migliaia 50 3 2 2 2 2 4" xfId="34408" xr:uid="{E62CC96A-D6A6-4A45-AAA9-54B206D99692}"/>
    <cellStyle name="Migliaia 50 3 2 2 2 3" xfId="37379" xr:uid="{CDF31619-8594-4976-934A-E4B3F19C9C23}"/>
    <cellStyle name="Migliaia 50 3 2 2 2 4" xfId="42663" xr:uid="{632F9474-DFD6-4B71-BB92-0D2A78B18F52}"/>
    <cellStyle name="Migliaia 50 3 2 2 2 5" xfId="48291" xr:uid="{87ABC971-A3A5-4D73-BBAC-67154D739A5C}"/>
    <cellStyle name="Migliaia 50 3 2 2 2 6" xfId="50914" xr:uid="{E1AFEF5E-0E3D-462E-8127-388D13D4DD50}"/>
    <cellStyle name="Migliaia 50 3 2 2 2 7" xfId="53930" xr:uid="{A26696EB-59C0-4921-8C69-036D4FB6BB45}"/>
    <cellStyle name="Migliaia 50 3 2 2 2 8" xfId="17684" xr:uid="{C3A61839-DEED-4DCF-A222-8B36911F9E15}"/>
    <cellStyle name="Migliaia 50 3 2 2 2 9" xfId="12067" xr:uid="{50C95D4D-FB44-451F-83CE-9F8811616788}"/>
    <cellStyle name="Migliaia 50 3 2 2 3" xfId="6735" xr:uid="{8ABF46CF-7632-4D0D-9971-1D223D1A690C}"/>
    <cellStyle name="Migliaia 50 3 2 2 3 2" xfId="12319" xr:uid="{9C4E5B12-C09F-4D2A-ABCF-4C82F610CC0F}"/>
    <cellStyle name="Migliaia 50 3 2 2 4" xfId="3830" xr:uid="{6784C0D1-43B7-47C0-B8D5-6AD9D843F429}"/>
    <cellStyle name="Migliaia 50 3 2 2 4 2" xfId="21594" xr:uid="{1D3A4B34-4627-458E-81EE-1CD887F0B3FB}"/>
    <cellStyle name="Migliaia 50 3 2 2 4 3" xfId="46992" xr:uid="{BFDDCC21-7103-42A1-B137-411798789BF0}"/>
    <cellStyle name="Migliaia 50 3 2 2 4 4" xfId="50609" xr:uid="{10C11D24-8593-41EF-A857-4EDBA35B5C0A}"/>
    <cellStyle name="Migliaia 50 3 2 2 4 5" xfId="53625" xr:uid="{C7FE0DE7-C5B4-4365-8689-A29CDC1495D1}"/>
    <cellStyle name="Migliaia 50 3 2 2 4 6" xfId="10959" xr:uid="{D57D4D1F-7D7C-4C32-BEE8-E9DC09A7C3D7}"/>
    <cellStyle name="Migliaia 50 3 2 2 5" xfId="20863" xr:uid="{69AA2A1E-7491-47CA-BB0F-F105E08082B6}"/>
    <cellStyle name="Migliaia 50 3 2 2 6" xfId="25246" xr:uid="{AB0FFE76-531A-4989-BD74-3CDD3FF7340D}"/>
    <cellStyle name="Migliaia 50 3 2 2 7" xfId="8753" xr:uid="{5E235178-F0B7-4117-8C62-302DD0FD8545}"/>
    <cellStyle name="Migliaia 50 3 2 3" xfId="5555" xr:uid="{051B4B79-92B7-448B-974A-27AD6318645F}"/>
    <cellStyle name="Migliaia 50 3 2 3 2" xfId="12221" xr:uid="{D29904D8-17EA-43B8-8798-375CFDFAC526}"/>
    <cellStyle name="Migliaia 50 3 2 3 2 2" xfId="40013" xr:uid="{B4338932-F5BD-4A56-A24D-A03880123DA4}"/>
    <cellStyle name="Migliaia 50 3 2 3 2 3" xfId="45315" xr:uid="{0940D85A-F6A2-4EBA-98B5-007B37817BB4}"/>
    <cellStyle name="Migliaia 50 3 2 3 2 4" xfId="34409" xr:uid="{9EBDA1E5-7773-4FFC-A6AC-987EDE732B2B}"/>
    <cellStyle name="Migliaia 50 3 2 3 3" xfId="12068" xr:uid="{05477171-2F1A-4407-A473-27C8B37176E8}"/>
    <cellStyle name="Migliaia 50 3 2 3 4" xfId="20864" xr:uid="{14FC43B2-4821-457E-BCE0-1D4E51A05B97}"/>
    <cellStyle name="Migliaia 50 3 2 3 4 2" xfId="42664" xr:uid="{FF0E40A8-4A6D-4DDB-8B5A-03E420EEC340}"/>
    <cellStyle name="Migliaia 50 3 2 3 5" xfId="16719" xr:uid="{58FA6253-16B3-47D3-8984-A3C635D9E567}"/>
    <cellStyle name="Migliaia 50 3 2 3 6" xfId="8005" xr:uid="{B19E753F-6622-4DE2-99A8-3CEEE07DFA4C}"/>
    <cellStyle name="Migliaia 50 3 2 4" xfId="6734" xr:uid="{4E6208E2-3F4D-4BE5-9F5F-29FCA93B8E56}"/>
    <cellStyle name="Migliaia 50 3 2 4 2" xfId="18102" xr:uid="{96A37241-5595-4533-8304-A777FF754BAE}"/>
    <cellStyle name="Migliaia 50 3 2 4 2 2" xfId="40014" xr:uid="{A4B57781-A432-4868-BC71-3D6CB06AA5A6}"/>
    <cellStyle name="Migliaia 50 3 2 4 2 3" xfId="45316" xr:uid="{57D66660-F40A-4FA3-8ECB-86314128C0BB}"/>
    <cellStyle name="Migliaia 50 3 2 4 3" xfId="37380" xr:uid="{2CC7C0A6-7B63-4CD9-B450-D7956B0C8242}"/>
    <cellStyle name="Migliaia 50 3 2 4 4" xfId="42665" xr:uid="{1CD562FD-B31E-4CB5-9F85-97BEF0555ED2}"/>
    <cellStyle name="Migliaia 50 3 2 4 5" xfId="17226" xr:uid="{70BAF5D7-D580-4A27-94D8-EBB5D7B056D2}"/>
    <cellStyle name="Migliaia 50 3 2 4 6" xfId="11417" xr:uid="{B26E8D09-6FA7-4A4F-B1EA-DAF85342CCDF}"/>
    <cellStyle name="Migliaia 50 3 2 5" xfId="3829" xr:uid="{CA51B2F2-2E1B-4253-BB52-F1E5AEE21BE5}"/>
    <cellStyle name="Migliaia 50 3 2 5 2" xfId="34410" xr:uid="{55314B21-1385-4800-AD67-1136331BBF10}"/>
    <cellStyle name="Migliaia 50 3 2 5 2 2" xfId="40015" xr:uid="{00302D75-E1A6-4435-8DF3-B96EEB91B0C9}"/>
    <cellStyle name="Migliaia 50 3 2 5 2 3" xfId="45317" xr:uid="{A0B0AF3D-3A17-44B7-8439-F8CB10E634BB}"/>
    <cellStyle name="Migliaia 50 3 2 5 3" xfId="37381" xr:uid="{90D966B7-A0E7-4FBA-86E7-B73ABCCC0409}"/>
    <cellStyle name="Migliaia 50 3 2 5 4" xfId="42666" xr:uid="{5D6079B2-2C76-4944-9541-C9A1C67CA9FF}"/>
    <cellStyle name="Migliaia 50 3 2 5 5" xfId="17291" xr:uid="{6AC89117-4104-4EDF-82D0-91015E6303DF}"/>
    <cellStyle name="Migliaia 50 3 2 6" xfId="20862" xr:uid="{0B4622A0-9E12-4D56-B893-66ABBDD9F26E}"/>
    <cellStyle name="Migliaia 50 3 2 6 2" xfId="34411" xr:uid="{1E6D3447-9CAC-44B9-BB04-C4E0C8BA494D}"/>
    <cellStyle name="Migliaia 50 3 2 6 2 2" xfId="40016" xr:uid="{DB906F23-E691-47BE-91B4-D9A6BCAD994D}"/>
    <cellStyle name="Migliaia 50 3 2 6 2 3" xfId="45318" xr:uid="{5DB878DB-6AF8-48BA-AED2-66DD5F9EC787}"/>
    <cellStyle name="Migliaia 50 3 2 6 3" xfId="37382" xr:uid="{C1C094DB-F9C8-4846-A0A6-1D603486252E}"/>
    <cellStyle name="Migliaia 50 3 2 6 4" xfId="42667" xr:uid="{35A6ECD5-A129-487B-BBED-3A24DBEDC891}"/>
    <cellStyle name="Migliaia 50 3 2 6 5" xfId="25247" xr:uid="{B23E410D-DFDD-4C5D-BEBB-28FAB7274651}"/>
    <cellStyle name="Migliaia 50 3 2 7" xfId="25245" xr:uid="{1A67AD63-67FB-4A9A-8CA5-B3B709945D31}"/>
    <cellStyle name="Migliaia 50 3 2 8" xfId="7563" xr:uid="{13F5E939-742E-4D6B-B59D-FBF84046C4C3}"/>
    <cellStyle name="Migliaia 50 3 3" xfId="3831" xr:uid="{4C8B61BA-D09D-42D3-9679-536B38FB3434}"/>
    <cellStyle name="Migliaia 50 3 3 10" xfId="7562" xr:uid="{B019C4F3-6B18-433D-8AD5-693D751890E5}"/>
    <cellStyle name="Migliaia 50 3 3 2" xfId="5557" xr:uid="{76CD6033-7917-4A32-ABB4-D12E3F0AF4CA}"/>
    <cellStyle name="Migliaia 50 3 3 2 2" xfId="9972" xr:uid="{430591B0-366C-4478-90BC-242273ABE5E4}"/>
    <cellStyle name="Migliaia 50 3 3 2 2 2" xfId="40018" xr:uid="{1E0E97BA-388F-4CF8-A548-7732F12565AB}"/>
    <cellStyle name="Migliaia 50 3 3 2 2 3" xfId="45320" xr:uid="{09D8314F-D226-4350-B067-59D40E230666}"/>
    <cellStyle name="Migliaia 50 3 3 2 3" xfId="18252" xr:uid="{B63BE917-6EF8-4C00-9023-058E79242754}"/>
    <cellStyle name="Migliaia 50 3 3 2 4" xfId="20866" xr:uid="{FD909920-C930-4215-8A59-468EB8C565B7}"/>
    <cellStyle name="Migliaia 50 3 3 2 4 2" xfId="42669" xr:uid="{0BF57F68-978B-41EB-A9A0-A5B7F3436FA6}"/>
    <cellStyle name="Migliaia 50 3 3 2 5" xfId="16721" xr:uid="{8776DA89-2444-498E-BCE3-8D23ECADFEFC}"/>
    <cellStyle name="Migliaia 50 3 3 2 6" xfId="8752" xr:uid="{6257F485-8A62-4863-9A7B-708D6FC28F5D}"/>
    <cellStyle name="Migliaia 50 3 3 3" xfId="6736" xr:uid="{16AAEDFD-5899-48D1-BF2C-C3F8A611EBC4}"/>
    <cellStyle name="Migliaia 50 3 3 3 2" xfId="34413" xr:uid="{F3FBAFFF-F662-4451-941D-E6197BE85BB8}"/>
    <cellStyle name="Migliaia 50 3 3 3 2 2" xfId="40019" xr:uid="{36BE54BF-7579-4D99-A3F3-2CDCC865A8EF}"/>
    <cellStyle name="Migliaia 50 3 3 3 2 3" xfId="45321" xr:uid="{9BAD1555-6976-4000-87D3-B2D9E9DA749F}"/>
    <cellStyle name="Migliaia 50 3 3 3 3" xfId="37384" xr:uid="{7C4F557D-C23A-4989-A777-1A62EED44073}"/>
    <cellStyle name="Migliaia 50 3 3 3 4" xfId="42670" xr:uid="{B6F3C448-4CCE-4271-814B-D71850BF5C9A}"/>
    <cellStyle name="Migliaia 50 3 3 3 5" xfId="9735" xr:uid="{F08D21F5-9E72-4A73-933B-54D1FEF8E350}"/>
    <cellStyle name="Migliaia 50 3 3 4" xfId="20865" xr:uid="{3FC1D1F2-655B-4646-A6F1-7259CE2D636A}"/>
    <cellStyle name="Migliaia 50 3 3 4 2" xfId="34414" xr:uid="{456C6DFE-87E7-49FD-8530-1A5F929E4E01}"/>
    <cellStyle name="Migliaia 50 3 3 4 2 2" xfId="40020" xr:uid="{7243BC1B-0D18-44A7-A28A-FD83A537DCF7}"/>
    <cellStyle name="Migliaia 50 3 3 4 2 3" xfId="45322" xr:uid="{699FD857-4108-4AC4-8A6B-895013D7E73F}"/>
    <cellStyle name="Migliaia 50 3 3 4 3" xfId="37385" xr:uid="{0BEE1EE5-A8BE-4445-82D4-096A5B64E600}"/>
    <cellStyle name="Migliaia 50 3 3 4 4" xfId="42671" xr:uid="{59DBD5CB-39D5-4FF5-BFE9-B1DCC06DF8C9}"/>
    <cellStyle name="Migliaia 50 3 3 4 5" xfId="25248" xr:uid="{49E76E14-8436-4544-93F7-6E9187031119}"/>
    <cellStyle name="Migliaia 50 3 3 5" xfId="25249" xr:uid="{8A134E60-C11F-4BC7-8F2D-52FD5DE22191}"/>
    <cellStyle name="Migliaia 50 3 3 5 2" xfId="34415" xr:uid="{9C0CD4E1-5509-4888-ACEE-600C2C37D2A0}"/>
    <cellStyle name="Migliaia 50 3 3 5 2 2" xfId="40021" xr:uid="{9B2FA0C0-7222-40DA-8206-5CA87BDECC76}"/>
    <cellStyle name="Migliaia 50 3 3 5 2 3" xfId="45323" xr:uid="{41C13B79-F570-4BA5-BB90-68C10D187572}"/>
    <cellStyle name="Migliaia 50 3 3 5 3" xfId="37386" xr:uid="{9D29E668-EE1E-48A2-B3F1-C5492D8956B0}"/>
    <cellStyle name="Migliaia 50 3 3 5 4" xfId="42672" xr:uid="{C36549E9-4C99-4E67-8D89-6378270E4508}"/>
    <cellStyle name="Migliaia 50 3 3 6" xfId="34412" xr:uid="{DA66CC26-9C5F-4963-87BC-218F158E1775}"/>
    <cellStyle name="Migliaia 50 3 3 6 2" xfId="40017" xr:uid="{0EB87DCC-183C-43AD-83C7-092311CBE083}"/>
    <cellStyle name="Migliaia 50 3 3 6 3" xfId="45319" xr:uid="{B938DC2B-A419-4226-84E9-86CF2D27D2DE}"/>
    <cellStyle name="Migliaia 50 3 3 7" xfId="37383" xr:uid="{FFD6927A-31AC-498C-B150-D1DEA1FE2D3B}"/>
    <cellStyle name="Migliaia 50 3 3 8" xfId="42668" xr:uid="{16BE99D8-886D-4458-BE36-4D80B636213E}"/>
    <cellStyle name="Migliaia 50 3 3 9" xfId="16720" xr:uid="{36A218DC-5623-41E1-B6E2-D73086C9F4BD}"/>
    <cellStyle name="Migliaia 50 3 4" xfId="3832" xr:uid="{61630A4C-D7F4-4D6D-AC7E-AF5000F1BD89}"/>
    <cellStyle name="Migliaia 50 3 4 2" xfId="5558" xr:uid="{6DF363F7-F0A6-4676-A7B2-757510CAED98}"/>
    <cellStyle name="Migliaia 50 3 4 2 2" xfId="14468" xr:uid="{D483DFF9-8A86-46C8-AB10-D70C325880E9}"/>
    <cellStyle name="Migliaia 50 3 4 2 3" xfId="18035" xr:uid="{9923B95D-69D8-4CB1-BB2A-042708FD75B5}"/>
    <cellStyle name="Migliaia 50 3 4 2 4" xfId="20868" xr:uid="{929C209F-92F5-4091-98AC-3DCE5EE10147}"/>
    <cellStyle name="Migliaia 50 3 4 2 5" xfId="32455" xr:uid="{024253E1-BB1C-4C86-914C-7F56CF760490}"/>
    <cellStyle name="Migliaia 50 3 4 2 6" xfId="16723" xr:uid="{285AF51F-8B77-4D93-B81D-893EEAB05865}"/>
    <cellStyle name="Migliaia 50 3 4 2 7" xfId="8891" xr:uid="{B782A703-25BF-4B47-8CDB-15620DC8B5DC}"/>
    <cellStyle name="Migliaia 50 3 4 3" xfId="6737" xr:uid="{432D1E88-4C6B-4ADB-B6B1-C8BABA3DBF19}"/>
    <cellStyle name="Migliaia 50 3 4 3 2" xfId="35440" xr:uid="{D1163DA4-7B27-45FA-B09F-05E670737B6F}"/>
    <cellStyle name="Migliaia 50 3 4 3 2 2" xfId="40600" xr:uid="{98E41D11-D753-4B05-9E90-9A9F5D1EAE0A}"/>
    <cellStyle name="Migliaia 50 3 4 3 2 3" xfId="45902" xr:uid="{6CB12196-6785-4519-AE7F-D61A167883B3}"/>
    <cellStyle name="Migliaia 50 3 4 3 3" xfId="37949" xr:uid="{2F957922-1569-498F-A92B-0798F61CEF23}"/>
    <cellStyle name="Migliaia 50 3 4 3 4" xfId="43251" xr:uid="{09138BC2-F774-46ED-AAFF-01983763E8E4}"/>
    <cellStyle name="Migliaia 50 3 4 3 5" xfId="13716" xr:uid="{063A9384-1343-40A3-8943-7BB95A07B9DE}"/>
    <cellStyle name="Migliaia 50 3 4 4" xfId="20867" xr:uid="{8A04E806-D706-40AF-8F10-B3E6E5923EAB}"/>
    <cellStyle name="Migliaia 50 3 4 4 2" xfId="40022" xr:uid="{957A5024-BCF2-466C-A4F7-B61A25A399EC}"/>
    <cellStyle name="Migliaia 50 3 4 4 3" xfId="45324" xr:uid="{43472862-9445-42C8-B2A7-40B15B571A36}"/>
    <cellStyle name="Migliaia 50 3 4 4 4" xfId="34416" xr:uid="{1630074B-9A9A-4515-A87E-A21D9A3185F4}"/>
    <cellStyle name="Migliaia 50 3 4 5" xfId="37387" xr:uid="{E67747CF-3A7A-4D7E-82E8-5750F6F9503E}"/>
    <cellStyle name="Migliaia 50 3 4 6" xfId="42673" xr:uid="{888133BF-0F0A-465F-AD19-88FD4858951F}"/>
    <cellStyle name="Migliaia 50 3 4 7" xfId="16722" xr:uid="{A4E8537C-F587-48AC-AC52-CA099E3BE0CE}"/>
    <cellStyle name="Migliaia 50 3 4 8" xfId="7701" xr:uid="{46FBBD16-8F53-4BA8-AE0C-FF0FB12BC25A}"/>
    <cellStyle name="Migliaia 50 3 5" xfId="3833" xr:uid="{53F95984-E938-4B29-B1BB-A0351A3403EC}"/>
    <cellStyle name="Migliaia 50 3 5 2" xfId="5559" xr:uid="{5E29E62A-A1BF-4A0A-BDFD-18F65BFA4552}"/>
    <cellStyle name="Migliaia 50 3 5 2 2" xfId="35441" xr:uid="{CAE9C389-EF08-4DBA-A93E-CF35059F16F7}"/>
    <cellStyle name="Migliaia 50 3 5 2 2 2" xfId="40601" xr:uid="{1A318973-DB6B-46C4-BEF8-62F6F3940B04}"/>
    <cellStyle name="Migliaia 50 3 5 2 2 3" xfId="45903" xr:uid="{FD0801F0-AD95-4F45-B252-CE7B435010C8}"/>
    <cellStyle name="Migliaia 50 3 5 2 3" xfId="37950" xr:uid="{8A49365B-600A-4CA0-9DEC-0C0EE7729318}"/>
    <cellStyle name="Migliaia 50 3 5 2 4" xfId="43252" xr:uid="{FD9226D6-8C1E-4118-B4C6-26096A33F5E5}"/>
    <cellStyle name="Migliaia 50 3 5 2 5" xfId="14316" xr:uid="{13FD90CA-32CD-45FC-9F78-71F7BCAA8AC8}"/>
    <cellStyle name="Migliaia 50 3 5 3" xfId="6738" xr:uid="{6E33159D-382B-47EE-9213-7FD76751C414}"/>
    <cellStyle name="Migliaia 50 3 5 3 2" xfId="40023" xr:uid="{33A34D20-8FD0-4469-9FCE-62631B854991}"/>
    <cellStyle name="Migliaia 50 3 5 3 3" xfId="45325" xr:uid="{BF2BD010-5BAF-4FA6-A923-0FA86B1E065E}"/>
    <cellStyle name="Migliaia 50 3 5 3 4" xfId="34417" xr:uid="{A95494CA-182B-438C-8A98-C4A87B92026A}"/>
    <cellStyle name="Migliaia 50 3 5 3 5" xfId="20869" xr:uid="{C2782E65-7958-4B05-B9EA-85B9F97843C9}"/>
    <cellStyle name="Migliaia 50 3 5 4" xfId="37388" xr:uid="{0A403AB0-DE8C-4B18-A7D9-34767045164C}"/>
    <cellStyle name="Migliaia 50 3 5 5" xfId="42674" xr:uid="{B652030B-B8B8-4DB0-BB96-537DC8177240}"/>
    <cellStyle name="Migliaia 50 3 5 6" xfId="16724" xr:uid="{0FD06F96-9205-4E05-AF75-23951DF26866}"/>
    <cellStyle name="Migliaia 50 3 5 7" xfId="8378" xr:uid="{DD4DD320-35CD-476F-B377-3E5557521C3D}"/>
    <cellStyle name="Migliaia 50 3 6" xfId="5554" xr:uid="{A382329F-F97D-49FC-8327-772E5B22ED8C}"/>
    <cellStyle name="Migliaia 50 3 6 2" xfId="14021" xr:uid="{F6CACADC-DBB0-4F09-B834-B9A2BAC110FF}"/>
    <cellStyle name="Migliaia 50 3 6 2 2" xfId="40024" xr:uid="{947B546E-D04E-4273-876C-64CCC357B9C5}"/>
    <cellStyle name="Migliaia 50 3 6 2 3" xfId="45326" xr:uid="{6496153B-10D6-4AE6-B85B-6826111D049B}"/>
    <cellStyle name="Migliaia 50 3 6 3" xfId="18691" xr:uid="{5B5A8ED7-1EEA-48CD-A790-A809E305CABA}"/>
    <cellStyle name="Migliaia 50 3 6 4" xfId="20870" xr:uid="{3D062D95-DC7B-4E58-9B6F-7F6BB3E49277}"/>
    <cellStyle name="Migliaia 50 3 6 4 2" xfId="42675" xr:uid="{0973CBE6-395A-4011-931E-FD67CF23D32F}"/>
    <cellStyle name="Migliaia 50 3 6 5" xfId="16725" xr:uid="{49E7B17F-7938-46A1-B875-FDEFD9C62D84}"/>
    <cellStyle name="Migliaia 50 3 6 6" xfId="8004" xr:uid="{6702DDE9-7E84-4287-91E0-649EA573514A}"/>
    <cellStyle name="Migliaia 50 3 7" xfId="6733" xr:uid="{62BD617F-CDE4-42C2-982B-57BE0EB632B4}"/>
    <cellStyle name="Migliaia 50 3 7 2" xfId="34418" xr:uid="{C3E8B5D1-6D50-4E3C-B2AD-73A9465E8D2D}"/>
    <cellStyle name="Migliaia 50 3 7 2 2" xfId="40025" xr:uid="{EC6094E0-8B2B-4C6D-AF37-C7FC15EFFBF8}"/>
    <cellStyle name="Migliaia 50 3 7 2 3" xfId="45327" xr:uid="{A8EC0085-F99B-439F-B133-8D3B39B8EFCD}"/>
    <cellStyle name="Migliaia 50 3 7 3" xfId="37389" xr:uid="{3771AF21-F5DB-4305-B8B8-DE0E2D7895B5}"/>
    <cellStyle name="Migliaia 50 3 7 4" xfId="42676" xr:uid="{17967532-4222-47CE-8344-9409967AE6B3}"/>
    <cellStyle name="Migliaia 50 3 7 5" xfId="11217" xr:uid="{EF5D6F80-CD72-4D5E-A98B-F887CCD69912}"/>
    <cellStyle name="Migliaia 50 3 8" xfId="3828" xr:uid="{171A1F20-4986-4F0F-89D7-ED14B0C5F035}"/>
    <cellStyle name="Migliaia 50 3 8 2" xfId="34419" xr:uid="{C6637934-A3C8-49DD-BE25-861DA2C81E71}"/>
    <cellStyle name="Migliaia 50 3 8 2 2" xfId="40026" xr:uid="{B9B6A5E4-C4F3-45A9-B1E8-D410534AD88B}"/>
    <cellStyle name="Migliaia 50 3 8 2 3" xfId="45328" xr:uid="{B554AC55-111A-47CA-AF48-D48ABC3DE62F}"/>
    <cellStyle name="Migliaia 50 3 8 3" xfId="37390" xr:uid="{E66D1E3D-8642-4166-8A4D-F87AC49AD70F}"/>
    <cellStyle name="Migliaia 50 3 8 4" xfId="42677" xr:uid="{911DF65D-AE62-4151-B726-7B610F6C681E}"/>
    <cellStyle name="Migliaia 50 3 8 5" xfId="25250" xr:uid="{762A0DC1-1DD2-4484-8869-DE6B6D399777}"/>
    <cellStyle name="Migliaia 50 3 8 6" xfId="17292" xr:uid="{A788A283-BECB-42CA-BB02-CECB8465A29A}"/>
    <cellStyle name="Migliaia 50 3 9" xfId="20861" xr:uid="{CF490FAF-4BCD-497E-BA06-94C5D23759FE}"/>
    <cellStyle name="Migliaia 50 4" xfId="1883" xr:uid="{00000000-0005-0000-0000-00005A040000}"/>
    <cellStyle name="Migliaia 50 4 2" xfId="1884" xr:uid="{00000000-0005-0000-0000-00005B040000}"/>
    <cellStyle name="Migliaia 50 4 2 2" xfId="5561" xr:uid="{0F6E3954-129E-48FB-8B7B-2A818B143147}"/>
    <cellStyle name="Migliaia 50 4 2 2 2" xfId="34420" xr:uid="{AFB64BA1-E2E3-461D-B970-9667DDDFB18D}"/>
    <cellStyle name="Migliaia 50 4 2 2 2 2" xfId="40027" xr:uid="{1EA62ADC-63DD-489E-BBFC-D1D831D5E574}"/>
    <cellStyle name="Migliaia 50 4 2 2 2 3" xfId="45329" xr:uid="{F63EBBB9-FCCF-4E3F-B917-DC9D53B3EF41}"/>
    <cellStyle name="Migliaia 50 4 2 2 3" xfId="37391" xr:uid="{EC7B84A3-F791-46A3-9314-E3BE5B80CF2B}"/>
    <cellStyle name="Migliaia 50 4 2 2 4" xfId="42678" xr:uid="{B5E90EBF-9CA3-4889-8B4B-46C07A41B1CE}"/>
    <cellStyle name="Migliaia 50 4 2 2 5" xfId="9198" xr:uid="{7BEA8429-9AA1-4B1C-9037-1F043577A156}"/>
    <cellStyle name="Migliaia 50 4 2 3" xfId="3835" xr:uid="{9B14D4BA-0C34-4CC9-BBCD-3D4DD522230C}"/>
    <cellStyle name="Migliaia 50 4 2 3 2" xfId="34421" xr:uid="{B3EDCFC7-AB42-4DF0-A096-805C65946814}"/>
    <cellStyle name="Migliaia 50 4 2 3 2 2" xfId="40028" xr:uid="{FE68063E-8AA2-4FE2-9A05-A4BF0223E7B4}"/>
    <cellStyle name="Migliaia 50 4 2 3 2 3" xfId="45330" xr:uid="{2B3742F0-AAD4-4CD7-A030-C8229328BF6F}"/>
    <cellStyle name="Migliaia 50 4 2 3 3" xfId="37392" xr:uid="{84FDFEC1-9506-448E-9B0B-2FA0A48D85FD}"/>
    <cellStyle name="Migliaia 50 4 2 3 4" xfId="42679" xr:uid="{2EE19DB6-F342-4B4B-8458-62C83B9F4763}"/>
    <cellStyle name="Migliaia 50 4 2 3 5" xfId="12069" xr:uid="{7DD22326-E203-4BBD-BB2E-848BC19B5307}"/>
    <cellStyle name="Migliaia 50 4 2 4" xfId="11419" xr:uid="{38556269-D6D9-4F03-B0F6-6585830EB8C4}"/>
    <cellStyle name="Migliaia 50 4 2 5" xfId="10961" xr:uid="{1B6E731C-12F8-495A-B57B-D2F7198823DF}"/>
    <cellStyle name="Migliaia 50 4 2 5 2" xfId="21596" xr:uid="{2C1DE2A8-7821-4292-89A9-4B12A0A1560F}"/>
    <cellStyle name="Migliaia 50 4 2 5 3" xfId="32552" xr:uid="{9995B144-55B5-48F0-B2FF-BBF4AC8C0F6F}"/>
    <cellStyle name="Migliaia 50 4 2 5 4" xfId="50611" xr:uid="{F1F094E6-7392-41F2-961A-5D10D0DF8737}"/>
    <cellStyle name="Migliaia 50 4 2 5 5" xfId="53627" xr:uid="{8442B180-41E4-48B8-B626-BABA407D35F6}"/>
    <cellStyle name="Migliaia 50 4 2 6" xfId="20872" xr:uid="{3DCC104B-BC23-4AB6-8DB7-91CFA94B6F00}"/>
    <cellStyle name="Migliaia 50 4 2 7" xfId="25252" xr:uid="{BFED9F1F-A020-4892-87EA-ED6151D3835E}"/>
    <cellStyle name="Migliaia 50 4 2 8" xfId="8754" xr:uid="{1EC3AACB-4610-49DF-AB5D-AC1C87391055}"/>
    <cellStyle name="Migliaia 50 4 3" xfId="5560" xr:uid="{C4AD7F81-7CA9-41B1-93BF-C5AD3BE44A35}"/>
    <cellStyle name="Migliaia 50 4 3 2" xfId="18253" xr:uid="{F1A54598-A539-4132-BAC4-BC4D5DCE6310}"/>
    <cellStyle name="Migliaia 50 4 3 2 2" xfId="40029" xr:uid="{AF659390-F0C7-4D1B-955D-E9EABE5347F1}"/>
    <cellStyle name="Migliaia 50 4 3 2 3" xfId="45331" xr:uid="{8BCC61F0-25C5-46B0-84FD-4B9E4EBD3DFB}"/>
    <cellStyle name="Migliaia 50 4 3 3" xfId="37393" xr:uid="{4D5EC592-5569-481F-A4B1-84D6EFB4C7EF}"/>
    <cellStyle name="Migliaia 50 4 3 4" xfId="42680" xr:uid="{5280886C-B230-43E4-8CA2-0151577C463C}"/>
    <cellStyle name="Migliaia 50 4 3 5" xfId="17290" xr:uid="{A6AAD607-C51F-4A4C-9388-2D247701AA03}"/>
    <cellStyle name="Migliaia 50 4 3 6" xfId="9199" xr:uid="{5D170BFE-06C4-4D50-ADBE-719B76C97852}"/>
    <cellStyle name="Migliaia 50 4 4" xfId="6739" xr:uid="{C0B22001-1E00-4F3B-B4F5-9E832502C432}"/>
    <cellStyle name="Migliaia 50 4 4 2" xfId="34422" xr:uid="{A8EF4161-11D3-4B84-AE48-8EEA94616F7D}"/>
    <cellStyle name="Migliaia 50 4 4 2 2" xfId="40030" xr:uid="{F89E9FC1-6D02-4E2A-A9DF-1B8F180577AD}"/>
    <cellStyle name="Migliaia 50 4 4 2 3" xfId="45332" xr:uid="{C404073A-514E-425D-93C7-17871B79ED56}"/>
    <cellStyle name="Migliaia 50 4 4 3" xfId="37394" xr:uid="{9662D92C-E105-4F81-A086-DD2108C43979}"/>
    <cellStyle name="Migliaia 50 4 4 4" xfId="42681" xr:uid="{091C22E1-CBD9-427B-8BD3-C703BD7023BF}"/>
    <cellStyle name="Migliaia 50 4 4 5" xfId="12070" xr:uid="{FBD360F7-1C71-4799-90E8-9992CEF4D643}"/>
    <cellStyle name="Migliaia 50 4 5" xfId="3834" xr:uid="{BBCE4333-9F34-4C47-8868-73E9F07581E4}"/>
    <cellStyle name="Migliaia 50 4 5 2" xfId="34423" xr:uid="{6B3FBD43-71D2-4158-8696-D101D7FA346E}"/>
    <cellStyle name="Migliaia 50 4 5 2 2" xfId="40031" xr:uid="{D8CF23E1-841B-4D6E-B65A-5BCFA95DA772}"/>
    <cellStyle name="Migliaia 50 4 5 2 3" xfId="45333" xr:uid="{DE83266F-482B-46B9-971C-FE3097FF3B46}"/>
    <cellStyle name="Migliaia 50 4 5 3" xfId="37395" xr:uid="{28435843-DA22-4970-91C4-0D6AF0C4B112}"/>
    <cellStyle name="Migliaia 50 4 5 4" xfId="42682" xr:uid="{5D4F1B5D-171F-4F8A-A248-9C301478053C}"/>
    <cellStyle name="Migliaia 50 4 5 5" xfId="11418" xr:uid="{6A374242-B3AF-46C2-A721-7F172D23EB5B}"/>
    <cellStyle name="Migliaia 50 4 6" xfId="10960" xr:uid="{BFD2D1D8-366B-417D-8D01-F90EB62DF495}"/>
    <cellStyle name="Migliaia 50 4 6 2" xfId="21595" xr:uid="{5ABF18D8-0A58-4AA6-8A59-1F20C8C7B68C}"/>
    <cellStyle name="Migliaia 50 4 6 2 2" xfId="40032" xr:uid="{731A747E-F619-49CD-8273-5D1963A75726}"/>
    <cellStyle name="Migliaia 50 4 6 2 3" xfId="45334" xr:uid="{F98026B0-C535-4EEA-8CF8-A95C2C38C3C1}"/>
    <cellStyle name="Migliaia 50 4 6 2 4" xfId="34424" xr:uid="{E1F20F50-416E-4CD9-8F90-BCE773B2212A}"/>
    <cellStyle name="Migliaia 50 4 6 3" xfId="37396" xr:uid="{F740C9C2-C9A8-4C7D-A275-EE2CE8791895}"/>
    <cellStyle name="Migliaia 50 4 6 4" xfId="42683" xr:uid="{0BA92DCF-9620-4E55-BF85-10B85F0AE712}"/>
    <cellStyle name="Migliaia 50 4 6 5" xfId="25253" xr:uid="{CFF56FAF-C9A8-4D3C-872C-1A1F42AC859A}"/>
    <cellStyle name="Migliaia 50 4 6 6" xfId="48379" xr:uid="{AE5F4688-CADB-496D-860C-7ED05A6F4452}"/>
    <cellStyle name="Migliaia 50 4 6 7" xfId="50610" xr:uid="{CBDB5A90-4CCE-4147-892F-4C351B847F93}"/>
    <cellStyle name="Migliaia 50 4 6 8" xfId="53626" xr:uid="{C685FDA2-65CF-41B2-8E05-78A46BF1EEE0}"/>
    <cellStyle name="Migliaia 50 4 7" xfId="20871" xr:uid="{1A2E3136-7D70-4A85-914B-896A2F92C02E}"/>
    <cellStyle name="Migliaia 50 4 7 2" xfId="34425" xr:uid="{EB0A8083-15B9-4DD8-B3CF-F21D1D3C6712}"/>
    <cellStyle name="Migliaia 50 4 7 2 2" xfId="40033" xr:uid="{1B591B1E-ED03-441B-B0B2-D39D7CB70951}"/>
    <cellStyle name="Migliaia 50 4 7 2 3" xfId="45335" xr:uid="{CFADBEA1-AC29-44DC-91B4-35F1B38C0458}"/>
    <cellStyle name="Migliaia 50 4 7 3" xfId="37397" xr:uid="{8E4436CB-A91E-42D7-A0E9-A9C8B6B213BE}"/>
    <cellStyle name="Migliaia 50 4 7 4" xfId="42684" xr:uid="{78168EE4-E40F-485A-8FC7-B5E84855C1AF}"/>
    <cellStyle name="Migliaia 50 4 7 5" xfId="25254" xr:uid="{0BDBBD68-E11A-4137-AAF4-1A2BF79A6075}"/>
    <cellStyle name="Migliaia 50 4 8" xfId="25251" xr:uid="{324C1786-9104-4590-B34B-0484F500892B}"/>
    <cellStyle name="Migliaia 50 4 9" xfId="7564" xr:uid="{49F1EA18-217B-4C73-8A0A-619A3014CB05}"/>
    <cellStyle name="Migliaia 50 5" xfId="1885" xr:uid="{00000000-0005-0000-0000-00005C040000}"/>
    <cellStyle name="Migliaia 50 5 2" xfId="5562" xr:uid="{9CE24454-31A6-4FA8-9C79-DEBD9FE6E401}"/>
    <cellStyle name="Migliaia 50 5 2 2" xfId="18499" xr:uid="{CC3A4395-69CB-4902-9256-1D13687D0B18}"/>
    <cellStyle name="Migliaia 50 5 2 2 2" xfId="40034" xr:uid="{D1854D54-B5F0-4E61-A410-C614022AE187}"/>
    <cellStyle name="Migliaia 50 5 2 2 3" xfId="45336" xr:uid="{55D88310-B6B2-4FA7-9CDC-E9CCD7EBC499}"/>
    <cellStyle name="Migliaia 50 5 2 3" xfId="20874" xr:uid="{32C3E295-32BA-4498-8788-799F5C3A558C}"/>
    <cellStyle name="Migliaia 50 5 2 3 2" xfId="37398" xr:uid="{F5FADE19-4C6E-4D3C-A538-191012BB7749}"/>
    <cellStyle name="Migliaia 50 5 2 4" xfId="42685" xr:uid="{0F444594-6669-4D98-BD03-DA62F084ADE6}"/>
    <cellStyle name="Migliaia 50 5 2 5" xfId="16726" xr:uid="{9A72C99E-FC3D-4D5D-A697-69FFE790F6FB}"/>
    <cellStyle name="Migliaia 50 5 2 6" xfId="8755" xr:uid="{9E50D41C-7671-4D65-89C2-1E7FB8DF943E}"/>
    <cellStyle name="Migliaia 50 5 3" xfId="6740" xr:uid="{D6DDAC44-3120-4FA6-8DCA-9EEBC15692D7}"/>
    <cellStyle name="Migliaia 50 5 3 2" xfId="34426" xr:uid="{CE233141-A51F-46BD-A867-A6FB07CFCA1A}"/>
    <cellStyle name="Migliaia 50 5 3 2 2" xfId="40035" xr:uid="{B8AE8195-5ABF-46FC-9772-F483890169F9}"/>
    <cellStyle name="Migliaia 50 5 3 2 3" xfId="45337" xr:uid="{7786A742-C8C9-4F90-9AAE-ECBCDA64692C}"/>
    <cellStyle name="Migliaia 50 5 3 3" xfId="37399" xr:uid="{4A90F83E-B88C-4A7A-9F7C-C07C50B84FA2}"/>
    <cellStyle name="Migliaia 50 5 3 4" xfId="42686" xr:uid="{5096A808-7149-469E-B262-651C0CAD5B50}"/>
    <cellStyle name="Migliaia 50 5 3 5" xfId="11420" xr:uid="{DD8AFE02-E369-4858-82B6-B0BCEA10D89B}"/>
    <cellStyle name="Migliaia 50 5 4" xfId="3836" xr:uid="{C7B93756-9009-454D-8D86-9D6E1C5E426D}"/>
    <cellStyle name="Migliaia 50 5 4 2" xfId="21597" xr:uid="{394008A0-8A76-45CE-8C55-1F739521531C}"/>
    <cellStyle name="Migliaia 50 5 4 2 2" xfId="40036" xr:uid="{98DC2976-DE9A-4505-9B3B-DE329D042D83}"/>
    <cellStyle name="Migliaia 50 5 4 2 3" xfId="45338" xr:uid="{060F05BD-0A19-4534-98EC-A02407435C45}"/>
    <cellStyle name="Migliaia 50 5 4 2 4" xfId="34427" xr:uid="{DFF677F9-B492-48D0-BB07-CCECD8F9DED9}"/>
    <cellStyle name="Migliaia 50 5 4 3" xfId="37400" xr:uid="{457E10BB-DAFF-46FA-B405-9D44326E3B08}"/>
    <cellStyle name="Migliaia 50 5 4 4" xfId="42687" xr:uid="{FD1D2184-E995-4D24-8915-785C2E3197E0}"/>
    <cellStyle name="Migliaia 50 5 4 5" xfId="25256" xr:uid="{040A6CC9-35ED-4E18-B00D-A3C45BAB5D27}"/>
    <cellStyle name="Migliaia 50 5 4 6" xfId="47448" xr:uid="{41AF6218-C8CE-47A5-AFCC-78D0BF869490}"/>
    <cellStyle name="Migliaia 50 5 4 7" xfId="50612" xr:uid="{8A166FFB-BFAE-4E3F-9A4E-1835F924CEA7}"/>
    <cellStyle name="Migliaia 50 5 4 8" xfId="53628" xr:uid="{A92E14EE-67DA-49D1-BA6A-DC5D1EBA9FEF}"/>
    <cellStyle name="Migliaia 50 5 4 9" xfId="10962" xr:uid="{0598AA28-2D61-4F78-BD45-03F7961EE94E}"/>
    <cellStyle name="Migliaia 50 5 5" xfId="20873" xr:uid="{80994DF5-3556-4AE2-AD3D-A0BE0578F085}"/>
    <cellStyle name="Migliaia 50 5 5 2" xfId="34428" xr:uid="{3FC35BAC-1D20-4CE9-B91A-FEBC5D272CC1}"/>
    <cellStyle name="Migliaia 50 5 5 2 2" xfId="40037" xr:uid="{75FC6697-D41D-458C-A83A-3873603B6613}"/>
    <cellStyle name="Migliaia 50 5 5 2 3" xfId="45339" xr:uid="{1C09D3A0-5D73-41EC-A0E7-C4D59847E2C6}"/>
    <cellStyle name="Migliaia 50 5 5 3" xfId="37401" xr:uid="{8E5EE701-AF06-4784-9653-4F5CD911F8EA}"/>
    <cellStyle name="Migliaia 50 5 5 4" xfId="42688" xr:uid="{B59C962F-273D-4B3B-B529-95AA5B779EFE}"/>
    <cellStyle name="Migliaia 50 5 5 5" xfId="25257" xr:uid="{00ED1456-3A4C-48A6-AA56-993067DC03CF}"/>
    <cellStyle name="Migliaia 50 5 6" xfId="25258" xr:uid="{F7CF910E-40A5-4F4A-98D3-86D86B60D843}"/>
    <cellStyle name="Migliaia 50 5 6 2" xfId="34429" xr:uid="{8068F662-D734-4AE7-9B08-00531F20E4F1}"/>
    <cellStyle name="Migliaia 50 5 6 2 2" xfId="40038" xr:uid="{56AE709A-5D1E-424B-9187-6E55E0CB8517}"/>
    <cellStyle name="Migliaia 50 5 6 2 3" xfId="45340" xr:uid="{A9EDBAB6-6F36-44E0-9F91-24B83EAB9863}"/>
    <cellStyle name="Migliaia 50 5 6 3" xfId="37402" xr:uid="{DBBF02B1-8472-49BF-9A6F-C91FA3DF6CF0}"/>
    <cellStyle name="Migliaia 50 5 6 4" xfId="42689" xr:uid="{879C00AC-11B6-48EA-9B37-CEAEBF9A04D6}"/>
    <cellStyle name="Migliaia 50 5 7" xfId="25255" xr:uid="{5B073FA8-83BA-4EAD-A393-D83C7CD38698}"/>
    <cellStyle name="Migliaia 50 5 8" xfId="7565" xr:uid="{3EBED094-B62C-42F4-BA30-900EB80E2804}"/>
    <cellStyle name="Migliaia 50 6" xfId="3837" xr:uid="{A371CFB9-2028-437F-B4EA-9C7804A49ED6}"/>
    <cellStyle name="Migliaia 50 6 2" xfId="5563" xr:uid="{20BA3BFE-3478-41C1-BD2B-2EB4B64F64F5}"/>
    <cellStyle name="Migliaia 50 6 2 2" xfId="9971" xr:uid="{86513CED-F266-489D-A8FC-D54147ECC04A}"/>
    <cellStyle name="Migliaia 50 6 2 3" xfId="18635" xr:uid="{9C3FAEAB-D0F2-42E5-AF5F-0052470305B5}"/>
    <cellStyle name="Migliaia 50 6 2 4" xfId="20876" xr:uid="{4F8DA746-4109-41E0-928C-DD96C10CDC74}"/>
    <cellStyle name="Migliaia 50 6 2 5" xfId="32456" xr:uid="{596E16D8-9107-4BE6-B4C8-FB2E79FEC034}"/>
    <cellStyle name="Migliaia 50 6 2 6" xfId="16728" xr:uid="{DF129FDB-6A08-4C0D-8058-2BCCC01F1D13}"/>
    <cellStyle name="Migliaia 50 6 2 7" xfId="8750" xr:uid="{BA6BE6C2-FD11-475B-968C-5A33AEDF0AE7}"/>
    <cellStyle name="Migliaia 50 6 3" xfId="6741" xr:uid="{821DA7F8-1DB0-439C-8CE9-6A0DC2D46436}"/>
    <cellStyle name="Migliaia 50 6 3 2" xfId="35442" xr:uid="{092DB4FC-3F60-47F4-806F-B1FEFFD2CF03}"/>
    <cellStyle name="Migliaia 50 6 3 2 2" xfId="40602" xr:uid="{7843EA1D-4B51-4023-B148-8D60751E7F5F}"/>
    <cellStyle name="Migliaia 50 6 3 2 3" xfId="45904" xr:uid="{14B61ECD-E6F2-45D3-8906-BCF01F6FBA00}"/>
    <cellStyle name="Migliaia 50 6 3 3" xfId="37951" xr:uid="{2C733FBC-C985-4054-AD21-7ADAE1517F6E}"/>
    <cellStyle name="Migliaia 50 6 3 4" xfId="43253" xr:uid="{C145806D-A57A-49F5-B546-9ADA63CF1736}"/>
    <cellStyle name="Migliaia 50 6 3 5" xfId="9734" xr:uid="{DEC5C49D-3B1D-4ADE-A162-DBA153813ACB}"/>
    <cellStyle name="Migliaia 50 6 4" xfId="20875" xr:uid="{92E347F4-9726-42B7-8DC3-95E4A372C4D2}"/>
    <cellStyle name="Migliaia 50 6 4 2" xfId="40039" xr:uid="{789DC33B-DBD1-4955-8FA6-11F9BB443358}"/>
    <cellStyle name="Migliaia 50 6 4 3" xfId="45341" xr:uid="{F300C7CD-C809-4FD8-B7C3-803C9C32B992}"/>
    <cellStyle name="Migliaia 50 6 4 4" xfId="34430" xr:uid="{1B26F56B-E7D8-4112-83F0-C9C2E5CC61E4}"/>
    <cellStyle name="Migliaia 50 6 5" xfId="37403" xr:uid="{A6FC72C6-A384-4B73-B3A2-817E99FE8C2B}"/>
    <cellStyle name="Migliaia 50 6 6" xfId="42690" xr:uid="{E90E7432-8D99-4CAC-A2BA-2A9DBF7F715E}"/>
    <cellStyle name="Migliaia 50 6 7" xfId="16727" xr:uid="{F3523076-0081-4C61-8D3A-3C2202B86910}"/>
    <cellStyle name="Migliaia 50 6 8" xfId="7560" xr:uid="{1A22BF61-C624-4E2A-B68E-607E1955695A}"/>
    <cellStyle name="Migliaia 50 7" xfId="3838" xr:uid="{80CD9E38-1608-4D63-AF43-9629E0C03EEE}"/>
    <cellStyle name="Migliaia 50 7 2" xfId="5564" xr:uid="{4BECC92C-1125-4FF3-BAAB-7520683DCD9B}"/>
    <cellStyle name="Migliaia 50 7 2 2" xfId="35443" xr:uid="{85FBE9B1-C588-4CAD-BE74-47E1FE63A112}"/>
    <cellStyle name="Migliaia 50 7 2 2 2" xfId="40603" xr:uid="{040FBA71-1142-4435-84AD-D932979A0E7A}"/>
    <cellStyle name="Migliaia 50 7 2 2 3" xfId="45905" xr:uid="{4E1664F7-EA90-456E-A00D-62F5A9AE59AC}"/>
    <cellStyle name="Migliaia 50 7 2 3" xfId="37952" xr:uid="{D3E52A8A-1829-4C0D-BA3D-D6F328254057}"/>
    <cellStyle name="Migliaia 50 7 2 4" xfId="43254" xr:uid="{D5EB6A54-C3AF-4428-ACBC-3A147F3A4236}"/>
    <cellStyle name="Migliaia 50 7 2 5" xfId="14314" xr:uid="{26BF982B-45E3-4550-8371-C1CF37CF99F5}"/>
    <cellStyle name="Migliaia 50 7 3" xfId="6742" xr:uid="{2DDFB624-42A8-4612-BD61-45F774755535}"/>
    <cellStyle name="Migliaia 50 7 3 2" xfId="40040" xr:uid="{9BC92768-F193-4406-83BA-1B11B004233F}"/>
    <cellStyle name="Migliaia 50 7 3 3" xfId="45342" xr:uid="{96DEDF34-AE49-4037-98AA-E484F1205FA3}"/>
    <cellStyle name="Migliaia 50 7 3 4" xfId="34431" xr:uid="{F1E26382-12D2-4A48-BAD2-53C3A7BC8763}"/>
    <cellStyle name="Migliaia 50 7 3 5" xfId="20877" xr:uid="{0DB37FDE-EC78-4056-8099-DC247568E64F}"/>
    <cellStyle name="Migliaia 50 7 4" xfId="37404" xr:uid="{F1761FFD-6F0F-4C08-BE8E-C36565B3C3E5}"/>
    <cellStyle name="Migliaia 50 7 5" xfId="42691" xr:uid="{5C301C0C-6FC0-4222-8698-53D792AAEE20}"/>
    <cellStyle name="Migliaia 50 7 6" xfId="16729" xr:uid="{7D04BC87-F80E-4943-9614-73442EC1D748}"/>
    <cellStyle name="Migliaia 50 7 7" xfId="8376" xr:uid="{293E46F2-B24F-4CE6-B6CB-6BD281501D9B}"/>
    <cellStyle name="Migliaia 50 8" xfId="3839" xr:uid="{33E97BBD-C1BF-45AD-89BB-CB5D003145DC}"/>
    <cellStyle name="Migliaia 50 8 2" xfId="5565" xr:uid="{F2200D22-0E42-4820-8404-E386BE09584B}"/>
    <cellStyle name="Migliaia 50 8 2 2" xfId="35444" xr:uid="{8668F01C-123B-4F40-B43F-E739EC5A4411}"/>
    <cellStyle name="Migliaia 50 8 2 2 2" xfId="40604" xr:uid="{7A4EC703-E9D1-4EF6-B77A-5716F607993F}"/>
    <cellStyle name="Migliaia 50 8 2 2 3" xfId="45906" xr:uid="{246DA7D4-D053-469C-A593-3D32D35A0924}"/>
    <cellStyle name="Migliaia 50 8 2 3" xfId="37953" xr:uid="{2FF763D6-7FED-40D9-A511-7BF1286EC985}"/>
    <cellStyle name="Migliaia 50 8 2 4" xfId="43255" xr:uid="{5C34F352-BBAE-4C46-99D9-A3CAC92F05EA}"/>
    <cellStyle name="Migliaia 50 8 2 5" xfId="14019" xr:uid="{DF9DF165-9D41-48A7-A921-CFDA00F1E0FB}"/>
    <cellStyle name="Migliaia 50 8 3" xfId="6743" xr:uid="{E4ED31A0-E29E-4DE4-9054-37DE1F282765}"/>
    <cellStyle name="Migliaia 50 8 3 2" xfId="40041" xr:uid="{EE27D4FB-EE34-4789-9885-79A49AA62861}"/>
    <cellStyle name="Migliaia 50 8 3 3" xfId="45343" xr:uid="{DA4A3227-8AE7-45B5-809B-0487118BC58E}"/>
    <cellStyle name="Migliaia 50 8 3 4" xfId="34432" xr:uid="{3250E0C0-C9F4-4043-9200-622CCF7B7A6D}"/>
    <cellStyle name="Migliaia 50 8 3 5" xfId="20878" xr:uid="{08751F4B-27AA-4B66-A3E2-E9D39F34B4D1}"/>
    <cellStyle name="Migliaia 50 8 4" xfId="37405" xr:uid="{EA7C8A04-8464-4404-B673-B89B708EFE49}"/>
    <cellStyle name="Migliaia 50 8 5" xfId="42692" xr:uid="{11D6B600-8008-49D4-BE9A-AD5ECF209B45}"/>
    <cellStyle name="Migliaia 50 8 6" xfId="16730" xr:uid="{A6CF562F-178B-48C0-AD4D-A7640726E606}"/>
    <cellStyle name="Migliaia 50 8 7" xfId="8002" xr:uid="{9B5A864A-D266-4652-AFE1-CF9F219B80FA}"/>
    <cellStyle name="Migliaia 50 9" xfId="5550" xr:uid="{DBDDFA74-FB76-4FFA-A808-B56318FDC025}"/>
    <cellStyle name="Migliaia 50 9 2" xfId="34433" xr:uid="{0587CA73-C33F-43EF-A5FF-50A33FB88CE3}"/>
    <cellStyle name="Migliaia 50 9 2 2" xfId="40042" xr:uid="{7B506BBB-C23D-400C-B139-EC41E1BE69D5}"/>
    <cellStyle name="Migliaia 50 9 2 3" xfId="45344" xr:uid="{D9C8AA83-9B16-453B-9830-4869D75B5D93}"/>
    <cellStyle name="Migliaia 50 9 3" xfId="37406" xr:uid="{990C7E2E-53A8-4EC9-9DF2-257F244A4FFD}"/>
    <cellStyle name="Migliaia 50 9 4" xfId="42693" xr:uid="{85F0C84F-56E4-4899-A194-52F712655D98}"/>
    <cellStyle name="Migliaia 50 9 5" xfId="17225" xr:uid="{06A9AC49-1E56-4BEA-96B9-B05E22E57BB0}"/>
    <cellStyle name="Migliaia 51" xfId="485" xr:uid="{00000000-0005-0000-0000-00005D040000}"/>
    <cellStyle name="Migliaia 51 10" xfId="6744" xr:uid="{AACC4D75-CF7A-4BE3-A08B-DACE5A0D9604}"/>
    <cellStyle name="Migliaia 51 10 2" xfId="40043" xr:uid="{1EF780A5-F325-4A7E-AE97-FA0769C6D1F3}"/>
    <cellStyle name="Migliaia 51 10 3" xfId="45345" xr:uid="{6AD7590D-42D9-452E-96A6-58261B2D778A}"/>
    <cellStyle name="Migliaia 51 10 4" xfId="34434" xr:uid="{59050920-9216-4691-8CDC-AFF6481CAE91}"/>
    <cellStyle name="Migliaia 51 10 5" xfId="20879" xr:uid="{254E9BDB-9B00-4985-A5FC-60EEB03DC101}"/>
    <cellStyle name="Migliaia 51 11" xfId="3840" xr:uid="{618DEF42-A21C-46FC-A76E-9C41CAE26608}"/>
    <cellStyle name="Migliaia 51 11 2" xfId="37407" xr:uid="{3722AAC4-DAA7-4000-8FC8-0BF67B3DED44}"/>
    <cellStyle name="Migliaia 51 12" xfId="42694" xr:uid="{82ACA318-E8D4-4E6A-8A33-F3C5571BE058}"/>
    <cellStyle name="Migliaia 51 13" xfId="7180" xr:uid="{22C88A87-D20D-4C82-BE78-94808A0EFA79}"/>
    <cellStyle name="Migliaia 51 2" xfId="486" xr:uid="{00000000-0005-0000-0000-00005E040000}"/>
    <cellStyle name="Migliaia 51 2 2" xfId="1886" xr:uid="{00000000-0005-0000-0000-00005F040000}"/>
    <cellStyle name="Migliaia 51 2 2 2" xfId="5568" xr:uid="{65A01FB0-C034-4D03-ADF2-21145A5E0CF0}"/>
    <cellStyle name="Migliaia 51 2 2 2 2" xfId="14409" xr:uid="{69DB1BDD-BEB0-4744-AD0A-23CA87385493}"/>
    <cellStyle name="Migliaia 51 2 2 2 2 2" xfId="40044" xr:uid="{24689146-7358-4F92-911C-834AA2BD0885}"/>
    <cellStyle name="Migliaia 51 2 2 2 2 3" xfId="45346" xr:uid="{0FC407F0-ED00-47D1-AC6D-F4717C35D7CD}"/>
    <cellStyle name="Migliaia 51 2 2 2 3" xfId="18500" xr:uid="{C92E5990-62E8-49A4-849C-438E87FC724B}"/>
    <cellStyle name="Migliaia 51 2 2 2 4" xfId="20882" xr:uid="{0B7D5AD5-0359-49AF-B2AB-5941ECFA51AD}"/>
    <cellStyle name="Migliaia 51 2 2 2 4 2" xfId="42695" xr:uid="{CFAB48F8-48C4-4684-A947-46031C345DA6}"/>
    <cellStyle name="Migliaia 51 2 2 2 5" xfId="16731" xr:uid="{86205CAD-5BA1-42A1-A48A-BA9174A0A2A4}"/>
    <cellStyle name="Migliaia 51 2 2 2 6" xfId="8757" xr:uid="{07D13B81-A7F2-4C84-AFA9-1F037EB96902}"/>
    <cellStyle name="Migliaia 51 2 2 3" xfId="6746" xr:uid="{5139F08B-47AA-4BAE-B41F-1DE4436E5FA6}"/>
    <cellStyle name="Migliaia 51 2 2 3 2" xfId="35445" xr:uid="{5FD6A422-0C61-4116-B809-0862DF381233}"/>
    <cellStyle name="Migliaia 51 2 2 3 2 2" xfId="40605" xr:uid="{9520FD4E-C6E0-4EB9-B6FB-4F9440EB7C01}"/>
    <cellStyle name="Migliaia 51 2 2 3 2 3" xfId="45907" xr:uid="{C6C66F1C-7072-4746-84AB-41729478D2AB}"/>
    <cellStyle name="Migliaia 51 2 2 3 3" xfId="37954" xr:uid="{B052A76E-4EE0-4B59-B081-ADA3227A8C76}"/>
    <cellStyle name="Migliaia 51 2 2 3 4" xfId="43256" xr:uid="{D42D326E-1E48-4896-ACF8-37ABF7A96474}"/>
    <cellStyle name="Migliaia 51 2 2 3 5" xfId="11636" xr:uid="{C53200DC-5476-48A6-B023-53C690DBFAA6}"/>
    <cellStyle name="Migliaia 51 2 2 4" xfId="3842" xr:uid="{4C940DD2-A32A-4052-A1A9-0B7253505CA9}"/>
    <cellStyle name="Migliaia 51 2 2 4 2" xfId="21598" xr:uid="{FB192CAF-31AB-4948-B955-62F01114D52F}"/>
    <cellStyle name="Migliaia 51 2 2 4 3" xfId="48140" xr:uid="{76C23F74-E6C9-4345-B9D8-FD1E53E88889}"/>
    <cellStyle name="Migliaia 51 2 2 4 4" xfId="50613" xr:uid="{E8DAFA30-80CE-4BC0-9BE2-4F34B16D270D}"/>
    <cellStyle name="Migliaia 51 2 2 4 5" xfId="53629" xr:uid="{FCE007CF-03F8-454F-BCC1-9CFF4108ED6B}"/>
    <cellStyle name="Migliaia 51 2 2 4 6" xfId="10963" xr:uid="{AD68A98C-7AF1-41D2-B3ED-E66ECF59A477}"/>
    <cellStyle name="Migliaia 51 2 2 5" xfId="20881" xr:uid="{0D2232D7-97D7-4756-82EC-6710A0349DB8}"/>
    <cellStyle name="Migliaia 51 2 2 6" xfId="25260" xr:uid="{57CB82AB-C1E5-4662-AF6C-627240B38E1C}"/>
    <cellStyle name="Migliaia 51 2 2 7" xfId="7567" xr:uid="{A5B15680-4B9D-4258-B4D3-BA9E24EE479D}"/>
    <cellStyle name="Migliaia 51 2 3" xfId="3843" xr:uid="{AAC52EA7-8BB9-440D-8EDA-BFF1B24C4178}"/>
    <cellStyle name="Migliaia 51 2 3 2" xfId="5569" xr:uid="{4411E18C-E0C7-4640-A93E-348004503912}"/>
    <cellStyle name="Migliaia 51 2 3 2 2" xfId="35446" xr:uid="{82D1C8E7-73D3-461C-851D-2A19E7A3DA2C}"/>
    <cellStyle name="Migliaia 51 2 3 2 2 2" xfId="40606" xr:uid="{6588AA90-3916-4E56-8934-EDD88A61ED83}"/>
    <cellStyle name="Migliaia 51 2 3 2 2 3" xfId="45908" xr:uid="{40694EDC-04B3-4F5E-AD9C-DA28D3DB9EF1}"/>
    <cellStyle name="Migliaia 51 2 3 2 3" xfId="37955" xr:uid="{BC0E9C44-C373-4A67-9B20-9755D6EFADE3}"/>
    <cellStyle name="Migliaia 51 2 3 2 4" xfId="43257" xr:uid="{9548DA8F-F331-46FB-A3AD-D5D314468D0F}"/>
    <cellStyle name="Migliaia 51 2 3 2 5" xfId="14318" xr:uid="{B640F0F4-1AA8-4F42-BBE2-818BEE8B28E9}"/>
    <cellStyle name="Migliaia 51 2 3 3" xfId="6747" xr:uid="{AD2512A3-CBC3-4EB8-B80F-1B1F365D37AD}"/>
    <cellStyle name="Migliaia 51 2 3 3 2" xfId="40045" xr:uid="{BC3B61EC-4871-4779-9A49-9AAE4654823F}"/>
    <cellStyle name="Migliaia 51 2 3 3 3" xfId="45347" xr:uid="{563BF86E-D805-4135-B57E-C6EC182278A7}"/>
    <cellStyle name="Migliaia 51 2 3 3 4" xfId="34435" xr:uid="{B1FFA2BB-342A-435B-89CE-A42827132B34}"/>
    <cellStyle name="Migliaia 51 2 3 3 5" xfId="20883" xr:uid="{B568ED2E-6263-4A8A-B0C3-0153C53CB3BD}"/>
    <cellStyle name="Migliaia 51 2 3 4" xfId="37408" xr:uid="{161FAD11-D0B7-4F96-A86B-2E3BA7B4191D}"/>
    <cellStyle name="Migliaia 51 2 3 5" xfId="42696" xr:uid="{BDFD5DB0-0AAE-4537-9FAB-BBCE411547A8}"/>
    <cellStyle name="Migliaia 51 2 3 6" xfId="16732" xr:uid="{C43B715A-610E-4C3B-8EBA-3FB2ACA46602}"/>
    <cellStyle name="Migliaia 51 2 3 7" xfId="8380" xr:uid="{20A2D898-9504-4A01-88A1-694A3D7EB60F}"/>
    <cellStyle name="Migliaia 51 2 4" xfId="5567" xr:uid="{B72E00B5-6BEA-423C-9227-B50B9B1E3B60}"/>
    <cellStyle name="Migliaia 51 2 4 2" xfId="14023" xr:uid="{455C510C-93AA-4419-86DA-9080F34A509C}"/>
    <cellStyle name="Migliaia 51 2 4 2 2" xfId="40046" xr:uid="{59423B34-4491-4AEB-A716-23BEFD2D0820}"/>
    <cellStyle name="Migliaia 51 2 4 2 3" xfId="45348" xr:uid="{F29A2ADB-BB82-4906-AD60-20733309B431}"/>
    <cellStyle name="Migliaia 51 2 4 3" xfId="18154" xr:uid="{DE9F55B6-A3D5-4AC9-B5B0-AB611EB16DC5}"/>
    <cellStyle name="Migliaia 51 2 4 4" xfId="20884" xr:uid="{42A4B7E8-57E8-4692-9155-356D86C33605}"/>
    <cellStyle name="Migliaia 51 2 4 4 2" xfId="42697" xr:uid="{A01CE82E-BA96-4564-B5A8-F5C4F97EBFFE}"/>
    <cellStyle name="Migliaia 51 2 4 5" xfId="16733" xr:uid="{3FA41C99-A7F2-4A54-B64A-62ABA58DBFBA}"/>
    <cellStyle name="Migliaia 51 2 4 6" xfId="8007" xr:uid="{5B222FFC-F39D-42E7-9496-82D46C6F0357}"/>
    <cellStyle name="Migliaia 51 2 5" xfId="6745" xr:uid="{5832C5BB-A2D4-40C7-A2E6-1A664E518E31}"/>
    <cellStyle name="Migliaia 51 2 5 2" xfId="34436" xr:uid="{35468F6C-6746-4AE4-BAEB-69A905956468}"/>
    <cellStyle name="Migliaia 51 2 5 2 2" xfId="40047" xr:uid="{E4BC34E5-B83F-41B0-8989-57CBAA19CFF9}"/>
    <cellStyle name="Migliaia 51 2 5 2 3" xfId="45349" xr:uid="{9D4BD845-1A6C-48AC-8149-4CED7A628C92}"/>
    <cellStyle name="Migliaia 51 2 5 3" xfId="37409" xr:uid="{F1054420-687B-41DE-B5ED-163218E98361}"/>
    <cellStyle name="Migliaia 51 2 5 4" xfId="42698" xr:uid="{5ED2A68B-88B8-4DA2-B789-F85EE736D844}"/>
    <cellStyle name="Migliaia 51 2 5 5" xfId="13149" xr:uid="{91F5B867-F141-4C4A-90E0-3985F2CDF0F9}"/>
    <cellStyle name="Migliaia 51 2 6" xfId="3841" xr:uid="{A475D162-7F50-45B2-B159-C5966420D600}"/>
    <cellStyle name="Migliaia 51 2 6 2" xfId="34437" xr:uid="{F474D48A-9787-4F03-A598-75FF96E481D3}"/>
    <cellStyle name="Migliaia 51 2 6 2 2" xfId="40048" xr:uid="{07AA8A4C-AB5C-4C77-8FC3-3F84A4D002A2}"/>
    <cellStyle name="Migliaia 51 2 6 2 3" xfId="45350" xr:uid="{6DA26545-4F20-4403-824D-1EEB95FEBE3E}"/>
    <cellStyle name="Migliaia 51 2 6 3" xfId="37410" xr:uid="{EF878B43-946F-4544-8F7A-B21588240A0B}"/>
    <cellStyle name="Migliaia 51 2 6 4" xfId="42699" xr:uid="{362532A7-264B-4478-AD55-C38954B17F04}"/>
    <cellStyle name="Migliaia 51 2 6 5" xfId="25261" xr:uid="{3BEC76DE-485C-4DCE-81EF-364D22794B3A}"/>
    <cellStyle name="Migliaia 51 2 6 6" xfId="20880" xr:uid="{4A78F5FF-6746-49A8-851A-3B0C11F717BC}"/>
    <cellStyle name="Migliaia 51 2 7" xfId="25259" xr:uid="{1C3519EC-B9B7-4063-9644-1673E3F32B7F}"/>
    <cellStyle name="Migliaia 51 2 8" xfId="7181" xr:uid="{B940C770-D136-4054-A129-E4AE430D5FDD}"/>
    <cellStyle name="Migliaia 51 3" xfId="487" xr:uid="{00000000-0005-0000-0000-000060040000}"/>
    <cellStyle name="Migliaia 51 3 10" xfId="25262" xr:uid="{EEDC3129-394C-4C8F-B82A-72A3AE915476}"/>
    <cellStyle name="Migliaia 51 3 11" xfId="16734" xr:uid="{C7418672-13A8-45E4-8EBC-C554E7C276F1}"/>
    <cellStyle name="Migliaia 51 3 12" xfId="7182" xr:uid="{1CA8BB4B-4493-4B2C-9F78-E0AC57562393}"/>
    <cellStyle name="Migliaia 51 3 2" xfId="488" xr:uid="{00000000-0005-0000-0000-000061040000}"/>
    <cellStyle name="Migliaia 51 3 2 2" xfId="1887" xr:uid="{00000000-0005-0000-0000-000062040000}"/>
    <cellStyle name="Migliaia 51 3 2 2 2" xfId="5572" xr:uid="{C9D4FC38-94E1-4E0F-8E01-E7394383E78D}"/>
    <cellStyle name="Migliaia 51 3 2 2 2 2" xfId="18501" xr:uid="{3E99B817-AC86-4930-A33E-5F45D1DAEF8A}"/>
    <cellStyle name="Migliaia 51 3 2 2 2 2 2" xfId="21887" xr:uid="{07EECA38-15F0-42F5-9016-01AD1E9271A4}"/>
    <cellStyle name="Migliaia 51 3 2 2 2 2 2 2" xfId="40049" xr:uid="{691522FC-F8E2-4A87-B71A-2903820C3B50}"/>
    <cellStyle name="Migliaia 51 3 2 2 2 2 3" xfId="45351" xr:uid="{95EC84FB-9C65-4A4A-9303-5B59EAC1891E}"/>
    <cellStyle name="Migliaia 51 3 2 2 2 2 4" xfId="34438" xr:uid="{A3C2E95D-3F04-48D2-9AC9-C6B0986799AD}"/>
    <cellStyle name="Migliaia 51 3 2 2 2 3" xfId="37411" xr:uid="{5A480581-D15C-42A0-BB25-63FB7FC3E03D}"/>
    <cellStyle name="Migliaia 51 3 2 2 2 4" xfId="42700" xr:uid="{9493302E-068F-4EE4-988A-996ECB3F1342}"/>
    <cellStyle name="Migliaia 51 3 2 2 2 5" xfId="46752" xr:uid="{F9E0791B-5C38-414B-8D10-2099A5D33426}"/>
    <cellStyle name="Migliaia 51 3 2 2 2 6" xfId="50915" xr:uid="{5BD0DD3F-D77B-4267-8A41-1E7B746D5685}"/>
    <cellStyle name="Migliaia 51 3 2 2 2 7" xfId="53931" xr:uid="{D7BFE94D-E09B-46D5-B733-6A2E025F8AB2}"/>
    <cellStyle name="Migliaia 51 3 2 2 2 8" xfId="17686" xr:uid="{4E3DE057-91F8-4A3C-9B55-67844EF58F36}"/>
    <cellStyle name="Migliaia 51 3 2 2 2 9" xfId="12071" xr:uid="{E6ED9A02-7B18-47E9-BC15-F76043316D65}"/>
    <cellStyle name="Migliaia 51 3 2 2 3" xfId="6750" xr:uid="{ABFC92A4-0C1C-4C8E-AE41-1EE37D87AF60}"/>
    <cellStyle name="Migliaia 51 3 2 2 3 2" xfId="12204" xr:uid="{D618D4D8-5F86-4200-8D1B-C7BC6BDF6AF1}"/>
    <cellStyle name="Migliaia 51 3 2 2 4" xfId="3846" xr:uid="{E0D450B9-DAF9-49E0-9A5E-93CCC4970CF0}"/>
    <cellStyle name="Migliaia 51 3 2 2 4 2" xfId="21599" xr:uid="{F5C0F943-C8B6-4B16-8BA7-7DAA736B8708}"/>
    <cellStyle name="Migliaia 51 3 2 2 4 3" xfId="48239" xr:uid="{F4951285-5602-4204-B5B2-6CF73A029478}"/>
    <cellStyle name="Migliaia 51 3 2 2 4 4" xfId="50614" xr:uid="{F4F450B9-7554-40CA-9468-5691F68A44B5}"/>
    <cellStyle name="Migliaia 51 3 2 2 4 5" xfId="53630" xr:uid="{53740DCB-A24E-4F67-8FCB-59D328F70C2B}"/>
    <cellStyle name="Migliaia 51 3 2 2 4 6" xfId="10964" xr:uid="{156D548C-2EAC-45D8-8F46-AAAFCA1ACFA9}"/>
    <cellStyle name="Migliaia 51 3 2 2 5" xfId="20887" xr:uid="{1B51F9F3-AD78-4CCD-B5E0-14BB69863916}"/>
    <cellStyle name="Migliaia 51 3 2 2 6" xfId="25264" xr:uid="{C1028061-A3B7-4CAD-A14E-BD1488644DDD}"/>
    <cellStyle name="Migliaia 51 3 2 2 7" xfId="8759" xr:uid="{3FA7D0EF-22A8-4199-BAA9-15ED7719BE3B}"/>
    <cellStyle name="Migliaia 51 3 2 3" xfId="5571" xr:uid="{5468F957-723F-49C9-8B21-5319CD9B3813}"/>
    <cellStyle name="Migliaia 51 3 2 3 2" xfId="12401" xr:uid="{6EA0C870-FA82-412A-B451-94755D43CEE5}"/>
    <cellStyle name="Migliaia 51 3 2 3 2 2" xfId="40050" xr:uid="{8EC45305-4E62-4DA5-BE68-2A68C662AED6}"/>
    <cellStyle name="Migliaia 51 3 2 3 2 3" xfId="45352" xr:uid="{48F39C2A-9DBD-4775-AD4B-D82173C24CB0}"/>
    <cellStyle name="Migliaia 51 3 2 3 2 4" xfId="34439" xr:uid="{BECE0C31-A4E9-4E85-AA26-00E24E7E98CB}"/>
    <cellStyle name="Migliaia 51 3 2 3 3" xfId="12072" xr:uid="{E112498B-D88D-42B1-9CA1-A245B91011B3}"/>
    <cellStyle name="Migliaia 51 3 2 3 4" xfId="20888" xr:uid="{B56A6D99-F1CB-48E4-A83E-825B3B1CD1BC}"/>
    <cellStyle name="Migliaia 51 3 2 3 4 2" xfId="42701" xr:uid="{3CAF63F1-E192-43E1-93C7-D83703C51BF9}"/>
    <cellStyle name="Migliaia 51 3 2 3 5" xfId="16735" xr:uid="{DC632837-F083-4A43-B8FD-E9A933A4D795}"/>
    <cellStyle name="Migliaia 51 3 2 3 6" xfId="8009" xr:uid="{14FA5821-2A7B-4C9C-853C-A454634513C2}"/>
    <cellStyle name="Migliaia 51 3 2 4" xfId="6749" xr:uid="{3FB4E0F9-19D5-422A-9F28-9D61ED2A5680}"/>
    <cellStyle name="Migliaia 51 3 2 4 2" xfId="18103" xr:uid="{59C9D4C9-4E15-4388-B880-A3F1932698B1}"/>
    <cellStyle name="Migliaia 51 3 2 4 2 2" xfId="40051" xr:uid="{62435F1B-A157-4E42-A30D-3465B43E33F7}"/>
    <cellStyle name="Migliaia 51 3 2 4 2 3" xfId="45353" xr:uid="{DB873B2E-24D7-4EA9-BC34-89AE62F12236}"/>
    <cellStyle name="Migliaia 51 3 2 4 3" xfId="37412" xr:uid="{2C2F662F-39E1-4656-822A-1FCAC7416398}"/>
    <cellStyle name="Migliaia 51 3 2 4 4" xfId="42702" xr:uid="{9B0EA5E5-A488-4D1D-B4FC-660C343ABBBA}"/>
    <cellStyle name="Migliaia 51 3 2 4 5" xfId="17228" xr:uid="{D261A442-C004-465D-9A9A-3906D00C815B}"/>
    <cellStyle name="Migliaia 51 3 2 4 6" xfId="11422" xr:uid="{222EF433-29F1-46AA-A4E6-5BFEC88396E0}"/>
    <cellStyle name="Migliaia 51 3 2 5" xfId="3845" xr:uid="{6AF79E83-0B69-48F2-877E-233B9CB08D66}"/>
    <cellStyle name="Migliaia 51 3 2 5 2" xfId="34440" xr:uid="{8DC49DEC-3616-4F1E-8996-53CF8BB16A77}"/>
    <cellStyle name="Migliaia 51 3 2 5 2 2" xfId="40052" xr:uid="{4D2C19A3-ED0F-44F0-84DD-65EA297E1766}"/>
    <cellStyle name="Migliaia 51 3 2 5 2 3" xfId="45354" xr:uid="{30F437CE-63B1-4C38-8018-57AA45A7C6B6}"/>
    <cellStyle name="Migliaia 51 3 2 5 3" xfId="37413" xr:uid="{6390DD11-07E1-40C2-8E59-213DDFA3F7CC}"/>
    <cellStyle name="Migliaia 51 3 2 5 4" xfId="42703" xr:uid="{5342C061-CB2F-4705-AB25-7CBE9E6D0BFC}"/>
    <cellStyle name="Migliaia 51 3 2 5 5" xfId="17288" xr:uid="{2DAD68B4-FF1E-46FF-BF9C-EE31B74B01F1}"/>
    <cellStyle name="Migliaia 51 3 2 6" xfId="20886" xr:uid="{B6A128D0-F5AB-480C-A135-A8877C69E2AB}"/>
    <cellStyle name="Migliaia 51 3 2 6 2" xfId="34441" xr:uid="{1B393B5B-C029-47DB-846F-22A1A7DD7193}"/>
    <cellStyle name="Migliaia 51 3 2 6 2 2" xfId="40053" xr:uid="{8DCC4DF8-B170-4953-B39E-832DE9A4DC9D}"/>
    <cellStyle name="Migliaia 51 3 2 6 2 3" xfId="45355" xr:uid="{373DF620-FC77-4F31-A7C6-A9F69580C115}"/>
    <cellStyle name="Migliaia 51 3 2 6 3" xfId="37414" xr:uid="{19E4A576-8ACE-4648-B821-9E0ACE5CC882}"/>
    <cellStyle name="Migliaia 51 3 2 6 4" xfId="42704" xr:uid="{098BFA88-A937-43F0-ABE8-04380B89604C}"/>
    <cellStyle name="Migliaia 51 3 2 6 5" xfId="25265" xr:uid="{ADCBB565-B2F5-41B5-99B2-14B2E2E8BA03}"/>
    <cellStyle name="Migliaia 51 3 2 7" xfId="25263" xr:uid="{83C7EA8C-5152-4D07-86CA-129101B42445}"/>
    <cellStyle name="Migliaia 51 3 2 8" xfId="7569" xr:uid="{AA2332FD-4B25-4183-B416-B72D80CD07C6}"/>
    <cellStyle name="Migliaia 51 3 3" xfId="3847" xr:uid="{F95EDA76-92EB-45F1-95CF-B369510ED1A3}"/>
    <cellStyle name="Migliaia 51 3 3 10" xfId="7568" xr:uid="{FEDA4A63-A000-4F2D-B71D-6C54F953F1B5}"/>
    <cellStyle name="Migliaia 51 3 3 2" xfId="5573" xr:uid="{8832C0C3-B99F-4792-90F1-44F323CACD69}"/>
    <cellStyle name="Migliaia 51 3 3 2 2" xfId="9974" xr:uid="{2806FCCC-5917-4DB9-8D93-A94D6FB7F492}"/>
    <cellStyle name="Migliaia 51 3 3 2 2 2" xfId="40055" xr:uid="{75EF6C1E-3B8E-4825-857B-A57FDCAA50F3}"/>
    <cellStyle name="Migliaia 51 3 3 2 2 3" xfId="45357" xr:uid="{7A2D9311-7E6A-4A29-B672-01D79EC7F38A}"/>
    <cellStyle name="Migliaia 51 3 3 2 3" xfId="18254" xr:uid="{CC3B53B7-EBA5-4F3A-83ED-FEFB4249AA7F}"/>
    <cellStyle name="Migliaia 51 3 3 2 4" xfId="20890" xr:uid="{4388B202-5B12-450D-92A6-82786117DA0D}"/>
    <cellStyle name="Migliaia 51 3 3 2 4 2" xfId="42706" xr:uid="{5CF73747-6EA1-42FE-B336-547019361A38}"/>
    <cellStyle name="Migliaia 51 3 3 2 5" xfId="16737" xr:uid="{7127C657-A3AC-4ADB-A12F-213FB6AA4390}"/>
    <cellStyle name="Migliaia 51 3 3 2 6" xfId="8758" xr:uid="{E41BB661-E489-4C3C-A8AB-05B5BC821226}"/>
    <cellStyle name="Migliaia 51 3 3 3" xfId="6751" xr:uid="{A24C6DE4-2606-4764-8B70-6D906A498FD6}"/>
    <cellStyle name="Migliaia 51 3 3 3 2" xfId="34443" xr:uid="{BB22CD5B-0574-4FFF-8DA0-C3C8091BC89F}"/>
    <cellStyle name="Migliaia 51 3 3 3 2 2" xfId="40056" xr:uid="{0872971B-C691-4D3F-9E6C-F3A182842416}"/>
    <cellStyle name="Migliaia 51 3 3 3 2 3" xfId="45358" xr:uid="{5291D30E-DF86-4B4F-978A-B43D84906B9B}"/>
    <cellStyle name="Migliaia 51 3 3 3 3" xfId="37416" xr:uid="{AA7C3D4B-2C8A-436C-9C63-04BEBAF5656E}"/>
    <cellStyle name="Migliaia 51 3 3 3 4" xfId="42707" xr:uid="{C80D93B2-0560-4DF3-9A9D-8433A9377A62}"/>
    <cellStyle name="Migliaia 51 3 3 3 5" xfId="9737" xr:uid="{A3F0E2AE-F6B2-45BC-8023-FF45B8DE96B9}"/>
    <cellStyle name="Migliaia 51 3 3 4" xfId="20889" xr:uid="{7C7DC3F9-D14E-4780-8261-D7CCC83475A2}"/>
    <cellStyle name="Migliaia 51 3 3 4 2" xfId="34444" xr:uid="{DC0F437F-B127-4A13-B38B-01E23E16EEE9}"/>
    <cellStyle name="Migliaia 51 3 3 4 2 2" xfId="40057" xr:uid="{E1FB3E29-4772-421A-869C-A66EB53077D4}"/>
    <cellStyle name="Migliaia 51 3 3 4 2 3" xfId="45359" xr:uid="{00C20CDF-A8CC-4342-9F22-0F6A97BED62C}"/>
    <cellStyle name="Migliaia 51 3 3 4 3" xfId="37417" xr:uid="{8A62CD0C-BF1E-46FD-AFA0-A61AF66E42B7}"/>
    <cellStyle name="Migliaia 51 3 3 4 4" xfId="42708" xr:uid="{799CAB45-19A0-4631-A6D6-96969EC872B9}"/>
    <cellStyle name="Migliaia 51 3 3 4 5" xfId="25266" xr:uid="{E1F87FDA-262B-4162-87AF-B87E2846CE37}"/>
    <cellStyle name="Migliaia 51 3 3 5" xfId="25267" xr:uid="{2321537E-8128-4A92-8C4F-CA5534354602}"/>
    <cellStyle name="Migliaia 51 3 3 5 2" xfId="34445" xr:uid="{2D35A12A-E098-46BE-9D01-E2F6F02E9F6A}"/>
    <cellStyle name="Migliaia 51 3 3 5 2 2" xfId="40058" xr:uid="{B5C77B17-6536-4037-A439-1E7A29BDDB6C}"/>
    <cellStyle name="Migliaia 51 3 3 5 2 3" xfId="45360" xr:uid="{B80CA341-72AA-40AE-A36D-6ECDABB8057D}"/>
    <cellStyle name="Migliaia 51 3 3 5 3" xfId="37418" xr:uid="{2CFEB244-04F3-4D28-93E7-3EEA2690FC1B}"/>
    <cellStyle name="Migliaia 51 3 3 5 4" xfId="42709" xr:uid="{EC8C7066-0E7E-4BEF-B060-1369FFF0E3E7}"/>
    <cellStyle name="Migliaia 51 3 3 6" xfId="34442" xr:uid="{815078C5-8494-4CE1-A0A6-E82E13681697}"/>
    <cellStyle name="Migliaia 51 3 3 6 2" xfId="40054" xr:uid="{4DC94106-94AA-4C5D-BC1D-4DDD23E9E8FE}"/>
    <cellStyle name="Migliaia 51 3 3 6 3" xfId="45356" xr:uid="{AB9FDC4F-6BC1-421F-BB29-FAA1408D3604}"/>
    <cellStyle name="Migliaia 51 3 3 7" xfId="37415" xr:uid="{890B3C1B-6821-46E6-BD71-9CD792F64667}"/>
    <cellStyle name="Migliaia 51 3 3 8" xfId="42705" xr:uid="{3B7D3152-B04A-4078-8AB9-D2A833D6DEA0}"/>
    <cellStyle name="Migliaia 51 3 3 9" xfId="16736" xr:uid="{D8DAB506-0BB9-43DD-8C94-4E367C28D26A}"/>
    <cellStyle name="Migliaia 51 3 4" xfId="3848" xr:uid="{EE0B44F8-EB5A-44B9-A26F-5F0B1B85E61A}"/>
    <cellStyle name="Migliaia 51 3 4 2" xfId="5574" xr:uid="{35A4ACEE-D015-4CB5-B468-D5B5696FFDCF}"/>
    <cellStyle name="Migliaia 51 3 4 2 2" xfId="14469" xr:uid="{F0D5F85F-5814-4DAA-BE57-89F034534F4A}"/>
    <cellStyle name="Migliaia 51 3 4 2 3" xfId="18046" xr:uid="{B3FAACBC-D301-4D03-91B8-6094C24090C8}"/>
    <cellStyle name="Migliaia 51 3 4 2 4" xfId="20892" xr:uid="{A9F91AB3-DCAA-4D61-A227-9464C5E08BA6}"/>
    <cellStyle name="Migliaia 51 3 4 2 5" xfId="32457" xr:uid="{B86287A1-A96A-48C8-87A9-C685566E5C8D}"/>
    <cellStyle name="Migliaia 51 3 4 2 6" xfId="16739" xr:uid="{D9E93EFD-E2C5-4FD4-A1A8-0B15B7D4BA34}"/>
    <cellStyle name="Migliaia 51 3 4 2 7" xfId="8892" xr:uid="{A3595935-2301-4528-BF91-993FC143F85E}"/>
    <cellStyle name="Migliaia 51 3 4 3" xfId="6752" xr:uid="{53D5B2D1-6A78-4314-A5DC-BE623023CB11}"/>
    <cellStyle name="Migliaia 51 3 4 3 2" xfId="35447" xr:uid="{2C873F54-9E66-482A-90B2-B66833DB3B10}"/>
    <cellStyle name="Migliaia 51 3 4 3 2 2" xfId="40607" xr:uid="{1B5BEAFE-E855-4507-A4CE-DA70E98D0D7F}"/>
    <cellStyle name="Migliaia 51 3 4 3 2 3" xfId="45909" xr:uid="{7F456736-133C-4648-BAAD-94803E170A81}"/>
    <cellStyle name="Migliaia 51 3 4 3 3" xfId="37956" xr:uid="{9B805263-5059-4695-8392-F83FDD15D95B}"/>
    <cellStyle name="Migliaia 51 3 4 3 4" xfId="43258" xr:uid="{0DDBB22E-9066-4D42-B960-CCCE0EF85B9B}"/>
    <cellStyle name="Migliaia 51 3 4 3 5" xfId="13717" xr:uid="{B8D8ECE5-894E-4091-BAA2-4BF1E3D9C940}"/>
    <cellStyle name="Migliaia 51 3 4 4" xfId="20891" xr:uid="{17C72E51-720D-4100-A989-772D1472D77C}"/>
    <cellStyle name="Migliaia 51 3 4 4 2" xfId="40059" xr:uid="{86E460EE-8E3D-499C-90DA-2283A03FCDD1}"/>
    <cellStyle name="Migliaia 51 3 4 4 3" xfId="45361" xr:uid="{4F73B98F-9B47-436A-80FA-E1A27649B8E7}"/>
    <cellStyle name="Migliaia 51 3 4 4 4" xfId="34446" xr:uid="{1C70B74F-C1E9-4CA9-A4CB-B98EC4866501}"/>
    <cellStyle name="Migliaia 51 3 4 5" xfId="37419" xr:uid="{E7B85C02-FF11-4474-8F39-814B5B2E6C1E}"/>
    <cellStyle name="Migliaia 51 3 4 6" xfId="42710" xr:uid="{8B6554D2-D404-45EB-827A-E5629DEE1417}"/>
    <cellStyle name="Migliaia 51 3 4 7" xfId="16738" xr:uid="{6D2861F1-9150-499F-9BB2-5723DB569E7D}"/>
    <cellStyle name="Migliaia 51 3 4 8" xfId="7702" xr:uid="{55222F6A-454B-4E36-AC8D-09260AA81642}"/>
    <cellStyle name="Migliaia 51 3 5" xfId="3849" xr:uid="{5ADA7F42-8A78-40BE-9AF7-D55388D481CE}"/>
    <cellStyle name="Migliaia 51 3 5 2" xfId="5575" xr:uid="{8E840EBA-D277-4909-9E47-C263F89822F2}"/>
    <cellStyle name="Migliaia 51 3 5 2 2" xfId="35448" xr:uid="{332A61DA-DEE0-46E3-B891-D08670C9BECE}"/>
    <cellStyle name="Migliaia 51 3 5 2 2 2" xfId="40608" xr:uid="{9C2A628E-B51C-44A0-89BC-6747A0877996}"/>
    <cellStyle name="Migliaia 51 3 5 2 2 3" xfId="45910" xr:uid="{686646C1-274B-44CE-A289-5BB6838A6CBF}"/>
    <cellStyle name="Migliaia 51 3 5 2 3" xfId="37957" xr:uid="{B9F42A48-97F2-4E36-87CB-1FE40C6ED432}"/>
    <cellStyle name="Migliaia 51 3 5 2 4" xfId="43259" xr:uid="{4065EE2D-7034-4438-9F08-C8045EFF23B9}"/>
    <cellStyle name="Migliaia 51 3 5 2 5" xfId="14319" xr:uid="{32D17BE1-DFE4-4E63-9D07-329DC420C1EF}"/>
    <cellStyle name="Migliaia 51 3 5 3" xfId="6753" xr:uid="{D1B0A480-40D4-46B1-B85D-4A6267E8401E}"/>
    <cellStyle name="Migliaia 51 3 5 3 2" xfId="40060" xr:uid="{3D27DEDF-EF41-49AD-8E4D-1AFD09EA1EE7}"/>
    <cellStyle name="Migliaia 51 3 5 3 3" xfId="45362" xr:uid="{37F70042-DF34-4EEC-89A6-DD1C2C6AC18A}"/>
    <cellStyle name="Migliaia 51 3 5 3 4" xfId="34447" xr:uid="{9CB4D862-8FE4-4CAF-8284-147B7887FCE3}"/>
    <cellStyle name="Migliaia 51 3 5 3 5" xfId="20893" xr:uid="{D44E1B07-1C0C-40CC-A6AD-19656488944C}"/>
    <cellStyle name="Migliaia 51 3 5 4" xfId="37420" xr:uid="{AD6CB6F0-81CE-41F4-ACB0-658075D97DB4}"/>
    <cellStyle name="Migliaia 51 3 5 5" xfId="42711" xr:uid="{CB216156-A5C3-4C7D-B031-B4EB39AE8A58}"/>
    <cellStyle name="Migliaia 51 3 5 6" xfId="16740" xr:uid="{43B103A6-8101-449E-A24D-DCDF11A5F2EA}"/>
    <cellStyle name="Migliaia 51 3 5 7" xfId="8381" xr:uid="{4B1A62C7-1498-4C4C-BBC9-00F570470006}"/>
    <cellStyle name="Migliaia 51 3 6" xfId="5570" xr:uid="{625C77C9-166B-497C-B063-E8F85BB936DC}"/>
    <cellStyle name="Migliaia 51 3 6 2" xfId="14024" xr:uid="{E81096C7-E17B-4C22-ACB8-283C27741704}"/>
    <cellStyle name="Migliaia 51 3 6 2 2" xfId="40061" xr:uid="{3ADC097F-D49F-4A2A-8158-5537DA3C192B}"/>
    <cellStyle name="Migliaia 51 3 6 2 3" xfId="45363" xr:uid="{38ACA782-8A97-42B1-A856-C0E681F00D9D}"/>
    <cellStyle name="Migliaia 51 3 6 3" xfId="18690" xr:uid="{68C06613-F26B-40B2-9275-96531CF461BD}"/>
    <cellStyle name="Migliaia 51 3 6 4" xfId="20894" xr:uid="{C2E2EA3E-AB1B-4C13-BAC7-89C9627B00E2}"/>
    <cellStyle name="Migliaia 51 3 6 4 2" xfId="42712" xr:uid="{5A6CAD93-B5DA-4690-BEE1-816C5BD58412}"/>
    <cellStyle name="Migliaia 51 3 6 5" xfId="16741" xr:uid="{1427EA86-6BE4-40D6-AA55-3EBFCA655BD5}"/>
    <cellStyle name="Migliaia 51 3 6 6" xfId="8008" xr:uid="{A8645A47-4767-4A59-9933-B1C8E83BD337}"/>
    <cellStyle name="Migliaia 51 3 7" xfId="6748" xr:uid="{393AFC89-CFB9-4C48-A486-C73E49E36684}"/>
    <cellStyle name="Migliaia 51 3 7 2" xfId="34448" xr:uid="{D1F0EE13-0DD6-444F-A898-13593E0F92B9}"/>
    <cellStyle name="Migliaia 51 3 7 2 2" xfId="40062" xr:uid="{B54A7294-BE4F-418C-862D-A039DE8D22C2}"/>
    <cellStyle name="Migliaia 51 3 7 2 3" xfId="45364" xr:uid="{F5AE59BD-A879-4975-9974-516F67887B80}"/>
    <cellStyle name="Migliaia 51 3 7 3" xfId="37421" xr:uid="{9D3B119E-8388-44C0-84A6-5F3E84737A44}"/>
    <cellStyle name="Migliaia 51 3 7 4" xfId="42713" xr:uid="{B1310912-1607-49B3-8470-D125C7033BB1}"/>
    <cellStyle name="Migliaia 51 3 7 5" xfId="11128" xr:uid="{CB04B241-FF8C-471B-91CB-52AF0A69CF6A}"/>
    <cellStyle name="Migliaia 51 3 8" xfId="3844" xr:uid="{1C60F52E-5FBF-4613-94A9-48448D399308}"/>
    <cellStyle name="Migliaia 51 3 8 2" xfId="34449" xr:uid="{CD1BCB7F-8DA7-4B9D-A73B-B8B4BCC5F37A}"/>
    <cellStyle name="Migliaia 51 3 8 2 2" xfId="40063" xr:uid="{6D8B5CF2-FF35-44E1-838E-345ACC3B8BE7}"/>
    <cellStyle name="Migliaia 51 3 8 2 3" xfId="45365" xr:uid="{4D9203A5-06D9-4999-9A09-A8324FEF2DBE}"/>
    <cellStyle name="Migliaia 51 3 8 3" xfId="37422" xr:uid="{15AFDBC7-DD08-42C4-ABC1-690A06AC296F}"/>
    <cellStyle name="Migliaia 51 3 8 4" xfId="42714" xr:uid="{14485DC0-32CA-4335-8B14-1E18C4AB6F81}"/>
    <cellStyle name="Migliaia 51 3 8 5" xfId="25268" xr:uid="{975B8F5C-7EAA-4D6D-8DDC-AEC69B412F9C}"/>
    <cellStyle name="Migliaia 51 3 8 6" xfId="17289" xr:uid="{D0964318-79F3-477E-84E8-0E6203B22C14}"/>
    <cellStyle name="Migliaia 51 3 9" xfId="20885" xr:uid="{92D0026A-58AB-4B80-A32A-0231F1703454}"/>
    <cellStyle name="Migliaia 51 4" xfId="1888" xr:uid="{00000000-0005-0000-0000-000063040000}"/>
    <cellStyle name="Migliaia 51 4 2" xfId="1889" xr:uid="{00000000-0005-0000-0000-000064040000}"/>
    <cellStyle name="Migliaia 51 4 2 2" xfId="5577" xr:uid="{75FA0004-DE90-407B-93B6-2F250AF634BD}"/>
    <cellStyle name="Migliaia 51 4 2 2 2" xfId="34450" xr:uid="{B8BDB6AD-F367-429C-BE99-54BD290F619C}"/>
    <cellStyle name="Migliaia 51 4 2 2 2 2" xfId="40064" xr:uid="{0B3E15DF-CCB0-453D-A563-D51C67D7245F}"/>
    <cellStyle name="Migliaia 51 4 2 2 2 3" xfId="45366" xr:uid="{F356C5FC-5FC1-4662-BDDC-9C136C3BF7A9}"/>
    <cellStyle name="Migliaia 51 4 2 2 3" xfId="37423" xr:uid="{B4746189-D759-45D4-824B-C27C5990C982}"/>
    <cellStyle name="Migliaia 51 4 2 2 4" xfId="42715" xr:uid="{8FC4D0F8-5B41-437F-96B8-7B10CF76B467}"/>
    <cellStyle name="Migliaia 51 4 2 2 5" xfId="9200" xr:uid="{115C23CA-3C5F-47A5-B159-3ACC7A9BFCDB}"/>
    <cellStyle name="Migliaia 51 4 2 3" xfId="3851" xr:uid="{8C651A77-98CE-488E-A6D9-8D4AF767DA35}"/>
    <cellStyle name="Migliaia 51 4 2 3 2" xfId="34451" xr:uid="{5635B184-E56D-4CA0-895D-DBB8F5E5F112}"/>
    <cellStyle name="Migliaia 51 4 2 3 2 2" xfId="40065" xr:uid="{D315C9BC-01F7-454F-9337-515FDD35E565}"/>
    <cellStyle name="Migliaia 51 4 2 3 2 3" xfId="45367" xr:uid="{18944AA0-CCBB-4049-8828-0265A0E58F60}"/>
    <cellStyle name="Migliaia 51 4 2 3 3" xfId="37424" xr:uid="{F01280DB-55AE-44F0-9E61-26073D75C68C}"/>
    <cellStyle name="Migliaia 51 4 2 3 4" xfId="42716" xr:uid="{1C2BA31E-50E7-469B-8E66-319525C29D04}"/>
    <cellStyle name="Migliaia 51 4 2 3 5" xfId="12073" xr:uid="{17E120F5-094C-4557-A12A-C18214B97E40}"/>
    <cellStyle name="Migliaia 51 4 2 4" xfId="11424" xr:uid="{12163FAA-EE00-40BC-9622-AAF588F2AC82}"/>
    <cellStyle name="Migliaia 51 4 2 5" xfId="10966" xr:uid="{D0032F20-B0DD-463F-A1C5-70A72536977F}"/>
    <cellStyle name="Migliaia 51 4 2 5 2" xfId="21601" xr:uid="{2A14B30D-2971-469E-819A-AA848A14E8FD}"/>
    <cellStyle name="Migliaia 51 4 2 5 3" xfId="46261" xr:uid="{3B5038CE-ECC3-408F-B443-036F5CA02075}"/>
    <cellStyle name="Migliaia 51 4 2 5 4" xfId="50616" xr:uid="{A0528E47-4775-454A-9CCB-6B3C89781E03}"/>
    <cellStyle name="Migliaia 51 4 2 5 5" xfId="53632" xr:uid="{9AD12CCB-F4FA-4A9D-88A7-99FFD49E30B5}"/>
    <cellStyle name="Migliaia 51 4 2 6" xfId="20896" xr:uid="{3A07A07D-330C-4E95-8FB3-843EED434E74}"/>
    <cellStyle name="Migliaia 51 4 2 7" xfId="25270" xr:uid="{39DBA420-2028-4330-8949-DAA2B02867FE}"/>
    <cellStyle name="Migliaia 51 4 2 8" xfId="8760" xr:uid="{15C170DE-2F8F-4649-BC6B-A3AB6E14F272}"/>
    <cellStyle name="Migliaia 51 4 3" xfId="5576" xr:uid="{AC0D6A30-F049-43FB-8C5C-60674D8A342A}"/>
    <cellStyle name="Migliaia 51 4 3 2" xfId="18255" xr:uid="{5E8E0270-9DB0-460C-B895-0FE105B92A42}"/>
    <cellStyle name="Migliaia 51 4 3 2 2" xfId="40066" xr:uid="{DC3A2861-FA35-475B-BCDE-613305061311}"/>
    <cellStyle name="Migliaia 51 4 3 2 3" xfId="45368" xr:uid="{FB98ED08-6512-4DEC-8299-CDEDE76ECE03}"/>
    <cellStyle name="Migliaia 51 4 3 3" xfId="37425" xr:uid="{835F1C73-13EF-464B-B2B8-AC28F07FB4DF}"/>
    <cellStyle name="Migliaia 51 4 3 4" xfId="42717" xr:uid="{3906885B-674B-4E1C-BCA0-09B90CFCEDB4}"/>
    <cellStyle name="Migliaia 51 4 3 5" xfId="17287" xr:uid="{51B83CF4-6C4B-44B7-9181-C7F6405C3216}"/>
    <cellStyle name="Migliaia 51 4 3 6" xfId="9201" xr:uid="{FB431797-EDC1-4B86-92CA-41EBAE6EC05E}"/>
    <cellStyle name="Migliaia 51 4 4" xfId="6754" xr:uid="{8627033C-CEA5-4BE9-8875-4B6C1A37899A}"/>
    <cellStyle name="Migliaia 51 4 4 2" xfId="34452" xr:uid="{1461472C-A835-49FB-9D9F-7458888E96A9}"/>
    <cellStyle name="Migliaia 51 4 4 2 2" xfId="40067" xr:uid="{9220C2AC-A756-4721-AA30-3E7F466EAF86}"/>
    <cellStyle name="Migliaia 51 4 4 2 3" xfId="45369" xr:uid="{18EA6514-5159-45AD-892D-56E7D243B076}"/>
    <cellStyle name="Migliaia 51 4 4 3" xfId="37426" xr:uid="{CA5CE187-BA68-4935-B207-5F5C2246AE8F}"/>
    <cellStyle name="Migliaia 51 4 4 4" xfId="42718" xr:uid="{2F3C1089-2551-4D7B-9732-65C0B3875245}"/>
    <cellStyle name="Migliaia 51 4 4 5" xfId="12074" xr:uid="{7B81C56B-1710-4454-BCE5-FFCC196B1EEB}"/>
    <cellStyle name="Migliaia 51 4 5" xfId="3850" xr:uid="{F8755A77-E664-4A3A-91F3-384017DD3BBA}"/>
    <cellStyle name="Migliaia 51 4 5 2" xfId="34453" xr:uid="{BD49CE2A-E4F1-4D64-AB11-6B7F762C6C67}"/>
    <cellStyle name="Migliaia 51 4 5 2 2" xfId="40068" xr:uid="{3295057F-1103-4F97-A54C-3616155E8586}"/>
    <cellStyle name="Migliaia 51 4 5 2 3" xfId="45370" xr:uid="{FA8EE575-1876-4684-9DA5-2A9953F89C31}"/>
    <cellStyle name="Migliaia 51 4 5 3" xfId="37427" xr:uid="{6944435E-A98A-4101-BDE6-438F21292A5A}"/>
    <cellStyle name="Migliaia 51 4 5 4" xfId="42719" xr:uid="{E6ABB800-ADD4-4C1F-AD48-B68211DF89B4}"/>
    <cellStyle name="Migliaia 51 4 5 5" xfId="11423" xr:uid="{146CD7D9-D4AD-4EAE-8461-43FED7F4A71E}"/>
    <cellStyle name="Migliaia 51 4 6" xfId="10965" xr:uid="{BDA2B445-5E3A-4A93-8D34-E027A38DEBBC}"/>
    <cellStyle name="Migliaia 51 4 6 2" xfId="21600" xr:uid="{A583FBCC-2079-4C75-B8B2-4AEAA9BA8198}"/>
    <cellStyle name="Migliaia 51 4 6 2 2" xfId="40069" xr:uid="{37309D4F-589F-40D3-8336-612D8C8DCABB}"/>
    <cellStyle name="Migliaia 51 4 6 2 3" xfId="45371" xr:uid="{A7EE51B7-AAE4-4C65-8133-1301C1D311F3}"/>
    <cellStyle name="Migliaia 51 4 6 2 4" xfId="34454" xr:uid="{CB61338F-8D8F-4A7F-A9E6-36F1E419A793}"/>
    <cellStyle name="Migliaia 51 4 6 3" xfId="37428" xr:uid="{56CBA54C-894D-493C-BDD9-EC63D34BD5AC}"/>
    <cellStyle name="Migliaia 51 4 6 4" xfId="42720" xr:uid="{BBECB8EF-D25F-4099-8673-0D81272181C4}"/>
    <cellStyle name="Migliaia 51 4 6 5" xfId="25271" xr:uid="{7B5513FC-E8E5-4A26-9298-365CC5F22DEE}"/>
    <cellStyle name="Migliaia 51 4 6 6" xfId="23992" xr:uid="{76FF9638-25B9-4B4D-A77F-A556F83180C2}"/>
    <cellStyle name="Migliaia 51 4 6 7" xfId="50615" xr:uid="{D864E286-94F6-4BCE-AA43-7AB87D6B9F30}"/>
    <cellStyle name="Migliaia 51 4 6 8" xfId="53631" xr:uid="{27FE056F-CAB2-49F6-B331-4CAB1E73D360}"/>
    <cellStyle name="Migliaia 51 4 7" xfId="20895" xr:uid="{BB66D15A-2065-472A-9FB7-7B0B006CF08E}"/>
    <cellStyle name="Migliaia 51 4 7 2" xfId="34455" xr:uid="{AD9BFAF1-D590-4902-B092-6F8D66197D5E}"/>
    <cellStyle name="Migliaia 51 4 7 2 2" xfId="40070" xr:uid="{2408A1D4-F658-412C-917F-8181DC58C39A}"/>
    <cellStyle name="Migliaia 51 4 7 2 3" xfId="45372" xr:uid="{B960DD17-D2D8-4592-8CCF-40278948E7C0}"/>
    <cellStyle name="Migliaia 51 4 7 3" xfId="37429" xr:uid="{04C7728D-488B-468D-82E6-B456E7C229D3}"/>
    <cellStyle name="Migliaia 51 4 7 4" xfId="42721" xr:uid="{AC204B21-3BF4-49E9-8485-04B16B489C01}"/>
    <cellStyle name="Migliaia 51 4 7 5" xfId="25272" xr:uid="{A63762C1-E0FD-49AF-BEC2-AFD6E6CC0304}"/>
    <cellStyle name="Migliaia 51 4 8" xfId="25269" xr:uid="{D23B320B-0316-4F7A-A956-D77460EDF12B}"/>
    <cellStyle name="Migliaia 51 4 9" xfId="7570" xr:uid="{447B5022-8019-409A-99C4-088164EF8368}"/>
    <cellStyle name="Migliaia 51 5" xfId="1890" xr:uid="{00000000-0005-0000-0000-000065040000}"/>
    <cellStyle name="Migliaia 51 5 2" xfId="5578" xr:uid="{1EAF9CB0-5795-4A4C-AD74-6A03A80E7E52}"/>
    <cellStyle name="Migliaia 51 5 2 2" xfId="18502" xr:uid="{AF1BF1C5-A10E-44DD-9DBC-65519C55E9F0}"/>
    <cellStyle name="Migliaia 51 5 2 2 2" xfId="40071" xr:uid="{27FB7BBD-549D-42BA-98AD-12D503C036D1}"/>
    <cellStyle name="Migliaia 51 5 2 2 3" xfId="45373" xr:uid="{C0BBD35B-EA73-4401-AF0D-E034EE4289B6}"/>
    <cellStyle name="Migliaia 51 5 2 3" xfId="20898" xr:uid="{EE905997-9338-45B5-A672-1C79F837666D}"/>
    <cellStyle name="Migliaia 51 5 2 3 2" xfId="37430" xr:uid="{6A88741F-7009-4E9C-BE84-EE5C431344E9}"/>
    <cellStyle name="Migliaia 51 5 2 4" xfId="42722" xr:uid="{DE6980F6-6205-42A3-854B-C1B3DB43E021}"/>
    <cellStyle name="Migliaia 51 5 2 5" xfId="16742" xr:uid="{38C9ABBD-69F8-48E6-BDAB-A98797A333CF}"/>
    <cellStyle name="Migliaia 51 5 2 6" xfId="8761" xr:uid="{CE1345BA-5E1F-4BFA-980A-6852A741C8E8}"/>
    <cellStyle name="Migliaia 51 5 3" xfId="6755" xr:uid="{4F366AE7-23DC-4EC1-A0B8-35CBDDF39021}"/>
    <cellStyle name="Migliaia 51 5 3 2" xfId="34456" xr:uid="{96A89A2C-9DD5-438C-86FE-41422063ED37}"/>
    <cellStyle name="Migliaia 51 5 3 2 2" xfId="40072" xr:uid="{91A6618C-6CFB-42F2-8F51-064A31D6406C}"/>
    <cellStyle name="Migliaia 51 5 3 2 3" xfId="45374" xr:uid="{509F17CF-2FD6-4D35-BE19-D12CCF34851A}"/>
    <cellStyle name="Migliaia 51 5 3 3" xfId="37431" xr:uid="{4AFD9C1F-C422-4D45-85B6-1EA5753109C4}"/>
    <cellStyle name="Migliaia 51 5 3 4" xfId="42723" xr:uid="{84DC89C2-9C9F-427E-AB8A-6003C4814ADE}"/>
    <cellStyle name="Migliaia 51 5 3 5" xfId="11425" xr:uid="{26F70FDD-DE7E-490E-B53D-ECEE89891C85}"/>
    <cellStyle name="Migliaia 51 5 4" xfId="3852" xr:uid="{F3CED710-64AB-43B8-AB4E-32D7E1BE0406}"/>
    <cellStyle name="Migliaia 51 5 4 2" xfId="21602" xr:uid="{435F0E4D-A72F-4343-B4A7-60CA68E40C01}"/>
    <cellStyle name="Migliaia 51 5 4 2 2" xfId="40073" xr:uid="{45FC7206-41B6-45D3-8A04-E3DDC90BDB0C}"/>
    <cellStyle name="Migliaia 51 5 4 2 3" xfId="45375" xr:uid="{894916C3-424C-4E11-9288-183A26173FED}"/>
    <cellStyle name="Migliaia 51 5 4 2 4" xfId="34457" xr:uid="{0B20D239-B686-417E-9031-E210A5041545}"/>
    <cellStyle name="Migliaia 51 5 4 3" xfId="37432" xr:uid="{765EFE4B-9E90-47C3-B428-783D145C2120}"/>
    <cellStyle name="Migliaia 51 5 4 4" xfId="42724" xr:uid="{5B7799AD-1042-4D02-AED2-B0234E4F966A}"/>
    <cellStyle name="Migliaia 51 5 4 5" xfId="25274" xr:uid="{3C52EA0E-5B2F-4372-8734-262FDB20584E}"/>
    <cellStyle name="Migliaia 51 5 4 6" xfId="34314" xr:uid="{EEDEFE40-1148-4612-8F57-7ED97F474E9D}"/>
    <cellStyle name="Migliaia 51 5 4 7" xfId="50617" xr:uid="{A4782DA7-B60C-4641-8B51-B51D6ACBE882}"/>
    <cellStyle name="Migliaia 51 5 4 8" xfId="53633" xr:uid="{49A5FD92-33E5-4506-9A1E-0DE3DB391C66}"/>
    <cellStyle name="Migliaia 51 5 4 9" xfId="10967" xr:uid="{B6B68598-9E36-449A-8DFC-BF458DF52D63}"/>
    <cellStyle name="Migliaia 51 5 5" xfId="20897" xr:uid="{0D725F8B-3C83-4A95-8548-C57B40F7910C}"/>
    <cellStyle name="Migliaia 51 5 5 2" xfId="34458" xr:uid="{75068530-2C74-45FD-BD90-472A56656A37}"/>
    <cellStyle name="Migliaia 51 5 5 2 2" xfId="40074" xr:uid="{A5753DB2-FBC8-4B70-B311-87FE2DD02F02}"/>
    <cellStyle name="Migliaia 51 5 5 2 3" xfId="45376" xr:uid="{D0B9DA37-399D-4B98-9B23-33AAE46A620F}"/>
    <cellStyle name="Migliaia 51 5 5 3" xfId="37433" xr:uid="{C480CE0D-3CBD-46A9-BD02-E9EE41E268E4}"/>
    <cellStyle name="Migliaia 51 5 5 4" xfId="42725" xr:uid="{61A9CB4C-5F53-4CBD-B61D-C6A11A735EC0}"/>
    <cellStyle name="Migliaia 51 5 5 5" xfId="25275" xr:uid="{CBA37AB2-8529-4D7A-BBC4-B051B28BC462}"/>
    <cellStyle name="Migliaia 51 5 6" xfId="25276" xr:uid="{972A74D9-6197-47C8-BE9A-604416B56509}"/>
    <cellStyle name="Migliaia 51 5 6 2" xfId="34459" xr:uid="{DE692C07-42F5-4A58-B8CB-ABB68A8B810F}"/>
    <cellStyle name="Migliaia 51 5 6 2 2" xfId="40075" xr:uid="{DEF83C61-458C-4B77-8026-56C019D1DD05}"/>
    <cellStyle name="Migliaia 51 5 6 2 3" xfId="45377" xr:uid="{E048E1AF-1ACD-4B75-8E77-E9455E21282A}"/>
    <cellStyle name="Migliaia 51 5 6 3" xfId="37434" xr:uid="{DB93C7D6-5F5C-42F1-B33B-18D8B2DDF919}"/>
    <cellStyle name="Migliaia 51 5 6 4" xfId="42726" xr:uid="{FFB6F940-A6B1-4DD3-8D74-20F1B37D9748}"/>
    <cellStyle name="Migliaia 51 5 7" xfId="25273" xr:uid="{93A2C678-6D40-49DC-81C1-051E7BFA7DAA}"/>
    <cellStyle name="Migliaia 51 5 8" xfId="7571" xr:uid="{DC48D016-8AC3-40DE-86CA-D978441A6F3F}"/>
    <cellStyle name="Migliaia 51 6" xfId="3853" xr:uid="{1E301903-4C53-4992-902D-1F017D8456EA}"/>
    <cellStyle name="Migliaia 51 6 2" xfId="5579" xr:uid="{DBD49CC6-48A0-43EA-9527-003717943D06}"/>
    <cellStyle name="Migliaia 51 6 2 2" xfId="9973" xr:uid="{A668CB6B-AD53-43C8-A02E-BB53BCC83127}"/>
    <cellStyle name="Migliaia 51 6 2 3" xfId="18634" xr:uid="{6552C497-8975-441E-88B4-EBFBE3DF0EE3}"/>
    <cellStyle name="Migliaia 51 6 2 4" xfId="20900" xr:uid="{445F8FCC-98E2-4291-8CC8-8B0AB4E27033}"/>
    <cellStyle name="Migliaia 51 6 2 5" xfId="32458" xr:uid="{A3CB650B-1227-4936-9D6C-037EA749FA7E}"/>
    <cellStyle name="Migliaia 51 6 2 6" xfId="16744" xr:uid="{70296184-38B1-4340-99A3-F47CF39BDC85}"/>
    <cellStyle name="Migliaia 51 6 2 7" xfId="8756" xr:uid="{62D9F80B-5182-4B44-8D45-2439700B8864}"/>
    <cellStyle name="Migliaia 51 6 3" xfId="6756" xr:uid="{C5903F44-3F9D-4364-BA79-928A1B73295E}"/>
    <cellStyle name="Migliaia 51 6 3 2" xfId="35449" xr:uid="{3DAFF199-5E40-43B7-AD99-279D31AAD946}"/>
    <cellStyle name="Migliaia 51 6 3 2 2" xfId="40609" xr:uid="{72014B06-7D89-4ECA-BA01-DD740AF99F04}"/>
    <cellStyle name="Migliaia 51 6 3 2 3" xfId="45911" xr:uid="{4CD8D439-B14F-457E-852E-3DBEC526EF06}"/>
    <cellStyle name="Migliaia 51 6 3 3" xfId="37958" xr:uid="{4A44B2E4-1B69-48EE-809B-6CC633846791}"/>
    <cellStyle name="Migliaia 51 6 3 4" xfId="43260" xr:uid="{6B9FD06C-3103-41D3-807C-DDA34D324E63}"/>
    <cellStyle name="Migliaia 51 6 3 5" xfId="9736" xr:uid="{97E2CB9A-108B-4A21-823B-392E69943B4E}"/>
    <cellStyle name="Migliaia 51 6 4" xfId="20899" xr:uid="{79C60B0D-F6DB-431D-B0C3-2625CDB5A185}"/>
    <cellStyle name="Migliaia 51 6 4 2" xfId="40076" xr:uid="{AE29A181-CF47-4F1D-9FF9-878F7483324D}"/>
    <cellStyle name="Migliaia 51 6 4 3" xfId="45378" xr:uid="{4BAF136A-AC08-4C8E-BD93-6546803A4E5D}"/>
    <cellStyle name="Migliaia 51 6 4 4" xfId="34460" xr:uid="{4C8CE7FC-219A-4DD7-B650-ADF50E455EA4}"/>
    <cellStyle name="Migliaia 51 6 5" xfId="37435" xr:uid="{0E1CF819-93DD-44BC-9CEF-FF59024F3752}"/>
    <cellStyle name="Migliaia 51 6 6" xfId="42727" xr:uid="{E4CC239F-01D3-4456-B4EB-41F2DB695E50}"/>
    <cellStyle name="Migliaia 51 6 7" xfId="16743" xr:uid="{3E7707AA-8923-4493-93DE-6AD3966E9E13}"/>
    <cellStyle name="Migliaia 51 6 8" xfId="7566" xr:uid="{44F9C4C3-80E0-4990-BC67-F12F2AE0ABF8}"/>
    <cellStyle name="Migliaia 51 7" xfId="3854" xr:uid="{520D5A07-1EFC-479D-A533-1AC2ED4B7D25}"/>
    <cellStyle name="Migliaia 51 7 2" xfId="5580" xr:uid="{C4D596D4-D510-4FD7-814C-BA6103B678ED}"/>
    <cellStyle name="Migliaia 51 7 2 2" xfId="35450" xr:uid="{CE50D21F-62E4-47B2-A7D0-A3AEEB81A99D}"/>
    <cellStyle name="Migliaia 51 7 2 2 2" xfId="40610" xr:uid="{CFEB15EF-DAE1-4D9F-B532-7232826BAE8C}"/>
    <cellStyle name="Migliaia 51 7 2 2 3" xfId="45912" xr:uid="{6CE6D76C-43A7-4303-9161-3B6E32845B71}"/>
    <cellStyle name="Migliaia 51 7 2 3" xfId="37959" xr:uid="{E3378A33-5101-4718-B058-ED1ADCD73A37}"/>
    <cellStyle name="Migliaia 51 7 2 4" xfId="43261" xr:uid="{EFFCA04E-BC73-44C8-BD16-26ABF55A975E}"/>
    <cellStyle name="Migliaia 51 7 2 5" xfId="14317" xr:uid="{59590874-3B62-4609-89FC-7A15B5C15AEF}"/>
    <cellStyle name="Migliaia 51 7 3" xfId="6757" xr:uid="{7B4EE3F6-4C65-4210-8D52-D1EB6F83B1CC}"/>
    <cellStyle name="Migliaia 51 7 3 2" xfId="40077" xr:uid="{298F0AEE-763F-4F70-B816-96DB48B35173}"/>
    <cellStyle name="Migliaia 51 7 3 3" xfId="45379" xr:uid="{A86EABF6-AFAD-4068-BD74-10377AC77296}"/>
    <cellStyle name="Migliaia 51 7 3 4" xfId="34461" xr:uid="{E6F60063-F98F-4A23-BF27-1FD9A2A15F32}"/>
    <cellStyle name="Migliaia 51 7 3 5" xfId="20901" xr:uid="{B376339B-FC0D-4D0F-A3F6-6A2C186AD59B}"/>
    <cellStyle name="Migliaia 51 7 4" xfId="37436" xr:uid="{896F5C82-F841-43ED-BEE0-3E44AAA931B5}"/>
    <cellStyle name="Migliaia 51 7 5" xfId="42728" xr:uid="{A817FFFD-54D0-4857-9C2E-CFA659E7A115}"/>
    <cellStyle name="Migliaia 51 7 6" xfId="16745" xr:uid="{39699297-716A-4DA1-A78F-0B5A2D4E415C}"/>
    <cellStyle name="Migliaia 51 7 7" xfId="8379" xr:uid="{FFF12317-D66F-4A0E-ABE0-3FAFE01217D6}"/>
    <cellStyle name="Migliaia 51 8" xfId="3855" xr:uid="{C31A8808-7EAB-4B89-9D5F-2BF47CE2C33E}"/>
    <cellStyle name="Migliaia 51 8 2" xfId="5581" xr:uid="{9381D578-0D5D-4059-9F47-B5136990127D}"/>
    <cellStyle name="Migliaia 51 8 2 2" xfId="35451" xr:uid="{ECA07493-038C-4694-B788-E3F2C05F32D1}"/>
    <cellStyle name="Migliaia 51 8 2 2 2" xfId="40611" xr:uid="{60CFB20D-FA29-4086-8E46-C2B7D342D671}"/>
    <cellStyle name="Migliaia 51 8 2 2 3" xfId="45913" xr:uid="{B4598F00-DB1B-4564-9B0D-5C675066BD0B}"/>
    <cellStyle name="Migliaia 51 8 2 3" xfId="37960" xr:uid="{09AE2394-9E09-470D-87EB-16F731B38D3E}"/>
    <cellStyle name="Migliaia 51 8 2 4" xfId="43262" xr:uid="{9C7EC12E-6E80-4D2B-9055-6692B2B93283}"/>
    <cellStyle name="Migliaia 51 8 2 5" xfId="14022" xr:uid="{E6E5BE84-2AFF-422B-81E2-EF699E9A534A}"/>
    <cellStyle name="Migliaia 51 8 3" xfId="6758" xr:uid="{0BBBB5C8-EE7A-4F1F-B5D7-39DD60FB227B}"/>
    <cellStyle name="Migliaia 51 8 3 2" xfId="40078" xr:uid="{B976829B-048D-4452-A04A-D7D0D726345E}"/>
    <cellStyle name="Migliaia 51 8 3 3" xfId="45380" xr:uid="{690EF684-151D-4240-8970-62789606D30D}"/>
    <cellStyle name="Migliaia 51 8 3 4" xfId="34462" xr:uid="{45BD5A13-B984-4BF0-B9ED-560E27648103}"/>
    <cellStyle name="Migliaia 51 8 3 5" xfId="20902" xr:uid="{B547F4BD-00DD-4B86-B02F-FBE6C9B5096E}"/>
    <cellStyle name="Migliaia 51 8 4" xfId="37437" xr:uid="{712719B4-2D76-4192-9A72-B505BA1FFA65}"/>
    <cellStyle name="Migliaia 51 8 5" xfId="42729" xr:uid="{333A5DDA-E53D-433A-96E6-3F60E37BFD42}"/>
    <cellStyle name="Migliaia 51 8 6" xfId="16746" xr:uid="{9593E764-AE0B-4045-8D77-62904582825D}"/>
    <cellStyle name="Migliaia 51 8 7" xfId="8006" xr:uid="{915AD889-95F9-438E-84B1-0D75F8098DD0}"/>
    <cellStyle name="Migliaia 51 9" xfId="5566" xr:uid="{AF09C562-BEDB-48C3-9A46-E255101142D0}"/>
    <cellStyle name="Migliaia 51 9 2" xfId="34463" xr:uid="{1EB28A87-226C-4AC5-937B-0C32E6938BDD}"/>
    <cellStyle name="Migliaia 51 9 2 2" xfId="40079" xr:uid="{3F8C161B-17A3-458E-9A30-EDD83324BB79}"/>
    <cellStyle name="Migliaia 51 9 2 3" xfId="45381" xr:uid="{A9B1F215-F24D-413B-805F-5E2B4F64C649}"/>
    <cellStyle name="Migliaia 51 9 3" xfId="37438" xr:uid="{CC3A0B9B-7A63-490B-9F4C-0C81344731A4}"/>
    <cellStyle name="Migliaia 51 9 4" xfId="42730" xr:uid="{40725B83-BF1F-4590-B669-D8B21C007494}"/>
    <cellStyle name="Migliaia 51 9 5" xfId="17227" xr:uid="{DF85ABE7-65EB-42DE-9959-5449372F97F5}"/>
    <cellStyle name="Migliaia 52" xfId="489" xr:uid="{00000000-0005-0000-0000-000066040000}"/>
    <cellStyle name="Migliaia 52 10" xfId="6759" xr:uid="{4F8F202B-9165-4708-81AA-0BA46E17474D}"/>
    <cellStyle name="Migliaia 52 10 2" xfId="40080" xr:uid="{DD4B7682-D5EC-43B2-B129-69B03C9B9109}"/>
    <cellStyle name="Migliaia 52 10 3" xfId="45382" xr:uid="{49395E3C-8600-4E25-8926-E497233A6ADD}"/>
    <cellStyle name="Migliaia 52 10 4" xfId="34464" xr:uid="{92E02E5B-FB72-4A4E-83BD-6A7DC539F6BB}"/>
    <cellStyle name="Migliaia 52 10 5" xfId="20903" xr:uid="{2792D51C-877F-4E42-A2DD-C945C098A090}"/>
    <cellStyle name="Migliaia 52 11" xfId="3856" xr:uid="{4A3D0EA7-7816-471C-8713-4FB2392E468B}"/>
    <cellStyle name="Migliaia 52 11 2" xfId="37439" xr:uid="{08BAFBFF-2833-4033-8A75-8730DB7DBF57}"/>
    <cellStyle name="Migliaia 52 12" xfId="42731" xr:uid="{E83667D6-595A-4736-96ED-3ED690F61147}"/>
    <cellStyle name="Migliaia 52 13" xfId="7183" xr:uid="{59C19A5D-07D0-4A08-8742-EA95DBDD92AA}"/>
    <cellStyle name="Migliaia 52 2" xfId="490" xr:uid="{00000000-0005-0000-0000-000067040000}"/>
    <cellStyle name="Migliaia 52 2 2" xfId="1891" xr:uid="{00000000-0005-0000-0000-000068040000}"/>
    <cellStyle name="Migliaia 52 2 2 2" xfId="5584" xr:uid="{496893FF-52B0-4DD3-AF8D-FA52BCEF7B15}"/>
    <cellStyle name="Migliaia 52 2 2 2 2" xfId="14410" xr:uid="{FE482378-F50A-462A-A176-3DEC1AA9ABAB}"/>
    <cellStyle name="Migliaia 52 2 2 2 2 2" xfId="40081" xr:uid="{48BDEB37-2C0D-4A1A-BC7B-FDE68D801F1B}"/>
    <cellStyle name="Migliaia 52 2 2 2 2 3" xfId="45383" xr:uid="{4D084817-4C36-4F57-94C3-3CAAE92A99E5}"/>
    <cellStyle name="Migliaia 52 2 2 2 3" xfId="18503" xr:uid="{63555CFA-3387-40A0-8686-F65E2762107E}"/>
    <cellStyle name="Migliaia 52 2 2 2 4" xfId="20906" xr:uid="{FDE724FE-B3A7-40F3-979C-847EF4C38E09}"/>
    <cellStyle name="Migliaia 52 2 2 2 4 2" xfId="42732" xr:uid="{7B24CB9A-35A9-4C17-AF95-35601A473A39}"/>
    <cellStyle name="Migliaia 52 2 2 2 5" xfId="16747" xr:uid="{8825A2E2-EE96-41A9-BB9F-D977FFB8AE63}"/>
    <cellStyle name="Migliaia 52 2 2 2 6" xfId="8763" xr:uid="{1906F9EC-D617-4D60-9AC0-880F0F9E3FFA}"/>
    <cellStyle name="Migliaia 52 2 2 3" xfId="6761" xr:uid="{357F043A-58EB-4BD6-A784-71A66B55E9A5}"/>
    <cellStyle name="Migliaia 52 2 2 3 2" xfId="35452" xr:uid="{705485B1-24A4-4847-B4C4-8B60B4B97C19}"/>
    <cellStyle name="Migliaia 52 2 2 3 2 2" xfId="40612" xr:uid="{0B0DE430-4AD5-4754-9C49-1C6337185B5B}"/>
    <cellStyle name="Migliaia 52 2 2 3 2 3" xfId="45914" xr:uid="{F913362D-A837-4862-8537-D315CEA012CA}"/>
    <cellStyle name="Migliaia 52 2 2 3 3" xfId="37961" xr:uid="{D6832986-719F-4C69-AD3F-3B6FC9FC7A59}"/>
    <cellStyle name="Migliaia 52 2 2 3 4" xfId="43263" xr:uid="{91E9CE30-D1D6-4A38-8C82-CE05A95D40A4}"/>
    <cellStyle name="Migliaia 52 2 2 3 5" xfId="11637" xr:uid="{D0249C56-2494-4849-A255-066B30027D4E}"/>
    <cellStyle name="Migliaia 52 2 2 4" xfId="3858" xr:uid="{0A121CDE-6712-404B-A7CF-7CD3DC628249}"/>
    <cellStyle name="Migliaia 52 2 2 4 2" xfId="21603" xr:uid="{28BD8EF6-EC68-4670-B951-91FE368BC019}"/>
    <cellStyle name="Migliaia 52 2 2 4 3" xfId="47219" xr:uid="{4B85C1C2-D076-4F98-B8AA-3D0E850D57FF}"/>
    <cellStyle name="Migliaia 52 2 2 4 4" xfId="50618" xr:uid="{CC11CA3F-59D2-4C66-8CC4-B9DDFCED5819}"/>
    <cellStyle name="Migliaia 52 2 2 4 5" xfId="53634" xr:uid="{408C3D6D-D17F-4895-BF6B-CCED69286145}"/>
    <cellStyle name="Migliaia 52 2 2 4 6" xfId="10968" xr:uid="{A648E520-B959-4852-B32C-75BB76FAD26F}"/>
    <cellStyle name="Migliaia 52 2 2 5" xfId="20905" xr:uid="{365AA7A5-6CDD-407B-810E-0C730FD80191}"/>
    <cellStyle name="Migliaia 52 2 2 6" xfId="25278" xr:uid="{A8BBED11-1B5E-48EC-91EB-0E6F5A9AC12B}"/>
    <cellStyle name="Migliaia 52 2 2 7" xfId="7573" xr:uid="{382E9D5C-1040-4275-A6D7-780DAA9A9A7A}"/>
    <cellStyle name="Migliaia 52 2 3" xfId="3859" xr:uid="{9E30C25D-FD46-45E8-BE3C-727C55A3E0DC}"/>
    <cellStyle name="Migliaia 52 2 3 2" xfId="5585" xr:uid="{FFA8988A-63A5-480D-A2AB-5CDAED2487C8}"/>
    <cellStyle name="Migliaia 52 2 3 2 2" xfId="35453" xr:uid="{DF793D2A-B3AB-43F9-8EEE-C63D85CCC5BF}"/>
    <cellStyle name="Migliaia 52 2 3 2 2 2" xfId="40613" xr:uid="{BA6C526A-79BF-4A62-B9E1-EE62E0457902}"/>
    <cellStyle name="Migliaia 52 2 3 2 2 3" xfId="45915" xr:uid="{DE3071DB-9917-4D5B-AF9E-D3C945086836}"/>
    <cellStyle name="Migliaia 52 2 3 2 3" xfId="37962" xr:uid="{2983DC93-9363-452B-91BC-B4C68DE93741}"/>
    <cellStyle name="Migliaia 52 2 3 2 4" xfId="43264" xr:uid="{76BDD764-29BA-4664-9590-EB513C092D55}"/>
    <cellStyle name="Migliaia 52 2 3 2 5" xfId="14321" xr:uid="{5B323E89-4B1E-43D9-8B9E-2E0FC824B552}"/>
    <cellStyle name="Migliaia 52 2 3 3" xfId="6762" xr:uid="{29C53278-71B7-4716-8049-33E239F57BCC}"/>
    <cellStyle name="Migliaia 52 2 3 3 2" xfId="40082" xr:uid="{C1150ADD-F4E8-45DB-B44F-5042B40A9D8D}"/>
    <cellStyle name="Migliaia 52 2 3 3 3" xfId="45384" xr:uid="{1E8901B6-9EEB-49B4-9633-38E8BD1E6B9D}"/>
    <cellStyle name="Migliaia 52 2 3 3 4" xfId="34465" xr:uid="{77FBCE07-54F1-4500-BEDE-B05F4671E553}"/>
    <cellStyle name="Migliaia 52 2 3 3 5" xfId="20907" xr:uid="{3CD2E9FF-3388-47BF-A641-F96BD54030F4}"/>
    <cellStyle name="Migliaia 52 2 3 4" xfId="37440" xr:uid="{AC5C2EA6-832E-475C-85CE-B24B996AB1DD}"/>
    <cellStyle name="Migliaia 52 2 3 5" xfId="42733" xr:uid="{B3281B5A-E62F-443C-8BE7-CD6C05B3181C}"/>
    <cellStyle name="Migliaia 52 2 3 6" xfId="16748" xr:uid="{CD503C6B-D61E-42E1-A939-EDF7C3060738}"/>
    <cellStyle name="Migliaia 52 2 3 7" xfId="8383" xr:uid="{5BACCCB6-7B5D-413E-8D4F-10CEEF56A924}"/>
    <cellStyle name="Migliaia 52 2 4" xfId="5583" xr:uid="{9C7978A9-07A9-4F15-BEC7-964F570630A6}"/>
    <cellStyle name="Migliaia 52 2 4 2" xfId="14026" xr:uid="{9999147E-136E-416B-9F89-C47D5F10001B}"/>
    <cellStyle name="Migliaia 52 2 4 2 2" xfId="40083" xr:uid="{AE2A443A-4499-461D-856C-2C43EEAD3E42}"/>
    <cellStyle name="Migliaia 52 2 4 2 3" xfId="45385" xr:uid="{D8BF0D52-DA60-4B4A-9069-CFFC432376C5}"/>
    <cellStyle name="Migliaia 52 2 4 3" xfId="18689" xr:uid="{D617FBD9-8725-4635-9FA4-3966C5A8858A}"/>
    <cellStyle name="Migliaia 52 2 4 4" xfId="20908" xr:uid="{05BA3906-79F6-4A6E-8804-B0912875805F}"/>
    <cellStyle name="Migliaia 52 2 4 4 2" xfId="42734" xr:uid="{630EFC42-17B1-4541-9E63-46DFC7207FF0}"/>
    <cellStyle name="Migliaia 52 2 4 5" xfId="16749" xr:uid="{6C0E7CAD-B5A6-4DB8-BE97-0F0A588CB9D0}"/>
    <cellStyle name="Migliaia 52 2 4 6" xfId="8011" xr:uid="{61DD02FB-B8A3-4C4B-99CE-C1A5D33E3AB7}"/>
    <cellStyle name="Migliaia 52 2 5" xfId="6760" xr:uid="{34F150B4-839B-47A1-A13F-D074B998E071}"/>
    <cellStyle name="Migliaia 52 2 5 2" xfId="34467" xr:uid="{795A349B-9957-4C10-A66D-CBD112A36A18}"/>
    <cellStyle name="Migliaia 52 2 5 2 2" xfId="40084" xr:uid="{34DC806E-B5AC-412E-A51D-737D94CAB17C}"/>
    <cellStyle name="Migliaia 52 2 5 2 3" xfId="45386" xr:uid="{B311D395-D064-4775-ADCD-F23D21DE10A8}"/>
    <cellStyle name="Migliaia 52 2 5 3" xfId="37442" xr:uid="{9F0E86E8-3354-46C6-A5AB-B072C0802311}"/>
    <cellStyle name="Migliaia 52 2 5 4" xfId="42735" xr:uid="{72A959FE-3071-4284-A8C4-2574FA2D37B0}"/>
    <cellStyle name="Migliaia 52 2 5 5" xfId="13150" xr:uid="{9642D034-219F-40FB-A524-B532E939604B}"/>
    <cellStyle name="Migliaia 52 2 6" xfId="3857" xr:uid="{3A93DF82-25CE-4B62-ABB2-82D59B213E19}"/>
    <cellStyle name="Migliaia 52 2 6 2" xfId="34468" xr:uid="{9315C6F0-6316-4DF4-AD39-94FA044A2A5D}"/>
    <cellStyle name="Migliaia 52 2 6 2 2" xfId="40085" xr:uid="{697205E3-CA6A-4C59-87B0-AF687828C107}"/>
    <cellStyle name="Migliaia 52 2 6 2 3" xfId="45387" xr:uid="{88C5FA42-2BA8-477D-818A-9DED7BEACF71}"/>
    <cellStyle name="Migliaia 52 2 6 3" xfId="37443" xr:uid="{3E73FAAD-B693-44A5-BEB4-CBF67FEF63DE}"/>
    <cellStyle name="Migliaia 52 2 6 4" xfId="42736" xr:uid="{7594106D-2038-4189-8EB3-84320232569B}"/>
    <cellStyle name="Migliaia 52 2 6 5" xfId="25280" xr:uid="{B0218A58-493B-4988-B6DD-63C232D67A0D}"/>
    <cellStyle name="Migliaia 52 2 6 6" xfId="20904" xr:uid="{86057555-6002-40D8-86AA-F3AA8A402EBE}"/>
    <cellStyle name="Migliaia 52 2 7" xfId="25277" xr:uid="{0A1F0CB9-FECB-4F10-BBAC-CCD499A5E787}"/>
    <cellStyle name="Migliaia 52 2 8" xfId="7184" xr:uid="{F0C2C01E-1D52-4239-BD0E-999970269E3D}"/>
    <cellStyle name="Migliaia 52 3" xfId="491" xr:uid="{00000000-0005-0000-0000-000069040000}"/>
    <cellStyle name="Migliaia 52 3 10" xfId="25281" xr:uid="{EF9D84CC-4F42-4C44-97F4-F31311185DBE}"/>
    <cellStyle name="Migliaia 52 3 11" xfId="16750" xr:uid="{06FEDC48-E9CD-4195-8D7B-EC2162BB8238}"/>
    <cellStyle name="Migliaia 52 3 12" xfId="7185" xr:uid="{4B338166-B6EB-4CCD-A29B-DB4A308CFA8F}"/>
    <cellStyle name="Migliaia 52 3 2" xfId="492" xr:uid="{00000000-0005-0000-0000-00006A040000}"/>
    <cellStyle name="Migliaia 52 3 2 2" xfId="1892" xr:uid="{00000000-0005-0000-0000-00006B040000}"/>
    <cellStyle name="Migliaia 52 3 2 2 2" xfId="5588" xr:uid="{E353D501-58C2-4D0F-AE81-27D244064494}"/>
    <cellStyle name="Migliaia 52 3 2 2 2 2" xfId="18504" xr:uid="{75B3E397-CC7A-4861-8B35-D4F0DB345655}"/>
    <cellStyle name="Migliaia 52 3 2 2 2 2 2" xfId="21888" xr:uid="{87E55329-77F3-48F9-87B5-6A0DC09439E0}"/>
    <cellStyle name="Migliaia 52 3 2 2 2 2 2 2" xfId="40086" xr:uid="{1240D396-C1A3-465E-84D3-3A0D56771CC5}"/>
    <cellStyle name="Migliaia 52 3 2 2 2 2 3" xfId="45388" xr:uid="{1923E168-F302-4E8E-835C-2C1031FFD18C}"/>
    <cellStyle name="Migliaia 52 3 2 2 2 2 4" xfId="34469" xr:uid="{B5AE65B3-400E-48E8-9C41-8B864E941352}"/>
    <cellStyle name="Migliaia 52 3 2 2 2 3" xfId="37444" xr:uid="{6DD6BC4B-BE65-45FE-802E-07003F758B44}"/>
    <cellStyle name="Migliaia 52 3 2 2 2 4" xfId="42737" xr:uid="{FED23D97-80BF-44CA-9CF1-2F374312D1BC}"/>
    <cellStyle name="Migliaia 52 3 2 2 2 5" xfId="46302" xr:uid="{6E9CBB5E-D185-4A59-B7E9-AB92EE8F28D0}"/>
    <cellStyle name="Migliaia 52 3 2 2 2 6" xfId="50916" xr:uid="{29C56F5B-18C0-4257-A4B0-40F3DFC9C33F}"/>
    <cellStyle name="Migliaia 52 3 2 2 2 7" xfId="53932" xr:uid="{93FDC060-A69F-4C5B-B8B3-7148864B4B96}"/>
    <cellStyle name="Migliaia 52 3 2 2 2 8" xfId="17687" xr:uid="{9CF6635D-5D40-4A01-A342-35A6804490F5}"/>
    <cellStyle name="Migliaia 52 3 2 2 2 9" xfId="12075" xr:uid="{11B015FF-B089-49FD-927A-61E0275594F5}"/>
    <cellStyle name="Migliaia 52 3 2 2 3" xfId="6765" xr:uid="{4561DE48-8E04-45C2-8DE5-AE858B53D6F1}"/>
    <cellStyle name="Migliaia 52 3 2 2 3 2" xfId="12152" xr:uid="{41BBE2CD-1C8B-45A4-86A1-085AD984A3E2}"/>
    <cellStyle name="Migliaia 52 3 2 2 4" xfId="3862" xr:uid="{041F1779-E0A9-456C-8B6E-57005D93D80C}"/>
    <cellStyle name="Migliaia 52 3 2 2 4 2" xfId="21604" xr:uid="{3BCB6D21-01CD-4E8C-BC4D-CC9125F9D6C3}"/>
    <cellStyle name="Migliaia 52 3 2 2 4 3" xfId="46706" xr:uid="{5C6C41E0-A13F-4C5C-B3E3-94856E874DD3}"/>
    <cellStyle name="Migliaia 52 3 2 2 4 4" xfId="50619" xr:uid="{E0E97EBE-BAD6-468F-969D-586450314143}"/>
    <cellStyle name="Migliaia 52 3 2 2 4 5" xfId="53635" xr:uid="{F2516521-FD12-4D37-BC4C-768C91AD2E78}"/>
    <cellStyle name="Migliaia 52 3 2 2 4 6" xfId="10969" xr:uid="{A2B825C4-F150-480F-8454-FF6225C62F01}"/>
    <cellStyle name="Migliaia 52 3 2 2 5" xfId="20911" xr:uid="{3210B0CB-FD81-43D6-B336-646B624E6F4F}"/>
    <cellStyle name="Migliaia 52 3 2 2 6" xfId="25283" xr:uid="{9915ED60-489B-4948-8E9B-6123827FB7F4}"/>
    <cellStyle name="Migliaia 52 3 2 2 7" xfId="8765" xr:uid="{02131332-E60E-421A-9497-76DDAF149062}"/>
    <cellStyle name="Migliaia 52 3 2 3" xfId="5587" xr:uid="{081C7DD0-E4A1-47A2-B1BD-493DD876A11E}"/>
    <cellStyle name="Migliaia 52 3 2 3 2" xfId="12400" xr:uid="{1E66D971-4A32-4EF0-8B91-994AE0FD98A0}"/>
    <cellStyle name="Migliaia 52 3 2 3 2 2" xfId="40087" xr:uid="{B1989659-25CD-4500-9FDE-C8862DEED4DB}"/>
    <cellStyle name="Migliaia 52 3 2 3 2 3" xfId="45389" xr:uid="{F436AC3C-BFCA-4394-BE58-C9BCFC7D20CD}"/>
    <cellStyle name="Migliaia 52 3 2 3 2 4" xfId="34470" xr:uid="{40572E2B-5C9D-4B10-AA99-9923B9B9CD1F}"/>
    <cellStyle name="Migliaia 52 3 2 3 3" xfId="12076" xr:uid="{FA33AEF2-57D0-4CAC-B8BF-EBCA43A17943}"/>
    <cellStyle name="Migliaia 52 3 2 3 4" xfId="20912" xr:uid="{A7527244-9410-4D61-8BBC-A2D16EF6A3D7}"/>
    <cellStyle name="Migliaia 52 3 2 3 4 2" xfId="42738" xr:uid="{826AFE04-D90A-443E-B933-09A1324B5604}"/>
    <cellStyle name="Migliaia 52 3 2 3 5" xfId="16751" xr:uid="{D7DF1612-1729-417E-BF2D-E21D90D25E3E}"/>
    <cellStyle name="Migliaia 52 3 2 3 6" xfId="8013" xr:uid="{93DBA02D-6307-4E54-A7B3-3BF67E637481}"/>
    <cellStyle name="Migliaia 52 3 2 4" xfId="6764" xr:uid="{A2E23FA7-B29F-4317-ADFB-33E97CBC492D}"/>
    <cellStyle name="Migliaia 52 3 2 4 2" xfId="18104" xr:uid="{1DD14655-90FA-4F87-B433-C9279421DFDB}"/>
    <cellStyle name="Migliaia 52 3 2 4 2 2" xfId="40088" xr:uid="{18985526-E7E6-4595-81F0-13C15604AFA7}"/>
    <cellStyle name="Migliaia 52 3 2 4 2 3" xfId="45390" xr:uid="{09F6A664-1760-4092-BB22-6DA5DC0BA30C}"/>
    <cellStyle name="Migliaia 52 3 2 4 3" xfId="37446" xr:uid="{F6A9C736-2096-4500-8B75-4FA1267D94E8}"/>
    <cellStyle name="Migliaia 52 3 2 4 4" xfId="42739" xr:uid="{D8A98BAF-4E6B-4FED-8265-11081C5D0F80}"/>
    <cellStyle name="Migliaia 52 3 2 4 5" xfId="17230" xr:uid="{3CBB6E76-1181-4FEA-8BB1-65BBB232C396}"/>
    <cellStyle name="Migliaia 52 3 2 4 6" xfId="11427" xr:uid="{DABA883D-92A5-4FD8-8812-F72873607536}"/>
    <cellStyle name="Migliaia 52 3 2 5" xfId="3861" xr:uid="{8B9B85AC-6B53-42A1-82F7-7C6DFB633BC7}"/>
    <cellStyle name="Migliaia 52 3 2 5 2" xfId="34472" xr:uid="{4707BDEF-21C9-404E-8DC7-1A6F00E108B5}"/>
    <cellStyle name="Migliaia 52 3 2 5 2 2" xfId="40089" xr:uid="{4CAC9709-72DB-4C63-BA67-1047AB5E28A2}"/>
    <cellStyle name="Migliaia 52 3 2 5 2 3" xfId="45391" xr:uid="{ECEE4ED4-01E1-489E-B888-01475FD3AFDC}"/>
    <cellStyle name="Migliaia 52 3 2 5 3" xfId="37447" xr:uid="{0B9382E2-0FDD-4A1C-B818-6BB76739EE19}"/>
    <cellStyle name="Migliaia 52 3 2 5 4" xfId="42740" xr:uid="{12FFFBDE-B43D-428D-A4BF-3D4127981026}"/>
    <cellStyle name="Migliaia 52 3 2 5 5" xfId="17285" xr:uid="{29D8ED71-7E74-402E-9AC5-67DE31376B65}"/>
    <cellStyle name="Migliaia 52 3 2 6" xfId="20910" xr:uid="{7FF7EF32-E781-4C81-94E0-B294B6BDB85A}"/>
    <cellStyle name="Migliaia 52 3 2 6 2" xfId="34473" xr:uid="{AEF10072-3198-4C74-A396-CDCB09ADFE14}"/>
    <cellStyle name="Migliaia 52 3 2 6 2 2" xfId="40090" xr:uid="{57EB6AF6-A075-41DB-B66C-7F454A117EED}"/>
    <cellStyle name="Migliaia 52 3 2 6 2 3" xfId="45392" xr:uid="{F3057FF4-BC3C-47DF-8BB0-F37A7E8D8224}"/>
    <cellStyle name="Migliaia 52 3 2 6 3" xfId="37448" xr:uid="{C98157F3-9860-4C35-B059-DEB4B7E41D4E}"/>
    <cellStyle name="Migliaia 52 3 2 6 4" xfId="42741" xr:uid="{E21BA281-62FB-48C3-A46A-AC1E64CE8190}"/>
    <cellStyle name="Migliaia 52 3 2 6 5" xfId="25287" xr:uid="{B2BA8B90-BD59-4676-B997-8FEACF6C32FB}"/>
    <cellStyle name="Migliaia 52 3 2 7" xfId="25282" xr:uid="{16D11D1B-7EE9-4C58-A60F-51A900B41BC1}"/>
    <cellStyle name="Migliaia 52 3 2 8" xfId="7575" xr:uid="{E2D44709-F7AD-4A68-86CB-3134A769D81A}"/>
    <cellStyle name="Migliaia 52 3 3" xfId="3863" xr:uid="{6B2BD9B4-5E99-4599-95CB-CA486B0886D7}"/>
    <cellStyle name="Migliaia 52 3 3 10" xfId="7574" xr:uid="{D49A5C3D-AFBB-45E1-BF8B-C208A23D1148}"/>
    <cellStyle name="Migliaia 52 3 3 2" xfId="5589" xr:uid="{D553F11B-0000-44DC-9547-B349460B67F1}"/>
    <cellStyle name="Migliaia 52 3 3 2 2" xfId="9976" xr:uid="{B10258E5-BE59-4DB6-BE58-5C62C9ACE36B}"/>
    <cellStyle name="Migliaia 52 3 3 2 2 2" xfId="40092" xr:uid="{9D72EA4D-D167-4A70-8E87-0BB0090A8192}"/>
    <cellStyle name="Migliaia 52 3 3 2 2 3" xfId="45394" xr:uid="{6E8567CB-D868-4A0D-972A-7096A0B5D9C2}"/>
    <cellStyle name="Migliaia 52 3 3 2 3" xfId="18256" xr:uid="{31DA658E-AD7E-4219-A239-50F924F03953}"/>
    <cellStyle name="Migliaia 52 3 3 2 4" xfId="20914" xr:uid="{8EC8EC8B-DFD6-47CA-96A0-88AA58C3494D}"/>
    <cellStyle name="Migliaia 52 3 3 2 4 2" xfId="42743" xr:uid="{582A4F2F-0EDA-420C-9676-39F6247BDC5D}"/>
    <cellStyle name="Migliaia 52 3 3 2 5" xfId="16753" xr:uid="{9EF1DE5D-7D6C-4766-A1D4-2D7A5B5A29F7}"/>
    <cellStyle name="Migliaia 52 3 3 2 6" xfId="8764" xr:uid="{4CD271A0-BCEA-44BF-92F5-2BD3342F4DCE}"/>
    <cellStyle name="Migliaia 52 3 3 3" xfId="6766" xr:uid="{1AAAE1AC-8E92-4BBE-B3E3-E069B500621D}"/>
    <cellStyle name="Migliaia 52 3 3 3 2" xfId="34476" xr:uid="{FAA51A20-3780-4CF6-A997-11065E0FB27C}"/>
    <cellStyle name="Migliaia 52 3 3 3 2 2" xfId="40093" xr:uid="{56396A24-1D3B-4078-BEB2-4FA860BB4BB1}"/>
    <cellStyle name="Migliaia 52 3 3 3 2 3" xfId="45395" xr:uid="{D598200E-736E-4F54-AF0D-06AE9BFB243B}"/>
    <cellStyle name="Migliaia 52 3 3 3 3" xfId="37451" xr:uid="{77540F22-E6BF-491A-9D67-A10DAF284CA3}"/>
    <cellStyle name="Migliaia 52 3 3 3 4" xfId="42744" xr:uid="{4AB7C1F1-7A57-4BF9-ACA3-715CA6DADF85}"/>
    <cellStyle name="Migliaia 52 3 3 3 5" xfId="9739" xr:uid="{40D563C8-B31D-4B83-A842-D333CF747133}"/>
    <cellStyle name="Migliaia 52 3 3 4" xfId="20913" xr:uid="{F4ED40FB-F578-468B-A505-9FD47C4D7030}"/>
    <cellStyle name="Migliaia 52 3 3 4 2" xfId="34477" xr:uid="{8CE97C58-B403-49D6-AC15-C37138682C47}"/>
    <cellStyle name="Migliaia 52 3 3 4 2 2" xfId="40094" xr:uid="{E13522CC-D629-47EC-A497-DFDDF52D27E0}"/>
    <cellStyle name="Migliaia 52 3 3 4 2 3" xfId="45396" xr:uid="{AFC9BE03-17F2-4E18-9C67-4CFE1046F0BC}"/>
    <cellStyle name="Migliaia 52 3 3 4 3" xfId="37452" xr:uid="{BBEC9BE2-8092-4F0B-A757-97F893944D4B}"/>
    <cellStyle name="Migliaia 52 3 3 4 4" xfId="42745" xr:uid="{3B6894AA-5BAC-459D-8E59-94AECEC2C3B7}"/>
    <cellStyle name="Migliaia 52 3 3 4 5" xfId="25291" xr:uid="{ACD9EBC4-1911-43AE-A1F8-7AF8B7190D8C}"/>
    <cellStyle name="Migliaia 52 3 3 5" xfId="25292" xr:uid="{DD7084E0-FA48-47D9-93B7-62366E347411}"/>
    <cellStyle name="Migliaia 52 3 3 5 2" xfId="34478" xr:uid="{58E50518-90D2-405D-8AE2-44D6B86E21BD}"/>
    <cellStyle name="Migliaia 52 3 3 5 2 2" xfId="40095" xr:uid="{062669E9-C233-4523-B836-182AEA1FBC66}"/>
    <cellStyle name="Migliaia 52 3 3 5 2 3" xfId="45397" xr:uid="{F5207A50-E446-460F-95AB-2D45BF0D93EC}"/>
    <cellStyle name="Migliaia 52 3 3 5 3" xfId="37453" xr:uid="{B012418D-3C55-430D-B0EE-71D11726708F}"/>
    <cellStyle name="Migliaia 52 3 3 5 4" xfId="42746" xr:uid="{3AC360A5-40A6-4F9A-B9D8-9621152D8A71}"/>
    <cellStyle name="Migliaia 52 3 3 6" xfId="34474" xr:uid="{00EB2C96-EB21-4269-871F-0F37FCAB90D6}"/>
    <cellStyle name="Migliaia 52 3 3 6 2" xfId="40091" xr:uid="{C932BB32-64F0-4F22-AD45-0CF66A9A5A07}"/>
    <cellStyle name="Migliaia 52 3 3 6 3" xfId="45393" xr:uid="{D9C2C59F-35B0-42A5-84D4-72F2009FCC8F}"/>
    <cellStyle name="Migliaia 52 3 3 7" xfId="37449" xr:uid="{42A59037-7A11-4262-AA1F-F9F738ACBDE2}"/>
    <cellStyle name="Migliaia 52 3 3 8" xfId="42742" xr:uid="{23103C57-2ED8-42D9-B2E5-F9DB6005DCCF}"/>
    <cellStyle name="Migliaia 52 3 3 9" xfId="16752" xr:uid="{B2E85D5C-6684-443A-9F5D-EC8877E34AB4}"/>
    <cellStyle name="Migliaia 52 3 4" xfId="3864" xr:uid="{2E8FC73C-531C-4FC1-BBA3-B040D56697A6}"/>
    <cellStyle name="Migliaia 52 3 4 2" xfId="5590" xr:uid="{1C43779B-969B-4779-B238-F1DA6CCDAE8F}"/>
    <cellStyle name="Migliaia 52 3 4 2 2" xfId="14470" xr:uid="{359262AE-EFDE-4C1D-A899-3DA46D36A54F}"/>
    <cellStyle name="Migliaia 52 3 4 2 3" xfId="18575" xr:uid="{A065EA94-A123-40DB-9D90-6AC1024AEF65}"/>
    <cellStyle name="Migliaia 52 3 4 2 4" xfId="20916" xr:uid="{49CE0EA3-A586-4B19-8B8F-2903E8570163}"/>
    <cellStyle name="Migliaia 52 3 4 2 5" xfId="32459" xr:uid="{4B17B102-21EF-4CC3-88F9-90092F400E64}"/>
    <cellStyle name="Migliaia 52 3 4 2 6" xfId="16755" xr:uid="{5C98E542-8A6A-49F1-88EF-AF20F5DBD59A}"/>
    <cellStyle name="Migliaia 52 3 4 2 7" xfId="8893" xr:uid="{F56C1946-368E-479E-9C58-E5A9B1051F5E}"/>
    <cellStyle name="Migliaia 52 3 4 3" xfId="6767" xr:uid="{1506BA68-84DB-49CE-9E0A-EA4D121F0F0A}"/>
    <cellStyle name="Migliaia 52 3 4 3 2" xfId="35454" xr:uid="{66E58E63-CAE8-4B0E-A2C3-6FBAF234D100}"/>
    <cellStyle name="Migliaia 52 3 4 3 2 2" xfId="40614" xr:uid="{B7481B22-BB5A-4CF1-B2EA-152F43E36B71}"/>
    <cellStyle name="Migliaia 52 3 4 3 2 3" xfId="45916" xr:uid="{76A5F88A-D3D8-4D68-9B93-CFBBED55E69C}"/>
    <cellStyle name="Migliaia 52 3 4 3 3" xfId="37963" xr:uid="{00378C28-4EF3-4463-BB74-E58CF6B83A30}"/>
    <cellStyle name="Migliaia 52 3 4 3 4" xfId="43265" xr:uid="{4EFDA222-20E2-4FF9-A777-14B9EE61D6F8}"/>
    <cellStyle name="Migliaia 52 3 4 3 5" xfId="13718" xr:uid="{B4F2CBE0-FB75-4C5D-912A-258C59843444}"/>
    <cellStyle name="Migliaia 52 3 4 4" xfId="20915" xr:uid="{834772EB-12C7-41C9-869A-6BA1B14DA93A}"/>
    <cellStyle name="Migliaia 52 3 4 4 2" xfId="40096" xr:uid="{76E52C94-A2A1-4A4C-94FF-7099E206801D}"/>
    <cellStyle name="Migliaia 52 3 4 4 3" xfId="45398" xr:uid="{8C3D7400-6181-4453-9729-6B3B9041C0AD}"/>
    <cellStyle name="Migliaia 52 3 4 4 4" xfId="34479" xr:uid="{C398FEEF-0AC6-4C16-BDB4-7E7A285184D2}"/>
    <cellStyle name="Migliaia 52 3 4 5" xfId="37454" xr:uid="{E919CBB7-912E-4B27-86F9-CE5225BF0C93}"/>
    <cellStyle name="Migliaia 52 3 4 6" xfId="42747" xr:uid="{B76977ED-185C-448E-832B-A47685613F93}"/>
    <cellStyle name="Migliaia 52 3 4 7" xfId="16754" xr:uid="{7C992133-BE2B-442C-8797-1A35CB1B1BC9}"/>
    <cellStyle name="Migliaia 52 3 4 8" xfId="7703" xr:uid="{993CDA90-4DC4-4D4C-AB2A-D812C3E34F12}"/>
    <cellStyle name="Migliaia 52 3 5" xfId="3865" xr:uid="{DB680883-2EC2-4686-BE19-C23065AADDCE}"/>
    <cellStyle name="Migliaia 52 3 5 2" xfId="5591" xr:uid="{6AE6EE50-DFBA-46EC-A7EE-1A995FA5BCEC}"/>
    <cellStyle name="Migliaia 52 3 5 2 2" xfId="35455" xr:uid="{F06561A0-FB3F-4761-BAC7-29C420EAC14F}"/>
    <cellStyle name="Migliaia 52 3 5 2 2 2" xfId="40615" xr:uid="{7D13AF6A-07B2-41DF-A598-9D52D0218882}"/>
    <cellStyle name="Migliaia 52 3 5 2 2 3" xfId="45917" xr:uid="{52CA3616-410F-4317-9A7C-D961A946A2C1}"/>
    <cellStyle name="Migliaia 52 3 5 2 3" xfId="37964" xr:uid="{CFC09230-FB2E-4795-AB9F-DD6FDC42E01F}"/>
    <cellStyle name="Migliaia 52 3 5 2 4" xfId="43266" xr:uid="{CA4E16B0-AF73-435D-AE3F-6817CF65536C}"/>
    <cellStyle name="Migliaia 52 3 5 2 5" xfId="14322" xr:uid="{F4AA2C6C-2E24-4E60-90E6-094E89CA5038}"/>
    <cellStyle name="Migliaia 52 3 5 3" xfId="6768" xr:uid="{4BD6F40A-F44E-472A-9394-BEF1AAC42170}"/>
    <cellStyle name="Migliaia 52 3 5 3 2" xfId="40097" xr:uid="{82687147-35BC-469B-AF50-0A1911397AE6}"/>
    <cellStyle name="Migliaia 52 3 5 3 3" xfId="45399" xr:uid="{0839D27B-0709-461B-B304-0755DBD22447}"/>
    <cellStyle name="Migliaia 52 3 5 3 4" xfId="34480" xr:uid="{AB3B4CB6-D1A9-4A7E-8B5C-BB43396EE692}"/>
    <cellStyle name="Migliaia 52 3 5 3 5" xfId="20917" xr:uid="{1EA4376B-E2FE-45C1-BBF7-CBA5EBA92AC1}"/>
    <cellStyle name="Migliaia 52 3 5 4" xfId="37455" xr:uid="{402B6E9F-E729-4E25-B143-5D18BA98A5BA}"/>
    <cellStyle name="Migliaia 52 3 5 5" xfId="42748" xr:uid="{51C18E53-5426-47C9-B253-9B89EAB19626}"/>
    <cellStyle name="Migliaia 52 3 5 6" xfId="16756" xr:uid="{9A347C4E-D59B-4437-8BD6-46030688CE14}"/>
    <cellStyle name="Migliaia 52 3 5 7" xfId="8384" xr:uid="{118129B6-D6B4-4F90-B0F8-769259EC554A}"/>
    <cellStyle name="Migliaia 52 3 6" xfId="5586" xr:uid="{ACDC8639-7892-4486-9A58-DF50016D9B40}"/>
    <cellStyle name="Migliaia 52 3 6 2" xfId="14027" xr:uid="{C4D8078A-1E5D-4694-9BC9-F0944E07ADA2}"/>
    <cellStyle name="Migliaia 52 3 6 2 2" xfId="40098" xr:uid="{4D430BEF-73DE-4B94-87E3-0080F267125B}"/>
    <cellStyle name="Migliaia 52 3 6 2 3" xfId="45400" xr:uid="{F8786604-A520-4610-8815-E297B11C4C99}"/>
    <cellStyle name="Migliaia 52 3 6 3" xfId="18604" xr:uid="{31E6EB27-686E-4069-867C-CAFA54E9C57C}"/>
    <cellStyle name="Migliaia 52 3 6 4" xfId="20918" xr:uid="{3830BC25-AF21-47CD-BD88-09BFD0340B78}"/>
    <cellStyle name="Migliaia 52 3 6 4 2" xfId="42749" xr:uid="{F838EACA-1FCF-4BF2-B2CE-D33C12D10BFA}"/>
    <cellStyle name="Migliaia 52 3 6 5" xfId="16757" xr:uid="{20E46270-BB27-4B6B-8ADF-330A41AA6713}"/>
    <cellStyle name="Migliaia 52 3 6 6" xfId="8012" xr:uid="{AAD5AAB0-EF11-4616-9905-A6A25A216097}"/>
    <cellStyle name="Migliaia 52 3 7" xfId="6763" xr:uid="{67C174ED-B3F8-420F-A73F-4702FAE67348}"/>
    <cellStyle name="Migliaia 52 3 7 2" xfId="34482" xr:uid="{A9D58451-BCFC-48E1-9D33-059DF9C101CA}"/>
    <cellStyle name="Migliaia 52 3 7 2 2" xfId="40099" xr:uid="{8E180FC2-2696-4254-83D1-2CDF8900A27F}"/>
    <cellStyle name="Migliaia 52 3 7 2 3" xfId="45401" xr:uid="{8653C0D4-81D6-49D6-9B6F-B3794DFE2BBD}"/>
    <cellStyle name="Migliaia 52 3 7 3" xfId="37457" xr:uid="{7ADD9581-B28F-4264-A9A1-1F7064000C6C}"/>
    <cellStyle name="Migliaia 52 3 7 4" xfId="42750" xr:uid="{4AF8C8E3-00BD-4A9A-80F6-27064B2EE678}"/>
    <cellStyle name="Migliaia 52 3 7 5" xfId="11152" xr:uid="{A62FC08F-4CA8-4B0C-AB89-7EE0B2B5AE80}"/>
    <cellStyle name="Migliaia 52 3 8" xfId="3860" xr:uid="{B2A29D56-E03C-42FA-9B73-33F1C6701030}"/>
    <cellStyle name="Migliaia 52 3 8 2" xfId="34483" xr:uid="{73A7D4FD-6BDB-43C2-897D-DF55EB87C1A6}"/>
    <cellStyle name="Migliaia 52 3 8 2 2" xfId="40100" xr:uid="{7696C3B0-433B-4863-AAC1-4C5748D058BF}"/>
    <cellStyle name="Migliaia 52 3 8 2 3" xfId="45402" xr:uid="{E22C64E8-A3FA-4908-BC77-FDFDEDC90397}"/>
    <cellStyle name="Migliaia 52 3 8 3" xfId="37458" xr:uid="{8B6D9ECF-2B20-4B39-905E-A12C78318ADD}"/>
    <cellStyle name="Migliaia 52 3 8 4" xfId="42751" xr:uid="{0C8C0D2B-0BDB-495D-ACCE-A543A1223B27}"/>
    <cellStyle name="Migliaia 52 3 8 5" xfId="25297" xr:uid="{CDA06C63-31ED-4193-B5C2-1233BC68274D}"/>
    <cellStyle name="Migliaia 52 3 8 6" xfId="17286" xr:uid="{BACAC2DC-4F8E-4A97-892A-94D7635CB4D6}"/>
    <cellStyle name="Migliaia 52 3 9" xfId="20909" xr:uid="{6248A8EA-28D8-405E-A4AE-3F61FFC223FC}"/>
    <cellStyle name="Migliaia 52 4" xfId="1893" xr:uid="{00000000-0005-0000-0000-00006C040000}"/>
    <cellStyle name="Migliaia 52 4 2" xfId="1894" xr:uid="{00000000-0005-0000-0000-00006D040000}"/>
    <cellStyle name="Migliaia 52 4 2 2" xfId="5593" xr:uid="{6C6C9FDF-B115-493C-8708-6F2DB120344D}"/>
    <cellStyle name="Migliaia 52 4 2 2 2" xfId="34484" xr:uid="{DCB69A0E-D8E8-4E1A-BBF9-C8F7A9B8465E}"/>
    <cellStyle name="Migliaia 52 4 2 2 2 2" xfId="40101" xr:uid="{EA907EAE-56FB-4AAE-BD59-23E7FF93EC6A}"/>
    <cellStyle name="Migliaia 52 4 2 2 2 3" xfId="45403" xr:uid="{7D8A0BC3-DB8C-479D-ACBD-8A515C0057F6}"/>
    <cellStyle name="Migliaia 52 4 2 2 3" xfId="37459" xr:uid="{B815DBF7-2808-4EE3-94F3-C0B04095E000}"/>
    <cellStyle name="Migliaia 52 4 2 2 4" xfId="42752" xr:uid="{CC2E43FB-7F91-4FE1-9F9A-C17EF1459670}"/>
    <cellStyle name="Migliaia 52 4 2 2 5" xfId="9202" xr:uid="{7A2ABE97-3F6A-42C7-BC90-6FAD59FD8B1F}"/>
    <cellStyle name="Migliaia 52 4 2 3" xfId="3867" xr:uid="{E74A678A-13CD-4343-9ACA-8FC9ABCE00FF}"/>
    <cellStyle name="Migliaia 52 4 2 3 2" xfId="34485" xr:uid="{2037FF60-C250-4455-8541-98EEDE9A4E96}"/>
    <cellStyle name="Migliaia 52 4 2 3 2 2" xfId="40102" xr:uid="{AAC133C3-EFB9-4255-B55D-434FD2C291D1}"/>
    <cellStyle name="Migliaia 52 4 2 3 2 3" xfId="45404" xr:uid="{51AE35DC-DB25-4DAF-ABBC-394089F560A6}"/>
    <cellStyle name="Migliaia 52 4 2 3 3" xfId="37460" xr:uid="{EF42153C-32EB-45AF-9319-B074D0BF3212}"/>
    <cellStyle name="Migliaia 52 4 2 3 4" xfId="42753" xr:uid="{ECA733F6-186D-4CA0-A8EA-421757425979}"/>
    <cellStyle name="Migliaia 52 4 2 3 5" xfId="12077" xr:uid="{EABA6CD1-EFE0-43D3-A0E3-8FAE74D166B8}"/>
    <cellStyle name="Migliaia 52 4 2 4" xfId="11429" xr:uid="{EF0D5C0E-E5A2-47A0-A66B-13FC302104EE}"/>
    <cellStyle name="Migliaia 52 4 2 5" xfId="10971" xr:uid="{E7AC3F9D-5A14-47D1-8F0B-2244EC3AF680}"/>
    <cellStyle name="Migliaia 52 4 2 5 2" xfId="21606" xr:uid="{926DE819-B191-4980-99DC-A3CE5E2C9761}"/>
    <cellStyle name="Migliaia 52 4 2 5 3" xfId="48182" xr:uid="{57275AE9-3861-44F1-A35B-9FAC9ED5CAFD}"/>
    <cellStyle name="Migliaia 52 4 2 5 4" xfId="50621" xr:uid="{107A9C82-0EB7-4F8C-9A60-F404C53E51FE}"/>
    <cellStyle name="Migliaia 52 4 2 5 5" xfId="53637" xr:uid="{27AFB66D-A9EC-48F7-834E-495C2A858AC4}"/>
    <cellStyle name="Migliaia 52 4 2 6" xfId="20920" xr:uid="{B630B3FD-A18F-4A33-983C-F1585107D214}"/>
    <cellStyle name="Migliaia 52 4 2 7" xfId="25299" xr:uid="{71724C61-E14D-4326-A900-615040556700}"/>
    <cellStyle name="Migliaia 52 4 2 8" xfId="8766" xr:uid="{3760C6AD-12D6-41FF-9F84-A9004D7569E9}"/>
    <cellStyle name="Migliaia 52 4 3" xfId="5592" xr:uid="{64069470-4AF6-4A31-8FD4-9CA09ED15DC0}"/>
    <cellStyle name="Migliaia 52 4 3 2" xfId="18257" xr:uid="{2C8E4C43-24A8-483A-A1F7-3ED2069BA521}"/>
    <cellStyle name="Migliaia 52 4 3 2 2" xfId="40103" xr:uid="{EC1C22DA-5C5B-4CF2-80D0-4DD8D5B70B85}"/>
    <cellStyle name="Migliaia 52 4 3 2 3" xfId="45405" xr:uid="{4C0E371B-2658-4DE7-AAC8-6B5D0F4A5D07}"/>
    <cellStyle name="Migliaia 52 4 3 3" xfId="37461" xr:uid="{59EC9AA6-3325-48A0-B633-5B85621E272E}"/>
    <cellStyle name="Migliaia 52 4 3 4" xfId="42754" xr:uid="{1931A714-385C-4C07-B1F5-CB5E805890CD}"/>
    <cellStyle name="Migliaia 52 4 3 5" xfId="17284" xr:uid="{A22A5A09-5F6F-42B5-905A-1E99BE44B0F0}"/>
    <cellStyle name="Migliaia 52 4 3 6" xfId="9203" xr:uid="{45A2015E-C191-4A93-AA76-E4C61C581186}"/>
    <cellStyle name="Migliaia 52 4 4" xfId="6769" xr:uid="{81E0A9BA-6FA1-4775-8D03-0CA461993283}"/>
    <cellStyle name="Migliaia 52 4 4 2" xfId="34487" xr:uid="{4D47D7F1-85D1-4C7D-8506-F516B7B6D12C}"/>
    <cellStyle name="Migliaia 52 4 4 2 2" xfId="40104" xr:uid="{9D77ED31-7DD0-4669-A9DD-0DC0BE75C4C2}"/>
    <cellStyle name="Migliaia 52 4 4 2 3" xfId="45406" xr:uid="{23325BAF-C197-4647-B357-C9081310E94E}"/>
    <cellStyle name="Migliaia 52 4 4 3" xfId="37462" xr:uid="{5F1D9F91-B5E0-4F3B-82CE-2AA08327F9C9}"/>
    <cellStyle name="Migliaia 52 4 4 4" xfId="42755" xr:uid="{F9C1B8B0-D377-4716-A79B-0BC803671D75}"/>
    <cellStyle name="Migliaia 52 4 4 5" xfId="12078" xr:uid="{8246FDBB-9B8B-46C1-9461-303714066159}"/>
    <cellStyle name="Migliaia 52 4 5" xfId="3866" xr:uid="{0DAE8909-C240-44F2-8D5A-84163F08E9F6}"/>
    <cellStyle name="Migliaia 52 4 5 2" xfId="34488" xr:uid="{3B40439E-846C-46F0-9661-7CC3A9068292}"/>
    <cellStyle name="Migliaia 52 4 5 2 2" xfId="40105" xr:uid="{DBB82B8A-7DA6-4049-9997-63A4E56022DD}"/>
    <cellStyle name="Migliaia 52 4 5 2 3" xfId="45407" xr:uid="{9496EA6F-FA87-4105-876A-9CEC37C3F011}"/>
    <cellStyle name="Migliaia 52 4 5 3" xfId="37463" xr:uid="{4B1971DA-F7C8-41EE-8882-60C5BED0E8B7}"/>
    <cellStyle name="Migliaia 52 4 5 4" xfId="42756" xr:uid="{4489BDF7-A911-46F9-81C2-1B3842C9C36C}"/>
    <cellStyle name="Migliaia 52 4 5 5" xfId="11428" xr:uid="{887B0743-2BFE-476F-8935-45F3BED4F785}"/>
    <cellStyle name="Migliaia 52 4 6" xfId="10970" xr:uid="{0DA4E5D1-385A-4AFA-B10F-0A46E2AC3240}"/>
    <cellStyle name="Migliaia 52 4 6 2" xfId="21605" xr:uid="{8401A9DD-F7D1-4FFF-BBF5-7318FFBF6DCD}"/>
    <cellStyle name="Migliaia 52 4 6 2 2" xfId="40106" xr:uid="{50077E0C-A4D9-44BB-8D4A-465907E5D9AC}"/>
    <cellStyle name="Migliaia 52 4 6 2 3" xfId="45408" xr:uid="{8E9808CF-9B82-4311-B283-71E0B62A1169}"/>
    <cellStyle name="Migliaia 52 4 6 2 4" xfId="34489" xr:uid="{5D3330F6-D5EB-4348-B008-1B544FEF44AF}"/>
    <cellStyle name="Migliaia 52 4 6 3" xfId="37464" xr:uid="{C308A041-9FAB-48A7-BC5E-D57A3C38CE86}"/>
    <cellStyle name="Migliaia 52 4 6 4" xfId="42757" xr:uid="{045D23F3-3C5A-4A9B-9A8F-F71FB0242A55}"/>
    <cellStyle name="Migliaia 52 4 6 5" xfId="25305" xr:uid="{F14357D8-F2BE-4560-A3C2-804A0189E419}"/>
    <cellStyle name="Migliaia 52 4 6 6" xfId="47155" xr:uid="{E8ED9E8F-7BC4-4613-9471-803F9072B62E}"/>
    <cellStyle name="Migliaia 52 4 6 7" xfId="50620" xr:uid="{446B4ABA-6782-43A9-8C13-5323E720EF05}"/>
    <cellStyle name="Migliaia 52 4 6 8" xfId="53636" xr:uid="{B7176474-7F86-46EF-9B61-38C5317678AE}"/>
    <cellStyle name="Migliaia 52 4 7" xfId="20919" xr:uid="{FBD8AB7F-A155-443C-8050-6026BE2C098C}"/>
    <cellStyle name="Migliaia 52 4 7 2" xfId="34490" xr:uid="{66A25C07-2BF1-4962-977E-1897E4F0C1C4}"/>
    <cellStyle name="Migliaia 52 4 7 2 2" xfId="40107" xr:uid="{4ED589DA-C48A-4AB1-B440-64FAC903F83F}"/>
    <cellStyle name="Migliaia 52 4 7 2 3" xfId="45409" xr:uid="{FD03058B-D96C-41E2-85AB-F77E42EF1637}"/>
    <cellStyle name="Migliaia 52 4 7 3" xfId="37465" xr:uid="{86BDB19B-9E84-4327-BEA9-2919A02326C2}"/>
    <cellStyle name="Migliaia 52 4 7 4" xfId="42758" xr:uid="{74E4D4ED-EF29-43A5-AC4C-7E18B5441A84}"/>
    <cellStyle name="Migliaia 52 4 7 5" xfId="25306" xr:uid="{BA6202D3-D733-4267-B23A-141AA9CAF552}"/>
    <cellStyle name="Migliaia 52 4 8" xfId="25298" xr:uid="{D99A7F94-22E9-44A3-9014-706A1A3642DD}"/>
    <cellStyle name="Migliaia 52 4 9" xfId="7576" xr:uid="{94378A50-55E6-4D1E-B878-59F6FA30C9B8}"/>
    <cellStyle name="Migliaia 52 5" xfId="1895" xr:uid="{00000000-0005-0000-0000-00006E040000}"/>
    <cellStyle name="Migliaia 52 5 2" xfId="5594" xr:uid="{AB4021E3-902E-452A-AE4C-E93BF6E94F71}"/>
    <cellStyle name="Migliaia 52 5 2 2" xfId="18505" xr:uid="{0403CB42-7E6E-4845-B725-E14935ACFE6A}"/>
    <cellStyle name="Migliaia 52 5 2 2 2" xfId="40108" xr:uid="{067FB697-8433-49F7-8921-523C04D2669C}"/>
    <cellStyle name="Migliaia 52 5 2 2 3" xfId="45410" xr:uid="{9211C936-B5AC-4825-A3B9-8DDFAF1E7E36}"/>
    <cellStyle name="Migliaia 52 5 2 3" xfId="20922" xr:uid="{081095CD-ED95-4E9C-B637-0371D851B12C}"/>
    <cellStyle name="Migliaia 52 5 2 3 2" xfId="37466" xr:uid="{81EEA23C-4ED4-4AA5-8EF1-6AF414EAB49B}"/>
    <cellStyle name="Migliaia 52 5 2 4" xfId="42759" xr:uid="{65059C37-3C1C-4197-8A09-D38FB7907BED}"/>
    <cellStyle name="Migliaia 52 5 2 5" xfId="16758" xr:uid="{ADF50805-1B6B-441D-B351-02C8DA2EB9BF}"/>
    <cellStyle name="Migliaia 52 5 2 6" xfId="8767" xr:uid="{E602548B-3CE5-4400-BFB6-8C3F4A169840}"/>
    <cellStyle name="Migliaia 52 5 3" xfId="6770" xr:uid="{D943F761-B4C9-4444-97F5-3399F4390E6E}"/>
    <cellStyle name="Migliaia 52 5 3 2" xfId="34492" xr:uid="{8255E299-0375-45A4-90A4-769E3FA90F83}"/>
    <cellStyle name="Migliaia 52 5 3 2 2" xfId="40109" xr:uid="{E0DBD1E8-7A58-4503-BA00-C3B3C5CC3139}"/>
    <cellStyle name="Migliaia 52 5 3 2 3" xfId="45411" xr:uid="{AB3AE8AA-E19D-46B4-B46C-062D6E2D8FC6}"/>
    <cellStyle name="Migliaia 52 5 3 3" xfId="37467" xr:uid="{32AC2BD5-894C-4D4D-8F79-CA5B9AE8EFDA}"/>
    <cellStyle name="Migliaia 52 5 3 4" xfId="42760" xr:uid="{3AD7CCA2-869D-4D3C-A9F8-25834164221D}"/>
    <cellStyle name="Migliaia 52 5 3 5" xfId="11430" xr:uid="{4DE5A99C-D6BD-4339-880F-EDC440B09ED3}"/>
    <cellStyle name="Migliaia 52 5 4" xfId="3868" xr:uid="{65FE5126-4CBF-4510-9CD4-D12C4C8C3A2A}"/>
    <cellStyle name="Migliaia 52 5 4 2" xfId="21607" xr:uid="{F661CFCA-0085-4C94-A129-1392C61D29C9}"/>
    <cellStyle name="Migliaia 52 5 4 2 2" xfId="40110" xr:uid="{FC967B61-E5BF-4B09-9E03-6FB797DB260A}"/>
    <cellStyle name="Migliaia 52 5 4 2 3" xfId="45412" xr:uid="{5EC44E48-31DE-491F-8953-49F4EE39CC76}"/>
    <cellStyle name="Migliaia 52 5 4 2 4" xfId="34493" xr:uid="{E82FDBEA-9622-40E9-990F-ABD63C8F6689}"/>
    <cellStyle name="Migliaia 52 5 4 3" xfId="37468" xr:uid="{E19A0AA2-1F48-41AA-A55B-34531D6FDD79}"/>
    <cellStyle name="Migliaia 52 5 4 4" xfId="42761" xr:uid="{FEA7B719-FBA4-42F0-B3A7-3F9308AE66B1}"/>
    <cellStyle name="Migliaia 52 5 4 5" xfId="25309" xr:uid="{CC3A75B1-91E7-4212-8891-C342DDBEBA99}"/>
    <cellStyle name="Migliaia 52 5 4 6" xfId="47121" xr:uid="{887CAD51-931E-468F-AE3A-FE482B23E946}"/>
    <cellStyle name="Migliaia 52 5 4 7" xfId="50622" xr:uid="{88A26878-8BEC-4B92-A59D-7D6A9685A3A9}"/>
    <cellStyle name="Migliaia 52 5 4 8" xfId="53638" xr:uid="{5BF1A407-2900-42E3-9FEE-73CE38DFDDBE}"/>
    <cellStyle name="Migliaia 52 5 4 9" xfId="10972" xr:uid="{22A8DA6F-F84D-4D31-B948-98403C1F94B7}"/>
    <cellStyle name="Migliaia 52 5 5" xfId="20921" xr:uid="{3172C189-4B3A-4C34-B806-08537166D632}"/>
    <cellStyle name="Migliaia 52 5 5 2" xfId="34494" xr:uid="{621E43E3-EF83-4AEF-B554-7C488D330177}"/>
    <cellStyle name="Migliaia 52 5 5 2 2" xfId="40111" xr:uid="{8466CF7A-4DD1-4A5E-A5DA-FADBD04783BF}"/>
    <cellStyle name="Migliaia 52 5 5 2 3" xfId="45413" xr:uid="{BC791FDC-13B0-4302-B5A4-C373B61D3496}"/>
    <cellStyle name="Migliaia 52 5 5 3" xfId="37469" xr:uid="{71B2856C-BF9F-46CF-85F9-5A80E4EFF92B}"/>
    <cellStyle name="Migliaia 52 5 5 4" xfId="42762" xr:uid="{23FBD2A9-53D4-4495-B52F-9A74FCC91816}"/>
    <cellStyle name="Migliaia 52 5 5 5" xfId="25310" xr:uid="{9634A7E6-E25D-4AF0-B800-D3FC3F5F4396}"/>
    <cellStyle name="Migliaia 52 5 6" xfId="25311" xr:uid="{3DA91E98-CADE-4892-B3F0-3C18614EB2BD}"/>
    <cellStyle name="Migliaia 52 5 6 2" xfId="34495" xr:uid="{F72222A9-64E0-4B6C-8081-6521CE331A10}"/>
    <cellStyle name="Migliaia 52 5 6 2 2" xfId="40112" xr:uid="{511ABE39-0B9A-4412-BD67-E62730881F7F}"/>
    <cellStyle name="Migliaia 52 5 6 2 3" xfId="45414" xr:uid="{93B165D2-FD27-42D3-99EE-090C127315C0}"/>
    <cellStyle name="Migliaia 52 5 6 3" xfId="37470" xr:uid="{619C28D0-8AC0-4651-B96C-BFEAB6CBE9D1}"/>
    <cellStyle name="Migliaia 52 5 6 4" xfId="42763" xr:uid="{8484B464-99B5-4F7E-8EA3-7ECE1E68B267}"/>
    <cellStyle name="Migliaia 52 5 7" xfId="25307" xr:uid="{95D6A30E-13BC-44DF-8C7A-089EB2CFAECD}"/>
    <cellStyle name="Migliaia 52 5 8" xfId="7577" xr:uid="{6CBFB9A1-AEAE-4358-BF2A-94754C47565B}"/>
    <cellStyle name="Migliaia 52 6" xfId="3869" xr:uid="{4D3AF9B1-0040-4E20-94C8-D18B5F0D3743}"/>
    <cellStyle name="Migliaia 52 6 2" xfId="5595" xr:uid="{8A2C2F60-7FB5-4288-8CCB-6835811F5EBB}"/>
    <cellStyle name="Migliaia 52 6 2 2" xfId="9975" xr:uid="{145CB101-03AE-4A42-9376-3CD8BBD5CCE2}"/>
    <cellStyle name="Migliaia 52 6 2 3" xfId="18556" xr:uid="{5C82466E-9F9F-47DD-819A-6205DE74B079}"/>
    <cellStyle name="Migliaia 52 6 2 4" xfId="20924" xr:uid="{A9461552-D429-491B-BF1A-BA46F431F4CC}"/>
    <cellStyle name="Migliaia 52 6 2 5" xfId="32462" xr:uid="{B23D06C0-572F-4E25-8AFF-C6DCAE305520}"/>
    <cellStyle name="Migliaia 52 6 2 6" xfId="16760" xr:uid="{8114613F-D44B-45C3-A8B2-5292FA9B8C75}"/>
    <cellStyle name="Migliaia 52 6 2 7" xfId="8762" xr:uid="{68B0579E-A6D3-4335-90BF-9B4763E2FC71}"/>
    <cellStyle name="Migliaia 52 6 3" xfId="6771" xr:uid="{686B1AA2-4A21-4FCA-9846-5C701B54893D}"/>
    <cellStyle name="Migliaia 52 6 3 2" xfId="35456" xr:uid="{40524F0C-EE41-4931-B90E-6310C274A567}"/>
    <cellStyle name="Migliaia 52 6 3 2 2" xfId="40616" xr:uid="{83FC8110-BCC1-410A-8EBA-58B377D03FC4}"/>
    <cellStyle name="Migliaia 52 6 3 2 3" xfId="45918" xr:uid="{DAE68052-7ED6-4EFF-92EF-B2B27147016E}"/>
    <cellStyle name="Migliaia 52 6 3 3" xfId="37965" xr:uid="{E01BF68C-D07F-4CEF-AC8D-F3C81095A52A}"/>
    <cellStyle name="Migliaia 52 6 3 4" xfId="43267" xr:uid="{7228D3E3-13AD-4846-9758-92EE31FB43A6}"/>
    <cellStyle name="Migliaia 52 6 3 5" xfId="9738" xr:uid="{CD672A70-1889-4858-A657-D06F235D750C}"/>
    <cellStyle name="Migliaia 52 6 4" xfId="20923" xr:uid="{F330EE6C-0F30-4D67-8224-21807F717651}"/>
    <cellStyle name="Migliaia 52 6 4 2" xfId="40113" xr:uid="{7B32C215-9A5F-4104-B80E-1491598DB2E2}"/>
    <cellStyle name="Migliaia 52 6 4 3" xfId="45415" xr:uid="{D9D6555B-61D4-491F-910E-816D32055B1E}"/>
    <cellStyle name="Migliaia 52 6 4 4" xfId="34496" xr:uid="{6F20A766-A1CA-4032-A130-B3B5AC989608}"/>
    <cellStyle name="Migliaia 52 6 5" xfId="37471" xr:uid="{B8C139A2-86F6-4C7C-8327-C9C452C5AF76}"/>
    <cellStyle name="Migliaia 52 6 6" xfId="42764" xr:uid="{DFDEFDEB-B95A-460A-A097-7A64E66EBA8D}"/>
    <cellStyle name="Migliaia 52 6 7" xfId="16759" xr:uid="{1EDF86B1-D418-4C1B-8E5B-B9477CD1B442}"/>
    <cellStyle name="Migliaia 52 6 8" xfId="7572" xr:uid="{C2D17991-9E01-4B6C-9CBF-BA9365257057}"/>
    <cellStyle name="Migliaia 52 7" xfId="3870" xr:uid="{A9376C20-2A9D-48BF-A68E-D3155CE143D7}"/>
    <cellStyle name="Migliaia 52 7 2" xfId="5596" xr:uid="{2D8E491C-E4DA-4296-B25E-E55173329DA6}"/>
    <cellStyle name="Migliaia 52 7 2 2" xfId="35457" xr:uid="{A81E620E-0F1E-4455-88B0-EC2F3AD5437A}"/>
    <cellStyle name="Migliaia 52 7 2 2 2" xfId="40617" xr:uid="{EA2E9628-10EF-4388-9742-D5A1ED30DB82}"/>
    <cellStyle name="Migliaia 52 7 2 2 3" xfId="45919" xr:uid="{9813CB05-798D-4D09-8199-2B43B0DA8855}"/>
    <cellStyle name="Migliaia 52 7 2 3" xfId="37966" xr:uid="{E8CC10F4-DBAB-4DFB-B9A5-3460202F3EDF}"/>
    <cellStyle name="Migliaia 52 7 2 4" xfId="43268" xr:uid="{0939B40D-56C2-4AFC-B0BF-8A89420D625F}"/>
    <cellStyle name="Migliaia 52 7 2 5" xfId="14320" xr:uid="{8DC0C7E4-4EBB-4E48-ABE5-B6C2093B7175}"/>
    <cellStyle name="Migliaia 52 7 3" xfId="6772" xr:uid="{EDE04637-5F84-48CE-A355-DB60D39184ED}"/>
    <cellStyle name="Migliaia 52 7 3 2" xfId="40114" xr:uid="{582DB7F1-2367-48FE-8FED-08C169B1F9F3}"/>
    <cellStyle name="Migliaia 52 7 3 3" xfId="45416" xr:uid="{3014C438-201E-437B-ACB0-2CF79CAA2E32}"/>
    <cellStyle name="Migliaia 52 7 3 4" xfId="34497" xr:uid="{F82E0A89-4761-41B6-80B5-317D6D370357}"/>
    <cellStyle name="Migliaia 52 7 3 5" xfId="20925" xr:uid="{E2BE290D-FC60-4EFD-BC4C-C88F88E974BA}"/>
    <cellStyle name="Migliaia 52 7 4" xfId="37472" xr:uid="{A413E715-D20A-48E3-99EC-5416A5CC0A3C}"/>
    <cellStyle name="Migliaia 52 7 5" xfId="42765" xr:uid="{5B86EAAB-8F11-4994-BB03-EC39D96F488F}"/>
    <cellStyle name="Migliaia 52 7 6" xfId="16761" xr:uid="{8B610CB3-F262-4A16-83D9-EC9FDB982EB1}"/>
    <cellStyle name="Migliaia 52 7 7" xfId="8382" xr:uid="{94CBED37-1FF3-4DCA-8623-59D74F468BBD}"/>
    <cellStyle name="Migliaia 52 8" xfId="3871" xr:uid="{CDF16066-9FBF-400C-9E0C-859C512F7701}"/>
    <cellStyle name="Migliaia 52 8 2" xfId="5597" xr:uid="{BC0CC8ED-5DC5-431E-910D-D4B8094900F4}"/>
    <cellStyle name="Migliaia 52 8 2 2" xfId="35458" xr:uid="{939B3396-5D74-4B35-9EDD-AF661B394BA7}"/>
    <cellStyle name="Migliaia 52 8 2 2 2" xfId="40618" xr:uid="{9386B7D0-5B69-4A71-9EF6-98AFE13E5FC2}"/>
    <cellStyle name="Migliaia 52 8 2 2 3" xfId="45920" xr:uid="{ACC828B2-33CD-42C5-A2FE-F4596E7D1AF9}"/>
    <cellStyle name="Migliaia 52 8 2 3" xfId="37967" xr:uid="{32FED97A-0B8F-4F62-9F54-EE72ABCE122D}"/>
    <cellStyle name="Migliaia 52 8 2 4" xfId="43269" xr:uid="{FCAA7955-C6EE-4C68-BB30-EB72ACEE0F35}"/>
    <cellStyle name="Migliaia 52 8 2 5" xfId="14025" xr:uid="{F6EA8BF4-27CB-4C48-BC11-11FABC9C534A}"/>
    <cellStyle name="Migliaia 52 8 3" xfId="6773" xr:uid="{0B01831D-C060-432E-8770-8AEA844FBDFE}"/>
    <cellStyle name="Migliaia 52 8 3 2" xfId="40115" xr:uid="{CEB5481D-1031-4D8E-9A71-7F0DFFECD6C6}"/>
    <cellStyle name="Migliaia 52 8 3 3" xfId="45417" xr:uid="{29B1CBCE-BF0B-4CA3-B8DD-5D4C8DBBA598}"/>
    <cellStyle name="Migliaia 52 8 3 4" xfId="34498" xr:uid="{6A4252B9-37B7-44F9-BE6A-0AC473525629}"/>
    <cellStyle name="Migliaia 52 8 3 5" xfId="20926" xr:uid="{E00DD43E-2264-4644-B39F-1C761F8BD224}"/>
    <cellStyle name="Migliaia 52 8 4" xfId="37473" xr:uid="{CD15873E-7345-4BCD-8060-B3FEA7E513F6}"/>
    <cellStyle name="Migliaia 52 8 5" xfId="42766" xr:uid="{B9E9B37F-2CC4-4AC0-9E69-DE9F15DF77F7}"/>
    <cellStyle name="Migliaia 52 8 6" xfId="16762" xr:uid="{53009083-FA9E-4864-AB4D-BA63EA22E32A}"/>
    <cellStyle name="Migliaia 52 8 7" xfId="8010" xr:uid="{4195D993-7E3D-4167-BD67-32D14A21BAAE}"/>
    <cellStyle name="Migliaia 52 9" xfId="5582" xr:uid="{A9201CA5-F61B-4D5F-84CF-DA5CDC670C37}"/>
    <cellStyle name="Migliaia 52 9 2" xfId="34499" xr:uid="{DB9009F8-5D1A-4070-BAD9-66B663CD9A04}"/>
    <cellStyle name="Migliaia 52 9 2 2" xfId="40116" xr:uid="{6845DAFF-C406-48DC-A2E2-762B5146AC2B}"/>
    <cellStyle name="Migliaia 52 9 2 3" xfId="45418" xr:uid="{B2C14F51-22B0-4E9E-8C8A-F92844589DB0}"/>
    <cellStyle name="Migliaia 52 9 3" xfId="37474" xr:uid="{036D0835-FA2A-44BC-B37C-8E2A2364923B}"/>
    <cellStyle name="Migliaia 52 9 4" xfId="42767" xr:uid="{6D8EC918-CD1E-48B8-B7E5-67F78A3E5489}"/>
    <cellStyle name="Migliaia 52 9 5" xfId="17229" xr:uid="{42BB29D1-5BF7-451F-9F44-BF57AE98E20F}"/>
    <cellStyle name="Migliaia 53" xfId="493" xr:uid="{00000000-0005-0000-0000-00006F040000}"/>
    <cellStyle name="Migliaia 53 10" xfId="6774" xr:uid="{DAABB730-F358-454D-B24E-C6CA17D60C38}"/>
    <cellStyle name="Migliaia 53 10 2" xfId="40117" xr:uid="{0FE4BD0D-770F-467B-976A-56144C8591F0}"/>
    <cellStyle name="Migliaia 53 10 3" xfId="45419" xr:uid="{ADACED73-6983-4C20-BE5A-286FD5703F8B}"/>
    <cellStyle name="Migliaia 53 10 4" xfId="34500" xr:uid="{0A4A96FC-E6CD-4BA0-9443-8EAB8C76FC08}"/>
    <cellStyle name="Migliaia 53 10 5" xfId="20927" xr:uid="{79ABB330-18EF-4D70-8E67-CD7911E58666}"/>
    <cellStyle name="Migliaia 53 11" xfId="3872" xr:uid="{F577A5FA-201D-4BAD-BE16-3B8538AADD32}"/>
    <cellStyle name="Migliaia 53 11 2" xfId="37475" xr:uid="{4F72C184-67D0-40BB-B8E4-E4C77A1EBCA2}"/>
    <cellStyle name="Migliaia 53 12" xfId="42768" xr:uid="{EEF49269-F9B0-425A-97A1-B04495D00325}"/>
    <cellStyle name="Migliaia 53 13" xfId="7186" xr:uid="{3C832AD8-90DA-4F00-A340-3598D37DDAEC}"/>
    <cellStyle name="Migliaia 53 2" xfId="494" xr:uid="{00000000-0005-0000-0000-000070040000}"/>
    <cellStyle name="Migliaia 53 2 2" xfId="1896" xr:uid="{00000000-0005-0000-0000-000071040000}"/>
    <cellStyle name="Migliaia 53 2 2 2" xfId="5600" xr:uid="{9FCDC712-8F29-4C62-9DB0-A380AFDE55B0}"/>
    <cellStyle name="Migliaia 53 2 2 2 2" xfId="14411" xr:uid="{4B84363E-DFA7-493B-AB26-8F03F7BF09E8}"/>
    <cellStyle name="Migliaia 53 2 2 2 2 2" xfId="40118" xr:uid="{518A7B55-EEEB-4462-B3E8-361D0E5DF805}"/>
    <cellStyle name="Migliaia 53 2 2 2 2 3" xfId="45420" xr:uid="{C8E98B56-FCFF-4D73-8307-A7C3FB9B1D35}"/>
    <cellStyle name="Migliaia 53 2 2 2 3" xfId="18506" xr:uid="{F2D59A02-B7DB-4925-8A4B-C2F60E1C96B7}"/>
    <cellStyle name="Migliaia 53 2 2 2 4" xfId="20930" xr:uid="{EF679286-5D46-4E4D-8C5E-D2ABE6DBF0CB}"/>
    <cellStyle name="Migliaia 53 2 2 2 4 2" xfId="42769" xr:uid="{E673FC0B-4036-447D-80AA-3AC31A02C29C}"/>
    <cellStyle name="Migliaia 53 2 2 2 5" xfId="16763" xr:uid="{B7DE8435-FC2F-48EF-953B-58BEDA7836A8}"/>
    <cellStyle name="Migliaia 53 2 2 2 6" xfId="8769" xr:uid="{4DE672F9-B7EC-4FB7-B4B7-98802F136259}"/>
    <cellStyle name="Migliaia 53 2 2 3" xfId="6776" xr:uid="{C294BC7A-BAAF-4BDD-B838-9C2DA801907C}"/>
    <cellStyle name="Migliaia 53 2 2 3 2" xfId="35459" xr:uid="{19913BAD-259C-408E-BA80-BDC6FFB6C3F1}"/>
    <cellStyle name="Migliaia 53 2 2 3 2 2" xfId="40619" xr:uid="{731DAB54-97CD-47EB-AB01-755D02D228DA}"/>
    <cellStyle name="Migliaia 53 2 2 3 2 3" xfId="45921" xr:uid="{B149FE83-3745-425F-920F-CEEC0E685453}"/>
    <cellStyle name="Migliaia 53 2 2 3 3" xfId="37968" xr:uid="{B1F37DF2-E788-4BB1-AA40-02869DD597A1}"/>
    <cellStyle name="Migliaia 53 2 2 3 4" xfId="43270" xr:uid="{E5CC4404-61D1-469B-8B7C-5DCDB32772FE}"/>
    <cellStyle name="Migliaia 53 2 2 3 5" xfId="11638" xr:uid="{8BFA8DCC-4CF9-4CDF-B89B-9435675C594B}"/>
    <cellStyle name="Migliaia 53 2 2 4" xfId="3874" xr:uid="{42DBEE27-4BB5-48A7-81B7-579439AEA7ED}"/>
    <cellStyle name="Migliaia 53 2 2 4 2" xfId="21608" xr:uid="{24D53240-732F-4603-83AE-12677809F87F}"/>
    <cellStyle name="Migliaia 53 2 2 4 3" xfId="47004" xr:uid="{271A898E-89A1-4224-8A7C-4693DEB035AF}"/>
    <cellStyle name="Migliaia 53 2 2 4 4" xfId="50623" xr:uid="{34E1736C-CBE5-4C5D-AAEB-CBA86FF1CE19}"/>
    <cellStyle name="Migliaia 53 2 2 4 5" xfId="53639" xr:uid="{6AC004E3-E42F-40DB-9B58-560E22C90573}"/>
    <cellStyle name="Migliaia 53 2 2 4 6" xfId="10973" xr:uid="{AA163C25-3F78-48B1-A49C-E35752CAE3DE}"/>
    <cellStyle name="Migliaia 53 2 2 5" xfId="20929" xr:uid="{381C68C2-2C4C-4B63-9EDD-6E736E7303A1}"/>
    <cellStyle name="Migliaia 53 2 2 6" xfId="25313" xr:uid="{80BE1379-98BF-4C89-A1F6-21E7419ACCA3}"/>
    <cellStyle name="Migliaia 53 2 2 7" xfId="7579" xr:uid="{74C177FF-1317-44CE-A7F8-2D02BDADF53B}"/>
    <cellStyle name="Migliaia 53 2 3" xfId="3875" xr:uid="{02500575-C6FA-402E-8599-0AD31427F0FE}"/>
    <cellStyle name="Migliaia 53 2 3 2" xfId="5601" xr:uid="{BE3AF0C6-4A27-4615-BD5A-C9651DD44D92}"/>
    <cellStyle name="Migliaia 53 2 3 2 2" xfId="35460" xr:uid="{0D6646B1-885C-4D57-9CFE-ED342677BBA3}"/>
    <cellStyle name="Migliaia 53 2 3 2 2 2" xfId="40620" xr:uid="{D55A694D-0A79-4B78-9937-EF334BADF10F}"/>
    <cellStyle name="Migliaia 53 2 3 2 2 3" xfId="45922" xr:uid="{B252B674-5242-47DE-BEFF-979F4920A7A8}"/>
    <cellStyle name="Migliaia 53 2 3 2 3" xfId="37969" xr:uid="{474291A0-A7D4-4EE2-A81E-4C99A4D2C97F}"/>
    <cellStyle name="Migliaia 53 2 3 2 4" xfId="43271" xr:uid="{C609BFED-EAC0-4FCC-B313-AF9E95526600}"/>
    <cellStyle name="Migliaia 53 2 3 2 5" xfId="14324" xr:uid="{98FBCA2B-A324-46F9-9BD8-BD7BFB57DFC4}"/>
    <cellStyle name="Migliaia 53 2 3 3" xfId="6777" xr:uid="{B19315B1-1D0B-4601-8142-E9662F818A16}"/>
    <cellStyle name="Migliaia 53 2 3 3 2" xfId="40119" xr:uid="{BC26D025-3792-45EE-8B22-A329010F3DD8}"/>
    <cellStyle name="Migliaia 53 2 3 3 3" xfId="45421" xr:uid="{36591EB2-F826-496F-BD86-0C0367C549D7}"/>
    <cellStyle name="Migliaia 53 2 3 3 4" xfId="34501" xr:uid="{B1B52BD4-92BF-4708-BAD8-7CAD8F191D32}"/>
    <cellStyle name="Migliaia 53 2 3 3 5" xfId="20931" xr:uid="{EA2ABCE7-718F-4701-91ED-5A130692A239}"/>
    <cellStyle name="Migliaia 53 2 3 4" xfId="37476" xr:uid="{2A8A748F-BFB5-4E19-BE63-7C21B611C297}"/>
    <cellStyle name="Migliaia 53 2 3 5" xfId="42770" xr:uid="{440839F4-9CA6-466A-BF89-A03C4D718560}"/>
    <cellStyle name="Migliaia 53 2 3 6" xfId="16764" xr:uid="{6B59ABAB-3BCC-4200-8FD9-D1BA0DF92160}"/>
    <cellStyle name="Migliaia 53 2 3 7" xfId="8386" xr:uid="{F0B9F7CB-4D49-4874-A91B-B11F478AC16E}"/>
    <cellStyle name="Migliaia 53 2 4" xfId="5599" xr:uid="{79285C30-7E19-4A06-879C-5D9E17637B45}"/>
    <cellStyle name="Migliaia 53 2 4 2" xfId="14029" xr:uid="{D9F053E3-E423-4B69-A052-1BEE3DE4A142}"/>
    <cellStyle name="Migliaia 53 2 4 2 2" xfId="40120" xr:uid="{763DB3D6-0320-4134-A312-AB06D4359652}"/>
    <cellStyle name="Migliaia 53 2 4 2 3" xfId="45422" xr:uid="{CFF69C43-3B97-493F-8A31-F896E4F7718F}"/>
    <cellStyle name="Migliaia 53 2 4 3" xfId="18026" xr:uid="{F467BF2D-172C-4D92-9BD0-A11310B03469}"/>
    <cellStyle name="Migliaia 53 2 4 4" xfId="20932" xr:uid="{AAEBE5F2-F774-4914-85DF-D0131E10A05B}"/>
    <cellStyle name="Migliaia 53 2 4 4 2" xfId="42771" xr:uid="{53A2390F-45E7-4A74-B202-487B894E7ED8}"/>
    <cellStyle name="Migliaia 53 2 4 5" xfId="16765" xr:uid="{5FF110A9-E6C5-4B1C-BDD3-E1BD5D88264F}"/>
    <cellStyle name="Migliaia 53 2 4 6" xfId="8015" xr:uid="{CEB0B378-1627-4AA5-AB83-86A4A5B59023}"/>
    <cellStyle name="Migliaia 53 2 5" xfId="6775" xr:uid="{3C67B881-3AA1-4800-8D4B-647D0E92CC67}"/>
    <cellStyle name="Migliaia 53 2 5 2" xfId="34502" xr:uid="{BEA95D4A-F6DC-4AAA-B3E3-887EE52C3FFE}"/>
    <cellStyle name="Migliaia 53 2 5 2 2" xfId="40121" xr:uid="{A04A44C7-D455-4A01-85D7-114A31A21D5D}"/>
    <cellStyle name="Migliaia 53 2 5 2 3" xfId="45423" xr:uid="{74B0AE18-E8AF-4777-927A-8A69595AE826}"/>
    <cellStyle name="Migliaia 53 2 5 3" xfId="37477" xr:uid="{08F27FA0-BAC5-4A2E-B352-9A06C7C3A0B2}"/>
    <cellStyle name="Migliaia 53 2 5 4" xfId="42772" xr:uid="{A2042EF7-471D-4D8E-8C39-CDBF29662775}"/>
    <cellStyle name="Migliaia 53 2 5 5" xfId="13151" xr:uid="{A4CE940D-29F7-4705-89DF-0E7F2CCFCA62}"/>
    <cellStyle name="Migliaia 53 2 6" xfId="3873" xr:uid="{62C1B83E-D9A4-4B18-B4B9-F32F2D39B531}"/>
    <cellStyle name="Migliaia 53 2 6 2" xfId="34503" xr:uid="{748F2B30-EFB8-4895-9346-53D27D6B5EF8}"/>
    <cellStyle name="Migliaia 53 2 6 2 2" xfId="40122" xr:uid="{494F19D6-291D-41E5-AF8B-A68766B866C8}"/>
    <cellStyle name="Migliaia 53 2 6 2 3" xfId="45424" xr:uid="{3B723AF3-36A4-4700-A8BF-9A4C6776E45B}"/>
    <cellStyle name="Migliaia 53 2 6 3" xfId="37478" xr:uid="{9C55549B-15B2-48B6-BB5A-1A80D95B9F79}"/>
    <cellStyle name="Migliaia 53 2 6 4" xfId="42773" xr:uid="{1BFA6BF0-5457-4C86-A27D-8F66C551E7BA}"/>
    <cellStyle name="Migliaia 53 2 6 5" xfId="25314" xr:uid="{C2E9312F-7348-497B-88EA-B4AE4760160C}"/>
    <cellStyle name="Migliaia 53 2 6 6" xfId="20928" xr:uid="{07027D43-78C2-4090-A3FC-B5F00E6B0B42}"/>
    <cellStyle name="Migliaia 53 2 7" xfId="25312" xr:uid="{DCFEBD8A-3B85-44D0-92BD-E236D37FBFFB}"/>
    <cellStyle name="Migliaia 53 2 8" xfId="7187" xr:uid="{8897B37C-5540-4F20-AD41-409DE92A66D5}"/>
    <cellStyle name="Migliaia 53 3" xfId="495" xr:uid="{00000000-0005-0000-0000-000072040000}"/>
    <cellStyle name="Migliaia 53 3 10" xfId="25315" xr:uid="{53FB93DE-5461-4F5F-9725-8417D327EF47}"/>
    <cellStyle name="Migliaia 53 3 11" xfId="16766" xr:uid="{498AA1A2-2E36-4C44-9EBB-CC646B6D1BB1}"/>
    <cellStyle name="Migliaia 53 3 12" xfId="7188" xr:uid="{C35CFB18-A7CD-43B9-BC91-C55E2D686A2F}"/>
    <cellStyle name="Migliaia 53 3 2" xfId="496" xr:uid="{00000000-0005-0000-0000-000073040000}"/>
    <cellStyle name="Migliaia 53 3 2 2" xfId="1897" xr:uid="{00000000-0005-0000-0000-000074040000}"/>
    <cellStyle name="Migliaia 53 3 2 2 2" xfId="5604" xr:uid="{75C72B14-29FD-4EDC-A5AA-21C320D99EBB}"/>
    <cellStyle name="Migliaia 53 3 2 2 2 2" xfId="18507" xr:uid="{F32E3ADC-01C7-4C06-B5C3-C7282D315A35}"/>
    <cellStyle name="Migliaia 53 3 2 2 2 2 2" xfId="21889" xr:uid="{CB7FA5FB-8923-4C8C-8045-AEB1633033EB}"/>
    <cellStyle name="Migliaia 53 3 2 2 2 2 2 2" xfId="40123" xr:uid="{36F3380F-A258-4AD4-9CD9-82D3D636942B}"/>
    <cellStyle name="Migliaia 53 3 2 2 2 2 3" xfId="45425" xr:uid="{00D4B525-07B0-4A1C-A768-D140136B80BF}"/>
    <cellStyle name="Migliaia 53 3 2 2 2 2 4" xfId="34504" xr:uid="{96C55D7F-D47D-43DD-8259-5432A5A00E22}"/>
    <cellStyle name="Migliaia 53 3 2 2 2 3" xfId="37479" xr:uid="{25AC9A29-5C55-44FB-825C-A8742AF98251}"/>
    <cellStyle name="Migliaia 53 3 2 2 2 4" xfId="42774" xr:uid="{F44039D4-50BA-4FF6-92E0-0EE747C288BB}"/>
    <cellStyle name="Migliaia 53 3 2 2 2 5" xfId="48333" xr:uid="{9B5E1508-640B-49CF-B5A9-2EC0A361F0A1}"/>
    <cellStyle name="Migliaia 53 3 2 2 2 6" xfId="50917" xr:uid="{54CDBE45-7BD1-44B3-AC8F-CCBB30881DDC}"/>
    <cellStyle name="Migliaia 53 3 2 2 2 7" xfId="53933" xr:uid="{BB624C03-70A5-43D6-9DFA-20DEFD4B08AE}"/>
    <cellStyle name="Migliaia 53 3 2 2 2 8" xfId="17688" xr:uid="{4D7DE55E-2E3C-41C6-A3E0-4DD400534FAB}"/>
    <cellStyle name="Migliaia 53 3 2 2 2 9" xfId="12079" xr:uid="{9AE5FCBC-5EE5-427B-9323-E702CB91F751}"/>
    <cellStyle name="Migliaia 53 3 2 2 3" xfId="6780" xr:uid="{7FA9ABE1-7B77-45A7-BF60-319609DC99D0}"/>
    <cellStyle name="Migliaia 53 3 2 2 3 2" xfId="12153" xr:uid="{52456DBC-E612-4744-93CA-43E3734456CA}"/>
    <cellStyle name="Migliaia 53 3 2 2 4" xfId="3878" xr:uid="{CB917C84-8DF1-469D-924F-DA2073ED0507}"/>
    <cellStyle name="Migliaia 53 3 2 2 4 2" xfId="21609" xr:uid="{982856C9-FE88-4672-BA72-40E991E63578}"/>
    <cellStyle name="Migliaia 53 3 2 2 4 3" xfId="47809" xr:uid="{1C884AAE-1A37-4345-8041-A8A55C8F4993}"/>
    <cellStyle name="Migliaia 53 3 2 2 4 4" xfId="50624" xr:uid="{4771FCB7-6FAE-4C17-85A0-991494530E1B}"/>
    <cellStyle name="Migliaia 53 3 2 2 4 5" xfId="53640" xr:uid="{30CDFEC2-A365-4289-A0BB-73EDC9B761B2}"/>
    <cellStyle name="Migliaia 53 3 2 2 4 6" xfId="10974" xr:uid="{73964F8D-1700-4E95-A04B-CA5EFE923DE9}"/>
    <cellStyle name="Migliaia 53 3 2 2 5" xfId="20935" xr:uid="{08346BCD-7CAA-461B-ADB8-6F9BFA02BF92}"/>
    <cellStyle name="Migliaia 53 3 2 2 6" xfId="25317" xr:uid="{82ABCA99-8CD6-4BAB-99F0-001AD75C295A}"/>
    <cellStyle name="Migliaia 53 3 2 2 7" xfId="8771" xr:uid="{1A93341A-6525-431C-8119-3E3F53C7C5A1}"/>
    <cellStyle name="Migliaia 53 3 2 3" xfId="5603" xr:uid="{85C60C5D-9849-414D-924D-2290AF049499}"/>
    <cellStyle name="Migliaia 53 3 2 3 2" xfId="12399" xr:uid="{196FBDD8-E903-4D1E-A231-90F125C965D7}"/>
    <cellStyle name="Migliaia 53 3 2 3 2 2" xfId="40124" xr:uid="{96934E05-BA6A-4751-A02D-81B67135708D}"/>
    <cellStyle name="Migliaia 53 3 2 3 2 3" xfId="45426" xr:uid="{EA873047-F6EF-4CD7-B63F-F214D14739A5}"/>
    <cellStyle name="Migliaia 53 3 2 3 2 4" xfId="34505" xr:uid="{91C7C2BD-7ADC-4D31-8CBA-18EF2917FAE5}"/>
    <cellStyle name="Migliaia 53 3 2 3 3" xfId="12080" xr:uid="{136BCC7E-2194-44A6-B2F0-669DDA103A74}"/>
    <cellStyle name="Migliaia 53 3 2 3 4" xfId="20936" xr:uid="{E424271F-804E-4130-A9D9-ECCF3858EFF6}"/>
    <cellStyle name="Migliaia 53 3 2 3 4 2" xfId="42775" xr:uid="{1C51F291-9422-46AD-B427-9EB5B0151AE1}"/>
    <cellStyle name="Migliaia 53 3 2 3 5" xfId="16767" xr:uid="{D92CD7E1-1EA4-44C1-8C2F-CFFED851A7A2}"/>
    <cellStyle name="Migliaia 53 3 2 3 6" xfId="8017" xr:uid="{03A1DA71-E6A1-4674-86AB-406D876C69C1}"/>
    <cellStyle name="Migliaia 53 3 2 4" xfId="6779" xr:uid="{7D14AFBB-177D-4DDF-A911-649763AF1ECE}"/>
    <cellStyle name="Migliaia 53 3 2 4 2" xfId="18105" xr:uid="{CFED6966-8774-471F-AB4A-49DCE3FFCFBE}"/>
    <cellStyle name="Migliaia 53 3 2 4 2 2" xfId="40125" xr:uid="{8EFFD414-34A0-40A1-97A5-CD4476B025B1}"/>
    <cellStyle name="Migliaia 53 3 2 4 2 3" xfId="45427" xr:uid="{ED9BC48C-4FE3-4B5F-9FFE-A315762E5FA7}"/>
    <cellStyle name="Migliaia 53 3 2 4 3" xfId="37480" xr:uid="{4B1039F4-66E8-4847-87A1-2CF66F960A85}"/>
    <cellStyle name="Migliaia 53 3 2 4 4" xfId="42776" xr:uid="{1398E508-E79A-43EB-B2CA-303B18F4E2CE}"/>
    <cellStyle name="Migliaia 53 3 2 4 5" xfId="17232" xr:uid="{D50F1EAC-3704-46AC-A6D6-FCFC766FFAB8}"/>
    <cellStyle name="Migliaia 53 3 2 4 6" xfId="11432" xr:uid="{D095B24D-DF0E-4EAE-8CD9-337B774C65F6}"/>
    <cellStyle name="Migliaia 53 3 2 5" xfId="3877" xr:uid="{6775C2D6-273D-4242-8F25-D8BD483F35CC}"/>
    <cellStyle name="Migliaia 53 3 2 5 2" xfId="34506" xr:uid="{C733B251-C549-41DC-A3E0-264322F55042}"/>
    <cellStyle name="Migliaia 53 3 2 5 2 2" xfId="40126" xr:uid="{4D97DDA7-C854-4482-908F-B93F69B5E7EF}"/>
    <cellStyle name="Migliaia 53 3 2 5 2 3" xfId="45428" xr:uid="{09537322-5D15-4568-B17F-E452D616FBEB}"/>
    <cellStyle name="Migliaia 53 3 2 5 3" xfId="37481" xr:uid="{3E64E9C1-A209-4493-A1BD-0E1CA7BC4976}"/>
    <cellStyle name="Migliaia 53 3 2 5 4" xfId="42777" xr:uid="{8AD69CE8-F1A2-4C6A-9EB1-90E2D4F5AC1F}"/>
    <cellStyle name="Migliaia 53 3 2 5 5" xfId="17282" xr:uid="{5CA28D9A-834B-447C-BF8C-D5CEE85425E3}"/>
    <cellStyle name="Migliaia 53 3 2 6" xfId="20934" xr:uid="{093C2B74-1AA7-4DD4-9E06-297107A326CA}"/>
    <cellStyle name="Migliaia 53 3 2 6 2" xfId="34507" xr:uid="{93C4F193-3F5F-4A20-935E-E7B09109579C}"/>
    <cellStyle name="Migliaia 53 3 2 6 2 2" xfId="40127" xr:uid="{F5B29F03-6071-46CD-817E-C60A93C26DAF}"/>
    <cellStyle name="Migliaia 53 3 2 6 2 3" xfId="45429" xr:uid="{C1CB4BDF-6DBD-4049-8DFE-AD237FC7038A}"/>
    <cellStyle name="Migliaia 53 3 2 6 3" xfId="37482" xr:uid="{85FDFC39-B926-4439-AC5F-F874316A693B}"/>
    <cellStyle name="Migliaia 53 3 2 6 4" xfId="42778" xr:uid="{337175A1-61EC-45F0-94F7-4556230F927A}"/>
    <cellStyle name="Migliaia 53 3 2 6 5" xfId="25318" xr:uid="{E8FB1664-C642-49A2-A556-1EA04F7A4955}"/>
    <cellStyle name="Migliaia 53 3 2 7" xfId="25316" xr:uid="{43520FCA-58B4-4857-A079-CB81BE85C858}"/>
    <cellStyle name="Migliaia 53 3 2 8" xfId="7581" xr:uid="{0FBC3842-DD2F-4586-A989-0B48D694D027}"/>
    <cellStyle name="Migliaia 53 3 3" xfId="3879" xr:uid="{B007EE73-7F64-4378-82D1-D8E8338F4576}"/>
    <cellStyle name="Migliaia 53 3 3 10" xfId="7580" xr:uid="{50D69143-C5C7-4044-B501-96EEAA162531}"/>
    <cellStyle name="Migliaia 53 3 3 2" xfId="5605" xr:uid="{81E03943-2F26-4427-9C81-124D02491819}"/>
    <cellStyle name="Migliaia 53 3 3 2 2" xfId="9978" xr:uid="{C6FFA2BC-D3CE-4790-BB8E-78DA81E6CFB9}"/>
    <cellStyle name="Migliaia 53 3 3 2 2 2" xfId="40129" xr:uid="{84A2D34B-8741-4E36-9832-549748154DB9}"/>
    <cellStyle name="Migliaia 53 3 3 2 2 3" xfId="45431" xr:uid="{298C2086-C134-4479-813E-150CE60BF680}"/>
    <cellStyle name="Migliaia 53 3 3 2 3" xfId="18258" xr:uid="{343568EC-1893-41B4-9B17-016180CBA48A}"/>
    <cellStyle name="Migliaia 53 3 3 2 4" xfId="20938" xr:uid="{B0DA4036-4E58-45F0-9771-BFB8C8CBAC22}"/>
    <cellStyle name="Migliaia 53 3 3 2 4 2" xfId="42780" xr:uid="{518F1903-EDE5-48C5-BFE6-7306A6F297FE}"/>
    <cellStyle name="Migliaia 53 3 3 2 5" xfId="16769" xr:uid="{50115D6C-DE98-4243-A5EF-8E33F9044BE0}"/>
    <cellStyle name="Migliaia 53 3 3 2 6" xfId="8770" xr:uid="{40A1985C-3A9A-482E-84A8-3B05BBE9A41C}"/>
    <cellStyle name="Migliaia 53 3 3 3" xfId="6781" xr:uid="{F340A5EC-D3CF-4110-8DC4-288ECD06B4F7}"/>
    <cellStyle name="Migliaia 53 3 3 3 2" xfId="34509" xr:uid="{EA1943DD-D68D-4632-8DE1-BB76389370D9}"/>
    <cellStyle name="Migliaia 53 3 3 3 2 2" xfId="40130" xr:uid="{5EC09AE2-C699-4EAE-8249-0AA0E0B0E2AB}"/>
    <cellStyle name="Migliaia 53 3 3 3 2 3" xfId="45432" xr:uid="{5FA4B8C0-AAFC-4C3C-9BC3-BA21A2A1656B}"/>
    <cellStyle name="Migliaia 53 3 3 3 3" xfId="37484" xr:uid="{1DCB395A-800E-45F8-B8CD-2CC00FA6E939}"/>
    <cellStyle name="Migliaia 53 3 3 3 4" xfId="42781" xr:uid="{29BCCA6C-BD85-46A2-B28D-22ED036E3085}"/>
    <cellStyle name="Migliaia 53 3 3 3 5" xfId="9741" xr:uid="{883153AC-00DD-457E-9477-BC707677C8A5}"/>
    <cellStyle name="Migliaia 53 3 3 4" xfId="20937" xr:uid="{F92BE089-020D-47D7-92A1-014C27675A58}"/>
    <cellStyle name="Migliaia 53 3 3 4 2" xfId="34510" xr:uid="{304EE081-CCB5-409F-B30D-0E8BD6AD368C}"/>
    <cellStyle name="Migliaia 53 3 3 4 2 2" xfId="40131" xr:uid="{017761F3-6E7B-4D0B-9926-C93740345B5D}"/>
    <cellStyle name="Migliaia 53 3 3 4 2 3" xfId="45433" xr:uid="{7D7791B2-7BD3-42B1-8C6C-AAC080A8E04A}"/>
    <cellStyle name="Migliaia 53 3 3 4 3" xfId="37485" xr:uid="{122A7394-2E5E-4177-8381-BEC35B26FB14}"/>
    <cellStyle name="Migliaia 53 3 3 4 4" xfId="42782" xr:uid="{15757778-AD4E-4AE1-94DC-3644BE77831D}"/>
    <cellStyle name="Migliaia 53 3 3 4 5" xfId="25320" xr:uid="{ED582B15-8F76-4578-A5B4-24FEA6030F4A}"/>
    <cellStyle name="Migliaia 53 3 3 5" xfId="25321" xr:uid="{981C8891-F07B-494E-8D39-C621B2AF8EEC}"/>
    <cellStyle name="Migliaia 53 3 3 5 2" xfId="34511" xr:uid="{CCE49F4E-D1EF-40D6-AE1A-CA985917B6CA}"/>
    <cellStyle name="Migliaia 53 3 3 5 2 2" xfId="40132" xr:uid="{E96FC7E6-4A41-4C6F-A975-D8BEE62449FB}"/>
    <cellStyle name="Migliaia 53 3 3 5 2 3" xfId="45434" xr:uid="{BC6C21A0-72A9-47D6-8D18-9A3C7DDB85D1}"/>
    <cellStyle name="Migliaia 53 3 3 5 3" xfId="37486" xr:uid="{19959284-FB0B-44AE-9E4B-13DE374779BF}"/>
    <cellStyle name="Migliaia 53 3 3 5 4" xfId="42783" xr:uid="{E8B03C19-2C1B-463F-9FBB-FAD0C83BF8A9}"/>
    <cellStyle name="Migliaia 53 3 3 6" xfId="34508" xr:uid="{E436513D-9FBD-4F52-B653-42045F39F0C0}"/>
    <cellStyle name="Migliaia 53 3 3 6 2" xfId="40128" xr:uid="{23D6672A-6E6A-4E5E-A7C2-1BA089E01501}"/>
    <cellStyle name="Migliaia 53 3 3 6 3" xfId="45430" xr:uid="{F861D6A5-063F-4E09-A154-58146DE27F28}"/>
    <cellStyle name="Migliaia 53 3 3 7" xfId="37483" xr:uid="{24864F3F-13E7-4CAB-A203-BF3EFB29B697}"/>
    <cellStyle name="Migliaia 53 3 3 8" xfId="42779" xr:uid="{F484C95B-77B3-41D9-BBA0-EDCC48013BCC}"/>
    <cellStyle name="Migliaia 53 3 3 9" xfId="16768" xr:uid="{2725B595-2AD2-405B-A590-525A20A4659F}"/>
    <cellStyle name="Migliaia 53 3 4" xfId="3880" xr:uid="{C5224267-4214-4399-91CF-09B0D892940C}"/>
    <cellStyle name="Migliaia 53 3 4 2" xfId="5606" xr:uid="{04C6FA9A-47A6-4F06-9B3B-063D426021AE}"/>
    <cellStyle name="Migliaia 53 3 4 2 2" xfId="14471" xr:uid="{24EF8A2D-09CE-48D6-9F00-C4653E38BEAC}"/>
    <cellStyle name="Migliaia 53 3 4 2 3" xfId="18576" xr:uid="{7BDBD987-FD8C-4F7D-AD60-8B40C0DEE560}"/>
    <cellStyle name="Migliaia 53 3 4 2 4" xfId="20940" xr:uid="{7E6C2926-B54A-46D1-9966-EA7FA69275AF}"/>
    <cellStyle name="Migliaia 53 3 4 2 5" xfId="32463" xr:uid="{D9862B42-2AF9-456B-A49F-5E7C6127712C}"/>
    <cellStyle name="Migliaia 53 3 4 2 6" xfId="16771" xr:uid="{8FC00584-1638-4E42-939B-72BD8DB19F5B}"/>
    <cellStyle name="Migliaia 53 3 4 2 7" xfId="8894" xr:uid="{3AF61F36-4ED6-44A9-AE74-7D61FC9D5CD6}"/>
    <cellStyle name="Migliaia 53 3 4 3" xfId="6782" xr:uid="{CE780606-F8E7-486D-B8D1-10B836AD182D}"/>
    <cellStyle name="Migliaia 53 3 4 3 2" xfId="35461" xr:uid="{781C5492-853F-4A13-84FF-41DAB63B9E58}"/>
    <cellStyle name="Migliaia 53 3 4 3 2 2" xfId="40621" xr:uid="{B07E9743-0E5B-494D-801C-7BDA93282B6E}"/>
    <cellStyle name="Migliaia 53 3 4 3 2 3" xfId="45923" xr:uid="{B91CD9A0-CBE0-40A8-807E-6284EF66657F}"/>
    <cellStyle name="Migliaia 53 3 4 3 3" xfId="37970" xr:uid="{D925FF8C-9645-4FB8-9B8C-8906C534BE2B}"/>
    <cellStyle name="Migliaia 53 3 4 3 4" xfId="43272" xr:uid="{EC46ABBE-75EE-4F71-A89D-2402B56F91F2}"/>
    <cellStyle name="Migliaia 53 3 4 3 5" xfId="13719" xr:uid="{8472C7C2-6A41-419D-B4ED-8E38CFB4048C}"/>
    <cellStyle name="Migliaia 53 3 4 4" xfId="20939" xr:uid="{12C92993-27A1-416E-8AE9-2FAB2BA3A9C6}"/>
    <cellStyle name="Migliaia 53 3 4 4 2" xfId="40133" xr:uid="{20629B5F-8D27-49D2-8897-08F2BDA2C853}"/>
    <cellStyle name="Migliaia 53 3 4 4 3" xfId="45435" xr:uid="{692A0CB0-CA61-4CBF-9F0D-01F6A93BAE7E}"/>
    <cellStyle name="Migliaia 53 3 4 4 4" xfId="34512" xr:uid="{FA073A32-AE5D-428A-9D4A-F83F3E40C2F9}"/>
    <cellStyle name="Migliaia 53 3 4 5" xfId="37487" xr:uid="{B3D98050-F609-449D-93EA-421D222D25D8}"/>
    <cellStyle name="Migliaia 53 3 4 6" xfId="42784" xr:uid="{EE935C47-A666-4E44-9704-F369883820C3}"/>
    <cellStyle name="Migliaia 53 3 4 7" xfId="16770" xr:uid="{BA3F4118-5E0A-44EE-A895-CDA92307EEFD}"/>
    <cellStyle name="Migliaia 53 3 4 8" xfId="7704" xr:uid="{44340128-4640-40DA-95FE-56B012925E9D}"/>
    <cellStyle name="Migliaia 53 3 5" xfId="3881" xr:uid="{47DD4609-1775-4409-9240-CAE6AD7E56FD}"/>
    <cellStyle name="Migliaia 53 3 5 2" xfId="5607" xr:uid="{38571950-1E44-46D7-AB1D-07A0003FCA8D}"/>
    <cellStyle name="Migliaia 53 3 5 2 2" xfId="35462" xr:uid="{2738E10B-687C-4D9C-B421-F77173FF2560}"/>
    <cellStyle name="Migliaia 53 3 5 2 2 2" xfId="40622" xr:uid="{AD9479AF-7D0D-4808-8AA3-CAF85E1E0DAC}"/>
    <cellStyle name="Migliaia 53 3 5 2 2 3" xfId="45924" xr:uid="{F12B93B3-7B3B-46E7-855A-959F24609C95}"/>
    <cellStyle name="Migliaia 53 3 5 2 3" xfId="37971" xr:uid="{11DC63C9-C219-4ABC-AD76-60CD7435189F}"/>
    <cellStyle name="Migliaia 53 3 5 2 4" xfId="43273" xr:uid="{B78E98AF-1F06-4E6B-BED8-F420762F235F}"/>
    <cellStyle name="Migliaia 53 3 5 2 5" xfId="14325" xr:uid="{A2D465BF-B6EF-4F10-A55E-07DA2803CFB9}"/>
    <cellStyle name="Migliaia 53 3 5 3" xfId="6783" xr:uid="{14CE2A3B-5540-4BC3-B3D9-787823D44F6B}"/>
    <cellStyle name="Migliaia 53 3 5 3 2" xfId="40134" xr:uid="{831580BE-9278-4C90-8957-7DB54E1A1DB6}"/>
    <cellStyle name="Migliaia 53 3 5 3 3" xfId="45436" xr:uid="{D29C4103-4015-4E20-AD43-749BA3911F0B}"/>
    <cellStyle name="Migliaia 53 3 5 3 4" xfId="34513" xr:uid="{95B7B8BB-9BD5-4C7F-9273-04686A7F1114}"/>
    <cellStyle name="Migliaia 53 3 5 3 5" xfId="20941" xr:uid="{BC354B74-929F-4C6D-844D-8A1BFF4A6968}"/>
    <cellStyle name="Migliaia 53 3 5 4" xfId="37488" xr:uid="{8C2C9E5A-991B-4124-9D8B-D0568645C98B}"/>
    <cellStyle name="Migliaia 53 3 5 5" xfId="42785" xr:uid="{EA0C357B-CBD4-4BF3-AC78-53049CF38F44}"/>
    <cellStyle name="Migliaia 53 3 5 6" xfId="16772" xr:uid="{544AEA06-A292-4797-A155-A0679C01DE44}"/>
    <cellStyle name="Migliaia 53 3 5 7" xfId="8387" xr:uid="{B1B95D03-3731-46CC-8E42-0D0AED17AEA0}"/>
    <cellStyle name="Migliaia 53 3 6" xfId="5602" xr:uid="{A952BE88-463A-49B6-9098-9BAD5C9E3C5C}"/>
    <cellStyle name="Migliaia 53 3 6 2" xfId="14030" xr:uid="{A93AE73D-6CF5-46D1-B604-1FC7BD56AD6B}"/>
    <cellStyle name="Migliaia 53 3 6 2 2" xfId="40135" xr:uid="{5AAB9944-D8C9-40B2-B3A1-315D99DEAF9B}"/>
    <cellStyle name="Migliaia 53 3 6 2 3" xfId="45437" xr:uid="{6177C0EC-3371-4A2D-BA4A-39A8D68B9EEA}"/>
    <cellStyle name="Migliaia 53 3 6 3" xfId="18292" xr:uid="{16BD652D-A0D2-4C71-9C4E-97E55D589AF8}"/>
    <cellStyle name="Migliaia 53 3 6 4" xfId="20942" xr:uid="{EC93C129-BB4A-4227-8F45-83CD4BAEBC21}"/>
    <cellStyle name="Migliaia 53 3 6 4 2" xfId="42786" xr:uid="{8A271878-CB73-4FD3-83A9-24DFFA68B488}"/>
    <cellStyle name="Migliaia 53 3 6 5" xfId="16773" xr:uid="{A61DE816-4CD2-4B75-A4D7-550973239EFB}"/>
    <cellStyle name="Migliaia 53 3 6 6" xfId="8016" xr:uid="{921D80D5-9E58-4F7B-86D6-75305B4EB232}"/>
    <cellStyle name="Migliaia 53 3 7" xfId="6778" xr:uid="{A31DDD86-40AC-4241-AF89-473E11805479}"/>
    <cellStyle name="Migliaia 53 3 7 2" xfId="34515" xr:uid="{F91A84FF-F200-4FDB-96B4-47E1A10AAE7F}"/>
    <cellStyle name="Migliaia 53 3 7 2 2" xfId="40136" xr:uid="{3106ED73-0D01-4A34-9EB2-23D971EF8BC5}"/>
    <cellStyle name="Migliaia 53 3 7 2 3" xfId="45438" xr:uid="{99A5FE9D-646E-46B8-9643-177F1B12EB6F}"/>
    <cellStyle name="Migliaia 53 3 7 3" xfId="37490" xr:uid="{CB3E35A5-A45E-41C5-8853-E80595A4126C}"/>
    <cellStyle name="Migliaia 53 3 7 4" xfId="42787" xr:uid="{1391EE95-AA6B-4EC4-902B-12B0A83CAA38}"/>
    <cellStyle name="Migliaia 53 3 7 5" xfId="12440" xr:uid="{665EEAB6-4F49-4A53-8664-14485827453C}"/>
    <cellStyle name="Migliaia 53 3 8" xfId="3876" xr:uid="{AE4B4BFC-96FE-46F7-BE5F-ED640FD1D2D3}"/>
    <cellStyle name="Migliaia 53 3 8 2" xfId="34516" xr:uid="{2537EE4D-B415-4CC6-B2D4-6AC00D260758}"/>
    <cellStyle name="Migliaia 53 3 8 2 2" xfId="40137" xr:uid="{9FD2188D-74DE-47B4-8DAE-4FDDD2B9E6D3}"/>
    <cellStyle name="Migliaia 53 3 8 2 3" xfId="45439" xr:uid="{F7135A16-B512-4665-8E2F-BD5967317FC3}"/>
    <cellStyle name="Migliaia 53 3 8 3" xfId="37491" xr:uid="{27935345-40FD-4DAC-AEC2-2BA0C0187FFC}"/>
    <cellStyle name="Migliaia 53 3 8 4" xfId="42788" xr:uid="{A79F3639-5DE0-4AE9-89EF-22FA59E0A4F5}"/>
    <cellStyle name="Migliaia 53 3 8 5" xfId="25326" xr:uid="{FD028DB7-0946-4E68-9821-602EA6BFCA35}"/>
    <cellStyle name="Migliaia 53 3 8 6" xfId="17283" xr:uid="{A49392BA-E5EC-4E7F-8423-841D2BD3AC3E}"/>
    <cellStyle name="Migliaia 53 3 9" xfId="20933" xr:uid="{A98BDFD2-56DC-4D10-A9EA-4A8E6EAA90C3}"/>
    <cellStyle name="Migliaia 53 4" xfId="1898" xr:uid="{00000000-0005-0000-0000-000075040000}"/>
    <cellStyle name="Migliaia 53 4 2" xfId="1899" xr:uid="{00000000-0005-0000-0000-000076040000}"/>
    <cellStyle name="Migliaia 53 4 2 2" xfId="5609" xr:uid="{CA9FDED3-63DD-401A-BDA2-4B46F6FDB28A}"/>
    <cellStyle name="Migliaia 53 4 2 2 2" xfId="34517" xr:uid="{92E25EF3-9AA3-483D-82FB-DAF631B2FDB1}"/>
    <cellStyle name="Migliaia 53 4 2 2 2 2" xfId="40138" xr:uid="{AD7D05AB-6F08-4879-BFCF-779C6C8E1148}"/>
    <cellStyle name="Migliaia 53 4 2 2 2 3" xfId="45440" xr:uid="{744DA050-BB08-44D8-A9B3-8010CCD5FD4C}"/>
    <cellStyle name="Migliaia 53 4 2 2 3" xfId="37492" xr:uid="{FC644771-DDD5-4156-AFE4-0D0C83BDE282}"/>
    <cellStyle name="Migliaia 53 4 2 2 4" xfId="42789" xr:uid="{CE196D08-9DD6-487F-B9D1-53702CE56B3B}"/>
    <cellStyle name="Migliaia 53 4 2 2 5" xfId="9204" xr:uid="{8452E297-2682-424C-8222-C6DF205B012E}"/>
    <cellStyle name="Migliaia 53 4 2 3" xfId="3883" xr:uid="{06F9AAF4-12C0-4749-8F15-1CFA81ED7146}"/>
    <cellStyle name="Migliaia 53 4 2 3 2" xfId="34518" xr:uid="{D3C2163E-83C0-4917-9716-6516EDE022E8}"/>
    <cellStyle name="Migliaia 53 4 2 3 2 2" xfId="40139" xr:uid="{49677573-3759-4877-8FFD-33D063FCA85B}"/>
    <cellStyle name="Migliaia 53 4 2 3 2 3" xfId="45441" xr:uid="{8C049B84-9E98-4C61-BB65-B3B43B74678C}"/>
    <cellStyle name="Migliaia 53 4 2 3 3" xfId="37493" xr:uid="{3C66C8BE-F20F-4A34-B172-8EACE08A8061}"/>
    <cellStyle name="Migliaia 53 4 2 3 4" xfId="42790" xr:uid="{0667466D-F8D2-4FE9-AA2F-DCE49E661ED2}"/>
    <cellStyle name="Migliaia 53 4 2 3 5" xfId="12081" xr:uid="{1E014C3C-9184-4E6F-9162-ACD1A05F4F58}"/>
    <cellStyle name="Migliaia 53 4 2 4" xfId="11434" xr:uid="{CD8BD1D9-5A4A-4433-8C0D-B048FA3ABCC2}"/>
    <cellStyle name="Migliaia 53 4 2 5" xfId="10976" xr:uid="{A2D67BF1-775F-46A5-B42F-93ADA2E44626}"/>
    <cellStyle name="Migliaia 53 4 2 5 2" xfId="21611" xr:uid="{DF2E7D00-0894-4D65-ACAC-4F041139E01C}"/>
    <cellStyle name="Migliaia 53 4 2 5 3" xfId="47748" xr:uid="{4D189118-744F-4E25-99B5-D08760BAE1B2}"/>
    <cellStyle name="Migliaia 53 4 2 5 4" xfId="50626" xr:uid="{5B502AB1-6922-4837-BA3E-E2B582D27896}"/>
    <cellStyle name="Migliaia 53 4 2 5 5" xfId="53642" xr:uid="{84829E21-CB02-46B8-B52E-09146CDA9C45}"/>
    <cellStyle name="Migliaia 53 4 2 6" xfId="20944" xr:uid="{852AFF3F-351A-4410-8BAE-D4BAEC159966}"/>
    <cellStyle name="Migliaia 53 4 2 7" xfId="25328" xr:uid="{ABCD2E4C-C892-427A-9079-640506C8C109}"/>
    <cellStyle name="Migliaia 53 4 2 8" xfId="8772" xr:uid="{0326788B-B3A1-4D3F-B76A-6644F665F152}"/>
    <cellStyle name="Migliaia 53 4 3" xfId="5608" xr:uid="{92383D3C-A1EB-42E3-850E-B67392493D18}"/>
    <cellStyle name="Migliaia 53 4 3 2" xfId="18259" xr:uid="{0DCA89ED-3BF7-459A-B65A-6BEC738DEC19}"/>
    <cellStyle name="Migliaia 53 4 3 2 2" xfId="40140" xr:uid="{4C3E9180-BCAC-4B05-B247-226481702AFF}"/>
    <cellStyle name="Migliaia 53 4 3 2 3" xfId="45442" xr:uid="{8FB35D23-1852-46A4-B6A6-8F11C714E0E3}"/>
    <cellStyle name="Migliaia 53 4 3 3" xfId="37494" xr:uid="{A7CB69FE-75E5-4FE2-8397-21FBF1303953}"/>
    <cellStyle name="Migliaia 53 4 3 4" xfId="42791" xr:uid="{D3B89598-399A-4096-8D16-9515E8237081}"/>
    <cellStyle name="Migliaia 53 4 3 5" xfId="17281" xr:uid="{A87F829E-31F8-475A-8DA0-A2174AE8F6DD}"/>
    <cellStyle name="Migliaia 53 4 3 6" xfId="9205" xr:uid="{C8FC8BF8-89E5-4434-BA53-D3AE77EA5E6B}"/>
    <cellStyle name="Migliaia 53 4 4" xfId="6784" xr:uid="{CD53CDE4-C9C0-46D6-AC1F-C476952F526A}"/>
    <cellStyle name="Migliaia 53 4 4 2" xfId="34520" xr:uid="{2073E4E3-F6E0-485C-9CA2-46BB25CE9005}"/>
    <cellStyle name="Migliaia 53 4 4 2 2" xfId="40141" xr:uid="{94A998E9-2BE2-4067-A503-A7E5035171A0}"/>
    <cellStyle name="Migliaia 53 4 4 2 3" xfId="45443" xr:uid="{93729489-EBD9-45CB-8A64-61035881AAD2}"/>
    <cellStyle name="Migliaia 53 4 4 3" xfId="37495" xr:uid="{861FF8B7-952A-4439-8D3E-6B20441766D1}"/>
    <cellStyle name="Migliaia 53 4 4 4" xfId="42792" xr:uid="{DE166FE3-5692-4246-8365-17F8B8A936A3}"/>
    <cellStyle name="Migliaia 53 4 4 5" xfId="12082" xr:uid="{B7178DCB-C5CE-4A69-B64A-93B1ABA8F2A4}"/>
    <cellStyle name="Migliaia 53 4 5" xfId="3882" xr:uid="{787DC4BA-F088-4A0C-AC33-159BA68A0B8F}"/>
    <cellStyle name="Migliaia 53 4 5 2" xfId="34521" xr:uid="{E0DB27DE-0C87-4AAE-80C7-F47E428902C9}"/>
    <cellStyle name="Migliaia 53 4 5 2 2" xfId="40142" xr:uid="{20713422-C3CB-47EB-8016-2A97088AF4AE}"/>
    <cellStyle name="Migliaia 53 4 5 2 3" xfId="45444" xr:uid="{D18C890A-4476-4B61-84CE-E320D95BD777}"/>
    <cellStyle name="Migliaia 53 4 5 3" xfId="37496" xr:uid="{693D9FA6-9110-4C87-98BC-3191A1B9A3BD}"/>
    <cellStyle name="Migliaia 53 4 5 4" xfId="42793" xr:uid="{894056D8-7B09-424A-9136-02F47AAF24F6}"/>
    <cellStyle name="Migliaia 53 4 5 5" xfId="11433" xr:uid="{9A532BD3-D99A-4D4C-9E83-2774DF55FA92}"/>
    <cellStyle name="Migliaia 53 4 6" xfId="10975" xr:uid="{35713EC8-B6B0-49F3-AC7B-B66084EEBB16}"/>
    <cellStyle name="Migliaia 53 4 6 2" xfId="21610" xr:uid="{35CB88D7-C88C-420B-85D3-31FD8C468F5B}"/>
    <cellStyle name="Migliaia 53 4 6 2 2" xfId="40143" xr:uid="{6F1DF0F0-FEDB-4E03-9582-2F24FD7BF465}"/>
    <cellStyle name="Migliaia 53 4 6 2 3" xfId="45445" xr:uid="{61EF5E0C-E49B-4BFC-BB0F-24F460479E89}"/>
    <cellStyle name="Migliaia 53 4 6 2 4" xfId="34522" xr:uid="{34A62193-F6C0-41E0-ABD1-09586FD2F21D}"/>
    <cellStyle name="Migliaia 53 4 6 3" xfId="37497" xr:uid="{2F194CBF-F26F-4431-B9F3-E1D39BEE6E5E}"/>
    <cellStyle name="Migliaia 53 4 6 4" xfId="42794" xr:uid="{C81EB210-90EC-458D-A579-32C791D54AF1}"/>
    <cellStyle name="Migliaia 53 4 6 5" xfId="25332" xr:uid="{DD06C696-B068-405D-AC3F-F620F130D977}"/>
    <cellStyle name="Migliaia 53 4 6 6" xfId="46707" xr:uid="{428178AB-7336-4214-9B18-020B4672F105}"/>
    <cellStyle name="Migliaia 53 4 6 7" xfId="50625" xr:uid="{86B4ABFE-8A7F-4ABC-BFF3-4401A05DCFF2}"/>
    <cellStyle name="Migliaia 53 4 6 8" xfId="53641" xr:uid="{6698A1B0-E8B5-4F82-B836-37BFB17525D2}"/>
    <cellStyle name="Migliaia 53 4 7" xfId="20943" xr:uid="{7D8DE2B5-250D-4A1C-B952-363957FFCF49}"/>
    <cellStyle name="Migliaia 53 4 7 2" xfId="34523" xr:uid="{C8C386E7-57F5-498B-BCFB-FB32AF54254E}"/>
    <cellStyle name="Migliaia 53 4 7 2 2" xfId="40144" xr:uid="{1D60949A-C055-4AB4-B873-73C9CFC73008}"/>
    <cellStyle name="Migliaia 53 4 7 2 3" xfId="45446" xr:uid="{2A9830E8-E61D-478D-A180-B5C12B8FDA36}"/>
    <cellStyle name="Migliaia 53 4 7 3" xfId="37498" xr:uid="{F29AFE59-87CB-41CF-8B2E-4407D1604719}"/>
    <cellStyle name="Migliaia 53 4 7 4" xfId="42795" xr:uid="{BBDBB793-D1C9-450B-B7EF-3ED7759A49B8}"/>
    <cellStyle name="Migliaia 53 4 7 5" xfId="25333" xr:uid="{2CC26EFE-FFA1-49AC-8A0B-CBCD7CDD9159}"/>
    <cellStyle name="Migliaia 53 4 8" xfId="25327" xr:uid="{7CF6E369-D682-4BF0-9CA6-9B1154DDFD27}"/>
    <cellStyle name="Migliaia 53 4 9" xfId="7582" xr:uid="{D48FFDC0-6EF9-41DF-BB70-BF47EF4788CD}"/>
    <cellStyle name="Migliaia 53 5" xfId="1900" xr:uid="{00000000-0005-0000-0000-000077040000}"/>
    <cellStyle name="Migliaia 53 5 2" xfId="5610" xr:uid="{5C04D5DE-F19D-4619-B40E-4A384003069C}"/>
    <cellStyle name="Migliaia 53 5 2 2" xfId="18508" xr:uid="{0B2D31D6-922A-44FD-AEC1-4A890C54947C}"/>
    <cellStyle name="Migliaia 53 5 2 2 2" xfId="40145" xr:uid="{9C2E1EFF-2AF3-42E6-BD1E-4A715F22D2A9}"/>
    <cellStyle name="Migliaia 53 5 2 2 3" xfId="45447" xr:uid="{B431A5CF-263B-41C8-9AFB-991432A974D7}"/>
    <cellStyle name="Migliaia 53 5 2 3" xfId="20946" xr:uid="{43FA8968-BC9B-425C-A5AB-91C42BC7BD81}"/>
    <cellStyle name="Migliaia 53 5 2 3 2" xfId="37499" xr:uid="{69A54E4B-DFC8-4E6D-85D5-64DB816AA75D}"/>
    <cellStyle name="Migliaia 53 5 2 4" xfId="42796" xr:uid="{75DD1851-8842-412A-8D8B-539CFB836F1D}"/>
    <cellStyle name="Migliaia 53 5 2 5" xfId="16774" xr:uid="{C3128043-69C6-4CAE-A77C-AD6E3A2BDDB2}"/>
    <cellStyle name="Migliaia 53 5 2 6" xfId="8773" xr:uid="{EF5D1FE2-D90C-4537-B64C-28A4E8897DD0}"/>
    <cellStyle name="Migliaia 53 5 3" xfId="6785" xr:uid="{B23C12AC-6BD8-4385-9DA9-3D97653EE38E}"/>
    <cellStyle name="Migliaia 53 5 3 2" xfId="34524" xr:uid="{3A7376E1-7CC9-4860-AF41-98906D0ED26E}"/>
    <cellStyle name="Migliaia 53 5 3 2 2" xfId="40146" xr:uid="{4307CB9D-7962-4C4C-9BB7-03E80D39494A}"/>
    <cellStyle name="Migliaia 53 5 3 2 3" xfId="45448" xr:uid="{CF7A9C5B-8286-461E-BDF8-CBDF1F979D17}"/>
    <cellStyle name="Migliaia 53 5 3 3" xfId="37500" xr:uid="{BEF9BD5A-FF4E-4A02-B9F3-664B2AD2F428}"/>
    <cellStyle name="Migliaia 53 5 3 4" xfId="42797" xr:uid="{047DE23F-D4E5-483B-A4AD-A919FB72F750}"/>
    <cellStyle name="Migliaia 53 5 3 5" xfId="11435" xr:uid="{E1F9FBD9-D32A-4B07-B45D-A0D9092C8143}"/>
    <cellStyle name="Migliaia 53 5 4" xfId="3884" xr:uid="{47509DBD-3D1D-451E-AE22-136B72219474}"/>
    <cellStyle name="Migliaia 53 5 4 2" xfId="21612" xr:uid="{2D231BA6-83B2-4729-848E-6500BC6B3360}"/>
    <cellStyle name="Migliaia 53 5 4 2 2" xfId="40147" xr:uid="{736420D9-247F-41E4-8DA4-FD3807401CFB}"/>
    <cellStyle name="Migliaia 53 5 4 2 3" xfId="45449" xr:uid="{C83B53EB-DB27-4F82-936C-EDBD7DF46D70}"/>
    <cellStyle name="Migliaia 53 5 4 2 4" xfId="34525" xr:uid="{AC492B97-BD5A-406E-B0E1-7891CFE70A80}"/>
    <cellStyle name="Migliaia 53 5 4 3" xfId="37501" xr:uid="{CF94E49B-CCCB-4A43-A021-E619E22F4BCE}"/>
    <cellStyle name="Migliaia 53 5 4 4" xfId="42798" xr:uid="{FB2B03ED-A520-4100-B414-0E1FB857694C}"/>
    <cellStyle name="Migliaia 53 5 4 5" xfId="25335" xr:uid="{3BBB1780-92B1-4D6A-94B8-399E985A9EB2}"/>
    <cellStyle name="Migliaia 53 5 4 6" xfId="32295" xr:uid="{9CEAD480-9DED-4856-B213-44E83DA5C2C8}"/>
    <cellStyle name="Migliaia 53 5 4 7" xfId="50627" xr:uid="{90A785B0-5189-48ED-8075-482563C1EA39}"/>
    <cellStyle name="Migliaia 53 5 4 8" xfId="53643" xr:uid="{4D3CED3C-15B1-4E9B-9183-83E54375762E}"/>
    <cellStyle name="Migliaia 53 5 4 9" xfId="10977" xr:uid="{77098E9B-AF45-4E4B-A5F9-7384346ACF0A}"/>
    <cellStyle name="Migliaia 53 5 5" xfId="20945" xr:uid="{B4560FD0-0A5D-4AD2-AF83-9E76AA8A20BE}"/>
    <cellStyle name="Migliaia 53 5 5 2" xfId="34526" xr:uid="{506A9F19-888C-4A1F-B8A0-EDD2136C49A8}"/>
    <cellStyle name="Migliaia 53 5 5 2 2" xfId="40148" xr:uid="{A53F8264-3340-4F6F-AEA3-B3455F139D48}"/>
    <cellStyle name="Migliaia 53 5 5 2 3" xfId="45450" xr:uid="{5FD4D54A-A9C3-45B2-AA04-BCAA7D2883A1}"/>
    <cellStyle name="Migliaia 53 5 5 3" xfId="37502" xr:uid="{2D29ABB3-19C3-4799-A381-728C5527E849}"/>
    <cellStyle name="Migliaia 53 5 5 4" xfId="42799" xr:uid="{CCCF70C2-EFC8-422B-8CFD-8F5FD0CBD999}"/>
    <cellStyle name="Migliaia 53 5 5 5" xfId="25336" xr:uid="{10539B39-D599-41A2-AB47-B2773E58875E}"/>
    <cellStyle name="Migliaia 53 5 6" xfId="25337" xr:uid="{DDFBCDB5-C481-4253-B657-EC98E642E381}"/>
    <cellStyle name="Migliaia 53 5 6 2" xfId="34527" xr:uid="{B95F8F93-1C78-449F-A4BA-DE2886348493}"/>
    <cellStyle name="Migliaia 53 5 6 2 2" xfId="40149" xr:uid="{46B99C81-263D-4A7A-90A2-22B0FA92322D}"/>
    <cellStyle name="Migliaia 53 5 6 2 3" xfId="45451" xr:uid="{52A16E63-E678-439A-B082-B7D799F33A9A}"/>
    <cellStyle name="Migliaia 53 5 6 3" xfId="37503" xr:uid="{2F886F04-9F5E-486B-9C8B-41BD3B293C04}"/>
    <cellStyle name="Migliaia 53 5 6 4" xfId="42800" xr:uid="{773CCE7E-639C-4D11-9E9E-D6BED1653E73}"/>
    <cellStyle name="Migliaia 53 5 7" xfId="25334" xr:uid="{95D4D68F-C781-43F2-B574-B343523DCE3F}"/>
    <cellStyle name="Migliaia 53 5 8" xfId="7583" xr:uid="{F0B7EAF4-D21F-4CBD-B983-86A7A86108B8}"/>
    <cellStyle name="Migliaia 53 6" xfId="3885" xr:uid="{5C9FD073-83AB-492E-A719-B8DED83D4A5C}"/>
    <cellStyle name="Migliaia 53 6 2" xfId="5611" xr:uid="{25D4EA56-8B20-4A08-9C39-D329B4D28484}"/>
    <cellStyle name="Migliaia 53 6 2 2" xfId="9977" xr:uid="{9B9C3B4E-F35A-4413-96D7-D368C4107AF7}"/>
    <cellStyle name="Migliaia 53 6 2 3" xfId="18557" xr:uid="{CAD4D88B-F2A3-4043-88A7-D4E576380A8A}"/>
    <cellStyle name="Migliaia 53 6 2 4" xfId="20948" xr:uid="{04898B43-3FA6-417E-8F44-DC08AEAA1093}"/>
    <cellStyle name="Migliaia 53 6 2 5" xfId="32466" xr:uid="{A21812B4-11AA-4A77-A593-405F8985B576}"/>
    <cellStyle name="Migliaia 53 6 2 6" xfId="16776" xr:uid="{57384FB6-6110-4D0D-BD51-F2C9DE5B01C2}"/>
    <cellStyle name="Migliaia 53 6 2 7" xfId="8768" xr:uid="{2F71E5B3-EA54-4DE3-835A-D0AEEA7F589C}"/>
    <cellStyle name="Migliaia 53 6 3" xfId="6786" xr:uid="{52D57E89-6984-43E4-9ADE-342F7AAD18F7}"/>
    <cellStyle name="Migliaia 53 6 3 2" xfId="35463" xr:uid="{C02F07A6-71E1-4E3B-97BD-3717212E98FB}"/>
    <cellStyle name="Migliaia 53 6 3 2 2" xfId="40623" xr:uid="{2E0E75DF-F536-47EF-B5DF-C43640FC5C64}"/>
    <cellStyle name="Migliaia 53 6 3 2 3" xfId="45925" xr:uid="{3DBC9068-17C8-4C82-9A51-BD8EAEFDE320}"/>
    <cellStyle name="Migliaia 53 6 3 3" xfId="37972" xr:uid="{60C85345-7B89-4986-9628-03ACC27C82D0}"/>
    <cellStyle name="Migliaia 53 6 3 4" xfId="43274" xr:uid="{44C94523-9C38-4AE1-BB7E-9AFD3E75FA61}"/>
    <cellStyle name="Migliaia 53 6 3 5" xfId="9740" xr:uid="{20DBDC6D-77D6-4220-BC95-E8E233033869}"/>
    <cellStyle name="Migliaia 53 6 4" xfId="20947" xr:uid="{6DF35B6F-2EE4-4521-8A77-E0716F0ADB74}"/>
    <cellStyle name="Migliaia 53 6 4 2" xfId="40150" xr:uid="{33222EF1-3BA8-4ADF-A93F-02E13002F64F}"/>
    <cellStyle name="Migliaia 53 6 4 3" xfId="45452" xr:uid="{FFAD456D-0CC3-4DF7-B43D-76C57FB11D48}"/>
    <cellStyle name="Migliaia 53 6 4 4" xfId="34528" xr:uid="{35773197-E6DA-4BCE-AB01-F43D920436FB}"/>
    <cellStyle name="Migliaia 53 6 5" xfId="37504" xr:uid="{DF906295-B0A7-4747-8B53-BAAB6EABCB61}"/>
    <cellStyle name="Migliaia 53 6 6" xfId="42801" xr:uid="{F50D1532-17A2-4EBA-9D85-0C8ED2035A07}"/>
    <cellStyle name="Migliaia 53 6 7" xfId="16775" xr:uid="{677D05B8-789C-40B1-848E-B3B92BAB0396}"/>
    <cellStyle name="Migliaia 53 6 8" xfId="7578" xr:uid="{21747055-6B16-4CF9-843B-326906616A6D}"/>
    <cellStyle name="Migliaia 53 7" xfId="3886" xr:uid="{70E68BE1-DC05-4D07-9B9D-3BD84C43AE9B}"/>
    <cellStyle name="Migliaia 53 7 2" xfId="5612" xr:uid="{CF88FE01-EA63-4EEA-A9CB-E3BDCC086337}"/>
    <cellStyle name="Migliaia 53 7 2 2" xfId="35464" xr:uid="{AA093696-A470-4175-9165-7C71D5D4881B}"/>
    <cellStyle name="Migliaia 53 7 2 2 2" xfId="40624" xr:uid="{E03B9E6D-CE2F-4533-BBB2-FE03D5B01947}"/>
    <cellStyle name="Migliaia 53 7 2 2 3" xfId="45926" xr:uid="{D7BCC61C-1E1B-4F18-AA09-6759D0DBC8E1}"/>
    <cellStyle name="Migliaia 53 7 2 3" xfId="37973" xr:uid="{D262FECD-09F0-4CE2-B246-095C8EE78A1D}"/>
    <cellStyle name="Migliaia 53 7 2 4" xfId="43275" xr:uid="{2E80932A-2956-4789-8399-EECC41C57BDE}"/>
    <cellStyle name="Migliaia 53 7 2 5" xfId="14323" xr:uid="{981EB1C1-E609-48D7-9873-996D0D725A6D}"/>
    <cellStyle name="Migliaia 53 7 3" xfId="6787" xr:uid="{48E6106B-95FD-4672-B5EB-0A65BEEC2C19}"/>
    <cellStyle name="Migliaia 53 7 3 2" xfId="40151" xr:uid="{E952B0AF-BE45-48B6-8A9F-81D6CF77801D}"/>
    <cellStyle name="Migliaia 53 7 3 3" xfId="45453" xr:uid="{44A10C0B-F4DB-4F28-BE49-EED9465F1825}"/>
    <cellStyle name="Migliaia 53 7 3 4" xfId="34529" xr:uid="{7B5BDA90-F419-47FC-A9A9-F706875EB3F2}"/>
    <cellStyle name="Migliaia 53 7 3 5" xfId="20949" xr:uid="{1FE41992-CEB4-4DBF-8AF4-380891D0A023}"/>
    <cellStyle name="Migliaia 53 7 4" xfId="37505" xr:uid="{CDE16D51-6C20-410D-9117-C701D331B96F}"/>
    <cellStyle name="Migliaia 53 7 5" xfId="42802" xr:uid="{F4904A8D-1874-42F6-89A9-85C3B9462125}"/>
    <cellStyle name="Migliaia 53 7 6" xfId="16777" xr:uid="{37E20742-BD2D-4CE9-9FD6-3F2D6D9D2E05}"/>
    <cellStyle name="Migliaia 53 7 7" xfId="8385" xr:uid="{22B12744-CFD3-48B4-9CE6-CCB74870FDDE}"/>
    <cellStyle name="Migliaia 53 8" xfId="3887" xr:uid="{0B0BDC8D-2324-43D5-A4D7-2B25317E1EB9}"/>
    <cellStyle name="Migliaia 53 8 2" xfId="5613" xr:uid="{4DD31888-8092-4F16-8E5F-747D536714AE}"/>
    <cellStyle name="Migliaia 53 8 2 2" xfId="35465" xr:uid="{4675654E-79CD-4DA7-818F-F7E9D0EEE863}"/>
    <cellStyle name="Migliaia 53 8 2 2 2" xfId="40625" xr:uid="{BB06DB45-1675-466C-B3D5-3CD503D0FD32}"/>
    <cellStyle name="Migliaia 53 8 2 2 3" xfId="45927" xr:uid="{5571C459-59FB-46A1-BFA6-B45E98BB1CE3}"/>
    <cellStyle name="Migliaia 53 8 2 3" xfId="37974" xr:uid="{A754FD9B-0A7D-4016-8DDB-484A615ED28E}"/>
    <cellStyle name="Migliaia 53 8 2 4" xfId="43276" xr:uid="{1BEA1DA1-04CB-4388-95E4-C41F08628195}"/>
    <cellStyle name="Migliaia 53 8 2 5" xfId="14028" xr:uid="{38DDBB0D-56DC-4AF3-8D3A-4A58C820B6C0}"/>
    <cellStyle name="Migliaia 53 8 3" xfId="6788" xr:uid="{C9535630-BD64-4B75-9277-F76A5D03542D}"/>
    <cellStyle name="Migliaia 53 8 3 2" xfId="40152" xr:uid="{CCC07F45-FE4A-4EC2-9416-A547621DF78F}"/>
    <cellStyle name="Migliaia 53 8 3 3" xfId="45454" xr:uid="{E44D532A-BD88-440C-BF84-C7A030989D1C}"/>
    <cellStyle name="Migliaia 53 8 3 4" xfId="34530" xr:uid="{52D25390-8202-4264-9472-E6C6CFB78B19}"/>
    <cellStyle name="Migliaia 53 8 3 5" xfId="20950" xr:uid="{65B7B4A3-BD0A-4FF0-A195-5CE7C452349D}"/>
    <cellStyle name="Migliaia 53 8 4" xfId="37506" xr:uid="{8BD0CAC5-D91E-403E-9566-BF87A82528BE}"/>
    <cellStyle name="Migliaia 53 8 5" xfId="42803" xr:uid="{CF6A8523-C7EE-42BE-9705-9AD10D3DB77F}"/>
    <cellStyle name="Migliaia 53 8 6" xfId="16778" xr:uid="{8C640410-7DDC-44A3-80C2-B10A2B611F9B}"/>
    <cellStyle name="Migliaia 53 8 7" xfId="8014" xr:uid="{60FFCE6D-A5B9-492E-9BD5-5AF9ADCFF2E9}"/>
    <cellStyle name="Migliaia 53 9" xfId="5598" xr:uid="{05C21FDF-6308-485A-A7EA-B51E0C017029}"/>
    <cellStyle name="Migliaia 53 9 2" xfId="34531" xr:uid="{6D23DF12-77B5-4663-9CBC-AECB74DF0F10}"/>
    <cellStyle name="Migliaia 53 9 2 2" xfId="40153" xr:uid="{149F1371-2E1B-4883-8E38-A72D81FC8D91}"/>
    <cellStyle name="Migliaia 53 9 2 3" xfId="45455" xr:uid="{CB1B0001-3ACD-4806-AFB6-436BFBEDDF71}"/>
    <cellStyle name="Migliaia 53 9 3" xfId="37507" xr:uid="{4BB1D22D-43AF-4BC6-80D4-A06A999C907D}"/>
    <cellStyle name="Migliaia 53 9 4" xfId="42804" xr:uid="{FE2DCBB3-C250-467A-9A94-FB66D29C5D73}"/>
    <cellStyle name="Migliaia 53 9 5" xfId="17231" xr:uid="{80974EAE-6625-4055-8035-72545AA6DCE1}"/>
    <cellStyle name="Migliaia 54" xfId="497" xr:uid="{00000000-0005-0000-0000-000078040000}"/>
    <cellStyle name="Migliaia 54 10" xfId="6789" xr:uid="{29E2D201-844F-419E-8397-878EB832E861}"/>
    <cellStyle name="Migliaia 54 10 2" xfId="40154" xr:uid="{CDA27A1D-5267-49BB-970B-E7274EEF67A1}"/>
    <cellStyle name="Migliaia 54 10 3" xfId="45456" xr:uid="{21D9428A-E5A3-4105-A40E-F037582C610C}"/>
    <cellStyle name="Migliaia 54 10 4" xfId="34532" xr:uid="{8261FD95-051E-4951-AB00-BB569256D7B6}"/>
    <cellStyle name="Migliaia 54 10 5" xfId="20951" xr:uid="{1DBBB4D4-B77D-4072-AB68-96BDA4999FA9}"/>
    <cellStyle name="Migliaia 54 11" xfId="3888" xr:uid="{A406B706-863B-4438-99BF-EC8C477204ED}"/>
    <cellStyle name="Migliaia 54 11 2" xfId="37508" xr:uid="{8E8014E9-EF68-4F23-8694-6657F49F14D7}"/>
    <cellStyle name="Migliaia 54 12" xfId="42805" xr:uid="{3F99CA1C-2B4A-4355-B0C6-86AC9307E104}"/>
    <cellStyle name="Migliaia 54 13" xfId="7189" xr:uid="{B69C79BD-77E8-4826-AAB2-6926CB0401E9}"/>
    <cellStyle name="Migliaia 54 2" xfId="498" xr:uid="{00000000-0005-0000-0000-000079040000}"/>
    <cellStyle name="Migliaia 54 2 2" xfId="1901" xr:uid="{00000000-0005-0000-0000-00007A040000}"/>
    <cellStyle name="Migliaia 54 2 2 2" xfId="5616" xr:uid="{1E2B8EB1-7F5B-4C7E-ACBF-C6D64F2F9CD9}"/>
    <cellStyle name="Migliaia 54 2 2 2 2" xfId="14412" xr:uid="{25D58D7C-0000-4671-956B-78FF1AAEE30D}"/>
    <cellStyle name="Migliaia 54 2 2 2 2 2" xfId="40155" xr:uid="{BBC54067-619C-4FF8-A738-769BC2FF5186}"/>
    <cellStyle name="Migliaia 54 2 2 2 2 3" xfId="45457" xr:uid="{BB890453-E97E-4129-945F-4387ED144A05}"/>
    <cellStyle name="Migliaia 54 2 2 2 3" xfId="18509" xr:uid="{4B8760D3-B257-4E6B-8287-31000BA19524}"/>
    <cellStyle name="Migliaia 54 2 2 2 4" xfId="20954" xr:uid="{051895EB-54FB-4374-9E3B-280530F87E5C}"/>
    <cellStyle name="Migliaia 54 2 2 2 4 2" xfId="42806" xr:uid="{A4B3217A-7D28-4FF7-86A3-BFE2B37334B3}"/>
    <cellStyle name="Migliaia 54 2 2 2 5" xfId="16779" xr:uid="{179C1734-B8B6-4FE2-B918-72E676880A2A}"/>
    <cellStyle name="Migliaia 54 2 2 2 6" xfId="8775" xr:uid="{9A8BDD6D-E6E1-406D-B4C1-D720E7591B93}"/>
    <cellStyle name="Migliaia 54 2 2 3" xfId="6791" xr:uid="{5EE7A8E0-AAD6-43F4-A63A-C8D236DE6C54}"/>
    <cellStyle name="Migliaia 54 2 2 3 2" xfId="35466" xr:uid="{4A8D903D-6C81-46D5-9666-B8BD504A9C98}"/>
    <cellStyle name="Migliaia 54 2 2 3 2 2" xfId="40626" xr:uid="{F6CB9690-3E92-4BC6-A5B4-9E2E1891A3C9}"/>
    <cellStyle name="Migliaia 54 2 2 3 2 3" xfId="45928" xr:uid="{0A649BD1-59E2-4B1F-87A2-1B2A786FB817}"/>
    <cellStyle name="Migliaia 54 2 2 3 3" xfId="37975" xr:uid="{1781FCB6-526B-4073-9F3E-32DBB79FB1FD}"/>
    <cellStyle name="Migliaia 54 2 2 3 4" xfId="43277" xr:uid="{D4C5BC04-813A-4B80-B379-860025A11DD0}"/>
    <cellStyle name="Migliaia 54 2 2 3 5" xfId="11639" xr:uid="{AA347221-9184-4D8F-9C70-A75781A6F887}"/>
    <cellStyle name="Migliaia 54 2 2 4" xfId="3890" xr:uid="{A08667BC-F5EB-4A36-A045-94D93ACFDA11}"/>
    <cellStyle name="Migliaia 54 2 2 4 2" xfId="21613" xr:uid="{5C0B6C84-4893-4EAF-8124-B0E1BF856C93}"/>
    <cellStyle name="Migliaia 54 2 2 4 3" xfId="47428" xr:uid="{04F58C5A-156B-41A2-AE9E-601F6E3DC16D}"/>
    <cellStyle name="Migliaia 54 2 2 4 4" xfId="50628" xr:uid="{CE049798-3960-46A5-B994-C7ECDCC2A43E}"/>
    <cellStyle name="Migliaia 54 2 2 4 5" xfId="53644" xr:uid="{4381C2E6-3FFC-459A-8BE2-62380D49A313}"/>
    <cellStyle name="Migliaia 54 2 2 4 6" xfId="10978" xr:uid="{C06F534E-05A7-4581-AB97-B779680E6336}"/>
    <cellStyle name="Migliaia 54 2 2 5" xfId="20953" xr:uid="{673734F4-1933-4C1D-9C7A-05B72A8A539C}"/>
    <cellStyle name="Migliaia 54 2 2 6" xfId="25339" xr:uid="{FDCE7E4A-492E-4C9F-960F-E6A325964E56}"/>
    <cellStyle name="Migliaia 54 2 2 7" xfId="7585" xr:uid="{4049568C-BFEA-4DDD-BFA0-E4914DEC5B28}"/>
    <cellStyle name="Migliaia 54 2 3" xfId="3891" xr:uid="{0F52A02A-1EB1-4DA5-938E-5EF19D7E75BD}"/>
    <cellStyle name="Migliaia 54 2 3 2" xfId="5617" xr:uid="{1F8DB1B4-5E47-4FED-86D9-C17130741652}"/>
    <cellStyle name="Migliaia 54 2 3 2 2" xfId="35467" xr:uid="{05D69C0F-FBBC-4D55-B489-8FE49B1DDD5E}"/>
    <cellStyle name="Migliaia 54 2 3 2 2 2" xfId="40627" xr:uid="{218C7F36-8B01-410F-90CC-0808652169DD}"/>
    <cellStyle name="Migliaia 54 2 3 2 2 3" xfId="45929" xr:uid="{29F49E20-255F-4E98-A55A-9DA09F4203CC}"/>
    <cellStyle name="Migliaia 54 2 3 2 3" xfId="37976" xr:uid="{4B03DB8B-3AB6-43A5-B71D-648B1B557A82}"/>
    <cellStyle name="Migliaia 54 2 3 2 4" xfId="43278" xr:uid="{1E994805-822A-43E1-A725-8F31D95957AE}"/>
    <cellStyle name="Migliaia 54 2 3 2 5" xfId="14327" xr:uid="{E8D6CA28-B703-49A5-815F-8C74417B77F5}"/>
    <cellStyle name="Migliaia 54 2 3 3" xfId="6792" xr:uid="{322EB5E0-6A70-4508-B49A-111898FFC848}"/>
    <cellStyle name="Migliaia 54 2 3 3 2" xfId="40156" xr:uid="{19C6FBAE-9602-490D-B7BD-D698B22B58DB}"/>
    <cellStyle name="Migliaia 54 2 3 3 3" xfId="45458" xr:uid="{6AFC7455-14E0-4A6C-96A7-45F9E9B825A3}"/>
    <cellStyle name="Migliaia 54 2 3 3 4" xfId="34534" xr:uid="{D5A177BA-1BB4-4F43-97F6-F6DC54A203D1}"/>
    <cellStyle name="Migliaia 54 2 3 3 5" xfId="20955" xr:uid="{6DDBC2BC-F79B-4156-A161-B6FD974C0FF3}"/>
    <cellStyle name="Migliaia 54 2 3 4" xfId="37510" xr:uid="{779B39D9-581A-4431-922B-A15F47B7DA30}"/>
    <cellStyle name="Migliaia 54 2 3 5" xfId="42807" xr:uid="{B1839CFF-3AD6-45EA-8FC0-294D82138EB2}"/>
    <cellStyle name="Migliaia 54 2 3 6" xfId="16780" xr:uid="{17737D49-6660-4873-A8AE-CC629ECE5FB5}"/>
    <cellStyle name="Migliaia 54 2 3 7" xfId="8389" xr:uid="{3042CB81-F617-4350-98B8-C3154D28B06B}"/>
    <cellStyle name="Migliaia 54 2 4" xfId="5615" xr:uid="{021C4E47-12A3-443B-B853-1EA4424E945E}"/>
    <cellStyle name="Migliaia 54 2 4 2" xfId="14032" xr:uid="{E327461E-6FA9-4A6F-9B29-F40DE1191182}"/>
    <cellStyle name="Migliaia 54 2 4 2 2" xfId="40157" xr:uid="{08B1731F-AAA8-4539-9547-E83AB261F69B}"/>
    <cellStyle name="Migliaia 54 2 4 2 3" xfId="45459" xr:uid="{D50AA3A7-6BC2-48AA-82EC-417A14F010C6}"/>
    <cellStyle name="Migliaia 54 2 4 3" xfId="18603" xr:uid="{E76961FA-2A03-4F67-AC69-DB4F567980CB}"/>
    <cellStyle name="Migliaia 54 2 4 4" xfId="20956" xr:uid="{6324F46F-0F9D-4E78-A0D4-FB4901F6098D}"/>
    <cellStyle name="Migliaia 54 2 4 4 2" xfId="42808" xr:uid="{F04B209C-F5E2-4D61-9ECB-E8F80848DC4C}"/>
    <cellStyle name="Migliaia 54 2 4 5" xfId="16781" xr:uid="{BE5A815C-B18C-479C-B966-ADB5B9013674}"/>
    <cellStyle name="Migliaia 54 2 4 6" xfId="8019" xr:uid="{0B344533-9087-4335-B179-7462152F3019}"/>
    <cellStyle name="Migliaia 54 2 5" xfId="6790" xr:uid="{D659F3B8-07E4-4E59-A069-EA3A6564622A}"/>
    <cellStyle name="Migliaia 54 2 5 2" xfId="34535" xr:uid="{1DBC4605-B08B-402D-8095-AA62DC0DFDDF}"/>
    <cellStyle name="Migliaia 54 2 5 2 2" xfId="40158" xr:uid="{6AC812BE-8DDB-48A7-89A7-5214354934EC}"/>
    <cellStyle name="Migliaia 54 2 5 2 3" xfId="45460" xr:uid="{FE200328-7716-47B8-855A-F1AD01FE75B4}"/>
    <cellStyle name="Migliaia 54 2 5 3" xfId="37511" xr:uid="{9B8A3899-0929-4A46-91FF-DDB1B77E4A4E}"/>
    <cellStyle name="Migliaia 54 2 5 4" xfId="42809" xr:uid="{42D493DF-6F9F-4FFE-A8B5-698049C17D85}"/>
    <cellStyle name="Migliaia 54 2 5 5" xfId="13152" xr:uid="{4E8E7274-FF24-45E3-90F6-CE159DA8CDE0}"/>
    <cellStyle name="Migliaia 54 2 6" xfId="3889" xr:uid="{39FA281F-3ED5-41C5-8605-077420AF120F}"/>
    <cellStyle name="Migliaia 54 2 6 2" xfId="34536" xr:uid="{B4C52D17-35B1-405C-A369-DCDD61D43DDC}"/>
    <cellStyle name="Migliaia 54 2 6 2 2" xfId="40159" xr:uid="{F8A0EC7B-B128-4F41-A9B7-1A9DD94555F5}"/>
    <cellStyle name="Migliaia 54 2 6 2 3" xfId="45461" xr:uid="{939B5E94-2D5E-4E59-A169-0E79F8B88322}"/>
    <cellStyle name="Migliaia 54 2 6 3" xfId="37512" xr:uid="{3946FEB3-A0D5-4F13-911B-032876F3DE58}"/>
    <cellStyle name="Migliaia 54 2 6 4" xfId="42810" xr:uid="{9D425E6F-C4D5-4107-B55B-11E67CDAF7D5}"/>
    <cellStyle name="Migliaia 54 2 6 5" xfId="25341" xr:uid="{9AE9F591-5780-4B6F-89DB-CB62EC96F818}"/>
    <cellStyle name="Migliaia 54 2 6 6" xfId="20952" xr:uid="{39545DEF-8C6F-493B-8B65-AEDC0C9D5310}"/>
    <cellStyle name="Migliaia 54 2 7" xfId="25338" xr:uid="{A8F5E1FF-2D61-4530-A535-8291016BF991}"/>
    <cellStyle name="Migliaia 54 2 8" xfId="7190" xr:uid="{CE938A4C-99AD-4E84-B5A5-8E7478D85C65}"/>
    <cellStyle name="Migliaia 54 3" xfId="499" xr:uid="{00000000-0005-0000-0000-00007B040000}"/>
    <cellStyle name="Migliaia 54 3 10" xfId="25342" xr:uid="{3B9FE3BD-B3DB-4C46-A633-224ECC5B8A17}"/>
    <cellStyle name="Migliaia 54 3 11" xfId="16782" xr:uid="{C30BACC1-0678-4712-8211-0B1F4D09BCF7}"/>
    <cellStyle name="Migliaia 54 3 12" xfId="7191" xr:uid="{205241EF-13A3-4E4D-958D-5A7E451C450E}"/>
    <cellStyle name="Migliaia 54 3 2" xfId="500" xr:uid="{00000000-0005-0000-0000-00007C040000}"/>
    <cellStyle name="Migliaia 54 3 2 2" xfId="1902" xr:uid="{00000000-0005-0000-0000-00007D040000}"/>
    <cellStyle name="Migliaia 54 3 2 2 2" xfId="5620" xr:uid="{34487C83-14F3-4C66-95FB-221A974E49F3}"/>
    <cellStyle name="Migliaia 54 3 2 2 2 2" xfId="18510" xr:uid="{354673E0-69BD-4B32-8E7E-15560A7C8958}"/>
    <cellStyle name="Migliaia 54 3 2 2 2 2 2" xfId="21890" xr:uid="{87BA186B-BC3D-40EC-8240-CB47ADC61A3F}"/>
    <cellStyle name="Migliaia 54 3 2 2 2 2 2 2" xfId="40160" xr:uid="{B2DBB543-8E4D-49CD-ABDB-2F44D913EF4B}"/>
    <cellStyle name="Migliaia 54 3 2 2 2 2 3" xfId="45462" xr:uid="{0928A606-67F5-4280-8DAB-45755F1BE11C}"/>
    <cellStyle name="Migliaia 54 3 2 2 2 2 4" xfId="34537" xr:uid="{04756837-DA18-4EDB-A748-6774DA1A90E1}"/>
    <cellStyle name="Migliaia 54 3 2 2 2 3" xfId="37513" xr:uid="{ED4D065A-8EB3-461E-B5DE-950D32D028D6}"/>
    <cellStyle name="Migliaia 54 3 2 2 2 4" xfId="42811" xr:uid="{03EFE10A-5A21-46B3-A78B-03E10B58D5D6}"/>
    <cellStyle name="Migliaia 54 3 2 2 2 5" xfId="47816" xr:uid="{2F5EF880-2561-4C51-ADA4-0B0099C3B58B}"/>
    <cellStyle name="Migliaia 54 3 2 2 2 6" xfId="50918" xr:uid="{D8506F35-0962-43D9-AA82-081F43B63D7F}"/>
    <cellStyle name="Migliaia 54 3 2 2 2 7" xfId="53934" xr:uid="{E18D0C05-4C19-4885-8534-92FAA7EDA8E0}"/>
    <cellStyle name="Migliaia 54 3 2 2 2 8" xfId="17689" xr:uid="{BF1FA7F9-4564-4122-8CE6-68F10F98645D}"/>
    <cellStyle name="Migliaia 54 3 2 2 2 9" xfId="12083" xr:uid="{F1C1C982-111E-4A33-8C51-49AA269A58A7}"/>
    <cellStyle name="Migliaia 54 3 2 2 3" xfId="6795" xr:uid="{72E798C2-34BB-4A7F-AE46-AC32A70D22CA}"/>
    <cellStyle name="Migliaia 54 3 2 2 3 2" xfId="11120" xr:uid="{39200F69-CB58-47A1-A515-96A491E40F69}"/>
    <cellStyle name="Migliaia 54 3 2 2 4" xfId="3894" xr:uid="{AE482941-0D8B-4774-9A58-036662BF809B}"/>
    <cellStyle name="Migliaia 54 3 2 2 4 2" xfId="21614" xr:uid="{21A20B04-F59A-4E89-9422-3014661030EF}"/>
    <cellStyle name="Migliaia 54 3 2 2 4 3" xfId="25188" xr:uid="{DD3BAB02-0DCB-467A-AC2F-88AFBA30B923}"/>
    <cellStyle name="Migliaia 54 3 2 2 4 4" xfId="50629" xr:uid="{8452536E-1FB1-4224-82C9-3770F004F6DD}"/>
    <cellStyle name="Migliaia 54 3 2 2 4 5" xfId="53645" xr:uid="{8F7FC828-DFC2-41AB-8DAC-CC41D1D7CA14}"/>
    <cellStyle name="Migliaia 54 3 2 2 4 6" xfId="10979" xr:uid="{CE9E9804-B31F-4D67-AE08-6F3AC0001C1F}"/>
    <cellStyle name="Migliaia 54 3 2 2 5" xfId="20959" xr:uid="{C0E1F3B2-E727-4DEF-A46C-3A919F7A6E0C}"/>
    <cellStyle name="Migliaia 54 3 2 2 6" xfId="25344" xr:uid="{473EDDDA-5A4F-477A-9D7F-50466F5FFDD1}"/>
    <cellStyle name="Migliaia 54 3 2 2 7" xfId="8777" xr:uid="{F545CAF9-1328-48F2-81E7-AD7CC372F14B}"/>
    <cellStyle name="Migliaia 54 3 2 3" xfId="5619" xr:uid="{6E2759E1-F77C-485A-AD20-ED2CFBB2707B}"/>
    <cellStyle name="Migliaia 54 3 2 3 2" xfId="12398" xr:uid="{5877880F-C41A-421B-90DC-A045020B32FE}"/>
    <cellStyle name="Migliaia 54 3 2 3 2 2" xfId="40161" xr:uid="{988A4C2D-DAA0-46B4-B3BA-E89AD63AB80F}"/>
    <cellStyle name="Migliaia 54 3 2 3 2 3" xfId="45463" xr:uid="{95BBB139-7903-4228-82E1-FFB4ED56C852}"/>
    <cellStyle name="Migliaia 54 3 2 3 2 4" xfId="34538" xr:uid="{FC32F406-C478-4C1A-B285-1E11BFBD4C19}"/>
    <cellStyle name="Migliaia 54 3 2 3 3" xfId="12084" xr:uid="{F6E96692-1FEE-466F-A34B-A0E59E442BB0}"/>
    <cellStyle name="Migliaia 54 3 2 3 4" xfId="20960" xr:uid="{53700C18-8ADD-4E53-885E-0E6FD0AEC43F}"/>
    <cellStyle name="Migliaia 54 3 2 3 4 2" xfId="42812" xr:uid="{6327BE66-89DD-4704-B097-99E3991B8DFD}"/>
    <cellStyle name="Migliaia 54 3 2 3 5" xfId="16783" xr:uid="{A64EBE3B-DF26-4729-B0E5-B261906E8994}"/>
    <cellStyle name="Migliaia 54 3 2 3 6" xfId="8021" xr:uid="{E7D40B61-C7A2-48FE-8A84-95BC31362605}"/>
    <cellStyle name="Migliaia 54 3 2 4" xfId="6794" xr:uid="{06005A2B-294B-442B-BBFC-B031E12CFAE8}"/>
    <cellStyle name="Migliaia 54 3 2 4 2" xfId="18106" xr:uid="{575C602A-DF27-4188-B07A-15AD97406EDE}"/>
    <cellStyle name="Migliaia 54 3 2 4 2 2" xfId="40162" xr:uid="{59BE9163-D1B5-40A0-B240-6310D0471425}"/>
    <cellStyle name="Migliaia 54 3 2 4 2 3" xfId="45464" xr:uid="{B363389D-8D55-4E67-86DB-5DC4B5556EB4}"/>
    <cellStyle name="Migliaia 54 3 2 4 3" xfId="37514" xr:uid="{D5D8AF76-5BB1-4553-A85C-FD6ED863370F}"/>
    <cellStyle name="Migliaia 54 3 2 4 4" xfId="42813" xr:uid="{7A6578F7-9AA9-4B90-9819-77C098A45517}"/>
    <cellStyle name="Migliaia 54 3 2 4 5" xfId="17234" xr:uid="{D3058889-5FCD-440F-94FC-89582B8D8C61}"/>
    <cellStyle name="Migliaia 54 3 2 4 6" xfId="11436" xr:uid="{8609095F-AE18-4717-ADA4-DA0F0F24D140}"/>
    <cellStyle name="Migliaia 54 3 2 5" xfId="3893" xr:uid="{E5F482F6-E013-4D57-8246-19B1B469C6EC}"/>
    <cellStyle name="Migliaia 54 3 2 5 2" xfId="34539" xr:uid="{F568EF24-2935-42AE-8AD5-4742C690D8BC}"/>
    <cellStyle name="Migliaia 54 3 2 5 2 2" xfId="40163" xr:uid="{20B061D9-E00A-4393-945B-E39025873B90}"/>
    <cellStyle name="Migliaia 54 3 2 5 2 3" xfId="45465" xr:uid="{B5470423-0D22-4A43-A51F-F3F981F24420}"/>
    <cellStyle name="Migliaia 54 3 2 5 3" xfId="37515" xr:uid="{28E7FBEE-70DB-46A9-8815-10528A41395F}"/>
    <cellStyle name="Migliaia 54 3 2 5 4" xfId="42814" xr:uid="{4F67823C-7807-43EA-9145-423B53BC1713}"/>
    <cellStyle name="Migliaia 54 3 2 5 5" xfId="17279" xr:uid="{41299EC5-22F8-4E42-98A3-5C0FFCFCC093}"/>
    <cellStyle name="Migliaia 54 3 2 6" xfId="20958" xr:uid="{411E3D0F-2F1A-4C8B-B8CD-D38DE8AE2D32}"/>
    <cellStyle name="Migliaia 54 3 2 6 2" xfId="34540" xr:uid="{2877B620-4BAC-4E0F-82B7-376D44CFD22E}"/>
    <cellStyle name="Migliaia 54 3 2 6 2 2" xfId="40164" xr:uid="{6ABDA12E-EDF7-43D5-9236-35BE67B55F0F}"/>
    <cellStyle name="Migliaia 54 3 2 6 2 3" xfId="45466" xr:uid="{688AB824-58FA-432A-BAEF-B94F4FDDBAA3}"/>
    <cellStyle name="Migliaia 54 3 2 6 3" xfId="37516" xr:uid="{856945A2-2759-4BE9-BE2C-81D0527282CF}"/>
    <cellStyle name="Migliaia 54 3 2 6 4" xfId="42815" xr:uid="{763B5B34-3639-48CD-8570-7CF75D84D814}"/>
    <cellStyle name="Migliaia 54 3 2 6 5" xfId="25345" xr:uid="{EA497115-228B-4FE6-8129-87518C93398C}"/>
    <cellStyle name="Migliaia 54 3 2 7" xfId="25343" xr:uid="{1EE9395D-B0C3-484D-977A-5DBE59322C36}"/>
    <cellStyle name="Migliaia 54 3 2 8" xfId="7587" xr:uid="{81625012-B74C-430E-BFD1-B5DA9C5D666E}"/>
    <cellStyle name="Migliaia 54 3 3" xfId="3895" xr:uid="{E8707CFD-BDCA-439B-8398-0F537546007A}"/>
    <cellStyle name="Migliaia 54 3 3 10" xfId="7586" xr:uid="{0169C52E-5578-4E8B-BD7F-EEEFD0D7DF83}"/>
    <cellStyle name="Migliaia 54 3 3 2" xfId="5621" xr:uid="{20B7B2A1-78A3-4653-B9CF-70A9E97E5AC1}"/>
    <cellStyle name="Migliaia 54 3 3 2 2" xfId="9980" xr:uid="{FCDF6335-4D1F-44D6-AD27-C8E36CE9CF4C}"/>
    <cellStyle name="Migliaia 54 3 3 2 2 2" xfId="40166" xr:uid="{3C03998A-7FA3-40A1-9EF4-B9CBE3EBD319}"/>
    <cellStyle name="Migliaia 54 3 3 2 2 3" xfId="45468" xr:uid="{A81EC7A1-DC63-48F6-B909-DE488069649B}"/>
    <cellStyle name="Migliaia 54 3 3 2 3" xfId="18260" xr:uid="{D647A842-A247-49A1-BAC1-A803FFA10DD2}"/>
    <cellStyle name="Migliaia 54 3 3 2 4" xfId="20962" xr:uid="{3467C5E5-87F1-4C69-8C8E-5B853EC8C828}"/>
    <cellStyle name="Migliaia 54 3 3 2 4 2" xfId="42817" xr:uid="{C8612538-6437-4520-B571-1B229C83325E}"/>
    <cellStyle name="Migliaia 54 3 3 2 5" xfId="16785" xr:uid="{2A228371-63B1-4625-BBC6-6EDD8EE0ABEA}"/>
    <cellStyle name="Migliaia 54 3 3 2 6" xfId="8776" xr:uid="{EEA0486D-AEF1-4D9A-83AD-93CD490E8B4B}"/>
    <cellStyle name="Migliaia 54 3 3 3" xfId="6796" xr:uid="{79B4DB88-845E-4961-A3AF-F5F82A8FDBE4}"/>
    <cellStyle name="Migliaia 54 3 3 3 2" xfId="34543" xr:uid="{60887DD3-B47E-4990-8114-C4DD3B9FB228}"/>
    <cellStyle name="Migliaia 54 3 3 3 2 2" xfId="40167" xr:uid="{CD0F1E86-E54C-4810-867C-A3661E3A922C}"/>
    <cellStyle name="Migliaia 54 3 3 3 2 3" xfId="45469" xr:uid="{F406B137-6001-4677-AACA-8E3AC767D037}"/>
    <cellStyle name="Migliaia 54 3 3 3 3" xfId="37519" xr:uid="{89627C87-68F8-4C7E-98E9-D58C58E426AD}"/>
    <cellStyle name="Migliaia 54 3 3 3 4" xfId="42818" xr:uid="{B2ABECCC-8D27-4D80-B6B1-DD2437BD81FA}"/>
    <cellStyle name="Migliaia 54 3 3 3 5" xfId="9743" xr:uid="{1A25C2A8-EE06-4ECD-94F9-A03FA5352B97}"/>
    <cellStyle name="Migliaia 54 3 3 4" xfId="20961" xr:uid="{8555DB1A-BECC-4976-8CF3-B1ECD63251D8}"/>
    <cellStyle name="Migliaia 54 3 3 4 2" xfId="34544" xr:uid="{D89951CF-1F21-43C8-ADA2-0C743884F651}"/>
    <cellStyle name="Migliaia 54 3 3 4 2 2" xfId="40168" xr:uid="{B85D0FE4-8218-4E8C-9151-7DC3A7BB4D5E}"/>
    <cellStyle name="Migliaia 54 3 3 4 2 3" xfId="45470" xr:uid="{146299BA-B5EC-4856-805B-316F706FE400}"/>
    <cellStyle name="Migliaia 54 3 3 4 3" xfId="37520" xr:uid="{78A975E7-9889-4C32-BAE6-BB1914898898}"/>
    <cellStyle name="Migliaia 54 3 3 4 4" xfId="42819" xr:uid="{ABB1F0FE-F20D-43C2-8457-FAF07CC674BD}"/>
    <cellStyle name="Migliaia 54 3 3 4 5" xfId="25347" xr:uid="{21CA2963-6677-4B16-AE74-4F76BCA50AD6}"/>
    <cellStyle name="Migliaia 54 3 3 5" xfId="25348" xr:uid="{520A35CA-71AF-43D0-A367-94C56596E1F3}"/>
    <cellStyle name="Migliaia 54 3 3 5 2" xfId="34545" xr:uid="{E20626E8-3E7D-435C-9BAE-F313521177AC}"/>
    <cellStyle name="Migliaia 54 3 3 5 2 2" xfId="40169" xr:uid="{ADDC1A90-BC44-4F7F-BBCE-46F456A70FCE}"/>
    <cellStyle name="Migliaia 54 3 3 5 2 3" xfId="45471" xr:uid="{A3C098ED-E527-49C6-916F-32FF1855D690}"/>
    <cellStyle name="Migliaia 54 3 3 5 3" xfId="37521" xr:uid="{77CB0A81-0372-4836-B550-4D540E357F58}"/>
    <cellStyle name="Migliaia 54 3 3 5 4" xfId="42820" xr:uid="{DA7C1E51-B3B5-473E-831B-3759EF3BC59F}"/>
    <cellStyle name="Migliaia 54 3 3 6" xfId="34541" xr:uid="{3531C5CF-8388-49E1-B91A-1F964E1F4C45}"/>
    <cellStyle name="Migliaia 54 3 3 6 2" xfId="40165" xr:uid="{03132AD6-8122-41E5-820C-89B9318A13EC}"/>
    <cellStyle name="Migliaia 54 3 3 6 3" xfId="45467" xr:uid="{0B7F4537-C704-4BAA-B984-45ECDB51B2CC}"/>
    <cellStyle name="Migliaia 54 3 3 7" xfId="37517" xr:uid="{8878E658-28B0-4217-AD12-FD124DCE88EC}"/>
    <cellStyle name="Migliaia 54 3 3 8" xfId="42816" xr:uid="{1FAD045A-9467-4906-A466-0CDD72920ECB}"/>
    <cellStyle name="Migliaia 54 3 3 9" xfId="16784" xr:uid="{255D99FC-F9CC-4716-A512-4C48C70BE550}"/>
    <cellStyle name="Migliaia 54 3 4" xfId="3896" xr:uid="{12333AE5-B3C3-44F7-9A8A-576D7C8A6313}"/>
    <cellStyle name="Migliaia 54 3 4 2" xfId="5622" xr:uid="{70EE280B-D1E8-4127-9069-0F969FA948B9}"/>
    <cellStyle name="Migliaia 54 3 4 2 2" xfId="14472" xr:uid="{7409A618-9559-48B9-AD61-616C815FE3FD}"/>
    <cellStyle name="Migliaia 54 3 4 2 3" xfId="18135" xr:uid="{7C04A69F-81F9-45D9-BB81-8DDDBE386250}"/>
    <cellStyle name="Migliaia 54 3 4 2 4" xfId="20964" xr:uid="{82B1E1A6-57A2-4907-86FE-1934843A5E4F}"/>
    <cellStyle name="Migliaia 54 3 4 2 5" xfId="32468" xr:uid="{ABCCA9D7-47BB-4089-99D9-C6CEB5FA96F9}"/>
    <cellStyle name="Migliaia 54 3 4 2 6" xfId="16787" xr:uid="{4BBBAD11-2DFB-4AE2-B293-D482ED02D501}"/>
    <cellStyle name="Migliaia 54 3 4 2 7" xfId="8895" xr:uid="{D0708DAD-5155-411D-A971-51B04EDAD3E3}"/>
    <cellStyle name="Migliaia 54 3 4 3" xfId="6797" xr:uid="{D07C26F9-0E80-46F3-9B8A-6E9959EB834B}"/>
    <cellStyle name="Migliaia 54 3 4 3 2" xfId="35468" xr:uid="{73F849E2-F4E6-44FA-88F4-FE3DE8794C3F}"/>
    <cellStyle name="Migliaia 54 3 4 3 2 2" xfId="40628" xr:uid="{8E418A6A-1AF7-44B6-9DCD-5A2EA851565A}"/>
    <cellStyle name="Migliaia 54 3 4 3 2 3" xfId="45930" xr:uid="{43FD40BB-FD19-45BF-B25D-1D2902592C8E}"/>
    <cellStyle name="Migliaia 54 3 4 3 3" xfId="37977" xr:uid="{001D3DC5-4170-4439-8D6C-6788C603A40F}"/>
    <cellStyle name="Migliaia 54 3 4 3 4" xfId="43279" xr:uid="{9BFD4DA3-5039-478B-8D61-B490B0691E21}"/>
    <cellStyle name="Migliaia 54 3 4 3 5" xfId="13720" xr:uid="{9E9863B5-0114-4830-9D28-81654B260A34}"/>
    <cellStyle name="Migliaia 54 3 4 4" xfId="20963" xr:uid="{17A734C7-1435-408C-9756-2A715AD530C5}"/>
    <cellStyle name="Migliaia 54 3 4 4 2" xfId="40170" xr:uid="{B2428AD5-3A76-44A3-BB52-4939D639AB0D}"/>
    <cellStyle name="Migliaia 54 3 4 4 3" xfId="45472" xr:uid="{47E094AE-AF3E-4BF5-A32A-48A9E7C2FB24}"/>
    <cellStyle name="Migliaia 54 3 4 4 4" xfId="34546" xr:uid="{7C763507-47F4-40FF-BD83-823DA6B52F3F}"/>
    <cellStyle name="Migliaia 54 3 4 5" xfId="37522" xr:uid="{4E80AB16-239A-46DA-B7B3-4F0145019A5E}"/>
    <cellStyle name="Migliaia 54 3 4 6" xfId="42821" xr:uid="{8323A9D1-960C-432B-9301-9A57D81C5E39}"/>
    <cellStyle name="Migliaia 54 3 4 7" xfId="16786" xr:uid="{684F5757-64A4-4E6A-BC0F-F0A1B0ACD885}"/>
    <cellStyle name="Migliaia 54 3 4 8" xfId="7705" xr:uid="{CC0BCF55-8822-4720-AC99-11EF63ED559D}"/>
    <cellStyle name="Migliaia 54 3 5" xfId="3897" xr:uid="{69D3EF5A-6021-4B69-8184-7F316D4B4A34}"/>
    <cellStyle name="Migliaia 54 3 5 2" xfId="5623" xr:uid="{F543C407-A716-4014-8282-6CE86883F0A6}"/>
    <cellStyle name="Migliaia 54 3 5 2 2" xfId="35469" xr:uid="{BAC2829F-8B59-4F35-A928-AC575D1B380F}"/>
    <cellStyle name="Migliaia 54 3 5 2 2 2" xfId="40629" xr:uid="{B6BE04DE-DA60-4598-A4D3-77FF0C3EA01F}"/>
    <cellStyle name="Migliaia 54 3 5 2 2 3" xfId="45931" xr:uid="{8F33FE26-DD39-472E-B3C0-B358D4C09867}"/>
    <cellStyle name="Migliaia 54 3 5 2 3" xfId="37978" xr:uid="{A7801BC0-80A8-4C93-B845-4E27C61F9C90}"/>
    <cellStyle name="Migliaia 54 3 5 2 4" xfId="43280" xr:uid="{7D6F2F7D-47AB-4DE6-86AC-A0EED24A3CD9}"/>
    <cellStyle name="Migliaia 54 3 5 2 5" xfId="14328" xr:uid="{711ED660-244D-46CF-82EF-2945977F349E}"/>
    <cellStyle name="Migliaia 54 3 5 3" xfId="6798" xr:uid="{43905B95-04D1-4EC2-857F-9FA06B82B7C4}"/>
    <cellStyle name="Migliaia 54 3 5 3 2" xfId="40171" xr:uid="{2F5E6D9E-205A-4F27-8002-6AEDE6E38895}"/>
    <cellStyle name="Migliaia 54 3 5 3 3" xfId="45473" xr:uid="{DB734DFD-9476-4139-9EF3-75EC0EB6285F}"/>
    <cellStyle name="Migliaia 54 3 5 3 4" xfId="34547" xr:uid="{877CB8B4-381E-4B8B-A449-33C6E9F6AE53}"/>
    <cellStyle name="Migliaia 54 3 5 3 5" xfId="20965" xr:uid="{445FCF77-3994-4E12-91E7-962D9D029B15}"/>
    <cellStyle name="Migliaia 54 3 5 4" xfId="37523" xr:uid="{64CAEED4-4B0E-4408-9AF5-20C987F81EB6}"/>
    <cellStyle name="Migliaia 54 3 5 5" xfId="42822" xr:uid="{DE4F8EF6-A05D-46C7-8E0E-2854FA1421E6}"/>
    <cellStyle name="Migliaia 54 3 5 6" xfId="16788" xr:uid="{14CE178E-47ED-4210-9D9B-31A7071D6FEB}"/>
    <cellStyle name="Migliaia 54 3 5 7" xfId="8390" xr:uid="{A76C7CB8-C181-409F-B3A1-F8BBF33C889E}"/>
    <cellStyle name="Migliaia 54 3 6" xfId="5618" xr:uid="{F12F2385-5A2B-47D9-A8BE-358B3553570C}"/>
    <cellStyle name="Migliaia 54 3 6 2" xfId="14033" xr:uid="{182782B4-A9E0-4949-966C-9E5A05D916E7}"/>
    <cellStyle name="Migliaia 54 3 6 2 2" xfId="40172" xr:uid="{B6B95ACE-220A-4F87-BB04-395676049C4C}"/>
    <cellStyle name="Migliaia 54 3 6 2 3" xfId="45474" xr:uid="{C7F87A28-920D-4657-81F1-8931D4DF091C}"/>
    <cellStyle name="Migliaia 54 3 6 3" xfId="18027" xr:uid="{2F509B8D-545A-4522-9BC1-9350E623310C}"/>
    <cellStyle name="Migliaia 54 3 6 4" xfId="20966" xr:uid="{1E9273BE-4D6F-4A0D-B2EB-06A269602D63}"/>
    <cellStyle name="Migliaia 54 3 6 4 2" xfId="42823" xr:uid="{0D47EB97-DE4C-41D0-A48B-0D2048ECD0A6}"/>
    <cellStyle name="Migliaia 54 3 6 5" xfId="16789" xr:uid="{362ED2CB-41F1-496D-98AD-AECC47E9F2FA}"/>
    <cellStyle name="Migliaia 54 3 6 6" xfId="8020" xr:uid="{B540267F-BBC5-4FEA-AF0D-503FEA9AA00E}"/>
    <cellStyle name="Migliaia 54 3 7" xfId="6793" xr:uid="{8358025A-587C-42DA-9297-E767BA20C6E5}"/>
    <cellStyle name="Migliaia 54 3 7 2" xfId="34549" xr:uid="{372ADF58-B000-4917-9F86-143D74CBFDCE}"/>
    <cellStyle name="Migliaia 54 3 7 2 2" xfId="40173" xr:uid="{7C26EE32-92C0-49A5-8CE9-7C37044E1479}"/>
    <cellStyle name="Migliaia 54 3 7 2 3" xfId="45475" xr:uid="{54A72C3B-C4E5-44F4-A8E6-80013A7FE988}"/>
    <cellStyle name="Migliaia 54 3 7 3" xfId="37525" xr:uid="{55D5B9CB-9D60-49F9-B312-D4B09D683E4A}"/>
    <cellStyle name="Migliaia 54 3 7 4" xfId="42824" xr:uid="{A6E2A954-5968-4E5F-8C09-4F439D2C49FC}"/>
    <cellStyle name="Migliaia 54 3 7 5" xfId="11529" xr:uid="{4E2397DF-D8A5-4665-A294-C7592E7A3BB1}"/>
    <cellStyle name="Migliaia 54 3 8" xfId="3892" xr:uid="{EC5ACF4E-8899-4780-8353-9DB72EDA0423}"/>
    <cellStyle name="Migliaia 54 3 8 2" xfId="34550" xr:uid="{6A2992A3-8172-4762-82DD-DB3DE4DDD14F}"/>
    <cellStyle name="Migliaia 54 3 8 2 2" xfId="40174" xr:uid="{F69669AC-5441-4B4E-9F74-8256A73E79A2}"/>
    <cellStyle name="Migliaia 54 3 8 2 3" xfId="45476" xr:uid="{CA397230-35CB-42B6-8345-BEC948805373}"/>
    <cellStyle name="Migliaia 54 3 8 3" xfId="37526" xr:uid="{3BA29F3C-2162-4E13-8CD3-C831029DB250}"/>
    <cellStyle name="Migliaia 54 3 8 4" xfId="42825" xr:uid="{D942AD41-7FF5-47AF-BCBC-0628F58AE57A}"/>
    <cellStyle name="Migliaia 54 3 8 5" xfId="25353" xr:uid="{2D4D9D2F-A189-4912-89E8-5E0CE9112FCD}"/>
    <cellStyle name="Migliaia 54 3 8 6" xfId="17280" xr:uid="{C125BC4A-E9A3-49E6-A533-0BCEFD0E7421}"/>
    <cellStyle name="Migliaia 54 3 9" xfId="20957" xr:uid="{B370E34C-69D8-4FA2-AB95-F692D31875EE}"/>
    <cellStyle name="Migliaia 54 4" xfId="1903" xr:uid="{00000000-0005-0000-0000-00007E040000}"/>
    <cellStyle name="Migliaia 54 4 2" xfId="1904" xr:uid="{00000000-0005-0000-0000-00007F040000}"/>
    <cellStyle name="Migliaia 54 4 2 2" xfId="5625" xr:uid="{2E71CD10-6D64-46BE-BB51-2D719789528C}"/>
    <cellStyle name="Migliaia 54 4 2 2 2" xfId="34551" xr:uid="{67BCA534-929D-461D-99AE-0D94D8D39B3C}"/>
    <cellStyle name="Migliaia 54 4 2 2 2 2" xfId="40175" xr:uid="{A73BB807-EBC1-4A9D-9C70-D0873EE19D1F}"/>
    <cellStyle name="Migliaia 54 4 2 2 2 3" xfId="45477" xr:uid="{EC7EEAD1-881F-46A1-A426-CDAABE080505}"/>
    <cellStyle name="Migliaia 54 4 2 2 3" xfId="37527" xr:uid="{A1DCB07E-BB62-4CAA-9CAC-4E5666C12FB2}"/>
    <cellStyle name="Migliaia 54 4 2 2 4" xfId="42826" xr:uid="{60D728A2-2E2B-483D-8081-48D6F8A0C645}"/>
    <cellStyle name="Migliaia 54 4 2 2 5" xfId="9206" xr:uid="{123E50C7-923C-4062-BDC7-6CCE1ABFEAA7}"/>
    <cellStyle name="Migliaia 54 4 2 3" xfId="3899" xr:uid="{3847DD73-BBF6-44DB-B699-5468F0EA4E68}"/>
    <cellStyle name="Migliaia 54 4 2 3 2" xfId="34552" xr:uid="{4ADC263D-9AB1-42EB-8237-AD3C067CD4CA}"/>
    <cellStyle name="Migliaia 54 4 2 3 2 2" xfId="40176" xr:uid="{BD40E59C-169E-4702-948F-65A5849B6AD7}"/>
    <cellStyle name="Migliaia 54 4 2 3 2 3" xfId="45478" xr:uid="{6B1A0ED2-C560-4858-A20F-F7C426DEC368}"/>
    <cellStyle name="Migliaia 54 4 2 3 3" xfId="37528" xr:uid="{4CEF4D7D-9D67-4C41-97DE-71F461C3DC64}"/>
    <cellStyle name="Migliaia 54 4 2 3 4" xfId="42827" xr:uid="{2643CDF5-833F-47CD-B7E5-2E1F51180386}"/>
    <cellStyle name="Migliaia 54 4 2 3 5" xfId="12085" xr:uid="{DF56E66B-2743-4B86-B5DF-583C5BD339E0}"/>
    <cellStyle name="Migliaia 54 4 2 4" xfId="11438" xr:uid="{FD6B9CFB-859D-46A1-81A9-5964C366F495}"/>
    <cellStyle name="Migliaia 54 4 2 5" xfId="10981" xr:uid="{376D1912-C57A-46E1-A21B-645E50138957}"/>
    <cellStyle name="Migliaia 54 4 2 5 2" xfId="21616" xr:uid="{354E6B65-DB99-47D5-A646-409460C0BA78}"/>
    <cellStyle name="Migliaia 54 4 2 5 3" xfId="32542" xr:uid="{7C87612F-564C-4429-8839-F8662C7A070E}"/>
    <cellStyle name="Migliaia 54 4 2 5 4" xfId="50631" xr:uid="{454C13B0-3BC8-4F89-8733-7DDB481468DE}"/>
    <cellStyle name="Migliaia 54 4 2 5 5" xfId="53647" xr:uid="{F745974F-AA35-45CD-A673-5DB453597478}"/>
    <cellStyle name="Migliaia 54 4 2 6" xfId="20968" xr:uid="{9E547098-0AFF-4104-87C7-2362522254E3}"/>
    <cellStyle name="Migliaia 54 4 2 7" xfId="25355" xr:uid="{30EAD6F2-7D44-46B6-959E-7D73346C6BEC}"/>
    <cellStyle name="Migliaia 54 4 2 8" xfId="8778" xr:uid="{1AED777E-A3D1-4D1D-A584-0FBB6C449091}"/>
    <cellStyle name="Migliaia 54 4 3" xfId="5624" xr:uid="{F7E79B6F-32EA-4B25-9FB0-F38C3C63835E}"/>
    <cellStyle name="Migliaia 54 4 3 2" xfId="18261" xr:uid="{8DFACF91-70AB-4549-BBF4-53985DB21389}"/>
    <cellStyle name="Migliaia 54 4 3 2 2" xfId="40177" xr:uid="{32A8326C-9EA7-4225-AF8B-3EC31DAAB54E}"/>
    <cellStyle name="Migliaia 54 4 3 2 3" xfId="45479" xr:uid="{5B55F596-269A-41EB-B101-4B366111BE1F}"/>
    <cellStyle name="Migliaia 54 4 3 3" xfId="37529" xr:uid="{D44DDD9F-F72E-4AF0-8C5A-AD574044B30D}"/>
    <cellStyle name="Migliaia 54 4 3 4" xfId="42828" xr:uid="{0174AEC9-121F-4CB0-A7C1-377A3A4D5B8E}"/>
    <cellStyle name="Migliaia 54 4 3 5" xfId="17278" xr:uid="{3B61B77C-F351-454D-BD0F-169BCDCA4F95}"/>
    <cellStyle name="Migliaia 54 4 3 6" xfId="9207" xr:uid="{D9764B0E-F972-4F2E-AC93-6329B7151AB7}"/>
    <cellStyle name="Migliaia 54 4 4" xfId="6799" xr:uid="{7AA01473-6AEB-4D1E-A677-156A15E5DB12}"/>
    <cellStyle name="Migliaia 54 4 4 2" xfId="34554" xr:uid="{64CDCB19-146A-45FA-8918-C72765EED734}"/>
    <cellStyle name="Migliaia 54 4 4 2 2" xfId="40178" xr:uid="{4F5B8DB9-A382-4FDA-AC92-06F575EE2090}"/>
    <cellStyle name="Migliaia 54 4 4 2 3" xfId="45480" xr:uid="{F8A6653A-E885-4D1E-8414-AD82111F3723}"/>
    <cellStyle name="Migliaia 54 4 4 3" xfId="37530" xr:uid="{5282271C-A032-4F74-A7DF-135D1EC5B51C}"/>
    <cellStyle name="Migliaia 54 4 4 4" xfId="42829" xr:uid="{A64F5C6F-01FB-4A6C-9D5B-CE5653675017}"/>
    <cellStyle name="Migliaia 54 4 4 5" xfId="12086" xr:uid="{3DCDF75A-9143-4036-AC15-52C8E8616303}"/>
    <cellStyle name="Migliaia 54 4 5" xfId="3898" xr:uid="{51327D9F-F041-4628-AA50-162FDF7A4575}"/>
    <cellStyle name="Migliaia 54 4 5 2" xfId="34555" xr:uid="{D0AF5F20-2CD2-42B4-B4AF-D3A8F9E945E6}"/>
    <cellStyle name="Migliaia 54 4 5 2 2" xfId="40179" xr:uid="{63C6AC68-BC20-40CE-92B3-973ED264B7F9}"/>
    <cellStyle name="Migliaia 54 4 5 2 3" xfId="45481" xr:uid="{24D32A59-05AC-4249-81CA-89A9B37B4981}"/>
    <cellStyle name="Migliaia 54 4 5 3" xfId="37531" xr:uid="{84F2827A-715C-4415-8B72-65A58F48E0A4}"/>
    <cellStyle name="Migliaia 54 4 5 4" xfId="42830" xr:uid="{14F107FE-92DA-455B-AFF5-19AA5E4EDDF9}"/>
    <cellStyle name="Migliaia 54 4 5 5" xfId="11437" xr:uid="{4C4391B9-37A2-4B45-88DF-ABE4765DA3CE}"/>
    <cellStyle name="Migliaia 54 4 6" xfId="10980" xr:uid="{DB0E3480-35AA-460D-8328-5CE982FFB135}"/>
    <cellStyle name="Migliaia 54 4 6 2" xfId="21615" xr:uid="{C69A0D55-3374-4182-9E8D-607850D0A12D}"/>
    <cellStyle name="Migliaia 54 4 6 2 2" xfId="40180" xr:uid="{1F34D83D-6A2C-4EF2-ABD1-B992216E2586}"/>
    <cellStyle name="Migliaia 54 4 6 2 3" xfId="45482" xr:uid="{BD7AEB4D-8888-42F7-9545-71F24DC8DC95}"/>
    <cellStyle name="Migliaia 54 4 6 2 4" xfId="34556" xr:uid="{101D8073-C7F8-4D23-8746-4ED9A08AA5CB}"/>
    <cellStyle name="Migliaia 54 4 6 3" xfId="37532" xr:uid="{9B953B8B-6B74-4F8D-9773-42716B18B6E4}"/>
    <cellStyle name="Migliaia 54 4 6 4" xfId="42831" xr:uid="{4B4058DF-D3BF-43D6-97A9-B67D177FD97A}"/>
    <cellStyle name="Migliaia 54 4 6 5" xfId="25361" xr:uid="{1D3A4235-63F5-4D38-9765-5692D7D5355D}"/>
    <cellStyle name="Migliaia 54 4 6 6" xfId="48386" xr:uid="{F5E2EF45-BF1F-4B1D-AD49-5F6E39EA9370}"/>
    <cellStyle name="Migliaia 54 4 6 7" xfId="50630" xr:uid="{C8ADF6E8-B642-4CB0-8AA9-F2F57E61EE1C}"/>
    <cellStyle name="Migliaia 54 4 6 8" xfId="53646" xr:uid="{AEDDF016-DF1A-4EAF-9FFE-DBABF097BEAE}"/>
    <cellStyle name="Migliaia 54 4 7" xfId="20967" xr:uid="{CE6D1110-75A3-4AA3-9719-CCE1FB764CFB}"/>
    <cellStyle name="Migliaia 54 4 7 2" xfId="34557" xr:uid="{85B20FBF-502B-41C8-AA2D-F9AC6A407FC6}"/>
    <cellStyle name="Migliaia 54 4 7 2 2" xfId="40181" xr:uid="{91D8E87D-7355-41F9-9948-43493F8236CB}"/>
    <cellStyle name="Migliaia 54 4 7 2 3" xfId="45483" xr:uid="{F872814F-E410-4D32-953E-C1095E6AFF81}"/>
    <cellStyle name="Migliaia 54 4 7 3" xfId="37533" xr:uid="{09A9FC50-3C02-41FE-A4C6-4ED69BD0A920}"/>
    <cellStyle name="Migliaia 54 4 7 4" xfId="42832" xr:uid="{F66D6080-4AB1-4AFE-ABE3-564A3E959C73}"/>
    <cellStyle name="Migliaia 54 4 7 5" xfId="25362" xr:uid="{01D1DC2B-6F2E-4F90-8D87-9E71E167A138}"/>
    <cellStyle name="Migliaia 54 4 8" xfId="25354" xr:uid="{BB93B268-C280-4F04-8F6C-CBF048AF736B}"/>
    <cellStyle name="Migliaia 54 4 9" xfId="7588" xr:uid="{E7FE30B2-EC15-4ACE-A033-01310EF4FD5F}"/>
    <cellStyle name="Migliaia 54 5" xfId="1905" xr:uid="{00000000-0005-0000-0000-000080040000}"/>
    <cellStyle name="Migliaia 54 5 2" xfId="5626" xr:uid="{EE75512C-20D5-40AD-933C-15A8343E2B8C}"/>
    <cellStyle name="Migliaia 54 5 2 2" xfId="18511" xr:uid="{072F4990-0DBA-4D1C-B508-4132C81ACDD0}"/>
    <cellStyle name="Migliaia 54 5 2 2 2" xfId="40182" xr:uid="{7F74CD1F-89EE-42E9-88B9-D78DF7A30B36}"/>
    <cellStyle name="Migliaia 54 5 2 2 3" xfId="45484" xr:uid="{6EF00E39-2676-49D9-ABE6-005BD72E706C}"/>
    <cellStyle name="Migliaia 54 5 2 3" xfId="20970" xr:uid="{5B8F579E-EAB2-4AF2-B18C-A79D91CC6371}"/>
    <cellStyle name="Migliaia 54 5 2 3 2" xfId="37534" xr:uid="{F3D2BD7C-880A-4324-B658-36D3561E5C51}"/>
    <cellStyle name="Migliaia 54 5 2 4" xfId="42833" xr:uid="{BDA4483E-2B96-4123-ABA9-2796B79E298A}"/>
    <cellStyle name="Migliaia 54 5 2 5" xfId="16790" xr:uid="{A5AF946C-7BD5-43BA-9991-234C0A4AB1B0}"/>
    <cellStyle name="Migliaia 54 5 2 6" xfId="8779" xr:uid="{C6063716-42BA-45BC-8236-43CF9EA48490}"/>
    <cellStyle name="Migliaia 54 5 3" xfId="6800" xr:uid="{7B453BC3-A201-479E-B5F4-E3DEE4C48847}"/>
    <cellStyle name="Migliaia 54 5 3 2" xfId="34558" xr:uid="{95BDB26E-02B0-4B8F-B4D7-E4C5E48D31E6}"/>
    <cellStyle name="Migliaia 54 5 3 2 2" xfId="40183" xr:uid="{1BCA496D-EBA7-40D4-A5C4-A2381CB92DCB}"/>
    <cellStyle name="Migliaia 54 5 3 2 3" xfId="45485" xr:uid="{2585A476-FBA6-40AC-9553-4467AB85CC66}"/>
    <cellStyle name="Migliaia 54 5 3 3" xfId="37535" xr:uid="{EECC469F-01F4-48A3-99BD-86E44EE231D9}"/>
    <cellStyle name="Migliaia 54 5 3 4" xfId="42834" xr:uid="{80007CBA-C881-4632-AA83-B2DFE5ED614F}"/>
    <cellStyle name="Migliaia 54 5 3 5" xfId="11439" xr:uid="{B901E919-B937-41DE-A1B8-EEC7097A3389}"/>
    <cellStyle name="Migliaia 54 5 4" xfId="3900" xr:uid="{D6BE16EF-8FEE-40FE-BF6C-B0F30A16F76C}"/>
    <cellStyle name="Migliaia 54 5 4 2" xfId="21617" xr:uid="{59D30164-28E2-484E-952F-B788769F63AE}"/>
    <cellStyle name="Migliaia 54 5 4 2 2" xfId="40184" xr:uid="{FE6C991B-8D4E-4ED9-9664-0C34BAA74895}"/>
    <cellStyle name="Migliaia 54 5 4 2 3" xfId="45486" xr:uid="{E80F324A-9112-4DE3-9491-DD4D7B664786}"/>
    <cellStyle name="Migliaia 54 5 4 2 4" xfId="34559" xr:uid="{0E8854D5-4CDB-4AD9-8EF0-A2455382B09D}"/>
    <cellStyle name="Migliaia 54 5 4 3" xfId="37536" xr:uid="{42EC531D-006F-4C70-9C0E-AAEE35CD9CAC}"/>
    <cellStyle name="Migliaia 54 5 4 4" xfId="42835" xr:uid="{457AE786-E0E4-4BEA-BC59-4164FE69E704}"/>
    <cellStyle name="Migliaia 54 5 4 5" xfId="25364" xr:uid="{B10236EA-1C65-447A-B25E-CE2C0B853F91}"/>
    <cellStyle name="Migliaia 54 5 4 6" xfId="48326" xr:uid="{6268A96D-F5AE-482F-9361-0B9C10FCF178}"/>
    <cellStyle name="Migliaia 54 5 4 7" xfId="50632" xr:uid="{B32FE456-1DD5-4545-8CB3-E410DC74313F}"/>
    <cellStyle name="Migliaia 54 5 4 8" xfId="53648" xr:uid="{4952820D-036F-4A6C-9BD4-1EAD5ECF8256}"/>
    <cellStyle name="Migliaia 54 5 4 9" xfId="10982" xr:uid="{1E4A65B0-9742-4E4C-A6B7-DA8C891C554B}"/>
    <cellStyle name="Migliaia 54 5 5" xfId="20969" xr:uid="{999E4818-D97B-4D84-8B10-11E5E4B41505}"/>
    <cellStyle name="Migliaia 54 5 5 2" xfId="34560" xr:uid="{852FA839-C347-45F0-93A4-74B119CE152C}"/>
    <cellStyle name="Migliaia 54 5 5 2 2" xfId="40185" xr:uid="{DDC81F7A-C562-4DA5-9F31-70E218B10792}"/>
    <cellStyle name="Migliaia 54 5 5 2 3" xfId="45487" xr:uid="{A8330BCB-E311-42D6-AF2D-E5D428CC5333}"/>
    <cellStyle name="Migliaia 54 5 5 3" xfId="37537" xr:uid="{E306F149-42CF-425C-87BC-53F8B3076148}"/>
    <cellStyle name="Migliaia 54 5 5 4" xfId="42836" xr:uid="{2AD9725F-1DF8-4732-B623-D56C6934AB3E}"/>
    <cellStyle name="Migliaia 54 5 5 5" xfId="25365" xr:uid="{8B6906FD-4418-4DD3-AF86-3289AA9B9FC8}"/>
    <cellStyle name="Migliaia 54 5 6" xfId="25366" xr:uid="{5BD1A609-074A-45F0-8F7B-31FB4A9229E6}"/>
    <cellStyle name="Migliaia 54 5 6 2" xfId="34561" xr:uid="{A74BF239-7F92-490D-A72F-A16E51A057CD}"/>
    <cellStyle name="Migliaia 54 5 6 2 2" xfId="40186" xr:uid="{51BE24E0-D3BB-475A-B8D8-2DE35F192B43}"/>
    <cellStyle name="Migliaia 54 5 6 2 3" xfId="45488" xr:uid="{DB6F99ED-D842-4630-8A5D-1C97AAF8EF08}"/>
    <cellStyle name="Migliaia 54 5 6 3" xfId="37538" xr:uid="{7C2F89F5-6198-458C-8AFD-94E8423DD277}"/>
    <cellStyle name="Migliaia 54 5 6 4" xfId="42837" xr:uid="{B0D84789-0DC3-41B8-8063-0D1697DC36F4}"/>
    <cellStyle name="Migliaia 54 5 7" xfId="25363" xr:uid="{5B0B4B58-1A71-4429-9976-92ABEFA82967}"/>
    <cellStyle name="Migliaia 54 5 8" xfId="7589" xr:uid="{40C47C47-3A78-4399-99E8-50CD6300399E}"/>
    <cellStyle name="Migliaia 54 6" xfId="3901" xr:uid="{3DA98C7A-D5FA-4A16-BC65-4E8768B409C8}"/>
    <cellStyle name="Migliaia 54 6 2" xfId="5627" xr:uid="{023EDC9D-C211-48AD-8ECF-3218346D0F01}"/>
    <cellStyle name="Migliaia 54 6 2 2" xfId="9979" xr:uid="{60DD57EA-FE0F-4196-A646-910A988D92C9}"/>
    <cellStyle name="Migliaia 54 6 2 3" xfId="18633" xr:uid="{E14AFB5D-F1D3-47CA-A37B-548861080901}"/>
    <cellStyle name="Migliaia 54 6 2 4" xfId="20972" xr:uid="{11752072-3A0B-4751-981C-C72F9A41AA95}"/>
    <cellStyle name="Migliaia 54 6 2 5" xfId="32471" xr:uid="{55A71BD9-7D56-4C47-ADE1-E7A7488CF724}"/>
    <cellStyle name="Migliaia 54 6 2 6" xfId="16792" xr:uid="{65CCCE23-58EB-4577-AFF8-D3BFCD6C2409}"/>
    <cellStyle name="Migliaia 54 6 2 7" xfId="8774" xr:uid="{DC07600E-9AD6-46EE-AE51-B2D1AA6B6704}"/>
    <cellStyle name="Migliaia 54 6 3" xfId="6801" xr:uid="{18E147B5-1E02-4AB3-A5CF-89BD4CFFB87A}"/>
    <cellStyle name="Migliaia 54 6 3 2" xfId="35470" xr:uid="{7E25C101-E88F-409F-9428-790F627E723E}"/>
    <cellStyle name="Migliaia 54 6 3 2 2" xfId="40630" xr:uid="{76418265-6F5F-4FE9-962E-17040DFC0774}"/>
    <cellStyle name="Migliaia 54 6 3 2 3" xfId="45932" xr:uid="{32233185-12ED-4AC3-BC80-66EDD2486D1F}"/>
    <cellStyle name="Migliaia 54 6 3 3" xfId="37979" xr:uid="{B45E2130-DC64-4A80-93EE-2B4B1F6D1055}"/>
    <cellStyle name="Migliaia 54 6 3 4" xfId="43281" xr:uid="{4A3A197C-396D-4F55-9A79-81CEB5FBD516}"/>
    <cellStyle name="Migliaia 54 6 3 5" xfId="9742" xr:uid="{7DF6A874-763B-436C-9CCD-D6BB99014201}"/>
    <cellStyle name="Migliaia 54 6 4" xfId="20971" xr:uid="{38E1B379-1246-48D2-8F5C-10DEE9D5F6AC}"/>
    <cellStyle name="Migliaia 54 6 4 2" xfId="40187" xr:uid="{8D26D1D8-A0C7-41D9-A356-CD0685AA293B}"/>
    <cellStyle name="Migliaia 54 6 4 3" xfId="45489" xr:uid="{7966C7A4-59C8-47AD-A6A4-74A9B41A6B63}"/>
    <cellStyle name="Migliaia 54 6 4 4" xfId="34562" xr:uid="{DF76555D-A8B0-4426-9D2D-A6172DC2EEB3}"/>
    <cellStyle name="Migliaia 54 6 5" xfId="37539" xr:uid="{DC5BACD4-3030-4C3B-83A1-D361C8369E61}"/>
    <cellStyle name="Migliaia 54 6 6" xfId="42838" xr:uid="{46BFC47F-7B3E-4EBB-A160-1B1A82264D53}"/>
    <cellStyle name="Migliaia 54 6 7" xfId="16791" xr:uid="{6835BCAC-CAF1-41F2-81FC-5A175226150D}"/>
    <cellStyle name="Migliaia 54 6 8" xfId="7584" xr:uid="{8D872746-0875-4717-9DA9-FD3B0EE588F1}"/>
    <cellStyle name="Migliaia 54 7" xfId="3902" xr:uid="{4426B53A-057C-442B-9495-FCF499FF1426}"/>
    <cellStyle name="Migliaia 54 7 2" xfId="5628" xr:uid="{C92B0CB2-F3AD-41A0-A555-5CEC7A81421F}"/>
    <cellStyle name="Migliaia 54 7 2 2" xfId="35471" xr:uid="{99D64439-1EB7-46B7-BC04-41321E1E8990}"/>
    <cellStyle name="Migliaia 54 7 2 2 2" xfId="40631" xr:uid="{03F44486-1D0B-4053-9CDF-09A6F727079A}"/>
    <cellStyle name="Migliaia 54 7 2 2 3" xfId="45933" xr:uid="{B1054109-20E9-4299-8855-EF2EA41C575B}"/>
    <cellStyle name="Migliaia 54 7 2 3" xfId="37980" xr:uid="{9DC2AB5A-93EC-4C1D-8501-5034D8EEE3F4}"/>
    <cellStyle name="Migliaia 54 7 2 4" xfId="43282" xr:uid="{23543991-18CC-4815-B105-DA12C4D12D9A}"/>
    <cellStyle name="Migliaia 54 7 2 5" xfId="14326" xr:uid="{E321749C-EC9D-4AD9-A915-997296829F8F}"/>
    <cellStyle name="Migliaia 54 7 3" xfId="6802" xr:uid="{E34355DC-D4A6-4E70-9849-C08D783D784F}"/>
    <cellStyle name="Migliaia 54 7 3 2" xfId="40188" xr:uid="{6430799C-C2E9-4541-ADB9-9FB81AF5AD37}"/>
    <cellStyle name="Migliaia 54 7 3 3" xfId="45490" xr:uid="{CB6BA2CE-0DAF-4BEB-BDDF-EDF4619D814F}"/>
    <cellStyle name="Migliaia 54 7 3 4" xfId="34563" xr:uid="{7457568F-3759-4F6C-BD47-6DCA26813CF8}"/>
    <cellStyle name="Migliaia 54 7 3 5" xfId="20973" xr:uid="{79D5921E-6CA8-4923-A007-F200A6514032}"/>
    <cellStyle name="Migliaia 54 7 4" xfId="37540" xr:uid="{7B9039BA-589F-4C2D-B955-2B60FAE01592}"/>
    <cellStyle name="Migliaia 54 7 5" xfId="42839" xr:uid="{491EB9BC-7A61-4812-984C-BB04059BBF28}"/>
    <cellStyle name="Migliaia 54 7 6" xfId="16793" xr:uid="{3D879971-7EB4-4E4E-B98E-915320A3185C}"/>
    <cellStyle name="Migliaia 54 7 7" xfId="8388" xr:uid="{C5DEA403-20D9-4E15-9534-9A183318713A}"/>
    <cellStyle name="Migliaia 54 8" xfId="3903" xr:uid="{DED0693B-5703-44F9-9821-E307648457A0}"/>
    <cellStyle name="Migliaia 54 8 2" xfId="5629" xr:uid="{21664644-04A8-490D-96C4-6E7971D46CF9}"/>
    <cellStyle name="Migliaia 54 8 2 2" xfId="35472" xr:uid="{C3937A78-B3EC-4BC3-B4AC-BEDE819FFE33}"/>
    <cellStyle name="Migliaia 54 8 2 2 2" xfId="40632" xr:uid="{05413366-063B-401A-BAE1-4A0885CD9C38}"/>
    <cellStyle name="Migliaia 54 8 2 2 3" xfId="45934" xr:uid="{289A064C-D277-4524-AD99-9AC0DC70F524}"/>
    <cellStyle name="Migliaia 54 8 2 3" xfId="37981" xr:uid="{BC54D004-DEBB-4149-9911-9F7546474DA2}"/>
    <cellStyle name="Migliaia 54 8 2 4" xfId="43283" xr:uid="{12BA1F61-B329-4D7A-B569-87FF145E5E15}"/>
    <cellStyle name="Migliaia 54 8 2 5" xfId="14031" xr:uid="{0DB257A9-9C79-4F06-A514-619086121B50}"/>
    <cellStyle name="Migliaia 54 8 3" xfId="6803" xr:uid="{1C04C348-3293-4301-8243-7955B15AF2C2}"/>
    <cellStyle name="Migliaia 54 8 3 2" xfId="40189" xr:uid="{13CBFB61-5ACF-430A-ABF2-2EE6066C636F}"/>
    <cellStyle name="Migliaia 54 8 3 3" xfId="45491" xr:uid="{381B38A9-7BAF-4343-BCAD-BA02AB2DBA59}"/>
    <cellStyle name="Migliaia 54 8 3 4" xfId="34564" xr:uid="{1675E453-A6D3-4313-A305-B3E86B1E67D2}"/>
    <cellStyle name="Migliaia 54 8 3 5" xfId="20974" xr:uid="{79C8D878-B281-4450-B31B-EE9FE9C8383B}"/>
    <cellStyle name="Migliaia 54 8 4" xfId="37541" xr:uid="{C00C4C1F-0165-485B-BC35-CEE9EDB738FE}"/>
    <cellStyle name="Migliaia 54 8 5" xfId="42840" xr:uid="{2A79CB2B-7CAC-4C0A-9BA5-31D192FDB343}"/>
    <cellStyle name="Migliaia 54 8 6" xfId="16794" xr:uid="{87E4543B-4185-4F3F-9255-66E01A32BC1A}"/>
    <cellStyle name="Migliaia 54 8 7" xfId="8018" xr:uid="{D20EABD7-0F83-4149-B2A0-C6E05280CEF8}"/>
    <cellStyle name="Migliaia 54 9" xfId="5614" xr:uid="{C50A4D05-FCFD-4B3A-B060-CBA53189FDDF}"/>
    <cellStyle name="Migliaia 54 9 2" xfId="34565" xr:uid="{BCF5D03E-E813-47DF-B36B-68D0A3269466}"/>
    <cellStyle name="Migliaia 54 9 2 2" xfId="40190" xr:uid="{35566D4E-9B9B-497E-BDB3-2D20153E198E}"/>
    <cellStyle name="Migliaia 54 9 2 3" xfId="45492" xr:uid="{F3B58DE0-5449-4732-A0C0-F4B01325A46D}"/>
    <cellStyle name="Migliaia 54 9 3" xfId="37542" xr:uid="{F863F451-CD05-4321-B982-CA8D122509FA}"/>
    <cellStyle name="Migliaia 54 9 4" xfId="42841" xr:uid="{4268F3FC-78EC-4E60-92F8-DFC70E4B2FFD}"/>
    <cellStyle name="Migliaia 54 9 5" xfId="17233" xr:uid="{282A51AB-6D9E-44C7-91AD-BCA09361662F}"/>
    <cellStyle name="Migliaia 55" xfId="501" xr:uid="{00000000-0005-0000-0000-000081040000}"/>
    <cellStyle name="Migliaia 55 10" xfId="6804" xr:uid="{E3940A7E-CADE-4CA4-BDB2-F2E6CEE202DD}"/>
    <cellStyle name="Migliaia 55 10 2" xfId="40191" xr:uid="{2EB1B0F3-D552-4C88-82C4-598C74544DB1}"/>
    <cellStyle name="Migliaia 55 10 3" xfId="45493" xr:uid="{5B82A805-5ABC-4323-B7B2-DE2E6632CC95}"/>
    <cellStyle name="Migliaia 55 10 4" xfId="34566" xr:uid="{CAEEFDED-527E-4B7D-BCBC-BA8A6099279B}"/>
    <cellStyle name="Migliaia 55 10 5" xfId="20975" xr:uid="{3EC5AD9F-F0A1-40C1-8971-1C07B1039BB7}"/>
    <cellStyle name="Migliaia 55 11" xfId="3904" xr:uid="{22FA0594-8774-4F02-BB76-7784F640A209}"/>
    <cellStyle name="Migliaia 55 11 2" xfId="37543" xr:uid="{643B16ED-FE35-4A5E-9CE4-5678AF61859B}"/>
    <cellStyle name="Migliaia 55 12" xfId="42842" xr:uid="{EDCAECCC-D56E-4C0C-A44E-53EBA31538CC}"/>
    <cellStyle name="Migliaia 55 13" xfId="7192" xr:uid="{F5D78D60-B2F8-4F13-BC2B-9736B5BA143B}"/>
    <cellStyle name="Migliaia 55 2" xfId="502" xr:uid="{00000000-0005-0000-0000-000082040000}"/>
    <cellStyle name="Migliaia 55 2 2" xfId="1906" xr:uid="{00000000-0005-0000-0000-000083040000}"/>
    <cellStyle name="Migliaia 55 2 2 2" xfId="5632" xr:uid="{4C766987-9155-4427-AF94-CAEDAEF78613}"/>
    <cellStyle name="Migliaia 55 2 2 2 2" xfId="14413" xr:uid="{93D862B1-274D-4298-AEC6-5F80F87A7226}"/>
    <cellStyle name="Migliaia 55 2 2 2 2 2" xfId="40192" xr:uid="{9C72B7DA-DFCA-4C3F-A9C8-2918635AF961}"/>
    <cellStyle name="Migliaia 55 2 2 2 2 3" xfId="45494" xr:uid="{E9D65B37-E3E3-497B-99C3-655FFD127F28}"/>
    <cellStyle name="Migliaia 55 2 2 2 3" xfId="18512" xr:uid="{3AE9DCF5-0627-4678-A412-9D411BC0E9F6}"/>
    <cellStyle name="Migliaia 55 2 2 2 4" xfId="20978" xr:uid="{F481EEC0-0817-4DFB-9FE2-8CDD051B7A1C}"/>
    <cellStyle name="Migliaia 55 2 2 2 4 2" xfId="42843" xr:uid="{63B19B28-1F5D-44A9-84D0-73944FCF7662}"/>
    <cellStyle name="Migliaia 55 2 2 2 5" xfId="16795" xr:uid="{CBB16365-96AD-417F-82E8-0EF3B31D2A8F}"/>
    <cellStyle name="Migliaia 55 2 2 2 6" xfId="8781" xr:uid="{58B63780-C13F-4740-B770-76123575383C}"/>
    <cellStyle name="Migliaia 55 2 2 3" xfId="6806" xr:uid="{FCD8F3C3-0AF8-4403-9CE3-63AAFD3CF806}"/>
    <cellStyle name="Migliaia 55 2 2 3 2" xfId="35473" xr:uid="{695D70A3-D55A-47F0-AD45-341241F06F7E}"/>
    <cellStyle name="Migliaia 55 2 2 3 2 2" xfId="40633" xr:uid="{B6C24BE3-0275-4F18-9269-674398CA7327}"/>
    <cellStyle name="Migliaia 55 2 2 3 2 3" xfId="45935" xr:uid="{4D33DBCF-CBF6-4410-A608-ECE1E97B68A1}"/>
    <cellStyle name="Migliaia 55 2 2 3 3" xfId="37982" xr:uid="{8360C039-66CD-4E43-82A8-CCAA949A4AC6}"/>
    <cellStyle name="Migliaia 55 2 2 3 4" xfId="43284" xr:uid="{14F5FC64-49C6-421D-968B-427C4989A725}"/>
    <cellStyle name="Migliaia 55 2 2 3 5" xfId="11640" xr:uid="{B2F353CB-BD3E-4B60-A081-ABA12A6B4656}"/>
    <cellStyle name="Migliaia 55 2 2 4" xfId="3906" xr:uid="{507618F7-D66C-4693-8432-DC1414862180}"/>
    <cellStyle name="Migliaia 55 2 2 4 2" xfId="21618" xr:uid="{9C76D5E0-901C-4A20-93D6-6C85326EA846}"/>
    <cellStyle name="Migliaia 55 2 2 4 3" xfId="47311" xr:uid="{DCEF5511-1E7C-4779-9995-74B9CFE57BB2}"/>
    <cellStyle name="Migliaia 55 2 2 4 4" xfId="50633" xr:uid="{1604B671-43F4-4FBE-96EC-7839EB1A86A1}"/>
    <cellStyle name="Migliaia 55 2 2 4 5" xfId="53649" xr:uid="{ECB871A5-0FE5-4A13-80D5-9C6D2DCC2403}"/>
    <cellStyle name="Migliaia 55 2 2 4 6" xfId="10983" xr:uid="{BA9129A8-08EE-43C4-940C-8CB8E380029E}"/>
    <cellStyle name="Migliaia 55 2 2 5" xfId="20977" xr:uid="{A35BF604-AF08-4CD3-AD18-CF14522D53E5}"/>
    <cellStyle name="Migliaia 55 2 2 6" xfId="25370" xr:uid="{0F54313D-064B-4515-A4A5-1027581E712A}"/>
    <cellStyle name="Migliaia 55 2 2 7" xfId="7591" xr:uid="{E92420E9-49AF-4EEF-8E00-72A5FA99323C}"/>
    <cellStyle name="Migliaia 55 2 3" xfId="3907" xr:uid="{848F5F82-1027-4A77-82CE-98FDBE24628B}"/>
    <cellStyle name="Migliaia 55 2 3 2" xfId="5633" xr:uid="{C083E76F-99BB-41F4-82ED-B377FB2748ED}"/>
    <cellStyle name="Migliaia 55 2 3 2 2" xfId="35474" xr:uid="{522E0B27-E91C-4DC9-ABDD-FD04561EAB49}"/>
    <cellStyle name="Migliaia 55 2 3 2 2 2" xfId="40634" xr:uid="{1559D353-C9B8-4576-9748-BBB7C507EAA5}"/>
    <cellStyle name="Migliaia 55 2 3 2 2 3" xfId="45936" xr:uid="{56A5E6EF-3AE0-4260-817C-B9F14FF49A66}"/>
    <cellStyle name="Migliaia 55 2 3 2 3" xfId="37983" xr:uid="{961ECCD8-434B-41C9-AD07-8A3938D996D6}"/>
    <cellStyle name="Migliaia 55 2 3 2 4" xfId="43285" xr:uid="{313F6D76-324C-4B9B-9EF3-80A7D6FEEE73}"/>
    <cellStyle name="Migliaia 55 2 3 2 5" xfId="14330" xr:uid="{2B90A39B-3B36-4A3B-B984-C1BB3AA6DA2B}"/>
    <cellStyle name="Migliaia 55 2 3 3" xfId="6807" xr:uid="{173B1FCF-431A-465A-A9CF-80D5AC8FA804}"/>
    <cellStyle name="Migliaia 55 2 3 3 2" xfId="40193" xr:uid="{5232CCC9-2C22-423D-9AB4-2F0C8E97E2FB}"/>
    <cellStyle name="Migliaia 55 2 3 3 3" xfId="45495" xr:uid="{D2F05B46-20C3-4C94-9E58-4E844207BD52}"/>
    <cellStyle name="Migliaia 55 2 3 3 4" xfId="34568" xr:uid="{58BAAD28-9831-4EA2-9A5D-4FBBD9FB3ED4}"/>
    <cellStyle name="Migliaia 55 2 3 3 5" xfId="20979" xr:uid="{73A969B7-7700-46FB-8CAB-D30181D24299}"/>
    <cellStyle name="Migliaia 55 2 3 4" xfId="37544" xr:uid="{A7D6E797-9F9B-4822-A7C0-953A0306CAC2}"/>
    <cellStyle name="Migliaia 55 2 3 5" xfId="42844" xr:uid="{EF2B1FC2-772A-46B8-9E80-4FE60524394B}"/>
    <cellStyle name="Migliaia 55 2 3 6" xfId="16796" xr:uid="{DD494CD0-0B73-4DAD-ACDD-E5AD2ACFC8A3}"/>
    <cellStyle name="Migliaia 55 2 3 7" xfId="8392" xr:uid="{7F2421CA-874D-464E-B3A0-E8965346FBBD}"/>
    <cellStyle name="Migliaia 55 2 4" xfId="5631" xr:uid="{2EC4E3CB-C3D0-4BDF-B4F8-DE3D88878DA1}"/>
    <cellStyle name="Migliaia 55 2 4 2" xfId="14035" xr:uid="{AD8CD3F4-9A2A-430F-BA1F-7C3E555CEAA9}"/>
    <cellStyle name="Migliaia 55 2 4 2 2" xfId="40194" xr:uid="{86C39661-39AA-4DB2-A67D-FFCE23D6CE80}"/>
    <cellStyle name="Migliaia 55 2 4 2 3" xfId="45496" xr:uid="{7E4EF1C0-20D2-4CA6-85C0-4BC1986AEA23}"/>
    <cellStyle name="Migliaia 55 2 4 3" xfId="18293" xr:uid="{F8D7E3DB-CD11-4363-BCFC-96B81FDEC24C}"/>
    <cellStyle name="Migliaia 55 2 4 4" xfId="20980" xr:uid="{F04E92C1-DAB5-42A7-802A-A295DB93E85A}"/>
    <cellStyle name="Migliaia 55 2 4 4 2" xfId="42845" xr:uid="{A7B7BD88-0C2E-4B2C-941E-A1A7FBC44F05}"/>
    <cellStyle name="Migliaia 55 2 4 5" xfId="16797" xr:uid="{8EDEE769-D3F6-4471-8F6F-9BC7F54CD609}"/>
    <cellStyle name="Migliaia 55 2 4 6" xfId="8023" xr:uid="{D97D9655-4FBB-44A6-8D38-64C7D3DEC85F}"/>
    <cellStyle name="Migliaia 55 2 5" xfId="6805" xr:uid="{AE568A93-6F72-46F1-8614-D38A7AB05C37}"/>
    <cellStyle name="Migliaia 55 2 5 2" xfId="34570" xr:uid="{6A79FF8E-E657-4786-ADED-12B7F7E0A970}"/>
    <cellStyle name="Migliaia 55 2 5 2 2" xfId="40195" xr:uid="{9AC389E4-46CD-408C-BE36-D12E13911A1A}"/>
    <cellStyle name="Migliaia 55 2 5 2 3" xfId="45497" xr:uid="{A2325837-15CC-48C3-9CFC-4B30B4A68F4D}"/>
    <cellStyle name="Migliaia 55 2 5 3" xfId="37546" xr:uid="{67EC1073-2ED3-473E-A751-EF945DBE9B1A}"/>
    <cellStyle name="Migliaia 55 2 5 4" xfId="42846" xr:uid="{FF904C41-5A10-461C-B2BC-4A45E920D46E}"/>
    <cellStyle name="Migliaia 55 2 5 5" xfId="13153" xr:uid="{C7BB8B47-0204-47FE-9A32-8B08B7430D90}"/>
    <cellStyle name="Migliaia 55 2 6" xfId="3905" xr:uid="{919169A5-6FC2-45A7-A963-F38FF65420B4}"/>
    <cellStyle name="Migliaia 55 2 6 2" xfId="34571" xr:uid="{F6007E9D-5BC8-4E2C-992E-8887F8F4C34E}"/>
    <cellStyle name="Migliaia 55 2 6 2 2" xfId="40196" xr:uid="{6103F003-69E2-4BE8-B572-AC7A554D8FE3}"/>
    <cellStyle name="Migliaia 55 2 6 2 3" xfId="45498" xr:uid="{1DB09E36-4753-4E4A-8B29-3430939D3E87}"/>
    <cellStyle name="Migliaia 55 2 6 3" xfId="37547" xr:uid="{3E25053D-DB1D-455A-95B7-FFBE4B2CD2C5}"/>
    <cellStyle name="Migliaia 55 2 6 4" xfId="42847" xr:uid="{C3661C26-DB81-433A-A7D3-D9E3D389BB35}"/>
    <cellStyle name="Migliaia 55 2 6 5" xfId="25374" xr:uid="{DD21DBC7-9DBC-4C6E-AE6C-4D24743F7825}"/>
    <cellStyle name="Migliaia 55 2 6 6" xfId="20976" xr:uid="{F7D5876B-987B-4DC0-B67C-D38767ABD674}"/>
    <cellStyle name="Migliaia 55 2 7" xfId="25369" xr:uid="{FCCC4686-7854-431C-BB57-F01CA546AF29}"/>
    <cellStyle name="Migliaia 55 2 8" xfId="7193" xr:uid="{A70A4F56-3C9B-4C3D-B342-E38F34926C39}"/>
    <cellStyle name="Migliaia 55 3" xfId="503" xr:uid="{00000000-0005-0000-0000-000084040000}"/>
    <cellStyle name="Migliaia 55 3 10" xfId="25375" xr:uid="{0646606F-E08C-42BE-9BD7-E1EC58A2249A}"/>
    <cellStyle name="Migliaia 55 3 11" xfId="16798" xr:uid="{45EE3A7D-A519-47C9-8736-E71E7450946F}"/>
    <cellStyle name="Migliaia 55 3 12" xfId="7194" xr:uid="{6EBA4699-0D5A-469F-AC74-736E5D604DBA}"/>
    <cellStyle name="Migliaia 55 3 2" xfId="504" xr:uid="{00000000-0005-0000-0000-000085040000}"/>
    <cellStyle name="Migliaia 55 3 2 2" xfId="1907" xr:uid="{00000000-0005-0000-0000-000086040000}"/>
    <cellStyle name="Migliaia 55 3 2 2 2" xfId="5636" xr:uid="{6A841434-B074-4C06-A730-2ADB165F28D8}"/>
    <cellStyle name="Migliaia 55 3 2 2 2 2" xfId="18513" xr:uid="{EEC5068B-DB4B-4FF0-A120-F6C5462D22EE}"/>
    <cellStyle name="Migliaia 55 3 2 2 2 2 2" xfId="21891" xr:uid="{298B10F1-142D-43AC-B896-7227DE15B0D7}"/>
    <cellStyle name="Migliaia 55 3 2 2 2 2 2 2" xfId="40197" xr:uid="{2B45219A-8250-4477-B0DD-43F4047C253F}"/>
    <cellStyle name="Migliaia 55 3 2 2 2 2 3" xfId="45499" xr:uid="{898EEF21-AD26-421C-9E11-D4E02D102F43}"/>
    <cellStyle name="Migliaia 55 3 2 2 2 2 4" xfId="34572" xr:uid="{12409069-EBAA-4087-8028-19521E8D9820}"/>
    <cellStyle name="Migliaia 55 3 2 2 2 3" xfId="37548" xr:uid="{7988B6D5-D53B-4512-B55B-64D20A8957FF}"/>
    <cellStyle name="Migliaia 55 3 2 2 2 4" xfId="42848" xr:uid="{14E6E797-8A04-42FC-8938-DAF5A4474227}"/>
    <cellStyle name="Migliaia 55 3 2 2 2 5" xfId="46303" xr:uid="{7CE81974-2906-42CE-AE0F-DF95C1138EBC}"/>
    <cellStyle name="Migliaia 55 3 2 2 2 6" xfId="50919" xr:uid="{09D2FEAB-5BB2-4240-9490-03428FC308D4}"/>
    <cellStyle name="Migliaia 55 3 2 2 2 7" xfId="53935" xr:uid="{1DF49E30-B5F7-4AE4-BEE1-DD842CE03630}"/>
    <cellStyle name="Migliaia 55 3 2 2 2 8" xfId="17690" xr:uid="{303DDD4B-21C0-485A-9D15-578EFD0748CD}"/>
    <cellStyle name="Migliaia 55 3 2 2 2 9" xfId="12087" xr:uid="{31439D85-39BF-436E-8412-FCAD2B957A7C}"/>
    <cellStyle name="Migliaia 55 3 2 2 3" xfId="6810" xr:uid="{0A8D8CF9-0ABF-4A0F-84AF-37DB7E454446}"/>
    <cellStyle name="Migliaia 55 3 2 2 3 2" xfId="11160" xr:uid="{41A08041-2C60-4525-B1DA-F66933CC3E39}"/>
    <cellStyle name="Migliaia 55 3 2 2 4" xfId="3910" xr:uid="{E1947028-A1A6-46AB-B84E-BE4A8E66602A}"/>
    <cellStyle name="Migliaia 55 3 2 2 4 2" xfId="21619" xr:uid="{D74678A5-A1C8-4F6A-9859-03FFE548A14F}"/>
    <cellStyle name="Migliaia 55 3 2 2 4 3" xfId="46262" xr:uid="{E2AC118C-A55B-4A0E-9945-92BF437DDDA5}"/>
    <cellStyle name="Migliaia 55 3 2 2 4 4" xfId="50634" xr:uid="{AF85A9AB-2FB2-4DA5-84AB-D85134215286}"/>
    <cellStyle name="Migliaia 55 3 2 2 4 5" xfId="53650" xr:uid="{696D45D8-73C8-4701-9AA2-4DA328C573AF}"/>
    <cellStyle name="Migliaia 55 3 2 2 4 6" xfId="10984" xr:uid="{C5EDB4A3-E503-4D15-852B-1E8CBC39289F}"/>
    <cellStyle name="Migliaia 55 3 2 2 5" xfId="20983" xr:uid="{C2E2C896-24A0-4208-91C2-908CF67A588D}"/>
    <cellStyle name="Migliaia 55 3 2 2 6" xfId="25377" xr:uid="{9C06707D-A845-4F7F-A888-93F1E48A8E82}"/>
    <cellStyle name="Migliaia 55 3 2 2 7" xfId="8783" xr:uid="{BBCD92A8-92E5-4C18-B60D-4D839171512F}"/>
    <cellStyle name="Migliaia 55 3 2 3" xfId="5635" xr:uid="{77F56CB2-C01B-4315-9C4A-3DF0652ED184}"/>
    <cellStyle name="Migliaia 55 3 2 3 2" xfId="12397" xr:uid="{3ABBBF6D-6303-4145-8E12-2EB95CC564B2}"/>
    <cellStyle name="Migliaia 55 3 2 3 2 2" xfId="40198" xr:uid="{B0F8F8B2-9F00-48BB-AC81-4D3D4FCC0173}"/>
    <cellStyle name="Migliaia 55 3 2 3 2 3" xfId="45500" xr:uid="{B40C2EAE-DA3A-4AD6-8E8C-3147F33B05AF}"/>
    <cellStyle name="Migliaia 55 3 2 3 2 4" xfId="34573" xr:uid="{9445C6C0-48A0-410A-B230-71F2C2AD7D4F}"/>
    <cellStyle name="Migliaia 55 3 2 3 3" xfId="12088" xr:uid="{556F2D03-8B45-40A7-9612-80696D6F192C}"/>
    <cellStyle name="Migliaia 55 3 2 3 4" xfId="20984" xr:uid="{68E8301B-EADC-48CB-B4A5-0D74339F86FF}"/>
    <cellStyle name="Migliaia 55 3 2 3 4 2" xfId="42849" xr:uid="{047E71F4-AB51-480D-9CB0-4D9E95809211}"/>
    <cellStyle name="Migliaia 55 3 2 3 5" xfId="16799" xr:uid="{381B881C-B250-427D-B248-ADD2E8D9D5F2}"/>
    <cellStyle name="Migliaia 55 3 2 3 6" xfId="8025" xr:uid="{A6FA3C20-6FF4-4F78-8DFB-20340843A120}"/>
    <cellStyle name="Migliaia 55 3 2 4" xfId="6809" xr:uid="{1FF26294-F428-471E-9B1A-42ADE5D787D7}"/>
    <cellStyle name="Migliaia 55 3 2 4 2" xfId="18107" xr:uid="{F279D268-AE90-4E12-BE56-0B71DA264B40}"/>
    <cellStyle name="Migliaia 55 3 2 4 2 2" xfId="40199" xr:uid="{853B8F2F-9CA4-49FA-9933-108417C703CB}"/>
    <cellStyle name="Migliaia 55 3 2 4 2 3" xfId="45501" xr:uid="{8EF1FD63-E27A-4E90-A7D5-A6FBC403F71B}"/>
    <cellStyle name="Migliaia 55 3 2 4 3" xfId="37550" xr:uid="{49449D1B-C3BF-40E3-8D26-663DB534C6F7}"/>
    <cellStyle name="Migliaia 55 3 2 4 4" xfId="42850" xr:uid="{1A0290AE-56D7-4A22-BD6C-DE4BC16BAD70}"/>
    <cellStyle name="Migliaia 55 3 2 4 5" xfId="17236" xr:uid="{BF4C4CF7-549A-4437-A2CA-31D7AC9468CE}"/>
    <cellStyle name="Migliaia 55 3 2 4 6" xfId="11440" xr:uid="{C9D1F8A7-C854-4754-9CA9-21C4F11B7C46}"/>
    <cellStyle name="Migliaia 55 3 2 5" xfId="3909" xr:uid="{B0EA70C2-9255-4EBA-8126-61DDE8A4B67F}"/>
    <cellStyle name="Migliaia 55 3 2 5 2" xfId="34575" xr:uid="{6F8F4325-A66A-4ADA-A7DA-0DA178F9FED5}"/>
    <cellStyle name="Migliaia 55 3 2 5 2 2" xfId="40200" xr:uid="{7C06E378-5AFE-4D94-B13A-EFA4FD305575}"/>
    <cellStyle name="Migliaia 55 3 2 5 2 3" xfId="45502" xr:uid="{CE317586-2AEC-444F-A316-AEFAEAEF67A5}"/>
    <cellStyle name="Migliaia 55 3 2 5 3" xfId="37551" xr:uid="{0C98FF5B-F272-4731-B4C9-FCD396DD8509}"/>
    <cellStyle name="Migliaia 55 3 2 5 4" xfId="42851" xr:uid="{99F18999-C35D-4AFA-8737-25F41B330384}"/>
    <cellStyle name="Migliaia 55 3 2 5 5" xfId="17276" xr:uid="{BBBF5C0B-2D30-4598-9DA0-8EE794892A32}"/>
    <cellStyle name="Migliaia 55 3 2 6" xfId="20982" xr:uid="{E50D25EF-BDB1-4617-8C24-B4F5E434D980}"/>
    <cellStyle name="Migliaia 55 3 2 6 2" xfId="34576" xr:uid="{BFF76A9B-98B8-41D1-A213-6CF59EFF87F7}"/>
    <cellStyle name="Migliaia 55 3 2 6 2 2" xfId="40201" xr:uid="{57B893BF-D37F-44DE-89FF-5AFFA5BA16C3}"/>
    <cellStyle name="Migliaia 55 3 2 6 2 3" xfId="45503" xr:uid="{EEE387A2-DC7D-455D-86BF-13E9E32DFE23}"/>
    <cellStyle name="Migliaia 55 3 2 6 3" xfId="37552" xr:uid="{E446CB16-F3BE-41D5-B952-22A92ABA5803}"/>
    <cellStyle name="Migliaia 55 3 2 6 4" xfId="42852" xr:uid="{8C57507E-37ED-45BA-BC3D-BE6202903317}"/>
    <cellStyle name="Migliaia 55 3 2 6 5" xfId="25381" xr:uid="{71D39C39-A835-4514-AD0B-1724807CF351}"/>
    <cellStyle name="Migliaia 55 3 2 7" xfId="25376" xr:uid="{3483A1FE-C1D1-4141-BD98-11406D9DE80C}"/>
    <cellStyle name="Migliaia 55 3 2 8" xfId="7593" xr:uid="{076F621F-45AC-41A7-A91A-10A35A849201}"/>
    <cellStyle name="Migliaia 55 3 3" xfId="3911" xr:uid="{9255E58F-4468-4263-ABB8-33C46546CA74}"/>
    <cellStyle name="Migliaia 55 3 3 10" xfId="7592" xr:uid="{116C633F-62B6-400C-BD31-B0656F6993CB}"/>
    <cellStyle name="Migliaia 55 3 3 2" xfId="5637" xr:uid="{196578B0-4A88-4F2A-B83D-1F6C15965A26}"/>
    <cellStyle name="Migliaia 55 3 3 2 2" xfId="9982" xr:uid="{A362FCF2-B8E1-4825-97A5-63292B03FF11}"/>
    <cellStyle name="Migliaia 55 3 3 2 2 2" xfId="40203" xr:uid="{A6A472EA-3943-4317-BB99-A97EF4115BC8}"/>
    <cellStyle name="Migliaia 55 3 3 2 2 3" xfId="45505" xr:uid="{2EAC5980-304A-4C9F-8A08-6E4194578595}"/>
    <cellStyle name="Migliaia 55 3 3 2 3" xfId="18262" xr:uid="{ADE6016B-3CC2-4628-8016-BF0607AB0D8E}"/>
    <cellStyle name="Migliaia 55 3 3 2 4" xfId="20986" xr:uid="{B723CF73-5FA3-4D60-9F18-A3A7FFEE655A}"/>
    <cellStyle name="Migliaia 55 3 3 2 4 2" xfId="42854" xr:uid="{A1FABF22-1726-48C5-9ABC-E533B1D1EE92}"/>
    <cellStyle name="Migliaia 55 3 3 2 5" xfId="16801" xr:uid="{0B86F84A-23DD-48AF-8784-1EB2D1DA6497}"/>
    <cellStyle name="Migliaia 55 3 3 2 6" xfId="8782" xr:uid="{061861A5-7B76-441E-88CE-7C3133A04A79}"/>
    <cellStyle name="Migliaia 55 3 3 3" xfId="6811" xr:uid="{3C135A71-9572-44B6-BE3A-224908A75108}"/>
    <cellStyle name="Migliaia 55 3 3 3 2" xfId="34578" xr:uid="{2EC135D4-A679-4912-9E6D-75082448607A}"/>
    <cellStyle name="Migliaia 55 3 3 3 2 2" xfId="40204" xr:uid="{75FE121F-4315-48FF-B4B0-26CBDB23A48F}"/>
    <cellStyle name="Migliaia 55 3 3 3 2 3" xfId="45506" xr:uid="{EB640B28-2924-4A28-9F81-FEA58BD6D8CD}"/>
    <cellStyle name="Migliaia 55 3 3 3 3" xfId="37554" xr:uid="{B462CF39-1233-48CD-8AC9-DE205A648FC4}"/>
    <cellStyle name="Migliaia 55 3 3 3 4" xfId="42855" xr:uid="{0416076A-C639-4CB1-BD47-E41DBE36A2C3}"/>
    <cellStyle name="Migliaia 55 3 3 3 5" xfId="9745" xr:uid="{8E3FD908-8FF4-4581-AE91-4ACEC8692623}"/>
    <cellStyle name="Migliaia 55 3 3 4" xfId="20985" xr:uid="{D7C9F462-807F-4CAD-B864-8BB3AC3D9832}"/>
    <cellStyle name="Migliaia 55 3 3 4 2" xfId="34579" xr:uid="{55CFD539-8C27-4CEB-BF29-849D9F727BE7}"/>
    <cellStyle name="Migliaia 55 3 3 4 2 2" xfId="40205" xr:uid="{5BFC5EB5-E49A-42B1-BB4A-C4F4D3F8FBDA}"/>
    <cellStyle name="Migliaia 55 3 3 4 2 3" xfId="45507" xr:uid="{A9DC0788-7584-489E-8495-2C0E8BE0A95B}"/>
    <cellStyle name="Migliaia 55 3 3 4 3" xfId="37555" xr:uid="{B2DBF20B-AD8A-4405-A1CA-9FF364298C87}"/>
    <cellStyle name="Migliaia 55 3 3 4 4" xfId="42856" xr:uid="{0BBFF184-5987-42F0-BFB7-B26B40745363}"/>
    <cellStyle name="Migliaia 55 3 3 4 5" xfId="25384" xr:uid="{CB6FF33C-227E-4DA1-9E6F-48FFFD9141D6}"/>
    <cellStyle name="Migliaia 55 3 3 5" xfId="25385" xr:uid="{D1872521-5A77-47CF-830F-DB137E2038D2}"/>
    <cellStyle name="Migliaia 55 3 3 5 2" xfId="34580" xr:uid="{A6CC42B7-1056-445C-B721-2AFE4E12F231}"/>
    <cellStyle name="Migliaia 55 3 3 5 2 2" xfId="40206" xr:uid="{24CB43C5-5C27-4A51-8637-8FE19898277E}"/>
    <cellStyle name="Migliaia 55 3 3 5 2 3" xfId="45508" xr:uid="{7BED2E48-A8EA-497F-BDB7-5565D054AFB6}"/>
    <cellStyle name="Migliaia 55 3 3 5 3" xfId="37556" xr:uid="{7AC437FE-4F3F-44AB-AE9C-0694959C8D8A}"/>
    <cellStyle name="Migliaia 55 3 3 5 4" xfId="42857" xr:uid="{16346721-9140-4338-BB03-0F117481A1D2}"/>
    <cellStyle name="Migliaia 55 3 3 6" xfId="34577" xr:uid="{56EBC3F5-77C7-453E-8516-13399DA45F49}"/>
    <cellStyle name="Migliaia 55 3 3 6 2" xfId="40202" xr:uid="{7C43D8D3-807E-48AB-A76B-3839F83BD6B9}"/>
    <cellStyle name="Migliaia 55 3 3 6 3" xfId="45504" xr:uid="{333AECEF-0A6A-454D-9283-E67A4E7DB596}"/>
    <cellStyle name="Migliaia 55 3 3 7" xfId="37553" xr:uid="{CDE8E310-0072-4F6C-9BF6-05C413E3B3A4}"/>
    <cellStyle name="Migliaia 55 3 3 8" xfId="42853" xr:uid="{BC72A8EB-832B-4BB2-AB7E-DAF21CF7C173}"/>
    <cellStyle name="Migliaia 55 3 3 9" xfId="16800" xr:uid="{099EE925-8BBA-464D-8519-78BEAA5C5766}"/>
    <cellStyle name="Migliaia 55 3 4" xfId="3912" xr:uid="{99B7466E-CA48-4801-8D3D-2F0DD77935DD}"/>
    <cellStyle name="Migliaia 55 3 4 2" xfId="5638" xr:uid="{367D349C-ADD5-4BC6-BB2A-D5D841ED5B36}"/>
    <cellStyle name="Migliaia 55 3 4 2 2" xfId="14473" xr:uid="{5CE0C87F-07DA-4980-9437-489F97FD94FC}"/>
    <cellStyle name="Migliaia 55 3 4 2 3" xfId="18627" xr:uid="{293954EF-66F9-4392-BD95-95E8F2EFFEAD}"/>
    <cellStyle name="Migliaia 55 3 4 2 4" xfId="20988" xr:uid="{ACCF6EAD-A8F8-4493-ACB2-9A77CDDFC385}"/>
    <cellStyle name="Migliaia 55 3 4 2 5" xfId="32475" xr:uid="{27EBAEA7-C21C-49DE-836F-0C72615F48B7}"/>
    <cellStyle name="Migliaia 55 3 4 2 6" xfId="16803" xr:uid="{BFD8819A-1D07-4AA9-B224-F4205F4F8072}"/>
    <cellStyle name="Migliaia 55 3 4 2 7" xfId="8896" xr:uid="{0978A180-270C-4BED-BB25-F8E020B8DA7F}"/>
    <cellStyle name="Migliaia 55 3 4 3" xfId="6812" xr:uid="{60643042-20DF-49D9-A654-B46FCCDBE2E7}"/>
    <cellStyle name="Migliaia 55 3 4 3 2" xfId="35475" xr:uid="{27EE0903-B4D3-4E5B-8C2D-DCB060115872}"/>
    <cellStyle name="Migliaia 55 3 4 3 2 2" xfId="40635" xr:uid="{B9B0446E-A98C-4F97-8706-DA97F194E029}"/>
    <cellStyle name="Migliaia 55 3 4 3 2 3" xfId="45937" xr:uid="{5FBFC90C-E47A-457C-8745-DBA2311C2C13}"/>
    <cellStyle name="Migliaia 55 3 4 3 3" xfId="37984" xr:uid="{3AF3D6E4-675B-41B4-B67E-EC281BBF4999}"/>
    <cellStyle name="Migliaia 55 3 4 3 4" xfId="43286" xr:uid="{DEF39060-53B4-4B0F-BA01-52D516E773EC}"/>
    <cellStyle name="Migliaia 55 3 4 3 5" xfId="13721" xr:uid="{4483FD7E-FB53-46C3-969E-274FE53EA5E7}"/>
    <cellStyle name="Migliaia 55 3 4 4" xfId="20987" xr:uid="{DA0F97CB-1DC2-44F3-B656-9D4DBF4390C0}"/>
    <cellStyle name="Migliaia 55 3 4 4 2" xfId="40207" xr:uid="{87BE6592-90C5-434A-BA7F-94A99531A1DF}"/>
    <cellStyle name="Migliaia 55 3 4 4 3" xfId="45509" xr:uid="{5857B4F6-FA29-48A7-93EE-ADFD04BB75EB}"/>
    <cellStyle name="Migliaia 55 3 4 4 4" xfId="34581" xr:uid="{C846795F-1846-4E32-93E7-C80645D19AAF}"/>
    <cellStyle name="Migliaia 55 3 4 5" xfId="37557" xr:uid="{2EFFE3C7-1951-45C8-B0A9-42452F770D9F}"/>
    <cellStyle name="Migliaia 55 3 4 6" xfId="42858" xr:uid="{FC638A2C-3855-4A69-A991-B4ADC1EBCC08}"/>
    <cellStyle name="Migliaia 55 3 4 7" xfId="16802" xr:uid="{9A1B3F7F-5851-41EE-AD06-DA24D5A13B3F}"/>
    <cellStyle name="Migliaia 55 3 4 8" xfId="7706" xr:uid="{9C5F6942-498A-44C3-936F-445D33CFB96B}"/>
    <cellStyle name="Migliaia 55 3 5" xfId="3913" xr:uid="{6922E324-EAB3-4F4C-936F-5622583A8794}"/>
    <cellStyle name="Migliaia 55 3 5 2" xfId="5639" xr:uid="{34BED136-306C-487F-A9DA-8C987BE2A58C}"/>
    <cellStyle name="Migliaia 55 3 5 2 2" xfId="35476" xr:uid="{77737E18-4FC2-475C-ABBF-29E8D7C0141E}"/>
    <cellStyle name="Migliaia 55 3 5 2 2 2" xfId="40636" xr:uid="{B511CD8D-50B1-4233-9B99-F907487DAA74}"/>
    <cellStyle name="Migliaia 55 3 5 2 2 3" xfId="45938" xr:uid="{56B5AF23-0402-42FD-A283-BAD993BD019F}"/>
    <cellStyle name="Migliaia 55 3 5 2 3" xfId="37985" xr:uid="{51E33E9A-66D0-4DCE-944C-4184BBB9A8A1}"/>
    <cellStyle name="Migliaia 55 3 5 2 4" xfId="43287" xr:uid="{D5EDAD78-0380-47E9-B5B1-6280E2A6C93D}"/>
    <cellStyle name="Migliaia 55 3 5 2 5" xfId="14331" xr:uid="{808EC9A3-3E2C-4A38-9B93-F87EC477C920}"/>
    <cellStyle name="Migliaia 55 3 5 3" xfId="6813" xr:uid="{4E8DB34B-DCF4-4E01-B408-FA2998C794FD}"/>
    <cellStyle name="Migliaia 55 3 5 3 2" xfId="40208" xr:uid="{7E3BE2E4-7117-490E-BB48-A3BB4262440A}"/>
    <cellStyle name="Migliaia 55 3 5 3 3" xfId="45510" xr:uid="{81C84D87-E883-4FF9-9DE7-54C22E3745B6}"/>
    <cellStyle name="Migliaia 55 3 5 3 4" xfId="34582" xr:uid="{6F850F61-DA03-4E42-BB7C-64A28870EE99}"/>
    <cellStyle name="Migliaia 55 3 5 3 5" xfId="20989" xr:uid="{E6062D97-CD87-4C51-A2F5-39E21F2CB430}"/>
    <cellStyle name="Migliaia 55 3 5 4" xfId="37558" xr:uid="{2DE5CDD9-8D35-4DE2-8C5E-D480400E19C6}"/>
    <cellStyle name="Migliaia 55 3 5 5" xfId="42859" xr:uid="{8266CE64-B85E-4A2C-A141-34BC541D201B}"/>
    <cellStyle name="Migliaia 55 3 5 6" xfId="16804" xr:uid="{D95E44C5-6713-4AB2-965C-67A85A775C93}"/>
    <cellStyle name="Migliaia 55 3 5 7" xfId="8393" xr:uid="{7536B452-D3C3-43D9-8695-03D08D5214ED}"/>
    <cellStyle name="Migliaia 55 3 6" xfId="5634" xr:uid="{67953C8A-CF09-4BBE-A47E-F64B3C941433}"/>
    <cellStyle name="Migliaia 55 3 6 2" xfId="14036" xr:uid="{01B29F5B-E6A5-4481-BD13-E77345D21B49}"/>
    <cellStyle name="Migliaia 55 3 6 2 2" xfId="40209" xr:uid="{A05DFD81-FFDC-4D2E-B97C-D053577B9AE7}"/>
    <cellStyle name="Migliaia 55 3 6 2 3" xfId="45511" xr:uid="{BC9AC502-77BF-4CF5-AA86-CC7D1ADD3DC3}"/>
    <cellStyle name="Migliaia 55 3 6 3" xfId="18028" xr:uid="{6A2CCA05-1589-4236-B6E0-16962A77C92F}"/>
    <cellStyle name="Migliaia 55 3 6 4" xfId="20990" xr:uid="{128F828A-3C5E-46CB-837F-D46B4C60F895}"/>
    <cellStyle name="Migliaia 55 3 6 4 2" xfId="42860" xr:uid="{3C860434-0BF7-4569-80F3-4B6E7217434C}"/>
    <cellStyle name="Migliaia 55 3 6 5" xfId="16805" xr:uid="{7BF990E5-6177-4B0D-9EBC-C2CD03379B91}"/>
    <cellStyle name="Migliaia 55 3 6 6" xfId="8024" xr:uid="{EDFE1031-73F6-4E9C-9D44-7D9707E0E536}"/>
    <cellStyle name="Migliaia 55 3 7" xfId="6808" xr:uid="{A531D3A5-2A36-47F0-8F32-756A4A55D6CB}"/>
    <cellStyle name="Migliaia 55 3 7 2" xfId="34583" xr:uid="{958DBD64-D1ED-406B-BAB8-86664BD32BAB}"/>
    <cellStyle name="Migliaia 55 3 7 2 2" xfId="40210" xr:uid="{C797C2DD-C76A-45C1-B8EF-B9EB03087274}"/>
    <cellStyle name="Migliaia 55 3 7 2 3" xfId="45512" xr:uid="{0F5FA8B1-57E6-4A7C-99F2-2A9B5C0759DA}"/>
    <cellStyle name="Migliaia 55 3 7 3" xfId="37559" xr:uid="{F381E36D-0795-4385-A49B-083EA3AE06DA}"/>
    <cellStyle name="Migliaia 55 3 7 4" xfId="42861" xr:uid="{8F9DE9CE-0CBC-4B10-A557-56CDCCA1C7E1}"/>
    <cellStyle name="Migliaia 55 3 7 5" xfId="11530" xr:uid="{C256E8FF-7DF3-47D5-8A65-C0A7EC80705E}"/>
    <cellStyle name="Migliaia 55 3 8" xfId="3908" xr:uid="{3311BBE6-AC94-499B-8C8C-9D03E2301C52}"/>
    <cellStyle name="Migliaia 55 3 8 2" xfId="34584" xr:uid="{83D5296F-7DB7-4C4B-AD90-1F9527DB5B00}"/>
    <cellStyle name="Migliaia 55 3 8 2 2" xfId="40211" xr:uid="{772C71BD-8190-48D6-8C6D-999C64F19DEF}"/>
    <cellStyle name="Migliaia 55 3 8 2 3" xfId="45513" xr:uid="{63584658-3501-4A96-92F6-8277EE6E8C70}"/>
    <cellStyle name="Migliaia 55 3 8 3" xfId="37560" xr:uid="{89995513-02CD-4F08-B7BB-A6F814A53B75}"/>
    <cellStyle name="Migliaia 55 3 8 4" xfId="42862" xr:uid="{4E20C3AB-CFA1-4D64-AD4C-F36E44FEE706}"/>
    <cellStyle name="Migliaia 55 3 8 5" xfId="25386" xr:uid="{F2F5976A-A0DD-4868-BE68-99E6ADE00007}"/>
    <cellStyle name="Migliaia 55 3 8 6" xfId="17277" xr:uid="{3F57A1C6-1873-4FD0-A0F5-04845C710ADE}"/>
    <cellStyle name="Migliaia 55 3 9" xfId="20981" xr:uid="{07235F05-AA66-42B5-9A28-4868D807DC71}"/>
    <cellStyle name="Migliaia 55 4" xfId="1908" xr:uid="{00000000-0005-0000-0000-000087040000}"/>
    <cellStyle name="Migliaia 55 4 2" xfId="1909" xr:uid="{00000000-0005-0000-0000-000088040000}"/>
    <cellStyle name="Migliaia 55 4 2 2" xfId="5641" xr:uid="{B2DBABBD-237A-42C9-849C-9D06A93D1754}"/>
    <cellStyle name="Migliaia 55 4 2 2 2" xfId="34585" xr:uid="{13537B7D-2FF2-4C47-9767-F71FE85BAFF1}"/>
    <cellStyle name="Migliaia 55 4 2 2 2 2" xfId="40212" xr:uid="{4D802685-43B5-4B6C-8A5C-170CD26FA49C}"/>
    <cellStyle name="Migliaia 55 4 2 2 2 3" xfId="45514" xr:uid="{692F76F4-9E42-415A-9FBD-5EA0920744C0}"/>
    <cellStyle name="Migliaia 55 4 2 2 3" xfId="37561" xr:uid="{00C4F504-1795-4426-85DF-DC73D6C061A9}"/>
    <cellStyle name="Migliaia 55 4 2 2 4" xfId="42863" xr:uid="{66CF423F-476D-4F2D-85F4-2EA29D69C513}"/>
    <cellStyle name="Migliaia 55 4 2 2 5" xfId="9208" xr:uid="{120E18D5-D6A0-42A9-AF88-B33644A984FE}"/>
    <cellStyle name="Migliaia 55 4 2 3" xfId="3915" xr:uid="{300E1853-4EF6-4F8B-BC06-29D0137C1369}"/>
    <cellStyle name="Migliaia 55 4 2 3 2" xfId="34586" xr:uid="{621A8FF5-8AC5-41F8-B794-4892E0C71F30}"/>
    <cellStyle name="Migliaia 55 4 2 3 2 2" xfId="40213" xr:uid="{3C2EC94C-3465-4041-97FE-F7DC63A57D3D}"/>
    <cellStyle name="Migliaia 55 4 2 3 2 3" xfId="45515" xr:uid="{56268BA8-21C9-4860-B3C5-71A7219C667F}"/>
    <cellStyle name="Migliaia 55 4 2 3 3" xfId="37562" xr:uid="{38151F45-9318-4E7F-8FBA-7AA78D103A20}"/>
    <cellStyle name="Migliaia 55 4 2 3 4" xfId="42864" xr:uid="{CBC6475B-0A76-4C40-B2C2-36AD7DF813B1}"/>
    <cellStyle name="Migliaia 55 4 2 3 5" xfId="12089" xr:uid="{E70FCFB4-1ABC-4DAD-9C5B-BC5C4A293C24}"/>
    <cellStyle name="Migliaia 55 4 2 4" xfId="11442" xr:uid="{527FD100-D1DA-4A3E-BDDC-7481B3BCC28E}"/>
    <cellStyle name="Migliaia 55 4 2 5" xfId="10986" xr:uid="{DD6C642E-628F-43CC-87F9-9A331DCE794E}"/>
    <cellStyle name="Migliaia 55 4 2 5 2" xfId="21621" xr:uid="{2F5D1590-6F07-41FA-8508-AD0ED22EC4F7}"/>
    <cellStyle name="Migliaia 55 4 2 5 3" xfId="47515" xr:uid="{67D383AB-A265-425D-9574-9AB44306FE5C}"/>
    <cellStyle name="Migliaia 55 4 2 5 4" xfId="50636" xr:uid="{FF233458-F1E2-4D1F-8C40-FB9E47DB0E02}"/>
    <cellStyle name="Migliaia 55 4 2 5 5" xfId="53652" xr:uid="{7DB18688-2759-46D9-ABEC-FDC5AEF395D7}"/>
    <cellStyle name="Migliaia 55 4 2 6" xfId="20992" xr:uid="{5E8A747A-FB81-457B-AE9B-C3D528A340B6}"/>
    <cellStyle name="Migliaia 55 4 2 7" xfId="25388" xr:uid="{50176683-6D10-430F-B26F-EADD5F25589A}"/>
    <cellStyle name="Migliaia 55 4 2 8" xfId="8784" xr:uid="{18F7D71E-D8D8-4E07-B2A2-EA2CB35F7F59}"/>
    <cellStyle name="Migliaia 55 4 3" xfId="5640" xr:uid="{D8D0371E-B806-4BF9-AAA6-05C3A0636ED8}"/>
    <cellStyle name="Migliaia 55 4 3 2" xfId="18263" xr:uid="{583C1CB7-F9A0-4AF8-8457-0847056B365B}"/>
    <cellStyle name="Migliaia 55 4 3 2 2" xfId="40214" xr:uid="{1637DC40-34F0-489A-8ADB-433AAEB7AE04}"/>
    <cellStyle name="Migliaia 55 4 3 2 3" xfId="45516" xr:uid="{40B05D1E-D334-4C86-AB02-8FC30196F470}"/>
    <cellStyle name="Migliaia 55 4 3 3" xfId="37563" xr:uid="{7E854FBC-9C4A-4447-A2BF-D0C273667F8C}"/>
    <cellStyle name="Migliaia 55 4 3 4" xfId="42865" xr:uid="{01FCA6E8-458D-47B6-ABB7-D3BCE165890E}"/>
    <cellStyle name="Migliaia 55 4 3 5" xfId="17275" xr:uid="{FE170FDE-1E1C-42DE-851B-19EF93EFC82E}"/>
    <cellStyle name="Migliaia 55 4 3 6" xfId="9209" xr:uid="{49DD08A5-30A0-4FDE-B851-0DF51156DFCA}"/>
    <cellStyle name="Migliaia 55 4 4" xfId="6814" xr:uid="{8F162600-032E-4AE7-997D-1C97B07E2631}"/>
    <cellStyle name="Migliaia 55 4 4 2" xfId="34587" xr:uid="{CCF227ED-22B8-439B-BE40-1040396B3A6E}"/>
    <cellStyle name="Migliaia 55 4 4 2 2" xfId="40215" xr:uid="{210E8531-37AC-4178-92F4-3A012EF8E62E}"/>
    <cellStyle name="Migliaia 55 4 4 2 3" xfId="45517" xr:uid="{F0F5004A-9F2A-4862-964A-56F725CE4415}"/>
    <cellStyle name="Migliaia 55 4 4 3" xfId="37564" xr:uid="{212E82A0-8BF2-42DE-B833-5FBA547F130C}"/>
    <cellStyle name="Migliaia 55 4 4 4" xfId="42866" xr:uid="{CC9E4539-728C-41B7-A84D-0E3254A0C35D}"/>
    <cellStyle name="Migliaia 55 4 4 5" xfId="12090" xr:uid="{BB90AA75-7950-4E89-A6CF-3B783D6A8ADA}"/>
    <cellStyle name="Migliaia 55 4 5" xfId="3914" xr:uid="{FF3B42B4-38DF-43D1-96EA-D2F2164EC081}"/>
    <cellStyle name="Migliaia 55 4 5 2" xfId="34588" xr:uid="{87F0582C-9F61-409B-B89F-D8EEF8057F74}"/>
    <cellStyle name="Migliaia 55 4 5 2 2" xfId="40216" xr:uid="{522D9703-0B11-4682-BD62-7AC92385FBFD}"/>
    <cellStyle name="Migliaia 55 4 5 2 3" xfId="45518" xr:uid="{984EF318-DD43-48AF-968E-B1173BFCF9FA}"/>
    <cellStyle name="Migliaia 55 4 5 3" xfId="37565" xr:uid="{0DD48EE3-8E7E-4CB6-B808-B3DFF4646E23}"/>
    <cellStyle name="Migliaia 55 4 5 4" xfId="42867" xr:uid="{03BFF65F-7A70-4CFA-8619-433D2C8D9751}"/>
    <cellStyle name="Migliaia 55 4 5 5" xfId="11441" xr:uid="{2EBBA71D-3793-46B6-B503-495A289C8DFC}"/>
    <cellStyle name="Migliaia 55 4 6" xfId="10985" xr:uid="{0C6CC8E8-1387-4A04-9777-4FAA4171F169}"/>
    <cellStyle name="Migliaia 55 4 6 2" xfId="21620" xr:uid="{D2F30A69-E4D6-40BA-A05A-3E741196E71A}"/>
    <cellStyle name="Migliaia 55 4 6 2 2" xfId="40217" xr:uid="{A214F3AB-6720-4813-8D84-4BE6D42EBF81}"/>
    <cellStyle name="Migliaia 55 4 6 2 3" xfId="45519" xr:uid="{DAC1A188-4F07-4270-94DC-C60C531ADAD8}"/>
    <cellStyle name="Migliaia 55 4 6 2 4" xfId="34589" xr:uid="{2B514874-A06A-47A2-A3D4-A9045283F509}"/>
    <cellStyle name="Migliaia 55 4 6 3" xfId="37566" xr:uid="{A0961F77-9CA1-4512-9C9B-978D5479D5F8}"/>
    <cellStyle name="Migliaia 55 4 6 4" xfId="42868" xr:uid="{D8BB8A16-6D1F-432A-9F2D-AC40D02FDACD}"/>
    <cellStyle name="Migliaia 55 4 6 5" xfId="25389" xr:uid="{D66F7395-CBBB-4926-B168-29C4A6934087}"/>
    <cellStyle name="Migliaia 55 4 6 6" xfId="25185" xr:uid="{072725CE-346A-48FC-855B-CF1432A49386}"/>
    <cellStyle name="Migliaia 55 4 6 7" xfId="50635" xr:uid="{0DD2EB9C-4763-4CF2-A8C9-206F772C2DF7}"/>
    <cellStyle name="Migliaia 55 4 6 8" xfId="53651" xr:uid="{3950B002-B474-498B-A0BA-8FCCEA308212}"/>
    <cellStyle name="Migliaia 55 4 7" xfId="20991" xr:uid="{5FC27DCA-FCCB-46A1-81D8-CEC0C8E4391C}"/>
    <cellStyle name="Migliaia 55 4 7 2" xfId="34590" xr:uid="{73087F4C-25D2-454F-B1C2-2F7C3253D0D9}"/>
    <cellStyle name="Migliaia 55 4 7 2 2" xfId="40218" xr:uid="{C1142F89-CD4D-4E9F-B853-2E606DD356BC}"/>
    <cellStyle name="Migliaia 55 4 7 2 3" xfId="45520" xr:uid="{CC870D2C-F6A2-43BD-ABDE-5B059C5E77AD}"/>
    <cellStyle name="Migliaia 55 4 7 3" xfId="37567" xr:uid="{2FE68E1C-201C-4019-B27B-703255B9574A}"/>
    <cellStyle name="Migliaia 55 4 7 4" xfId="42869" xr:uid="{54888D82-52CD-4EE9-AD35-6BA6A146C768}"/>
    <cellStyle name="Migliaia 55 4 7 5" xfId="25390" xr:uid="{189A3B53-AA71-4D86-80D5-ED945D882873}"/>
    <cellStyle name="Migliaia 55 4 8" xfId="25387" xr:uid="{AD4308D9-460B-4C20-88F7-BC2F6809B1D8}"/>
    <cellStyle name="Migliaia 55 4 9" xfId="7594" xr:uid="{C8324971-C30A-4E75-9623-51A263539B4C}"/>
    <cellStyle name="Migliaia 55 5" xfId="1910" xr:uid="{00000000-0005-0000-0000-000089040000}"/>
    <cellStyle name="Migliaia 55 5 2" xfId="5642" xr:uid="{F66A2613-42F4-4475-B082-2DF45771890C}"/>
    <cellStyle name="Migliaia 55 5 2 2" xfId="18514" xr:uid="{47A0B3EE-474D-4D71-AE80-F061886DDC9C}"/>
    <cellStyle name="Migliaia 55 5 2 2 2" xfId="40219" xr:uid="{A2E22633-D117-42A1-A019-0A5E0490EBA9}"/>
    <cellStyle name="Migliaia 55 5 2 2 3" xfId="45521" xr:uid="{92D876AC-F3D4-40EA-8CE4-27CC0920D838}"/>
    <cellStyle name="Migliaia 55 5 2 3" xfId="20994" xr:uid="{B4F24C9F-454D-47CA-95ED-AC070C531DA8}"/>
    <cellStyle name="Migliaia 55 5 2 3 2" xfId="37568" xr:uid="{86EA21B2-C32E-407C-93EF-7D3577711FB8}"/>
    <cellStyle name="Migliaia 55 5 2 4" xfId="42870" xr:uid="{CD915511-B18A-4FE9-8CB1-E6C30038D003}"/>
    <cellStyle name="Migliaia 55 5 2 5" xfId="16806" xr:uid="{C3751E12-4BB3-4B9A-A6D7-0BA49F23303C}"/>
    <cellStyle name="Migliaia 55 5 2 6" xfId="8785" xr:uid="{7BD6388E-7406-432F-8CD3-A7940FE9A0EA}"/>
    <cellStyle name="Migliaia 55 5 3" xfId="6815" xr:uid="{8448FABC-C628-46B2-A137-5D159A71520A}"/>
    <cellStyle name="Migliaia 55 5 3 2" xfId="34591" xr:uid="{B36CFF62-EF73-42FC-B98E-ECD6E4653D48}"/>
    <cellStyle name="Migliaia 55 5 3 2 2" xfId="40220" xr:uid="{84F84C8A-85D5-4178-AF95-3EA3168D06F8}"/>
    <cellStyle name="Migliaia 55 5 3 2 3" xfId="45522" xr:uid="{B844A463-2078-42DA-8A11-E92B5D84A756}"/>
    <cellStyle name="Migliaia 55 5 3 3" xfId="37569" xr:uid="{AEA1E1ED-CC85-4684-9156-54B4879149F9}"/>
    <cellStyle name="Migliaia 55 5 3 4" xfId="42871" xr:uid="{1A2CD10A-9AD6-47EE-841B-A71965EFC774}"/>
    <cellStyle name="Migliaia 55 5 3 5" xfId="11443" xr:uid="{99C029F3-EF7A-40D0-AC99-1310DDD0139A}"/>
    <cellStyle name="Migliaia 55 5 4" xfId="3916" xr:uid="{1AB7B9BD-B505-47F6-9164-2421549AD519}"/>
    <cellStyle name="Migliaia 55 5 4 2" xfId="21622" xr:uid="{37C7890B-2891-4080-A9DB-A309F9A38F16}"/>
    <cellStyle name="Migliaia 55 5 4 2 2" xfId="40221" xr:uid="{2EBB8D8B-2624-4108-916A-8FA38391CFAF}"/>
    <cellStyle name="Migliaia 55 5 4 2 3" xfId="45523" xr:uid="{8477B0F8-D8DB-47C6-9C60-0442BF3FDA06}"/>
    <cellStyle name="Migliaia 55 5 4 2 4" xfId="34592" xr:uid="{262B8297-44BA-4F31-ABE4-BB74CAC41BDA}"/>
    <cellStyle name="Migliaia 55 5 4 3" xfId="37570" xr:uid="{FD8589A2-7D7B-485B-B59F-E39DFD22D9BA}"/>
    <cellStyle name="Migliaia 55 5 4 4" xfId="42872" xr:uid="{0785B2B9-D013-449E-B1C5-865A683653DE}"/>
    <cellStyle name="Migliaia 55 5 4 5" xfId="25392" xr:uid="{9E3C7B1D-68B9-4CD6-8E38-8807981A8FAA}"/>
    <cellStyle name="Migliaia 55 5 4 6" xfId="32541" xr:uid="{1DC3CBBD-5286-4AA0-AB34-C1D8036B9B20}"/>
    <cellStyle name="Migliaia 55 5 4 7" xfId="50637" xr:uid="{BC864E12-7CFA-44D4-AAA9-AE4D0483BF75}"/>
    <cellStyle name="Migliaia 55 5 4 8" xfId="53653" xr:uid="{1F6C4DC5-7D9F-46C0-A99D-91388314EB7E}"/>
    <cellStyle name="Migliaia 55 5 4 9" xfId="10987" xr:uid="{51CE9B1C-FD87-4B03-90A1-29C2A50C9B2F}"/>
    <cellStyle name="Migliaia 55 5 5" xfId="20993" xr:uid="{04EE3969-C7CD-4688-B81F-E27FDA8DA8BC}"/>
    <cellStyle name="Migliaia 55 5 5 2" xfId="34593" xr:uid="{82C5159E-B139-4057-AF7E-8B42BDB02EBA}"/>
    <cellStyle name="Migliaia 55 5 5 2 2" xfId="40222" xr:uid="{283866C8-76D1-4A5B-B3E5-56582C3F6AD2}"/>
    <cellStyle name="Migliaia 55 5 5 2 3" xfId="45524" xr:uid="{1A53876E-E93D-4533-8094-F168A3FA6C4A}"/>
    <cellStyle name="Migliaia 55 5 5 3" xfId="37571" xr:uid="{AC629AAE-0686-48C4-985B-FBC19D17A914}"/>
    <cellStyle name="Migliaia 55 5 5 4" xfId="42873" xr:uid="{8B4C6CB9-485A-4C9C-8CBB-C32B3C06344F}"/>
    <cellStyle name="Migliaia 55 5 5 5" xfId="25393" xr:uid="{579AEDD9-2E0D-415F-861E-20E62FC15E5E}"/>
    <cellStyle name="Migliaia 55 5 6" xfId="25394" xr:uid="{FDD50A7C-7058-4895-80D7-7841A69E356B}"/>
    <cellStyle name="Migliaia 55 5 6 2" xfId="34594" xr:uid="{5C25CF4F-C270-425B-B953-E89CF8C69EED}"/>
    <cellStyle name="Migliaia 55 5 6 2 2" xfId="40223" xr:uid="{09358F74-E1CE-405B-BA8E-5F1B6EBC3FEB}"/>
    <cellStyle name="Migliaia 55 5 6 2 3" xfId="45525" xr:uid="{DD4A0EBB-1788-4F1F-B41E-9FDFDA19B769}"/>
    <cellStyle name="Migliaia 55 5 6 3" xfId="37572" xr:uid="{2B11B1EC-AEA7-44D1-A609-C2379FD8009E}"/>
    <cellStyle name="Migliaia 55 5 6 4" xfId="42874" xr:uid="{CDDD3547-0583-417F-A0E9-68A28E75CF66}"/>
    <cellStyle name="Migliaia 55 5 7" xfId="25391" xr:uid="{A3CACD0B-A434-4F93-BD1F-A74AD21BFA5B}"/>
    <cellStyle name="Migliaia 55 5 8" xfId="7595" xr:uid="{CCB926B5-E1E4-4FF7-8F18-F20CB17D28D7}"/>
    <cellStyle name="Migliaia 55 6" xfId="3917" xr:uid="{13C952F4-5711-4D0F-A42F-31949C3A5E02}"/>
    <cellStyle name="Migliaia 55 6 2" xfId="5643" xr:uid="{E2BCE070-5F4D-45AB-B247-03D4D3951DB1}"/>
    <cellStyle name="Migliaia 55 6 2 2" xfId="9981" xr:uid="{EAD5286C-FAB9-4D3F-A68B-CD773FD3C9C9}"/>
    <cellStyle name="Migliaia 55 6 2 3" xfId="18031" xr:uid="{6FE60AC7-E4A5-483A-B231-DB8DCCD8D866}"/>
    <cellStyle name="Migliaia 55 6 2 4" xfId="20996" xr:uid="{FB49B747-1633-4EE7-9DE2-10A420AF8C8F}"/>
    <cellStyle name="Migliaia 55 6 2 5" xfId="32476" xr:uid="{AD2482CF-0CF3-48CD-927D-CDB4384265F4}"/>
    <cellStyle name="Migliaia 55 6 2 6" xfId="16808" xr:uid="{13E48056-EB59-4F2B-B11F-7A6AF51BA47D}"/>
    <cellStyle name="Migliaia 55 6 2 7" xfId="8780" xr:uid="{AF4C5EF5-D51C-434C-B0B6-8F6D9A03CC2C}"/>
    <cellStyle name="Migliaia 55 6 3" xfId="6816" xr:uid="{65F9CCB4-A9B4-4BD3-AE5C-9EAC849E2FFD}"/>
    <cellStyle name="Migliaia 55 6 3 2" xfId="35477" xr:uid="{38C5A351-9072-49AC-8020-19750CA504E6}"/>
    <cellStyle name="Migliaia 55 6 3 2 2" xfId="40637" xr:uid="{C4A26F6E-B132-4624-8A26-B28618DFDBDA}"/>
    <cellStyle name="Migliaia 55 6 3 2 3" xfId="45939" xr:uid="{1F3FC421-41D8-49B7-9D63-0E698B34358C}"/>
    <cellStyle name="Migliaia 55 6 3 3" xfId="37986" xr:uid="{F39614D1-6E71-43EA-B54D-CA259EAD889D}"/>
    <cellStyle name="Migliaia 55 6 3 4" xfId="43288" xr:uid="{BBCFFE31-2170-47B5-96A0-FB103FB26CBA}"/>
    <cellStyle name="Migliaia 55 6 3 5" xfId="9744" xr:uid="{EFADC81C-654A-40B9-AE57-A5FD8ACDBE1B}"/>
    <cellStyle name="Migliaia 55 6 4" xfId="20995" xr:uid="{C136102E-E71C-4128-894C-C507FD974C16}"/>
    <cellStyle name="Migliaia 55 6 4 2" xfId="40224" xr:uid="{62E7491C-71BE-4F6D-8403-88BBB6332B03}"/>
    <cellStyle name="Migliaia 55 6 4 3" xfId="45526" xr:uid="{F679A7AA-AEC5-4AA7-9D06-2874AA10114C}"/>
    <cellStyle name="Migliaia 55 6 4 4" xfId="34595" xr:uid="{1FEC60F4-6F2B-4B72-9D02-F765E1CABD4D}"/>
    <cellStyle name="Migliaia 55 6 5" xfId="37573" xr:uid="{27DA8AD9-14A4-40B2-AE49-F6E611BD186A}"/>
    <cellStyle name="Migliaia 55 6 6" xfId="42875" xr:uid="{C6EB28D9-2425-403A-9050-E64E97F22EC0}"/>
    <cellStyle name="Migliaia 55 6 7" xfId="16807" xr:uid="{25A702A7-5774-4F67-B319-CC3B8E3BF9EC}"/>
    <cellStyle name="Migliaia 55 6 8" xfId="7590" xr:uid="{74BC0489-73B1-4E2C-A176-1DDA0B01FBE9}"/>
    <cellStyle name="Migliaia 55 7" xfId="3918" xr:uid="{B25D1C03-AD86-490A-88F7-DA95A00FA578}"/>
    <cellStyle name="Migliaia 55 7 2" xfId="5644" xr:uid="{87E545E2-2E40-4235-B30A-AB90C7C36DFA}"/>
    <cellStyle name="Migliaia 55 7 2 2" xfId="35478" xr:uid="{2FC47999-03E5-463A-9F3C-4B176D1B4335}"/>
    <cellStyle name="Migliaia 55 7 2 2 2" xfId="40638" xr:uid="{DD0E778E-1581-4268-B1A8-5A0EBE660815}"/>
    <cellStyle name="Migliaia 55 7 2 2 3" xfId="45940" xr:uid="{6BFB3431-F1F8-4031-8A62-75957C717843}"/>
    <cellStyle name="Migliaia 55 7 2 3" xfId="37987" xr:uid="{941896D3-A30A-4B2D-B8E4-18E50F85271D}"/>
    <cellStyle name="Migliaia 55 7 2 4" xfId="43289" xr:uid="{9D427763-16B5-4B54-9D1F-83A0BDB6C850}"/>
    <cellStyle name="Migliaia 55 7 2 5" xfId="14329" xr:uid="{48CE6021-EC97-4919-9751-BB07D2919572}"/>
    <cellStyle name="Migliaia 55 7 3" xfId="6817" xr:uid="{986AB476-AED1-4ACF-9E07-92034153E2E8}"/>
    <cellStyle name="Migliaia 55 7 3 2" xfId="34596" xr:uid="{C46A1405-01DD-4FF5-BCD0-041F81E91A16}"/>
    <cellStyle name="Migliaia 55 7 3 3" xfId="20997" xr:uid="{D052EC89-DEB8-46AC-8B68-D8FF19F4C39C}"/>
    <cellStyle name="Migliaia 55 7 4" xfId="25395" xr:uid="{774C3319-DFC6-4EEA-AE78-098744D40715}"/>
    <cellStyle name="Migliaia 55 7 5" xfId="16809" xr:uid="{E3C0B918-42D5-4726-ABD6-6940DD9DB1E3}"/>
    <cellStyle name="Migliaia 55 7 6" xfId="8391" xr:uid="{9E8F4908-8C39-4E32-A911-6BD804A35D72}"/>
    <cellStyle name="Migliaia 55 8" xfId="3919" xr:uid="{7A1E14B0-A6DA-4600-A540-7ADCAF5071BB}"/>
    <cellStyle name="Migliaia 55 8 2" xfId="5645" xr:uid="{B18726B1-0B0B-4184-BD1C-ED6B846CCC02}"/>
    <cellStyle name="Migliaia 55 8 2 2" xfId="35479" xr:uid="{6A1B3FD2-7912-40DE-8C07-163A4FCA1334}"/>
    <cellStyle name="Migliaia 55 8 2 2 2" xfId="40639" xr:uid="{A59BCDDD-BDFE-4687-86D9-6D3BBC9EA955}"/>
    <cellStyle name="Migliaia 55 8 2 2 3" xfId="45941" xr:uid="{079C2A56-BB20-4CE9-BF5B-989F4B89D387}"/>
    <cellStyle name="Migliaia 55 8 2 3" xfId="37988" xr:uid="{F93F4269-DC07-420E-B884-7A57EF3D17F7}"/>
    <cellStyle name="Migliaia 55 8 2 4" xfId="43290" xr:uid="{888EBCB9-F244-44CC-9419-3396D4BA42CD}"/>
    <cellStyle name="Migliaia 55 8 2 5" xfId="14034" xr:uid="{BD165335-0039-4E3D-9A98-6A82E7CBAA61}"/>
    <cellStyle name="Migliaia 55 8 3" xfId="6818" xr:uid="{557C50E7-6ECA-4156-B7AD-7FF5A8732A4F}"/>
    <cellStyle name="Migliaia 55 8 3 2" xfId="34597" xr:uid="{4F408FF2-EB4F-4393-A12D-CC72E89C3CF5}"/>
    <cellStyle name="Migliaia 55 8 3 3" xfId="20998" xr:uid="{9CDB0F22-6B2B-4D14-8703-904D742ED60A}"/>
    <cellStyle name="Migliaia 55 8 4" xfId="25396" xr:uid="{7C12D5C0-886B-4B75-8E52-EFD90F7D40CB}"/>
    <cellStyle name="Migliaia 55 8 5" xfId="16810" xr:uid="{E19A5F1E-2A79-4A4D-925F-F67FD70E7016}"/>
    <cellStyle name="Migliaia 55 8 6" xfId="8022" xr:uid="{6DADF86F-800F-4B66-873F-EBA6B0806B00}"/>
    <cellStyle name="Migliaia 55 9" xfId="5630" xr:uid="{A0DCC808-DEBA-4C91-9EB9-3DA1463ED197}"/>
    <cellStyle name="Migliaia 55 9 2" xfId="34598" xr:uid="{7734D132-4BA3-4EA0-BF18-FA79BEE9D3A2}"/>
    <cellStyle name="Migliaia 55 9 3" xfId="25397" xr:uid="{6AF40E4E-BCED-4606-83C2-3E50856154C9}"/>
    <cellStyle name="Migliaia 55 9 4" xfId="17235" xr:uid="{3540FC3A-B9F4-41C9-80B4-2701A2C09ED9}"/>
    <cellStyle name="Migliaia 56" xfId="505" xr:uid="{00000000-0005-0000-0000-00008A040000}"/>
    <cellStyle name="Migliaia 56 10" xfId="6819" xr:uid="{7B9824B5-BAB3-4347-B67A-E1435A3FCCA2}"/>
    <cellStyle name="Migliaia 56 10 2" xfId="34599" xr:uid="{8C62817C-2366-4177-814D-A6FE55FFB1FB}"/>
    <cellStyle name="Migliaia 56 10 3" xfId="20999" xr:uid="{5F779E1C-512D-44CF-8811-5659C9B1ADAB}"/>
    <cellStyle name="Migliaia 56 11" xfId="3920" xr:uid="{779DF0DA-0195-42B2-B60E-0C13086BB6F2}"/>
    <cellStyle name="Migliaia 56 11 2" xfId="25398" xr:uid="{FCB6BDEC-D2F4-4331-9EDD-90006CF1168B}"/>
    <cellStyle name="Migliaia 56 12" xfId="7195" xr:uid="{B1438701-1A60-4B3E-AF1F-308549266431}"/>
    <cellStyle name="Migliaia 56 2" xfId="506" xr:uid="{00000000-0005-0000-0000-00008B040000}"/>
    <cellStyle name="Migliaia 56 2 2" xfId="1911" xr:uid="{00000000-0005-0000-0000-00008C040000}"/>
    <cellStyle name="Migliaia 56 2 2 2" xfId="5648" xr:uid="{B7B48E49-4801-4A91-AB4D-BB158492FC7B}"/>
    <cellStyle name="Migliaia 56 2 2 2 2" xfId="14414" xr:uid="{5574CD08-6A25-46A0-BC8E-29762B3C067E}"/>
    <cellStyle name="Migliaia 56 2 2 2 2 2" xfId="34602" xr:uid="{6BE7FB36-F442-4FD4-AC52-B0ED21AA5708}"/>
    <cellStyle name="Migliaia 56 2 2 2 3" xfId="18515" xr:uid="{5FB0D38A-6269-4256-A09E-B8F1BF7C42C1}"/>
    <cellStyle name="Migliaia 56 2 2 2 4" xfId="21002" xr:uid="{83BC9278-D37B-4C54-9051-1B4DED759865}"/>
    <cellStyle name="Migliaia 56 2 2 2 5" xfId="25401" xr:uid="{58D0CE9E-524E-4541-AC09-E59357FB259C}"/>
    <cellStyle name="Migliaia 56 2 2 2 6" xfId="16811" xr:uid="{3F924023-4888-483A-9B57-763F4EBA22D3}"/>
    <cellStyle name="Migliaia 56 2 2 2 7" xfId="8787" xr:uid="{53157654-0219-40AE-8201-9606F35F2EB9}"/>
    <cellStyle name="Migliaia 56 2 2 3" xfId="6821" xr:uid="{32616EB8-562B-48C1-98AF-60FC73911A8F}"/>
    <cellStyle name="Migliaia 56 2 2 3 2" xfId="35480" xr:uid="{DF4D3162-7D0F-4D13-ACBB-45168563AD6E}"/>
    <cellStyle name="Migliaia 56 2 2 3 2 2" xfId="40640" xr:uid="{4FA10BE8-6794-44A6-8D85-E2D8674D708D}"/>
    <cellStyle name="Migliaia 56 2 2 3 2 3" xfId="45942" xr:uid="{DBB70A10-243D-48B8-B83E-04EEAEB655C1}"/>
    <cellStyle name="Migliaia 56 2 2 3 3" xfId="37989" xr:uid="{0B44B61F-FE74-429B-B7FE-113122B39DA2}"/>
    <cellStyle name="Migliaia 56 2 2 3 4" xfId="43291" xr:uid="{7842F4A2-2C3E-4FAD-ACFB-152C0E7BF868}"/>
    <cellStyle name="Migliaia 56 2 2 3 5" xfId="11641" xr:uid="{39B54E7E-5BAE-4677-BCFB-B06F91141B17}"/>
    <cellStyle name="Migliaia 56 2 2 4" xfId="3922" xr:uid="{A224740C-6A80-498D-AF39-56C5ACF1E14D}"/>
    <cellStyle name="Migliaia 56 2 2 4 2" xfId="21623" xr:uid="{E258CB08-D0A2-444E-93EC-7D57F635E1F4}"/>
    <cellStyle name="Migliaia 56 2 2 4 3" xfId="34601" xr:uid="{D5D0D88F-E5F6-49A4-B2A4-85CF0468A610}"/>
    <cellStyle name="Migliaia 56 2 2 4 4" xfId="47458" xr:uid="{95F7D1CC-B418-460F-991F-DBDF4FF46887}"/>
    <cellStyle name="Migliaia 56 2 2 4 5" xfId="50638" xr:uid="{A9EB4FA5-D38F-4B6A-8AC8-95385EE7CE82}"/>
    <cellStyle name="Migliaia 56 2 2 4 6" xfId="53654" xr:uid="{05B369D8-E792-465A-90D2-0FA1F8236C20}"/>
    <cellStyle name="Migliaia 56 2 2 4 7" xfId="10988" xr:uid="{80D2C6B9-9C24-4859-BD49-27AF58A9372B}"/>
    <cellStyle name="Migliaia 56 2 2 5" xfId="21001" xr:uid="{B98A3BFA-136D-49CA-83E5-4394E518C876}"/>
    <cellStyle name="Migliaia 56 2 2 6" xfId="25400" xr:uid="{EF86A198-CD01-409C-AB1B-329CABB3CDEE}"/>
    <cellStyle name="Migliaia 56 2 2 7" xfId="7597" xr:uid="{2C2E983F-3A59-43ED-86FC-FA508D2E3D14}"/>
    <cellStyle name="Migliaia 56 2 3" xfId="3923" xr:uid="{BC9062F7-A2AA-46DC-BC74-55FD0E1826E9}"/>
    <cellStyle name="Migliaia 56 2 3 2" xfId="5649" xr:uid="{90DD5F5C-1568-4D0C-9418-735883A9F84D}"/>
    <cellStyle name="Migliaia 56 2 3 2 2" xfId="35481" xr:uid="{920F8A8F-F24E-4E65-AAC7-8A9E5E6DAFEE}"/>
    <cellStyle name="Migliaia 56 2 3 2 2 2" xfId="40641" xr:uid="{071312CF-1C65-4DFA-8AD5-B5AE13A673CD}"/>
    <cellStyle name="Migliaia 56 2 3 2 2 3" xfId="45943" xr:uid="{54395679-A6F5-4DA0-8989-A855E95AAC8E}"/>
    <cellStyle name="Migliaia 56 2 3 2 3" xfId="37990" xr:uid="{5614D2CE-4F21-4CF0-A94F-283D0BD087CC}"/>
    <cellStyle name="Migliaia 56 2 3 2 4" xfId="43292" xr:uid="{08A10F84-5655-424C-9D18-62955A7584C4}"/>
    <cellStyle name="Migliaia 56 2 3 2 5" xfId="14333" xr:uid="{9FA4FACE-1043-4E38-92E0-0449A3E1E4ED}"/>
    <cellStyle name="Migliaia 56 2 3 3" xfId="6822" xr:uid="{25AC26C2-17F8-4F9C-941F-D9EADFA72C14}"/>
    <cellStyle name="Migliaia 56 2 3 3 2" xfId="34603" xr:uid="{5D9D1F48-6A38-4129-A71E-0D05BFBCA686}"/>
    <cellStyle name="Migliaia 56 2 3 3 3" xfId="21003" xr:uid="{6107836D-A1E4-4979-A1FD-5E4796C7A827}"/>
    <cellStyle name="Migliaia 56 2 3 4" xfId="25402" xr:uid="{4C26691D-0A3D-4EFB-817D-B6F43A439320}"/>
    <cellStyle name="Migliaia 56 2 3 5" xfId="16812" xr:uid="{5E018513-9B81-47F7-BE53-D91845654887}"/>
    <cellStyle name="Migliaia 56 2 3 6" xfId="8395" xr:uid="{FDED0E0C-44E7-4FE3-8334-4762BBFE6267}"/>
    <cellStyle name="Migliaia 56 2 4" xfId="5647" xr:uid="{71F9CD5F-308F-4DC5-AFFF-0FB4F5684498}"/>
    <cellStyle name="Migliaia 56 2 4 2" xfId="14038" xr:uid="{7E49DCE3-049C-4374-BEDD-C2B915A1732C}"/>
    <cellStyle name="Migliaia 56 2 4 2 2" xfId="34604" xr:uid="{290A79A1-96E0-4430-9EB7-97EC6FBC21B5}"/>
    <cellStyle name="Migliaia 56 2 4 3" xfId="18602" xr:uid="{935AA738-C37A-4706-8A39-785B15ADBDB7}"/>
    <cellStyle name="Migliaia 56 2 4 4" xfId="21004" xr:uid="{23C9129B-D800-44A4-9287-8666A00ECDF1}"/>
    <cellStyle name="Migliaia 56 2 4 5" xfId="25403" xr:uid="{1027FE2D-37E1-4CDF-BB9C-EE94B4017210}"/>
    <cellStyle name="Migliaia 56 2 4 6" xfId="16813" xr:uid="{FEAE069D-EB3F-4E08-A4B5-EF3FC6897B84}"/>
    <cellStyle name="Migliaia 56 2 4 7" xfId="8027" xr:uid="{E44A7A13-C30F-4336-92D5-78F02A037ABD}"/>
    <cellStyle name="Migliaia 56 2 5" xfId="6820" xr:uid="{C21140F0-739B-4A24-A02C-2CD49457E7BB}"/>
    <cellStyle name="Migliaia 56 2 5 2" xfId="34605" xr:uid="{B8B39C4E-8D75-4727-87EE-0D4FD0686D92}"/>
    <cellStyle name="Migliaia 56 2 5 3" xfId="25404" xr:uid="{7EC5EA37-7355-4F16-B220-347B0201C610}"/>
    <cellStyle name="Migliaia 56 2 5 4" xfId="13154" xr:uid="{96F08A30-BB90-4C9E-93B6-7C0C8F424D30}"/>
    <cellStyle name="Migliaia 56 2 6" xfId="3921" xr:uid="{99BFC918-9F63-41C7-9BDD-B6CB7F05CAFC}"/>
    <cellStyle name="Migliaia 56 2 6 2" xfId="34606" xr:uid="{9068A3B4-C8DE-44C8-9138-C67EF2AB7284}"/>
    <cellStyle name="Migliaia 56 2 6 3" xfId="25405" xr:uid="{9F4CDFE7-DA7C-4EB4-A152-BD8788F8DC44}"/>
    <cellStyle name="Migliaia 56 2 6 4" xfId="21000" xr:uid="{99F72ECB-E3F0-4EDC-A70B-BCE9DB318804}"/>
    <cellStyle name="Migliaia 56 2 7" xfId="34600" xr:uid="{D76ADB1E-CAE7-42E5-9547-B3C939F2BB6A}"/>
    <cellStyle name="Migliaia 56 2 8" xfId="25399" xr:uid="{F221537C-B8C2-4C72-8FC5-667FD995428E}"/>
    <cellStyle name="Migliaia 56 2 9" xfId="7196" xr:uid="{8CBBE02B-DA4D-4F09-907C-15836F16503D}"/>
    <cellStyle name="Migliaia 56 3" xfId="507" xr:uid="{00000000-0005-0000-0000-00008D040000}"/>
    <cellStyle name="Migliaia 56 3 10" xfId="25406" xr:uid="{66F48A02-75AD-4EE6-9CDA-1777BCC1F3CC}"/>
    <cellStyle name="Migliaia 56 3 11" xfId="16814" xr:uid="{AB355EF9-FC8B-4438-8E97-C23C9A2824BF}"/>
    <cellStyle name="Migliaia 56 3 12" xfId="7197" xr:uid="{C11DE876-F5DB-4F59-9829-79652DD301D6}"/>
    <cellStyle name="Migliaia 56 3 2" xfId="508" xr:uid="{00000000-0005-0000-0000-00008E040000}"/>
    <cellStyle name="Migliaia 56 3 2 2" xfId="1912" xr:uid="{00000000-0005-0000-0000-00008F040000}"/>
    <cellStyle name="Migliaia 56 3 2 2 2" xfId="5652" xr:uid="{A0058D04-B87E-41FF-925A-359FFFFD1809}"/>
    <cellStyle name="Migliaia 56 3 2 2 2 2" xfId="18516" xr:uid="{72F0AFF6-8176-4693-ABB9-5C6456290777}"/>
    <cellStyle name="Migliaia 56 3 2 2 2 2 2" xfId="21892" xr:uid="{C0058D6D-D42C-4E69-BC71-D9A95A7F52AA}"/>
    <cellStyle name="Migliaia 56 3 2 2 2 2 3" xfId="34610" xr:uid="{FA7ACE76-8B0A-4E0D-946F-B37346F0B410}"/>
    <cellStyle name="Migliaia 56 3 2 2 2 3" xfId="25409" xr:uid="{B30A9650-553E-44CF-A84E-7DC9E8A89894}"/>
    <cellStyle name="Migliaia 56 3 2 2 2 4" xfId="48045" xr:uid="{70AB69CF-B92E-4958-8C7A-ED3CB8B79682}"/>
    <cellStyle name="Migliaia 56 3 2 2 2 5" xfId="50920" xr:uid="{C8F0ADFF-0338-4080-A944-63909C1BA4D6}"/>
    <cellStyle name="Migliaia 56 3 2 2 2 6" xfId="53936" xr:uid="{8E310A27-01C6-492C-B9E8-5969351BD5EF}"/>
    <cellStyle name="Migliaia 56 3 2 2 2 7" xfId="17691" xr:uid="{28439EA4-4F42-4C40-9937-9CD1502F1C92}"/>
    <cellStyle name="Migliaia 56 3 2 2 2 8" xfId="12091" xr:uid="{66C75F8C-1074-4D2F-99ED-ED8BCDB670EB}"/>
    <cellStyle name="Migliaia 56 3 2 2 3" xfId="6825" xr:uid="{76115F34-921D-42FD-9650-550B6DB245A3}"/>
    <cellStyle name="Migliaia 56 3 2 2 3 2" xfId="34609" xr:uid="{A88108B3-D983-4BC1-8A9B-60BD76798B96}"/>
    <cellStyle name="Migliaia 56 3 2 2 3 3" xfId="12154" xr:uid="{C2005356-2788-4FD6-92E1-87996B57DF92}"/>
    <cellStyle name="Migliaia 56 3 2 2 4" xfId="3926" xr:uid="{E9F77C00-317D-4570-A387-98CB76029B43}"/>
    <cellStyle name="Migliaia 56 3 2 2 4 2" xfId="21624" xr:uid="{252AA159-9D35-4D31-A7E1-FDF876907A5D}"/>
    <cellStyle name="Migliaia 56 3 2 2 4 3" xfId="47905" xr:uid="{6B6CFE81-6A38-4677-A48A-3D0D5A109159}"/>
    <cellStyle name="Migliaia 56 3 2 2 4 4" xfId="50639" xr:uid="{1480A475-A63D-4A95-9E56-00BFBB9DC5ED}"/>
    <cellStyle name="Migliaia 56 3 2 2 4 5" xfId="53655" xr:uid="{B71C6181-82E9-443F-A0D1-3A15D07351B8}"/>
    <cellStyle name="Migliaia 56 3 2 2 4 6" xfId="10989" xr:uid="{C6075D9A-D593-489B-A63B-A6C1612A95D6}"/>
    <cellStyle name="Migliaia 56 3 2 2 5" xfId="21007" xr:uid="{DF8FC36A-8CC1-4FA2-B434-61750D14D96A}"/>
    <cellStyle name="Migliaia 56 3 2 2 6" xfId="25408" xr:uid="{A2F79B5D-62A8-4A47-88C2-888D06C91288}"/>
    <cellStyle name="Migliaia 56 3 2 2 7" xfId="8789" xr:uid="{D76A422E-DE5A-45B0-A572-A3AB222E155E}"/>
    <cellStyle name="Migliaia 56 3 2 3" xfId="5651" xr:uid="{B029BE73-B964-4964-A78A-52466D53A398}"/>
    <cellStyle name="Migliaia 56 3 2 3 2" xfId="11546" xr:uid="{D671C74E-7431-4071-A358-C93042CF4278}"/>
    <cellStyle name="Migliaia 56 3 2 3 2 2" xfId="34611" xr:uid="{6362EB0D-95CF-463B-9963-E46107B02817}"/>
    <cellStyle name="Migliaia 56 3 2 3 3" xfId="12092" xr:uid="{31D902B1-83A7-467F-A462-2B4C66171917}"/>
    <cellStyle name="Migliaia 56 3 2 3 4" xfId="21008" xr:uid="{EA06FC61-316B-4EEA-9A38-F73E5BE80280}"/>
    <cellStyle name="Migliaia 56 3 2 3 5" xfId="25410" xr:uid="{6D62F43F-3254-49B6-A829-FCEB7384777F}"/>
    <cellStyle name="Migliaia 56 3 2 3 6" xfId="16815" xr:uid="{DE9ABB96-638E-492E-98B1-12C4E9BF767C}"/>
    <cellStyle name="Migliaia 56 3 2 3 7" xfId="8029" xr:uid="{3E8ACFFB-4410-45BE-B430-1FCD28AC86E3}"/>
    <cellStyle name="Migliaia 56 3 2 4" xfId="6824" xr:uid="{21C3A369-903F-4679-9B80-D20F4CCC93B5}"/>
    <cellStyle name="Migliaia 56 3 2 4 2" xfId="18108" xr:uid="{F5E42203-3A8E-4A90-A2E2-74386C7FA733}"/>
    <cellStyle name="Migliaia 56 3 2 4 2 2" xfId="34612" xr:uid="{A0492945-52D0-451B-B4BA-CDE517F75C59}"/>
    <cellStyle name="Migliaia 56 3 2 4 3" xfId="25411" xr:uid="{02FE5E93-7579-4604-ABEE-294072859505}"/>
    <cellStyle name="Migliaia 56 3 2 4 4" xfId="17238" xr:uid="{818D255B-023E-45F6-9731-D3518DED82A6}"/>
    <cellStyle name="Migliaia 56 3 2 4 5" xfId="11444" xr:uid="{5C0F4619-04A6-42E1-A4B8-D6DD72C7E23F}"/>
    <cellStyle name="Migliaia 56 3 2 5" xfId="3925" xr:uid="{70E8FD7B-ACB4-4DBC-8769-E07850401820}"/>
    <cellStyle name="Migliaia 56 3 2 5 2" xfId="34613" xr:uid="{8F44C1BF-EB62-491A-974C-1798322B4853}"/>
    <cellStyle name="Migliaia 56 3 2 5 3" xfId="25412" xr:uid="{8CA4C700-5D96-48A1-A600-B8D4B61205AE}"/>
    <cellStyle name="Migliaia 56 3 2 5 4" xfId="17273" xr:uid="{01765071-A6DB-45C1-A35D-C97805771732}"/>
    <cellStyle name="Migliaia 56 3 2 6" xfId="21006" xr:uid="{FBD0E09C-407F-4282-A998-6F0C3576E53C}"/>
    <cellStyle name="Migliaia 56 3 2 6 2" xfId="34614" xr:uid="{E9905D43-EEB8-4597-AD4B-67AFA8EAD9C9}"/>
    <cellStyle name="Migliaia 56 3 2 6 3" xfId="25413" xr:uid="{2840EFF4-D975-41BF-9FA2-75BF7F32D92A}"/>
    <cellStyle name="Migliaia 56 3 2 7" xfId="34608" xr:uid="{91B4A7CD-E213-4DB6-A4E4-178B42B184A0}"/>
    <cellStyle name="Migliaia 56 3 2 8" xfId="25407" xr:uid="{44F5C803-BE56-4F9D-A98F-C77C02C0D1D4}"/>
    <cellStyle name="Migliaia 56 3 2 9" xfId="7599" xr:uid="{B3D7C9C9-27BE-4273-9052-255EE76A6744}"/>
    <cellStyle name="Migliaia 56 3 3" xfId="3927" xr:uid="{F52C3B89-D58E-45C2-80E0-B810378303DF}"/>
    <cellStyle name="Migliaia 56 3 3 2" xfId="5653" xr:uid="{749B7FBA-DAE6-4C10-A29C-37E9F511C6E9}"/>
    <cellStyle name="Migliaia 56 3 3 2 2" xfId="9984" xr:uid="{722BC24E-2AD0-47C5-8297-AD03DD0E0C5B}"/>
    <cellStyle name="Migliaia 56 3 3 2 2 2" xfId="34616" xr:uid="{3DF87D99-E505-4BBD-A811-73191E677F21}"/>
    <cellStyle name="Migliaia 56 3 3 2 3" xfId="18264" xr:uid="{A9F38B55-04AC-45EB-B3C9-1F3BCCB9A5CE}"/>
    <cellStyle name="Migliaia 56 3 3 2 4" xfId="21010" xr:uid="{CB302784-2999-40D6-9BA3-9205D1534C12}"/>
    <cellStyle name="Migliaia 56 3 3 2 5" xfId="25415" xr:uid="{B20F23EF-10AD-445B-B9BB-BD48B0905E43}"/>
    <cellStyle name="Migliaia 56 3 3 2 6" xfId="16817" xr:uid="{8F2D7E4F-6086-4062-807D-85BB11158441}"/>
    <cellStyle name="Migliaia 56 3 3 2 7" xfId="8788" xr:uid="{996B7D6E-255D-47EE-8487-2147A5DDE294}"/>
    <cellStyle name="Migliaia 56 3 3 3" xfId="6826" xr:uid="{B04EFE3F-79EE-428D-9800-E8097A6F73E5}"/>
    <cellStyle name="Migliaia 56 3 3 3 2" xfId="34617" xr:uid="{0782CEB8-2F47-4E66-839A-B24AAF73B681}"/>
    <cellStyle name="Migliaia 56 3 3 3 3" xfId="25416" xr:uid="{C8186634-86BB-4F42-A968-495052A6F455}"/>
    <cellStyle name="Migliaia 56 3 3 3 4" xfId="9747" xr:uid="{34A4ED37-E06F-47FF-94E2-0FF5357796E7}"/>
    <cellStyle name="Migliaia 56 3 3 4" xfId="21009" xr:uid="{D3447E67-209B-4336-83E7-43A8B3604302}"/>
    <cellStyle name="Migliaia 56 3 3 4 2" xfId="34618" xr:uid="{C40E36B2-DEC4-4738-89DA-3449E5C56196}"/>
    <cellStyle name="Migliaia 56 3 3 4 3" xfId="25417" xr:uid="{8756E98D-1425-4628-ACC0-939F3986F370}"/>
    <cellStyle name="Migliaia 56 3 3 4 4" xfId="48881" xr:uid="{83F4560F-6DEE-45D4-8F85-EB7CB60999B0}"/>
    <cellStyle name="Migliaia 56 3 3 5" xfId="25418" xr:uid="{B5A041BC-DE22-4932-8B7F-090F17D74489}"/>
    <cellStyle name="Migliaia 56 3 3 5 2" xfId="34619" xr:uid="{D21E3C32-B70D-4570-B3CF-5EBC193DFECD}"/>
    <cellStyle name="Migliaia 56 3 3 5 3" xfId="48882" xr:uid="{E18F51AD-557B-49D7-9A1A-7BE5003DF6E3}"/>
    <cellStyle name="Migliaia 56 3 3 6" xfId="34615" xr:uid="{D167AAE7-A488-4F5A-B7F3-A7E3770B120F}"/>
    <cellStyle name="Migliaia 56 3 3 7" xfId="25414" xr:uid="{562EC96E-6DA6-435E-9685-824D7E959446}"/>
    <cellStyle name="Migliaia 56 3 3 8" xfId="16816" xr:uid="{C534954E-DDD2-4D70-90B1-3500E38E042A}"/>
    <cellStyle name="Migliaia 56 3 3 9" xfId="7598" xr:uid="{C70696E1-2E10-4F3C-BEB6-936B618E3E25}"/>
    <cellStyle name="Migliaia 56 3 4" xfId="3928" xr:uid="{6F1F2548-4C7A-4DF9-A13A-B27F07E034E3}"/>
    <cellStyle name="Migliaia 56 3 4 2" xfId="5654" xr:uid="{B4417D29-F0C2-464C-B376-E5607649A165}"/>
    <cellStyle name="Migliaia 56 3 4 2 2" xfId="14474" xr:uid="{8E4F0D43-7BE2-46E0-AE01-E96DAF99B0AD}"/>
    <cellStyle name="Migliaia 56 3 4 2 3" xfId="18136" xr:uid="{4DB92283-EB79-42CE-8BA4-9A529F80662D}"/>
    <cellStyle name="Migliaia 56 3 4 2 4" xfId="21012" xr:uid="{62382275-DAB2-4598-AC14-159732E5A3FB}"/>
    <cellStyle name="Migliaia 56 3 4 2 5" xfId="32477" xr:uid="{45DB43A1-919A-4394-925F-0C20D29D851B}"/>
    <cellStyle name="Migliaia 56 3 4 2 6" xfId="16819" xr:uid="{12503698-052B-4B9B-9DCD-1F5F4D8A42C6}"/>
    <cellStyle name="Migliaia 56 3 4 2 7" xfId="8897" xr:uid="{EE33F04A-6EE9-4290-8753-E9A918DA7BF6}"/>
    <cellStyle name="Migliaia 56 3 4 3" xfId="6827" xr:uid="{0E899DFF-6D70-462F-B758-72EE34AF912D}"/>
    <cellStyle name="Migliaia 56 3 4 3 2" xfId="35482" xr:uid="{EC711E09-FDE3-41B0-B5EC-53F6CD7FECC0}"/>
    <cellStyle name="Migliaia 56 3 4 3 2 2" xfId="40642" xr:uid="{F8897008-E830-4ACF-B596-EA54C2C6B351}"/>
    <cellStyle name="Migliaia 56 3 4 3 2 3" xfId="45944" xr:uid="{B8266972-7AF6-43CF-8ADF-F7AD0B199C8D}"/>
    <cellStyle name="Migliaia 56 3 4 3 3" xfId="37991" xr:uid="{BC5146AC-8293-4BB2-AEAE-2E0FEF298829}"/>
    <cellStyle name="Migliaia 56 3 4 3 4" xfId="43293" xr:uid="{0F8D1981-338D-41E3-ACE1-028ABBF8B28B}"/>
    <cellStyle name="Migliaia 56 3 4 3 5" xfId="13722" xr:uid="{D634E500-76F5-4573-A4C5-9546DA99C975}"/>
    <cellStyle name="Migliaia 56 3 4 4" xfId="21011" xr:uid="{D5CA63A3-DF78-4D2B-B63E-25CB93893CDF}"/>
    <cellStyle name="Migliaia 56 3 4 4 2" xfId="34620" xr:uid="{04859529-0F8F-475D-98F0-68243C5AC091}"/>
    <cellStyle name="Migliaia 56 3 4 5" xfId="25419" xr:uid="{A24F1235-AAC5-4C7A-A33E-D5F5D39137CC}"/>
    <cellStyle name="Migliaia 56 3 4 6" xfId="16818" xr:uid="{198F8504-DF9B-4837-98E1-1B8561162E56}"/>
    <cellStyle name="Migliaia 56 3 4 7" xfId="7707" xr:uid="{F0F367A8-B5A4-479B-9EF8-AE3C86943D87}"/>
    <cellStyle name="Migliaia 56 3 5" xfId="3929" xr:uid="{52C8CA67-BC2C-4E60-B758-B27F75781DC9}"/>
    <cellStyle name="Migliaia 56 3 5 2" xfId="5655" xr:uid="{422E643C-F1A4-4CCE-A219-A30A895F5D90}"/>
    <cellStyle name="Migliaia 56 3 5 2 2" xfId="35483" xr:uid="{4B976DDD-402A-456A-92E6-92A3B8B3F817}"/>
    <cellStyle name="Migliaia 56 3 5 2 2 2" xfId="40643" xr:uid="{5BB1774F-B667-4407-A33D-D0564FFF0D41}"/>
    <cellStyle name="Migliaia 56 3 5 2 2 3" xfId="45945" xr:uid="{E4F8EE60-8A97-4379-9BE2-B80968AD0551}"/>
    <cellStyle name="Migliaia 56 3 5 2 3" xfId="37992" xr:uid="{6E0BB51A-2C7D-4131-A6B5-4198E79BF31C}"/>
    <cellStyle name="Migliaia 56 3 5 2 4" xfId="43294" xr:uid="{381FAB51-66BA-499B-BFA4-B3BDB90F60D0}"/>
    <cellStyle name="Migliaia 56 3 5 2 5" xfId="14334" xr:uid="{D837F3B5-F490-450F-90EC-A8CDA6689F0F}"/>
    <cellStyle name="Migliaia 56 3 5 3" xfId="6828" xr:uid="{04B65902-1F4D-41B4-8B8A-737831198C5A}"/>
    <cellStyle name="Migliaia 56 3 5 3 2" xfId="34621" xr:uid="{5CBEA1D8-29CC-404A-B772-2AD136E8DFBF}"/>
    <cellStyle name="Migliaia 56 3 5 3 3" xfId="21013" xr:uid="{ACD9C0F3-1979-4097-81A7-3DDD8B1D62C4}"/>
    <cellStyle name="Migliaia 56 3 5 4" xfId="25420" xr:uid="{63852A4A-8CA7-4D78-8C27-8959CB2013A2}"/>
    <cellStyle name="Migliaia 56 3 5 5" xfId="16820" xr:uid="{2F885496-477D-44BD-A896-441CAC682BDF}"/>
    <cellStyle name="Migliaia 56 3 5 6" xfId="8396" xr:uid="{0B32A2EC-4488-41B7-9C86-A0FDF5D3F14F}"/>
    <cellStyle name="Migliaia 56 3 6" xfId="5650" xr:uid="{C6A68D28-EC7F-4F07-A74D-AC1B756557C0}"/>
    <cellStyle name="Migliaia 56 3 6 2" xfId="14039" xr:uid="{E54412FB-2CC4-464A-8E18-EE7937D96178}"/>
    <cellStyle name="Migliaia 56 3 6 2 2" xfId="34622" xr:uid="{BF20BE70-342E-406F-9020-748F30BAE232}"/>
    <cellStyle name="Migliaia 56 3 6 3" xfId="18038" xr:uid="{1D21B6BA-81DB-4FC7-90D7-838334D02A32}"/>
    <cellStyle name="Migliaia 56 3 6 4" xfId="21014" xr:uid="{76001AA4-5EFE-4EA8-9648-FEADD2201A8C}"/>
    <cellStyle name="Migliaia 56 3 6 5" xfId="25421" xr:uid="{D830D695-1C18-403E-A91C-9CD3AEA269EA}"/>
    <cellStyle name="Migliaia 56 3 6 6" xfId="16821" xr:uid="{C02BF20B-972A-4BF2-95EA-6D8CFB294C20}"/>
    <cellStyle name="Migliaia 56 3 6 7" xfId="8028" xr:uid="{7E8CBE4D-67FE-4F37-8B70-72FF3A10CEB7}"/>
    <cellStyle name="Migliaia 56 3 7" xfId="6823" xr:uid="{6AB6FEC5-8357-49BC-9262-503A211AE607}"/>
    <cellStyle name="Migliaia 56 3 7 2" xfId="34623" xr:uid="{6406ECBD-AD3F-4CD2-8C89-B4918C987E16}"/>
    <cellStyle name="Migliaia 56 3 7 3" xfId="25422" xr:uid="{A4A9EF2E-BECB-4C6B-8974-5785E9D2838B}"/>
    <cellStyle name="Migliaia 56 3 7 4" xfId="11094" xr:uid="{867B1FB8-FD18-43DE-BF82-FB4E68A8A766}"/>
    <cellStyle name="Migliaia 56 3 8" xfId="3924" xr:uid="{19CFA78E-1034-4266-9FD8-BB7B8819262F}"/>
    <cellStyle name="Migliaia 56 3 8 2" xfId="34624" xr:uid="{7E5F53D0-6EE0-441D-B51F-0CCD04CE2F5B}"/>
    <cellStyle name="Migliaia 56 3 8 3" xfId="25423" xr:uid="{2D64BEC1-33A6-48EA-ADDF-C9A76C7B40BA}"/>
    <cellStyle name="Migliaia 56 3 8 4" xfId="17274" xr:uid="{A6F8A898-900A-466E-9FD8-E46251C7CF16}"/>
    <cellStyle name="Migliaia 56 3 9" xfId="21005" xr:uid="{738C9F3B-BA06-4575-9627-DA1D7C1992CF}"/>
    <cellStyle name="Migliaia 56 3 9 2" xfId="34607" xr:uid="{102B5201-4142-4719-95A3-FD601AEF8B9A}"/>
    <cellStyle name="Migliaia 56 4" xfId="1913" xr:uid="{00000000-0005-0000-0000-000090040000}"/>
    <cellStyle name="Migliaia 56 4 10" xfId="7600" xr:uid="{E17D7564-25A3-4338-A02E-A6645B4CDB18}"/>
    <cellStyle name="Migliaia 56 4 2" xfId="1914" xr:uid="{00000000-0005-0000-0000-000091040000}"/>
    <cellStyle name="Migliaia 56 4 2 2" xfId="5657" xr:uid="{A8A97463-5354-4766-8004-EE79AF967DDE}"/>
    <cellStyle name="Migliaia 56 4 2 2 2" xfId="34627" xr:uid="{09721606-30A3-492A-A5CD-7285A916E43E}"/>
    <cellStyle name="Migliaia 56 4 2 2 3" xfId="25426" xr:uid="{22159FA2-7377-4225-92BC-A9148875615B}"/>
    <cellStyle name="Migliaia 56 4 2 2 4" xfId="9210" xr:uid="{015D1089-BFBC-4343-8171-6BE01B2763EB}"/>
    <cellStyle name="Migliaia 56 4 2 3" xfId="3931" xr:uid="{63DA9050-030A-4F0B-A01F-E2B0332E52BE}"/>
    <cellStyle name="Migliaia 56 4 2 3 2" xfId="34628" xr:uid="{18CABEBD-E54F-4280-B644-C2F46ECE9947}"/>
    <cellStyle name="Migliaia 56 4 2 3 3" xfId="25427" xr:uid="{302236B2-3E0C-4688-BD42-DFE0BD36FA1A}"/>
    <cellStyle name="Migliaia 56 4 2 3 4" xfId="12093" xr:uid="{E2B736F9-93D7-45C9-AAF4-FB25768780A3}"/>
    <cellStyle name="Migliaia 56 4 2 4" xfId="11446" xr:uid="{C79A123A-1789-4E09-8CFE-B962BD58A26C}"/>
    <cellStyle name="Migliaia 56 4 2 4 2" xfId="34626" xr:uid="{948B7848-3AAB-47CF-BC34-5F78F6CF075B}"/>
    <cellStyle name="Migliaia 56 4 2 5" xfId="10991" xr:uid="{3BCAA596-EA90-4F33-9537-397BB151EB92}"/>
    <cellStyle name="Migliaia 56 4 2 5 2" xfId="21626" xr:uid="{810C2C9B-E86E-4F97-8F66-C7389C7B171E}"/>
    <cellStyle name="Migliaia 56 4 2 5 3" xfId="25184" xr:uid="{8DA9A535-BF8B-4CBB-897E-F208E0978EE9}"/>
    <cellStyle name="Migliaia 56 4 2 5 4" xfId="50641" xr:uid="{7867C53D-FAD9-4C47-8176-FDBEA066EB1C}"/>
    <cellStyle name="Migliaia 56 4 2 5 5" xfId="53657" xr:uid="{A1A83E49-2E4C-459A-A69D-C7DE8B777ADA}"/>
    <cellStyle name="Migliaia 56 4 2 6" xfId="21016" xr:uid="{1B8B50D4-AA6D-41FA-9BD2-03FBE3F29E81}"/>
    <cellStyle name="Migliaia 56 4 2 7" xfId="25425" xr:uid="{856B50EC-85A0-4DB6-914F-50CCC66BCFE6}"/>
    <cellStyle name="Migliaia 56 4 2 8" xfId="8790" xr:uid="{2CE70262-9C9B-4883-A43F-E1A566F8E251}"/>
    <cellStyle name="Migliaia 56 4 3" xfId="5656" xr:uid="{3E393823-581A-467F-A5EC-89F606FB253B}"/>
    <cellStyle name="Migliaia 56 4 3 2" xfId="18265" xr:uid="{EAEB170C-8A88-4E52-AD25-4657023CDACE}"/>
    <cellStyle name="Migliaia 56 4 3 2 2" xfId="34629" xr:uid="{2FC5E745-D52D-4999-8923-264498C807B6}"/>
    <cellStyle name="Migliaia 56 4 3 3" xfId="25428" xr:uid="{D013A6B1-491C-49E3-9890-5E37ADA26FB1}"/>
    <cellStyle name="Migliaia 56 4 3 4" xfId="17272" xr:uid="{D7194C91-43F2-454B-9E08-9C528F71AD36}"/>
    <cellStyle name="Migliaia 56 4 3 5" xfId="9211" xr:uid="{95C0CC28-C3E0-4777-AF55-0A6BB0B42F67}"/>
    <cellStyle name="Migliaia 56 4 4" xfId="6829" xr:uid="{75BD60C2-CB7B-4E9E-AA6E-D94F8A76C9C0}"/>
    <cellStyle name="Migliaia 56 4 4 2" xfId="34630" xr:uid="{EC349ED8-9973-4BCC-AE93-4C2AF7D8E13A}"/>
    <cellStyle name="Migliaia 56 4 4 3" xfId="25429" xr:uid="{A3E495D9-65F9-4D63-8795-7FECEDB5898D}"/>
    <cellStyle name="Migliaia 56 4 4 4" xfId="12094" xr:uid="{69E82EF4-6E67-46DE-B11E-663A66E176EB}"/>
    <cellStyle name="Migliaia 56 4 5" xfId="3930" xr:uid="{6A125E69-73AA-47C3-85F3-6EA3F106C8F5}"/>
    <cellStyle name="Migliaia 56 4 5 2" xfId="34631" xr:uid="{078D189B-8736-4845-ADB7-B2AF2EE9D9F6}"/>
    <cellStyle name="Migliaia 56 4 5 3" xfId="25430" xr:uid="{6C10DFEF-B959-4255-97B0-6014ABAE4E80}"/>
    <cellStyle name="Migliaia 56 4 5 4" xfId="11445" xr:uid="{4C68CEBD-9B9A-4B34-AB11-CC6F02815F48}"/>
    <cellStyle name="Migliaia 56 4 6" xfId="10990" xr:uid="{5793C17A-CF73-4AF3-813B-51A3427AD67B}"/>
    <cellStyle name="Migliaia 56 4 6 2" xfId="21625" xr:uid="{EBAB3CE5-1154-48F2-A17B-32A1C96E8647}"/>
    <cellStyle name="Migliaia 56 4 6 2 2" xfId="34632" xr:uid="{4B409C4E-D1E6-42B4-BBB6-12AF659354C9}"/>
    <cellStyle name="Migliaia 56 4 6 3" xfId="25431" xr:uid="{D241F1AF-D085-46A4-9107-15F00B1E1DD1}"/>
    <cellStyle name="Migliaia 56 4 6 4" xfId="47122" xr:uid="{E15E630B-3CA7-4950-B386-746835BE247D}"/>
    <cellStyle name="Migliaia 56 4 6 5" xfId="48883" xr:uid="{2842E22A-891B-4E47-8817-6D2FA5894B09}"/>
    <cellStyle name="Migliaia 56 4 6 6" xfId="50640" xr:uid="{C0CAE542-F672-4211-A706-B6563BF12600}"/>
    <cellStyle name="Migliaia 56 4 6 7" xfId="53656" xr:uid="{437DA487-7745-405C-8A69-BA282C3D0C84}"/>
    <cellStyle name="Migliaia 56 4 7" xfId="21015" xr:uid="{5A9E27B2-9C62-4423-94C7-39103AC26038}"/>
    <cellStyle name="Migliaia 56 4 7 2" xfId="34633" xr:uid="{85AE873F-ECB2-4555-85A3-28562F341F7E}"/>
    <cellStyle name="Migliaia 56 4 7 3" xfId="25432" xr:uid="{30BAA7DB-6161-434C-AB52-4A9530758CD7}"/>
    <cellStyle name="Migliaia 56 4 8" xfId="34625" xr:uid="{8EBA590F-9385-4BB3-B330-C308DE5746B1}"/>
    <cellStyle name="Migliaia 56 4 9" xfId="25424" xr:uid="{E4727F0F-CB72-4C42-9693-BA88B5F8A464}"/>
    <cellStyle name="Migliaia 56 5" xfId="1915" xr:uid="{00000000-0005-0000-0000-000092040000}"/>
    <cellStyle name="Migliaia 56 5 2" xfId="5658" xr:uid="{48095C67-20EA-40D1-B5BE-A0851C125E71}"/>
    <cellStyle name="Migliaia 56 5 2 2" xfId="18517" xr:uid="{FDE40644-A584-4762-85F9-3F805D88FAE7}"/>
    <cellStyle name="Migliaia 56 5 2 2 2" xfId="34635" xr:uid="{6C07DDB6-D66F-429C-ABDB-C38D01D34AA1}"/>
    <cellStyle name="Migliaia 56 5 2 3" xfId="21018" xr:uid="{BE550EB0-DF22-4C6B-9B16-D44A307CCC28}"/>
    <cellStyle name="Migliaia 56 5 2 4" xfId="25434" xr:uid="{E6560472-F82D-494C-A916-E7B2DAC57F0B}"/>
    <cellStyle name="Migliaia 56 5 2 5" xfId="16822" xr:uid="{021BD6F7-7FFC-4336-BEB5-B9154D002E77}"/>
    <cellStyle name="Migliaia 56 5 2 6" xfId="8791" xr:uid="{BB250489-27F4-4A36-9DC1-657D3A2CBE26}"/>
    <cellStyle name="Migliaia 56 5 3" xfId="6830" xr:uid="{B5077DDD-6FA5-4800-A6E2-E52FA1B78F14}"/>
    <cellStyle name="Migliaia 56 5 3 2" xfId="34636" xr:uid="{8B1BD818-3A09-4FE7-B94C-07C01192F513}"/>
    <cellStyle name="Migliaia 56 5 3 3" xfId="25435" xr:uid="{5317E8E7-BD17-4C91-B6DD-4882C416D145}"/>
    <cellStyle name="Migliaia 56 5 3 4" xfId="11447" xr:uid="{7FDF1DAF-6385-4A7A-B52E-B2D135C4964E}"/>
    <cellStyle name="Migliaia 56 5 4" xfId="3932" xr:uid="{AE09B1E3-7C6B-40A9-ADFA-6020A359E012}"/>
    <cellStyle name="Migliaia 56 5 4 2" xfId="21627" xr:uid="{8F667A7D-95D5-480C-8D47-EFF8DD9310E4}"/>
    <cellStyle name="Migliaia 56 5 4 2 2" xfId="34637" xr:uid="{92B7303E-AA60-481F-BDDD-AB512D6DF1DB}"/>
    <cellStyle name="Migliaia 56 5 4 3" xfId="25436" xr:uid="{DC30048E-E449-44F9-8E9C-8945956700AA}"/>
    <cellStyle name="Migliaia 56 5 4 4" xfId="48098" xr:uid="{F882F345-7DF8-47A5-A58E-391B59C2C6F3}"/>
    <cellStyle name="Migliaia 56 5 4 5" xfId="48884" xr:uid="{6CA29599-3D64-42F8-8295-10A056B5FE13}"/>
    <cellStyle name="Migliaia 56 5 4 6" xfId="50642" xr:uid="{00BE1D02-CE0F-4EC9-B9AA-6FC5A710EFEB}"/>
    <cellStyle name="Migliaia 56 5 4 7" xfId="53658" xr:uid="{E074150E-D489-441D-981B-98F7B53592FA}"/>
    <cellStyle name="Migliaia 56 5 4 8" xfId="10992" xr:uid="{83E05B08-AD2D-4BFE-BC89-CB96DF488886}"/>
    <cellStyle name="Migliaia 56 5 5" xfId="21017" xr:uid="{3A9A99B4-01BF-46C9-932F-18E429153F26}"/>
    <cellStyle name="Migliaia 56 5 5 2" xfId="34638" xr:uid="{32EC4B75-7D10-4581-9102-756F9E511470}"/>
    <cellStyle name="Migliaia 56 5 5 3" xfId="25437" xr:uid="{6438B605-FAE9-4FDD-8F2A-1910E1C46E71}"/>
    <cellStyle name="Migliaia 56 5 5 4" xfId="48885" xr:uid="{5208213F-031C-40E4-A0D3-1A3507AAF4E7}"/>
    <cellStyle name="Migliaia 56 5 6" xfId="25438" xr:uid="{01EDBF04-8259-4966-913D-CB345B149C9B}"/>
    <cellStyle name="Migliaia 56 5 6 2" xfId="34639" xr:uid="{7E0D0439-8100-4455-865D-9C1434E7C7C6}"/>
    <cellStyle name="Migliaia 56 5 7" xfId="34634" xr:uid="{B94261DE-55C8-425B-9672-F12B227650D0}"/>
    <cellStyle name="Migliaia 56 5 8" xfId="25433" xr:uid="{706D6172-6222-46A8-B937-AA0710299814}"/>
    <cellStyle name="Migliaia 56 5 9" xfId="7601" xr:uid="{46A49361-995B-4863-8840-E07C85AA3A08}"/>
    <cellStyle name="Migliaia 56 6" xfId="3933" xr:uid="{B041CAF5-79E4-4C40-AF37-1EFF835A1A14}"/>
    <cellStyle name="Migliaia 56 6 2" xfId="5659" xr:uid="{313DD077-D8AF-4DB6-8E8F-5E81B25ACA03}"/>
    <cellStyle name="Migliaia 56 6 2 2" xfId="9983" xr:uid="{D06B1151-35CD-44BF-AF80-97272EEC7729}"/>
    <cellStyle name="Migliaia 56 6 2 3" xfId="18597" xr:uid="{2C511821-99CD-4F63-9E39-26634A9886A6}"/>
    <cellStyle name="Migliaia 56 6 2 4" xfId="21020" xr:uid="{A9A98EF3-4FA9-433D-94B1-E374FC064C0A}"/>
    <cellStyle name="Migliaia 56 6 2 5" xfId="32478" xr:uid="{141514C4-D270-4659-A53E-8E19B7AAEB2C}"/>
    <cellStyle name="Migliaia 56 6 2 6" xfId="16824" xr:uid="{DB549CE9-102F-4481-A0B7-8E65EFFB9614}"/>
    <cellStyle name="Migliaia 56 6 2 7" xfId="8786" xr:uid="{00C358FD-3071-4168-B1A6-A59C1C4423B8}"/>
    <cellStyle name="Migliaia 56 6 3" xfId="6831" xr:uid="{EEA92A1F-3532-4F3C-8E5C-BC97C2A2E2D4}"/>
    <cellStyle name="Migliaia 56 6 3 2" xfId="35484" xr:uid="{E769CF35-86B5-4736-A94D-5FDB0F54E302}"/>
    <cellStyle name="Migliaia 56 6 3 2 2" xfId="40644" xr:uid="{F55918C4-CC92-454D-9962-8126A533F200}"/>
    <cellStyle name="Migliaia 56 6 3 2 3" xfId="45946" xr:uid="{7167E8AF-1CE6-483B-8D08-95D5DFCF6868}"/>
    <cellStyle name="Migliaia 56 6 3 3" xfId="37993" xr:uid="{C46A4CFB-4F93-40D9-AE91-B41433303E6D}"/>
    <cellStyle name="Migliaia 56 6 3 4" xfId="43295" xr:uid="{51BFDE2A-5297-42BA-A529-1BBAA50115F4}"/>
    <cellStyle name="Migliaia 56 6 3 5" xfId="9746" xr:uid="{4C304DAD-D623-4D9B-B7D5-98E28827CF67}"/>
    <cellStyle name="Migliaia 56 6 4" xfId="21019" xr:uid="{D8847057-5591-4431-8545-CA4A81D861EB}"/>
    <cellStyle name="Migliaia 56 6 4 2" xfId="34640" xr:uid="{5D2D2543-A050-4EC7-9CCD-8777A3E1AF3B}"/>
    <cellStyle name="Migliaia 56 6 5" xfId="25439" xr:uid="{24E328FD-956B-4505-9E54-B8FEE68BA05B}"/>
    <cellStyle name="Migliaia 56 6 6" xfId="16823" xr:uid="{0DE45EF5-0CF5-4447-9B61-650496EEBE49}"/>
    <cellStyle name="Migliaia 56 6 7" xfId="7596" xr:uid="{7FB8AAD5-01D4-4386-A562-D7822AC0CF34}"/>
    <cellStyle name="Migliaia 56 7" xfId="3934" xr:uid="{0061D3CF-4F2F-4EEA-9157-395A6D91E819}"/>
    <cellStyle name="Migliaia 56 7 2" xfId="5660" xr:uid="{2BBD2C37-B3CF-4164-A539-DB80FF1E9737}"/>
    <cellStyle name="Migliaia 56 7 2 2" xfId="35485" xr:uid="{19B60564-B0FA-40E0-9C91-5D382AAF46E8}"/>
    <cellStyle name="Migliaia 56 7 2 2 2" xfId="40645" xr:uid="{AFB4D4BA-EFF9-4293-8270-91A9D8E76670}"/>
    <cellStyle name="Migliaia 56 7 2 2 3" xfId="45947" xr:uid="{D910F033-DF69-411E-BBC1-52ED10D51B14}"/>
    <cellStyle name="Migliaia 56 7 2 3" xfId="37994" xr:uid="{706EE4C6-A770-457E-AB42-028EF995BA08}"/>
    <cellStyle name="Migliaia 56 7 2 4" xfId="43296" xr:uid="{104FAA5D-6C08-4D1E-B77E-35C8AE0E87EC}"/>
    <cellStyle name="Migliaia 56 7 2 5" xfId="14332" xr:uid="{25F9A2D8-9675-4F00-8CEB-F2DA9D733762}"/>
    <cellStyle name="Migliaia 56 7 3" xfId="6832" xr:uid="{CB42C656-21FB-4F76-90D6-A1E514BFCDB1}"/>
    <cellStyle name="Migliaia 56 7 3 2" xfId="34641" xr:uid="{4E9179A1-BBDA-419B-AC0A-7C2868A20F6B}"/>
    <cellStyle name="Migliaia 56 7 3 3" xfId="21021" xr:uid="{71CA0BDF-8A7C-46ED-91EA-9E571406646A}"/>
    <cellStyle name="Migliaia 56 7 4" xfId="25440" xr:uid="{82CF2D6E-A832-4325-ADBD-506F24E42F9D}"/>
    <cellStyle name="Migliaia 56 7 5" xfId="16825" xr:uid="{43DE8800-5168-4A8F-985B-2F0E8AE0234F}"/>
    <cellStyle name="Migliaia 56 7 6" xfId="8394" xr:uid="{ABC2BFFE-76B0-4D76-978C-E4AD603EDCDB}"/>
    <cellStyle name="Migliaia 56 8" xfId="3935" xr:uid="{F7E9E5FA-6142-40A6-B5D3-AA016D6BED87}"/>
    <cellStyle name="Migliaia 56 8 2" xfId="5661" xr:uid="{C1E7168A-AB92-4EED-BBFB-F5F6B9D4A487}"/>
    <cellStyle name="Migliaia 56 8 2 2" xfId="35486" xr:uid="{0236AE24-26D8-4BAB-B548-FF9FF627B2AE}"/>
    <cellStyle name="Migliaia 56 8 2 2 2" xfId="40646" xr:uid="{E1BAF61D-9AEE-4252-92D5-DC7F59D77EA1}"/>
    <cellStyle name="Migliaia 56 8 2 2 3" xfId="45948" xr:uid="{785F89AA-3332-4585-AEFD-E91BD835911B}"/>
    <cellStyle name="Migliaia 56 8 2 3" xfId="37995" xr:uid="{12616BAA-3EF2-4B1F-9DDC-FBD2794870BC}"/>
    <cellStyle name="Migliaia 56 8 2 4" xfId="43297" xr:uid="{F3C29DD8-F259-4A1A-9E5E-62B513B424E6}"/>
    <cellStyle name="Migliaia 56 8 2 5" xfId="14037" xr:uid="{AB1B1C17-B3FF-4BD5-A077-A34070553DCD}"/>
    <cellStyle name="Migliaia 56 8 3" xfId="6833" xr:uid="{B8B83507-9E10-4F61-8763-D53533D27157}"/>
    <cellStyle name="Migliaia 56 8 3 2" xfId="34642" xr:uid="{A6F97471-A7C3-430C-BBFD-E0062E77D8E9}"/>
    <cellStyle name="Migliaia 56 8 3 3" xfId="21022" xr:uid="{CE79C05B-9D45-4000-A384-45E1ABF88E53}"/>
    <cellStyle name="Migliaia 56 8 4" xfId="25441" xr:uid="{5A5EAAA4-278C-4A15-BC39-D399DF4E2C07}"/>
    <cellStyle name="Migliaia 56 8 5" xfId="16826" xr:uid="{35FA27B4-FEB7-423E-967A-1628111C6D92}"/>
    <cellStyle name="Migliaia 56 8 6" xfId="8026" xr:uid="{9D839F1C-F7FE-42BA-B1CF-DC32EE4F15CE}"/>
    <cellStyle name="Migliaia 56 9" xfId="5646" xr:uid="{82ED4B79-C498-4E90-932A-AC5885DEFD78}"/>
    <cellStyle name="Migliaia 56 9 2" xfId="34643" xr:uid="{8615C76A-87C6-4959-9CF1-5EBFF6BDF1D2}"/>
    <cellStyle name="Migliaia 56 9 3" xfId="25442" xr:uid="{82F8EA1D-BE61-43CA-9B76-89876D4D5ABD}"/>
    <cellStyle name="Migliaia 56 9 4" xfId="17237" xr:uid="{65D7DDC6-9184-481E-9A35-1FBB6A4997FF}"/>
    <cellStyle name="Migliaia 57" xfId="509" xr:uid="{00000000-0005-0000-0000-000093040000}"/>
    <cellStyle name="Migliaia 57 10" xfId="6834" xr:uid="{E898081A-4834-4DE0-A219-4446A09BC029}"/>
    <cellStyle name="Migliaia 57 10 2" xfId="34644" xr:uid="{F925FF70-04DB-4340-8511-ECEDC0C3F6F6}"/>
    <cellStyle name="Migliaia 57 10 3" xfId="21023" xr:uid="{EB02D242-E3BD-428C-B978-C5EADB1D7257}"/>
    <cellStyle name="Migliaia 57 11" xfId="3936" xr:uid="{9BF00671-8E7C-417F-B22F-566C81EDAFBB}"/>
    <cellStyle name="Migliaia 57 11 2" xfId="25443" xr:uid="{97C19897-78E7-45BD-845E-8F3E5D774B05}"/>
    <cellStyle name="Migliaia 57 12" xfId="7198" xr:uid="{0F8F3552-BE7E-422E-9974-3359C00D5508}"/>
    <cellStyle name="Migliaia 57 2" xfId="510" xr:uid="{00000000-0005-0000-0000-000094040000}"/>
    <cellStyle name="Migliaia 57 2 2" xfId="1916" xr:uid="{00000000-0005-0000-0000-000095040000}"/>
    <cellStyle name="Migliaia 57 2 2 2" xfId="5664" xr:uid="{D77FABF2-3F95-4DE2-9819-B255D6D2CB99}"/>
    <cellStyle name="Migliaia 57 2 2 2 2" xfId="14415" xr:uid="{EC25DD13-D2B4-460E-B11D-E8BE71362B5F}"/>
    <cellStyle name="Migliaia 57 2 2 2 2 2" xfId="34647" xr:uid="{ED6710DC-4431-4AD9-B0D1-CF5F1D9CA40C}"/>
    <cellStyle name="Migliaia 57 2 2 2 3" xfId="18518" xr:uid="{718E1BBD-5694-4DB1-AFFC-54EE5793DA24}"/>
    <cellStyle name="Migliaia 57 2 2 2 4" xfId="21026" xr:uid="{7D5FA5FC-30E8-4652-817B-947F2565A07C}"/>
    <cellStyle name="Migliaia 57 2 2 2 5" xfId="25446" xr:uid="{9BAE4AC2-FF92-4DD2-8EF2-714D898B8BED}"/>
    <cellStyle name="Migliaia 57 2 2 2 6" xfId="16827" xr:uid="{BA602CB2-0FCA-4647-ACAF-E71878F7E2EA}"/>
    <cellStyle name="Migliaia 57 2 2 2 7" xfId="8793" xr:uid="{45C25ABE-6DAE-461D-8779-14991178F5DE}"/>
    <cellStyle name="Migliaia 57 2 2 3" xfId="6836" xr:uid="{92012A35-829F-43C0-934B-4FBE290B143F}"/>
    <cellStyle name="Migliaia 57 2 2 3 2" xfId="35487" xr:uid="{5901A308-9740-4678-BFA1-003A7BB39F37}"/>
    <cellStyle name="Migliaia 57 2 2 3 2 2" xfId="40647" xr:uid="{68AB57AC-EFDF-43B1-AFB0-1868301CC87E}"/>
    <cellStyle name="Migliaia 57 2 2 3 2 3" xfId="45949" xr:uid="{DAB57F3D-A273-4885-A658-6D06B77801B8}"/>
    <cellStyle name="Migliaia 57 2 2 3 3" xfId="37996" xr:uid="{3F3BFBFE-8F04-4459-8BCC-3D118491C69F}"/>
    <cellStyle name="Migliaia 57 2 2 3 4" xfId="43298" xr:uid="{30B8D0BE-E512-4D8A-B1EC-747EAC5E15DB}"/>
    <cellStyle name="Migliaia 57 2 2 3 5" xfId="11642" xr:uid="{6183C22F-48BE-4776-B1C8-787E91517E9C}"/>
    <cellStyle name="Migliaia 57 2 2 4" xfId="3938" xr:uid="{190A57A3-BFCA-4526-8F9D-1686C6593331}"/>
    <cellStyle name="Migliaia 57 2 2 4 2" xfId="21628" xr:uid="{75325775-0802-49F5-86E8-703CD6445791}"/>
    <cellStyle name="Migliaia 57 2 2 4 3" xfId="34646" xr:uid="{F3327092-E75F-4E58-AD90-74312C68186B}"/>
    <cellStyle name="Migliaia 57 2 2 4 4" xfId="46708" xr:uid="{F2613A95-AFF6-4603-B82D-3BBE76E5E98E}"/>
    <cellStyle name="Migliaia 57 2 2 4 5" xfId="50643" xr:uid="{CA30AADE-95B4-454B-945B-E4FA1D00952C}"/>
    <cellStyle name="Migliaia 57 2 2 4 6" xfId="53659" xr:uid="{CCE20F47-33CE-4F71-8F07-22DAC10E1947}"/>
    <cellStyle name="Migliaia 57 2 2 4 7" xfId="10993" xr:uid="{AF4238B9-793B-466E-8B44-4D64D01BE806}"/>
    <cellStyle name="Migliaia 57 2 2 5" xfId="21025" xr:uid="{1D865DC0-DBE0-4AE2-BDB1-6C096977BF90}"/>
    <cellStyle name="Migliaia 57 2 2 6" xfId="25445" xr:uid="{4844A2DF-B519-4739-A9BF-44C26A1785E3}"/>
    <cellStyle name="Migliaia 57 2 2 7" xfId="7603" xr:uid="{E16F61F9-1EB1-45EB-8985-3EB19B18762A}"/>
    <cellStyle name="Migliaia 57 2 3" xfId="3939" xr:uid="{84A857F6-AC1D-4113-8D18-266D8B13A41A}"/>
    <cellStyle name="Migliaia 57 2 3 2" xfId="5665" xr:uid="{3D6E92E3-8240-4AB4-B0EC-7E0965F6A0A3}"/>
    <cellStyle name="Migliaia 57 2 3 2 2" xfId="35488" xr:uid="{91060D32-12F6-48A2-81F0-87D6C175B59A}"/>
    <cellStyle name="Migliaia 57 2 3 2 2 2" xfId="40648" xr:uid="{5A94B853-C59D-429D-8022-1643881400BB}"/>
    <cellStyle name="Migliaia 57 2 3 2 2 3" xfId="45950" xr:uid="{C7F2EDF4-C40A-45A0-8FB3-4014135170FE}"/>
    <cellStyle name="Migliaia 57 2 3 2 3" xfId="37997" xr:uid="{6CECE9F4-B3DF-48D5-A204-6EE317E578D2}"/>
    <cellStyle name="Migliaia 57 2 3 2 4" xfId="43299" xr:uid="{9B9293E5-6DF2-4F19-B7C4-F7C7F7CC53CC}"/>
    <cellStyle name="Migliaia 57 2 3 2 5" xfId="14336" xr:uid="{459A5CCE-4CC9-4FCA-98FC-923C1BA92B83}"/>
    <cellStyle name="Migliaia 57 2 3 3" xfId="6837" xr:uid="{9A4DE322-7430-4274-8F95-933A7FDBB532}"/>
    <cellStyle name="Migliaia 57 2 3 3 2" xfId="34648" xr:uid="{0FD176F7-7F21-46A9-9910-E2F05CBE0326}"/>
    <cellStyle name="Migliaia 57 2 3 3 3" xfId="21027" xr:uid="{682C3B69-587B-4237-B783-4769CCAA51CE}"/>
    <cellStyle name="Migliaia 57 2 3 4" xfId="25447" xr:uid="{6D639D4E-155E-45F1-9A80-5930354FA312}"/>
    <cellStyle name="Migliaia 57 2 3 5" xfId="16828" xr:uid="{A12986BD-38E3-4E7B-9CF3-7EC8998BC096}"/>
    <cellStyle name="Migliaia 57 2 3 6" xfId="8398" xr:uid="{85EEBB6B-A242-408F-A83C-7B8F159B6E68}"/>
    <cellStyle name="Migliaia 57 2 4" xfId="5663" xr:uid="{B83BFDAE-4557-4600-BDEB-4CBFA33A9926}"/>
    <cellStyle name="Migliaia 57 2 4 2" xfId="14041" xr:uid="{0BA92C18-4BEE-4E94-B54C-A67092A72A12}"/>
    <cellStyle name="Migliaia 57 2 4 2 2" xfId="34649" xr:uid="{798FC279-B357-46D5-9840-13C4620406D6}"/>
    <cellStyle name="Migliaia 57 2 4 3" xfId="18688" xr:uid="{77E778E2-B2D6-4AB2-ADE6-EE9E19D6F40A}"/>
    <cellStyle name="Migliaia 57 2 4 4" xfId="21028" xr:uid="{52661B0F-180F-4C01-88DE-04C83FD1EFCE}"/>
    <cellStyle name="Migliaia 57 2 4 5" xfId="25448" xr:uid="{35038C8A-473F-444D-8EB0-7841A33772C7}"/>
    <cellStyle name="Migliaia 57 2 4 6" xfId="16829" xr:uid="{C4910F49-5304-41C4-B303-8D315A9285F0}"/>
    <cellStyle name="Migliaia 57 2 4 7" xfId="8031" xr:uid="{BBC06808-DC7C-4672-86E6-C04EED5D8251}"/>
    <cellStyle name="Migliaia 57 2 5" xfId="6835" xr:uid="{5D0B3699-2729-4E40-9B9B-56C39B03C29B}"/>
    <cellStyle name="Migliaia 57 2 5 2" xfId="34650" xr:uid="{B7C50139-74E7-44CC-8CBD-CA05D45F88F3}"/>
    <cellStyle name="Migliaia 57 2 5 3" xfId="25449" xr:uid="{777F8751-9130-4333-A1E5-43E7879BD209}"/>
    <cellStyle name="Migliaia 57 2 5 4" xfId="13155" xr:uid="{56CACF99-29E8-4063-8300-7A8B158CCD98}"/>
    <cellStyle name="Migliaia 57 2 6" xfId="3937" xr:uid="{16B11CBC-9F5F-45E5-ACF9-FC4BE515167E}"/>
    <cellStyle name="Migliaia 57 2 6 2" xfId="34651" xr:uid="{4E084DD9-6F91-4822-A955-7837808EC8FF}"/>
    <cellStyle name="Migliaia 57 2 6 3" xfId="25450" xr:uid="{79DFF9D9-E11B-4CC7-9EC3-335B10BE277D}"/>
    <cellStyle name="Migliaia 57 2 6 4" xfId="21024" xr:uid="{CD619292-F0D5-43E8-A4C5-FF7D070BC916}"/>
    <cellStyle name="Migliaia 57 2 7" xfId="34645" xr:uid="{E164F44D-155A-400F-8244-DA54554D8B2B}"/>
    <cellStyle name="Migliaia 57 2 8" xfId="25444" xr:uid="{D228260E-9644-4AC7-B1E7-92F2CD6A39F1}"/>
    <cellStyle name="Migliaia 57 2 9" xfId="7199" xr:uid="{9971E98B-C7A0-4F59-9137-76DB07D6B263}"/>
    <cellStyle name="Migliaia 57 3" xfId="511" xr:uid="{00000000-0005-0000-0000-000096040000}"/>
    <cellStyle name="Migliaia 57 3 10" xfId="25451" xr:uid="{E85D59B9-30D1-4923-A813-6BE5BAF06B28}"/>
    <cellStyle name="Migliaia 57 3 11" xfId="16830" xr:uid="{E92674C3-6F65-4795-8BF0-D067EDF190BF}"/>
    <cellStyle name="Migliaia 57 3 12" xfId="7200" xr:uid="{2A1EC7AE-98AE-4D1F-8CF9-792905FB3A44}"/>
    <cellStyle name="Migliaia 57 3 2" xfId="512" xr:uid="{00000000-0005-0000-0000-000097040000}"/>
    <cellStyle name="Migliaia 57 3 2 2" xfId="1917" xr:uid="{00000000-0005-0000-0000-000098040000}"/>
    <cellStyle name="Migliaia 57 3 2 2 2" xfId="5668" xr:uid="{4A9D6CAF-5817-4BF3-BC81-51E01E477CC2}"/>
    <cellStyle name="Migliaia 57 3 2 2 2 2" xfId="18519" xr:uid="{BD3CB6D8-FBDF-48F4-8928-66C1DBF0B19C}"/>
    <cellStyle name="Migliaia 57 3 2 2 2 2 2" xfId="21893" xr:uid="{A2FC17FF-E43B-43E6-A9A2-A6CA12E40784}"/>
    <cellStyle name="Migliaia 57 3 2 2 2 2 3" xfId="34655" xr:uid="{B58A04F3-5A0B-4B3D-AA1E-BB845FBC638C}"/>
    <cellStyle name="Migliaia 57 3 2 2 2 3" xfId="25454" xr:uid="{1219F686-40CE-402C-981B-E5B34F23B883}"/>
    <cellStyle name="Migliaia 57 3 2 2 2 4" xfId="47521" xr:uid="{9BDACD2F-6806-4C19-9682-D579A3084853}"/>
    <cellStyle name="Migliaia 57 3 2 2 2 5" xfId="50921" xr:uid="{0025B228-8414-4571-9BDC-6DE9019D37F9}"/>
    <cellStyle name="Migliaia 57 3 2 2 2 6" xfId="53937" xr:uid="{097059BB-4114-422B-BE20-51AA4BA67EC7}"/>
    <cellStyle name="Migliaia 57 3 2 2 2 7" xfId="17692" xr:uid="{941CE019-7AD8-4A53-BE66-8F099F62F527}"/>
    <cellStyle name="Migliaia 57 3 2 2 2 8" xfId="12095" xr:uid="{38D46E56-8D95-4D32-8920-B96D205603B7}"/>
    <cellStyle name="Migliaia 57 3 2 2 3" xfId="6840" xr:uid="{B3674FF5-1D58-4E10-B4D9-ABA2AD756ED5}"/>
    <cellStyle name="Migliaia 57 3 2 2 3 2" xfId="34654" xr:uid="{3943FCB1-95BE-4CFB-BC5F-320EBC9BC764}"/>
    <cellStyle name="Migliaia 57 3 2 2 3 3" xfId="12203" xr:uid="{80239826-4600-4FFB-8D9A-5B3B3405262F}"/>
    <cellStyle name="Migliaia 57 3 2 2 4" xfId="3942" xr:uid="{4C064C4A-7591-4FF1-A47A-6C7D0BB691B4}"/>
    <cellStyle name="Migliaia 57 3 2 2 4 2" xfId="21629" xr:uid="{6369FB09-41C7-4EFE-AA45-FE2A5A032B5B}"/>
    <cellStyle name="Migliaia 57 3 2 2 4 3" xfId="48039" xr:uid="{52035214-2A74-41FB-BBBA-0EA3795A375B}"/>
    <cellStyle name="Migliaia 57 3 2 2 4 4" xfId="50644" xr:uid="{3ADB39FF-0BB9-4AB4-A1F5-4749D65AE574}"/>
    <cellStyle name="Migliaia 57 3 2 2 4 5" xfId="53660" xr:uid="{A71B4C40-0E79-4866-AFC9-B7869098F794}"/>
    <cellStyle name="Migliaia 57 3 2 2 4 6" xfId="10994" xr:uid="{AD8C34DF-F735-4179-A090-6630B37A7BF3}"/>
    <cellStyle name="Migliaia 57 3 2 2 5" xfId="21031" xr:uid="{6041F847-C7B6-4C67-866A-9ACAD72D047B}"/>
    <cellStyle name="Migliaia 57 3 2 2 6" xfId="25453" xr:uid="{7D58EC84-D421-4988-A774-975820F5E397}"/>
    <cellStyle name="Migliaia 57 3 2 2 7" xfId="8795" xr:uid="{6F8B5950-D1D7-4E09-A4BA-D6F1A27DEA27}"/>
    <cellStyle name="Migliaia 57 3 2 3" xfId="5667" xr:uid="{09A10AC8-B0C1-4A30-A43C-F32FE9E49DDF}"/>
    <cellStyle name="Migliaia 57 3 2 3 2" xfId="12396" xr:uid="{4DCAA788-9672-4275-AD3F-7361C95F0FAB}"/>
    <cellStyle name="Migliaia 57 3 2 3 2 2" xfId="34656" xr:uid="{E0910861-12BB-4D87-B83B-82A08BC21C1C}"/>
    <cellStyle name="Migliaia 57 3 2 3 3" xfId="12096" xr:uid="{ACB07EEE-2C4A-4119-8C22-5A7CD9678C35}"/>
    <cellStyle name="Migliaia 57 3 2 3 4" xfId="21032" xr:uid="{DA208C88-3BA1-4430-9A80-A413E6986B35}"/>
    <cellStyle name="Migliaia 57 3 2 3 5" xfId="25455" xr:uid="{72CF2800-F257-43C2-A946-50EC4DA23982}"/>
    <cellStyle name="Migliaia 57 3 2 3 6" xfId="16831" xr:uid="{40181EF9-A3CD-42F9-913F-902A476F8F45}"/>
    <cellStyle name="Migliaia 57 3 2 3 7" xfId="8033" xr:uid="{7B7B71DC-C84F-497E-8512-283A443830E7}"/>
    <cellStyle name="Migliaia 57 3 2 4" xfId="6839" xr:uid="{4A058FBC-706D-4461-BF39-B23587F29F16}"/>
    <cellStyle name="Migliaia 57 3 2 4 2" xfId="18109" xr:uid="{0837D862-EDA2-4EBF-93B6-F5AFBB025FA7}"/>
    <cellStyle name="Migliaia 57 3 2 4 2 2" xfId="34657" xr:uid="{1A94A89F-A1A6-4558-AAD3-8CEC972312DA}"/>
    <cellStyle name="Migliaia 57 3 2 4 3" xfId="25456" xr:uid="{73E309BB-7020-439B-B175-0362A89EB02A}"/>
    <cellStyle name="Migliaia 57 3 2 4 4" xfId="17240" xr:uid="{77C3A3A1-2ABC-4C15-8107-6F4CF36671BF}"/>
    <cellStyle name="Migliaia 57 3 2 4 5" xfId="11448" xr:uid="{4F464FD2-93AC-4D31-B8B7-656F3DB56D40}"/>
    <cellStyle name="Migliaia 57 3 2 5" xfId="3941" xr:uid="{68184B42-55C8-489E-A416-8C5EE303A1BD}"/>
    <cellStyle name="Migliaia 57 3 2 5 2" xfId="34658" xr:uid="{9D514358-6115-487F-9622-2C0B1C790511}"/>
    <cellStyle name="Migliaia 57 3 2 5 3" xfId="25457" xr:uid="{ECCF3360-B466-43EA-AECC-6C9152527559}"/>
    <cellStyle name="Migliaia 57 3 2 5 4" xfId="17270" xr:uid="{58FE85B1-E369-4425-95BA-819663B8AC9E}"/>
    <cellStyle name="Migliaia 57 3 2 6" xfId="21030" xr:uid="{22B34744-A822-4560-9FB0-E00A8B7128B3}"/>
    <cellStyle name="Migliaia 57 3 2 6 2" xfId="34659" xr:uid="{838C053B-3F52-4C4B-9439-9D054073C012}"/>
    <cellStyle name="Migliaia 57 3 2 6 3" xfId="25458" xr:uid="{6A148829-E6EB-4501-B9FE-296CCFBF9F73}"/>
    <cellStyle name="Migliaia 57 3 2 7" xfId="34653" xr:uid="{B04D245B-6028-4006-8B8E-CDE30C777DC8}"/>
    <cellStyle name="Migliaia 57 3 2 8" xfId="25452" xr:uid="{4DAFDCB1-FC7D-4070-8633-F3218FCC11BE}"/>
    <cellStyle name="Migliaia 57 3 2 9" xfId="7605" xr:uid="{BF4355AD-6BFE-458A-B6C8-EA9E03B62F42}"/>
    <cellStyle name="Migliaia 57 3 3" xfId="3943" xr:uid="{5FA081B1-B12E-41AF-B85B-126F43D38E39}"/>
    <cellStyle name="Migliaia 57 3 3 2" xfId="5669" xr:uid="{57F86EA8-9873-45C5-8173-FCEE4CB06B07}"/>
    <cellStyle name="Migliaia 57 3 3 2 2" xfId="9986" xr:uid="{ECEE7950-A65E-436B-87DC-5EB33C7D9CCF}"/>
    <cellStyle name="Migliaia 57 3 3 2 2 2" xfId="34661" xr:uid="{C8E58E1F-BB91-4417-9F68-CE9E2FB740DE}"/>
    <cellStyle name="Migliaia 57 3 3 2 3" xfId="18266" xr:uid="{38E9C2F2-415D-4270-B71A-B5E14724C5EE}"/>
    <cellStyle name="Migliaia 57 3 3 2 4" xfId="21034" xr:uid="{51AAB5FB-A31A-4B0E-90C0-17053F21ABB6}"/>
    <cellStyle name="Migliaia 57 3 3 2 5" xfId="25460" xr:uid="{1CD4C75F-095F-4DB5-BEEB-833F82598047}"/>
    <cellStyle name="Migliaia 57 3 3 2 6" xfId="16833" xr:uid="{6557F068-0CFD-4E51-AF27-33092CB84BEA}"/>
    <cellStyle name="Migliaia 57 3 3 2 7" xfId="8794" xr:uid="{C96D8F87-1746-4EE7-A2B7-DF8CE173F229}"/>
    <cellStyle name="Migliaia 57 3 3 3" xfId="6841" xr:uid="{9E283155-F271-4676-BCF0-E2512DBAD974}"/>
    <cellStyle name="Migliaia 57 3 3 3 2" xfId="34662" xr:uid="{9781EB8C-796A-4422-8951-B14869E5507A}"/>
    <cellStyle name="Migliaia 57 3 3 3 3" xfId="25461" xr:uid="{D1039AC7-4C6C-4DB0-9D97-55E97FE35673}"/>
    <cellStyle name="Migliaia 57 3 3 3 4" xfId="9749" xr:uid="{479F1A12-921F-4AE6-B3EB-96294BC6E38C}"/>
    <cellStyle name="Migliaia 57 3 3 4" xfId="21033" xr:uid="{E3BEA668-3A2D-4CA7-A289-CFC5C28EC5A5}"/>
    <cellStyle name="Migliaia 57 3 3 4 2" xfId="34663" xr:uid="{4686C9D1-4B83-43FA-BFEA-3A6F50BCAFC2}"/>
    <cellStyle name="Migliaia 57 3 3 4 3" xfId="25462" xr:uid="{E63BFA90-AB26-4B9E-A813-76E3F3F0237D}"/>
    <cellStyle name="Migliaia 57 3 3 4 4" xfId="48886" xr:uid="{76B5782A-CF22-4262-AB49-C05865960585}"/>
    <cellStyle name="Migliaia 57 3 3 5" xfId="25463" xr:uid="{044E7493-37C8-4760-89FD-CBB87229D775}"/>
    <cellStyle name="Migliaia 57 3 3 5 2" xfId="34664" xr:uid="{B28B50CE-E885-4C10-BDB0-B561292F54DF}"/>
    <cellStyle name="Migliaia 57 3 3 5 3" xfId="48887" xr:uid="{AFDB0CA2-AEBF-4E69-A93E-7BB735F05D1C}"/>
    <cellStyle name="Migliaia 57 3 3 6" xfId="34660" xr:uid="{4BB7662B-2E6C-4909-8431-AF2D2634CFED}"/>
    <cellStyle name="Migliaia 57 3 3 7" xfId="25459" xr:uid="{D3674E58-A736-4E9D-9015-0ED9F1B5273E}"/>
    <cellStyle name="Migliaia 57 3 3 8" xfId="16832" xr:uid="{ADA1EA0D-F684-4F21-AD4A-CB0E56A52B5B}"/>
    <cellStyle name="Migliaia 57 3 3 9" xfId="7604" xr:uid="{9F0B82C8-2393-445E-B675-CE57072FBA69}"/>
    <cellStyle name="Migliaia 57 3 4" xfId="3944" xr:uid="{B953C0B9-822F-4B0F-9661-60C746437117}"/>
    <cellStyle name="Migliaia 57 3 4 2" xfId="5670" xr:uid="{DA48DE7B-63A1-4041-A834-FDF9CCAC7C8C}"/>
    <cellStyle name="Migliaia 57 3 4 2 2" xfId="14475" xr:uid="{E42E1454-3D24-4F14-9483-AF5B5F5CB3D1}"/>
    <cellStyle name="Migliaia 57 3 4 2 3" xfId="18560" xr:uid="{A75F128A-D315-4378-B7B5-FD9BE03EFA62}"/>
    <cellStyle name="Migliaia 57 3 4 2 4" xfId="21036" xr:uid="{69D62B95-6A00-4D1A-A154-E402672B42D3}"/>
    <cellStyle name="Migliaia 57 3 4 2 5" xfId="32479" xr:uid="{D92B6802-63D6-449A-8AE2-32B4029B8EA2}"/>
    <cellStyle name="Migliaia 57 3 4 2 6" xfId="16835" xr:uid="{81917B93-C5CB-47C3-99EF-55DDABED9A6F}"/>
    <cellStyle name="Migliaia 57 3 4 2 7" xfId="8898" xr:uid="{BB91B594-CCF1-46AD-91F0-AD3AD4B97FCD}"/>
    <cellStyle name="Migliaia 57 3 4 3" xfId="6842" xr:uid="{61DD9EFB-2738-4F11-9294-E4BF87A6A5B8}"/>
    <cellStyle name="Migliaia 57 3 4 3 2" xfId="35489" xr:uid="{BCF57C9B-FE57-4810-9AD0-EB98756CF4DD}"/>
    <cellStyle name="Migliaia 57 3 4 3 2 2" xfId="40649" xr:uid="{356A86A8-F6F0-4AF3-A762-E75EEF71EC47}"/>
    <cellStyle name="Migliaia 57 3 4 3 2 3" xfId="45951" xr:uid="{9B06D001-91F4-4C24-AA76-EE58B2B0C345}"/>
    <cellStyle name="Migliaia 57 3 4 3 3" xfId="37998" xr:uid="{541F6E24-3A42-4860-ADD7-7EDF5D82D355}"/>
    <cellStyle name="Migliaia 57 3 4 3 4" xfId="43300" xr:uid="{36CA876C-BC00-4878-B04B-9EB84151BAD2}"/>
    <cellStyle name="Migliaia 57 3 4 3 5" xfId="13723" xr:uid="{83E0F659-9498-420E-B876-B0B9A8DB3800}"/>
    <cellStyle name="Migliaia 57 3 4 4" xfId="21035" xr:uid="{8162EFA1-7359-416B-8616-F9DC00B8370E}"/>
    <cellStyle name="Migliaia 57 3 4 4 2" xfId="34665" xr:uid="{F0F1340F-F131-48E6-AA3A-6FD1CF621F6A}"/>
    <cellStyle name="Migliaia 57 3 4 5" xfId="25464" xr:uid="{C8201764-904A-49AF-A0D5-8644BEBE35BC}"/>
    <cellStyle name="Migliaia 57 3 4 6" xfId="16834" xr:uid="{77F85E75-1245-4857-9ABA-9EC3669ACC49}"/>
    <cellStyle name="Migliaia 57 3 4 7" xfId="7708" xr:uid="{1B05E8F9-D756-4DD4-8161-EA1665BB6897}"/>
    <cellStyle name="Migliaia 57 3 5" xfId="3945" xr:uid="{4F0F4F44-F663-4BD9-8FD7-693748D3A300}"/>
    <cellStyle name="Migliaia 57 3 5 2" xfId="5671" xr:uid="{15717F24-AEC1-4B88-B331-FE4A3B4D8BD8}"/>
    <cellStyle name="Migliaia 57 3 5 2 2" xfId="35490" xr:uid="{9D88A49D-4F45-41C3-AA9C-AFC7AB8121CD}"/>
    <cellStyle name="Migliaia 57 3 5 2 2 2" xfId="40650" xr:uid="{6A9D4844-FC43-4D75-8EF8-1569E2BDB3F0}"/>
    <cellStyle name="Migliaia 57 3 5 2 2 3" xfId="45952" xr:uid="{B342ACC6-D72D-49D1-8B25-6393A480F733}"/>
    <cellStyle name="Migliaia 57 3 5 2 3" xfId="37999" xr:uid="{F22FDCE7-F3EE-4E28-8C79-D0D8354A76A5}"/>
    <cellStyle name="Migliaia 57 3 5 2 4" xfId="43301" xr:uid="{DD9163C5-8E0E-4788-B6AB-B576EFFEF998}"/>
    <cellStyle name="Migliaia 57 3 5 2 5" xfId="14337" xr:uid="{58617892-A29B-4A4C-826E-A29152ADFCA2}"/>
    <cellStyle name="Migliaia 57 3 5 3" xfId="6843" xr:uid="{DF6E40F6-C64B-4735-8B43-C36157638802}"/>
    <cellStyle name="Migliaia 57 3 5 3 2" xfId="34666" xr:uid="{590DF40A-1E25-4F78-ADAF-04BE6643D213}"/>
    <cellStyle name="Migliaia 57 3 5 3 3" xfId="21037" xr:uid="{02B01A6C-70F3-440A-B86A-89A856AE37CD}"/>
    <cellStyle name="Migliaia 57 3 5 4" xfId="25465" xr:uid="{26854BF3-5A6C-41CD-BF99-433854ADBE2D}"/>
    <cellStyle name="Migliaia 57 3 5 5" xfId="16836" xr:uid="{B2ECBD55-43C4-421B-91F6-382C5C001C58}"/>
    <cellStyle name="Migliaia 57 3 5 6" xfId="8399" xr:uid="{39CFF6DA-AA3E-43E8-A2CE-11DA299895F7}"/>
    <cellStyle name="Migliaia 57 3 6" xfId="5666" xr:uid="{044439EB-466C-4A6F-9D56-46FDB557CF26}"/>
    <cellStyle name="Migliaia 57 3 6 2" xfId="14042" xr:uid="{DA43DE51-AFEA-4EE2-8F76-530312135B88}"/>
    <cellStyle name="Migliaia 57 3 6 2 2" xfId="34667" xr:uid="{031DC148-B184-443F-B442-C691E7B1EB55}"/>
    <cellStyle name="Migliaia 57 3 6 3" xfId="18294" xr:uid="{A9D54C51-7722-406D-AE22-28086FF7DA73}"/>
    <cellStyle name="Migliaia 57 3 6 4" xfId="21038" xr:uid="{281492C6-CA67-4210-8076-81194FCE83F7}"/>
    <cellStyle name="Migliaia 57 3 6 5" xfId="25466" xr:uid="{FCB7C2E2-3E07-4DC9-89CE-C452DDDE5F89}"/>
    <cellStyle name="Migliaia 57 3 6 6" xfId="16837" xr:uid="{9FF240AF-37BF-431C-A242-854B43EA0F54}"/>
    <cellStyle name="Migliaia 57 3 6 7" xfId="8032" xr:uid="{D62E2DEB-1072-4043-B5CB-1FDCEF4F6DF8}"/>
    <cellStyle name="Migliaia 57 3 7" xfId="6838" xr:uid="{E78AFEA2-AA83-4901-BA8C-20AD1E7F94BA}"/>
    <cellStyle name="Migliaia 57 3 7 2" xfId="34668" xr:uid="{6B23380A-E791-4163-9C94-482BA466F6EA}"/>
    <cellStyle name="Migliaia 57 3 7 3" xfId="25467" xr:uid="{159945BE-BCFA-4AAD-827F-B0D5DF4293BF}"/>
    <cellStyle name="Migliaia 57 3 7 4" xfId="12251" xr:uid="{9FBA8393-C4C7-45AC-BA67-9E677843A23E}"/>
    <cellStyle name="Migliaia 57 3 8" xfId="3940" xr:uid="{EAEA1F35-B3A6-45A0-974D-5956FF85DBEA}"/>
    <cellStyle name="Migliaia 57 3 8 2" xfId="34669" xr:uid="{47C126BF-2941-457C-9DD7-F575C2A2B551}"/>
    <cellStyle name="Migliaia 57 3 8 3" xfId="25468" xr:uid="{43074129-4221-4970-8822-2354EED5013A}"/>
    <cellStyle name="Migliaia 57 3 8 4" xfId="17271" xr:uid="{DE0ED4AC-8FF8-4B73-95CB-E4FD36566EBB}"/>
    <cellStyle name="Migliaia 57 3 9" xfId="21029" xr:uid="{DFD730C1-FA99-41F5-AF96-81F396323EEE}"/>
    <cellStyle name="Migliaia 57 3 9 2" xfId="34652" xr:uid="{E54E54A6-A937-4C97-AF47-929D42C9F9CC}"/>
    <cellStyle name="Migliaia 57 4" xfId="1918" xr:uid="{00000000-0005-0000-0000-000099040000}"/>
    <cellStyle name="Migliaia 57 4 10" xfId="7606" xr:uid="{8949452B-2A79-4061-8266-68A862587F2F}"/>
    <cellStyle name="Migliaia 57 4 2" xfId="1919" xr:uid="{00000000-0005-0000-0000-00009A040000}"/>
    <cellStyle name="Migliaia 57 4 2 2" xfId="5673" xr:uid="{CB9A9E64-AC50-4996-B6F5-F4553A7CBFA1}"/>
    <cellStyle name="Migliaia 57 4 2 2 2" xfId="34672" xr:uid="{5F2B9D7F-847F-41B7-8B82-4DEB294E7201}"/>
    <cellStyle name="Migliaia 57 4 2 2 3" xfId="25471" xr:uid="{5078FB87-493F-406B-8FFB-4255B2D9DD64}"/>
    <cellStyle name="Migliaia 57 4 2 2 4" xfId="9212" xr:uid="{6AC7EF0F-65C3-4D46-8847-B9EA55022BF9}"/>
    <cellStyle name="Migliaia 57 4 2 3" xfId="3947" xr:uid="{BED36A13-4821-4761-8E60-AE11002CB1B7}"/>
    <cellStyle name="Migliaia 57 4 2 3 2" xfId="34673" xr:uid="{9A4CD581-4926-447C-86E6-030CF6BFC4AE}"/>
    <cellStyle name="Migliaia 57 4 2 3 3" xfId="25472" xr:uid="{323DF595-2A67-4FEE-BE90-1BDDD744BE25}"/>
    <cellStyle name="Migliaia 57 4 2 3 4" xfId="12097" xr:uid="{41B0E601-32EF-4712-9B5C-0B34EC0BD9F4}"/>
    <cellStyle name="Migliaia 57 4 2 4" xfId="11450" xr:uid="{E958AEFB-40B6-4063-8C70-3118FAECC1D2}"/>
    <cellStyle name="Migliaia 57 4 2 4 2" xfId="34671" xr:uid="{A1E84ACA-A6FF-4591-B602-503E2FE61DFC}"/>
    <cellStyle name="Migliaia 57 4 2 5" xfId="10996" xr:uid="{E4410BCD-6A72-4E32-BEA7-4A82FC051A65}"/>
    <cellStyle name="Migliaia 57 4 2 5 2" xfId="21631" xr:uid="{1B7B9718-C132-4585-B3E0-2D467AE8D01C}"/>
    <cellStyle name="Migliaia 57 4 2 5 3" xfId="47429" xr:uid="{D7470CC0-F670-42DC-AB4D-6D574723F0CD}"/>
    <cellStyle name="Migliaia 57 4 2 5 4" xfId="50646" xr:uid="{B7228BB7-B7DD-42C4-AABD-B5EBEC9842BA}"/>
    <cellStyle name="Migliaia 57 4 2 5 5" xfId="53662" xr:uid="{31AFDDB8-197B-4266-AE25-899566E1CBB8}"/>
    <cellStyle name="Migliaia 57 4 2 6" xfId="21040" xr:uid="{01BCF113-8B8F-44EA-A49A-5255659EDC77}"/>
    <cellStyle name="Migliaia 57 4 2 7" xfId="25470" xr:uid="{5F0D4745-E651-46E7-8785-E0DE680C69EE}"/>
    <cellStyle name="Migliaia 57 4 2 8" xfId="8796" xr:uid="{1BB59FC8-C4DB-48CB-99CC-CC649ADF1861}"/>
    <cellStyle name="Migliaia 57 4 3" xfId="5672" xr:uid="{AAF1B4C7-16CC-46C9-9153-B6D9FB46470B}"/>
    <cellStyle name="Migliaia 57 4 3 2" xfId="18267" xr:uid="{E30B7350-3580-4532-AD4B-49CBF806225E}"/>
    <cellStyle name="Migliaia 57 4 3 2 2" xfId="34674" xr:uid="{730C4737-B544-4B50-83AE-CFECB1E28363}"/>
    <cellStyle name="Migliaia 57 4 3 3" xfId="25473" xr:uid="{B8F2E010-DF19-4391-BD16-94A26803033D}"/>
    <cellStyle name="Migliaia 57 4 3 4" xfId="17269" xr:uid="{AE165398-ABD8-41D0-BD07-30D4A99AFBA1}"/>
    <cellStyle name="Migliaia 57 4 3 5" xfId="9213" xr:uid="{E8964FE3-5F98-4E3C-B815-598F764FA1E9}"/>
    <cellStyle name="Migliaia 57 4 4" xfId="6844" xr:uid="{89A826A3-7CC6-444B-A75D-5B992B9033D1}"/>
    <cellStyle name="Migliaia 57 4 4 2" xfId="34675" xr:uid="{6035B2C9-BFAD-491F-AC7A-C958B140FA2E}"/>
    <cellStyle name="Migliaia 57 4 4 3" xfId="25474" xr:uid="{C5299C11-4098-4057-8ECF-9A5436392167}"/>
    <cellStyle name="Migliaia 57 4 4 4" xfId="12098" xr:uid="{ADFCEBA2-758A-4CB1-8772-174BD5AF2C1C}"/>
    <cellStyle name="Migliaia 57 4 5" xfId="3946" xr:uid="{E5DC2196-567D-4139-B059-4D0A3045E553}"/>
    <cellStyle name="Migliaia 57 4 5 2" xfId="34676" xr:uid="{E89FD007-2FF4-42D8-BECA-A00CD7E7E9AC}"/>
    <cellStyle name="Migliaia 57 4 5 3" xfId="25475" xr:uid="{2602799B-C51A-4750-9ED7-C74F77EE4F44}"/>
    <cellStyle name="Migliaia 57 4 5 4" xfId="11449" xr:uid="{41559AAA-2A0C-4EA3-93D9-94BF730B500A}"/>
    <cellStyle name="Migliaia 57 4 6" xfId="10995" xr:uid="{95147DD5-43F3-44E1-A292-33770F3F6FB0}"/>
    <cellStyle name="Migliaia 57 4 6 2" xfId="21630" xr:uid="{637AF503-DA46-40A6-B44D-8C4144417A37}"/>
    <cellStyle name="Migliaia 57 4 6 2 2" xfId="34677" xr:uid="{C9067E35-1117-426D-B710-4D9A1E7B515B}"/>
    <cellStyle name="Migliaia 57 4 6 3" xfId="25476" xr:uid="{93A7E5C4-26FA-427B-9EC8-C4CF167375D5}"/>
    <cellStyle name="Migliaia 57 4 6 4" xfId="48479" xr:uid="{DECF8E3D-E959-4021-A755-C386E551527D}"/>
    <cellStyle name="Migliaia 57 4 6 5" xfId="48888" xr:uid="{5A6C8245-C2DC-41B1-9B17-C8667CFD8B2A}"/>
    <cellStyle name="Migliaia 57 4 6 6" xfId="50645" xr:uid="{188D1229-EBA1-485B-81C8-21E6A89CB562}"/>
    <cellStyle name="Migliaia 57 4 6 7" xfId="53661" xr:uid="{FF0F13AF-B0D1-4406-9704-9957E5B33263}"/>
    <cellStyle name="Migliaia 57 4 7" xfId="21039" xr:uid="{66AB1E9E-44DE-4D85-985C-AB1309297DB0}"/>
    <cellStyle name="Migliaia 57 4 7 2" xfId="34678" xr:uid="{00B175AD-D409-4455-8F87-EC00A5FDB4D5}"/>
    <cellStyle name="Migliaia 57 4 7 3" xfId="25477" xr:uid="{ABD73C11-1D3E-46B5-85B4-3860A5AD3335}"/>
    <cellStyle name="Migliaia 57 4 8" xfId="34670" xr:uid="{515FCF5A-E9AE-427E-BCCE-7A6EDED56367}"/>
    <cellStyle name="Migliaia 57 4 9" xfId="25469" xr:uid="{A7E88111-490B-49E6-94AA-2CF827ED6065}"/>
    <cellStyle name="Migliaia 57 5" xfId="1920" xr:uid="{00000000-0005-0000-0000-00009B040000}"/>
    <cellStyle name="Migliaia 57 5 2" xfId="5674" xr:uid="{4FB3D0E9-EA40-4CC5-B5AB-B8DA7D59064A}"/>
    <cellStyle name="Migliaia 57 5 2 2" xfId="18520" xr:uid="{C64774F7-D929-4177-A3EA-C601B0FDE625}"/>
    <cellStyle name="Migliaia 57 5 2 2 2" xfId="34680" xr:uid="{B15BE2AD-0396-4107-80AC-96BEADF680FE}"/>
    <cellStyle name="Migliaia 57 5 2 3" xfId="21042" xr:uid="{793FB750-7142-4ED6-A7AA-D40DCCF9A131}"/>
    <cellStyle name="Migliaia 57 5 2 4" xfId="25479" xr:uid="{0A691459-8047-4D31-B6B1-7D8DD03B1007}"/>
    <cellStyle name="Migliaia 57 5 2 5" xfId="16838" xr:uid="{15F9AE07-9C43-48C2-9810-6EED12C33C13}"/>
    <cellStyle name="Migliaia 57 5 2 6" xfId="8797" xr:uid="{7CDF1D0D-D2FC-435E-B481-D2E27E1098A1}"/>
    <cellStyle name="Migliaia 57 5 3" xfId="6845" xr:uid="{ABC01282-D23B-42F9-B713-AD60225FD30F}"/>
    <cellStyle name="Migliaia 57 5 3 2" xfId="34681" xr:uid="{E872B236-5507-4962-9C09-E39A3ECB8151}"/>
    <cellStyle name="Migliaia 57 5 3 3" xfId="25480" xr:uid="{58976EF0-2B8C-45F8-80C2-6D13945243E6}"/>
    <cellStyle name="Migliaia 57 5 3 4" xfId="11451" xr:uid="{20ED5F23-9869-4BCA-9384-D322F327C821}"/>
    <cellStyle name="Migliaia 57 5 4" xfId="3948" xr:uid="{38CDFE54-0F48-40A7-A4E0-1A222AEB9EBC}"/>
    <cellStyle name="Migliaia 57 5 4 2" xfId="21632" xr:uid="{B4CA8EFF-8F5D-4089-AAF4-452488AAC305}"/>
    <cellStyle name="Migliaia 57 5 4 2 2" xfId="34682" xr:uid="{0B0D6363-A3FF-4DB1-9BD8-02E754CA242F}"/>
    <cellStyle name="Migliaia 57 5 4 3" xfId="25481" xr:uid="{0DB7A976-53C7-43EC-AE73-A642349188A6}"/>
    <cellStyle name="Migliaia 57 5 4 4" xfId="46263" xr:uid="{25396E83-81AC-44CE-9A6A-79038A030D02}"/>
    <cellStyle name="Migliaia 57 5 4 5" xfId="48889" xr:uid="{8FDF03C0-C9E0-46F7-92BC-C9E8D5DA9504}"/>
    <cellStyle name="Migliaia 57 5 4 6" xfId="50647" xr:uid="{8FFB7111-2451-48C4-B572-FBE09F3BAFBF}"/>
    <cellStyle name="Migliaia 57 5 4 7" xfId="53663" xr:uid="{5E04B4F0-5E4A-4189-85C9-52730BBE9A02}"/>
    <cellStyle name="Migliaia 57 5 4 8" xfId="10997" xr:uid="{4DF25493-BA95-49CE-BDC0-8259B75323EF}"/>
    <cellStyle name="Migliaia 57 5 5" xfId="21041" xr:uid="{350AFEDF-E568-4D9A-9D8F-836FD1A7B5B2}"/>
    <cellStyle name="Migliaia 57 5 5 2" xfId="34683" xr:uid="{4915C850-8D61-40A9-AA54-532A1EB93A44}"/>
    <cellStyle name="Migliaia 57 5 5 3" xfId="25482" xr:uid="{5D0141F8-3168-4B1D-B4CC-B78B568A5229}"/>
    <cellStyle name="Migliaia 57 5 5 4" xfId="48890" xr:uid="{DDA5E150-81F2-4C18-8DBF-A0538A762083}"/>
    <cellStyle name="Migliaia 57 5 6" xfId="25483" xr:uid="{0580F102-3505-44D3-8E0D-2F49DCEE2A7E}"/>
    <cellStyle name="Migliaia 57 5 6 2" xfId="34684" xr:uid="{A987C658-DAA7-45ED-BF51-70C323C1A6BB}"/>
    <cellStyle name="Migliaia 57 5 7" xfId="34679" xr:uid="{4B392CA5-C0B0-4C64-B8B5-E509E7712740}"/>
    <cellStyle name="Migliaia 57 5 8" xfId="25478" xr:uid="{21A4D17A-E2B4-4E20-B555-F6CEE38B38E9}"/>
    <cellStyle name="Migliaia 57 5 9" xfId="7607" xr:uid="{36031A93-74DE-416A-93EC-D5B2EFB8C84D}"/>
    <cellStyle name="Migliaia 57 6" xfId="3949" xr:uid="{F55036AE-C563-405E-A0BA-EEEB31E5B7EC}"/>
    <cellStyle name="Migliaia 57 6 2" xfId="5675" xr:uid="{600AA8AE-3BBC-4EB2-B58A-45DE04C1A931}"/>
    <cellStyle name="Migliaia 57 6 2 2" xfId="9985" xr:uid="{293D6E87-BF0D-474C-8035-9FCF12F1ACAC}"/>
    <cellStyle name="Migliaia 57 6 2 3" xfId="18562" xr:uid="{9216C1D3-CAD5-4180-91F5-68823FAC7B31}"/>
    <cellStyle name="Migliaia 57 6 2 4" xfId="21044" xr:uid="{A465B84C-981C-403A-85F3-7B26E9428792}"/>
    <cellStyle name="Migliaia 57 6 2 5" xfId="32480" xr:uid="{24D3A27D-7102-4F68-BD3B-CE1BC753B5E2}"/>
    <cellStyle name="Migliaia 57 6 2 6" xfId="16840" xr:uid="{85DA2266-C439-4D10-93AE-4308D3D9035C}"/>
    <cellStyle name="Migliaia 57 6 2 7" xfId="8792" xr:uid="{D74D3A1E-10BF-42E4-A7DC-1D19FC228129}"/>
    <cellStyle name="Migliaia 57 6 3" xfId="6846" xr:uid="{9A57E806-AAEE-4C40-81EE-BE1681B2718C}"/>
    <cellStyle name="Migliaia 57 6 3 2" xfId="35491" xr:uid="{4258F7F5-912D-44FC-A3F4-641580C6AC13}"/>
    <cellStyle name="Migliaia 57 6 3 2 2" xfId="40651" xr:uid="{B946C738-8272-4296-8C12-B4C7DB891AAB}"/>
    <cellStyle name="Migliaia 57 6 3 2 3" xfId="45953" xr:uid="{075156BF-033E-4914-992D-C09AEEFB4C4C}"/>
    <cellStyle name="Migliaia 57 6 3 3" xfId="38000" xr:uid="{8CBEDFF2-775E-4A09-B8B4-4FA49235BE69}"/>
    <cellStyle name="Migliaia 57 6 3 4" xfId="43302" xr:uid="{80A7111F-7763-4CB6-939B-319261180DC9}"/>
    <cellStyle name="Migliaia 57 6 3 5" xfId="9748" xr:uid="{B15C69E8-8E94-4CB3-B0E0-EA52483DF4A3}"/>
    <cellStyle name="Migliaia 57 6 4" xfId="21043" xr:uid="{3F41F886-A974-4876-AAEA-30B104254F10}"/>
    <cellStyle name="Migliaia 57 6 4 2" xfId="34685" xr:uid="{0BA684BC-183F-4406-9B9D-60779D8E0A6D}"/>
    <cellStyle name="Migliaia 57 6 5" xfId="25484" xr:uid="{4082AC42-8CDC-45A4-A82E-EA2A2582B47C}"/>
    <cellStyle name="Migliaia 57 6 6" xfId="16839" xr:uid="{7553129C-E91A-46DB-A4A2-61C53BEE8C72}"/>
    <cellStyle name="Migliaia 57 6 7" xfId="7602" xr:uid="{3D6F4A93-FB41-44F5-84F4-A02BD57B8841}"/>
    <cellStyle name="Migliaia 57 7" xfId="3950" xr:uid="{763D5F6A-60D5-433D-8836-7AF14A6AAAF1}"/>
    <cellStyle name="Migliaia 57 7 2" xfId="5676" xr:uid="{F08C7BFC-D74B-4F9F-947C-333B1C7D29E1}"/>
    <cellStyle name="Migliaia 57 7 2 2" xfId="35492" xr:uid="{6FCE9668-4A0A-49A4-AD09-98DAD1472348}"/>
    <cellStyle name="Migliaia 57 7 2 2 2" xfId="40652" xr:uid="{3F81A9F9-11B2-404F-A81C-692E146071F9}"/>
    <cellStyle name="Migliaia 57 7 2 2 3" xfId="45954" xr:uid="{AC689D06-E7CC-4CA2-B5BB-2BC0AE55505C}"/>
    <cellStyle name="Migliaia 57 7 2 3" xfId="38001" xr:uid="{A10F5A5B-7C05-4A5E-AAF9-B64DC86019F6}"/>
    <cellStyle name="Migliaia 57 7 2 4" xfId="43303" xr:uid="{A063D4DA-4CBF-4580-92F7-A2574B531FD3}"/>
    <cellStyle name="Migliaia 57 7 2 5" xfId="14335" xr:uid="{0A25BB99-21FF-4087-98E6-87516D7FC88E}"/>
    <cellStyle name="Migliaia 57 7 3" xfId="6847" xr:uid="{B4D8D6C0-3945-43E9-9741-E445A4C5769C}"/>
    <cellStyle name="Migliaia 57 7 3 2" xfId="34686" xr:uid="{0443CE04-F2BF-47A7-9912-428594EDA251}"/>
    <cellStyle name="Migliaia 57 7 3 3" xfId="21045" xr:uid="{F81E9015-D62A-4FAB-AE16-B02F36F2D6E3}"/>
    <cellStyle name="Migliaia 57 7 4" xfId="25485" xr:uid="{17EBC0DC-A725-4C2F-A6C1-EF977B0E1203}"/>
    <cellStyle name="Migliaia 57 7 5" xfId="16841" xr:uid="{3CBBB5E4-BB61-4733-92D8-32D3091E7F79}"/>
    <cellStyle name="Migliaia 57 7 6" xfId="8397" xr:uid="{2695E89A-3044-4DD8-8075-A9D8CC4CFD76}"/>
    <cellStyle name="Migliaia 57 8" xfId="3951" xr:uid="{65594BF0-C179-4302-9D2E-A55FF220BC91}"/>
    <cellStyle name="Migliaia 57 8 2" xfId="5677" xr:uid="{276204BD-A7CE-4F51-A29C-77BB3CB5DAC2}"/>
    <cellStyle name="Migliaia 57 8 2 2" xfId="35493" xr:uid="{F48C775A-8556-477B-B56C-30FB1FDD1015}"/>
    <cellStyle name="Migliaia 57 8 2 2 2" xfId="40653" xr:uid="{BDA2420D-7F78-4F9E-835E-C550832B7C60}"/>
    <cellStyle name="Migliaia 57 8 2 2 3" xfId="45955" xr:uid="{8D66BC30-5582-4BD6-A03A-BA289EB4265B}"/>
    <cellStyle name="Migliaia 57 8 2 3" xfId="38002" xr:uid="{8E68B6CF-AAAF-49D1-8847-EE0C7C787D33}"/>
    <cellStyle name="Migliaia 57 8 2 4" xfId="43304" xr:uid="{DD02C086-9C1F-43A4-B662-16D560890DA8}"/>
    <cellStyle name="Migliaia 57 8 2 5" xfId="14040" xr:uid="{20487CA8-DC2D-40FD-B402-6B42122C95B9}"/>
    <cellStyle name="Migliaia 57 8 3" xfId="6848" xr:uid="{D89D6693-DD1E-4D1E-B6A3-EEBCAB329441}"/>
    <cellStyle name="Migliaia 57 8 3 2" xfId="34687" xr:uid="{D28B3589-E77C-483A-9199-0308555251E2}"/>
    <cellStyle name="Migliaia 57 8 3 3" xfId="21046" xr:uid="{4A0A0EBD-FE29-48FB-B419-2E7B4B13A8D3}"/>
    <cellStyle name="Migliaia 57 8 4" xfId="25486" xr:uid="{57BBA0EA-1DCD-426E-8531-CF6D93228D33}"/>
    <cellStyle name="Migliaia 57 8 5" xfId="16842" xr:uid="{89677FB0-DAF6-4DEC-AE39-D906FE623F2F}"/>
    <cellStyle name="Migliaia 57 8 6" xfId="8030" xr:uid="{E1E1D171-9C57-47C2-9B8B-1B86A41D9E17}"/>
    <cellStyle name="Migliaia 57 9" xfId="5662" xr:uid="{546AFB26-0AE7-4018-A13C-89AACB18E933}"/>
    <cellStyle name="Migliaia 57 9 2" xfId="34688" xr:uid="{07067C89-0B12-4221-AAC8-141A20A40776}"/>
    <cellStyle name="Migliaia 57 9 3" xfId="25487" xr:uid="{433269F5-DF41-49A9-8404-53408D21A8A1}"/>
    <cellStyle name="Migliaia 57 9 4" xfId="17239" xr:uid="{4431C6E9-0E60-494C-9F91-5506F3A0745F}"/>
    <cellStyle name="Migliaia 58" xfId="513" xr:uid="{00000000-0005-0000-0000-00009C040000}"/>
    <cellStyle name="Migliaia 58 10" xfId="6849" xr:uid="{3394535C-1CB2-4BFE-B6F2-24F5B1D688E3}"/>
    <cellStyle name="Migliaia 58 10 2" xfId="34689" xr:uid="{C30C6F7A-0A03-4AA1-9001-0ED1D1F41DA0}"/>
    <cellStyle name="Migliaia 58 10 3" xfId="21047" xr:uid="{EA660202-D321-4021-9810-5E3A80C88366}"/>
    <cellStyle name="Migliaia 58 11" xfId="3952" xr:uid="{DAACC7DD-B9E1-41BF-B219-D8D4A8E6532B}"/>
    <cellStyle name="Migliaia 58 11 2" xfId="25488" xr:uid="{A46B19E7-8D2C-4903-B69D-2ECFCCBCCA4C}"/>
    <cellStyle name="Migliaia 58 12" xfId="7201" xr:uid="{28066BF9-9E4C-47A5-ABD9-274A099DF200}"/>
    <cellStyle name="Migliaia 58 2" xfId="514" xr:uid="{00000000-0005-0000-0000-00009D040000}"/>
    <cellStyle name="Migliaia 58 2 2" xfId="1921" xr:uid="{00000000-0005-0000-0000-00009E040000}"/>
    <cellStyle name="Migliaia 58 2 2 2" xfId="5680" xr:uid="{29566949-368E-4B10-9449-8F432DC0C969}"/>
    <cellStyle name="Migliaia 58 2 2 2 2" xfId="14416" xr:uid="{B770E717-A594-4E41-BA15-E2F04011EA12}"/>
    <cellStyle name="Migliaia 58 2 2 2 2 2" xfId="34692" xr:uid="{C15917B1-8E0E-414B-8323-F67667E89969}"/>
    <cellStyle name="Migliaia 58 2 2 2 3" xfId="18521" xr:uid="{36CD0A3F-FF3D-4139-ACDB-58B30F47D500}"/>
    <cellStyle name="Migliaia 58 2 2 2 4" xfId="21050" xr:uid="{B2A4ACA2-55B8-4919-B53E-B50BB8C54890}"/>
    <cellStyle name="Migliaia 58 2 2 2 5" xfId="25491" xr:uid="{375A33E1-5814-4CE0-912D-9BA3BBAF4546}"/>
    <cellStyle name="Migliaia 58 2 2 2 6" xfId="16843" xr:uid="{271334B7-6576-4897-85B5-3A4C1EEE30FC}"/>
    <cellStyle name="Migliaia 58 2 2 2 7" xfId="8799" xr:uid="{8258010C-02D5-4318-8BA9-783D881AE90E}"/>
    <cellStyle name="Migliaia 58 2 2 3" xfId="6851" xr:uid="{73FB7CEE-1C4A-48C8-9351-8DA6E2C90C03}"/>
    <cellStyle name="Migliaia 58 2 2 3 2" xfId="35494" xr:uid="{C530332F-8759-4609-8BA0-F8D297558DE7}"/>
    <cellStyle name="Migliaia 58 2 2 3 2 2" xfId="40654" xr:uid="{592BB7CB-8642-49D8-9FB2-F5BDB701EB7F}"/>
    <cellStyle name="Migliaia 58 2 2 3 2 3" xfId="45956" xr:uid="{321CF002-B957-4569-BC35-6B87CEBD84E9}"/>
    <cellStyle name="Migliaia 58 2 2 3 3" xfId="38003" xr:uid="{1AAAAA6A-4D1C-43E9-A3BA-2B67C62B8547}"/>
    <cellStyle name="Migliaia 58 2 2 3 4" xfId="43305" xr:uid="{E2E18517-112C-4B1E-8F53-02A82FB98AF8}"/>
    <cellStyle name="Migliaia 58 2 2 3 5" xfId="11643" xr:uid="{5E072C23-1E4D-4D25-BCF2-9D33B6764CB6}"/>
    <cellStyle name="Migliaia 58 2 2 4" xfId="3954" xr:uid="{17E814A8-10A2-4826-BDBE-FB4BA9392572}"/>
    <cellStyle name="Migliaia 58 2 2 4 2" xfId="21633" xr:uid="{E19D6392-1A2C-4D2A-8CD4-C8997A281E36}"/>
    <cellStyle name="Migliaia 58 2 2 4 3" xfId="34691" xr:uid="{AEA27B4C-1DF2-4F1F-BAEE-B652B66B9502}"/>
    <cellStyle name="Migliaia 58 2 2 4 4" xfId="32448" xr:uid="{E33C213A-8105-474B-9594-24D91F5C60E2}"/>
    <cellStyle name="Migliaia 58 2 2 4 5" xfId="50648" xr:uid="{2A395AF5-A2F0-4137-94F8-C2579E46C1CB}"/>
    <cellStyle name="Migliaia 58 2 2 4 6" xfId="53664" xr:uid="{376DF1B9-46C8-4972-B53A-82FAD43B9C4D}"/>
    <cellStyle name="Migliaia 58 2 2 4 7" xfId="10998" xr:uid="{CE9D39B0-FAF2-4FAC-88D6-C5C83644B449}"/>
    <cellStyle name="Migliaia 58 2 2 5" xfId="21049" xr:uid="{19FA8052-DB18-48A7-8755-57BA62246F3E}"/>
    <cellStyle name="Migliaia 58 2 2 6" xfId="25490" xr:uid="{C0784EF8-0DE3-4EDC-AD63-7891C6AA049F}"/>
    <cellStyle name="Migliaia 58 2 2 7" xfId="7609" xr:uid="{1E5B036F-F17C-4FA4-852C-93BE789A67F8}"/>
    <cellStyle name="Migliaia 58 2 3" xfId="3955" xr:uid="{6D2EBAA9-5EC3-49BD-AAE5-20F7DEB0371E}"/>
    <cellStyle name="Migliaia 58 2 3 2" xfId="5681" xr:uid="{49428E3B-AA08-41F1-A900-E89D01088AF9}"/>
    <cellStyle name="Migliaia 58 2 3 2 2" xfId="35495" xr:uid="{51ECEAF2-61BB-4A68-80E9-0A823A1E8D36}"/>
    <cellStyle name="Migliaia 58 2 3 2 2 2" xfId="40655" xr:uid="{52BB75C7-E415-441F-ACAA-E885E1612155}"/>
    <cellStyle name="Migliaia 58 2 3 2 2 3" xfId="45957" xr:uid="{47A9AC33-3056-4E11-ACC3-4CE99835D174}"/>
    <cellStyle name="Migliaia 58 2 3 2 3" xfId="38004" xr:uid="{D3120B25-75FE-4DF1-BFA8-CC6169ED4061}"/>
    <cellStyle name="Migliaia 58 2 3 2 4" xfId="43306" xr:uid="{5FED8DAD-981A-4B6B-9883-68753AF2C7CC}"/>
    <cellStyle name="Migliaia 58 2 3 2 5" xfId="14339" xr:uid="{A7FE86A0-6266-4836-B3B5-DE286D0420F2}"/>
    <cellStyle name="Migliaia 58 2 3 3" xfId="6852" xr:uid="{C3478680-EB6A-4E0E-90EC-BAA01B56E7C6}"/>
    <cellStyle name="Migliaia 58 2 3 3 2" xfId="34693" xr:uid="{F50F80F8-17EE-4C3F-8993-C069A868E097}"/>
    <cellStyle name="Migliaia 58 2 3 3 3" xfId="21051" xr:uid="{01B3B1C6-0589-46D9-B7EA-1ED3E3D04F07}"/>
    <cellStyle name="Migliaia 58 2 3 4" xfId="25492" xr:uid="{1C1E57CB-27BF-4B57-912E-BD68A4BD58C5}"/>
    <cellStyle name="Migliaia 58 2 3 5" xfId="16844" xr:uid="{2DDE4E19-7C9C-4732-A8ED-3A6066712D1E}"/>
    <cellStyle name="Migliaia 58 2 3 6" xfId="8401" xr:uid="{5A354B5C-2EBC-4279-8B6D-CC846EB65CA3}"/>
    <cellStyle name="Migliaia 58 2 4" xfId="5679" xr:uid="{9F9B2B0A-2710-4889-861A-EEF6E9DA9587}"/>
    <cellStyle name="Migliaia 58 2 4 2" xfId="14044" xr:uid="{DF7EBB7E-6DDF-4C3A-A924-E856CBD36A76}"/>
    <cellStyle name="Migliaia 58 2 4 2 2" xfId="34694" xr:uid="{0758C85B-C596-4AA0-A00D-FB5AD81D3D7A}"/>
    <cellStyle name="Migliaia 58 2 4 3" xfId="18687" xr:uid="{CE48705E-EA15-4C02-ACEE-3F298474E0E8}"/>
    <cellStyle name="Migliaia 58 2 4 4" xfId="21052" xr:uid="{198EEC1A-DBDE-4288-97F7-E08C4186B314}"/>
    <cellStyle name="Migliaia 58 2 4 5" xfId="25493" xr:uid="{BC744E27-D1AA-48AE-955F-44D9BDE7FC99}"/>
    <cellStyle name="Migliaia 58 2 4 6" xfId="16845" xr:uid="{32DE9713-F2C8-4C4E-B1D1-93FEA4B6DF51}"/>
    <cellStyle name="Migliaia 58 2 4 7" xfId="8035" xr:uid="{FA5F500B-5B2F-4348-B913-188C902E2062}"/>
    <cellStyle name="Migliaia 58 2 5" xfId="6850" xr:uid="{24353817-5494-4E8D-8DE3-2949C852C3FE}"/>
    <cellStyle name="Migliaia 58 2 5 2" xfId="34695" xr:uid="{F2E50A63-15E3-430A-B87F-7E8219AFC207}"/>
    <cellStyle name="Migliaia 58 2 5 3" xfId="25494" xr:uid="{A116839E-BAEF-46AD-9151-3F2E582F8EB2}"/>
    <cellStyle name="Migliaia 58 2 5 4" xfId="13156" xr:uid="{5006C0F9-91BC-4A96-A558-99E4A14018DD}"/>
    <cellStyle name="Migliaia 58 2 6" xfId="3953" xr:uid="{54002C39-CC75-48B4-A8FA-47DD64A73B87}"/>
    <cellStyle name="Migliaia 58 2 6 2" xfId="34696" xr:uid="{FADAE430-6E6D-42EE-A59E-8D1B436F7549}"/>
    <cellStyle name="Migliaia 58 2 6 3" xfId="25495" xr:uid="{C1FA7009-606F-4A6F-9F63-09E360808F7B}"/>
    <cellStyle name="Migliaia 58 2 6 4" xfId="21048" xr:uid="{510A6152-9F1A-4591-91EF-EE76A6569CB8}"/>
    <cellStyle name="Migliaia 58 2 7" xfId="34690" xr:uid="{68692DF4-BB70-43F5-A64D-5F0F11F55A52}"/>
    <cellStyle name="Migliaia 58 2 8" xfId="25489" xr:uid="{580628C9-BE1B-48D9-A1E2-8D8105624F45}"/>
    <cellStyle name="Migliaia 58 2 9" xfId="7202" xr:uid="{F906F785-D7F9-480C-B4DA-91E051FA88E0}"/>
    <cellStyle name="Migliaia 58 3" xfId="515" xr:uid="{00000000-0005-0000-0000-00009F040000}"/>
    <cellStyle name="Migliaia 58 3 10" xfId="25496" xr:uid="{56CCAEA2-E242-4E4B-AE9E-63E50E2EAAB0}"/>
    <cellStyle name="Migliaia 58 3 11" xfId="16846" xr:uid="{B5E2B1BE-A8D5-45F5-A941-CC374E3AE02E}"/>
    <cellStyle name="Migliaia 58 3 12" xfId="7203" xr:uid="{01BD1817-C42D-4BA6-A999-0BF37A3A4D1A}"/>
    <cellStyle name="Migliaia 58 3 2" xfId="516" xr:uid="{00000000-0005-0000-0000-0000A0040000}"/>
    <cellStyle name="Migliaia 58 3 2 2" xfId="1922" xr:uid="{00000000-0005-0000-0000-0000A1040000}"/>
    <cellStyle name="Migliaia 58 3 2 2 2" xfId="5684" xr:uid="{88CCF012-DA0E-4341-8E34-E28A03BCBB27}"/>
    <cellStyle name="Migliaia 58 3 2 2 2 2" xfId="18522" xr:uid="{83E1CB2C-800C-4F28-9DD3-62C8E2EE9B29}"/>
    <cellStyle name="Migliaia 58 3 2 2 2 2 2" xfId="21894" xr:uid="{FAF5AE26-C76B-46C6-92C0-9D03A0248902}"/>
    <cellStyle name="Migliaia 58 3 2 2 2 2 3" xfId="34700" xr:uid="{03DE6C23-DF77-449E-92F0-83C54A932119}"/>
    <cellStyle name="Migliaia 58 3 2 2 2 3" xfId="25499" xr:uid="{7F5796FF-26FE-418A-80E2-1D53F18BFD34}"/>
    <cellStyle name="Migliaia 58 3 2 2 2 4" xfId="46304" xr:uid="{0D3C9A40-58EA-4D67-AC11-FF8DB834C12C}"/>
    <cellStyle name="Migliaia 58 3 2 2 2 5" xfId="50922" xr:uid="{FD363E63-6A5A-450E-A1DE-42DC99512664}"/>
    <cellStyle name="Migliaia 58 3 2 2 2 6" xfId="53938" xr:uid="{D67D1FD3-89E1-4384-BB61-1CA7E93C2475}"/>
    <cellStyle name="Migliaia 58 3 2 2 2 7" xfId="17693" xr:uid="{51DD3135-6902-4B2F-892B-7EF466C244BD}"/>
    <cellStyle name="Migliaia 58 3 2 2 2 8" xfId="12099" xr:uid="{1C9A076B-9899-4235-8D76-31FF2565AC4E}"/>
    <cellStyle name="Migliaia 58 3 2 2 3" xfId="6855" xr:uid="{502DF71D-D22F-41DC-8B7D-A2FEC6E40DC0}"/>
    <cellStyle name="Migliaia 58 3 2 2 3 2" xfId="34699" xr:uid="{0ACB5976-10D2-4261-AEBC-0C1C2E998634}"/>
    <cellStyle name="Migliaia 58 3 2 2 3 3" xfId="11161" xr:uid="{C9AA9A95-B184-4F05-930C-8CBCD13D6034}"/>
    <cellStyle name="Migliaia 58 3 2 2 4" xfId="3958" xr:uid="{6E6ACAA6-BC33-428D-AECE-53001542183D}"/>
    <cellStyle name="Migliaia 58 3 2 2 4 2" xfId="21634" xr:uid="{1C3053C1-EDF2-4AF9-866B-F86FF1C7533A}"/>
    <cellStyle name="Migliaia 58 3 2 2 4 3" xfId="24508" xr:uid="{7974B216-7A2A-449C-8D46-82B616D13475}"/>
    <cellStyle name="Migliaia 58 3 2 2 4 4" xfId="50649" xr:uid="{421F9746-1F4A-4370-ABDD-A89116CA4290}"/>
    <cellStyle name="Migliaia 58 3 2 2 4 5" xfId="53665" xr:uid="{B3E95B73-6C00-48FB-9910-92725AB2AF4B}"/>
    <cellStyle name="Migliaia 58 3 2 2 4 6" xfId="10999" xr:uid="{E3BC5290-D0B3-4992-8047-832671198396}"/>
    <cellStyle name="Migliaia 58 3 2 2 5" xfId="21055" xr:uid="{A38AA777-D385-4419-B45C-274A083C88CF}"/>
    <cellStyle name="Migliaia 58 3 2 2 6" xfId="25498" xr:uid="{B1F3FD36-1CF6-415B-B13D-9BB4CD5DCD2E}"/>
    <cellStyle name="Migliaia 58 3 2 2 7" xfId="8801" xr:uid="{354039DF-8C58-438B-9C74-AE1552D85634}"/>
    <cellStyle name="Migliaia 58 3 2 3" xfId="5683" xr:uid="{A99B2CEF-CA46-4F1E-B604-881213E7D00B}"/>
    <cellStyle name="Migliaia 58 3 2 3 2" xfId="11108" xr:uid="{7B7AABFC-5518-48FB-AD6E-E4EEB30DF544}"/>
    <cellStyle name="Migliaia 58 3 2 3 2 2" xfId="34701" xr:uid="{A7BD0096-0493-4193-92DF-268250823289}"/>
    <cellStyle name="Migliaia 58 3 2 3 3" xfId="12100" xr:uid="{7B95FBD2-0E47-4B12-883A-B34223F73AD0}"/>
    <cellStyle name="Migliaia 58 3 2 3 4" xfId="21056" xr:uid="{3F5BA734-92E5-4D59-85A7-8FA6AC1CCD6E}"/>
    <cellStyle name="Migliaia 58 3 2 3 5" xfId="25500" xr:uid="{BC1CA05C-0B42-4B64-9457-1F09EFCB9E2D}"/>
    <cellStyle name="Migliaia 58 3 2 3 6" xfId="16847" xr:uid="{FDD43721-0CD8-440F-8AFF-358E813ACFA4}"/>
    <cellStyle name="Migliaia 58 3 2 3 7" xfId="8037" xr:uid="{929406DF-53A3-4C33-825D-4DEADFF014DA}"/>
    <cellStyle name="Migliaia 58 3 2 4" xfId="6854" xr:uid="{F52E4555-6FF1-46B4-ADD6-E35E4CAC7DF0}"/>
    <cellStyle name="Migliaia 58 3 2 4 2" xfId="18110" xr:uid="{98814C31-4EE7-4C9A-8130-4E56486EC903}"/>
    <cellStyle name="Migliaia 58 3 2 4 2 2" xfId="34702" xr:uid="{6EC8F5DB-5162-49B3-90E7-2CB840737B11}"/>
    <cellStyle name="Migliaia 58 3 2 4 3" xfId="25501" xr:uid="{421DF865-9365-40EE-8F7E-915C82D07232}"/>
    <cellStyle name="Migliaia 58 3 2 4 4" xfId="17242" xr:uid="{36EF94A1-997E-47DB-958C-CDE36066A1C2}"/>
    <cellStyle name="Migliaia 58 3 2 4 5" xfId="11452" xr:uid="{63D9CCF4-46E3-4A09-B6FE-29C5BF65E614}"/>
    <cellStyle name="Migliaia 58 3 2 5" xfId="3957" xr:uid="{8885D4AA-B1E4-4FD7-A0A8-5E4D7F3184EF}"/>
    <cellStyle name="Migliaia 58 3 2 5 2" xfId="34703" xr:uid="{98B0E436-ECD1-4852-92B0-8F6E64743984}"/>
    <cellStyle name="Migliaia 58 3 2 5 3" xfId="25502" xr:uid="{3BF2C191-24EB-460C-B3DF-DF28FC1702AE}"/>
    <cellStyle name="Migliaia 58 3 2 5 4" xfId="17267" xr:uid="{50BD9FAF-E2D3-4887-9F39-C56A2DDF353B}"/>
    <cellStyle name="Migliaia 58 3 2 6" xfId="21054" xr:uid="{165379EB-1325-4A59-B6D8-A181262A8627}"/>
    <cellStyle name="Migliaia 58 3 2 6 2" xfId="34704" xr:uid="{45CC7E54-A8FE-4D5E-BDB9-79055E61B1A4}"/>
    <cellStyle name="Migliaia 58 3 2 6 3" xfId="25503" xr:uid="{1DA09CE1-1082-4BAB-939F-89C624A3E7BD}"/>
    <cellStyle name="Migliaia 58 3 2 7" xfId="34698" xr:uid="{DA9F9E2E-B1A0-4791-855F-4F2992B9569A}"/>
    <cellStyle name="Migliaia 58 3 2 8" xfId="25497" xr:uid="{2382DE29-E899-4B74-A29C-E435DF1FE6C2}"/>
    <cellStyle name="Migliaia 58 3 2 9" xfId="7611" xr:uid="{FF05A5F9-4EC2-4142-AD1A-A3F752971EB1}"/>
    <cellStyle name="Migliaia 58 3 3" xfId="3959" xr:uid="{9C65F5C0-E73B-41A6-9E1C-73D8C2A07F63}"/>
    <cellStyle name="Migliaia 58 3 3 2" xfId="5685" xr:uid="{5FE8F284-F0B7-4446-A352-F211CC31A8C3}"/>
    <cellStyle name="Migliaia 58 3 3 2 2" xfId="9988" xr:uid="{E9BF7AC4-5222-41D7-A14A-BEB973127B82}"/>
    <cellStyle name="Migliaia 58 3 3 2 2 2" xfId="34706" xr:uid="{A60A5F57-7CE7-49D0-B03A-F4CFF7C8A9A9}"/>
    <cellStyle name="Migliaia 58 3 3 2 3" xfId="18268" xr:uid="{728F2280-56B6-4C4D-B057-3BDE0BAEF18D}"/>
    <cellStyle name="Migliaia 58 3 3 2 4" xfId="21058" xr:uid="{756E879A-C756-4DD5-A45B-6D070386FFA1}"/>
    <cellStyle name="Migliaia 58 3 3 2 5" xfId="25505" xr:uid="{508DDB2E-13BC-41B4-ACAB-DDE2B5EAD95B}"/>
    <cellStyle name="Migliaia 58 3 3 2 6" xfId="16849" xr:uid="{BD1926FC-5DD1-43EF-BE3B-14072DB2B3AC}"/>
    <cellStyle name="Migliaia 58 3 3 2 7" xfId="8800" xr:uid="{5DF565EE-1E85-46E5-85F6-33BC0769AEB9}"/>
    <cellStyle name="Migliaia 58 3 3 3" xfId="6856" xr:uid="{7069E256-9DAA-4E43-8FF3-90038EF3164B}"/>
    <cellStyle name="Migliaia 58 3 3 3 2" xfId="34707" xr:uid="{05F805F8-14C9-4F56-958C-6A44ADEA1DA2}"/>
    <cellStyle name="Migliaia 58 3 3 3 3" xfId="25506" xr:uid="{CB302C7E-15DC-4E0F-972A-27407D58FF0F}"/>
    <cellStyle name="Migliaia 58 3 3 3 4" xfId="9751" xr:uid="{76CFC0A7-EE3B-478A-B31E-D571655B0EEF}"/>
    <cellStyle name="Migliaia 58 3 3 4" xfId="21057" xr:uid="{6FB9FF16-2E30-4203-A9C9-0FE052CDB414}"/>
    <cellStyle name="Migliaia 58 3 3 4 2" xfId="34708" xr:uid="{B6648BBD-863C-4E44-AA77-2F2445F2E1BE}"/>
    <cellStyle name="Migliaia 58 3 3 4 3" xfId="25507" xr:uid="{19F20ABD-AE0C-49AD-87E7-E1D8DB50688E}"/>
    <cellStyle name="Migliaia 58 3 3 4 4" xfId="48891" xr:uid="{95F8437C-9D05-4960-BC98-63F21A05897F}"/>
    <cellStyle name="Migliaia 58 3 3 5" xfId="25508" xr:uid="{CCC7DCBD-4082-45E4-8F57-DCA6F456F9E4}"/>
    <cellStyle name="Migliaia 58 3 3 5 2" xfId="34709" xr:uid="{91D23575-4799-4F0A-9297-8377891FB058}"/>
    <cellStyle name="Migliaia 58 3 3 5 3" xfId="48892" xr:uid="{9C552F32-3D54-4384-919F-0095759CD7D4}"/>
    <cellStyle name="Migliaia 58 3 3 6" xfId="34705" xr:uid="{66F62B3B-600A-43AF-BDAE-A62761D6F7D2}"/>
    <cellStyle name="Migliaia 58 3 3 7" xfId="25504" xr:uid="{E0AB10DE-6702-43FE-9045-2C4D8F58FB42}"/>
    <cellStyle name="Migliaia 58 3 3 8" xfId="16848" xr:uid="{5249C7A1-C7B5-414E-95DA-F8B8B018EC1F}"/>
    <cellStyle name="Migliaia 58 3 3 9" xfId="7610" xr:uid="{FBF1204D-C068-4599-AE46-F26605CE8AF0}"/>
    <cellStyle name="Migliaia 58 3 4" xfId="3960" xr:uid="{0873867C-06F0-4126-B3E6-280B637497A5}"/>
    <cellStyle name="Migliaia 58 3 4 2" xfId="5686" xr:uid="{AC63979C-4AD7-4A70-B623-C419105C60AF}"/>
    <cellStyle name="Migliaia 58 3 4 2 2" xfId="14476" xr:uid="{A9CC8F6E-5801-47A2-891C-CC8A763D394A}"/>
    <cellStyle name="Migliaia 58 3 4 2 3" xfId="18574" xr:uid="{A41A450D-6786-492D-BB33-38DB7BD48A36}"/>
    <cellStyle name="Migliaia 58 3 4 2 4" xfId="21060" xr:uid="{E0250EE4-1913-4049-A00D-EB143CA596CF}"/>
    <cellStyle name="Migliaia 58 3 4 2 5" xfId="32481" xr:uid="{B1426996-F99B-440C-8B31-6C8416D69846}"/>
    <cellStyle name="Migliaia 58 3 4 2 6" xfId="16851" xr:uid="{17504C1B-36AE-4D38-BCAC-2D9ADA4FAC7F}"/>
    <cellStyle name="Migliaia 58 3 4 2 7" xfId="8899" xr:uid="{C27C204A-5902-4B56-8068-A9F2A5871C23}"/>
    <cellStyle name="Migliaia 58 3 4 3" xfId="6857" xr:uid="{C8C59EDE-50E8-41B4-9CF0-A051BB32A133}"/>
    <cellStyle name="Migliaia 58 3 4 3 2" xfId="35496" xr:uid="{C64CF157-2CFD-4AB8-A6C5-10790E379EB5}"/>
    <cellStyle name="Migliaia 58 3 4 3 2 2" xfId="40656" xr:uid="{07B50EE1-DF2C-4355-8F1D-53894D7D6DD4}"/>
    <cellStyle name="Migliaia 58 3 4 3 2 3" xfId="45958" xr:uid="{31A62619-5E72-4DD1-AF5D-9E073E655511}"/>
    <cellStyle name="Migliaia 58 3 4 3 3" xfId="38005" xr:uid="{F0896D82-0848-4473-A752-A5E541814FE9}"/>
    <cellStyle name="Migliaia 58 3 4 3 4" xfId="43307" xr:uid="{9829A1AA-9C21-45BD-811C-EEBFCC4C4CE6}"/>
    <cellStyle name="Migliaia 58 3 4 3 5" xfId="13724" xr:uid="{DA5BC403-9AA6-45F1-B707-BC0DBF190FAA}"/>
    <cellStyle name="Migliaia 58 3 4 4" xfId="21059" xr:uid="{BBFF9EFF-841A-4C7A-B7F7-59699206AFCB}"/>
    <cellStyle name="Migliaia 58 3 4 4 2" xfId="34710" xr:uid="{ECEFB811-BFAB-4A63-86DE-D5D4C19780ED}"/>
    <cellStyle name="Migliaia 58 3 4 5" xfId="25509" xr:uid="{D3B57B58-4A17-45F3-B5C8-9CAB686D2327}"/>
    <cellStyle name="Migliaia 58 3 4 6" xfId="16850" xr:uid="{84B6F523-7A63-4F53-A9CB-033871753F2E}"/>
    <cellStyle name="Migliaia 58 3 4 7" xfId="7709" xr:uid="{9B94FA72-50C6-4CF6-8C11-6D18F0033675}"/>
    <cellStyle name="Migliaia 58 3 5" xfId="3961" xr:uid="{673AC2F7-0288-4BDE-939C-7DC41A3CC1D9}"/>
    <cellStyle name="Migliaia 58 3 5 2" xfId="5687" xr:uid="{67EBEB48-932C-46D8-9673-064B11673F8C}"/>
    <cellStyle name="Migliaia 58 3 5 2 2" xfId="35497" xr:uid="{6E14BCD2-AA49-42A6-BF08-BE2F81B046E5}"/>
    <cellStyle name="Migliaia 58 3 5 2 2 2" xfId="40657" xr:uid="{E8DFC80C-07DE-4801-9A64-F90EAB07C7B6}"/>
    <cellStyle name="Migliaia 58 3 5 2 2 3" xfId="45959" xr:uid="{2E5647F1-9354-48DC-8EA2-CA8B09F99E1F}"/>
    <cellStyle name="Migliaia 58 3 5 2 3" xfId="38006" xr:uid="{D6A0AF2A-7653-43B1-9D35-4188933C8237}"/>
    <cellStyle name="Migliaia 58 3 5 2 4" xfId="43308" xr:uid="{3E3A05E3-B0CE-43BA-BAD8-311E6A9C66E2}"/>
    <cellStyle name="Migliaia 58 3 5 2 5" xfId="14340" xr:uid="{19D25580-1818-4FD6-92F0-67A4475F6DB2}"/>
    <cellStyle name="Migliaia 58 3 5 3" xfId="6858" xr:uid="{02DD3391-4FDD-4EFC-BDAA-8666902EC72E}"/>
    <cellStyle name="Migliaia 58 3 5 3 2" xfId="34711" xr:uid="{CE52769D-B806-4868-B8D1-BF60C85775E5}"/>
    <cellStyle name="Migliaia 58 3 5 3 3" xfId="21061" xr:uid="{FC60533D-341F-4341-B05D-2500184159BC}"/>
    <cellStyle name="Migliaia 58 3 5 4" xfId="25510" xr:uid="{81A9E553-723F-4B04-98CC-D0A3DC2EF734}"/>
    <cellStyle name="Migliaia 58 3 5 5" xfId="16852" xr:uid="{3FA0E994-0B42-465B-B0B5-38E447FF8471}"/>
    <cellStyle name="Migliaia 58 3 5 6" xfId="8402" xr:uid="{21E7AA59-844B-4DD3-AD6E-2DB8243EB5C1}"/>
    <cellStyle name="Migliaia 58 3 6" xfId="5682" xr:uid="{97276CE5-AE1C-49D2-9A6B-CE6DC41CBD8F}"/>
    <cellStyle name="Migliaia 58 3 6 2" xfId="14045" xr:uid="{B64A44FC-8153-485F-9DD5-FE654FA77614}"/>
    <cellStyle name="Migliaia 58 3 6 2 2" xfId="34712" xr:uid="{D9C9094B-F91C-4097-9171-942B566940C6}"/>
    <cellStyle name="Migliaia 58 3 6 3" xfId="18601" xr:uid="{5F577D99-7769-4460-B0EF-2EA7F074CBC5}"/>
    <cellStyle name="Migliaia 58 3 6 4" xfId="21062" xr:uid="{67482847-FCFC-4180-8A9E-CEAEA227C3FB}"/>
    <cellStyle name="Migliaia 58 3 6 5" xfId="25511" xr:uid="{F17565F5-138B-450A-B707-43F35C452EEE}"/>
    <cellStyle name="Migliaia 58 3 6 6" xfId="16853" xr:uid="{9A4098C6-8027-497F-BDED-433D175874DC}"/>
    <cellStyle name="Migliaia 58 3 6 7" xfId="8036" xr:uid="{F55A0E6F-0CD1-427B-B77C-974F74C73B36}"/>
    <cellStyle name="Migliaia 58 3 7" xfId="6853" xr:uid="{8BE22587-4071-4872-B1A5-BB87E70B31C7}"/>
    <cellStyle name="Migliaia 58 3 7 2" xfId="34713" xr:uid="{79F35CB4-E452-4C74-B04B-6DBE8C2CFFB4}"/>
    <cellStyle name="Migliaia 58 3 7 3" xfId="25512" xr:uid="{6BE80452-8B09-4F7A-A570-1EBD71EF76FE}"/>
    <cellStyle name="Migliaia 58 3 7 4" xfId="12287" xr:uid="{72714BCE-FF80-43CA-A47D-00D6D9D58D45}"/>
    <cellStyle name="Migliaia 58 3 8" xfId="3956" xr:uid="{AC7BB67C-8D71-4F8B-AB06-29A03543AE85}"/>
    <cellStyle name="Migliaia 58 3 8 2" xfId="34714" xr:uid="{5CE71F4B-8F76-4A2B-BA9E-4264AED7C364}"/>
    <cellStyle name="Migliaia 58 3 8 3" xfId="25513" xr:uid="{87E1ABC8-01E9-46DA-A2F0-BC4F8D0DBF8F}"/>
    <cellStyle name="Migliaia 58 3 8 4" xfId="17268" xr:uid="{A1F36B96-9520-49B9-8266-AD3D12FB4E11}"/>
    <cellStyle name="Migliaia 58 3 9" xfId="21053" xr:uid="{B9B17CAF-645E-4B51-949F-96566166C15C}"/>
    <cellStyle name="Migliaia 58 3 9 2" xfId="34697" xr:uid="{B677EC7F-20FB-4C96-9813-00D088847EF5}"/>
    <cellStyle name="Migliaia 58 4" xfId="1923" xr:uid="{00000000-0005-0000-0000-0000A2040000}"/>
    <cellStyle name="Migliaia 58 4 10" xfId="7612" xr:uid="{E50F2B40-112D-4301-BB65-0C4D74C3B543}"/>
    <cellStyle name="Migliaia 58 4 2" xfId="1924" xr:uid="{00000000-0005-0000-0000-0000A3040000}"/>
    <cellStyle name="Migliaia 58 4 2 2" xfId="5689" xr:uid="{EAF163EB-0403-4D97-A391-4CA28B2EAE35}"/>
    <cellStyle name="Migliaia 58 4 2 2 2" xfId="34717" xr:uid="{4E3D8CBF-0EC5-41AB-A4ED-C45F6BD6C2FC}"/>
    <cellStyle name="Migliaia 58 4 2 2 3" xfId="25516" xr:uid="{12E94D53-2E2B-4680-AF94-AA042341B9E6}"/>
    <cellStyle name="Migliaia 58 4 2 2 4" xfId="9214" xr:uid="{4BA23CA5-DC28-4C75-9EAE-4BAF78CD50F1}"/>
    <cellStyle name="Migliaia 58 4 2 3" xfId="3963" xr:uid="{435F6472-BF40-4E18-9878-58E4E1175C7A}"/>
    <cellStyle name="Migliaia 58 4 2 3 2" xfId="34718" xr:uid="{912CF596-66B2-4D73-AA0F-573671343A94}"/>
    <cellStyle name="Migliaia 58 4 2 3 3" xfId="25517" xr:uid="{7DD8A1A1-C72C-411E-A0A5-07A83F11BC72}"/>
    <cellStyle name="Migliaia 58 4 2 3 4" xfId="12101" xr:uid="{4CAAB47E-163C-4A6E-807A-D8D7D80120E0}"/>
    <cellStyle name="Migliaia 58 4 2 4" xfId="11454" xr:uid="{66B3F0CA-166A-45A7-B378-74EDA87E0FCE}"/>
    <cellStyle name="Migliaia 58 4 2 4 2" xfId="34716" xr:uid="{93C2AC55-0B36-439B-87E0-6BA30B86E3B0}"/>
    <cellStyle name="Migliaia 58 4 2 5" xfId="11001" xr:uid="{133723E0-BD3D-459F-94DE-7E3F1C1B2318}"/>
    <cellStyle name="Migliaia 58 4 2 5 2" xfId="21636" xr:uid="{B7B3E89C-0B5C-475C-A899-33AD8EAC1811}"/>
    <cellStyle name="Migliaia 58 4 2 5 3" xfId="32372" xr:uid="{D5A24B1F-8FF0-4B22-A521-F6BAE428AA7B}"/>
    <cellStyle name="Migliaia 58 4 2 5 4" xfId="50651" xr:uid="{DF71F563-F30F-4122-A02D-C7EB9D894BE3}"/>
    <cellStyle name="Migliaia 58 4 2 5 5" xfId="53667" xr:uid="{6EE97B30-6953-47DA-B01D-691671B737FC}"/>
    <cellStyle name="Migliaia 58 4 2 6" xfId="21064" xr:uid="{7EBB71A8-EB60-418D-A388-21A1710CBB6C}"/>
    <cellStyle name="Migliaia 58 4 2 7" xfId="25515" xr:uid="{48B581A4-8652-436F-BA64-B5096F81204B}"/>
    <cellStyle name="Migliaia 58 4 2 8" xfId="8802" xr:uid="{D4A7DDA7-A45A-4C3B-A281-876CBE62153E}"/>
    <cellStyle name="Migliaia 58 4 3" xfId="5688" xr:uid="{A2634E24-023F-463E-8603-447F43A4AC36}"/>
    <cellStyle name="Migliaia 58 4 3 2" xfId="18269" xr:uid="{3C9F6ABC-4D82-4D0F-B2E9-4FF6192A6F8A}"/>
    <cellStyle name="Migliaia 58 4 3 2 2" xfId="34719" xr:uid="{DF3524A5-2E4D-4A51-BA87-5DDC97C2F468}"/>
    <cellStyle name="Migliaia 58 4 3 3" xfId="25518" xr:uid="{14740242-C56B-43B2-A7AD-BA03E1C3DABB}"/>
    <cellStyle name="Migliaia 58 4 3 4" xfId="17266" xr:uid="{0110E107-6FD2-4E5F-8AFE-7026A763D60A}"/>
    <cellStyle name="Migliaia 58 4 3 5" xfId="9215" xr:uid="{A454B5BD-B4A2-4FFC-AFCB-183885A36BA7}"/>
    <cellStyle name="Migliaia 58 4 4" xfId="6859" xr:uid="{BFE92F11-FD4A-4F61-BE6D-329D609609D8}"/>
    <cellStyle name="Migliaia 58 4 4 2" xfId="34720" xr:uid="{26B45012-58AF-4F1A-9634-6B6F4E892AF4}"/>
    <cellStyle name="Migliaia 58 4 4 3" xfId="25519" xr:uid="{BA094935-D1B4-4AEA-B218-15CD0DEE7C55}"/>
    <cellStyle name="Migliaia 58 4 4 4" xfId="12102" xr:uid="{D8A6C399-AB7E-4D6A-AE3D-F7B125ED296C}"/>
    <cellStyle name="Migliaia 58 4 5" xfId="3962" xr:uid="{9BAB619A-8227-4476-9024-8BA43B0ED0AB}"/>
    <cellStyle name="Migliaia 58 4 5 2" xfId="34721" xr:uid="{D89DBAE2-E998-4845-88D7-084FF1D8C964}"/>
    <cellStyle name="Migliaia 58 4 5 3" xfId="25520" xr:uid="{5AFEE60A-DB74-4411-A8AB-9E4780173F9F}"/>
    <cellStyle name="Migliaia 58 4 5 4" xfId="11453" xr:uid="{6B874341-C455-43EA-B5C2-D8AA02B08E9C}"/>
    <cellStyle name="Migliaia 58 4 6" xfId="11000" xr:uid="{FE6F9CEB-99A1-4CF4-83BB-5C667492E306}"/>
    <cellStyle name="Migliaia 58 4 6 2" xfId="21635" xr:uid="{DF669928-FEF0-4DD9-9F16-E5A39B797A6C}"/>
    <cellStyle name="Migliaia 58 4 6 2 2" xfId="34722" xr:uid="{4E98750E-072B-421C-8EFF-B93FDAA04F5E}"/>
    <cellStyle name="Migliaia 58 4 6 3" xfId="25521" xr:uid="{47EA7809-2440-44EB-B0DF-B1202305E13D}"/>
    <cellStyle name="Migliaia 58 4 6 4" xfId="46709" xr:uid="{53BFAC33-7CAF-444A-B4EB-C2C90AABFA03}"/>
    <cellStyle name="Migliaia 58 4 6 5" xfId="48893" xr:uid="{B1CE3563-936B-4B5E-8D2E-13A1FC623946}"/>
    <cellStyle name="Migliaia 58 4 6 6" xfId="50650" xr:uid="{1FF941BF-E528-467E-828F-87DB212FAB31}"/>
    <cellStyle name="Migliaia 58 4 6 7" xfId="53666" xr:uid="{6A8540FA-A05E-4AE6-AF67-C724DA1F0D0A}"/>
    <cellStyle name="Migliaia 58 4 7" xfId="21063" xr:uid="{AE874AE1-C657-4DDB-ACA6-43CB9F42181E}"/>
    <cellStyle name="Migliaia 58 4 7 2" xfId="34723" xr:uid="{1C8591D5-CEF7-4B65-9077-37E4FFC861A8}"/>
    <cellStyle name="Migliaia 58 4 7 3" xfId="25522" xr:uid="{0BF45E5C-ADD6-4886-9130-9D36CA0C3768}"/>
    <cellStyle name="Migliaia 58 4 8" xfId="34715" xr:uid="{80763498-CF72-4E17-AAF9-C4E857F791E7}"/>
    <cellStyle name="Migliaia 58 4 9" xfId="25514" xr:uid="{2CB8B32F-9532-4771-B046-B2D9BDB1B1E3}"/>
    <cellStyle name="Migliaia 58 5" xfId="1925" xr:uid="{00000000-0005-0000-0000-0000A4040000}"/>
    <cellStyle name="Migliaia 58 5 2" xfId="5690" xr:uid="{B9E56DF8-AE4F-47A5-A55A-3C477068E13A}"/>
    <cellStyle name="Migliaia 58 5 2 2" xfId="18523" xr:uid="{0F1E37D7-6CE7-459A-8DAD-52B4C44695ED}"/>
    <cellStyle name="Migliaia 58 5 2 2 2" xfId="34725" xr:uid="{3914DCAD-53A2-4584-8468-5DDD991FEBC2}"/>
    <cellStyle name="Migliaia 58 5 2 3" xfId="21066" xr:uid="{CECD4ED7-4BC8-40C2-9F40-0CC3538DD577}"/>
    <cellStyle name="Migliaia 58 5 2 4" xfId="25524" xr:uid="{8A28BAE1-A027-4CBC-9622-279BEE68EA4E}"/>
    <cellStyle name="Migliaia 58 5 2 5" xfId="16854" xr:uid="{DBEE7279-2836-44F4-99AC-3779D6636816}"/>
    <cellStyle name="Migliaia 58 5 2 6" xfId="8803" xr:uid="{9DD12CFE-7945-4595-961B-EBC15FD8E4F4}"/>
    <cellStyle name="Migliaia 58 5 3" xfId="6860" xr:uid="{A3A956BB-F4C0-42DC-919D-5EA429379891}"/>
    <cellStyle name="Migliaia 58 5 3 2" xfId="34726" xr:uid="{D92543F3-C212-4402-AFC4-E4BABA639FAD}"/>
    <cellStyle name="Migliaia 58 5 3 3" xfId="25525" xr:uid="{73A166E5-F9F6-4CB8-8ABC-FA4E4B603CA4}"/>
    <cellStyle name="Migliaia 58 5 3 4" xfId="11455" xr:uid="{BA6DEEB8-5395-41D1-A5C2-D670690C7D76}"/>
    <cellStyle name="Migliaia 58 5 4" xfId="3964" xr:uid="{F5C704B9-A9D2-41F9-9C99-869DF209C58D}"/>
    <cellStyle name="Migliaia 58 5 4 2" xfId="21637" xr:uid="{812B9FCC-1C60-433F-9D7C-BCBCC25FFA45}"/>
    <cellStyle name="Migliaia 58 5 4 2 2" xfId="34727" xr:uid="{D09887B4-1535-4D60-AF6E-1C8059A9AC67}"/>
    <cellStyle name="Migliaia 58 5 4 3" xfId="25526" xr:uid="{26DCA959-6759-46AE-91DF-19E9F211304D}"/>
    <cellStyle name="Migliaia 58 5 4 4" xfId="47606" xr:uid="{519C887C-60CC-4C8C-87AD-DB6936537088}"/>
    <cellStyle name="Migliaia 58 5 4 5" xfId="48894" xr:uid="{87FA49D2-3882-4ECD-A65C-16D3DAC0BB14}"/>
    <cellStyle name="Migliaia 58 5 4 6" xfId="50652" xr:uid="{494C84C6-ECE7-4325-AA59-49B7985DB682}"/>
    <cellStyle name="Migliaia 58 5 4 7" xfId="53668" xr:uid="{480EE45B-BDB3-44E1-9AE5-CE7C5A9A68D8}"/>
    <cellStyle name="Migliaia 58 5 4 8" xfId="11002" xr:uid="{7337E1E2-9290-464A-9650-469B3774251E}"/>
    <cellStyle name="Migliaia 58 5 5" xfId="21065" xr:uid="{02103940-FE15-4585-A317-E9BC34AA1EE2}"/>
    <cellStyle name="Migliaia 58 5 5 2" xfId="34728" xr:uid="{BAA1D0EF-1666-4D84-86E6-95B38ADB0793}"/>
    <cellStyle name="Migliaia 58 5 5 3" xfId="25527" xr:uid="{DB1B5111-E946-449B-AD23-0D9F4646236A}"/>
    <cellStyle name="Migliaia 58 5 5 4" xfId="48895" xr:uid="{9084BCC4-E38F-4CA1-884A-629F7B4C9B58}"/>
    <cellStyle name="Migliaia 58 5 6" xfId="25528" xr:uid="{271F20B9-82EE-4B9E-AF8A-0DB6A69C470B}"/>
    <cellStyle name="Migliaia 58 5 6 2" xfId="34729" xr:uid="{913BF523-6DCF-477F-A31F-88871DD4AF4E}"/>
    <cellStyle name="Migliaia 58 5 7" xfId="34724" xr:uid="{EF826340-2360-42B2-B24F-6067C330135C}"/>
    <cellStyle name="Migliaia 58 5 8" xfId="25523" xr:uid="{75D2E5EA-50BF-428A-AB0A-9D7C75EE8363}"/>
    <cellStyle name="Migliaia 58 5 9" xfId="7613" xr:uid="{F000602D-B983-4406-8EBE-7B7A8ADCD38C}"/>
    <cellStyle name="Migliaia 58 6" xfId="3965" xr:uid="{BD17C660-E4C7-494F-B59A-0E20DCCD2D90}"/>
    <cellStyle name="Migliaia 58 6 2" xfId="5691" xr:uid="{3F9874D6-224D-42A5-8CE8-A572E24B63BE}"/>
    <cellStyle name="Migliaia 58 6 2 2" xfId="9987" xr:uid="{F282F8BF-E8F4-47C6-9BFE-1966A903C829}"/>
    <cellStyle name="Migliaia 58 6 2 3" xfId="18032" xr:uid="{924291B1-81AB-47CA-AC3B-039A7BF8B070}"/>
    <cellStyle name="Migliaia 58 6 2 4" xfId="21068" xr:uid="{423245AB-1285-4A78-9047-C4F091B2D8B4}"/>
    <cellStyle name="Migliaia 58 6 2 5" xfId="32482" xr:uid="{FA25B739-2267-4DDB-9AAA-F970F44C63C6}"/>
    <cellStyle name="Migliaia 58 6 2 6" xfId="16856" xr:uid="{47A27F53-4C24-438B-A7BA-BFC48BF9031D}"/>
    <cellStyle name="Migliaia 58 6 2 7" xfId="8798" xr:uid="{D4A4F261-7537-4FC4-9E3A-43A3F16DD167}"/>
    <cellStyle name="Migliaia 58 6 3" xfId="6861" xr:uid="{E5ADC67B-E1A7-4B20-8EEF-091596DAC3EC}"/>
    <cellStyle name="Migliaia 58 6 3 2" xfId="35498" xr:uid="{CA1B43FA-A7F8-4BF3-8947-6D6722FD13A8}"/>
    <cellStyle name="Migliaia 58 6 3 2 2" xfId="40658" xr:uid="{61C7F243-17F1-46BE-B0E1-BDE4A8359841}"/>
    <cellStyle name="Migliaia 58 6 3 2 3" xfId="45960" xr:uid="{3757FF6A-EEF7-4DB2-AAEC-1A89DEE0D53D}"/>
    <cellStyle name="Migliaia 58 6 3 3" xfId="38007" xr:uid="{F236F9C0-238F-4869-9444-FE05E698A15D}"/>
    <cellStyle name="Migliaia 58 6 3 4" xfId="43309" xr:uid="{DFF5EA86-EF8E-412D-BFC2-7DCB344ED098}"/>
    <cellStyle name="Migliaia 58 6 3 5" xfId="9750" xr:uid="{EFA9D80D-69FE-4F24-98A3-3013CA78C73B}"/>
    <cellStyle name="Migliaia 58 6 4" xfId="21067" xr:uid="{DFF1554D-117A-4B74-ACEC-440D144FD743}"/>
    <cellStyle name="Migliaia 58 6 4 2" xfId="34730" xr:uid="{7DA71057-397C-4114-B470-3729F54891E2}"/>
    <cellStyle name="Migliaia 58 6 5" xfId="25529" xr:uid="{FE5B376D-386A-46A6-A3A7-56BA738E432C}"/>
    <cellStyle name="Migliaia 58 6 6" xfId="16855" xr:uid="{547189E5-3643-4BD2-8EEA-C33ED1923EF8}"/>
    <cellStyle name="Migliaia 58 6 7" xfId="7608" xr:uid="{15225380-6D25-4488-A482-A37269B7E195}"/>
    <cellStyle name="Migliaia 58 7" xfId="3966" xr:uid="{F9978227-2727-44BC-B9FD-FDC5A13EE1EA}"/>
    <cellStyle name="Migliaia 58 7 2" xfId="5692" xr:uid="{CD04C17F-6D48-459A-88CA-EE16136E8E59}"/>
    <cellStyle name="Migliaia 58 7 2 2" xfId="35499" xr:uid="{537FC506-3903-4921-B4A4-D5EB3CE98B45}"/>
    <cellStyle name="Migliaia 58 7 2 2 2" xfId="40659" xr:uid="{6667203E-F38E-4665-B8F9-C395D0EFEA9E}"/>
    <cellStyle name="Migliaia 58 7 2 2 3" xfId="45961" xr:uid="{7966466C-B16B-4E28-83B0-7958BA66E99D}"/>
    <cellStyle name="Migliaia 58 7 2 3" xfId="38008" xr:uid="{DEA64AC9-CEC8-4937-B7BB-3FB4A57F9865}"/>
    <cellStyle name="Migliaia 58 7 2 4" xfId="43310" xr:uid="{84F3C37E-7886-4B3D-A363-97CBB1D29C17}"/>
    <cellStyle name="Migliaia 58 7 2 5" xfId="14338" xr:uid="{0D48AF52-CFD6-488B-A3F5-3D7637E22D6E}"/>
    <cellStyle name="Migliaia 58 7 3" xfId="6862" xr:uid="{58805836-6D15-455D-88A7-1E8320359481}"/>
    <cellStyle name="Migliaia 58 7 3 2" xfId="34731" xr:uid="{DD4F59A5-DF4D-4C7D-BC76-4901A7A10ABC}"/>
    <cellStyle name="Migliaia 58 7 3 3" xfId="21069" xr:uid="{9C1B026E-8CC4-4281-A7CC-C5A28E427190}"/>
    <cellStyle name="Migliaia 58 7 4" xfId="25530" xr:uid="{E1E0630C-918F-4559-86E3-D330E719C6D7}"/>
    <cellStyle name="Migliaia 58 7 5" xfId="16857" xr:uid="{55102864-A8CF-42F7-900A-ACB6D720A96A}"/>
    <cellStyle name="Migliaia 58 7 6" xfId="8400" xr:uid="{FDB03274-B8EE-4391-A778-306DF219B517}"/>
    <cellStyle name="Migliaia 58 8" xfId="3967" xr:uid="{528C1CAA-AB00-4D79-A225-ABECA78028AD}"/>
    <cellStyle name="Migliaia 58 8 2" xfId="5693" xr:uid="{117FE1EE-F589-452E-9B5D-1FFA0BE33BE1}"/>
    <cellStyle name="Migliaia 58 8 2 2" xfId="35500" xr:uid="{01752ADF-DC29-4EC6-8C1E-AF7B58CC581F}"/>
    <cellStyle name="Migliaia 58 8 2 2 2" xfId="40660" xr:uid="{9E9BD2DF-8F14-4F65-BE43-1314A5B2F7C6}"/>
    <cellStyle name="Migliaia 58 8 2 2 3" xfId="45962" xr:uid="{5A58C7F6-A2B9-4823-8388-2D4D6F5D60DE}"/>
    <cellStyle name="Migliaia 58 8 2 3" xfId="38009" xr:uid="{31A698AD-D7F2-4FCC-9D8C-5403B8827284}"/>
    <cellStyle name="Migliaia 58 8 2 4" xfId="43311" xr:uid="{07FB7883-CB3C-4195-8D9E-12F9D82CCE94}"/>
    <cellStyle name="Migliaia 58 8 2 5" xfId="14043" xr:uid="{2BBA999D-487E-4136-88D3-94765BD7B20C}"/>
    <cellStyle name="Migliaia 58 8 3" xfId="6863" xr:uid="{0DDA52FA-71AB-404B-BA41-AFB94EB58E5A}"/>
    <cellStyle name="Migliaia 58 8 3 2" xfId="34732" xr:uid="{0BA79D35-E210-4D92-B6D0-45B74FDB00E7}"/>
    <cellStyle name="Migliaia 58 8 3 3" xfId="21070" xr:uid="{177690D4-0C82-4C58-96E9-AB6FAFECE6D1}"/>
    <cellStyle name="Migliaia 58 8 4" xfId="25531" xr:uid="{CB117E2F-2826-42FD-A267-ECBCA3163317}"/>
    <cellStyle name="Migliaia 58 8 5" xfId="16858" xr:uid="{F7D8F5EB-836E-4AFC-869A-4A1C6616E3AA}"/>
    <cellStyle name="Migliaia 58 8 6" xfId="8034" xr:uid="{B8F5625E-8AC2-4246-9BE3-4EAEFD8481D0}"/>
    <cellStyle name="Migliaia 58 9" xfId="5678" xr:uid="{E9E51658-06D7-4D8D-AA58-9049D704E8AF}"/>
    <cellStyle name="Migliaia 58 9 2" xfId="34733" xr:uid="{313861EA-46A3-4B3F-9372-536C36D0F823}"/>
    <cellStyle name="Migliaia 58 9 3" xfId="25532" xr:uid="{69580BE9-075F-48EC-B73B-E5ED0DBF96BE}"/>
    <cellStyle name="Migliaia 58 9 4" xfId="17241" xr:uid="{CC586548-BCF2-4251-BD07-7E6363AFC44F}"/>
    <cellStyle name="Migliaia 59" xfId="517" xr:uid="{00000000-0005-0000-0000-0000A5040000}"/>
    <cellStyle name="Migliaia 59 10" xfId="6864" xr:uid="{05C71309-C703-44CD-99F3-B85D15E903B8}"/>
    <cellStyle name="Migliaia 59 10 2" xfId="34734" xr:uid="{E72AE967-8054-4D2D-A83C-B4928AD602E1}"/>
    <cellStyle name="Migliaia 59 10 3" xfId="21071" xr:uid="{854F0299-080B-40C4-8EF8-9FAC6061E7BE}"/>
    <cellStyle name="Migliaia 59 11" xfId="3968" xr:uid="{7E1BCFA6-1942-451F-AE8D-51DC3B421CFA}"/>
    <cellStyle name="Migliaia 59 11 2" xfId="25533" xr:uid="{1D20CFDF-3C98-49B1-B57C-89555BB24BCE}"/>
    <cellStyle name="Migliaia 59 12" xfId="7204" xr:uid="{23B0933E-88EF-45D4-82E2-5B32B683595D}"/>
    <cellStyle name="Migliaia 59 2" xfId="518" xr:uid="{00000000-0005-0000-0000-0000A6040000}"/>
    <cellStyle name="Migliaia 59 2 2" xfId="1926" xr:uid="{00000000-0005-0000-0000-0000A7040000}"/>
    <cellStyle name="Migliaia 59 2 2 2" xfId="5696" xr:uid="{62940791-FC1B-4C34-972E-FCCC77E17FC6}"/>
    <cellStyle name="Migliaia 59 2 2 2 2" xfId="14417" xr:uid="{4F29C003-86D3-4DB6-BB54-502EB96BE4FC}"/>
    <cellStyle name="Migliaia 59 2 2 2 2 2" xfId="34737" xr:uid="{4CADAB9C-FC13-4431-8B47-6F2E9DB70421}"/>
    <cellStyle name="Migliaia 59 2 2 2 3" xfId="18524" xr:uid="{DB5329B3-88D1-43D9-B0F0-FABA91CB8168}"/>
    <cellStyle name="Migliaia 59 2 2 2 4" xfId="21074" xr:uid="{BB2FC4A4-4AE4-45DF-9EAB-8A95E10A73F0}"/>
    <cellStyle name="Migliaia 59 2 2 2 5" xfId="25536" xr:uid="{573E283C-C4A9-4119-A791-18850583B55E}"/>
    <cellStyle name="Migliaia 59 2 2 2 6" xfId="16859" xr:uid="{B556C8E8-00CC-4D34-9312-9E982871CBAF}"/>
    <cellStyle name="Migliaia 59 2 2 2 7" xfId="8805" xr:uid="{00B89B9A-B55E-4EEC-B4A1-1CECF00BC88A}"/>
    <cellStyle name="Migliaia 59 2 2 3" xfId="6866" xr:uid="{30515DBB-08B4-4142-A5B8-6990347A2470}"/>
    <cellStyle name="Migliaia 59 2 2 3 2" xfId="35501" xr:uid="{D8727B85-6517-44D7-AB21-3BD35752C9BF}"/>
    <cellStyle name="Migliaia 59 2 2 3 2 2" xfId="40661" xr:uid="{AEB0FECB-EBEB-4EF4-8503-8608FB085FD3}"/>
    <cellStyle name="Migliaia 59 2 2 3 2 3" xfId="45963" xr:uid="{74F7DE8E-7D0A-4E1F-83F0-3325CB149200}"/>
    <cellStyle name="Migliaia 59 2 2 3 3" xfId="38010" xr:uid="{95884C1E-C296-44CE-94E9-9609109004E3}"/>
    <cellStyle name="Migliaia 59 2 2 3 4" xfId="43312" xr:uid="{E1109154-986E-426C-9AC2-3B5B3EA722CB}"/>
    <cellStyle name="Migliaia 59 2 2 3 5" xfId="11644" xr:uid="{43980503-5BA4-423E-9CB9-66BFF76A01E6}"/>
    <cellStyle name="Migliaia 59 2 2 4" xfId="3970" xr:uid="{FCF536A5-5C22-4EEC-9302-B366A1E40A4D}"/>
    <cellStyle name="Migliaia 59 2 2 4 2" xfId="21638" xr:uid="{DE9E35AC-2B97-43CC-96E5-D43B75B83C18}"/>
    <cellStyle name="Migliaia 59 2 2 4 3" xfId="34736" xr:uid="{42E2FA61-A0F7-4EE0-8951-17422F228F21}"/>
    <cellStyle name="Migliaia 59 2 2 4 4" xfId="47123" xr:uid="{847BBC0B-3E22-43FF-B483-4640788D31BD}"/>
    <cellStyle name="Migliaia 59 2 2 4 5" xfId="50653" xr:uid="{40172939-9C6A-41D4-AD0A-5F8433709B16}"/>
    <cellStyle name="Migliaia 59 2 2 4 6" xfId="53669" xr:uid="{EE6C728B-9EDC-4BFE-94FB-7E13B8427645}"/>
    <cellStyle name="Migliaia 59 2 2 4 7" xfId="11003" xr:uid="{D5937122-D151-4D7E-BC72-B8A4532DC36F}"/>
    <cellStyle name="Migliaia 59 2 2 5" xfId="21073" xr:uid="{CE824B94-557F-44DC-AD52-CBE96B715888}"/>
    <cellStyle name="Migliaia 59 2 2 6" xfId="25535" xr:uid="{CF79C21C-285C-4EDF-99BA-CD461E279A88}"/>
    <cellStyle name="Migliaia 59 2 2 7" xfId="7615" xr:uid="{0312DD6C-87DD-4A28-A80E-467ABB6E8DC3}"/>
    <cellStyle name="Migliaia 59 2 3" xfId="3971" xr:uid="{19961814-DD21-495A-87D6-B1D0C0771451}"/>
    <cellStyle name="Migliaia 59 2 3 2" xfId="5697" xr:uid="{624BDB64-A7ED-4B6D-9F03-08FA24EC6177}"/>
    <cellStyle name="Migliaia 59 2 3 2 2" xfId="35502" xr:uid="{AEFC9286-E3D1-43C6-B90E-8091275239A3}"/>
    <cellStyle name="Migliaia 59 2 3 2 2 2" xfId="40662" xr:uid="{787649A9-5CB9-45F4-8100-FBD30F6EE756}"/>
    <cellStyle name="Migliaia 59 2 3 2 2 3" xfId="45964" xr:uid="{94F98A04-B7A6-4577-BE17-37592FDBA85D}"/>
    <cellStyle name="Migliaia 59 2 3 2 3" xfId="38011" xr:uid="{D762248D-0EB9-42CC-8435-A16AD85F45F3}"/>
    <cellStyle name="Migliaia 59 2 3 2 4" xfId="43313" xr:uid="{A8F20058-A67F-477F-BDED-5ADBE1DBC8CC}"/>
    <cellStyle name="Migliaia 59 2 3 2 5" xfId="14342" xr:uid="{6AAA2B0A-ACA5-4FBC-B1A6-10706DEA9929}"/>
    <cellStyle name="Migliaia 59 2 3 3" xfId="6867" xr:uid="{112A2AAD-6FEE-4B78-8593-23883F73081E}"/>
    <cellStyle name="Migliaia 59 2 3 3 2" xfId="34738" xr:uid="{A23BD02E-9F89-43E0-B0DB-D07BD78D029B}"/>
    <cellStyle name="Migliaia 59 2 3 3 3" xfId="21075" xr:uid="{AF563BC5-34E4-40D9-9706-AFCAA12DCBD9}"/>
    <cellStyle name="Migliaia 59 2 3 4" xfId="25537" xr:uid="{97D363E2-29E3-49A5-B5AB-4D6AF51EEC6E}"/>
    <cellStyle name="Migliaia 59 2 3 5" xfId="16860" xr:uid="{E5B7E5C2-1201-4652-91B6-A85596951F0B}"/>
    <cellStyle name="Migliaia 59 2 3 6" xfId="8404" xr:uid="{A4B2A9ED-795A-4FBD-8418-03B53534D557}"/>
    <cellStyle name="Migliaia 59 2 4" xfId="5695" xr:uid="{463D1497-2C96-4022-933E-533D26C6D4B0}"/>
    <cellStyle name="Migliaia 59 2 4 2" xfId="14047" xr:uid="{FDB2D748-3E72-4352-A905-E26207697D5D}"/>
    <cellStyle name="Migliaia 59 2 4 2 2" xfId="34739" xr:uid="{AF2AB22B-E6FD-4619-908C-49DD8676871C}"/>
    <cellStyle name="Migliaia 59 2 4 3" xfId="18686" xr:uid="{D9BFEF0E-5AB7-4B64-B724-343F83FC2587}"/>
    <cellStyle name="Migliaia 59 2 4 4" xfId="21076" xr:uid="{E36145D9-081B-412E-90D2-CDC53AAC0B11}"/>
    <cellStyle name="Migliaia 59 2 4 5" xfId="25538" xr:uid="{3AF4C960-44C8-4413-8723-BB8039C14BEB}"/>
    <cellStyle name="Migliaia 59 2 4 6" xfId="16861" xr:uid="{A8362972-3915-4445-B265-1633F40BDD7F}"/>
    <cellStyle name="Migliaia 59 2 4 7" xfId="8039" xr:uid="{19A39C03-57CD-498B-97AC-594B7C1250BA}"/>
    <cellStyle name="Migliaia 59 2 5" xfId="6865" xr:uid="{D8E9447B-45FB-4574-8CE4-0C2B98182208}"/>
    <cellStyle name="Migliaia 59 2 5 2" xfId="34740" xr:uid="{46A939B7-D32B-4FCF-9A30-3EA33420B264}"/>
    <cellStyle name="Migliaia 59 2 5 3" xfId="25539" xr:uid="{3594AB5A-6FC5-4FE6-842D-C2B11F0DE982}"/>
    <cellStyle name="Migliaia 59 2 5 4" xfId="13157" xr:uid="{5E7E2648-DEEA-4229-AB41-9AA376D0262F}"/>
    <cellStyle name="Migliaia 59 2 6" xfId="3969" xr:uid="{17DCF0A0-2785-4164-A982-BEE0FA0580B5}"/>
    <cellStyle name="Migliaia 59 2 6 2" xfId="34741" xr:uid="{20C0DC3C-274F-40CE-A78B-AE081CBC5427}"/>
    <cellStyle name="Migliaia 59 2 6 3" xfId="25540" xr:uid="{15997920-C447-4911-8A9A-3A0D236C3EBF}"/>
    <cellStyle name="Migliaia 59 2 6 4" xfId="21072" xr:uid="{AE3980F5-0A85-4B89-A80B-FAB0DC81385A}"/>
    <cellStyle name="Migliaia 59 2 7" xfId="34735" xr:uid="{57C8B458-10F6-4531-A905-B3DF6E7DA470}"/>
    <cellStyle name="Migliaia 59 2 8" xfId="25534" xr:uid="{8B407349-EF5B-4379-9DFC-143C71622411}"/>
    <cellStyle name="Migliaia 59 2 9" xfId="7205" xr:uid="{3F02E6E4-33BA-4F61-B8D7-FBCB46F7A995}"/>
    <cellStyle name="Migliaia 59 3" xfId="519" xr:uid="{00000000-0005-0000-0000-0000A8040000}"/>
    <cellStyle name="Migliaia 59 3 10" xfId="25541" xr:uid="{0E1CA05E-81EC-439B-A3CF-4089C161830D}"/>
    <cellStyle name="Migliaia 59 3 11" xfId="16862" xr:uid="{6BA6A39D-491C-4724-A4FC-9C1CB4F4F4A8}"/>
    <cellStyle name="Migliaia 59 3 12" xfId="7206" xr:uid="{69978404-4CD5-4713-BAC2-3F9D9BF1575D}"/>
    <cellStyle name="Migliaia 59 3 2" xfId="520" xr:uid="{00000000-0005-0000-0000-0000A9040000}"/>
    <cellStyle name="Migliaia 59 3 2 2" xfId="1927" xr:uid="{00000000-0005-0000-0000-0000AA040000}"/>
    <cellStyle name="Migliaia 59 3 2 2 2" xfId="5700" xr:uid="{92E8663A-D553-4F37-950F-BBBE85F92F31}"/>
    <cellStyle name="Migliaia 59 3 2 2 2 2" xfId="18525" xr:uid="{D62F3241-25BC-42EA-93C7-C230A6133317}"/>
    <cellStyle name="Migliaia 59 3 2 2 2 2 2" xfId="21895" xr:uid="{8D9F9E75-F36A-481A-AB4B-DE7750D39700}"/>
    <cellStyle name="Migliaia 59 3 2 2 2 2 3" xfId="34745" xr:uid="{FE158BC7-7D49-4AC7-B1DF-3F766E9EB65A}"/>
    <cellStyle name="Migliaia 59 3 2 2 2 3" xfId="25544" xr:uid="{42CA5567-098A-4E26-B31F-9DB48A98D51D}"/>
    <cellStyle name="Migliaia 59 3 2 2 2 4" xfId="47162" xr:uid="{C7819046-4E74-42EA-9A9D-A36B2F3B338D}"/>
    <cellStyle name="Migliaia 59 3 2 2 2 5" xfId="50923" xr:uid="{C0D603A3-31F8-4E75-BCDF-D33DC04C49CD}"/>
    <cellStyle name="Migliaia 59 3 2 2 2 6" xfId="53939" xr:uid="{0FAE021E-BA39-4F5F-8427-1FD7BEBA323D}"/>
    <cellStyle name="Migliaia 59 3 2 2 2 7" xfId="17694" xr:uid="{0333FF77-E13E-49FB-BDF2-75C72C608949}"/>
    <cellStyle name="Migliaia 59 3 2 2 2 8" xfId="12103" xr:uid="{57E9E4FF-3C2E-4BF1-8715-0B9AAB11AE1B}"/>
    <cellStyle name="Migliaia 59 3 2 2 3" xfId="6870" xr:uid="{342355E0-FB30-4330-A676-95949EA33997}"/>
    <cellStyle name="Migliaia 59 3 2 2 3 2" xfId="34744" xr:uid="{8D1A4CF8-78A9-4B02-AED5-A90309B3DE56}"/>
    <cellStyle name="Migliaia 59 3 2 2 3 3" xfId="11574" xr:uid="{7F4F170B-10CD-4F2A-8280-747C94E8C33C}"/>
    <cellStyle name="Migliaia 59 3 2 2 4" xfId="3974" xr:uid="{52AB5E2A-47D2-4DD4-AD12-9E8F1525D9FB}"/>
    <cellStyle name="Migliaia 59 3 2 2 4 2" xfId="21639" xr:uid="{9FCFB646-F108-44C4-B797-9A2970999C86}"/>
    <cellStyle name="Migliaia 59 3 2 2 4 3" xfId="25183" xr:uid="{1B50F894-F4AF-47D6-B68B-055A420AA723}"/>
    <cellStyle name="Migliaia 59 3 2 2 4 4" xfId="50654" xr:uid="{388EBFA1-F954-459B-9BA2-81399A20F554}"/>
    <cellStyle name="Migliaia 59 3 2 2 4 5" xfId="53670" xr:uid="{D6152F96-8030-45D4-9029-5BC1BE8E254C}"/>
    <cellStyle name="Migliaia 59 3 2 2 4 6" xfId="11004" xr:uid="{9E76A932-DF49-4996-A996-6A5ACC263FFC}"/>
    <cellStyle name="Migliaia 59 3 2 2 5" xfId="21079" xr:uid="{318FF9A2-B81D-421C-8D63-AF9E35DA64F1}"/>
    <cellStyle name="Migliaia 59 3 2 2 6" xfId="25543" xr:uid="{2BC0DB3D-7A1D-43B7-BE82-2CCE33C9E8B7}"/>
    <cellStyle name="Migliaia 59 3 2 2 7" xfId="8807" xr:uid="{82245509-A9F9-4A15-95FD-0A552D16C530}"/>
    <cellStyle name="Migliaia 59 3 2 3" xfId="5699" xr:uid="{68793C65-A3A2-4B10-A914-3B1470F8C98E}"/>
    <cellStyle name="Migliaia 59 3 2 3 2" xfId="12220" xr:uid="{78C74E16-5B1B-4D25-A2A1-8E3F4234562B}"/>
    <cellStyle name="Migliaia 59 3 2 3 2 2" xfId="34746" xr:uid="{6FD36953-9707-44E6-A324-544A59090626}"/>
    <cellStyle name="Migliaia 59 3 2 3 3" xfId="12104" xr:uid="{7741254A-E62E-4C0A-B3C3-BAC5164B77F4}"/>
    <cellStyle name="Migliaia 59 3 2 3 4" xfId="21080" xr:uid="{328F6FFA-69CF-4780-AC33-CCACF2CEA91C}"/>
    <cellStyle name="Migliaia 59 3 2 3 5" xfId="25545" xr:uid="{34AEAAD5-5229-4490-8C49-E35B96623DB9}"/>
    <cellStyle name="Migliaia 59 3 2 3 6" xfId="16863" xr:uid="{EA3A8688-24A8-4576-AB08-B5AF9872C42C}"/>
    <cellStyle name="Migliaia 59 3 2 3 7" xfId="8041" xr:uid="{8295F2E0-12DA-464E-B312-1ABDCC8926AC}"/>
    <cellStyle name="Migliaia 59 3 2 4" xfId="6869" xr:uid="{24B6FDB7-B8D4-4B20-90CE-505931E428EE}"/>
    <cellStyle name="Migliaia 59 3 2 4 2" xfId="18111" xr:uid="{54D19323-7309-4AA1-8086-67D01506108B}"/>
    <cellStyle name="Migliaia 59 3 2 4 2 2" xfId="34747" xr:uid="{F2B3124A-0625-4212-80B8-AB9E2C16871F}"/>
    <cellStyle name="Migliaia 59 3 2 4 3" xfId="25546" xr:uid="{00960D1F-97AA-42B7-A548-0163AC7E471B}"/>
    <cellStyle name="Migliaia 59 3 2 4 4" xfId="17244" xr:uid="{6A8BCA49-A9B0-458B-8F77-79CB17F96210}"/>
    <cellStyle name="Migliaia 59 3 2 4 5" xfId="11456" xr:uid="{8AC04724-2A8A-449F-BF31-4AD55E7F18B0}"/>
    <cellStyle name="Migliaia 59 3 2 5" xfId="3973" xr:uid="{398FDF36-589A-418D-BB43-25ACC5B8F9CD}"/>
    <cellStyle name="Migliaia 59 3 2 5 2" xfId="34748" xr:uid="{3314DE75-CB37-4432-B615-B6B13F56E15E}"/>
    <cellStyle name="Migliaia 59 3 2 5 3" xfId="25547" xr:uid="{B284BED0-119E-4202-9D42-3B6B18E1109D}"/>
    <cellStyle name="Migliaia 59 3 2 5 4" xfId="17264" xr:uid="{AB17305E-777B-4A0D-BF9E-7669C87EF659}"/>
    <cellStyle name="Migliaia 59 3 2 6" xfId="21078" xr:uid="{2EA72201-5273-4CDE-973A-81773034E5BE}"/>
    <cellStyle name="Migliaia 59 3 2 6 2" xfId="34749" xr:uid="{BCC1C8A3-8DCF-40D7-820B-246E616CFC6A}"/>
    <cellStyle name="Migliaia 59 3 2 6 3" xfId="25548" xr:uid="{5ED6BBEC-9FD8-4830-BDFC-DDC110561683}"/>
    <cellStyle name="Migliaia 59 3 2 7" xfId="34743" xr:uid="{04E9A7C4-8AC5-40F5-8501-72443D026F47}"/>
    <cellStyle name="Migliaia 59 3 2 8" xfId="25542" xr:uid="{2B23779D-4A4D-4DE5-99B1-02F4075A4ACE}"/>
    <cellStyle name="Migliaia 59 3 2 9" xfId="7617" xr:uid="{52F6DE15-FA4A-4588-97D6-25FE2C582BFC}"/>
    <cellStyle name="Migliaia 59 3 3" xfId="3975" xr:uid="{4625AA40-09DF-45F3-8795-F7ED6769B6AA}"/>
    <cellStyle name="Migliaia 59 3 3 2" xfId="5701" xr:uid="{768748BF-3882-47E3-B1F2-5F2DEBA9144A}"/>
    <cellStyle name="Migliaia 59 3 3 2 2" xfId="9990" xr:uid="{B0FF5AED-A91B-42BC-A37B-A26749B9FBF4}"/>
    <cellStyle name="Migliaia 59 3 3 2 2 2" xfId="34751" xr:uid="{C2865A6D-B32A-4A71-B934-5685B4921A1F}"/>
    <cellStyle name="Migliaia 59 3 3 2 3" xfId="18270" xr:uid="{4932E979-72B0-40AA-8A5C-8A1EF0D049E3}"/>
    <cellStyle name="Migliaia 59 3 3 2 4" xfId="21082" xr:uid="{80036B3F-26D9-4B9A-B429-883CABC56923}"/>
    <cellStyle name="Migliaia 59 3 3 2 5" xfId="25550" xr:uid="{F597F60F-7A04-4E99-B239-60DAD8103555}"/>
    <cellStyle name="Migliaia 59 3 3 2 6" xfId="16865" xr:uid="{02BBC7DE-E820-47F3-B23A-8E639BCFAEAC}"/>
    <cellStyle name="Migliaia 59 3 3 2 7" xfId="8806" xr:uid="{7670A52A-827C-4ADE-8260-95BAF2B9EFF8}"/>
    <cellStyle name="Migliaia 59 3 3 3" xfId="6871" xr:uid="{1CF6A832-5738-4727-8ACC-CC68843EFE45}"/>
    <cellStyle name="Migliaia 59 3 3 3 2" xfId="34752" xr:uid="{D986138A-1284-42EF-91BC-7DD3A83A177C}"/>
    <cellStyle name="Migliaia 59 3 3 3 3" xfId="25551" xr:uid="{C8FA7689-B7EC-4199-B326-175E46844BF4}"/>
    <cellStyle name="Migliaia 59 3 3 3 4" xfId="9753" xr:uid="{022C5767-4AF3-4B61-946B-88CA8FF59C48}"/>
    <cellStyle name="Migliaia 59 3 3 4" xfId="21081" xr:uid="{0EB0C9F8-63E7-4205-807F-9AB9F81EAEC4}"/>
    <cellStyle name="Migliaia 59 3 3 4 2" xfId="34753" xr:uid="{40A2D06D-A35A-48FC-A1AA-1BF6E1E33B19}"/>
    <cellStyle name="Migliaia 59 3 3 4 3" xfId="25552" xr:uid="{2B0FD7A2-98B2-491E-9276-25820F6D9FF1}"/>
    <cellStyle name="Migliaia 59 3 3 4 4" xfId="48896" xr:uid="{71046324-C357-47C9-B0EC-993128412505}"/>
    <cellStyle name="Migliaia 59 3 3 5" xfId="25553" xr:uid="{48046FE8-A018-4567-8317-8777B698C514}"/>
    <cellStyle name="Migliaia 59 3 3 5 2" xfId="34754" xr:uid="{A9A974C9-B436-40EA-8F25-24B7BC2D3358}"/>
    <cellStyle name="Migliaia 59 3 3 5 3" xfId="48897" xr:uid="{58886714-A684-41E3-9321-28A7F47117A5}"/>
    <cellStyle name="Migliaia 59 3 3 6" xfId="34750" xr:uid="{1089E21F-54C9-4E58-A25B-4EA0CB9612BD}"/>
    <cellStyle name="Migliaia 59 3 3 7" xfId="25549" xr:uid="{7A2C60D1-BDCD-4CF5-A7C5-7953BB90A90B}"/>
    <cellStyle name="Migliaia 59 3 3 8" xfId="16864" xr:uid="{BC2B284F-B86A-4D61-BD0B-A85A55262FBE}"/>
    <cellStyle name="Migliaia 59 3 3 9" xfId="7616" xr:uid="{737E2C7E-A1DA-4591-A221-7E276F35FE97}"/>
    <cellStyle name="Migliaia 59 3 4" xfId="3976" xr:uid="{08D5E87A-8A05-42CB-82C5-F65B0689DE5A}"/>
    <cellStyle name="Migliaia 59 3 4 2" xfId="5702" xr:uid="{0BD71147-08C3-444D-8CE9-E77B8B1D9009}"/>
    <cellStyle name="Migliaia 59 3 4 2 2" xfId="14477" xr:uid="{2876B83A-A264-4D27-A56E-ADC1E16AB72A}"/>
    <cellStyle name="Migliaia 59 3 4 2 3" xfId="18146" xr:uid="{6962F4FE-0002-4AE1-90C6-67F69E955C8A}"/>
    <cellStyle name="Migliaia 59 3 4 2 4" xfId="21084" xr:uid="{5D9D4D62-895C-46F6-8C7E-931F578C375B}"/>
    <cellStyle name="Migliaia 59 3 4 2 5" xfId="32483" xr:uid="{8DE75A46-CC69-465A-BA90-7B77F1605D99}"/>
    <cellStyle name="Migliaia 59 3 4 2 6" xfId="16867" xr:uid="{582776ED-2E57-4A2C-A8BC-8F632DF4D02C}"/>
    <cellStyle name="Migliaia 59 3 4 2 7" xfId="8900" xr:uid="{C078EE79-C6BF-464C-97E9-0F5CBF5F40C8}"/>
    <cellStyle name="Migliaia 59 3 4 3" xfId="6872" xr:uid="{E2162269-1CA9-4CF4-AB4C-D8135E6C3009}"/>
    <cellStyle name="Migliaia 59 3 4 3 2" xfId="35503" xr:uid="{8B667C70-61C6-489F-AA98-EF47A12DDFCC}"/>
    <cellStyle name="Migliaia 59 3 4 3 2 2" xfId="40663" xr:uid="{9D1C7B45-4A89-4F46-AFD7-1EF5387E9A17}"/>
    <cellStyle name="Migliaia 59 3 4 3 2 3" xfId="45965" xr:uid="{3619791A-C778-4F0E-9BC1-4D05A94C16EE}"/>
    <cellStyle name="Migliaia 59 3 4 3 3" xfId="38012" xr:uid="{08C960ED-D425-4314-B943-8044E6C41C37}"/>
    <cellStyle name="Migliaia 59 3 4 3 4" xfId="43314" xr:uid="{05A70753-67DA-4E7A-8EE9-3C66502D5866}"/>
    <cellStyle name="Migliaia 59 3 4 3 5" xfId="13725" xr:uid="{727602D4-67F5-42C0-B633-E7344747AAB8}"/>
    <cellStyle name="Migliaia 59 3 4 4" xfId="21083" xr:uid="{D28ACF4D-C75E-474A-9E3D-219A1925AC5A}"/>
    <cellStyle name="Migliaia 59 3 4 4 2" xfId="34755" xr:uid="{A61580FB-66B8-48ED-A2CF-F6FDDC91EAD7}"/>
    <cellStyle name="Migliaia 59 3 4 5" xfId="25554" xr:uid="{F4D480D4-BC85-4B1E-9437-CDB816A2587F}"/>
    <cellStyle name="Migliaia 59 3 4 6" xfId="16866" xr:uid="{200A1E9C-2CFD-4810-9F60-C3B82D074D48}"/>
    <cellStyle name="Migliaia 59 3 4 7" xfId="7710" xr:uid="{A2737947-F711-46BC-A163-6E539ED45081}"/>
    <cellStyle name="Migliaia 59 3 5" xfId="3977" xr:uid="{180CE4AE-5577-4EEC-8C20-EB63DD9A6F90}"/>
    <cellStyle name="Migliaia 59 3 5 2" xfId="5703" xr:uid="{C3DB03DF-A2FF-44BB-96B7-8B5AC90F08F0}"/>
    <cellStyle name="Migliaia 59 3 5 2 2" xfId="35504" xr:uid="{B22B2CCA-B519-403E-B1D6-F8BCC402825F}"/>
    <cellStyle name="Migliaia 59 3 5 2 2 2" xfId="40664" xr:uid="{7C0CC19F-31A4-41FA-9B13-F40A53B76D8F}"/>
    <cellStyle name="Migliaia 59 3 5 2 2 3" xfId="45966" xr:uid="{AB6281AE-590B-4DE7-ACEC-2D26A82A7417}"/>
    <cellStyle name="Migliaia 59 3 5 2 3" xfId="38013" xr:uid="{828551EF-2498-4A3C-BF1B-4E81471F7EB0}"/>
    <cellStyle name="Migliaia 59 3 5 2 4" xfId="43315" xr:uid="{36580944-23F2-42FD-99BE-FEF9C28EFB81}"/>
    <cellStyle name="Migliaia 59 3 5 2 5" xfId="14343" xr:uid="{877FB93F-351F-4EB1-8465-C90AEA7FF725}"/>
    <cellStyle name="Migliaia 59 3 5 3" xfId="6873" xr:uid="{BD3A0EFF-2F98-497C-95D2-CFD402E7BA71}"/>
    <cellStyle name="Migliaia 59 3 5 3 2" xfId="34756" xr:uid="{2231C3F2-BBAF-48FB-92E7-0EC15E1997F6}"/>
    <cellStyle name="Migliaia 59 3 5 3 3" xfId="21085" xr:uid="{22A19213-0652-4B4D-9AF3-0438D01D3CF7}"/>
    <cellStyle name="Migliaia 59 3 5 4" xfId="25555" xr:uid="{4AC34506-7FEF-4B3B-9CA2-801CE938ED84}"/>
    <cellStyle name="Migliaia 59 3 5 5" xfId="16868" xr:uid="{831F72C9-9420-404E-B7B8-E4E5469B7CFD}"/>
    <cellStyle name="Migliaia 59 3 5 6" xfId="8405" xr:uid="{82BF376D-566E-4740-9B9D-82067CBB6DFC}"/>
    <cellStyle name="Migliaia 59 3 6" xfId="5698" xr:uid="{E22542AF-051A-4C04-93E6-EB2E70A465F8}"/>
    <cellStyle name="Migliaia 59 3 6 2" xfId="14048" xr:uid="{4D3440CD-780B-4DAC-9A61-D89A284792A0}"/>
    <cellStyle name="Migliaia 59 3 6 2 2" xfId="34757" xr:uid="{21EA1F2F-69A3-466F-B12C-89D162E5EECB}"/>
    <cellStyle name="Migliaia 59 3 6 3" xfId="18600" xr:uid="{ADBB3064-248D-4531-9DBC-E87C908F9797}"/>
    <cellStyle name="Migliaia 59 3 6 4" xfId="21086" xr:uid="{9615EB28-03B4-47D0-A1CE-E9658ED9601D}"/>
    <cellStyle name="Migliaia 59 3 6 5" xfId="25556" xr:uid="{EA1C3646-9688-4F19-B31B-42544EF4A8A3}"/>
    <cellStyle name="Migliaia 59 3 6 6" xfId="16869" xr:uid="{5AD72796-030C-4B67-8277-6CE4707D8F8C}"/>
    <cellStyle name="Migliaia 59 3 6 7" xfId="8040" xr:uid="{5FD20C1E-5399-45EA-9A51-EE74FAC126D9}"/>
    <cellStyle name="Migliaia 59 3 7" xfId="6868" xr:uid="{7EC32BAE-D2B3-46E7-91CD-66AD26415B1F}"/>
    <cellStyle name="Migliaia 59 3 7 2" xfId="34758" xr:uid="{447A1EE5-0943-419A-9163-881A9074E006}"/>
    <cellStyle name="Migliaia 59 3 7 3" xfId="25557" xr:uid="{971DC905-E9E6-4B06-A343-2C61A0FB5BAC}"/>
    <cellStyle name="Migliaia 59 3 7 4" xfId="12286" xr:uid="{753D349B-8879-4FD4-BA3A-78F87FED4E1A}"/>
    <cellStyle name="Migliaia 59 3 8" xfId="3972" xr:uid="{1177A450-7BEA-4C8F-8600-CA25E211D92C}"/>
    <cellStyle name="Migliaia 59 3 8 2" xfId="34759" xr:uid="{491F4102-2568-4ECD-97F4-15AA6470F2EE}"/>
    <cellStyle name="Migliaia 59 3 8 3" xfId="25558" xr:uid="{630A602C-101C-4498-B43E-6D5DDB2B9C27}"/>
    <cellStyle name="Migliaia 59 3 8 4" xfId="17265" xr:uid="{8DB9EF5C-3980-4CC1-A448-F3BB4D67084E}"/>
    <cellStyle name="Migliaia 59 3 9" xfId="21077" xr:uid="{695EA473-EE78-4478-BA9D-697EA242F3D5}"/>
    <cellStyle name="Migliaia 59 3 9 2" xfId="34742" xr:uid="{1F4CB95E-AA9E-4F48-98BF-C3DFC6CF7D3B}"/>
    <cellStyle name="Migliaia 59 4" xfId="1928" xr:uid="{00000000-0005-0000-0000-0000AB040000}"/>
    <cellStyle name="Migliaia 59 4 10" xfId="7618" xr:uid="{1C6C56EC-5BEF-4951-B6DC-7635C4822CFF}"/>
    <cellStyle name="Migliaia 59 4 2" xfId="1929" xr:uid="{00000000-0005-0000-0000-0000AC040000}"/>
    <cellStyle name="Migliaia 59 4 2 2" xfId="5705" xr:uid="{662E79CB-951C-4229-B6FE-A5C313F4F09D}"/>
    <cellStyle name="Migliaia 59 4 2 2 2" xfId="34762" xr:uid="{A462BAE8-0479-4061-8A24-1DDD9238BB3B}"/>
    <cellStyle name="Migliaia 59 4 2 2 3" xfId="25561" xr:uid="{A1945897-A820-427F-B9DD-5665AC15FDD3}"/>
    <cellStyle name="Migliaia 59 4 2 2 4" xfId="9216" xr:uid="{06431222-7DC2-4F62-B9A7-E833F6D02E04}"/>
    <cellStyle name="Migliaia 59 4 2 3" xfId="3979" xr:uid="{D23AD6A4-D431-43B1-B282-4292F65938A4}"/>
    <cellStyle name="Migliaia 59 4 2 3 2" xfId="34763" xr:uid="{9265F4E1-83F3-4672-80FD-40FA9FDF8F03}"/>
    <cellStyle name="Migliaia 59 4 2 3 3" xfId="25562" xr:uid="{7901C5C7-3276-4D0E-801C-B0A73164D06C}"/>
    <cellStyle name="Migliaia 59 4 2 3 4" xfId="12105" xr:uid="{4541F0AF-E21F-4808-8D8A-CE1D34E908C0}"/>
    <cellStyle name="Migliaia 59 4 2 4" xfId="11458" xr:uid="{FAAEABB7-D94E-4486-89B2-35FD810D2371}"/>
    <cellStyle name="Migliaia 59 4 2 4 2" xfId="34761" xr:uid="{3885504B-522F-4E70-B105-0240583CA90D}"/>
    <cellStyle name="Migliaia 59 4 2 5" xfId="11006" xr:uid="{D642B96F-70FC-4C62-953F-8CE4443E274A}"/>
    <cellStyle name="Migliaia 59 4 2 5 2" xfId="21641" xr:uid="{7C14FBFC-F99D-4762-8DBD-D040DB86B82D}"/>
    <cellStyle name="Migliaia 59 4 2 5 3" xfId="46710" xr:uid="{663233E2-D443-46DE-9851-CD6B34AA5FA4}"/>
    <cellStyle name="Migliaia 59 4 2 5 4" xfId="50656" xr:uid="{C0A38478-18A7-4336-A46D-C127CE3C0B66}"/>
    <cellStyle name="Migliaia 59 4 2 5 5" xfId="53672" xr:uid="{F5BF1785-2C4E-4BC8-9969-5EB9A5BC2F8C}"/>
    <cellStyle name="Migliaia 59 4 2 6" xfId="21088" xr:uid="{3781432A-2AE5-4366-A630-258F092F5017}"/>
    <cellStyle name="Migliaia 59 4 2 7" xfId="25560" xr:uid="{2B7A79F0-766A-4301-8F46-1E259AB73685}"/>
    <cellStyle name="Migliaia 59 4 2 8" xfId="8808" xr:uid="{0FFD6928-B1B6-4EF5-ABEA-D01E08D9F553}"/>
    <cellStyle name="Migliaia 59 4 3" xfId="5704" xr:uid="{9C815720-B59F-4F77-B72F-23DF3E0A9947}"/>
    <cellStyle name="Migliaia 59 4 3 2" xfId="18271" xr:uid="{F09E39DE-1487-4D0E-ACC5-6E96E954A345}"/>
    <cellStyle name="Migliaia 59 4 3 2 2" xfId="34764" xr:uid="{A8462604-AAA3-42EE-94E9-511C6214FDE6}"/>
    <cellStyle name="Migliaia 59 4 3 3" xfId="25563" xr:uid="{EDF2D0A6-7657-40B3-B7E2-C383AF2DD751}"/>
    <cellStyle name="Migliaia 59 4 3 4" xfId="17263" xr:uid="{EAC5A98C-8D38-4674-86C8-5D3C8C1A9F47}"/>
    <cellStyle name="Migliaia 59 4 3 5" xfId="9217" xr:uid="{F24DA519-AF3E-460F-88DD-3B7D649FB675}"/>
    <cellStyle name="Migliaia 59 4 4" xfId="6874" xr:uid="{25D4A860-4165-47FC-8ECC-3F5621BE761F}"/>
    <cellStyle name="Migliaia 59 4 4 2" xfId="34765" xr:uid="{A3B07DC6-D306-4D71-A608-A26CB60F4727}"/>
    <cellStyle name="Migliaia 59 4 4 3" xfId="25564" xr:uid="{DA94A2FD-06B6-4219-9D0B-0E70616574A3}"/>
    <cellStyle name="Migliaia 59 4 4 4" xfId="12106" xr:uid="{4FF9A8FC-DB25-4F7E-B903-C5129A5358A6}"/>
    <cellStyle name="Migliaia 59 4 5" xfId="3978" xr:uid="{BAC42A76-1D67-419A-8DAD-646E3C8130CF}"/>
    <cellStyle name="Migliaia 59 4 5 2" xfId="34766" xr:uid="{E05C2E5D-65EC-44FA-98C5-8ABB644CD317}"/>
    <cellStyle name="Migliaia 59 4 5 3" xfId="25565" xr:uid="{163201E0-7D98-4A48-811E-76F56849630B}"/>
    <cellStyle name="Migliaia 59 4 5 4" xfId="11457" xr:uid="{C3F774CA-4BCA-4CC2-8DCA-C87A2061B737}"/>
    <cellStyle name="Migliaia 59 4 6" xfId="11005" xr:uid="{E9C7D4B3-20E2-43C9-B377-AF788FBB5B6C}"/>
    <cellStyle name="Migliaia 59 4 6 2" xfId="21640" xr:uid="{DCAD4FC8-928A-4123-B152-B967A0915563}"/>
    <cellStyle name="Migliaia 59 4 6 2 2" xfId="34767" xr:uid="{83DC7640-2AEA-42F0-913B-170D3A503591}"/>
    <cellStyle name="Migliaia 59 4 6 3" xfId="25566" xr:uid="{C33E4066-5323-4962-9E3E-F96EF728046D}"/>
    <cellStyle name="Migliaia 59 4 6 4" xfId="32340" xr:uid="{9604BF9F-32D9-4986-B643-C369581EB49E}"/>
    <cellStyle name="Migliaia 59 4 6 5" xfId="48898" xr:uid="{3EE25145-5192-464D-814C-EB265425525C}"/>
    <cellStyle name="Migliaia 59 4 6 6" xfId="50655" xr:uid="{C94A1416-57F1-4706-B7C8-E49008817925}"/>
    <cellStyle name="Migliaia 59 4 6 7" xfId="53671" xr:uid="{DED049D5-7147-4CF2-8321-330DBA75D48F}"/>
    <cellStyle name="Migliaia 59 4 7" xfId="21087" xr:uid="{D0546396-F449-46ED-B872-B0918A72F733}"/>
    <cellStyle name="Migliaia 59 4 7 2" xfId="34768" xr:uid="{614DC12C-0397-4950-A963-7AAC596A1A4E}"/>
    <cellStyle name="Migliaia 59 4 7 3" xfId="25567" xr:uid="{EEDA5D9B-896A-4A0B-B9B5-BA3CE8D26685}"/>
    <cellStyle name="Migliaia 59 4 8" xfId="34760" xr:uid="{A9530F58-551B-45B9-999A-FD00C24ED4EA}"/>
    <cellStyle name="Migliaia 59 4 9" xfId="25559" xr:uid="{8AD26496-ACA8-43EA-8ADC-E0703EAA3A5C}"/>
    <cellStyle name="Migliaia 59 5" xfId="1930" xr:uid="{00000000-0005-0000-0000-0000AD040000}"/>
    <cellStyle name="Migliaia 59 5 2" xfId="5706" xr:uid="{C90EB476-1402-426C-BD9A-9ABE73BAC860}"/>
    <cellStyle name="Migliaia 59 5 2 2" xfId="18526" xr:uid="{A72927F3-2E3C-44E4-A301-14855CE33F58}"/>
    <cellStyle name="Migliaia 59 5 2 2 2" xfId="34770" xr:uid="{5AE54508-E5DE-4399-979F-9AD39F881230}"/>
    <cellStyle name="Migliaia 59 5 2 3" xfId="21090" xr:uid="{BAF24A4C-F9D9-4F55-84BC-2B2642B27077}"/>
    <cellStyle name="Migliaia 59 5 2 4" xfId="25569" xr:uid="{2B4EF7F7-6F12-42DB-90AE-29F00EB33AB3}"/>
    <cellStyle name="Migliaia 59 5 2 5" xfId="16870" xr:uid="{64409585-947A-4C9B-83CE-D2386772578F}"/>
    <cellStyle name="Migliaia 59 5 2 6" xfId="8809" xr:uid="{A16D871B-45CB-46DA-B74E-3684C6EA2858}"/>
    <cellStyle name="Migliaia 59 5 3" xfId="6875" xr:uid="{C29CDFA8-F6E7-4CA7-A011-41D89C4B4975}"/>
    <cellStyle name="Migliaia 59 5 3 2" xfId="34771" xr:uid="{9F679E42-EF8C-4A37-99B5-C2BF32E015BB}"/>
    <cellStyle name="Migliaia 59 5 3 3" xfId="25570" xr:uid="{BA2FDE03-9358-4DA3-852A-83D3A997FFBE}"/>
    <cellStyle name="Migliaia 59 5 3 4" xfId="11459" xr:uid="{FB8AE5C9-73AF-48E2-89A8-504EBEB96937}"/>
    <cellStyle name="Migliaia 59 5 4" xfId="3980" xr:uid="{10BB5540-6CFA-4F54-859F-C0B2F9F6A061}"/>
    <cellStyle name="Migliaia 59 5 4 2" xfId="21642" xr:uid="{F546929C-8E74-4EC0-826C-F4AB00818415}"/>
    <cellStyle name="Migliaia 59 5 4 2 2" xfId="34772" xr:uid="{78C8AE70-ECF1-48FA-BCA6-498713BCEAF9}"/>
    <cellStyle name="Migliaia 59 5 4 3" xfId="25571" xr:uid="{3BACDCB3-D091-409A-A42C-E9E51292B095}"/>
    <cellStyle name="Migliaia 59 5 4 4" xfId="47034" xr:uid="{95A3DF9B-2A03-4450-81E3-B036FDAD9DF4}"/>
    <cellStyle name="Migliaia 59 5 4 5" xfId="48899" xr:uid="{E0EC76B9-394C-4E96-A2F5-036E515D70A6}"/>
    <cellStyle name="Migliaia 59 5 4 6" xfId="50657" xr:uid="{62E34E18-6490-4733-ABAE-4C7229CEF7CF}"/>
    <cellStyle name="Migliaia 59 5 4 7" xfId="53673" xr:uid="{6E15A9B8-8553-4355-BF1A-BFF989A76C68}"/>
    <cellStyle name="Migliaia 59 5 4 8" xfId="11007" xr:uid="{D463884F-0139-4DC5-942E-2358C02370DC}"/>
    <cellStyle name="Migliaia 59 5 5" xfId="21089" xr:uid="{AA6C6D43-9608-4825-877E-A0945132FE32}"/>
    <cellStyle name="Migliaia 59 5 5 2" xfId="34773" xr:uid="{CAB4AE65-7A11-4CBE-BD2D-4E102F9EF4AE}"/>
    <cellStyle name="Migliaia 59 5 5 3" xfId="25572" xr:uid="{484EA2E4-95B1-4B68-8F9D-2F010CFB1E30}"/>
    <cellStyle name="Migliaia 59 5 5 4" xfId="48900" xr:uid="{3C1B571C-AFCB-4BDD-ADC4-6BA459FC7393}"/>
    <cellStyle name="Migliaia 59 5 6" xfId="25573" xr:uid="{EA6822FD-A395-4686-A23B-7ED504BC131B}"/>
    <cellStyle name="Migliaia 59 5 6 2" xfId="34774" xr:uid="{18850269-A3D4-4F45-BE0C-3135BE41A58A}"/>
    <cellStyle name="Migliaia 59 5 7" xfId="34769" xr:uid="{7A7C52F3-72F2-4465-B23E-CAE2B4BBDC4E}"/>
    <cellStyle name="Migliaia 59 5 8" xfId="25568" xr:uid="{E2C7D484-C530-4DED-9EB9-A6FD8A6A8480}"/>
    <cellStyle name="Migliaia 59 5 9" xfId="7619" xr:uid="{B846E27A-B5DB-46A0-BB2B-A9E874840136}"/>
    <cellStyle name="Migliaia 59 6" xfId="3981" xr:uid="{B0ABC0F7-5AD6-4B68-9306-A51D0EA67613}"/>
    <cellStyle name="Migliaia 59 6 2" xfId="5707" xr:uid="{5C892C50-02F7-482B-A90B-11A765B6E67D}"/>
    <cellStyle name="Migliaia 59 6 2 2" xfId="9989" xr:uid="{A2FA39C9-64FB-40F8-B971-E8EE128C7124}"/>
    <cellStyle name="Migliaia 59 6 2 3" xfId="18119" xr:uid="{7F3AEEC6-B658-47A8-9A4D-C0968CD8E37E}"/>
    <cellStyle name="Migliaia 59 6 2 4" xfId="21092" xr:uid="{3D5B4A7F-C935-458F-A1B1-660BF6282CF9}"/>
    <cellStyle name="Migliaia 59 6 2 5" xfId="32484" xr:uid="{44544E96-0E0D-4764-893A-6596328D7FC9}"/>
    <cellStyle name="Migliaia 59 6 2 6" xfId="16872" xr:uid="{3E04857B-2587-4C39-9738-E33237FAD4D0}"/>
    <cellStyle name="Migliaia 59 6 2 7" xfId="8804" xr:uid="{41036C99-40C4-4ADE-A6C7-F67D09481496}"/>
    <cellStyle name="Migliaia 59 6 3" xfId="6876" xr:uid="{8AAF8921-C6BB-43C2-80CA-2BA034A89896}"/>
    <cellStyle name="Migliaia 59 6 3 2" xfId="35505" xr:uid="{989E32F7-9078-422B-9C70-FF37513A31CF}"/>
    <cellStyle name="Migliaia 59 6 3 2 2" xfId="40665" xr:uid="{B60AA45C-8946-44A8-8591-412D8CDF7173}"/>
    <cellStyle name="Migliaia 59 6 3 2 3" xfId="45967" xr:uid="{9CEFEDA5-979B-433A-BAC0-6F8E55737557}"/>
    <cellStyle name="Migliaia 59 6 3 3" xfId="38014" xr:uid="{F82F3211-7B07-4B5E-A77E-6D150A58681A}"/>
    <cellStyle name="Migliaia 59 6 3 4" xfId="43316" xr:uid="{23F2E980-9C84-4665-87F6-A8BB6A602D51}"/>
    <cellStyle name="Migliaia 59 6 3 5" xfId="9752" xr:uid="{2CD43957-19A3-4695-861A-2606AA9F47C5}"/>
    <cellStyle name="Migliaia 59 6 4" xfId="21091" xr:uid="{6A2DEC2B-95F4-4242-A983-E1A0B61CAFA2}"/>
    <cellStyle name="Migliaia 59 6 4 2" xfId="34775" xr:uid="{80C9FB4E-BBB1-41F4-A8EF-15FA6BEBFFFA}"/>
    <cellStyle name="Migliaia 59 6 5" xfId="25574" xr:uid="{F2260A9A-32DB-43C4-AEC6-479B18E9A177}"/>
    <cellStyle name="Migliaia 59 6 6" xfId="16871" xr:uid="{B878AFAC-22C5-4B7E-8BDF-4CEA36C87B3A}"/>
    <cellStyle name="Migliaia 59 6 7" xfId="7614" xr:uid="{7BA2A023-7820-4854-8BF1-2C3AAB4EB437}"/>
    <cellStyle name="Migliaia 59 7" xfId="3982" xr:uid="{531DD226-7E94-421D-8AEF-FA6F6AB22B57}"/>
    <cellStyle name="Migliaia 59 7 2" xfId="5708" xr:uid="{6BA661C8-9962-4EEA-ADE5-12DB2789D107}"/>
    <cellStyle name="Migliaia 59 7 2 2" xfId="35506" xr:uid="{5241BCD1-BF61-4F14-9475-C2DEE11E5479}"/>
    <cellStyle name="Migliaia 59 7 2 2 2" xfId="40666" xr:uid="{B9A2D60C-9ADE-45E8-A835-285281E42BEF}"/>
    <cellStyle name="Migliaia 59 7 2 2 3" xfId="45968" xr:uid="{84CD4C08-8A42-4AC1-B083-9A1BBA45CEDF}"/>
    <cellStyle name="Migliaia 59 7 2 3" xfId="38015" xr:uid="{621F636F-8504-46D3-A5DD-A6B329292807}"/>
    <cellStyle name="Migliaia 59 7 2 4" xfId="43317" xr:uid="{771DCC85-03D9-49C6-903A-FE2B36B9740E}"/>
    <cellStyle name="Migliaia 59 7 2 5" xfId="14341" xr:uid="{22D17FF5-7797-468C-A78C-3097CEB5C04F}"/>
    <cellStyle name="Migliaia 59 7 3" xfId="6877" xr:uid="{074FBB88-0FBD-4304-B6E7-224A599185BE}"/>
    <cellStyle name="Migliaia 59 7 3 2" xfId="34776" xr:uid="{2B5C8992-4456-4EAC-B76F-A86FF822161E}"/>
    <cellStyle name="Migliaia 59 7 3 3" xfId="21093" xr:uid="{420C05A0-062B-4545-A6FE-B8A70CEF20FA}"/>
    <cellStyle name="Migliaia 59 7 4" xfId="25575" xr:uid="{0233F7D7-8EBF-4510-90B6-E919B96C2834}"/>
    <cellStyle name="Migliaia 59 7 5" xfId="16873" xr:uid="{3FB300D2-DDBD-4469-84BC-1DEDBFE39C75}"/>
    <cellStyle name="Migliaia 59 7 6" xfId="8403" xr:uid="{1F1FED92-96F5-45FA-9870-53487C535A9A}"/>
    <cellStyle name="Migliaia 59 8" xfId="3983" xr:uid="{133E183A-45E2-47B2-AF7C-589F9AEB6EAA}"/>
    <cellStyle name="Migliaia 59 8 2" xfId="5709" xr:uid="{C02CDA08-3CC9-46C2-B452-4F470D43E808}"/>
    <cellStyle name="Migliaia 59 8 2 2" xfId="35507" xr:uid="{54D53FE0-DCA5-4B41-9725-EE5332F7FBFD}"/>
    <cellStyle name="Migliaia 59 8 2 2 2" xfId="40667" xr:uid="{F1E1B507-184A-4D2E-92EF-BD312033A058}"/>
    <cellStyle name="Migliaia 59 8 2 2 3" xfId="45969" xr:uid="{535AA6A0-2A1C-4E7B-A211-F17DC617F623}"/>
    <cellStyle name="Migliaia 59 8 2 3" xfId="38016" xr:uid="{91A344AF-5B41-4DC8-9445-3161FF236671}"/>
    <cellStyle name="Migliaia 59 8 2 4" xfId="43318" xr:uid="{2070050C-D341-42F7-A325-D6C2478038E1}"/>
    <cellStyle name="Migliaia 59 8 2 5" xfId="14046" xr:uid="{99FB4661-8490-42D3-A34A-EB8B7CE1858A}"/>
    <cellStyle name="Migliaia 59 8 3" xfId="6878" xr:uid="{05CA00B1-4C40-4CF3-B184-934067E5CA9F}"/>
    <cellStyle name="Migliaia 59 8 3 2" xfId="34777" xr:uid="{AE781CD0-2582-4859-B485-983415DC571C}"/>
    <cellStyle name="Migliaia 59 8 3 3" xfId="21094" xr:uid="{009A90A6-2CBA-4BD3-92EB-605E5EA0135B}"/>
    <cellStyle name="Migliaia 59 8 4" xfId="25576" xr:uid="{D91143E2-F32F-41A6-9603-F78E671EC8A8}"/>
    <cellStyle name="Migliaia 59 8 5" xfId="16874" xr:uid="{65821E08-CDC7-4277-9220-75DBA6A24630}"/>
    <cellStyle name="Migliaia 59 8 6" xfId="8038" xr:uid="{D179043F-D17E-4E8F-8F33-6EDBE2F1FD4C}"/>
    <cellStyle name="Migliaia 59 9" xfId="5694" xr:uid="{8C920DCD-05B7-413F-ACE9-AEA14321E67F}"/>
    <cellStyle name="Migliaia 59 9 2" xfId="34778" xr:uid="{747BF9C0-2770-42A6-A921-0419AF5FF6E5}"/>
    <cellStyle name="Migliaia 59 9 3" xfId="25577" xr:uid="{1871E2FA-204E-495C-BAE4-1EC39CE4F280}"/>
    <cellStyle name="Migliaia 59 9 4" xfId="17243" xr:uid="{2237F074-81BD-4FA2-972F-73093D9795AF}"/>
    <cellStyle name="Migliaia 6" xfId="521" xr:uid="{00000000-0005-0000-0000-0000AE040000}"/>
    <cellStyle name="Migliaia 6 10" xfId="6879" xr:uid="{6FF015D3-8F7A-40F4-B864-D55219DA374E}"/>
    <cellStyle name="Migliaia 6 10 2" xfId="34779" xr:uid="{17EF1B9C-4D93-4277-B486-390BD25F1DC5}"/>
    <cellStyle name="Migliaia 6 10 3" xfId="21095" xr:uid="{ED283AF8-9DA7-43D7-ADA0-5DAD0F3A379B}"/>
    <cellStyle name="Migliaia 6 11" xfId="3984" xr:uid="{6B02B19B-A35D-4A57-AB0D-19F091249173}"/>
    <cellStyle name="Migliaia 6 11 2" xfId="25578" xr:uid="{E11C2564-E56A-43CA-BC16-81D622ACD452}"/>
    <cellStyle name="Migliaia 6 12" xfId="7207" xr:uid="{63B3921B-4A67-4136-80B8-BA7A8FCAE545}"/>
    <cellStyle name="Migliaia 6 2" xfId="522" xr:uid="{00000000-0005-0000-0000-0000AF040000}"/>
    <cellStyle name="Migliaia 6 2 2" xfId="1931" xr:uid="{00000000-0005-0000-0000-0000B0040000}"/>
    <cellStyle name="Migliaia 6 2 2 2" xfId="5712" xr:uid="{F0CB9972-2878-4969-8C7A-9968094A41FE}"/>
    <cellStyle name="Migliaia 6 2 2 2 2" xfId="14418" xr:uid="{44D593EE-274C-4286-8325-24016605A6AC}"/>
    <cellStyle name="Migliaia 6 2 2 2 2 2" xfId="34782" xr:uid="{ACD4D862-A1D4-4452-9732-67BEAFCACF25}"/>
    <cellStyle name="Migliaia 6 2 2 2 3" xfId="18527" xr:uid="{5A4F39B5-FB01-4EF5-BB42-A5BE6951A188}"/>
    <cellStyle name="Migliaia 6 2 2 2 4" xfId="21098" xr:uid="{9E5A45D9-60DB-4987-9D04-5EACDAA6F1FA}"/>
    <cellStyle name="Migliaia 6 2 2 2 5" xfId="25581" xr:uid="{6DB8B8FD-7E9A-4ED9-BA51-D0BA97456C0B}"/>
    <cellStyle name="Migliaia 6 2 2 2 6" xfId="16875" xr:uid="{48885681-3EAF-4B11-9C7A-A6D1F025EB3A}"/>
    <cellStyle name="Migliaia 6 2 2 2 7" xfId="8811" xr:uid="{650AC8FF-A0C7-41CD-87F7-A88B942BA83D}"/>
    <cellStyle name="Migliaia 6 2 2 3" xfId="6881" xr:uid="{0DD95619-07B9-449F-9528-63A5D06B02D6}"/>
    <cellStyle name="Migliaia 6 2 2 3 2" xfId="35508" xr:uid="{76A71859-676C-44BE-96DE-A6EEB549C069}"/>
    <cellStyle name="Migliaia 6 2 2 3 2 2" xfId="40668" xr:uid="{AB784BC8-3D3E-4E0F-AE2A-13B9630A3AEF}"/>
    <cellStyle name="Migliaia 6 2 2 3 2 3" xfId="45970" xr:uid="{126C0D3E-D277-4730-9989-241E9D78DADB}"/>
    <cellStyle name="Migliaia 6 2 2 3 3" xfId="38017" xr:uid="{30949997-A3D2-428F-A7C5-B1CB07219CF4}"/>
    <cellStyle name="Migliaia 6 2 2 3 4" xfId="43319" xr:uid="{47B7950F-FAE2-4E7F-99EA-B1D8354D21A8}"/>
    <cellStyle name="Migliaia 6 2 2 3 5" xfId="11645" xr:uid="{DAF268F4-6F25-4DAB-B4B6-970129F5219F}"/>
    <cellStyle name="Migliaia 6 2 2 4" xfId="3986" xr:uid="{1B1F52FC-005D-4298-8702-F68D1E653F4B}"/>
    <cellStyle name="Migliaia 6 2 2 4 2" xfId="21643" xr:uid="{54930A2A-B404-44A5-AB58-D62E18E8E0EA}"/>
    <cellStyle name="Migliaia 6 2 2 4 3" xfId="34781" xr:uid="{41369F8C-9B85-4896-83EF-47A237992DF9}"/>
    <cellStyle name="Migliaia 6 2 2 4 4" xfId="48183" xr:uid="{544F6337-076A-4C35-8E48-A0A4D2EBAA9A}"/>
    <cellStyle name="Migliaia 6 2 2 4 5" xfId="50658" xr:uid="{9753F854-C271-4E71-AFC2-5B74C45E6906}"/>
    <cellStyle name="Migliaia 6 2 2 4 6" xfId="53674" xr:uid="{4A5D0B25-11A9-48A4-A52E-8298F7DB8646}"/>
    <cellStyle name="Migliaia 6 2 2 4 7" xfId="11008" xr:uid="{098EEC89-D3F4-4A66-81BC-805240091375}"/>
    <cellStyle name="Migliaia 6 2 2 5" xfId="21097" xr:uid="{63C7A762-0296-4A94-8245-4AA24F6C65F2}"/>
    <cellStyle name="Migliaia 6 2 2 6" xfId="25580" xr:uid="{A3809AFB-F386-43EC-91C1-3A9A88276167}"/>
    <cellStyle name="Migliaia 6 2 2 7" xfId="7621" xr:uid="{E94E0A44-C212-4CC1-B0EB-947613CCAE03}"/>
    <cellStyle name="Migliaia 6 2 3" xfId="3987" xr:uid="{4584618F-4FC8-42A5-AC42-D0573505E831}"/>
    <cellStyle name="Migliaia 6 2 3 2" xfId="5713" xr:uid="{67F87C38-AC7B-46AB-A738-43C8AB854E27}"/>
    <cellStyle name="Migliaia 6 2 3 2 2" xfId="35509" xr:uid="{63436F8A-D9D7-459E-BB89-A9911D704CFD}"/>
    <cellStyle name="Migliaia 6 2 3 2 2 2" xfId="40669" xr:uid="{A65A8ED4-2D9D-421D-B061-ACDEFDCEC310}"/>
    <cellStyle name="Migliaia 6 2 3 2 2 3" xfId="45971" xr:uid="{5E30B77B-9944-4DBE-BBCA-1397C30DFCFC}"/>
    <cellStyle name="Migliaia 6 2 3 2 3" xfId="38018" xr:uid="{8F32AE5C-25EF-4F03-91C6-F1A4E3E0667F}"/>
    <cellStyle name="Migliaia 6 2 3 2 4" xfId="43320" xr:uid="{242554F9-F817-4F6D-8146-CE8E61FE08B1}"/>
    <cellStyle name="Migliaia 6 2 3 2 5" xfId="14345" xr:uid="{51C8E342-83FA-4BAF-BE64-D290A2177FEC}"/>
    <cellStyle name="Migliaia 6 2 3 3" xfId="6882" xr:uid="{C652D428-3914-4EEE-918A-066AE13E8C37}"/>
    <cellStyle name="Migliaia 6 2 3 3 2" xfId="34783" xr:uid="{49C2021A-5D04-417E-9543-1248D1B8EC1B}"/>
    <cellStyle name="Migliaia 6 2 3 3 3" xfId="21099" xr:uid="{B8816699-ACAC-48BA-B393-EBE1083F9B6A}"/>
    <cellStyle name="Migliaia 6 2 3 4" xfId="25582" xr:uid="{84A62230-60E3-415D-B80A-AA542FF6A824}"/>
    <cellStyle name="Migliaia 6 2 3 5" xfId="16876" xr:uid="{B599C404-D79C-4359-A6EA-E64339C3F554}"/>
    <cellStyle name="Migliaia 6 2 3 6" xfId="8407" xr:uid="{B461F541-EB8D-4269-A56B-4347C44D8C91}"/>
    <cellStyle name="Migliaia 6 2 4" xfId="5711" xr:uid="{C9B27D02-8CA4-491A-8DE2-F30EB3BC0FB9}"/>
    <cellStyle name="Migliaia 6 2 4 2" xfId="14050" xr:uid="{9088384F-43BD-4154-95DA-61C1CAFF6558}"/>
    <cellStyle name="Migliaia 6 2 4 2 2" xfId="34784" xr:uid="{29F4FB4D-D8BA-4B1C-87D3-4E745EF667ED}"/>
    <cellStyle name="Migliaia 6 2 4 3" xfId="18685" xr:uid="{AE491E51-94BF-4438-A864-0B5FAFAD3DBA}"/>
    <cellStyle name="Migliaia 6 2 4 4" xfId="21100" xr:uid="{1863AFF9-7EF3-4E9A-B5DD-CE9E7D726DF7}"/>
    <cellStyle name="Migliaia 6 2 4 5" xfId="25583" xr:uid="{485C0A02-E93A-4E80-AD52-C48A76DE2675}"/>
    <cellStyle name="Migliaia 6 2 4 6" xfId="16877" xr:uid="{D1723D5E-BBAE-420B-89FF-A2F049BF6C68}"/>
    <cellStyle name="Migliaia 6 2 4 7" xfId="8043" xr:uid="{386FE8E9-8C14-4010-B64E-DDB1D7A1EDC0}"/>
    <cellStyle name="Migliaia 6 2 5" xfId="6880" xr:uid="{421F14A9-BDDC-4A26-94E4-F9B5DA554F86}"/>
    <cellStyle name="Migliaia 6 2 5 2" xfId="34785" xr:uid="{1A75E687-3021-468D-9E9A-5A33AC92F1D4}"/>
    <cellStyle name="Migliaia 6 2 5 3" xfId="25584" xr:uid="{8A5BE4C8-DA6E-44E2-9B29-BB7AE5052E96}"/>
    <cellStyle name="Migliaia 6 2 5 4" xfId="13158" xr:uid="{9BA02BAE-2420-4F4C-AB76-7206EC2B8A21}"/>
    <cellStyle name="Migliaia 6 2 6" xfId="3985" xr:uid="{74A8D4F2-B69F-4E7D-8A6C-30153657A013}"/>
    <cellStyle name="Migliaia 6 2 6 2" xfId="34786" xr:uid="{58639D22-A45A-4004-922B-BA70A7021D01}"/>
    <cellStyle name="Migliaia 6 2 6 3" xfId="25585" xr:uid="{BD4FE814-C3BF-45FB-B5CF-031844BA18D9}"/>
    <cellStyle name="Migliaia 6 2 6 4" xfId="21096" xr:uid="{53A77489-8F8D-4B65-9653-58125709E139}"/>
    <cellStyle name="Migliaia 6 2 7" xfId="34780" xr:uid="{A4A5F17F-DC66-4242-A713-628BD553D8D4}"/>
    <cellStyle name="Migliaia 6 2 8" xfId="25579" xr:uid="{8E74A254-F602-41A3-8754-DFE4B3BC0E4F}"/>
    <cellStyle name="Migliaia 6 2 9" xfId="7208" xr:uid="{2A838D62-E60D-41B0-9DD2-AB31D453C396}"/>
    <cellStyle name="Migliaia 6 3" xfId="523" xr:uid="{00000000-0005-0000-0000-0000B1040000}"/>
    <cellStyle name="Migliaia 6 3 10" xfId="25586" xr:uid="{79E674A8-45F7-401B-8127-878DA90FEA62}"/>
    <cellStyle name="Migliaia 6 3 11" xfId="16878" xr:uid="{EF987527-BB1C-43B5-8438-5CE2CDE755EC}"/>
    <cellStyle name="Migliaia 6 3 12" xfId="7209" xr:uid="{A255D1A3-F4B2-48F3-B4AC-4C67866C60B3}"/>
    <cellStyle name="Migliaia 6 3 2" xfId="524" xr:uid="{00000000-0005-0000-0000-0000B2040000}"/>
    <cellStyle name="Migliaia 6 3 2 2" xfId="1932" xr:uid="{00000000-0005-0000-0000-0000B3040000}"/>
    <cellStyle name="Migliaia 6 3 2 2 2" xfId="5716" xr:uid="{55DFB909-3E5D-4035-B7BB-718588E2F705}"/>
    <cellStyle name="Migliaia 6 3 2 2 2 2" xfId="18528" xr:uid="{5694979B-6CB3-484C-84F4-361FBA3F57C2}"/>
    <cellStyle name="Migliaia 6 3 2 2 2 2 2" xfId="21896" xr:uid="{301F44AE-4560-460C-B22B-3B60AB21C17E}"/>
    <cellStyle name="Migliaia 6 3 2 2 2 2 3" xfId="34790" xr:uid="{BA44389D-FF79-4FC6-89A9-0D30E0253218}"/>
    <cellStyle name="Migliaia 6 3 2 2 2 3" xfId="25589" xr:uid="{34F3C0D4-DAE4-4993-A54B-3968EB586F1D}"/>
    <cellStyle name="Migliaia 6 3 2 2 2 4" xfId="46613" xr:uid="{95F33BB2-DFFF-43F9-ADF8-A0A4E9C8666D}"/>
    <cellStyle name="Migliaia 6 3 2 2 2 5" xfId="50924" xr:uid="{E5927FC8-F5D1-4138-96C6-3655B4E58722}"/>
    <cellStyle name="Migliaia 6 3 2 2 2 6" xfId="53940" xr:uid="{966B2DD1-BD8A-4810-96C6-414B3ADF419D}"/>
    <cellStyle name="Migliaia 6 3 2 2 2 7" xfId="17695" xr:uid="{C5272C32-1804-4E82-8ADA-5276C377BE42}"/>
    <cellStyle name="Migliaia 6 3 2 2 2 8" xfId="12107" xr:uid="{E04887D2-AF70-43C8-803E-8E5AD46C8640}"/>
    <cellStyle name="Migliaia 6 3 2 2 3" xfId="6885" xr:uid="{42FF2B44-2FE0-4DCB-A5F1-CEDB0C7D20F1}"/>
    <cellStyle name="Migliaia 6 3 2 2 3 2" xfId="34789" xr:uid="{75F7B575-5834-4B9B-B46D-AAF25510AAB0}"/>
    <cellStyle name="Migliaia 6 3 2 2 3 3" xfId="12202" xr:uid="{01EFC9E0-6B8B-4DED-A4FA-06D84C4C9617}"/>
    <cellStyle name="Migliaia 6 3 2 2 4" xfId="3990" xr:uid="{F7D749BB-DA14-4C79-BEC6-3277E7119227}"/>
    <cellStyle name="Migliaia 6 3 2 2 4 2" xfId="21644" xr:uid="{C35705A5-73D2-4D26-89DC-CF8700333CAC}"/>
    <cellStyle name="Migliaia 6 3 2 2 4 3" xfId="47430" xr:uid="{A99748BA-6C1D-41D7-9764-83839300DB7F}"/>
    <cellStyle name="Migliaia 6 3 2 2 4 4" xfId="50659" xr:uid="{47902AC6-63D5-43D6-89A2-456855F25152}"/>
    <cellStyle name="Migliaia 6 3 2 2 4 5" xfId="53675" xr:uid="{D0136FFD-9D6C-4795-81DF-E1E69DB049DD}"/>
    <cellStyle name="Migliaia 6 3 2 2 4 6" xfId="11009" xr:uid="{2F130DFA-E3EA-487E-B84A-193621446914}"/>
    <cellStyle name="Migliaia 6 3 2 2 5" xfId="21103" xr:uid="{731F30D3-79AD-4E19-B011-8FCAC907DC6B}"/>
    <cellStyle name="Migliaia 6 3 2 2 6" xfId="25588" xr:uid="{EB0701F8-3B10-4A0D-87BC-1B89D1BDBE35}"/>
    <cellStyle name="Migliaia 6 3 2 2 7" xfId="8813" xr:uid="{F94AE993-C97C-4B5E-91CC-B7C324636BAA}"/>
    <cellStyle name="Migliaia 6 3 2 3" xfId="5715" xr:uid="{7764E4F6-B036-43D0-818E-78D576BCFC51}"/>
    <cellStyle name="Migliaia 6 3 2 3 2" xfId="11660" xr:uid="{3257A7BF-4084-4EBA-8467-D664C3412A03}"/>
    <cellStyle name="Migliaia 6 3 2 3 2 2" xfId="34791" xr:uid="{920040AB-F812-463A-A893-0C63EB9C3C67}"/>
    <cellStyle name="Migliaia 6 3 2 3 3" xfId="12108" xr:uid="{5DBF4EBD-4235-46A2-92CC-B6DD39932C94}"/>
    <cellStyle name="Migliaia 6 3 2 3 4" xfId="21104" xr:uid="{518EAD13-8C74-456F-AA4E-A9D945ADE112}"/>
    <cellStyle name="Migliaia 6 3 2 3 5" xfId="25590" xr:uid="{3D35FAE7-88CA-4D2D-AF89-7200F2EA1B5E}"/>
    <cellStyle name="Migliaia 6 3 2 3 6" xfId="16879" xr:uid="{FFA8E00D-D5A4-4BD5-AE27-2436118F1E61}"/>
    <cellStyle name="Migliaia 6 3 2 3 7" xfId="8045" xr:uid="{8C898807-AF93-4067-AEDC-C5D1EE5DD08C}"/>
    <cellStyle name="Migliaia 6 3 2 4" xfId="6884" xr:uid="{E83D24DC-09BE-4F48-A4CB-FF04B3B128CF}"/>
    <cellStyle name="Migliaia 6 3 2 4 2" xfId="18112" xr:uid="{BA725553-EFAC-4565-A827-F33AC92BF0BC}"/>
    <cellStyle name="Migliaia 6 3 2 4 2 2" xfId="34792" xr:uid="{3BD5C929-CD57-4777-A013-CB6527F37102}"/>
    <cellStyle name="Migliaia 6 3 2 4 3" xfId="25591" xr:uid="{AA4D6ECF-5397-408F-B994-B5E8FCADA732}"/>
    <cellStyle name="Migliaia 6 3 2 4 4" xfId="17246" xr:uid="{88AD9922-2813-4EFC-83D9-BD77A7971878}"/>
    <cellStyle name="Migliaia 6 3 2 4 5" xfId="11460" xr:uid="{EFF4B24C-C78B-4B37-BA04-6DC385D2E369}"/>
    <cellStyle name="Migliaia 6 3 2 5" xfId="3989" xr:uid="{D5237CE1-7032-432B-A742-00324ED5D853}"/>
    <cellStyle name="Migliaia 6 3 2 5 2" xfId="34793" xr:uid="{3CA4DE33-513E-461B-B362-C5EA4DC29F35}"/>
    <cellStyle name="Migliaia 6 3 2 5 3" xfId="25592" xr:uid="{51AE3D61-39B1-4E98-BFD9-1057045CDC02}"/>
    <cellStyle name="Migliaia 6 3 2 5 4" xfId="17261" xr:uid="{C304F749-2856-4432-81CF-90C9316E43D4}"/>
    <cellStyle name="Migliaia 6 3 2 6" xfId="21102" xr:uid="{B9C90EE6-4CBD-462E-A623-D111462641EB}"/>
    <cellStyle name="Migliaia 6 3 2 6 2" xfId="34794" xr:uid="{E97E84DD-9F66-4996-B970-D0085B9133B6}"/>
    <cellStyle name="Migliaia 6 3 2 6 3" xfId="25593" xr:uid="{82A2E08F-ADAC-454A-B745-981562F4701F}"/>
    <cellStyle name="Migliaia 6 3 2 7" xfId="34788" xr:uid="{F831C30C-93F5-4BCD-89D1-88AE33205C13}"/>
    <cellStyle name="Migliaia 6 3 2 8" xfId="25587" xr:uid="{DA6153B4-ABD1-4E73-8436-44D412217043}"/>
    <cellStyle name="Migliaia 6 3 2 9" xfId="7623" xr:uid="{E8C89963-358B-4695-9F2D-4F1024A65876}"/>
    <cellStyle name="Migliaia 6 3 3" xfId="3991" xr:uid="{4375E1AD-63F8-46C0-9A15-29840F8042FF}"/>
    <cellStyle name="Migliaia 6 3 3 2" xfId="5717" xr:uid="{48889843-A9E5-4493-9FEE-D567708D5555}"/>
    <cellStyle name="Migliaia 6 3 3 2 2" xfId="9992" xr:uid="{125C8787-BEDA-4131-B247-26EE6A9F1AE3}"/>
    <cellStyle name="Migliaia 6 3 3 2 2 2" xfId="34796" xr:uid="{22322755-BA76-46D9-A034-BE3F10A6AD22}"/>
    <cellStyle name="Migliaia 6 3 3 2 3" xfId="18272" xr:uid="{C6F7F9C7-9BAE-4360-9761-11B40901497C}"/>
    <cellStyle name="Migliaia 6 3 3 2 4" xfId="21106" xr:uid="{A69372AB-E199-411B-BBD7-705AE34C6140}"/>
    <cellStyle name="Migliaia 6 3 3 2 5" xfId="25595" xr:uid="{77F21E09-F5C1-4EB2-BEF4-A31298FB2345}"/>
    <cellStyle name="Migliaia 6 3 3 2 6" xfId="16881" xr:uid="{89D2382F-DD58-45F2-86B6-0C6090246800}"/>
    <cellStyle name="Migliaia 6 3 3 2 7" xfId="8812" xr:uid="{A32EE702-5E2A-477C-A6F0-0EA8ED417B97}"/>
    <cellStyle name="Migliaia 6 3 3 3" xfId="6886" xr:uid="{CA980769-F128-4C12-81AA-CB93BB3BCCEC}"/>
    <cellStyle name="Migliaia 6 3 3 3 2" xfId="34797" xr:uid="{9338F5A7-E838-41E3-99BE-EB7C04D034D3}"/>
    <cellStyle name="Migliaia 6 3 3 3 3" xfId="25596" xr:uid="{328CB5CE-4F39-4118-AC95-C4A2BCF8585F}"/>
    <cellStyle name="Migliaia 6 3 3 3 4" xfId="9755" xr:uid="{D0BDFAC1-7D3C-4CD8-9744-2F3BEE6FB436}"/>
    <cellStyle name="Migliaia 6 3 3 4" xfId="21105" xr:uid="{A4A699DA-2AB4-4736-808D-E1DDD1678B1D}"/>
    <cellStyle name="Migliaia 6 3 3 4 2" xfId="34798" xr:uid="{69ED187E-BD39-4A95-8687-ADB0135CAB6A}"/>
    <cellStyle name="Migliaia 6 3 3 4 3" xfId="25597" xr:uid="{9F9313FF-CA1B-4ADE-999E-7DCAE984CEF8}"/>
    <cellStyle name="Migliaia 6 3 3 4 4" xfId="48901" xr:uid="{E7084076-AA10-48BA-B01C-4AE321DAD698}"/>
    <cellStyle name="Migliaia 6 3 3 5" xfId="25598" xr:uid="{CD81D9B5-B33F-472C-B567-1AE71C2E0407}"/>
    <cellStyle name="Migliaia 6 3 3 5 2" xfId="34799" xr:uid="{02A91CC6-9A53-4778-AA80-60E7E11982BE}"/>
    <cellStyle name="Migliaia 6 3 3 5 3" xfId="48902" xr:uid="{42D7557A-47B7-4AB9-A572-D075B17C7B70}"/>
    <cellStyle name="Migliaia 6 3 3 6" xfId="34795" xr:uid="{5BCE498C-94F7-47B2-AA37-7B69D456FD0A}"/>
    <cellStyle name="Migliaia 6 3 3 7" xfId="25594" xr:uid="{6B635711-FB2C-4F6F-B68B-83DEC43383BD}"/>
    <cellStyle name="Migliaia 6 3 3 8" xfId="16880" xr:uid="{FEAC4067-E7E3-455D-8041-F2FC8BBF6146}"/>
    <cellStyle name="Migliaia 6 3 3 9" xfId="7622" xr:uid="{C956483E-C934-43CD-AAA6-FF1455EA20F9}"/>
    <cellStyle name="Migliaia 6 3 4" xfId="3992" xr:uid="{D15491D4-9DC5-463C-9D34-6E9869B2EC0E}"/>
    <cellStyle name="Migliaia 6 3 4 2" xfId="5718" xr:uid="{2F9A4EE6-1E69-4773-84E8-3486C6015EEC}"/>
    <cellStyle name="Migliaia 6 3 4 2 2" xfId="14478" xr:uid="{9041D9DF-B32B-4374-8A60-79226D7C14ED}"/>
    <cellStyle name="Migliaia 6 3 4 2 3" xfId="18564" xr:uid="{3FBC8DF8-D796-450C-8696-C2B04DE9C57E}"/>
    <cellStyle name="Migliaia 6 3 4 2 4" xfId="21108" xr:uid="{423A6331-F409-46A2-B2D8-6FFCD8DA9027}"/>
    <cellStyle name="Migliaia 6 3 4 2 5" xfId="32485" xr:uid="{8C0474A8-1B27-427A-BF3C-9D2D0EC8AC30}"/>
    <cellStyle name="Migliaia 6 3 4 2 6" xfId="16883" xr:uid="{D0A47142-B9B0-458E-97D8-958F5821709F}"/>
    <cellStyle name="Migliaia 6 3 4 2 7" xfId="8901" xr:uid="{5D9A6DAA-07BE-43A4-9E40-771C311491FF}"/>
    <cellStyle name="Migliaia 6 3 4 3" xfId="6887" xr:uid="{595F4018-E261-4CD0-8AFA-75AFE1EEE35D}"/>
    <cellStyle name="Migliaia 6 3 4 3 2" xfId="35510" xr:uid="{D9E46A36-CB66-4FC0-B03D-9A77CCA656D9}"/>
    <cellStyle name="Migliaia 6 3 4 3 2 2" xfId="40670" xr:uid="{C470D2C4-8550-4ECA-8EB3-328C345387A5}"/>
    <cellStyle name="Migliaia 6 3 4 3 2 3" xfId="45972" xr:uid="{BC5A151C-3F15-4B2F-85F8-EF518183C782}"/>
    <cellStyle name="Migliaia 6 3 4 3 3" xfId="38019" xr:uid="{19901743-20CF-4572-953E-EE132013E336}"/>
    <cellStyle name="Migliaia 6 3 4 3 4" xfId="43321" xr:uid="{DE724FBB-966D-41CD-B404-59B117056F63}"/>
    <cellStyle name="Migliaia 6 3 4 3 5" xfId="13726" xr:uid="{09ED8DB4-9168-48D6-A637-43EEED7D6447}"/>
    <cellStyle name="Migliaia 6 3 4 4" xfId="21107" xr:uid="{88A4162F-BFFD-4AA2-840D-1FFE94B88444}"/>
    <cellStyle name="Migliaia 6 3 4 4 2" xfId="34800" xr:uid="{D1C02141-24C4-427A-B108-C1ECB087B5DD}"/>
    <cellStyle name="Migliaia 6 3 4 5" xfId="25599" xr:uid="{D5A3472F-DBEB-4ABF-840F-26ECFC506098}"/>
    <cellStyle name="Migliaia 6 3 4 6" xfId="16882" xr:uid="{4311A9BD-E01D-4326-84A0-E497CF625784}"/>
    <cellStyle name="Migliaia 6 3 4 7" xfId="7711" xr:uid="{A60DB15A-86C5-4E0F-9235-2A2309465448}"/>
    <cellStyle name="Migliaia 6 3 5" xfId="3993" xr:uid="{555D6B7E-D4C7-49CD-AA27-4C4BD7D40316}"/>
    <cellStyle name="Migliaia 6 3 5 2" xfId="5719" xr:uid="{D0D8A614-E196-4622-B081-F734ADB0A9B6}"/>
    <cellStyle name="Migliaia 6 3 5 2 2" xfId="35511" xr:uid="{D748C78F-A2DE-410C-9889-CF61CDDDBFE1}"/>
    <cellStyle name="Migliaia 6 3 5 2 2 2" xfId="40671" xr:uid="{BDD68A0C-F319-4DB5-A81A-FFCB9A17B631}"/>
    <cellStyle name="Migliaia 6 3 5 2 2 3" xfId="45973" xr:uid="{4EC56336-A623-47E3-87DE-F8784E93EED5}"/>
    <cellStyle name="Migliaia 6 3 5 2 3" xfId="38020" xr:uid="{0BA3DCDA-35A3-4637-A7BB-020CACD3682F}"/>
    <cellStyle name="Migliaia 6 3 5 2 4" xfId="43322" xr:uid="{7DE5E2DB-5FC0-4F72-914B-61099797EC3B}"/>
    <cellStyle name="Migliaia 6 3 5 2 5" xfId="14346" xr:uid="{17A978D2-A8C6-4E59-AB8A-8EA6842B5132}"/>
    <cellStyle name="Migliaia 6 3 5 3" xfId="6888" xr:uid="{A8D124A1-51A0-4215-86AF-2F06F4343EC8}"/>
    <cellStyle name="Migliaia 6 3 5 3 2" xfId="34801" xr:uid="{E8E9C4D6-02A2-4E84-95B6-062F6D3EB128}"/>
    <cellStyle name="Migliaia 6 3 5 3 3" xfId="21109" xr:uid="{39272B06-91C6-48B8-8C74-65E1FE31760E}"/>
    <cellStyle name="Migliaia 6 3 5 4" xfId="25600" xr:uid="{D96E6FCF-AEA5-431F-9DB7-6939F67204B7}"/>
    <cellStyle name="Migliaia 6 3 5 5" xfId="16884" xr:uid="{86658397-0971-44B5-876B-D7B8D0A3DF5F}"/>
    <cellStyle name="Migliaia 6 3 5 6" xfId="8408" xr:uid="{E976882A-98E2-41DD-9397-0EEB39916C47}"/>
    <cellStyle name="Migliaia 6 3 6" xfId="5714" xr:uid="{9F3B3942-DC6C-4222-8F55-996956E1DEBE}"/>
    <cellStyle name="Migliaia 6 3 6 2" xfId="14051" xr:uid="{F6E9925D-C8DE-4564-A96E-FB340D0E24A9}"/>
    <cellStyle name="Migliaia 6 3 6 2 2" xfId="34802" xr:uid="{8F6E4633-9CCC-4CCF-B46A-1B32FEC1FD09}"/>
    <cellStyle name="Migliaia 6 3 6 3" xfId="18684" xr:uid="{28C589B3-85E7-43E3-8519-2A7142DFC6C9}"/>
    <cellStyle name="Migliaia 6 3 6 4" xfId="21110" xr:uid="{D6D369A2-43CD-45EE-9055-E8B0801150CA}"/>
    <cellStyle name="Migliaia 6 3 6 5" xfId="25601" xr:uid="{7E38587D-C9F7-4403-9013-21995AD392F8}"/>
    <cellStyle name="Migliaia 6 3 6 6" xfId="16885" xr:uid="{A22962F8-C17D-4ECA-9DEB-6872D5B7A6F8}"/>
    <cellStyle name="Migliaia 6 3 6 7" xfId="8044" xr:uid="{EABC02DC-2090-41FF-8E95-E82E546D1EB1}"/>
    <cellStyle name="Migliaia 6 3 7" xfId="6883" xr:uid="{0ECE495E-084A-46E0-A01A-FC5E85625367}"/>
    <cellStyle name="Migliaia 6 3 7 2" xfId="34803" xr:uid="{1AB25658-F9FB-4AFC-9B88-5B2250A5A1BE}"/>
    <cellStyle name="Migliaia 6 3 7 3" xfId="25602" xr:uid="{70E0E0A3-DAD6-4339-B85D-AAFDB1911746}"/>
    <cellStyle name="Migliaia 6 3 7 4" xfId="12252" xr:uid="{DC44116C-F2F9-421B-A5BE-205DE2375495}"/>
    <cellStyle name="Migliaia 6 3 8" xfId="3988" xr:uid="{8359E085-2CE7-4883-80F5-C06CFFF2E583}"/>
    <cellStyle name="Migliaia 6 3 8 2" xfId="34804" xr:uid="{DF34D73C-3A4E-4E1E-8F09-D41C5F7DB186}"/>
    <cellStyle name="Migliaia 6 3 8 3" xfId="25603" xr:uid="{FE5BF965-2FEC-40BC-AEA1-D049C07AD754}"/>
    <cellStyle name="Migliaia 6 3 8 4" xfId="17262" xr:uid="{A2ABF5DD-2303-4999-A4C7-36C3F977E0FF}"/>
    <cellStyle name="Migliaia 6 3 9" xfId="21101" xr:uid="{1362900F-AEB2-41A2-AFAA-165A0EFF5D7E}"/>
    <cellStyle name="Migliaia 6 3 9 2" xfId="34787" xr:uid="{B091CB41-6695-476A-878A-33D89B1E1BB5}"/>
    <cellStyle name="Migliaia 6 4" xfId="1933" xr:uid="{00000000-0005-0000-0000-0000B4040000}"/>
    <cellStyle name="Migliaia 6 4 10" xfId="7624" xr:uid="{395D0F8B-5183-4394-ABCD-53E8E267EF14}"/>
    <cellStyle name="Migliaia 6 4 2" xfId="1934" xr:uid="{00000000-0005-0000-0000-0000B5040000}"/>
    <cellStyle name="Migliaia 6 4 2 2" xfId="5721" xr:uid="{159DE8BB-1FDD-45CF-9C4F-F1CA3114CA6D}"/>
    <cellStyle name="Migliaia 6 4 2 2 2" xfId="34807" xr:uid="{CDCC0275-BD62-4CB0-AE7F-9B4D5094D84F}"/>
    <cellStyle name="Migliaia 6 4 2 2 3" xfId="25606" xr:uid="{0697078A-D7AB-4DD1-AD4B-CB7DF9904789}"/>
    <cellStyle name="Migliaia 6 4 2 2 4" xfId="9218" xr:uid="{9984923C-B825-4938-BF02-2B668A496D83}"/>
    <cellStyle name="Migliaia 6 4 2 3" xfId="3995" xr:uid="{8D91E353-ED47-4478-A89A-F018C5CCBFB3}"/>
    <cellStyle name="Migliaia 6 4 2 3 2" xfId="34808" xr:uid="{84622427-C629-40C5-B8FE-CFA826996E40}"/>
    <cellStyle name="Migliaia 6 4 2 3 3" xfId="25607" xr:uid="{85F5BBE0-BFC9-4B5D-9E61-AD79B1E2E49A}"/>
    <cellStyle name="Migliaia 6 4 2 3 4" xfId="12109" xr:uid="{9BD6E289-B30A-4172-906F-2562E10B6C5E}"/>
    <cellStyle name="Migliaia 6 4 2 4" xfId="11462" xr:uid="{ECA54885-3A6E-46E5-8B6A-545CE9DF5CFC}"/>
    <cellStyle name="Migliaia 6 4 2 4 2" xfId="34806" xr:uid="{5FFBFAD1-63AD-4436-A18B-1F70D12F86D0}"/>
    <cellStyle name="Migliaia 6 4 2 5" xfId="11011" xr:uid="{513A893D-6FC5-46DE-AFAC-EAA8E800BBA6}"/>
    <cellStyle name="Migliaia 6 4 2 5 2" xfId="21646" xr:uid="{5E264222-CE49-4282-9AAA-69983588D02D}"/>
    <cellStyle name="Migliaia 6 4 2 5 3" xfId="24507" xr:uid="{4AD3A2A0-446E-4A3E-89B0-0FBADE0303BB}"/>
    <cellStyle name="Migliaia 6 4 2 5 4" xfId="50661" xr:uid="{04536D42-CA68-4328-BF55-96818F4FACE1}"/>
    <cellStyle name="Migliaia 6 4 2 5 5" xfId="53677" xr:uid="{EAEF443C-44D6-45AF-BD0E-FACEDBE38309}"/>
    <cellStyle name="Migliaia 6 4 2 6" xfId="21112" xr:uid="{B4CC05BA-86A1-4F12-9C5D-FE7A17949283}"/>
    <cellStyle name="Migliaia 6 4 2 7" xfId="25605" xr:uid="{855C02A3-E657-432C-BC6A-4A67DD7EBF2E}"/>
    <cellStyle name="Migliaia 6 4 2 8" xfId="8814" xr:uid="{EEB718AF-408B-4B15-BB3F-399B914C42E0}"/>
    <cellStyle name="Migliaia 6 4 3" xfId="5720" xr:uid="{A25F62C1-9D94-450E-A177-5DD255752869}"/>
    <cellStyle name="Migliaia 6 4 3 2" xfId="18273" xr:uid="{FC86829F-065D-414D-BB4B-F556FF203E62}"/>
    <cellStyle name="Migliaia 6 4 3 2 2" xfId="34809" xr:uid="{039B0CA6-3925-4037-8AA3-AB3C213B6ABF}"/>
    <cellStyle name="Migliaia 6 4 3 3" xfId="25608" xr:uid="{B2DCF2BE-00D4-497B-8FE5-2804453586E6}"/>
    <cellStyle name="Migliaia 6 4 3 4" xfId="17260" xr:uid="{51506A0C-96BD-4A18-BCD9-4B14AC4D1BD1}"/>
    <cellStyle name="Migliaia 6 4 3 5" xfId="9219" xr:uid="{5F319418-EF63-4791-90C8-273F6CC6F1D9}"/>
    <cellStyle name="Migliaia 6 4 4" xfId="6889" xr:uid="{99A02547-A92D-4271-B98F-88DDFABEFE91}"/>
    <cellStyle name="Migliaia 6 4 4 2" xfId="34810" xr:uid="{A9AB3E8B-274E-466C-97B8-7C21CA633B9C}"/>
    <cellStyle name="Migliaia 6 4 4 3" xfId="25609" xr:uid="{51091A54-3A56-43D2-86BF-3E97AF9C4CBC}"/>
    <cellStyle name="Migliaia 6 4 4 4" xfId="12110" xr:uid="{1B498E3A-7CD9-4C84-B0C8-EA178B68DC96}"/>
    <cellStyle name="Migliaia 6 4 5" xfId="3994" xr:uid="{E6EC6B55-1A16-4FF1-926F-7EF06CB7ACCA}"/>
    <cellStyle name="Migliaia 6 4 5 2" xfId="34811" xr:uid="{36C3B0DE-AC81-4401-BAB6-CE09ACCA740C}"/>
    <cellStyle name="Migliaia 6 4 5 3" xfId="25610" xr:uid="{4188A0FF-B94B-4DF9-9158-2C7E4E5E55D3}"/>
    <cellStyle name="Migliaia 6 4 5 4" xfId="11461" xr:uid="{497DD042-B6DF-4DD8-AA77-9E9E2CED4360}"/>
    <cellStyle name="Migliaia 6 4 6" xfId="11010" xr:uid="{DBF00640-0950-40C7-8E77-403EA555960F}"/>
    <cellStyle name="Migliaia 6 4 6 2" xfId="21645" xr:uid="{E2057FDA-BD9B-4E8F-8CF0-14A4BD43F56C}"/>
    <cellStyle name="Migliaia 6 4 6 2 2" xfId="34812" xr:uid="{49593CF1-C2F1-482B-A33B-F0E0C84A5906}"/>
    <cellStyle name="Migliaia 6 4 6 3" xfId="25611" xr:uid="{A81C355E-B84D-4936-BCA1-F897677A5308}"/>
    <cellStyle name="Migliaia 6 4 6 4" xfId="32447" xr:uid="{84492B48-2866-4D85-BE1F-B56A7A22BD31}"/>
    <cellStyle name="Migliaia 6 4 6 5" xfId="48903" xr:uid="{D3697856-F843-4B12-907A-B3A2F877A24A}"/>
    <cellStyle name="Migliaia 6 4 6 6" xfId="50660" xr:uid="{5BE52C59-AE3E-4B20-B437-171B296C8090}"/>
    <cellStyle name="Migliaia 6 4 6 7" xfId="53676" xr:uid="{4EF129E6-5A01-4ABE-9EAF-DCFFADF00645}"/>
    <cellStyle name="Migliaia 6 4 7" xfId="21111" xr:uid="{1E7EA9B8-ED6D-43AF-902D-24E7B8200B1D}"/>
    <cellStyle name="Migliaia 6 4 7 2" xfId="34813" xr:uid="{4DB4D323-E189-494E-AD1E-818AEDB95F51}"/>
    <cellStyle name="Migliaia 6 4 7 3" xfId="25612" xr:uid="{3C25ED08-DB08-413F-BF31-156C22E7047B}"/>
    <cellStyle name="Migliaia 6 4 8" xfId="34805" xr:uid="{85796A3A-54E4-48D6-B6BD-43F94FA95744}"/>
    <cellStyle name="Migliaia 6 4 9" xfId="25604" xr:uid="{18EF00C8-7E99-4867-B5D5-7DD7312397AB}"/>
    <cellStyle name="Migliaia 6 5" xfId="1935" xr:uid="{00000000-0005-0000-0000-0000B6040000}"/>
    <cellStyle name="Migliaia 6 5 2" xfId="5722" xr:uid="{E9452114-3106-42A3-9F0B-E9519DD3B81D}"/>
    <cellStyle name="Migliaia 6 5 2 2" xfId="18529" xr:uid="{BDDD60A8-310C-4DD4-80AA-21CBD2E6F7EB}"/>
    <cellStyle name="Migliaia 6 5 2 2 2" xfId="34815" xr:uid="{56BF6147-F63A-4D53-B777-E6BFB5CF9DC6}"/>
    <cellStyle name="Migliaia 6 5 2 3" xfId="21114" xr:uid="{86018674-44EF-417C-8FE0-58B07EF1EF07}"/>
    <cellStyle name="Migliaia 6 5 2 4" xfId="25614" xr:uid="{978568EE-4F96-4C4B-957E-B51DE87E8303}"/>
    <cellStyle name="Migliaia 6 5 2 5" xfId="16886" xr:uid="{2161BF59-6E06-40D8-B20A-16B43EC97652}"/>
    <cellStyle name="Migliaia 6 5 2 6" xfId="8815" xr:uid="{7020040E-2383-4076-8142-BE990021EB16}"/>
    <cellStyle name="Migliaia 6 5 3" xfId="6890" xr:uid="{1E1A828A-717A-4CAE-90EE-50792B070CD6}"/>
    <cellStyle name="Migliaia 6 5 3 2" xfId="34816" xr:uid="{A54925E7-0CE6-4AB6-92A5-1BC81DE4D9DE}"/>
    <cellStyle name="Migliaia 6 5 3 3" xfId="25615" xr:uid="{798CE335-B71F-43D3-A959-DA130C241860}"/>
    <cellStyle name="Migliaia 6 5 3 4" xfId="11463" xr:uid="{2BBAE771-DC85-44D9-829F-2E9E955F85DA}"/>
    <cellStyle name="Migliaia 6 5 4" xfId="3996" xr:uid="{63388B25-521D-456C-AFA3-3B13A6B435F2}"/>
    <cellStyle name="Migliaia 6 5 4 2" xfId="21647" xr:uid="{1C0CF035-8804-4A89-A467-171B67B8108A}"/>
    <cellStyle name="Migliaia 6 5 4 2 2" xfId="34817" xr:uid="{F44F6F33-8738-436B-AB59-B2FAC5718B46}"/>
    <cellStyle name="Migliaia 6 5 4 3" xfId="25616" xr:uid="{300E2C1E-343F-4AD7-B929-B77755C31C81}"/>
    <cellStyle name="Migliaia 6 5 4 4" xfId="46711" xr:uid="{A80D6677-8E06-4005-8863-171CDC20750A}"/>
    <cellStyle name="Migliaia 6 5 4 5" xfId="48904" xr:uid="{4D8CB3E5-FFC0-42EB-82B9-7DBCAF9A73D9}"/>
    <cellStyle name="Migliaia 6 5 4 6" xfId="50662" xr:uid="{CF3A1C01-9B31-43B6-99D8-B17CABB0C9C2}"/>
    <cellStyle name="Migliaia 6 5 4 7" xfId="53678" xr:uid="{4B9F1501-6995-4088-851E-D90EE8629CE1}"/>
    <cellStyle name="Migliaia 6 5 4 8" xfId="11012" xr:uid="{0E1A2C6C-9978-4AA8-A933-1EECFA2C0C34}"/>
    <cellStyle name="Migliaia 6 5 5" xfId="21113" xr:uid="{D88282EE-D6A9-4AED-B3E2-8EEB55C2BBB7}"/>
    <cellStyle name="Migliaia 6 5 5 2" xfId="34818" xr:uid="{90EB626B-D9CC-4ACE-8511-93C49A229E89}"/>
    <cellStyle name="Migliaia 6 5 5 3" xfId="25617" xr:uid="{CBCF73B0-EBB9-4BEC-97C9-0CDD8D91F35E}"/>
    <cellStyle name="Migliaia 6 5 5 4" xfId="48905" xr:uid="{F130CCE4-A6C4-443A-97EC-A57F06C23E3C}"/>
    <cellStyle name="Migliaia 6 5 6" xfId="25618" xr:uid="{9F938F49-5C5E-47EA-BC9A-D2B0DF22D6BE}"/>
    <cellStyle name="Migliaia 6 5 6 2" xfId="34819" xr:uid="{3CE372D9-1118-4657-89CE-92AED4F99000}"/>
    <cellStyle name="Migliaia 6 5 7" xfId="34814" xr:uid="{9E317B2E-2A68-4264-B9C2-50F80727564E}"/>
    <cellStyle name="Migliaia 6 5 8" xfId="25613" xr:uid="{B1E4AB5E-88A4-4C8F-BB84-2C72904D8569}"/>
    <cellStyle name="Migliaia 6 5 9" xfId="7625" xr:uid="{AA73E9A3-A3A1-4D09-BCD9-A5AC00897E27}"/>
    <cellStyle name="Migliaia 6 6" xfId="3997" xr:uid="{71A25357-8FAB-4752-A9AB-25498CEBFB33}"/>
    <cellStyle name="Migliaia 6 6 2" xfId="5723" xr:uid="{3E5C83BC-A4DB-42C8-82FB-48822C24C948}"/>
    <cellStyle name="Migliaia 6 6 2 2" xfId="9991" xr:uid="{FC7D08AE-6BAE-4CB7-B1DC-40786FED06A9}"/>
    <cellStyle name="Migliaia 6 6 2 3" xfId="18596" xr:uid="{BD7129D0-DE92-45EC-B7F4-53F76801E9F3}"/>
    <cellStyle name="Migliaia 6 6 2 4" xfId="21116" xr:uid="{41567711-652F-4FD5-AF39-4A021CCE7614}"/>
    <cellStyle name="Migliaia 6 6 2 5" xfId="32486" xr:uid="{F6EEFC4E-0E53-486A-9FB7-1C8B7C378C1B}"/>
    <cellStyle name="Migliaia 6 6 2 6" xfId="16888" xr:uid="{E7BEA91A-63CF-4403-B714-BAAFDC0CE80D}"/>
    <cellStyle name="Migliaia 6 6 2 7" xfId="8810" xr:uid="{63D2AEF0-6777-41C7-A684-5F39E84362BF}"/>
    <cellStyle name="Migliaia 6 6 3" xfId="6891" xr:uid="{AC7B38C9-F4B3-43C9-BAD9-0FA9926DF3D1}"/>
    <cellStyle name="Migliaia 6 6 3 2" xfId="35512" xr:uid="{005F44F1-3861-4475-A613-E5FB24888FDC}"/>
    <cellStyle name="Migliaia 6 6 3 2 2" xfId="40672" xr:uid="{A271CD0A-E471-4C02-8FAF-73BF828E9C82}"/>
    <cellStyle name="Migliaia 6 6 3 2 3" xfId="45974" xr:uid="{6C642BD6-4162-4E1F-83BA-898B8BBD8B69}"/>
    <cellStyle name="Migliaia 6 6 3 3" xfId="38021" xr:uid="{43A80AAA-9BB1-4E80-9112-FF6994D7F89A}"/>
    <cellStyle name="Migliaia 6 6 3 4" xfId="43323" xr:uid="{B57DDCBD-D871-4828-AF96-108D7EA1BF32}"/>
    <cellStyle name="Migliaia 6 6 3 5" xfId="9754" xr:uid="{77FED1E2-DF45-4C91-AF47-287C833606C3}"/>
    <cellStyle name="Migliaia 6 6 4" xfId="21115" xr:uid="{877C79B1-39F2-4A50-A693-0614386183FB}"/>
    <cellStyle name="Migliaia 6 6 4 2" xfId="34820" xr:uid="{FAD5CD42-E305-4B41-9735-D61BA8E6EE7C}"/>
    <cellStyle name="Migliaia 6 6 5" xfId="25619" xr:uid="{BC9C22D9-E4AC-43DF-B279-FC20C25FEA00}"/>
    <cellStyle name="Migliaia 6 6 6" xfId="16887" xr:uid="{B75758F4-6915-4E39-A067-0D1A77261491}"/>
    <cellStyle name="Migliaia 6 6 7" xfId="7620" xr:uid="{A2DAD6CE-E00C-41B3-AA02-3267D401EBEA}"/>
    <cellStyle name="Migliaia 6 7" xfId="3998" xr:uid="{640196F7-83F3-43AE-8089-7E55E0BBB1A1}"/>
    <cellStyle name="Migliaia 6 7 2" xfId="5724" xr:uid="{ECFE4E75-15C7-4891-B4B8-AABBBE8DC4D1}"/>
    <cellStyle name="Migliaia 6 7 2 2" xfId="35513" xr:uid="{091C7AA4-8226-47F6-8CAB-3575F2C14C7A}"/>
    <cellStyle name="Migliaia 6 7 2 2 2" xfId="40673" xr:uid="{0EBFE693-8C69-4F01-BF07-ABF8640F4AFD}"/>
    <cellStyle name="Migliaia 6 7 2 2 3" xfId="45975" xr:uid="{782E4037-E2C4-42F1-A49A-C76DAAB83793}"/>
    <cellStyle name="Migliaia 6 7 2 3" xfId="38022" xr:uid="{8F5C6404-67B4-4F38-803C-6DDDA2DA9555}"/>
    <cellStyle name="Migliaia 6 7 2 4" xfId="43324" xr:uid="{8BB69CF4-9093-4F66-AEA1-58FE0E1DBD6F}"/>
    <cellStyle name="Migliaia 6 7 2 5" xfId="14344" xr:uid="{7895D403-28CA-4FEB-80AC-C38498A52793}"/>
    <cellStyle name="Migliaia 6 7 3" xfId="6892" xr:uid="{DAA68D4A-5EE0-4FFE-A25B-6754111481EF}"/>
    <cellStyle name="Migliaia 6 7 3 2" xfId="34821" xr:uid="{5644D2F1-EDF1-463A-BA94-6710F2A6F8F5}"/>
    <cellStyle name="Migliaia 6 7 3 3" xfId="21117" xr:uid="{EE4CEB99-4639-44B1-AD1F-79EE1D44CD74}"/>
    <cellStyle name="Migliaia 6 7 4" xfId="25620" xr:uid="{13C3AF6D-A0E5-4ADE-9E4D-A7E7861AFFF4}"/>
    <cellStyle name="Migliaia 6 7 5" xfId="16889" xr:uid="{AAC4C1E9-0E85-44CD-B30D-FA5505EFDBCB}"/>
    <cellStyle name="Migliaia 6 7 6" xfId="8406" xr:uid="{3BA7BBEF-54D3-4E86-83E0-2D224FBEDAA7}"/>
    <cellStyle name="Migliaia 6 8" xfId="3999" xr:uid="{8AA67740-0DD2-471F-9D0C-6D342C97ADEA}"/>
    <cellStyle name="Migliaia 6 8 2" xfId="5725" xr:uid="{64F3445A-06EC-4286-8CCA-D24FEE836B7C}"/>
    <cellStyle name="Migliaia 6 8 2 2" xfId="35514" xr:uid="{3D39E433-8653-4DDD-9E4C-6463CE69C87F}"/>
    <cellStyle name="Migliaia 6 8 2 2 2" xfId="40674" xr:uid="{E29F9245-8998-46EA-B2F1-6FE1BFB80200}"/>
    <cellStyle name="Migliaia 6 8 2 2 3" xfId="45976" xr:uid="{823E4F50-20F2-497D-A5A5-89ABFAE54203}"/>
    <cellStyle name="Migliaia 6 8 2 3" xfId="38023" xr:uid="{99554982-EC8E-47A9-B126-C456138072B1}"/>
    <cellStyle name="Migliaia 6 8 2 4" xfId="43325" xr:uid="{3A9322A5-A3F9-4686-8FDD-669740A4D7AB}"/>
    <cellStyle name="Migliaia 6 8 2 5" xfId="14049" xr:uid="{2A210DE9-1FF6-4226-B097-5FBB1D5716E1}"/>
    <cellStyle name="Migliaia 6 8 3" xfId="6893" xr:uid="{D072380F-86C2-4190-839B-B1B3DADB0D5F}"/>
    <cellStyle name="Migliaia 6 8 3 2" xfId="34822" xr:uid="{1079CD4D-3217-4A8D-B847-360B11AB58C9}"/>
    <cellStyle name="Migliaia 6 8 3 3" xfId="21118" xr:uid="{3F8B9630-A9AF-485D-B895-7DDDDD675BB1}"/>
    <cellStyle name="Migliaia 6 8 4" xfId="25621" xr:uid="{531F6B79-C278-4085-B906-E44E537DA1FF}"/>
    <cellStyle name="Migliaia 6 8 5" xfId="16890" xr:uid="{9DB7547F-60A4-48A2-8A48-6B727DC25FA1}"/>
    <cellStyle name="Migliaia 6 8 6" xfId="8042" xr:uid="{1EB4DDA0-B6B7-4B1D-8292-AFA4AF16E68E}"/>
    <cellStyle name="Migliaia 6 9" xfId="5710" xr:uid="{90CB8623-CDE7-4A82-8259-E06609741E91}"/>
    <cellStyle name="Migliaia 6 9 2" xfId="34823" xr:uid="{8798B9B6-641D-46E8-825A-BC42BD9AFDE8}"/>
    <cellStyle name="Migliaia 6 9 3" xfId="25622" xr:uid="{DC9B49D1-26E0-49D4-96E3-99DB44EDBA8F}"/>
    <cellStyle name="Migliaia 6 9 4" xfId="17245" xr:uid="{94E5F19A-B086-41BE-9ED6-08A022CA19ED}"/>
    <cellStyle name="Migliaia 60" xfId="525" xr:uid="{00000000-0005-0000-0000-0000B7040000}"/>
    <cellStyle name="Migliaia 60 10" xfId="6894" xr:uid="{B9BC1757-6C28-43DB-94D2-258B7312A454}"/>
    <cellStyle name="Migliaia 60 10 2" xfId="34824" xr:uid="{67E7A54F-F35A-4D34-820A-03E0B2BD1C7E}"/>
    <cellStyle name="Migliaia 60 10 3" xfId="21119" xr:uid="{F786AEA2-D4F6-43B4-A171-900108D2F3B8}"/>
    <cellStyle name="Migliaia 60 11" xfId="4000" xr:uid="{01271245-E097-4E07-9C57-AD227ADFBFE9}"/>
    <cellStyle name="Migliaia 60 11 2" xfId="25623" xr:uid="{B0087D10-9B83-4C0F-AB56-35F3385D47C1}"/>
    <cellStyle name="Migliaia 60 12" xfId="7210" xr:uid="{997FDB78-C30B-430B-84A5-7CC4D84D1F73}"/>
    <cellStyle name="Migliaia 60 2" xfId="526" xr:uid="{00000000-0005-0000-0000-0000B8040000}"/>
    <cellStyle name="Migliaia 60 2 2" xfId="1936" xr:uid="{00000000-0005-0000-0000-0000B9040000}"/>
    <cellStyle name="Migliaia 60 2 2 2" xfId="5728" xr:uid="{E8E90049-B7E1-4B1F-BE1A-8AEAE8F5E2B0}"/>
    <cellStyle name="Migliaia 60 2 2 2 2" xfId="14419" xr:uid="{E46C030A-16CF-44B9-8958-D7B963550816}"/>
    <cellStyle name="Migliaia 60 2 2 2 2 2" xfId="34827" xr:uid="{7CEF95E3-5AD0-4BEF-9289-9C71F9448DA9}"/>
    <cellStyle name="Migliaia 60 2 2 2 3" xfId="18530" xr:uid="{FCFF4159-F0B3-4BBF-9A35-4DFC0E172FDF}"/>
    <cellStyle name="Migliaia 60 2 2 2 4" xfId="21122" xr:uid="{C2FA1883-425C-4513-9C3A-A8017F6378FF}"/>
    <cellStyle name="Migliaia 60 2 2 2 5" xfId="25626" xr:uid="{56835684-E6E4-4787-8571-EF7F62D047DB}"/>
    <cellStyle name="Migliaia 60 2 2 2 6" xfId="16891" xr:uid="{75AE8D15-FBBC-490F-8667-FC4F37F64FF4}"/>
    <cellStyle name="Migliaia 60 2 2 2 7" xfId="8817" xr:uid="{BC90859F-3D08-4D5E-BF4E-79F917F40AF8}"/>
    <cellStyle name="Migliaia 60 2 2 3" xfId="6896" xr:uid="{7A662D1B-B423-4AC6-830C-D6522F084461}"/>
    <cellStyle name="Migliaia 60 2 2 3 2" xfId="35515" xr:uid="{4CD2ED2E-C970-4884-9382-4942FB040337}"/>
    <cellStyle name="Migliaia 60 2 2 3 2 2" xfId="40675" xr:uid="{656701AA-94A0-4154-86B0-798D87E9AB1D}"/>
    <cellStyle name="Migliaia 60 2 2 3 2 3" xfId="45977" xr:uid="{1DE71701-C2B0-4EFC-8D43-C1AEC98B4098}"/>
    <cellStyle name="Migliaia 60 2 2 3 3" xfId="38024" xr:uid="{4C12C4F7-DF8F-41BB-B332-E3A61F2D8CCD}"/>
    <cellStyle name="Migliaia 60 2 2 3 4" xfId="43326" xr:uid="{2FDF1843-B543-4EA4-942A-A070D4C0DF77}"/>
    <cellStyle name="Migliaia 60 2 2 3 5" xfId="11646" xr:uid="{289F32E6-A8C1-4367-835D-0FDDEA6D0B56}"/>
    <cellStyle name="Migliaia 60 2 2 4" xfId="4002" xr:uid="{B33F874A-D2E5-459C-8CBC-BBCFA5659CB8}"/>
    <cellStyle name="Migliaia 60 2 2 4 2" xfId="21648" xr:uid="{E30EACFB-398C-4D48-8AAD-D96780A79A0A}"/>
    <cellStyle name="Migliaia 60 2 2 4 3" xfId="34826" xr:uid="{B4AF1322-B906-40B9-886E-30FBA62D68E0}"/>
    <cellStyle name="Migliaia 60 2 2 4 4" xfId="47388" xr:uid="{E630E165-F783-4DDC-A820-B0DFAC286DD9}"/>
    <cellStyle name="Migliaia 60 2 2 4 5" xfId="50663" xr:uid="{50622E17-B467-4C17-901E-600C796D9CD5}"/>
    <cellStyle name="Migliaia 60 2 2 4 6" xfId="53679" xr:uid="{6D4E1CA5-B597-479B-8C75-4AB91741A9B4}"/>
    <cellStyle name="Migliaia 60 2 2 4 7" xfId="11013" xr:uid="{642A8FA3-EF34-46AB-9AAF-75A2ADCDE3B7}"/>
    <cellStyle name="Migliaia 60 2 2 5" xfId="21121" xr:uid="{93BA6E81-7CDC-4C21-A0F8-72FBBC26244F}"/>
    <cellStyle name="Migliaia 60 2 2 6" xfId="25625" xr:uid="{E40E2496-B421-4323-B653-8080663F21C4}"/>
    <cellStyle name="Migliaia 60 2 2 7" xfId="7627" xr:uid="{F0946935-C03B-4C48-9DCB-BDD59AE1C9D6}"/>
    <cellStyle name="Migliaia 60 2 3" xfId="4003" xr:uid="{9E09FCA5-168F-46C7-AEB9-E40DA8254710}"/>
    <cellStyle name="Migliaia 60 2 3 2" xfId="5729" xr:uid="{CB821AB2-4F81-4609-B47B-1D4788BDA8B6}"/>
    <cellStyle name="Migliaia 60 2 3 2 2" xfId="35516" xr:uid="{65D4460A-17E0-4F18-9FCC-81B3DD626BD5}"/>
    <cellStyle name="Migliaia 60 2 3 2 2 2" xfId="40676" xr:uid="{39B7FC4E-04BB-4E6A-BBBE-998B06FFB1BD}"/>
    <cellStyle name="Migliaia 60 2 3 2 2 3" xfId="45978" xr:uid="{001155A8-1515-4CD3-B705-C54278AE79A1}"/>
    <cellStyle name="Migliaia 60 2 3 2 3" xfId="38025" xr:uid="{3DCD2611-740C-42AD-945C-2DC598D1F25C}"/>
    <cellStyle name="Migliaia 60 2 3 2 4" xfId="43327" xr:uid="{52BFC30E-A51D-471E-A531-FC3191E434CC}"/>
    <cellStyle name="Migliaia 60 2 3 2 5" xfId="14348" xr:uid="{972FC79D-9955-489F-840B-90866E6314CB}"/>
    <cellStyle name="Migliaia 60 2 3 3" xfId="6897" xr:uid="{A0A20921-5323-4BC0-A00E-5879CDCBF050}"/>
    <cellStyle name="Migliaia 60 2 3 3 2" xfId="34828" xr:uid="{47A4A045-45EE-4FF3-A22D-75D2ACFD5924}"/>
    <cellStyle name="Migliaia 60 2 3 3 3" xfId="21123" xr:uid="{5662BC24-CEA2-4586-9B54-A0CBD83D8D9C}"/>
    <cellStyle name="Migliaia 60 2 3 4" xfId="25627" xr:uid="{36A8218F-CC22-4061-99C3-3D68F4F5DEF1}"/>
    <cellStyle name="Migliaia 60 2 3 5" xfId="16892" xr:uid="{16394299-E2ED-436D-9A9C-37C2A8603671}"/>
    <cellStyle name="Migliaia 60 2 3 6" xfId="8410" xr:uid="{FC4D7169-2C14-49AF-8700-FDA9CE0071BE}"/>
    <cellStyle name="Migliaia 60 2 4" xfId="5727" xr:uid="{02C2B89A-C30A-45D6-BAEE-9D7ACCE35542}"/>
    <cellStyle name="Migliaia 60 2 4 2" xfId="14053" xr:uid="{317A7B0F-48AE-40D1-92AE-D31F0058864A}"/>
    <cellStyle name="Migliaia 60 2 4 2 2" xfId="34829" xr:uid="{76D7DB75-8AD7-4A36-83AC-420BCB017663}"/>
    <cellStyle name="Migliaia 60 2 4 3" xfId="18683" xr:uid="{E3579C84-F947-4D14-ACA2-158D14B2E7CB}"/>
    <cellStyle name="Migliaia 60 2 4 4" xfId="21124" xr:uid="{61D8BDB0-D8F0-4966-AB2C-894C5619C28D}"/>
    <cellStyle name="Migliaia 60 2 4 5" xfId="25628" xr:uid="{9FD3226E-5D06-4005-951A-A65CEFF279ED}"/>
    <cellStyle name="Migliaia 60 2 4 6" xfId="16893" xr:uid="{F3A71664-A8FF-40B0-8101-20BFCC58AF5B}"/>
    <cellStyle name="Migliaia 60 2 4 7" xfId="8047" xr:uid="{6F4C05F3-3F74-42E6-9ED9-407BD6512380}"/>
    <cellStyle name="Migliaia 60 2 5" xfId="6895" xr:uid="{071117BE-EA62-485D-8268-DB432E4DB7EF}"/>
    <cellStyle name="Migliaia 60 2 5 2" xfId="34830" xr:uid="{B8C71280-D4AF-4EBB-91CD-B4443CABCD42}"/>
    <cellStyle name="Migliaia 60 2 5 3" xfId="25629" xr:uid="{C798074C-FC5C-45C7-8347-8DFADE68797D}"/>
    <cellStyle name="Migliaia 60 2 5 4" xfId="13159" xr:uid="{8D3122FE-4370-4A16-8DAF-D0508D6D46B9}"/>
    <cellStyle name="Migliaia 60 2 6" xfId="4001" xr:uid="{B571F1DE-CD08-4992-A2E6-BA66CF7EBBDB}"/>
    <cellStyle name="Migliaia 60 2 6 2" xfId="34831" xr:uid="{B3C0F04B-DDD8-4110-B6DA-A9DD3C503B6D}"/>
    <cellStyle name="Migliaia 60 2 6 3" xfId="25630" xr:uid="{0E65DB54-6E04-4BD1-B8E9-4CD52E31CE58}"/>
    <cellStyle name="Migliaia 60 2 6 4" xfId="21120" xr:uid="{F6C496F5-34A2-4467-B549-C521C8A6E198}"/>
    <cellStyle name="Migliaia 60 2 7" xfId="34825" xr:uid="{A418DDC8-AC95-4250-B2A5-A7B7CC11AFBD}"/>
    <cellStyle name="Migliaia 60 2 8" xfId="25624" xr:uid="{7466E294-31C2-49B4-87E0-6659A40D72F2}"/>
    <cellStyle name="Migliaia 60 2 9" xfId="7211" xr:uid="{07F92585-FFFE-40D0-BFC8-F9F89CFD7F10}"/>
    <cellStyle name="Migliaia 60 3" xfId="527" xr:uid="{00000000-0005-0000-0000-0000BA040000}"/>
    <cellStyle name="Migliaia 60 3 10" xfId="25631" xr:uid="{EF4C7264-CA50-4AAF-86D0-5B6943577BA2}"/>
    <cellStyle name="Migliaia 60 3 11" xfId="16894" xr:uid="{14F67867-D648-48D6-954C-B465D7FB3808}"/>
    <cellStyle name="Migliaia 60 3 12" xfId="7212" xr:uid="{03334771-8856-49E2-B169-29DFD0B37F9E}"/>
    <cellStyle name="Migliaia 60 3 2" xfId="528" xr:uid="{00000000-0005-0000-0000-0000BB040000}"/>
    <cellStyle name="Migliaia 60 3 2 2" xfId="1937" xr:uid="{00000000-0005-0000-0000-0000BC040000}"/>
    <cellStyle name="Migliaia 60 3 2 2 2" xfId="5732" xr:uid="{E48901DD-7636-4631-92DD-82F268962BA0}"/>
    <cellStyle name="Migliaia 60 3 2 2 2 2" xfId="18531" xr:uid="{E7FB255A-F50A-4C2D-902C-C170DAFD31C4}"/>
    <cellStyle name="Migliaia 60 3 2 2 2 2 2" xfId="21897" xr:uid="{88B4C254-FDFA-41DE-9463-8BD2B317C757}"/>
    <cellStyle name="Migliaia 60 3 2 2 2 2 3" xfId="34835" xr:uid="{3E4C1B02-FE94-4052-9144-DEFB371A0670}"/>
    <cellStyle name="Migliaia 60 3 2 2 2 3" xfId="25634" xr:uid="{AF9D9BB0-9B54-4886-AFA8-597007A21609}"/>
    <cellStyle name="Migliaia 60 3 2 2 2 4" xfId="46753" xr:uid="{3913300A-8315-4C9C-BADE-A91202AD3667}"/>
    <cellStyle name="Migliaia 60 3 2 2 2 5" xfId="50925" xr:uid="{DFB77ACB-2010-4D75-B24D-7591E0688151}"/>
    <cellStyle name="Migliaia 60 3 2 2 2 6" xfId="53941" xr:uid="{8D03A078-D52A-4A13-96DE-F9249B930F0D}"/>
    <cellStyle name="Migliaia 60 3 2 2 2 7" xfId="17696" xr:uid="{FC8ECFE2-D299-45F9-95CA-EEF1F4DAAE54}"/>
    <cellStyle name="Migliaia 60 3 2 2 2 8" xfId="12111" xr:uid="{3CAA9DEC-6E3B-4E91-93FE-798F3BE46125}"/>
    <cellStyle name="Migliaia 60 3 2 2 3" xfId="6900" xr:uid="{D9311C87-8566-4886-B993-CA3C54EDEC7C}"/>
    <cellStyle name="Migliaia 60 3 2 2 3 2" xfId="34834" xr:uid="{469ADCCD-68AE-4273-B38C-95BD721F9CBB}"/>
    <cellStyle name="Migliaia 60 3 2 2 3 3" xfId="12201" xr:uid="{C9B826D7-C564-4966-96C9-56009975FFD0}"/>
    <cellStyle name="Migliaia 60 3 2 2 4" xfId="4006" xr:uid="{464AC856-3A1D-4100-BA53-BE6A9D8D2CD7}"/>
    <cellStyle name="Migliaia 60 3 2 2 4 2" xfId="21649" xr:uid="{C477A76F-63B6-4239-AAD9-FCAEFBA80FED}"/>
    <cellStyle name="Migliaia 60 3 2 2 4 3" xfId="24239" xr:uid="{A0FD20C2-72F2-42DD-9B35-A8779E5CCD3B}"/>
    <cellStyle name="Migliaia 60 3 2 2 4 4" xfId="50664" xr:uid="{35E88E8C-CCC5-408B-A3BC-13F146F2D52E}"/>
    <cellStyle name="Migliaia 60 3 2 2 4 5" xfId="53680" xr:uid="{AF8E30FB-35FE-45FC-987B-3F783406DF2B}"/>
    <cellStyle name="Migliaia 60 3 2 2 4 6" xfId="11014" xr:uid="{07E26C10-C516-4D40-AC28-104F6CEAB6EB}"/>
    <cellStyle name="Migliaia 60 3 2 2 5" xfId="21127" xr:uid="{0EC07E55-EF1A-484A-8920-DBCF984A60DF}"/>
    <cellStyle name="Migliaia 60 3 2 2 6" xfId="25633" xr:uid="{22C96A3B-DE26-4B4F-9946-B14C3D31E2E8}"/>
    <cellStyle name="Migliaia 60 3 2 2 7" xfId="8819" xr:uid="{D261A8EE-AD31-4F8F-852C-CB45AF699629}"/>
    <cellStyle name="Migliaia 60 3 2 3" xfId="5731" xr:uid="{6E69AE47-27DE-4953-8D16-5F88EAECC4A6}"/>
    <cellStyle name="Migliaia 60 3 2 3 2" xfId="12219" xr:uid="{507E7281-5663-46B1-A5C1-2003BB5B7F51}"/>
    <cellStyle name="Migliaia 60 3 2 3 2 2" xfId="34836" xr:uid="{985D9ED9-D521-4896-8ECA-D35481C04ADD}"/>
    <cellStyle name="Migliaia 60 3 2 3 3" xfId="12112" xr:uid="{28D7D73E-BF7A-4A14-8E8C-4316B27ABEDD}"/>
    <cellStyle name="Migliaia 60 3 2 3 4" xfId="21128" xr:uid="{A1A954DF-CD45-4BFF-AEF6-A85EBED4BE6E}"/>
    <cellStyle name="Migliaia 60 3 2 3 5" xfId="25635" xr:uid="{8C7636C0-531F-44B9-AC89-AA7710BA2B82}"/>
    <cellStyle name="Migliaia 60 3 2 3 6" xfId="16895" xr:uid="{83205585-2F72-49FE-8AA8-4A0427B07D23}"/>
    <cellStyle name="Migliaia 60 3 2 3 7" xfId="8049" xr:uid="{2D2C5528-2100-4CFA-9593-5D826ACD7CC8}"/>
    <cellStyle name="Migliaia 60 3 2 4" xfId="6899" xr:uid="{2B741818-763D-4849-8FB7-2A4428D8C4F3}"/>
    <cellStyle name="Migliaia 60 3 2 4 2" xfId="18113" xr:uid="{133A257E-F088-4D02-BA51-371889F60C48}"/>
    <cellStyle name="Migliaia 60 3 2 4 2 2" xfId="34837" xr:uid="{33A5336E-6440-45C4-8D9C-3655393F3C85}"/>
    <cellStyle name="Migliaia 60 3 2 4 3" xfId="25636" xr:uid="{BCB20724-76BF-435D-8C2D-F89B7FA69277}"/>
    <cellStyle name="Migliaia 60 3 2 4 4" xfId="17248" xr:uid="{E84B35E2-5B67-447D-A4C5-303B36A312E4}"/>
    <cellStyle name="Migliaia 60 3 2 4 5" xfId="11464" xr:uid="{A88A82BD-262F-4D2C-A023-5C2810A2399A}"/>
    <cellStyle name="Migliaia 60 3 2 5" xfId="4005" xr:uid="{9DF76BB5-32EE-463E-95DC-AFDD4B9387D9}"/>
    <cellStyle name="Migliaia 60 3 2 5 2" xfId="34838" xr:uid="{039FA886-FC9A-41E6-8763-E07FD5C09CD2}"/>
    <cellStyle name="Migliaia 60 3 2 5 3" xfId="25637" xr:uid="{CC497A38-B40E-460F-B397-F9A80930EF23}"/>
    <cellStyle name="Migliaia 60 3 2 5 4" xfId="17258" xr:uid="{EE5F5B10-3C4A-4862-8E76-016D47FB21E9}"/>
    <cellStyle name="Migliaia 60 3 2 6" xfId="21126" xr:uid="{4183C71A-CF2A-4E25-A074-C1F930F89F9D}"/>
    <cellStyle name="Migliaia 60 3 2 6 2" xfId="34839" xr:uid="{3C214B16-256C-4AF4-BD5E-833E6039EB86}"/>
    <cellStyle name="Migliaia 60 3 2 6 3" xfId="25638" xr:uid="{1669AD2C-AB76-4653-8BB5-49F1FE563DBC}"/>
    <cellStyle name="Migliaia 60 3 2 7" xfId="34833" xr:uid="{28E2DFDA-93B6-4BD4-9208-2FFF57C33D1C}"/>
    <cellStyle name="Migliaia 60 3 2 8" xfId="25632" xr:uid="{BEC153C4-71E8-4B3A-B91D-BF2CD4562058}"/>
    <cellStyle name="Migliaia 60 3 2 9" xfId="7629" xr:uid="{D67C0361-EBE0-4B87-9B39-451B7EC1FB87}"/>
    <cellStyle name="Migliaia 60 3 3" xfId="4007" xr:uid="{B88B0314-4626-49A4-A6EF-7EC04089FE98}"/>
    <cellStyle name="Migliaia 60 3 3 2" xfId="5733" xr:uid="{08FB6EE2-7D97-4734-9678-838D2B1E92FB}"/>
    <cellStyle name="Migliaia 60 3 3 2 2" xfId="9994" xr:uid="{E8FE569A-956B-4802-9548-3274A0A8546D}"/>
    <cellStyle name="Migliaia 60 3 3 2 2 2" xfId="34841" xr:uid="{B8C8CAE7-73F4-44A1-8698-2472AEFCB027}"/>
    <cellStyle name="Migliaia 60 3 3 2 3" xfId="18274" xr:uid="{1AB8FD89-7A54-4562-9807-7687FCA84286}"/>
    <cellStyle name="Migliaia 60 3 3 2 4" xfId="21130" xr:uid="{7FBF85F7-C917-4AB6-A97C-5700379B0504}"/>
    <cellStyle name="Migliaia 60 3 3 2 5" xfId="25640" xr:uid="{BA10CA02-0138-49B8-A6AF-746C68AC22B1}"/>
    <cellStyle name="Migliaia 60 3 3 2 6" xfId="16897" xr:uid="{F7CAB839-F9C4-454B-9A3D-16D35716FC91}"/>
    <cellStyle name="Migliaia 60 3 3 2 7" xfId="8818" xr:uid="{FF1E4FC7-918A-42F7-95AA-2C7E9C68BB4B}"/>
    <cellStyle name="Migliaia 60 3 3 3" xfId="6901" xr:uid="{D371E093-E284-49B4-B3EE-A42DB7F2566F}"/>
    <cellStyle name="Migliaia 60 3 3 3 2" xfId="34842" xr:uid="{D11E37F2-AAF0-4F13-9380-17A3E35E9D53}"/>
    <cellStyle name="Migliaia 60 3 3 3 3" xfId="25641" xr:uid="{18E5964A-2127-493E-AD87-817C66F7F1AB}"/>
    <cellStyle name="Migliaia 60 3 3 3 4" xfId="9757" xr:uid="{87548E13-F53A-4FC6-B9F6-69B3C5FAEE61}"/>
    <cellStyle name="Migliaia 60 3 3 4" xfId="21129" xr:uid="{8A3911B9-7B40-4382-AB46-97FE812B4AB5}"/>
    <cellStyle name="Migliaia 60 3 3 4 2" xfId="34843" xr:uid="{6307682A-A040-4B09-94CD-72988C74056D}"/>
    <cellStyle name="Migliaia 60 3 3 4 3" xfId="25642" xr:uid="{ECF071C2-FCCF-476E-9BF5-51C9E4E14447}"/>
    <cellStyle name="Migliaia 60 3 3 4 4" xfId="48906" xr:uid="{32F59147-AA29-4F1A-BC2F-E66E09475FD3}"/>
    <cellStyle name="Migliaia 60 3 3 5" xfId="25643" xr:uid="{8A9CCFF9-E25F-4D34-BDD3-AD238DAE5157}"/>
    <cellStyle name="Migliaia 60 3 3 5 2" xfId="34844" xr:uid="{8BE4A7FD-9AC7-4531-8421-76ECD31A11B6}"/>
    <cellStyle name="Migliaia 60 3 3 5 3" xfId="48907" xr:uid="{CF561DF8-8F76-4717-BC90-4A85D1728256}"/>
    <cellStyle name="Migliaia 60 3 3 6" xfId="34840" xr:uid="{5D3605A4-292A-4B77-8E01-12E8E6107007}"/>
    <cellStyle name="Migliaia 60 3 3 7" xfId="25639" xr:uid="{EC03A99B-3A88-4D15-B167-1C524BA0AC3F}"/>
    <cellStyle name="Migliaia 60 3 3 8" xfId="16896" xr:uid="{DA5F8A19-D0DA-4C1B-BCCE-6D9F89A2A3C4}"/>
    <cellStyle name="Migliaia 60 3 3 9" xfId="7628" xr:uid="{F7021454-B949-45F9-844B-48FA0DB1A70F}"/>
    <cellStyle name="Migliaia 60 3 4" xfId="4008" xr:uid="{AA60A637-919D-4D1F-9A0A-C78697BAE7B2}"/>
    <cellStyle name="Migliaia 60 3 4 2" xfId="5734" xr:uid="{06ABAEB4-95B8-4140-B147-AFA2FA315057}"/>
    <cellStyle name="Migliaia 60 3 4 2 2" xfId="14479" xr:uid="{6DF6B5BD-7A6C-46A8-B6AE-6B61E448379E}"/>
    <cellStyle name="Migliaia 60 3 4 2 3" xfId="18137" xr:uid="{216557AF-B5D6-4BAB-8AC2-2F5DEA393158}"/>
    <cellStyle name="Migliaia 60 3 4 2 4" xfId="21132" xr:uid="{D974F19C-1A0C-4E5A-B447-4535912A96C1}"/>
    <cellStyle name="Migliaia 60 3 4 2 5" xfId="32487" xr:uid="{D3D9F6DA-6BCA-47E6-BC7E-A0F5CE70C7CE}"/>
    <cellStyle name="Migliaia 60 3 4 2 6" xfId="16899" xr:uid="{A25F92EF-8C69-462F-94E1-EBF214D2EB2F}"/>
    <cellStyle name="Migliaia 60 3 4 2 7" xfId="8902" xr:uid="{F44126E0-8334-4C82-9489-86A00083CF2E}"/>
    <cellStyle name="Migliaia 60 3 4 3" xfId="6902" xr:uid="{063CFC75-FE31-4C53-8868-69CE6950C5AF}"/>
    <cellStyle name="Migliaia 60 3 4 3 2" xfId="35517" xr:uid="{CC617D12-5CA8-4686-A4E8-F34A9C4E7068}"/>
    <cellStyle name="Migliaia 60 3 4 3 2 2" xfId="40677" xr:uid="{CC3F577C-8991-49D0-887C-A038FBE00977}"/>
    <cellStyle name="Migliaia 60 3 4 3 2 3" xfId="45979" xr:uid="{5B9388B8-DF10-4331-B8E3-6B56941D07ED}"/>
    <cellStyle name="Migliaia 60 3 4 3 3" xfId="38026" xr:uid="{D4EE5400-F03E-4C88-914A-E5854729464B}"/>
    <cellStyle name="Migliaia 60 3 4 3 4" xfId="43328" xr:uid="{437603B9-9C83-4EE3-B1A6-7375B4E2DC18}"/>
    <cellStyle name="Migliaia 60 3 4 3 5" xfId="13727" xr:uid="{076C0AFD-B8E6-402B-A20C-0900603990C9}"/>
    <cellStyle name="Migliaia 60 3 4 4" xfId="21131" xr:uid="{36B76F95-501F-4FD1-963E-8348205D09DB}"/>
    <cellStyle name="Migliaia 60 3 4 4 2" xfId="34845" xr:uid="{5E21949B-211D-4725-80FC-F4AE788FBED8}"/>
    <cellStyle name="Migliaia 60 3 4 5" xfId="25644" xr:uid="{9022996A-B4BC-454D-BE78-5D4C6FD5308A}"/>
    <cellStyle name="Migliaia 60 3 4 6" xfId="16898" xr:uid="{909E30EA-683F-4A40-9FBE-0D211B0E0290}"/>
    <cellStyle name="Migliaia 60 3 4 7" xfId="7712" xr:uid="{33205B5E-DCD4-48DB-99DD-EFC5AF47112C}"/>
    <cellStyle name="Migliaia 60 3 5" xfId="4009" xr:uid="{C48E4ECE-2A4D-41A7-B64B-D234CEE0C308}"/>
    <cellStyle name="Migliaia 60 3 5 2" xfId="5735" xr:uid="{DA1AAEBE-6432-4801-A049-F282B9B35673}"/>
    <cellStyle name="Migliaia 60 3 5 2 2" xfId="35518" xr:uid="{D96A23E6-9419-4255-9C14-1BA07F0ED6A8}"/>
    <cellStyle name="Migliaia 60 3 5 2 2 2" xfId="40678" xr:uid="{5A16FAD1-08AA-43C4-94CC-3A17ACA0D8E9}"/>
    <cellStyle name="Migliaia 60 3 5 2 2 3" xfId="45980" xr:uid="{A831518D-C7A2-470F-B1BA-30C79BA49B83}"/>
    <cellStyle name="Migliaia 60 3 5 2 3" xfId="38027" xr:uid="{374AA49A-76E9-4428-8118-DB7B245C1FF0}"/>
    <cellStyle name="Migliaia 60 3 5 2 4" xfId="43329" xr:uid="{D5897B3C-C55C-4AC7-956E-8D346793E4C5}"/>
    <cellStyle name="Migliaia 60 3 5 2 5" xfId="14349" xr:uid="{A5576A56-64A7-4A31-8547-231AEB6E6894}"/>
    <cellStyle name="Migliaia 60 3 5 3" xfId="6903" xr:uid="{405A201B-82E3-43F9-93A9-BF6790FA0F60}"/>
    <cellStyle name="Migliaia 60 3 5 3 2" xfId="34846" xr:uid="{DC0F01DF-4F94-4748-A07D-7FFD6660AFFE}"/>
    <cellStyle name="Migliaia 60 3 5 3 3" xfId="21133" xr:uid="{271E87FC-A47B-42C7-8D06-2067239978E0}"/>
    <cellStyle name="Migliaia 60 3 5 4" xfId="25645" xr:uid="{0C725AB4-4EF2-40A4-8D41-338C7697DAD8}"/>
    <cellStyle name="Migliaia 60 3 5 5" xfId="16900" xr:uid="{835F5BE9-B56E-49E2-AB5A-5ACCC0EFB649}"/>
    <cellStyle name="Migliaia 60 3 5 6" xfId="8411" xr:uid="{2128DEF7-1A93-41F5-9D38-7CC53FBB1CE6}"/>
    <cellStyle name="Migliaia 60 3 6" xfId="5730" xr:uid="{72BE31CA-5C90-478D-9E97-2F5357207F69}"/>
    <cellStyle name="Migliaia 60 3 6 2" xfId="14054" xr:uid="{880EC04F-DB17-40C5-A952-68A1789296A4}"/>
    <cellStyle name="Migliaia 60 3 6 2 2" xfId="34847" xr:uid="{A6FD7701-71EE-4A61-8820-C1C373C45CA6}"/>
    <cellStyle name="Migliaia 60 3 6 3" xfId="18682" xr:uid="{67327489-BFB6-4718-904D-0AA5E27A1C08}"/>
    <cellStyle name="Migliaia 60 3 6 4" xfId="21134" xr:uid="{A1F9BCF5-7932-452D-ABDF-A462F57BF60B}"/>
    <cellStyle name="Migliaia 60 3 6 5" xfId="25646" xr:uid="{CB918F62-860B-4C52-AC8A-CC5265632C2B}"/>
    <cellStyle name="Migliaia 60 3 6 6" xfId="16901" xr:uid="{08B7A4FE-68D7-4190-8EFC-A5DF040776A5}"/>
    <cellStyle name="Migliaia 60 3 6 7" xfId="8048" xr:uid="{3E8B0A45-6D7E-439C-B773-BBD7E998ECC3}"/>
    <cellStyle name="Migliaia 60 3 7" xfId="6898" xr:uid="{D0A361DC-1E0F-4413-9F05-3266F01B2E54}"/>
    <cellStyle name="Migliaia 60 3 7 2" xfId="34848" xr:uid="{25A9E28F-CF26-483D-85AE-70C38F4286A4}"/>
    <cellStyle name="Migliaia 60 3 7 3" xfId="25647" xr:uid="{1D4585A2-9C97-43F2-9C6F-FDB0282F203B}"/>
    <cellStyle name="Migliaia 60 3 7 4" xfId="11216" xr:uid="{10C140C7-3559-4E13-9C7B-9C0C2F7F315A}"/>
    <cellStyle name="Migliaia 60 3 8" xfId="4004" xr:uid="{3CAEBF58-AFF2-4E51-9F4B-1E5D4E84335B}"/>
    <cellStyle name="Migliaia 60 3 8 2" xfId="34849" xr:uid="{3AD03FC3-A720-4751-903F-EB1A617CFE53}"/>
    <cellStyle name="Migliaia 60 3 8 3" xfId="25648" xr:uid="{A24DE9E7-7F5F-4DE2-8840-401C56E64419}"/>
    <cellStyle name="Migliaia 60 3 8 4" xfId="17259" xr:uid="{11725F20-487D-4499-A951-4E619D91ABE6}"/>
    <cellStyle name="Migliaia 60 3 9" xfId="21125" xr:uid="{47857A7C-596E-410D-B79A-666908AB6534}"/>
    <cellStyle name="Migliaia 60 3 9 2" xfId="34832" xr:uid="{A8776877-4C7B-4F15-A590-28B0703E2928}"/>
    <cellStyle name="Migliaia 60 4" xfId="1938" xr:uid="{00000000-0005-0000-0000-0000BD040000}"/>
    <cellStyle name="Migliaia 60 4 10" xfId="7630" xr:uid="{85417A3D-B678-49C6-9EDB-D2538F29C763}"/>
    <cellStyle name="Migliaia 60 4 2" xfId="1939" xr:uid="{00000000-0005-0000-0000-0000BE040000}"/>
    <cellStyle name="Migliaia 60 4 2 2" xfId="5737" xr:uid="{6FA717F5-2FAF-4F42-9C70-8D7551DBA312}"/>
    <cellStyle name="Migliaia 60 4 2 2 2" xfId="34852" xr:uid="{7F2CE01A-741B-4A0B-8FA5-7A8989B75DF6}"/>
    <cellStyle name="Migliaia 60 4 2 2 3" xfId="25651" xr:uid="{5D52D723-9B10-44E1-A869-4FDBA1F663EE}"/>
    <cellStyle name="Migliaia 60 4 2 2 4" xfId="9220" xr:uid="{9D25BD1D-CCBF-47C9-A8A9-4FD7A2DCC938}"/>
    <cellStyle name="Migliaia 60 4 2 3" xfId="4011" xr:uid="{F1AC3A86-90B7-41BE-A358-C1EB138FA038}"/>
    <cellStyle name="Migliaia 60 4 2 3 2" xfId="34853" xr:uid="{BD0681EB-886D-480C-9B83-9314E14D46E9}"/>
    <cellStyle name="Migliaia 60 4 2 3 3" xfId="25652" xr:uid="{308C7F9F-0D9E-4570-8BEB-9A65EBD81828}"/>
    <cellStyle name="Migliaia 60 4 2 3 4" xfId="12113" xr:uid="{D2B762BE-4844-42D6-8F7A-27FE9A97D69B}"/>
    <cellStyle name="Migliaia 60 4 2 4" xfId="11466" xr:uid="{7FBC69CE-7F70-4102-B945-5B0606625E44}"/>
    <cellStyle name="Migliaia 60 4 2 4 2" xfId="34851" xr:uid="{E87E0F1F-DD70-4B63-8351-A2B0871E92D9}"/>
    <cellStyle name="Migliaia 60 4 2 5" xfId="11016" xr:uid="{A3F056F4-059C-4956-8200-116E205441F6}"/>
    <cellStyle name="Migliaia 60 4 2 5 2" xfId="21651" xr:uid="{2262CC88-ECF3-48E1-8677-F19746AB5C28}"/>
    <cellStyle name="Migliaia 60 4 2 5 3" xfId="25182" xr:uid="{D8F25D9B-A870-4D8B-95E2-A19D3DB42A92}"/>
    <cellStyle name="Migliaia 60 4 2 5 4" xfId="50666" xr:uid="{6B6B31BB-1B7E-4DBB-89D3-E7CC2D3F632F}"/>
    <cellStyle name="Migliaia 60 4 2 5 5" xfId="53682" xr:uid="{8957DDD5-86DF-4DEE-B9B1-D218757C4DCF}"/>
    <cellStyle name="Migliaia 60 4 2 6" xfId="21136" xr:uid="{4EEE9278-EB78-40CE-B590-F1F987C0F0CF}"/>
    <cellStyle name="Migliaia 60 4 2 7" xfId="25650" xr:uid="{9CBC27AC-E75B-404C-A905-CB976CC8E14E}"/>
    <cellStyle name="Migliaia 60 4 2 8" xfId="8820" xr:uid="{9F0DA758-D8E3-40BD-91BD-31386D4B3E08}"/>
    <cellStyle name="Migliaia 60 4 3" xfId="5736" xr:uid="{46E40743-CED9-4BB0-8F45-BF3AD632E03A}"/>
    <cellStyle name="Migliaia 60 4 3 2" xfId="18275" xr:uid="{DFF691B9-8F6F-4CE6-B748-AE744C5C604D}"/>
    <cellStyle name="Migliaia 60 4 3 2 2" xfId="34854" xr:uid="{F23B7E35-2C76-4192-8098-FEB8B591A053}"/>
    <cellStyle name="Migliaia 60 4 3 3" xfId="25653" xr:uid="{97F1CA19-3A94-415C-8A3E-B6944B736E44}"/>
    <cellStyle name="Migliaia 60 4 3 4" xfId="17257" xr:uid="{05202BA7-49C8-449D-8549-3CA07FC9CA89}"/>
    <cellStyle name="Migliaia 60 4 3 5" xfId="9221" xr:uid="{2BE40F6F-7E8A-4EF6-B447-2C48AEA9B19F}"/>
    <cellStyle name="Migliaia 60 4 4" xfId="6904" xr:uid="{04EB69FA-DF80-4050-8B00-9006751E6441}"/>
    <cellStyle name="Migliaia 60 4 4 2" xfId="34855" xr:uid="{A5C5BED3-047D-4791-AFD0-66E1D804924B}"/>
    <cellStyle name="Migliaia 60 4 4 3" xfId="25654" xr:uid="{19B7AA92-59B6-4C92-B513-E514AE1C290B}"/>
    <cellStyle name="Migliaia 60 4 4 4" xfId="12114" xr:uid="{CECDFBC0-E094-48A6-8268-B1D9DAC2F262}"/>
    <cellStyle name="Migliaia 60 4 5" xfId="4010" xr:uid="{4EAE7764-ADEF-451E-99DD-4F8CD5E91DAF}"/>
    <cellStyle name="Migliaia 60 4 5 2" xfId="34856" xr:uid="{A33719AD-7E33-4D66-9E0F-171BC5D62D76}"/>
    <cellStyle name="Migliaia 60 4 5 3" xfId="25655" xr:uid="{11855AE7-CE85-49DB-ADF4-268D8AB7148B}"/>
    <cellStyle name="Migliaia 60 4 5 4" xfId="11465" xr:uid="{AE6793BF-68F8-45D1-AB2E-B8142E955EBF}"/>
    <cellStyle name="Migliaia 60 4 6" xfId="11015" xr:uid="{A7A9C0B9-7D75-4D80-AD67-36AB162FFEBE}"/>
    <cellStyle name="Migliaia 60 4 6 2" xfId="21650" xr:uid="{BE357CC5-BB13-422D-A315-B31C13616714}"/>
    <cellStyle name="Migliaia 60 4 6 2 2" xfId="34857" xr:uid="{9F988635-65DA-4CF6-B346-5FBBA1C4784F}"/>
    <cellStyle name="Migliaia 60 4 6 3" xfId="25656" xr:uid="{1666EB64-F638-4140-81A4-701F270BB628}"/>
    <cellStyle name="Migliaia 60 4 6 4" xfId="47124" xr:uid="{F3845C8B-5967-4141-AAB5-3D3E6E27F86F}"/>
    <cellStyle name="Migliaia 60 4 6 5" xfId="48908" xr:uid="{BEB98916-2989-440B-9AD6-3D91F7E9B6D7}"/>
    <cellStyle name="Migliaia 60 4 6 6" xfId="50665" xr:uid="{5B9204F3-4724-41BC-AD97-E947EE4D1725}"/>
    <cellStyle name="Migliaia 60 4 6 7" xfId="53681" xr:uid="{8881DF05-CBB9-4F69-A7EF-E960818755FA}"/>
    <cellStyle name="Migliaia 60 4 7" xfId="21135" xr:uid="{143CCBA2-F9CA-46DB-B4A7-5E9892D2B74C}"/>
    <cellStyle name="Migliaia 60 4 7 2" xfId="34858" xr:uid="{845EB87B-C460-4140-A166-E2708EF4F5F3}"/>
    <cellStyle name="Migliaia 60 4 7 3" xfId="25657" xr:uid="{D47F8420-7CF3-4695-ADF0-DF7CB5AF305A}"/>
    <cellStyle name="Migliaia 60 4 8" xfId="34850" xr:uid="{D52DEC98-EB13-4ECE-AE02-64A30E41043A}"/>
    <cellStyle name="Migliaia 60 4 9" xfId="25649" xr:uid="{2D392A67-B045-470C-9C70-BEFE6A7FE118}"/>
    <cellStyle name="Migliaia 60 5" xfId="1940" xr:uid="{00000000-0005-0000-0000-0000BF040000}"/>
    <cellStyle name="Migliaia 60 5 2" xfId="5738" xr:uid="{E38962C9-A1AA-40F7-8F66-3194A4D277F1}"/>
    <cellStyle name="Migliaia 60 5 2 2" xfId="18532" xr:uid="{B21141B7-B012-4AC1-A7CA-BB13BA82AA93}"/>
    <cellStyle name="Migliaia 60 5 2 2 2" xfId="34860" xr:uid="{158DA2A3-F84F-46A2-B4EE-328E6C5E234E}"/>
    <cellStyle name="Migliaia 60 5 2 3" xfId="21138" xr:uid="{ADDCDFF1-35FC-40E4-98CA-7631054D1A03}"/>
    <cellStyle name="Migliaia 60 5 2 4" xfId="25659" xr:uid="{5D65B1E4-6D0B-4F64-96D8-A7C76433399D}"/>
    <cellStyle name="Migliaia 60 5 2 5" xfId="16902" xr:uid="{2F6ED71A-5E16-4BCA-9030-3CE4BF357371}"/>
    <cellStyle name="Migliaia 60 5 2 6" xfId="8821" xr:uid="{F4250125-A8CE-4BF7-A5E3-2FC0D8FB3B45}"/>
    <cellStyle name="Migliaia 60 5 3" xfId="6905" xr:uid="{45B0DF2F-BC78-425F-81CA-C95247B1D9AB}"/>
    <cellStyle name="Migliaia 60 5 3 2" xfId="34861" xr:uid="{878DEA1D-891B-4875-8284-460AC8AED89E}"/>
    <cellStyle name="Migliaia 60 5 3 3" xfId="25660" xr:uid="{CE2D6C3E-3F31-44C1-BE2A-FA1E333AE5A2}"/>
    <cellStyle name="Migliaia 60 5 3 4" xfId="11467" xr:uid="{6C51C937-D393-4652-9905-B9FCA61A66D9}"/>
    <cellStyle name="Migliaia 60 5 4" xfId="4012" xr:uid="{C8D9AF4B-81DF-450A-BA59-28BB253A7C59}"/>
    <cellStyle name="Migliaia 60 5 4 2" xfId="21652" xr:uid="{08622885-AC34-4B73-A674-E4ADFB16D618}"/>
    <cellStyle name="Migliaia 60 5 4 2 2" xfId="34862" xr:uid="{9B697C13-885C-41E3-B688-9FE9A454C1D7}"/>
    <cellStyle name="Migliaia 60 5 4 3" xfId="25661" xr:uid="{2BE39A58-8058-43E0-BCB5-5E8584F726AD}"/>
    <cellStyle name="Migliaia 60 5 4 4" xfId="47220" xr:uid="{2527523B-EC27-43F5-A052-81409F07F9C3}"/>
    <cellStyle name="Migliaia 60 5 4 5" xfId="48909" xr:uid="{265DF81D-0419-42D9-8EDA-097778C8EE79}"/>
    <cellStyle name="Migliaia 60 5 4 6" xfId="50667" xr:uid="{4C6517F2-78A6-4148-AAA5-535F112F6800}"/>
    <cellStyle name="Migliaia 60 5 4 7" xfId="53683" xr:uid="{9346D495-F834-48A3-9030-DE378B17A10D}"/>
    <cellStyle name="Migliaia 60 5 4 8" xfId="11017" xr:uid="{FB8EC844-46F2-427E-8B49-C9D257A46473}"/>
    <cellStyle name="Migliaia 60 5 5" xfId="21137" xr:uid="{B3441E5A-F687-4975-892B-89734A528862}"/>
    <cellStyle name="Migliaia 60 5 5 2" xfId="34863" xr:uid="{634B0640-1937-48D7-AB87-F4039706B411}"/>
    <cellStyle name="Migliaia 60 5 5 3" xfId="25662" xr:uid="{E2AC4E88-6E37-4BFD-81A0-748E455FFF58}"/>
    <cellStyle name="Migliaia 60 5 5 4" xfId="48910" xr:uid="{F8747EAD-F828-4F97-B262-BD8EDD4DEBF3}"/>
    <cellStyle name="Migliaia 60 5 6" xfId="25663" xr:uid="{B7CC3284-86D6-4DEE-9C7B-65A4BC8D1126}"/>
    <cellStyle name="Migliaia 60 5 6 2" xfId="34864" xr:uid="{5512B76F-4F07-47A5-AE84-9C1CB84B7010}"/>
    <cellStyle name="Migliaia 60 5 7" xfId="34859" xr:uid="{4A001F82-385B-4F35-9919-B7EB81038444}"/>
    <cellStyle name="Migliaia 60 5 8" xfId="25658" xr:uid="{97DB1EDD-B2DE-40B0-A003-89A0E367602B}"/>
    <cellStyle name="Migliaia 60 5 9" xfId="7631" xr:uid="{82A70D45-13D5-446D-927A-A501F4968D59}"/>
    <cellStyle name="Migliaia 60 6" xfId="4013" xr:uid="{A4C9FF9A-E82B-4B1C-9162-B4E8FF9261E2}"/>
    <cellStyle name="Migliaia 60 6 2" xfId="5739" xr:uid="{74FB8CC8-0B0B-4663-B1BD-C0A8154AE315}"/>
    <cellStyle name="Migliaia 60 6 2 2" xfId="9993" xr:uid="{18B64D58-B031-414D-930E-C7EEE97A761D}"/>
    <cellStyle name="Migliaia 60 6 2 3" xfId="18632" xr:uid="{B61E68AD-7678-4C0C-B675-7D1942B1B001}"/>
    <cellStyle name="Migliaia 60 6 2 4" xfId="21140" xr:uid="{6BBC80A6-D245-4A2D-AA38-55F0D714874A}"/>
    <cellStyle name="Migliaia 60 6 2 5" xfId="32488" xr:uid="{17E068AE-BBBF-4110-BC5E-99FFBB4359A4}"/>
    <cellStyle name="Migliaia 60 6 2 6" xfId="16904" xr:uid="{8CA6BD4E-6FA4-42E6-A738-D94A9224EF05}"/>
    <cellStyle name="Migliaia 60 6 2 7" xfId="8816" xr:uid="{32BBEFEF-3C7A-4CDC-8468-06D95B4FD8CD}"/>
    <cellStyle name="Migliaia 60 6 3" xfId="6906" xr:uid="{76448804-D996-469D-8EE7-12B4922071FC}"/>
    <cellStyle name="Migliaia 60 6 3 2" xfId="35519" xr:uid="{6ED26C66-0B46-4128-8C20-DAA49F547D39}"/>
    <cellStyle name="Migliaia 60 6 3 2 2" xfId="40679" xr:uid="{9D374663-1977-4E16-A161-D598CD00FB99}"/>
    <cellStyle name="Migliaia 60 6 3 2 3" xfId="45981" xr:uid="{9E885CA9-54DF-4816-B596-7F5DCDCBF1DA}"/>
    <cellStyle name="Migliaia 60 6 3 3" xfId="38028" xr:uid="{E759E703-CA5B-4A0D-99C0-7C6127DC9B67}"/>
    <cellStyle name="Migliaia 60 6 3 4" xfId="43330" xr:uid="{414D056F-9824-428B-9CD6-FA1CDDFCC3BB}"/>
    <cellStyle name="Migliaia 60 6 3 5" xfId="9756" xr:uid="{3E424250-2ECF-4962-9945-D3495C06360A}"/>
    <cellStyle name="Migliaia 60 6 4" xfId="21139" xr:uid="{F2955B28-AB60-4EE7-B7E3-26D247DE01A7}"/>
    <cellStyle name="Migliaia 60 6 4 2" xfId="34865" xr:uid="{092E445C-BD9D-4DA4-8C78-9BAFC9BA4B53}"/>
    <cellStyle name="Migliaia 60 6 5" xfId="25664" xr:uid="{731BC6A0-62D8-473E-B04E-146E30D49F45}"/>
    <cellStyle name="Migliaia 60 6 6" xfId="16903" xr:uid="{47BBCFDD-7C33-4A83-8928-5BC46567616B}"/>
    <cellStyle name="Migliaia 60 6 7" xfId="7626" xr:uid="{F4837B70-9E9A-476A-A3A1-FBB0279D710C}"/>
    <cellStyle name="Migliaia 60 7" xfId="4014" xr:uid="{E9392378-1A6E-4B87-B7DF-411B98CC9D8C}"/>
    <cellStyle name="Migliaia 60 7 2" xfId="5740" xr:uid="{F1933EF3-34DB-4B5F-A96C-D8FB58DD540B}"/>
    <cellStyle name="Migliaia 60 7 2 2" xfId="35520" xr:uid="{3B4AA3BD-DEE5-4B0C-A773-C9684A25A761}"/>
    <cellStyle name="Migliaia 60 7 2 2 2" xfId="40680" xr:uid="{30E04BC8-E5A5-49B7-9B82-92A5DD33A334}"/>
    <cellStyle name="Migliaia 60 7 2 2 3" xfId="45982" xr:uid="{80F681BE-26FA-4A34-9BEA-559572959AEB}"/>
    <cellStyle name="Migliaia 60 7 2 3" xfId="38029" xr:uid="{847C24D2-E809-40B0-8920-49605165E177}"/>
    <cellStyle name="Migliaia 60 7 2 4" xfId="43331" xr:uid="{ADDE33FB-B1F4-4BF3-8FC7-4D1A3BBF8D37}"/>
    <cellStyle name="Migliaia 60 7 2 5" xfId="14347" xr:uid="{5A65BC52-6811-4389-A14D-52D3A8CF8DF4}"/>
    <cellStyle name="Migliaia 60 7 3" xfId="6907" xr:uid="{5D8E54D9-1876-41D4-9615-43E137FF27AE}"/>
    <cellStyle name="Migliaia 60 7 3 2" xfId="34866" xr:uid="{E4C838F5-CB13-48F5-AFD3-DDF9DF0D35AF}"/>
    <cellStyle name="Migliaia 60 7 3 3" xfId="21141" xr:uid="{9DF28F43-276A-427F-9D4C-2E58E20EA98B}"/>
    <cellStyle name="Migliaia 60 7 4" xfId="25665" xr:uid="{0CB03E77-F5C6-4A9D-8308-D5F29A12437C}"/>
    <cellStyle name="Migliaia 60 7 5" xfId="16905" xr:uid="{B328A6C0-FEBA-495E-96BE-0965B6C20554}"/>
    <cellStyle name="Migliaia 60 7 6" xfId="8409" xr:uid="{74C445D9-CEB4-4DA8-8423-1E8892A6FCE6}"/>
    <cellStyle name="Migliaia 60 8" xfId="4015" xr:uid="{D66217FA-D2E3-4FE0-89D1-2C0262EABC8A}"/>
    <cellStyle name="Migliaia 60 8 2" xfId="5741" xr:uid="{B1DB4880-F796-4E33-B39E-81D870CC7E9D}"/>
    <cellStyle name="Migliaia 60 8 2 2" xfId="35521" xr:uid="{37BD01F9-F6CE-4E1A-A667-364B833306F3}"/>
    <cellStyle name="Migliaia 60 8 2 2 2" xfId="40681" xr:uid="{C6756AFD-DCE2-4DFF-A11D-D6A03F77F397}"/>
    <cellStyle name="Migliaia 60 8 2 2 3" xfId="45983" xr:uid="{016E4D90-751A-47CF-9EED-4B3E35A03DA1}"/>
    <cellStyle name="Migliaia 60 8 2 3" xfId="38030" xr:uid="{FB27F800-B0A4-4C01-8CF8-CC119134BF88}"/>
    <cellStyle name="Migliaia 60 8 2 4" xfId="43332" xr:uid="{99A7F509-4DAE-44A4-966E-3563B598F155}"/>
    <cellStyle name="Migliaia 60 8 2 5" xfId="14052" xr:uid="{75241079-020E-453A-AC3D-4AF6C487B9B5}"/>
    <cellStyle name="Migliaia 60 8 3" xfId="6908" xr:uid="{72310718-219B-40C1-80A8-E4D1B54B195A}"/>
    <cellStyle name="Migliaia 60 8 3 2" xfId="34867" xr:uid="{DDB6D993-0ABC-4F33-8675-47ED1B41CDE7}"/>
    <cellStyle name="Migliaia 60 8 3 3" xfId="21142" xr:uid="{4EF0EE3A-7E43-4849-99BA-497E1C826AD7}"/>
    <cellStyle name="Migliaia 60 8 4" xfId="25666" xr:uid="{1033F379-AFD7-440F-BC26-EB933CB266D6}"/>
    <cellStyle name="Migliaia 60 8 5" xfId="16906" xr:uid="{4E13D6DC-5158-4107-9536-72F74D1D7206}"/>
    <cellStyle name="Migliaia 60 8 6" xfId="8046" xr:uid="{4EA60261-4EDC-4AC1-9E65-DD468FE63C8A}"/>
    <cellStyle name="Migliaia 60 9" xfId="5726" xr:uid="{51375491-4BFA-41A3-AA1D-A3FE3E051978}"/>
    <cellStyle name="Migliaia 60 9 2" xfId="34868" xr:uid="{203BE643-0C48-47CB-AAC1-68B6EC8DF5E4}"/>
    <cellStyle name="Migliaia 60 9 3" xfId="25667" xr:uid="{07DF66EA-0665-45BD-BDF1-CD3D4FA4A632}"/>
    <cellStyle name="Migliaia 60 9 4" xfId="17247" xr:uid="{14BF2977-9F0F-4C6F-8E98-9B24AF9A62AA}"/>
    <cellStyle name="Migliaia 61" xfId="529" xr:uid="{00000000-0005-0000-0000-0000C0040000}"/>
    <cellStyle name="Migliaia 61 10" xfId="6909" xr:uid="{CCBB74EF-B743-4EA6-A9BA-187DB221C7B2}"/>
    <cellStyle name="Migliaia 61 10 2" xfId="34869" xr:uid="{383A9716-5FD9-46C1-9A30-56B3DDD476AE}"/>
    <cellStyle name="Migliaia 61 10 3" xfId="21143" xr:uid="{4592A592-86CA-4E14-A536-40A56983A765}"/>
    <cellStyle name="Migliaia 61 11" xfId="4016" xr:uid="{F69AFA85-74FD-4ECB-8A89-D7BC10BE4841}"/>
    <cellStyle name="Migliaia 61 11 2" xfId="25668" xr:uid="{2E89BF30-BA7C-41C3-96E0-02D96B53A7B6}"/>
    <cellStyle name="Migliaia 61 12" xfId="7213" xr:uid="{13883D98-5E92-434D-8D6B-864965E299F3}"/>
    <cellStyle name="Migliaia 61 2" xfId="530" xr:uid="{00000000-0005-0000-0000-0000C1040000}"/>
    <cellStyle name="Migliaia 61 2 2" xfId="1941" xr:uid="{00000000-0005-0000-0000-0000C2040000}"/>
    <cellStyle name="Migliaia 61 2 2 2" xfId="5744" xr:uid="{8252E4F2-869E-4FA0-AC07-68F58025B115}"/>
    <cellStyle name="Migliaia 61 2 2 2 2" xfId="14420" xr:uid="{B6F85FD9-0EDE-4C94-BB32-14092CC31846}"/>
    <cellStyle name="Migliaia 61 2 2 2 2 2" xfId="34872" xr:uid="{C41F4710-84D5-456E-8788-401FF3C4994A}"/>
    <cellStyle name="Migliaia 61 2 2 2 3" xfId="18533" xr:uid="{1250AA3F-4977-4CD3-A425-58D8F407E558}"/>
    <cellStyle name="Migliaia 61 2 2 2 4" xfId="21146" xr:uid="{6797B40E-9A1E-464D-8E7D-CA9F22438EEE}"/>
    <cellStyle name="Migliaia 61 2 2 2 5" xfId="25671" xr:uid="{CBD5D5C6-300B-43E4-BA1A-7C694C245AEB}"/>
    <cellStyle name="Migliaia 61 2 2 2 6" xfId="16907" xr:uid="{9E3A9F73-E74A-4AE0-A5DE-20BE6DAC197A}"/>
    <cellStyle name="Migliaia 61 2 2 2 7" xfId="8823" xr:uid="{98DF9E6F-DE06-4E51-B28A-5F3C85101A24}"/>
    <cellStyle name="Migliaia 61 2 2 3" xfId="6911" xr:uid="{ED7855B8-ECBF-4BE3-A268-48A30308F794}"/>
    <cellStyle name="Migliaia 61 2 2 3 2" xfId="35522" xr:uid="{51B4BCF6-1F01-4AFC-AD9B-140649E4B153}"/>
    <cellStyle name="Migliaia 61 2 2 3 2 2" xfId="40682" xr:uid="{7234086B-42DF-4136-9612-3A4875AEDAF7}"/>
    <cellStyle name="Migliaia 61 2 2 3 2 3" xfId="45984" xr:uid="{F93E1F4F-0B9A-46F3-97F2-755D55DA6621}"/>
    <cellStyle name="Migliaia 61 2 2 3 3" xfId="38031" xr:uid="{FA8E8B05-2C04-401D-A1D8-B3D504AF028B}"/>
    <cellStyle name="Migliaia 61 2 2 3 4" xfId="43333" xr:uid="{1D8E0137-6FCD-4BF6-A8DB-ED9582761A13}"/>
    <cellStyle name="Migliaia 61 2 2 3 5" xfId="11647" xr:uid="{88D825F7-4A43-4DA5-A1DD-A1D93EB9F4AD}"/>
    <cellStyle name="Migliaia 61 2 2 4" xfId="4018" xr:uid="{F69A2CF5-5543-41EB-B28F-914BE4665B76}"/>
    <cellStyle name="Migliaia 61 2 2 4 2" xfId="21653" xr:uid="{FCCF6493-69D4-4B48-BF0A-EF270686CCED}"/>
    <cellStyle name="Migliaia 61 2 2 4 3" xfId="34871" xr:uid="{3109FBDA-DAF1-44AF-86CE-564E224B676F}"/>
    <cellStyle name="Migliaia 61 2 2 4 4" xfId="46712" xr:uid="{E888FCFD-7F13-45D4-A412-89691CE30FE8}"/>
    <cellStyle name="Migliaia 61 2 2 4 5" xfId="50668" xr:uid="{BD4B454A-1E20-48DA-80FE-0BED496FEFC8}"/>
    <cellStyle name="Migliaia 61 2 2 4 6" xfId="53684" xr:uid="{19F6EEF2-A5E6-4270-AD99-F5FF03F49CC2}"/>
    <cellStyle name="Migliaia 61 2 2 4 7" xfId="11018" xr:uid="{A1E29DCD-893B-4367-B813-3B1E1B569849}"/>
    <cellStyle name="Migliaia 61 2 2 5" xfId="21145" xr:uid="{EF0E37A2-0DB3-4CBE-B3A9-055B94BE777D}"/>
    <cellStyle name="Migliaia 61 2 2 6" xfId="25670" xr:uid="{9917970F-9308-4A35-B61B-AFE7A77D1C41}"/>
    <cellStyle name="Migliaia 61 2 2 7" xfId="7633" xr:uid="{1C81666C-321B-4277-9AC5-FD621211F4E4}"/>
    <cellStyle name="Migliaia 61 2 3" xfId="4019" xr:uid="{C5CDB313-8AFE-4F4F-995D-00ACB9C0DE35}"/>
    <cellStyle name="Migliaia 61 2 3 2" xfId="5745" xr:uid="{4BF3182E-AA8D-4128-A969-F8AD7353AF3F}"/>
    <cellStyle name="Migliaia 61 2 3 2 2" xfId="35523" xr:uid="{AB435704-620A-4FBD-A2B8-8D2085C65FEC}"/>
    <cellStyle name="Migliaia 61 2 3 2 2 2" xfId="40683" xr:uid="{9CAB26C7-F12E-490D-B26C-A6CE3CA46295}"/>
    <cellStyle name="Migliaia 61 2 3 2 2 3" xfId="45985" xr:uid="{BE6A44C6-6D76-4A64-BA9D-6C338000AA66}"/>
    <cellStyle name="Migliaia 61 2 3 2 3" xfId="38032" xr:uid="{BA490708-5D6C-4D0F-AC9C-D44F06B15BA8}"/>
    <cellStyle name="Migliaia 61 2 3 2 4" xfId="43334" xr:uid="{87AAD327-9E02-43C5-8FAF-6604420D375E}"/>
    <cellStyle name="Migliaia 61 2 3 2 5" xfId="14351" xr:uid="{19BA23FA-DE30-46C1-9A6E-9C8609843DD8}"/>
    <cellStyle name="Migliaia 61 2 3 3" xfId="6912" xr:uid="{4D105EC7-D0E6-4F3F-A169-A80418ECFD45}"/>
    <cellStyle name="Migliaia 61 2 3 3 2" xfId="34873" xr:uid="{1A6B545F-91C5-48B3-9C10-B6C09E5E28A9}"/>
    <cellStyle name="Migliaia 61 2 3 3 3" xfId="21147" xr:uid="{27EE77BD-3BAA-4392-9FA9-6E099673B933}"/>
    <cellStyle name="Migliaia 61 2 3 4" xfId="25672" xr:uid="{A7C1E9EE-D701-4E50-A66D-57FD709CA399}"/>
    <cellStyle name="Migliaia 61 2 3 5" xfId="16908" xr:uid="{DC14BACD-2256-43B7-A3BD-1D74BAB654A4}"/>
    <cellStyle name="Migliaia 61 2 3 6" xfId="8413" xr:uid="{C4961B3C-2A10-464D-9D4A-245FB62D2653}"/>
    <cellStyle name="Migliaia 61 2 4" xfId="5743" xr:uid="{1E234216-21A3-4F18-99C8-948B8733735A}"/>
    <cellStyle name="Migliaia 61 2 4 2" xfId="14056" xr:uid="{0A2D3DBA-3137-4194-980E-7186B15ACC83}"/>
    <cellStyle name="Migliaia 61 2 4 2 2" xfId="34874" xr:uid="{2162B818-DA8B-4325-88FD-BDBFD063BA42}"/>
    <cellStyle name="Migliaia 61 2 4 3" xfId="18155" xr:uid="{C165D60F-FC93-4814-8329-7C71FE3D5DEF}"/>
    <cellStyle name="Migliaia 61 2 4 4" xfId="21148" xr:uid="{273D23AC-43A1-43E2-8E4C-008B84F7BBD9}"/>
    <cellStyle name="Migliaia 61 2 4 5" xfId="25673" xr:uid="{6333EB2C-0AFA-4EB1-B49D-5713792C6651}"/>
    <cellStyle name="Migliaia 61 2 4 6" xfId="16909" xr:uid="{3BE15F94-21C4-419E-B20C-64412C5FEC97}"/>
    <cellStyle name="Migliaia 61 2 4 7" xfId="8051" xr:uid="{A118DA34-7D7A-4756-9679-4F20EDD283CF}"/>
    <cellStyle name="Migliaia 61 2 5" xfId="6910" xr:uid="{319FF08B-4146-4A70-961C-974FBCCEA648}"/>
    <cellStyle name="Migliaia 61 2 5 2" xfId="34875" xr:uid="{F4C45852-2AB2-48AD-A5BB-FA7520A76A02}"/>
    <cellStyle name="Migliaia 61 2 5 3" xfId="25674" xr:uid="{55E6CBA6-F949-4B2A-8582-EB958EACF98C}"/>
    <cellStyle name="Migliaia 61 2 5 4" xfId="13160" xr:uid="{A78389CC-827E-4FAA-8016-439F7D00C338}"/>
    <cellStyle name="Migliaia 61 2 6" xfId="4017" xr:uid="{1B93B1C6-8910-44C7-B27C-1B16D079A8D8}"/>
    <cellStyle name="Migliaia 61 2 6 2" xfId="34876" xr:uid="{1B9BD114-FED4-4D1E-8982-012731E721A7}"/>
    <cellStyle name="Migliaia 61 2 6 3" xfId="25675" xr:uid="{8EC4EE39-04A0-4924-83CE-07AF5B450B76}"/>
    <cellStyle name="Migliaia 61 2 6 4" xfId="21144" xr:uid="{02B38591-4E16-40C1-8908-B0BC141B0D01}"/>
    <cellStyle name="Migliaia 61 2 7" xfId="34870" xr:uid="{A3950A21-1427-4707-AF8A-334DC82989B6}"/>
    <cellStyle name="Migliaia 61 2 8" xfId="25669" xr:uid="{0275C9EE-D6A1-4209-8ED5-FCE40F071E57}"/>
    <cellStyle name="Migliaia 61 2 9" xfId="7214" xr:uid="{FFD94175-7243-4A52-B7DB-E4DD174F126F}"/>
    <cellStyle name="Migliaia 61 3" xfId="531" xr:uid="{00000000-0005-0000-0000-0000C3040000}"/>
    <cellStyle name="Migliaia 61 3 10" xfId="25676" xr:uid="{4072A014-3DCC-4DA8-B7BC-54C77B8BAC32}"/>
    <cellStyle name="Migliaia 61 3 11" xfId="16910" xr:uid="{4635EB62-58BD-42F8-A14E-8BA2688BCF1A}"/>
    <cellStyle name="Migliaia 61 3 12" xfId="7215" xr:uid="{1F680827-B23D-4CBA-AB88-224FD427D474}"/>
    <cellStyle name="Migliaia 61 3 2" xfId="532" xr:uid="{00000000-0005-0000-0000-0000C4040000}"/>
    <cellStyle name="Migliaia 61 3 2 2" xfId="1942" xr:uid="{00000000-0005-0000-0000-0000C5040000}"/>
    <cellStyle name="Migliaia 61 3 2 2 2" xfId="5748" xr:uid="{10B71D0F-63DF-4164-BBAD-B356F0444C12}"/>
    <cellStyle name="Migliaia 61 3 2 2 2 2" xfId="18534" xr:uid="{00B910CA-7692-40FA-A2F7-D7BFD6834C43}"/>
    <cellStyle name="Migliaia 61 3 2 2 2 2 2" xfId="21898" xr:uid="{ADEF9779-8BD1-44DD-A499-A730799B8135}"/>
    <cellStyle name="Migliaia 61 3 2 2 2 2 3" xfId="34880" xr:uid="{CC0F51B6-0EE2-4119-B362-D4D78F79102D}"/>
    <cellStyle name="Migliaia 61 3 2 2 2 3" xfId="25679" xr:uid="{F703472C-F215-4E93-972A-748E7FACF4C8}"/>
    <cellStyle name="Migliaia 61 3 2 2 2 4" xfId="25110" xr:uid="{4AD4D8BC-57EA-4302-A1EC-7C28DE315CB5}"/>
    <cellStyle name="Migliaia 61 3 2 2 2 5" xfId="50926" xr:uid="{F72BE477-FFCA-438A-960A-5F8700BFD8F8}"/>
    <cellStyle name="Migliaia 61 3 2 2 2 6" xfId="53942" xr:uid="{8B9FA046-E41C-4D6A-91C7-CE04F24635F0}"/>
    <cellStyle name="Migliaia 61 3 2 2 2 7" xfId="17697" xr:uid="{E8D0DDF4-9CD3-4616-8C45-D56055B71E8A}"/>
    <cellStyle name="Migliaia 61 3 2 2 2 8" xfId="12115" xr:uid="{C375ADBE-7BC9-41AC-9BEE-67F6884C4C36}"/>
    <cellStyle name="Migliaia 61 3 2 2 3" xfId="6915" xr:uid="{A4763AFD-B718-4F15-B675-4EBA05ABAF90}"/>
    <cellStyle name="Migliaia 61 3 2 2 3 2" xfId="34879" xr:uid="{B1FDD816-064B-4761-99DC-ACEB67B5FD30}"/>
    <cellStyle name="Migliaia 61 3 2 2 3 3" xfId="11490" xr:uid="{C1053B64-C88F-43F1-9627-A9872A8A0AF0}"/>
    <cellStyle name="Migliaia 61 3 2 2 4" xfId="4022" xr:uid="{9AC3E9FC-1E27-48A5-9591-F09BAA5A1316}"/>
    <cellStyle name="Migliaia 61 3 2 2 4 2" xfId="21654" xr:uid="{91419587-B76C-4AE6-9E13-4FD7CD111BB4}"/>
    <cellStyle name="Migliaia 61 3 2 2 4 3" xfId="47978" xr:uid="{C545BA4C-222B-48EE-862B-D7A1AE444EDB}"/>
    <cellStyle name="Migliaia 61 3 2 2 4 4" xfId="50669" xr:uid="{9B588713-7874-4F9F-8080-3A4A3C5A8CF5}"/>
    <cellStyle name="Migliaia 61 3 2 2 4 5" xfId="53685" xr:uid="{7EDF9BDB-E019-4D5A-9068-3C650FD81940}"/>
    <cellStyle name="Migliaia 61 3 2 2 4 6" xfId="11019" xr:uid="{E09A0324-2C3E-4585-8251-7169503D2ABF}"/>
    <cellStyle name="Migliaia 61 3 2 2 5" xfId="21151" xr:uid="{D131F202-5CF9-4015-B512-341BACA8C963}"/>
    <cellStyle name="Migliaia 61 3 2 2 6" xfId="25678" xr:uid="{45CF328B-4606-4803-94E3-89C82E82AAFC}"/>
    <cellStyle name="Migliaia 61 3 2 2 7" xfId="8825" xr:uid="{30EA71E2-94F6-4F81-A534-210BAA91CB2E}"/>
    <cellStyle name="Migliaia 61 3 2 3" xfId="5747" xr:uid="{3D1B12C4-9717-4CAF-88CB-BDB70B143DD4}"/>
    <cellStyle name="Migliaia 61 3 2 3 2" xfId="12395" xr:uid="{289C216E-C26B-401F-BDEF-3DFF4B1DC3AC}"/>
    <cellStyle name="Migliaia 61 3 2 3 2 2" xfId="34881" xr:uid="{9E38E52D-328A-4A3A-AE52-6B9CCE991D18}"/>
    <cellStyle name="Migliaia 61 3 2 3 3" xfId="12116" xr:uid="{205FFA80-72B0-498C-87BF-73D3F46D09CF}"/>
    <cellStyle name="Migliaia 61 3 2 3 4" xfId="21152" xr:uid="{3D22980E-8919-46B7-B005-9515E5EC54E9}"/>
    <cellStyle name="Migliaia 61 3 2 3 5" xfId="25680" xr:uid="{0788C578-7522-49A7-A0C0-A1AB0270958C}"/>
    <cellStyle name="Migliaia 61 3 2 3 6" xfId="16911" xr:uid="{98DF3EC7-1651-49B7-917E-26ADDC8B47F0}"/>
    <cellStyle name="Migliaia 61 3 2 3 7" xfId="8053" xr:uid="{C04BD828-A138-45F5-8566-D32591C217D1}"/>
    <cellStyle name="Migliaia 61 3 2 4" xfId="6914" xr:uid="{FAA1537C-B1DA-470B-92CF-EB18D0691F8A}"/>
    <cellStyle name="Migliaia 61 3 2 4 2" xfId="18114" xr:uid="{F74731A5-A888-400E-AB3C-E24C4A3CB33D}"/>
    <cellStyle name="Migliaia 61 3 2 4 2 2" xfId="34882" xr:uid="{4F307494-DD2D-4814-B5B4-913A73FF8817}"/>
    <cellStyle name="Migliaia 61 3 2 4 3" xfId="25681" xr:uid="{5A6E3777-1C8E-4CDE-A83A-8ACF9ECCFDF5}"/>
    <cellStyle name="Migliaia 61 3 2 4 4" xfId="17250" xr:uid="{41FC0342-D341-4361-A726-36144E3DC22E}"/>
    <cellStyle name="Migliaia 61 3 2 4 5" xfId="11468" xr:uid="{3325F499-3FB6-4B8A-9B1E-1FC9AAE2CF6F}"/>
    <cellStyle name="Migliaia 61 3 2 5" xfId="4021" xr:uid="{28F86807-3BB5-47E0-9FA2-1F5D75B1EFB4}"/>
    <cellStyle name="Migliaia 61 3 2 5 2" xfId="34883" xr:uid="{A7E45F57-E899-4921-A3BA-C7060C96D29D}"/>
    <cellStyle name="Migliaia 61 3 2 5 3" xfId="25682" xr:uid="{BA4003CE-9FF2-4E71-ABFE-701A5CE83370}"/>
    <cellStyle name="Migliaia 61 3 2 5 4" xfId="17077" xr:uid="{2298AD5B-4C11-4AAA-B759-20E08D6636E8}"/>
    <cellStyle name="Migliaia 61 3 2 6" xfId="21150" xr:uid="{13FD4622-8AF1-4A48-B110-2A96EF760CF8}"/>
    <cellStyle name="Migliaia 61 3 2 6 2" xfId="34884" xr:uid="{11337849-D7A7-4EC3-9CC9-00F0A1EFEE5B}"/>
    <cellStyle name="Migliaia 61 3 2 6 3" xfId="25683" xr:uid="{442EB72C-D815-4F30-93D6-2A519B0CA3AD}"/>
    <cellStyle name="Migliaia 61 3 2 7" xfId="34878" xr:uid="{E85B36BC-8A90-49C7-8E7B-5723E7C0E683}"/>
    <cellStyle name="Migliaia 61 3 2 8" xfId="25677" xr:uid="{5305B38F-E6E0-4313-AA3D-C6C10FD7F020}"/>
    <cellStyle name="Migliaia 61 3 2 9" xfId="7635" xr:uid="{1E8A3609-3C9E-4958-AF0F-32921B41298E}"/>
    <cellStyle name="Migliaia 61 3 3" xfId="4023" xr:uid="{F2083E75-8C8B-4F9E-8E22-B1A4E67BD821}"/>
    <cellStyle name="Migliaia 61 3 3 2" xfId="5749" xr:uid="{5BBB10B1-1B57-42E0-8845-E6B96F07E206}"/>
    <cellStyle name="Migliaia 61 3 3 2 2" xfId="9996" xr:uid="{C61D88A8-D7E5-41CD-9C20-4E21E1D71A0A}"/>
    <cellStyle name="Migliaia 61 3 3 2 2 2" xfId="34886" xr:uid="{1F673B8D-2847-4BAC-B1AA-3B622AD257E4}"/>
    <cellStyle name="Migliaia 61 3 3 2 3" xfId="18276" xr:uid="{E3D3A853-A12C-43B4-86B6-FDC869434BC1}"/>
    <cellStyle name="Migliaia 61 3 3 2 4" xfId="21154" xr:uid="{A6703CF3-A17B-4F1B-836A-59D9BA59993C}"/>
    <cellStyle name="Migliaia 61 3 3 2 5" xfId="25685" xr:uid="{55FB51E8-2BDA-4E64-8A4F-C75CF6CD78BE}"/>
    <cellStyle name="Migliaia 61 3 3 2 6" xfId="16913" xr:uid="{0AD0A0C8-B61E-4FA3-9728-BBF389D17A0F}"/>
    <cellStyle name="Migliaia 61 3 3 2 7" xfId="8824" xr:uid="{BEE8F0F0-C95A-410C-8969-6DA5038336C8}"/>
    <cellStyle name="Migliaia 61 3 3 3" xfId="6916" xr:uid="{B252B2DC-62E3-4F3F-AFC2-DC7BB35B608A}"/>
    <cellStyle name="Migliaia 61 3 3 3 2" xfId="34887" xr:uid="{E63C3589-693E-4A00-A920-A45FA977079A}"/>
    <cellStyle name="Migliaia 61 3 3 3 3" xfId="25686" xr:uid="{26916ADA-CCC2-4CED-B80E-7304D0768393}"/>
    <cellStyle name="Migliaia 61 3 3 3 4" xfId="9759" xr:uid="{F0191FC2-4315-490C-AD92-43CD28DACEAD}"/>
    <cellStyle name="Migliaia 61 3 3 4" xfId="21153" xr:uid="{BA951971-18D8-4ABC-B59D-8681E0A0D517}"/>
    <cellStyle name="Migliaia 61 3 3 4 2" xfId="34888" xr:uid="{30607BAE-137E-4E11-B228-6357BFF82797}"/>
    <cellStyle name="Migliaia 61 3 3 4 3" xfId="25687" xr:uid="{2D1A9359-D959-496C-93D8-0798D053FA28}"/>
    <cellStyle name="Migliaia 61 3 3 4 4" xfId="48911" xr:uid="{087B9250-521A-4385-9B4C-B6195D360385}"/>
    <cellStyle name="Migliaia 61 3 3 5" xfId="25688" xr:uid="{3D3E6382-BFDE-475D-8AB4-84125990C5D0}"/>
    <cellStyle name="Migliaia 61 3 3 5 2" xfId="34889" xr:uid="{BE29B7B0-D217-4F19-8057-35B69759C7D3}"/>
    <cellStyle name="Migliaia 61 3 3 5 3" xfId="48912" xr:uid="{EEBA8C89-89A3-4A23-88AF-45828169C351}"/>
    <cellStyle name="Migliaia 61 3 3 6" xfId="34885" xr:uid="{78C07001-B7A3-4186-AE7F-189C51EE5EBF}"/>
    <cellStyle name="Migliaia 61 3 3 7" xfId="25684" xr:uid="{CE296B40-734C-4EA2-A9D1-BC29D042F747}"/>
    <cellStyle name="Migliaia 61 3 3 8" xfId="16912" xr:uid="{029CC494-FBE3-494D-8D53-62AD3E648471}"/>
    <cellStyle name="Migliaia 61 3 3 9" xfId="7634" xr:uid="{D295EFFF-7490-47DD-B0CA-C13869EDB3E1}"/>
    <cellStyle name="Migliaia 61 3 4" xfId="4024" xr:uid="{FC13DC0E-42E6-4E59-9AD2-83CA28653081}"/>
    <cellStyle name="Migliaia 61 3 4 2" xfId="5750" xr:uid="{AF40E1E8-27EB-4228-9FB8-25261046D3FE}"/>
    <cellStyle name="Migliaia 61 3 4 2 2" xfId="14480" xr:uid="{148A3C6B-271D-4290-ABFC-B01BE7876EBF}"/>
    <cellStyle name="Migliaia 61 3 4 2 3" xfId="18572" xr:uid="{2D9FF43A-4560-422B-91A5-6CD0471EA9F7}"/>
    <cellStyle name="Migliaia 61 3 4 2 4" xfId="21156" xr:uid="{7CD38E4D-0A0C-4198-9702-48F2B4CDDEA5}"/>
    <cellStyle name="Migliaia 61 3 4 2 5" xfId="32489" xr:uid="{9BB9997D-C455-409B-8BF9-EDCCD788EB26}"/>
    <cellStyle name="Migliaia 61 3 4 2 6" xfId="16915" xr:uid="{A8048EE9-F0D7-47D0-9DEE-1CC9472B0A89}"/>
    <cellStyle name="Migliaia 61 3 4 2 7" xfId="8903" xr:uid="{A5AB6FB9-7883-443D-9D5E-ACBC964680BC}"/>
    <cellStyle name="Migliaia 61 3 4 3" xfId="6917" xr:uid="{D8266C25-03F6-4922-AF56-6F993D234BFE}"/>
    <cellStyle name="Migliaia 61 3 4 3 2" xfId="35524" xr:uid="{E4F0CAA5-BCB8-4DE8-813D-81F681CD387F}"/>
    <cellStyle name="Migliaia 61 3 4 3 2 2" xfId="40684" xr:uid="{4265EA33-81D1-4AFD-831D-04818D1CD1FD}"/>
    <cellStyle name="Migliaia 61 3 4 3 2 3" xfId="45986" xr:uid="{98774452-A028-43FD-B613-A8016F389435}"/>
    <cellStyle name="Migliaia 61 3 4 3 3" xfId="38033" xr:uid="{CDCAAF5A-E1E0-4B95-A601-32E8B88E3B9A}"/>
    <cellStyle name="Migliaia 61 3 4 3 4" xfId="43335" xr:uid="{B13FD01C-C39C-440F-8A13-D58CA675546A}"/>
    <cellStyle name="Migliaia 61 3 4 3 5" xfId="13728" xr:uid="{4BF5E5BF-E6C0-4DF1-8E14-F136B7571EF6}"/>
    <cellStyle name="Migliaia 61 3 4 4" xfId="21155" xr:uid="{224E73C9-ABFE-4510-9F4A-F083BCA3E58D}"/>
    <cellStyle name="Migliaia 61 3 4 4 2" xfId="34890" xr:uid="{64486001-B67C-49E1-B66A-A035A22BB3A3}"/>
    <cellStyle name="Migliaia 61 3 4 5" xfId="25689" xr:uid="{28D56A75-DB04-4076-863E-61DFED3D8804}"/>
    <cellStyle name="Migliaia 61 3 4 6" xfId="16914" xr:uid="{95759727-5046-4489-8977-887F5FB6F734}"/>
    <cellStyle name="Migliaia 61 3 4 7" xfId="7713" xr:uid="{E9917383-3CB2-40CC-B9A5-E11DCA73B2BB}"/>
    <cellStyle name="Migliaia 61 3 5" xfId="4025" xr:uid="{3DE8B424-DBDF-4B02-B2D6-84FC6BB790CF}"/>
    <cellStyle name="Migliaia 61 3 5 2" xfId="5751" xr:uid="{74763CE4-8521-42F7-9F26-F6E7C2D3A27E}"/>
    <cellStyle name="Migliaia 61 3 5 2 2" xfId="35525" xr:uid="{80A03962-DB33-45FB-BD8D-9E28E1190101}"/>
    <cellStyle name="Migliaia 61 3 5 2 2 2" xfId="40685" xr:uid="{C81CD42F-1BE0-4F45-8158-DA0E6FFC65BE}"/>
    <cellStyle name="Migliaia 61 3 5 2 2 3" xfId="45987" xr:uid="{A5572BE2-1F67-47B1-8619-B73D03AF13FA}"/>
    <cellStyle name="Migliaia 61 3 5 2 3" xfId="38034" xr:uid="{2ACFE3FD-8F37-4F01-B9E3-172F0FAD1969}"/>
    <cellStyle name="Migliaia 61 3 5 2 4" xfId="43336" xr:uid="{E49778CE-8AAB-4DB2-AD37-0D0EADF22DE4}"/>
    <cellStyle name="Migliaia 61 3 5 2 5" xfId="14352" xr:uid="{1B2C8224-703A-4A8C-8D15-38681D34BA63}"/>
    <cellStyle name="Migliaia 61 3 5 3" xfId="6918" xr:uid="{3D574DF4-2297-46C1-AC01-27749EB1E3AF}"/>
    <cellStyle name="Migliaia 61 3 5 3 2" xfId="34891" xr:uid="{3573E954-F181-4890-A3CB-D6F6FE06E6CA}"/>
    <cellStyle name="Migliaia 61 3 5 3 3" xfId="21157" xr:uid="{6AEC81C2-F4AB-4847-A4F4-8E2CE14C4979}"/>
    <cellStyle name="Migliaia 61 3 5 4" xfId="25690" xr:uid="{5EF42E49-A881-4A05-B432-3F3F85A050C6}"/>
    <cellStyle name="Migliaia 61 3 5 5" xfId="16916" xr:uid="{1A38F7DD-DD9B-4C25-B376-0CED9FD17FE9}"/>
    <cellStyle name="Migliaia 61 3 5 6" xfId="8414" xr:uid="{467F3E24-02DB-4B7E-9B6C-DB9437E6B8F5}"/>
    <cellStyle name="Migliaia 61 3 6" xfId="5746" xr:uid="{91B8830D-68B8-4611-993B-2BF637C35280}"/>
    <cellStyle name="Migliaia 61 3 6 2" xfId="14057" xr:uid="{9EDE1A00-E014-405C-953C-062C233A3936}"/>
    <cellStyle name="Migliaia 61 3 6 2 2" xfId="34892" xr:uid="{5CB04B86-1C17-44B7-836F-204A70A2F1A9}"/>
    <cellStyle name="Migliaia 61 3 6 3" xfId="18681" xr:uid="{AFC61C46-4CB2-4E2B-9AFA-F40A201D3177}"/>
    <cellStyle name="Migliaia 61 3 6 4" xfId="21158" xr:uid="{BCB6570C-AC3F-4625-9E40-D653ECBF8FF6}"/>
    <cellStyle name="Migliaia 61 3 6 5" xfId="25691" xr:uid="{C9D0D281-14A7-4D43-8BA5-828CE32DE5AB}"/>
    <cellStyle name="Migliaia 61 3 6 6" xfId="16917" xr:uid="{EF1920FF-C885-4DFA-B0E0-212C85E9D003}"/>
    <cellStyle name="Migliaia 61 3 6 7" xfId="8052" xr:uid="{FD9A1A53-7BB3-428A-A96D-F8483188021E}"/>
    <cellStyle name="Migliaia 61 3 7" xfId="6913" xr:uid="{86604F9A-465F-48A6-A7B6-2EB1CC263B37}"/>
    <cellStyle name="Migliaia 61 3 7 2" xfId="34893" xr:uid="{C82A458E-70F2-486F-B45B-BB90643A532A}"/>
    <cellStyle name="Migliaia 61 3 7 3" xfId="25692" xr:uid="{667F6BEA-7F57-4D09-9E15-A67C393AB0DD}"/>
    <cellStyle name="Migliaia 61 3 7 4" xfId="12250" xr:uid="{F274A41B-3097-41E4-B9A3-86CDB2163E4C}"/>
    <cellStyle name="Migliaia 61 3 8" xfId="4020" xr:uid="{4E8EADA5-BAB0-45D3-8370-2CC07EDB714F}"/>
    <cellStyle name="Migliaia 61 3 8 2" xfId="34894" xr:uid="{445E7AB0-815B-4954-80DC-7C64D3AB54FA}"/>
    <cellStyle name="Migliaia 61 3 8 3" xfId="25693" xr:uid="{5DE89656-9CAD-4504-ABAF-831B84BA83B6}"/>
    <cellStyle name="Migliaia 61 3 8 4" xfId="17078" xr:uid="{DEACE924-DA35-437C-B619-D5EFF6990435}"/>
    <cellStyle name="Migliaia 61 3 9" xfId="21149" xr:uid="{95718B73-6944-4F3D-97DF-6F528100E0BE}"/>
    <cellStyle name="Migliaia 61 3 9 2" xfId="34877" xr:uid="{7514BCF8-6F30-439E-A27F-ED3B09710909}"/>
    <cellStyle name="Migliaia 61 4" xfId="1943" xr:uid="{00000000-0005-0000-0000-0000C6040000}"/>
    <cellStyle name="Migliaia 61 4 10" xfId="7636" xr:uid="{BEA7F90F-E10B-4DCD-A191-473D2CBBD591}"/>
    <cellStyle name="Migliaia 61 4 2" xfId="1944" xr:uid="{00000000-0005-0000-0000-0000C7040000}"/>
    <cellStyle name="Migliaia 61 4 2 2" xfId="5753" xr:uid="{AA9FB46E-D174-42DE-A46F-6F297BAA0346}"/>
    <cellStyle name="Migliaia 61 4 2 2 2" xfId="34897" xr:uid="{D49800F2-51A3-42FE-844D-F849565B8048}"/>
    <cellStyle name="Migliaia 61 4 2 2 3" xfId="25696" xr:uid="{BD5831F8-B397-481B-9BBB-F472A57E7010}"/>
    <cellStyle name="Migliaia 61 4 2 2 4" xfId="9222" xr:uid="{DDE766B0-5ED5-45BE-84E9-2747F812FF28}"/>
    <cellStyle name="Migliaia 61 4 2 3" xfId="4027" xr:uid="{71549CE8-B4DC-4BCB-8C1F-E57321EC9B59}"/>
    <cellStyle name="Migliaia 61 4 2 3 2" xfId="34898" xr:uid="{93CFF8A9-FEF9-4689-936A-05EA3AC0BD54}"/>
    <cellStyle name="Migliaia 61 4 2 3 3" xfId="25697" xr:uid="{C5245329-9F50-453F-8521-6C136D1A2704}"/>
    <cellStyle name="Migliaia 61 4 2 3 4" xfId="12117" xr:uid="{BE198A74-3F15-421C-84BF-4BF08FDEBC99}"/>
    <cellStyle name="Migliaia 61 4 2 4" xfId="11470" xr:uid="{429E91BB-9696-4F83-AB3D-F9F89D116F7C}"/>
    <cellStyle name="Migliaia 61 4 2 4 2" xfId="34896" xr:uid="{BAB8AD44-EB74-4583-B2DE-6DCAF62214D8}"/>
    <cellStyle name="Migliaia 61 4 2 5" xfId="11021" xr:uid="{2EF64B1E-C966-495C-BD0D-DD79F36A6A88}"/>
    <cellStyle name="Migliaia 61 4 2 5 2" xfId="21656" xr:uid="{4234B3C0-1243-4FA5-9794-8B774F9A9FA5}"/>
    <cellStyle name="Migliaia 61 4 2 5 3" xfId="47431" xr:uid="{72BB2873-852A-495F-9AD9-A7CA6131629D}"/>
    <cellStyle name="Migliaia 61 4 2 5 4" xfId="50671" xr:uid="{6A1A3E4A-353B-44B9-B751-676251D36DED}"/>
    <cellStyle name="Migliaia 61 4 2 5 5" xfId="53687" xr:uid="{14252872-0314-481F-A7CC-605987A047E9}"/>
    <cellStyle name="Migliaia 61 4 2 6" xfId="21160" xr:uid="{3B1EFB70-36F1-4B1C-87DA-DDBA9E457099}"/>
    <cellStyle name="Migliaia 61 4 2 7" xfId="25695" xr:uid="{3A63EEA1-FD05-4766-820B-69190A31881F}"/>
    <cellStyle name="Migliaia 61 4 2 8" xfId="8826" xr:uid="{50D536F4-265F-4597-9541-DB8C929C8DD3}"/>
    <cellStyle name="Migliaia 61 4 3" xfId="5752" xr:uid="{932B2A33-4B64-48BB-9B19-35D6ED26253D}"/>
    <cellStyle name="Migliaia 61 4 3 2" xfId="18277" xr:uid="{E15487D5-922C-4460-9011-B83C239F0580}"/>
    <cellStyle name="Migliaia 61 4 3 2 2" xfId="34899" xr:uid="{8025AE81-1600-4292-A4DB-F0A62F0006F3}"/>
    <cellStyle name="Migliaia 61 4 3 3" xfId="25698" xr:uid="{5D6DF8C4-0EB0-41A7-8028-1CF18DFCB3CD}"/>
    <cellStyle name="Migliaia 61 4 3 4" xfId="17076" xr:uid="{17102EBC-10AB-4BDB-AD07-51FC928F972E}"/>
    <cellStyle name="Migliaia 61 4 3 5" xfId="9223" xr:uid="{026CA8A0-D81E-4B61-8462-442F0FBEB6C8}"/>
    <cellStyle name="Migliaia 61 4 4" xfId="6919" xr:uid="{EE779C50-69CD-428F-8121-A84115AC7295}"/>
    <cellStyle name="Migliaia 61 4 4 2" xfId="34900" xr:uid="{06BA78BE-F3B2-428F-85DA-AC4B505EFECF}"/>
    <cellStyle name="Migliaia 61 4 4 3" xfId="25699" xr:uid="{EE5BE713-0CC4-4CE7-84B5-1E5D31924313}"/>
    <cellStyle name="Migliaia 61 4 4 4" xfId="12118" xr:uid="{85B0CCF9-A32C-4FDA-AD9A-9B0CDCC81E12}"/>
    <cellStyle name="Migliaia 61 4 5" xfId="4026" xr:uid="{BD7FB8F1-43C3-48EA-925E-D7764F22C5BB}"/>
    <cellStyle name="Migliaia 61 4 5 2" xfId="34901" xr:uid="{1A8BA501-8503-4B2E-B61B-504F986634AD}"/>
    <cellStyle name="Migliaia 61 4 5 3" xfId="25700" xr:uid="{64CEB4E0-6640-4DF4-AB85-9DBC8C87E0D8}"/>
    <cellStyle name="Migliaia 61 4 5 4" xfId="11469" xr:uid="{9B830643-4611-4F0B-BCC0-22F15C205EFE}"/>
    <cellStyle name="Migliaia 61 4 6" xfId="11020" xr:uid="{FDEB7CF9-A612-45E9-A181-3808BAFAEDEA}"/>
    <cellStyle name="Migliaia 61 4 6 2" xfId="21655" xr:uid="{6C3BB55F-DBD9-4D25-B119-85970F46D179}"/>
    <cellStyle name="Migliaia 61 4 6 2 2" xfId="34902" xr:uid="{FE2CE63E-D387-4322-9215-C4DC450668A8}"/>
    <cellStyle name="Migliaia 61 4 6 3" xfId="25701" xr:uid="{4225C9D0-B976-49E2-B124-ACF77D91EFAC}"/>
    <cellStyle name="Migliaia 61 4 6 4" xfId="47312" xr:uid="{C24C39A5-D342-4CF2-9A8B-772B8CB4B1C1}"/>
    <cellStyle name="Migliaia 61 4 6 5" xfId="48913" xr:uid="{59B0235F-7C21-4A58-A8A5-24CF278E2244}"/>
    <cellStyle name="Migliaia 61 4 6 6" xfId="50670" xr:uid="{E587896D-23ED-4A72-AE64-AF1DF62F9FD4}"/>
    <cellStyle name="Migliaia 61 4 6 7" xfId="53686" xr:uid="{F683D691-E856-4F97-9AD4-75309C2430AB}"/>
    <cellStyle name="Migliaia 61 4 7" xfId="21159" xr:uid="{81CBEBE4-3493-4CB7-99AB-4ABC3C68FCF4}"/>
    <cellStyle name="Migliaia 61 4 7 2" xfId="34903" xr:uid="{24B5A627-220F-4D89-8B30-EF9616C2856A}"/>
    <cellStyle name="Migliaia 61 4 7 3" xfId="25702" xr:uid="{448AACE3-AA1D-40C4-9E7F-65B29D6CBF61}"/>
    <cellStyle name="Migliaia 61 4 8" xfId="34895" xr:uid="{19D74327-6AC7-41B4-921C-22F9DB817EAF}"/>
    <cellStyle name="Migliaia 61 4 9" xfId="25694" xr:uid="{C3DEC3EB-73D1-4838-92FE-A1FDCB397949}"/>
    <cellStyle name="Migliaia 61 5" xfId="1945" xr:uid="{00000000-0005-0000-0000-0000C8040000}"/>
    <cellStyle name="Migliaia 61 5 2" xfId="5754" xr:uid="{A3AD802E-F763-48E5-9F38-1C0E0AA74F7F}"/>
    <cellStyle name="Migliaia 61 5 2 2" xfId="18535" xr:uid="{A6021013-0BA4-4E29-B480-04DF52703CFC}"/>
    <cellStyle name="Migliaia 61 5 2 2 2" xfId="34905" xr:uid="{A4E74281-271E-493B-B1B2-24258EB70699}"/>
    <cellStyle name="Migliaia 61 5 2 3" xfId="21162" xr:uid="{B76C8D21-B378-4518-872F-AC6D5AF6E29C}"/>
    <cellStyle name="Migliaia 61 5 2 4" xfId="25704" xr:uid="{CE713634-4E67-41BA-A7BF-ABA300F52D3F}"/>
    <cellStyle name="Migliaia 61 5 2 5" xfId="16918" xr:uid="{1C3A7EFD-7B2E-448E-BF8E-4C425D0BEBB2}"/>
    <cellStyle name="Migliaia 61 5 2 6" xfId="8827" xr:uid="{882036B2-B0E1-4496-B25A-8A4AFFC644F1}"/>
    <cellStyle name="Migliaia 61 5 3" xfId="6920" xr:uid="{13DCA814-3617-4045-AD42-C7E91851F58F}"/>
    <cellStyle name="Migliaia 61 5 3 2" xfId="34906" xr:uid="{F7AA57BF-3EF1-4C7C-B3E2-2C820E14BC78}"/>
    <cellStyle name="Migliaia 61 5 3 3" xfId="25705" xr:uid="{17AF6A38-5D34-4D01-A1C7-9627A35DB34D}"/>
    <cellStyle name="Migliaia 61 5 3 4" xfId="11471" xr:uid="{100FD005-C653-4E94-9832-B6CB5F820317}"/>
    <cellStyle name="Migliaia 61 5 4" xfId="4028" xr:uid="{59BDD42F-F781-4454-8255-513BB77C07C5}"/>
    <cellStyle name="Migliaia 61 5 4 2" xfId="21657" xr:uid="{4B5FEAB9-874E-4556-8E03-1759D6062BDD}"/>
    <cellStyle name="Migliaia 61 5 4 2 2" xfId="34907" xr:uid="{EBBB591E-F88B-416A-84A4-A314827BB16B}"/>
    <cellStyle name="Migliaia 61 5 4 3" xfId="25706" xr:uid="{824A011F-9756-40BB-AFE4-6FD9978EB4AC}"/>
    <cellStyle name="Migliaia 61 5 4 4" xfId="32446" xr:uid="{06FB3FCF-DA6D-4F35-9B07-D9B10D6CC791}"/>
    <cellStyle name="Migliaia 61 5 4 5" xfId="48914" xr:uid="{D3730D6D-C3F0-40F3-B64E-B1F6E979D581}"/>
    <cellStyle name="Migliaia 61 5 4 6" xfId="50672" xr:uid="{1A1585A3-1AD8-43E7-B790-CA9E994123AB}"/>
    <cellStyle name="Migliaia 61 5 4 7" xfId="53688" xr:uid="{27D6BDFE-42B1-4D5B-B8D0-27803B0D297B}"/>
    <cellStyle name="Migliaia 61 5 4 8" xfId="11022" xr:uid="{D3600769-F52B-4789-823D-F0EEB9419250}"/>
    <cellStyle name="Migliaia 61 5 5" xfId="21161" xr:uid="{CEBFEBEE-3ED2-48A9-922E-6D68016BE61C}"/>
    <cellStyle name="Migliaia 61 5 5 2" xfId="34908" xr:uid="{BF4B3E32-E968-4403-AAB8-7C8206186DF3}"/>
    <cellStyle name="Migliaia 61 5 5 3" xfId="25707" xr:uid="{E771C8ED-CFE2-4492-8241-5714AA5089A5}"/>
    <cellStyle name="Migliaia 61 5 5 4" xfId="48915" xr:uid="{CDA3EC42-30B5-4F56-98E0-4C772F0902B6}"/>
    <cellStyle name="Migliaia 61 5 6" xfId="25708" xr:uid="{E7A37CE3-C923-4102-A0B2-834D5ADED750}"/>
    <cellStyle name="Migliaia 61 5 6 2" xfId="34909" xr:uid="{8D642170-905C-45D2-97CF-8003EA67CA3D}"/>
    <cellStyle name="Migliaia 61 5 7" xfId="34904" xr:uid="{49BAD9DB-CC1D-4F65-8AD0-A117B1EA021D}"/>
    <cellStyle name="Migliaia 61 5 8" xfId="25703" xr:uid="{B3181FC1-1F8A-4F33-A801-7CF73DC21014}"/>
    <cellStyle name="Migliaia 61 5 9" xfId="7637" xr:uid="{2FC052EA-1997-45F3-96CA-514ED9B0DCEF}"/>
    <cellStyle name="Migliaia 61 6" xfId="4029" xr:uid="{7843036D-5F9C-4B94-9673-F3D09FDFDC3A}"/>
    <cellStyle name="Migliaia 61 6 2" xfId="5755" xr:uid="{528A52E9-CB1C-4509-910B-0DCA97586AB6}"/>
    <cellStyle name="Migliaia 61 6 2 2" xfId="9995" xr:uid="{C5787F49-8B0F-4457-A22D-E1B813AEA941}"/>
    <cellStyle name="Migliaia 61 6 2 3" xfId="18120" xr:uid="{AF938DEB-7A05-452A-A809-42DDB3135A49}"/>
    <cellStyle name="Migliaia 61 6 2 4" xfId="21164" xr:uid="{24C520BA-335E-4E7A-B1C3-EF0FD3D89B65}"/>
    <cellStyle name="Migliaia 61 6 2 5" xfId="32490" xr:uid="{338C16A2-CAAA-458B-B161-678B2E3AE321}"/>
    <cellStyle name="Migliaia 61 6 2 6" xfId="16920" xr:uid="{5CFC8612-F4D7-428A-AAB7-AF7A49EA2B3D}"/>
    <cellStyle name="Migliaia 61 6 2 7" xfId="8822" xr:uid="{270B075D-51F2-4194-9B4F-AFC46893BFEF}"/>
    <cellStyle name="Migliaia 61 6 3" xfId="6921" xr:uid="{CFCDAB9B-8FD6-42EA-9778-2D578AA6385B}"/>
    <cellStyle name="Migliaia 61 6 3 2" xfId="35526" xr:uid="{EF0961F7-8F4C-4960-A7E8-CBB30D01A5CD}"/>
    <cellStyle name="Migliaia 61 6 3 2 2" xfId="40686" xr:uid="{00F13485-E727-4B1C-BF6E-58383B1CEE00}"/>
    <cellStyle name="Migliaia 61 6 3 2 3" xfId="45988" xr:uid="{174ED551-51B0-463E-AD6A-C01A05EBC464}"/>
    <cellStyle name="Migliaia 61 6 3 3" xfId="38035" xr:uid="{24E92506-4F7E-41CA-B6D5-1B799EF562FC}"/>
    <cellStyle name="Migliaia 61 6 3 4" xfId="43337" xr:uid="{4DC3C268-05FB-4790-8D3C-98804E937EAF}"/>
    <cellStyle name="Migliaia 61 6 3 5" xfId="9758" xr:uid="{01228820-5708-4FCA-BFED-9D4DF2EF0201}"/>
    <cellStyle name="Migliaia 61 6 4" xfId="21163" xr:uid="{F638DEA2-56C3-4E8F-9019-86A52E99F704}"/>
    <cellStyle name="Migliaia 61 6 4 2" xfId="34910" xr:uid="{911B879B-FF38-4060-B8AA-58B1D78B5608}"/>
    <cellStyle name="Migliaia 61 6 5" xfId="25709" xr:uid="{243832E8-FF7A-4A6E-83C1-F81F1D73C57F}"/>
    <cellStyle name="Migliaia 61 6 6" xfId="16919" xr:uid="{705669A9-F7B4-44D4-A8DD-29048D668C89}"/>
    <cellStyle name="Migliaia 61 6 7" xfId="7632" xr:uid="{C15AEB96-1D73-433E-830B-C3454E98636F}"/>
    <cellStyle name="Migliaia 61 7" xfId="4030" xr:uid="{923371A1-25D8-4D4A-A8EC-638D0638642C}"/>
    <cellStyle name="Migliaia 61 7 2" xfId="5756" xr:uid="{4F84D7A4-E967-463D-ADCB-70B0C70A4B53}"/>
    <cellStyle name="Migliaia 61 7 2 2" xfId="35527" xr:uid="{F0FC1F3F-BCF9-49D1-A515-90537134019B}"/>
    <cellStyle name="Migliaia 61 7 2 2 2" xfId="40687" xr:uid="{D6EDE895-312D-4CCA-83AB-53D97CB969CF}"/>
    <cellStyle name="Migliaia 61 7 2 2 3" xfId="45989" xr:uid="{00CC4F6B-308F-48E2-80E4-1049AA7D3C72}"/>
    <cellStyle name="Migliaia 61 7 2 3" xfId="38036" xr:uid="{99BCAA4C-343C-4767-899D-00AD05E57F94}"/>
    <cellStyle name="Migliaia 61 7 2 4" xfId="43338" xr:uid="{EC58482B-79EB-46F7-81B5-BA40DF13413E}"/>
    <cellStyle name="Migliaia 61 7 2 5" xfId="14350" xr:uid="{687FEAAC-214E-499D-9AE9-98BEEA8C760B}"/>
    <cellStyle name="Migliaia 61 7 3" xfId="6922" xr:uid="{99527448-33E1-424D-B900-5DC1597A49C2}"/>
    <cellStyle name="Migliaia 61 7 3 2" xfId="34911" xr:uid="{95887614-1277-49A4-8212-0CA3F6B6063B}"/>
    <cellStyle name="Migliaia 61 7 3 3" xfId="21165" xr:uid="{4A32058A-0177-42B9-9199-3071F4C47AF1}"/>
    <cellStyle name="Migliaia 61 7 4" xfId="25710" xr:uid="{56AD57FC-4925-423D-8819-35CAE435C3AD}"/>
    <cellStyle name="Migliaia 61 7 5" xfId="16921" xr:uid="{9D377FD8-51AA-4DE1-87AE-BDA43C107BB4}"/>
    <cellStyle name="Migliaia 61 7 6" xfId="8412" xr:uid="{DED0172F-6CD8-4D35-9279-1617C48D84AC}"/>
    <cellStyle name="Migliaia 61 8" xfId="4031" xr:uid="{4EB147DB-DDB2-4B0E-9BC3-DA5723F9928A}"/>
    <cellStyle name="Migliaia 61 8 2" xfId="5757" xr:uid="{F265A75F-DAAB-4E08-82F4-E77F7E7BB5EA}"/>
    <cellStyle name="Migliaia 61 8 2 2" xfId="35528" xr:uid="{3709D478-86D5-4332-ADDB-2E9933F77AC1}"/>
    <cellStyle name="Migliaia 61 8 2 2 2" xfId="40688" xr:uid="{5E8159E4-4583-46EC-83E1-238F22457C7C}"/>
    <cellStyle name="Migliaia 61 8 2 2 3" xfId="45990" xr:uid="{4C655FE7-3E35-4A4D-93A7-89B023CDD14A}"/>
    <cellStyle name="Migliaia 61 8 2 3" xfId="38037" xr:uid="{568B7109-B0B2-42A7-A2A5-E16D53E834A0}"/>
    <cellStyle name="Migliaia 61 8 2 4" xfId="43339" xr:uid="{28EDA2B4-2772-43FA-9D6C-879F990386D2}"/>
    <cellStyle name="Migliaia 61 8 2 5" xfId="14055" xr:uid="{7B1FC17B-4E12-4CC4-B6EB-A0DE5BA652D8}"/>
    <cellStyle name="Migliaia 61 8 3" xfId="6923" xr:uid="{93063E19-0A7F-4104-B41F-BFAF1351EA44}"/>
    <cellStyle name="Migliaia 61 8 3 2" xfId="34912" xr:uid="{E2274AA0-2D05-42A2-A345-49432008F1CA}"/>
    <cellStyle name="Migliaia 61 8 3 3" xfId="21166" xr:uid="{7846F36E-1D1D-4B71-9316-DC2227CB1367}"/>
    <cellStyle name="Migliaia 61 8 4" xfId="25711" xr:uid="{D0982C3A-89B7-489C-85C0-C440EE3FBC6C}"/>
    <cellStyle name="Migliaia 61 8 5" xfId="16922" xr:uid="{719B1348-34E8-4E03-8312-95FA16BD93AD}"/>
    <cellStyle name="Migliaia 61 8 6" xfId="8050" xr:uid="{4D27D3E2-1DDE-41E9-B67C-F187CF6E434D}"/>
    <cellStyle name="Migliaia 61 9" xfId="5742" xr:uid="{728D6198-5EC1-4445-9BEA-D67D8DAB3D1B}"/>
    <cellStyle name="Migliaia 61 9 2" xfId="34913" xr:uid="{B0939679-488D-4A55-953E-BB95251CEF84}"/>
    <cellStyle name="Migliaia 61 9 3" xfId="25712" xr:uid="{73CCF1B6-74F4-43E1-A883-01AC536EFA80}"/>
    <cellStyle name="Migliaia 61 9 4" xfId="17249" xr:uid="{3BB2D77D-06DF-4C41-B464-D075549DBEC4}"/>
    <cellStyle name="Migliaia 7" xfId="533" xr:uid="{00000000-0005-0000-0000-0000C9040000}"/>
    <cellStyle name="Migliaia 7 10" xfId="6924" xr:uid="{61B092CD-C41F-4B75-AC8B-CF7BC56C95F1}"/>
    <cellStyle name="Migliaia 7 10 2" xfId="34914" xr:uid="{F9C903D2-C941-4F32-9392-6A4BFC9F8291}"/>
    <cellStyle name="Migliaia 7 10 3" xfId="21167" xr:uid="{232AA0B6-0C94-4C20-85D0-94D33320AA6A}"/>
    <cellStyle name="Migliaia 7 11" xfId="4032" xr:uid="{03C07C10-7A73-4C43-8427-9F8DBACF9983}"/>
    <cellStyle name="Migliaia 7 11 2" xfId="25713" xr:uid="{E0C69586-F4F8-4BC1-953A-D79805FB893D}"/>
    <cellStyle name="Migliaia 7 12" xfId="7216" xr:uid="{230482AD-AFCF-4A24-AAEF-ECC0894F5821}"/>
    <cellStyle name="Migliaia 7 2" xfId="534" xr:uid="{00000000-0005-0000-0000-0000CA040000}"/>
    <cellStyle name="Migliaia 7 2 2" xfId="1946" xr:uid="{00000000-0005-0000-0000-0000CB040000}"/>
    <cellStyle name="Migliaia 7 2 2 2" xfId="5760" xr:uid="{3EF6181B-5B38-4CF6-A716-674262451153}"/>
    <cellStyle name="Migliaia 7 2 2 2 2" xfId="14421" xr:uid="{F2207600-1B8E-4ACA-9FFE-049BAF3BC9D0}"/>
    <cellStyle name="Migliaia 7 2 2 2 2 2" xfId="34917" xr:uid="{7696E196-1B85-453F-B749-97BA3B916F31}"/>
    <cellStyle name="Migliaia 7 2 2 2 3" xfId="18536" xr:uid="{5C7B91C4-CFBD-4958-AFAC-2BEB78542103}"/>
    <cellStyle name="Migliaia 7 2 2 2 4" xfId="21170" xr:uid="{EB0C5FC0-1174-4D25-A9A2-DEA43B0E2D46}"/>
    <cellStyle name="Migliaia 7 2 2 2 5" xfId="25716" xr:uid="{3F4685DA-5346-485D-87FE-BD058BF88A6D}"/>
    <cellStyle name="Migliaia 7 2 2 2 6" xfId="16923" xr:uid="{B834BFFA-E836-4338-A2C9-6850C7087C8C}"/>
    <cellStyle name="Migliaia 7 2 2 2 7" xfId="8829" xr:uid="{D1354021-FE2A-4131-99C3-3F9C1B8891B1}"/>
    <cellStyle name="Migliaia 7 2 2 3" xfId="6926" xr:uid="{20F55CC5-373D-4830-9120-15967E423B31}"/>
    <cellStyle name="Migliaia 7 2 2 3 2" xfId="35529" xr:uid="{38644B84-711D-49FF-B731-0394AD5C2091}"/>
    <cellStyle name="Migliaia 7 2 2 3 2 2" xfId="40689" xr:uid="{19108427-C0AB-432E-B609-16AF4DB8676F}"/>
    <cellStyle name="Migliaia 7 2 2 3 2 3" xfId="45991" xr:uid="{3E9F1638-A1C2-460C-B4E4-D9A169E6127C}"/>
    <cellStyle name="Migliaia 7 2 2 3 3" xfId="38038" xr:uid="{567DFE16-D86F-4F09-A222-8C05F463530F}"/>
    <cellStyle name="Migliaia 7 2 2 3 4" xfId="43340" xr:uid="{217BA644-F869-4CD7-B529-908FF4695AD2}"/>
    <cellStyle name="Migliaia 7 2 2 3 5" xfId="11648" xr:uid="{B91AFF78-A598-4FAF-BC54-2021B2AC833B}"/>
    <cellStyle name="Migliaia 7 2 2 4" xfId="4034" xr:uid="{328666BE-35AF-4130-A4C6-D36F2D5E3CA5}"/>
    <cellStyle name="Migliaia 7 2 2 4 2" xfId="21658" xr:uid="{EA5084DA-8144-4757-95B6-63ED22938136}"/>
    <cellStyle name="Migliaia 7 2 2 4 3" xfId="34916" xr:uid="{4216E3CE-217E-42DF-8EC6-5BC351E47A46}"/>
    <cellStyle name="Migliaia 7 2 2 4 4" xfId="47810" xr:uid="{BC5D0E42-E1B2-408F-929E-C520DCABC2DB}"/>
    <cellStyle name="Migliaia 7 2 2 4 5" xfId="50673" xr:uid="{AB88E030-1CFC-42C2-A98A-CAB7BF674B73}"/>
    <cellStyle name="Migliaia 7 2 2 4 6" xfId="53689" xr:uid="{F08A00AF-293E-4F82-B743-E2D74ECBB4C1}"/>
    <cellStyle name="Migliaia 7 2 2 4 7" xfId="11023" xr:uid="{9FD596E8-4523-4194-99F8-9C780A0B72B9}"/>
    <cellStyle name="Migliaia 7 2 2 5" xfId="21169" xr:uid="{EE587102-70CF-47CA-B4C6-F9CE7DB50892}"/>
    <cellStyle name="Migliaia 7 2 2 6" xfId="25715" xr:uid="{9D6201EF-5A46-46F7-9F31-1E8F0DD17B58}"/>
    <cellStyle name="Migliaia 7 2 2 7" xfId="7639" xr:uid="{E12B7ECD-C115-44FF-BA07-5B7D904114B2}"/>
    <cellStyle name="Migliaia 7 2 3" xfId="4035" xr:uid="{305EA2A1-8664-486C-9C60-5E43DE78BB7C}"/>
    <cellStyle name="Migliaia 7 2 3 2" xfId="5761" xr:uid="{DF455734-61CE-46AB-8D2D-70937A6FCE33}"/>
    <cellStyle name="Migliaia 7 2 3 2 2" xfId="35530" xr:uid="{B597BBCF-C52D-47C9-AE0D-F03170317C93}"/>
    <cellStyle name="Migliaia 7 2 3 2 2 2" xfId="40690" xr:uid="{0A0751E4-AA6E-4B7D-8F42-D7504E0DB9D1}"/>
    <cellStyle name="Migliaia 7 2 3 2 2 3" xfId="45992" xr:uid="{9F987A29-4661-4730-B27F-46BA37EE44A5}"/>
    <cellStyle name="Migliaia 7 2 3 2 3" xfId="38039" xr:uid="{4D2F0B96-F062-4840-B5CC-6B6E8C9A5D69}"/>
    <cellStyle name="Migliaia 7 2 3 2 4" xfId="43341" xr:uid="{DF8D672B-8BB3-4B65-A4B0-F18A85C5EDF6}"/>
    <cellStyle name="Migliaia 7 2 3 2 5" xfId="14354" xr:uid="{2EDA849A-D506-46EB-8BDA-C2BD602D72DC}"/>
    <cellStyle name="Migliaia 7 2 3 3" xfId="6927" xr:uid="{0098B76F-FC61-47B4-A884-068F15403A62}"/>
    <cellStyle name="Migliaia 7 2 3 3 2" xfId="34918" xr:uid="{8DC3D0E1-2139-41FF-814F-725EF1C83432}"/>
    <cellStyle name="Migliaia 7 2 3 3 3" xfId="21171" xr:uid="{847E21F6-F5BF-4CD3-BB97-EEF0348E6B97}"/>
    <cellStyle name="Migliaia 7 2 3 4" xfId="25717" xr:uid="{EB254CD7-1A59-487F-962D-211174759FAB}"/>
    <cellStyle name="Migliaia 7 2 3 5" xfId="16924" xr:uid="{AB334332-F294-4D6B-8B0B-B3B69CEA3353}"/>
    <cellStyle name="Migliaia 7 2 3 6" xfId="8416" xr:uid="{77C34BE6-5CBF-4312-BDB9-028A81C3BE0F}"/>
    <cellStyle name="Migliaia 7 2 4" xfId="5759" xr:uid="{98E6110F-DCCB-4E8F-ACCD-92F873333EDC}"/>
    <cellStyle name="Migliaia 7 2 4 2" xfId="14059" xr:uid="{5649E5FC-9752-4ADC-8421-823A086507B4}"/>
    <cellStyle name="Migliaia 7 2 4 2 2" xfId="34919" xr:uid="{125E609A-BB0F-4600-8C0B-EEAD7C932D9D}"/>
    <cellStyle name="Migliaia 7 2 4 3" xfId="18680" xr:uid="{02DA4B1E-027F-4B44-9F79-1C83FB22D5B3}"/>
    <cellStyle name="Migliaia 7 2 4 4" xfId="21172" xr:uid="{09127FEF-F0E2-4747-B509-02B4490D0014}"/>
    <cellStyle name="Migliaia 7 2 4 5" xfId="25718" xr:uid="{FBEDF00D-D5D7-47A3-85CC-3615C2C28401}"/>
    <cellStyle name="Migliaia 7 2 4 6" xfId="16925" xr:uid="{BA1AC372-2C04-4640-8A35-6348DA146331}"/>
    <cellStyle name="Migliaia 7 2 4 7" xfId="8055" xr:uid="{3E8E3EB8-AB9A-4819-8147-966127DCAF4B}"/>
    <cellStyle name="Migliaia 7 2 5" xfId="6925" xr:uid="{DB5C0626-FFB8-4613-9035-8BD2ED2634C2}"/>
    <cellStyle name="Migliaia 7 2 5 2" xfId="34920" xr:uid="{4A895034-02B2-4D00-9625-C68D82C6ADF7}"/>
    <cellStyle name="Migliaia 7 2 5 3" xfId="25719" xr:uid="{40B59021-D6F4-42F5-B459-C91109A928B0}"/>
    <cellStyle name="Migliaia 7 2 5 4" xfId="13161" xr:uid="{ED0D5928-6759-4D42-9BB7-FEAA47B4F0A6}"/>
    <cellStyle name="Migliaia 7 2 6" xfId="4033" xr:uid="{B562C66B-87E0-4845-90E8-4EC9B12C5C3A}"/>
    <cellStyle name="Migliaia 7 2 6 2" xfId="34921" xr:uid="{04B2B15F-50B9-4637-827B-C2D2DF967CB7}"/>
    <cellStyle name="Migliaia 7 2 6 3" xfId="25720" xr:uid="{59C6A803-8EC4-4DF3-B0BF-546A7F6CEE2F}"/>
    <cellStyle name="Migliaia 7 2 6 4" xfId="21168" xr:uid="{ABC6E3AC-9F0E-4063-B382-E2EEC4BDD650}"/>
    <cellStyle name="Migliaia 7 2 7" xfId="34915" xr:uid="{84A899E4-FB01-4DEC-8739-CBDED18DCB9E}"/>
    <cellStyle name="Migliaia 7 2 8" xfId="25714" xr:uid="{25B91A4E-EBE8-4FE7-911F-A4C8DC5553FE}"/>
    <cellStyle name="Migliaia 7 2 9" xfId="7217" xr:uid="{2EB49AAD-82D2-40C7-B25D-192B5920AFE2}"/>
    <cellStyle name="Migliaia 7 3" xfId="535" xr:uid="{00000000-0005-0000-0000-0000CC040000}"/>
    <cellStyle name="Migliaia 7 3 10" xfId="25721" xr:uid="{016C1DEC-6B50-4A86-8382-B58BDA1581BE}"/>
    <cellStyle name="Migliaia 7 3 11" xfId="16926" xr:uid="{CE677D82-1BCF-4656-9055-F6FEE1BBC251}"/>
    <cellStyle name="Migliaia 7 3 12" xfId="7218" xr:uid="{C1E59D67-2B5F-48BD-8117-D4819C37237B}"/>
    <cellStyle name="Migliaia 7 3 2" xfId="536" xr:uid="{00000000-0005-0000-0000-0000CD040000}"/>
    <cellStyle name="Migliaia 7 3 2 2" xfId="1947" xr:uid="{00000000-0005-0000-0000-0000CE040000}"/>
    <cellStyle name="Migliaia 7 3 2 2 2" xfId="5764" xr:uid="{D4E3C42F-282F-418F-B05D-EFAAA261656A}"/>
    <cellStyle name="Migliaia 7 3 2 2 2 2" xfId="18537" xr:uid="{B6CC7C17-EE50-4325-BE80-05CA88C7AE38}"/>
    <cellStyle name="Migliaia 7 3 2 2 2 2 2" xfId="21899" xr:uid="{5EBF9394-95F2-4DA2-9D84-F6A3235EE0C6}"/>
    <cellStyle name="Migliaia 7 3 2 2 2 2 3" xfId="34925" xr:uid="{1447BEBD-BFEF-486E-88AA-DDE8BDF1A595}"/>
    <cellStyle name="Migliaia 7 3 2 2 2 3" xfId="25724" xr:uid="{9C5DD779-119A-45B1-91FF-6066E36DAFE7}"/>
    <cellStyle name="Migliaia 7 3 2 2 2 4" xfId="48486" xr:uid="{E50B8E0D-2B33-48E3-8B47-B9117DFBA1F5}"/>
    <cellStyle name="Migliaia 7 3 2 2 2 5" xfId="50927" xr:uid="{75B7DACC-659B-4210-ADBD-B428952B08AC}"/>
    <cellStyle name="Migliaia 7 3 2 2 2 6" xfId="53943" xr:uid="{70B5C883-BE57-4512-8EFF-0B69C37F05F1}"/>
    <cellStyle name="Migliaia 7 3 2 2 2 7" xfId="17698" xr:uid="{C7638CB5-036A-4C03-A08E-A5823D20981B}"/>
    <cellStyle name="Migliaia 7 3 2 2 2 8" xfId="12119" xr:uid="{C1ECF8D3-0619-4D1E-BF40-99A6C9CAA123}"/>
    <cellStyle name="Migliaia 7 3 2 2 3" xfId="6930" xr:uid="{86AD5B28-3C98-4473-AE49-406656A02C2F}"/>
    <cellStyle name="Migliaia 7 3 2 2 3 2" xfId="34924" xr:uid="{362E7226-9AC5-4299-BE2A-25D24DF5636B}"/>
    <cellStyle name="Migliaia 7 3 2 2 3 3" xfId="11491" xr:uid="{2A4527D3-0C94-4AF4-9081-107ADD7B35E9}"/>
    <cellStyle name="Migliaia 7 3 2 2 4" xfId="4038" xr:uid="{C4D1A235-C67C-43B2-B135-FF454A9D4086}"/>
    <cellStyle name="Migliaia 7 3 2 2 4 2" xfId="21659" xr:uid="{042A3EB6-9312-49BC-851D-0E760D8DE69B}"/>
    <cellStyle name="Migliaia 7 3 2 2 4 3" xfId="46713" xr:uid="{BC473B6E-D122-41E5-A2C2-7AEA604BCB55}"/>
    <cellStyle name="Migliaia 7 3 2 2 4 4" xfId="50674" xr:uid="{DF990489-A703-4F09-9906-4C5AEC7E7278}"/>
    <cellStyle name="Migliaia 7 3 2 2 4 5" xfId="53690" xr:uid="{B041DCD5-B686-4B39-9A8F-EFC4EB506F96}"/>
    <cellStyle name="Migliaia 7 3 2 2 4 6" xfId="11024" xr:uid="{15E25158-A61F-48C4-8025-67655553BF21}"/>
    <cellStyle name="Migliaia 7 3 2 2 5" xfId="21175" xr:uid="{B76D01AF-2FE0-46E4-B006-29DBA89AE0F1}"/>
    <cellStyle name="Migliaia 7 3 2 2 6" xfId="25723" xr:uid="{E7E9979B-AA86-4720-996E-0A5477CD1F85}"/>
    <cellStyle name="Migliaia 7 3 2 2 7" xfId="8831" xr:uid="{60430BCD-63F5-4346-A76B-54513E4C18F7}"/>
    <cellStyle name="Migliaia 7 3 2 3" xfId="5763" xr:uid="{BB3B9352-54B1-4188-AF29-84609E44CCA3}"/>
    <cellStyle name="Migliaia 7 3 2 3 2" xfId="12394" xr:uid="{74440ED3-2043-4932-BC85-D4A28CE5CE84}"/>
    <cellStyle name="Migliaia 7 3 2 3 2 2" xfId="34926" xr:uid="{096EEB5E-8646-415D-A9F8-6F3B1FC7F185}"/>
    <cellStyle name="Migliaia 7 3 2 3 3" xfId="12120" xr:uid="{FADACBE6-2D6E-43F2-BA43-904A52E35440}"/>
    <cellStyle name="Migliaia 7 3 2 3 4" xfId="21176" xr:uid="{06CF5E60-AC2F-4EAE-A5A5-889B7D0D5F07}"/>
    <cellStyle name="Migliaia 7 3 2 3 5" xfId="25725" xr:uid="{567FB5E5-2E5F-4889-A641-B9BF62A40245}"/>
    <cellStyle name="Migliaia 7 3 2 3 6" xfId="16927" xr:uid="{A046EB57-70E0-46F3-8E11-BB2B3BE7C4F2}"/>
    <cellStyle name="Migliaia 7 3 2 3 7" xfId="8057" xr:uid="{434BA227-4E81-411B-B244-B65AA565C136}"/>
    <cellStyle name="Migliaia 7 3 2 4" xfId="6929" xr:uid="{FA97F6C9-5E93-45DF-A565-B2F6889E2A60}"/>
    <cellStyle name="Migliaia 7 3 2 4 2" xfId="18115" xr:uid="{134D47BF-81BB-4357-87E7-A02211D27679}"/>
    <cellStyle name="Migliaia 7 3 2 4 2 2" xfId="34927" xr:uid="{70063C56-F881-4D22-9533-2352319641DE}"/>
    <cellStyle name="Migliaia 7 3 2 4 3" xfId="25726" xr:uid="{81B4A76E-6A4B-4B74-9B84-91BF2E5E3497}"/>
    <cellStyle name="Migliaia 7 3 2 4 4" xfId="17252" xr:uid="{A6549061-8A07-420B-A9C7-905319C15174}"/>
    <cellStyle name="Migliaia 7 3 2 4 5" xfId="11472" xr:uid="{EEA0078B-7C80-41BE-80F1-D6AF42524B19}"/>
    <cellStyle name="Migliaia 7 3 2 5" xfId="4037" xr:uid="{863F0336-2742-473E-AA34-4F5748070AC0}"/>
    <cellStyle name="Migliaia 7 3 2 5 2" xfId="34928" xr:uid="{376CFBEF-1454-422F-8A87-02AE5F9A21FA}"/>
    <cellStyle name="Migliaia 7 3 2 5 3" xfId="25727" xr:uid="{CED4EC04-A58C-4E71-AB1A-AF4D70506EF7}"/>
    <cellStyle name="Migliaia 7 3 2 5 4" xfId="17074" xr:uid="{65A7FA58-20DB-428F-AF92-956E1F6C9144}"/>
    <cellStyle name="Migliaia 7 3 2 6" xfId="21174" xr:uid="{98169906-953A-4B8E-B73B-FAC99E8514CD}"/>
    <cellStyle name="Migliaia 7 3 2 6 2" xfId="34929" xr:uid="{B49A1273-4904-40E9-A0DE-1533A1A8257D}"/>
    <cellStyle name="Migliaia 7 3 2 6 3" xfId="25728" xr:uid="{3EDA23A4-0F7B-4C0C-8F14-5F6E05195D78}"/>
    <cellStyle name="Migliaia 7 3 2 7" xfId="34923" xr:uid="{831C050F-0333-42ED-A588-BAE6B43D161A}"/>
    <cellStyle name="Migliaia 7 3 2 8" xfId="25722" xr:uid="{E2E906EC-8F47-4910-8846-F82C92B0FE83}"/>
    <cellStyle name="Migliaia 7 3 2 9" xfId="7641" xr:uid="{F968551E-B36E-459E-9503-1E9B3BEABA72}"/>
    <cellStyle name="Migliaia 7 3 3" xfId="4039" xr:uid="{4E100DFE-81D4-4D91-90A0-4F3B02A793FB}"/>
    <cellStyle name="Migliaia 7 3 3 2" xfId="5765" xr:uid="{CD575548-72E2-49CB-8034-C5BDBB5C835A}"/>
    <cellStyle name="Migliaia 7 3 3 2 2" xfId="9998" xr:uid="{500B2439-83B3-47BF-B7D1-A2C0FFC9867B}"/>
    <cellStyle name="Migliaia 7 3 3 2 2 2" xfId="34931" xr:uid="{4C9AA774-1B89-4613-B309-63DBDAAFF26C}"/>
    <cellStyle name="Migliaia 7 3 3 2 3" xfId="18278" xr:uid="{DC68FD8B-8543-4B71-BAD2-5D30774F4929}"/>
    <cellStyle name="Migliaia 7 3 3 2 4" xfId="21178" xr:uid="{B85F0E44-2EDA-4219-A41A-E20FD189712C}"/>
    <cellStyle name="Migliaia 7 3 3 2 5" xfId="25730" xr:uid="{234A9E0D-3CD6-4572-A50C-38D3DEE5F591}"/>
    <cellStyle name="Migliaia 7 3 3 2 6" xfId="16929" xr:uid="{2FEBD18B-D26C-4519-8670-2F623DCEEE87}"/>
    <cellStyle name="Migliaia 7 3 3 2 7" xfId="8830" xr:uid="{DB521E82-D4D3-42E3-A7C1-9234BE8B6594}"/>
    <cellStyle name="Migliaia 7 3 3 3" xfId="6931" xr:uid="{1428600E-24D1-4A85-BEE5-D0A7EC1096BA}"/>
    <cellStyle name="Migliaia 7 3 3 3 2" xfId="34932" xr:uid="{BAA4EB81-E757-4B42-B94B-1A0EC07342C6}"/>
    <cellStyle name="Migliaia 7 3 3 3 3" xfId="25731" xr:uid="{1C6D0B49-98CC-4609-BD74-66420AD42C58}"/>
    <cellStyle name="Migliaia 7 3 3 3 4" xfId="9761" xr:uid="{FC072D74-701C-4024-8480-5757A28EB4CE}"/>
    <cellStyle name="Migliaia 7 3 3 4" xfId="21177" xr:uid="{641F9CF6-0200-46E3-B8DA-54042C09BE81}"/>
    <cellStyle name="Migliaia 7 3 3 4 2" xfId="34933" xr:uid="{5E0AA3A0-4905-45F5-843B-7F04894F2A0F}"/>
    <cellStyle name="Migliaia 7 3 3 4 3" xfId="25732" xr:uid="{A6BCAF6F-683A-4E7C-8212-4316A9358C00}"/>
    <cellStyle name="Migliaia 7 3 3 4 4" xfId="48916" xr:uid="{FC008CDF-5E04-4552-9358-B504C44D416B}"/>
    <cellStyle name="Migliaia 7 3 3 5" xfId="25733" xr:uid="{F7B02EE2-9B81-4836-A554-CA6B97F772F3}"/>
    <cellStyle name="Migliaia 7 3 3 5 2" xfId="34934" xr:uid="{C05ACDFB-C198-48D7-B25C-688253F41A2A}"/>
    <cellStyle name="Migliaia 7 3 3 5 3" xfId="48917" xr:uid="{04821ABD-71F2-4066-9D65-B32EB02EDF3F}"/>
    <cellStyle name="Migliaia 7 3 3 6" xfId="34930" xr:uid="{0340F727-B03D-4520-8E76-4C70A4AE94DD}"/>
    <cellStyle name="Migliaia 7 3 3 7" xfId="25729" xr:uid="{AE714692-4DF2-4BDA-BE57-9D971F52632F}"/>
    <cellStyle name="Migliaia 7 3 3 8" xfId="16928" xr:uid="{E06D9F81-473C-4B1C-97B0-4CE9DDE77B57}"/>
    <cellStyle name="Migliaia 7 3 3 9" xfId="7640" xr:uid="{AF123FBA-F4AB-469A-8823-587F3C41B0A9}"/>
    <cellStyle name="Migliaia 7 3 4" xfId="4040" xr:uid="{333A6446-58D5-428E-B4C0-4469AC20C007}"/>
    <cellStyle name="Migliaia 7 3 4 2" xfId="5766" xr:uid="{E1BD2161-8F9E-4993-A555-19F8AD9A7D29}"/>
    <cellStyle name="Migliaia 7 3 4 2 2" xfId="14481" xr:uid="{77473D01-E2F8-436E-B505-F4ED9931A4F0}"/>
    <cellStyle name="Migliaia 7 3 4 2 3" xfId="18573" xr:uid="{7A3134D0-6484-402B-BA40-243D07293125}"/>
    <cellStyle name="Migliaia 7 3 4 2 4" xfId="21180" xr:uid="{8DEC51B5-0B8F-4CF8-9CC5-E7D92063BCED}"/>
    <cellStyle name="Migliaia 7 3 4 2 5" xfId="32491" xr:uid="{B735E686-C52A-4C1C-B894-41E4CDC9F416}"/>
    <cellStyle name="Migliaia 7 3 4 2 6" xfId="16931" xr:uid="{1E179349-2182-4965-B82A-FCF7D59E0E8B}"/>
    <cellStyle name="Migliaia 7 3 4 2 7" xfId="8904" xr:uid="{12D2854A-3B7F-42C2-9837-DD62434C0D47}"/>
    <cellStyle name="Migliaia 7 3 4 3" xfId="6932" xr:uid="{A08F6748-4D51-446C-94C3-6D6B7E0EB054}"/>
    <cellStyle name="Migliaia 7 3 4 3 2" xfId="35531" xr:uid="{9889D086-6D1A-4B32-922C-78794C8AE359}"/>
    <cellStyle name="Migliaia 7 3 4 3 2 2" xfId="40691" xr:uid="{F8DFF7FE-02D7-409B-A254-932283DBF55E}"/>
    <cellStyle name="Migliaia 7 3 4 3 2 3" xfId="45993" xr:uid="{671D08D4-0D3E-43E5-9667-93BA7E101D8E}"/>
    <cellStyle name="Migliaia 7 3 4 3 3" xfId="38040" xr:uid="{B0A49DCD-F892-4F54-9B82-47A274F8E2CD}"/>
    <cellStyle name="Migliaia 7 3 4 3 4" xfId="43342" xr:uid="{C159BC6E-83BA-4A67-AC06-8015AC840BC6}"/>
    <cellStyle name="Migliaia 7 3 4 3 5" xfId="13729" xr:uid="{5358D2FD-16D6-4730-B7EF-B0DB26207016}"/>
    <cellStyle name="Migliaia 7 3 4 4" xfId="21179" xr:uid="{18E3FE86-8C0C-473D-9078-5ED056BF0F3B}"/>
    <cellStyle name="Migliaia 7 3 4 4 2" xfId="34935" xr:uid="{74AAE4EF-9CD6-4EEA-A843-47F3FC757B7A}"/>
    <cellStyle name="Migliaia 7 3 4 5" xfId="25734" xr:uid="{FF922706-B093-429B-9D57-1A66D91B6F3D}"/>
    <cellStyle name="Migliaia 7 3 4 6" xfId="16930" xr:uid="{542DA04C-734F-4135-8190-1DDECD2CDA00}"/>
    <cellStyle name="Migliaia 7 3 4 7" xfId="7714" xr:uid="{5F2C1F4C-CA46-4F47-BAB7-96FC03B5E5DA}"/>
    <cellStyle name="Migliaia 7 3 5" xfId="4041" xr:uid="{8AFF810F-FF20-48D0-9403-B4C4BD1B873E}"/>
    <cellStyle name="Migliaia 7 3 5 2" xfId="5767" xr:uid="{9B8F1404-B125-41F3-8C79-BF58551CEA0C}"/>
    <cellStyle name="Migliaia 7 3 5 2 2" xfId="35532" xr:uid="{8AB7F7C4-10CF-4EC6-8C96-6C88FBC826AE}"/>
    <cellStyle name="Migliaia 7 3 5 2 2 2" xfId="40692" xr:uid="{A4C21D09-CAF3-4602-91FB-4C69B3B1919E}"/>
    <cellStyle name="Migliaia 7 3 5 2 2 3" xfId="45994" xr:uid="{D5EE4060-ADFB-43E6-9F60-48B9FD02CECC}"/>
    <cellStyle name="Migliaia 7 3 5 2 3" xfId="38041" xr:uid="{D24C5A5D-D7F6-4E74-8D59-DD325ED4FE5B}"/>
    <cellStyle name="Migliaia 7 3 5 2 4" xfId="43343" xr:uid="{604B0F48-EE26-4DB4-A735-DC1AE2A22842}"/>
    <cellStyle name="Migliaia 7 3 5 2 5" xfId="14355" xr:uid="{0BAB9655-9E72-44CF-8899-566D0A35F98D}"/>
    <cellStyle name="Migliaia 7 3 5 3" xfId="6933" xr:uid="{9D989CE6-4BD3-41ED-B5D0-3C3B96A43034}"/>
    <cellStyle name="Migliaia 7 3 5 3 2" xfId="34936" xr:uid="{F979A7B7-5EF3-4A82-A766-71F64BFD334F}"/>
    <cellStyle name="Migliaia 7 3 5 3 3" xfId="21181" xr:uid="{47261A4D-8045-4159-90CF-C02E382EC933}"/>
    <cellStyle name="Migliaia 7 3 5 4" xfId="25735" xr:uid="{F65B540E-88FF-4352-ABA8-A4729D3D4263}"/>
    <cellStyle name="Migliaia 7 3 5 5" xfId="16932" xr:uid="{7286EE64-0545-4882-BC94-DE58CAA562C0}"/>
    <cellStyle name="Migliaia 7 3 5 6" xfId="8417" xr:uid="{DF484419-54B5-4B2D-AD1A-FB850ED279DE}"/>
    <cellStyle name="Migliaia 7 3 6" xfId="5762" xr:uid="{C437E233-4560-4CFE-A604-096AE3089A83}"/>
    <cellStyle name="Migliaia 7 3 6 2" xfId="14060" xr:uid="{1D07E5C2-BB00-4728-B308-6B680BE7B667}"/>
    <cellStyle name="Migliaia 7 3 6 2 2" xfId="34937" xr:uid="{2FFFC310-F243-42C7-806F-E0BE5EFB626D}"/>
    <cellStyle name="Migliaia 7 3 6 3" xfId="18599" xr:uid="{ACB9E28A-A7B3-4580-9E2C-F2909A630F55}"/>
    <cellStyle name="Migliaia 7 3 6 4" xfId="21182" xr:uid="{3ED80A40-9F06-43A2-B25D-B3F688153929}"/>
    <cellStyle name="Migliaia 7 3 6 5" xfId="25736" xr:uid="{732626AC-A86B-463F-AC48-AE2238B34A57}"/>
    <cellStyle name="Migliaia 7 3 6 6" xfId="16933" xr:uid="{B284ECE5-26BD-429F-9896-F132CD493E44}"/>
    <cellStyle name="Migliaia 7 3 6 7" xfId="8056" xr:uid="{265032EB-3DDC-4BAE-8316-84A5AA5A449B}"/>
    <cellStyle name="Migliaia 7 3 7" xfId="6928" xr:uid="{D6053B9C-72F6-4438-8894-97705D338C55}"/>
    <cellStyle name="Migliaia 7 3 7 2" xfId="34938" xr:uid="{C40536E3-C5EB-4C1D-8DC0-7AB4ED8FA353}"/>
    <cellStyle name="Migliaia 7 3 7 3" xfId="25737" xr:uid="{EB8306FC-212E-4B14-987F-1CE84C5CD2F0}"/>
    <cellStyle name="Migliaia 7 3 7 4" xfId="11215" xr:uid="{F4AE3AF8-6746-421D-AAB5-A362B84859C0}"/>
    <cellStyle name="Migliaia 7 3 8" xfId="4036" xr:uid="{D7676ACD-2BE0-4B74-95B3-F2F384CED63A}"/>
    <cellStyle name="Migliaia 7 3 8 2" xfId="34939" xr:uid="{36C0576D-9293-4343-8B42-5965193BE881}"/>
    <cellStyle name="Migliaia 7 3 8 3" xfId="25738" xr:uid="{A74ACDE5-AFB7-4DD0-AD3D-7C10CA8C2F99}"/>
    <cellStyle name="Migliaia 7 3 8 4" xfId="17075" xr:uid="{7E5CFBA7-E653-4B6D-A471-8445142D907B}"/>
    <cellStyle name="Migliaia 7 3 9" xfId="21173" xr:uid="{F1DF6389-1175-4487-B06C-CE7DA86C599C}"/>
    <cellStyle name="Migliaia 7 3 9 2" xfId="34922" xr:uid="{9B70D1FC-DA35-48E4-9424-ABDD1949DF34}"/>
    <cellStyle name="Migliaia 7 4" xfId="1948" xr:uid="{00000000-0005-0000-0000-0000CF040000}"/>
    <cellStyle name="Migliaia 7 4 10" xfId="7642" xr:uid="{284967FE-0B41-4D4A-B1C2-56B833070650}"/>
    <cellStyle name="Migliaia 7 4 2" xfId="1949" xr:uid="{00000000-0005-0000-0000-0000D0040000}"/>
    <cellStyle name="Migliaia 7 4 2 2" xfId="5769" xr:uid="{BCC4ADDC-E696-4619-9C43-5BEF7B9B1A5C}"/>
    <cellStyle name="Migliaia 7 4 2 2 2" xfId="34942" xr:uid="{24A19BAA-0F0B-44A8-B1E3-BD388C38FD9F}"/>
    <cellStyle name="Migliaia 7 4 2 2 3" xfId="25741" xr:uid="{00F8939D-4D52-442A-941F-1F311B439070}"/>
    <cellStyle name="Migliaia 7 4 2 2 4" xfId="9224" xr:uid="{E0D91B60-6609-4275-9876-DE8D46B21805}"/>
    <cellStyle name="Migliaia 7 4 2 3" xfId="4043" xr:uid="{45C78FEA-24A0-4636-B85D-9D9682CD9342}"/>
    <cellStyle name="Migliaia 7 4 2 3 2" xfId="34943" xr:uid="{FD327BFA-FBCC-49CF-9907-9D9FCBA09AEF}"/>
    <cellStyle name="Migliaia 7 4 2 3 3" xfId="25742" xr:uid="{66273B2F-C2EC-4D2A-B186-B838A3E47B33}"/>
    <cellStyle name="Migliaia 7 4 2 3 4" xfId="12121" xr:uid="{4A44E759-3680-4FB1-AD71-1A18A63FB42A}"/>
    <cellStyle name="Migliaia 7 4 2 4" xfId="11474" xr:uid="{44091CC9-3356-414E-9EE5-5805FB802B1D}"/>
    <cellStyle name="Migliaia 7 4 2 4 2" xfId="34941" xr:uid="{71E2EFD0-A01C-4738-BB9D-0F39B7607823}"/>
    <cellStyle name="Migliaia 7 4 2 5" xfId="11026" xr:uid="{7F30082E-B710-4294-8F4A-F165C0AB2CD8}"/>
    <cellStyle name="Migliaia 7 4 2 5 2" xfId="21661" xr:uid="{A8713343-CF08-43BB-8DC4-E7C0E41C586B}"/>
    <cellStyle name="Migliaia 7 4 2 5 3" xfId="47906" xr:uid="{6935B14C-E0A5-458B-BFF3-3AAA574E2782}"/>
    <cellStyle name="Migliaia 7 4 2 5 4" xfId="50676" xr:uid="{341016E2-309D-4741-94DD-439775693639}"/>
    <cellStyle name="Migliaia 7 4 2 5 5" xfId="53692" xr:uid="{01761FC6-AD14-45BE-BE68-5E764F467EA6}"/>
    <cellStyle name="Migliaia 7 4 2 6" xfId="21184" xr:uid="{C1563589-507A-444D-B015-23C04AE28118}"/>
    <cellStyle name="Migliaia 7 4 2 7" xfId="25740" xr:uid="{09CB849A-A4EB-4046-902E-EF02E1070207}"/>
    <cellStyle name="Migliaia 7 4 2 8" xfId="8832" xr:uid="{CA0200E7-161F-4309-8673-A6D16D9404DE}"/>
    <cellStyle name="Migliaia 7 4 3" xfId="5768" xr:uid="{835577E3-A207-477A-8D61-CDF29FE2CF12}"/>
    <cellStyle name="Migliaia 7 4 3 2" xfId="18279" xr:uid="{3919C56D-05D8-4D8C-9056-56D65E2A9B82}"/>
    <cellStyle name="Migliaia 7 4 3 2 2" xfId="34944" xr:uid="{BD630D7A-79E0-4CB9-8B60-F54BCEFEF6AF}"/>
    <cellStyle name="Migliaia 7 4 3 3" xfId="25743" xr:uid="{382B86CB-EB01-451A-B2D0-872D8AEFCC6E}"/>
    <cellStyle name="Migliaia 7 4 3 4" xfId="17073" xr:uid="{30857EB3-17F6-47C5-AADA-930ABF2E6BE6}"/>
    <cellStyle name="Migliaia 7 4 3 5" xfId="9225" xr:uid="{2FB9A5FE-A2BD-48D4-9AC2-F2BFFC35F869}"/>
    <cellStyle name="Migliaia 7 4 4" xfId="6934" xr:uid="{4736DBD1-8E8B-4099-BBBA-7F65146D4C5A}"/>
    <cellStyle name="Migliaia 7 4 4 2" xfId="34945" xr:uid="{B66D6F01-CCF9-40B3-BC9B-9D10A94AFE7A}"/>
    <cellStyle name="Migliaia 7 4 4 3" xfId="25744" xr:uid="{72D6DCA4-79C7-4F41-BB16-382D40323FDA}"/>
    <cellStyle name="Migliaia 7 4 4 4" xfId="12122" xr:uid="{36EC17CA-E8DA-42C7-962D-B501FF63D8BF}"/>
    <cellStyle name="Migliaia 7 4 5" xfId="4042" xr:uid="{A0FB0745-B555-42F7-9AC1-EF73EB14644A}"/>
    <cellStyle name="Migliaia 7 4 5 2" xfId="34946" xr:uid="{6184CCE0-8887-421F-A1D7-AAD1CD1155B9}"/>
    <cellStyle name="Migliaia 7 4 5 3" xfId="25745" xr:uid="{4A791A04-8413-4C2A-96B0-7477894E610D}"/>
    <cellStyle name="Migliaia 7 4 5 4" xfId="11473" xr:uid="{B48AF800-BF15-479C-BBAB-D569F07A0813}"/>
    <cellStyle name="Migliaia 7 4 6" xfId="11025" xr:uid="{3FF9851A-2570-4765-B21D-6CC5C4D282EF}"/>
    <cellStyle name="Migliaia 7 4 6 2" xfId="21660" xr:uid="{BE55732C-FE70-44B1-9CCC-9754B8BA345C}"/>
    <cellStyle name="Migliaia 7 4 6 2 2" xfId="34947" xr:uid="{C95C3BFA-7057-478F-832A-7DC8ECC80F6A}"/>
    <cellStyle name="Migliaia 7 4 6 3" xfId="25746" xr:uid="{615CBBC9-7310-4D53-B0D2-4479D5284AC0}"/>
    <cellStyle name="Migliaia 7 4 6 4" xfId="48548" xr:uid="{DF142C3C-7347-4F66-A5DE-D11554943DFC}"/>
    <cellStyle name="Migliaia 7 4 6 5" xfId="48918" xr:uid="{A17D265A-909F-4F80-9975-CE0D277E0D5E}"/>
    <cellStyle name="Migliaia 7 4 6 6" xfId="50675" xr:uid="{A90BB730-DDD1-4F17-A225-9DBCB2555F45}"/>
    <cellStyle name="Migliaia 7 4 6 7" xfId="53691" xr:uid="{1FFBEC8D-0123-4BAF-8922-9A9C26721AFE}"/>
    <cellStyle name="Migliaia 7 4 7" xfId="21183" xr:uid="{6DF9D8E7-B1F9-4647-BA1C-D168040BFE45}"/>
    <cellStyle name="Migliaia 7 4 7 2" xfId="34948" xr:uid="{5AF1FFBA-600D-4CB9-ACC8-B09D3BB0B6E5}"/>
    <cellStyle name="Migliaia 7 4 7 3" xfId="25747" xr:uid="{5BD4A82C-F5B7-44C7-807D-533711C881C6}"/>
    <cellStyle name="Migliaia 7 4 8" xfId="34940" xr:uid="{CC5DB62B-5A21-48AB-8B14-3550B9827287}"/>
    <cellStyle name="Migliaia 7 4 9" xfId="25739" xr:uid="{924E559B-857D-4D43-932F-5AC33F3B9DA4}"/>
    <cellStyle name="Migliaia 7 5" xfId="1950" xr:uid="{00000000-0005-0000-0000-0000D1040000}"/>
    <cellStyle name="Migliaia 7 5 2" xfId="5770" xr:uid="{002632B1-AB3C-4763-9AAF-83AA2D4BEB81}"/>
    <cellStyle name="Migliaia 7 5 2 2" xfId="18538" xr:uid="{DA575B2F-5F7A-4240-AF6E-AA6D316B2F61}"/>
    <cellStyle name="Migliaia 7 5 2 2 2" xfId="34950" xr:uid="{CE367DD4-8EF1-4308-A4FE-7AD69CC2F5BF}"/>
    <cellStyle name="Migliaia 7 5 2 3" xfId="21186" xr:uid="{84546DF0-23A7-426F-ABD8-56BE641DCD71}"/>
    <cellStyle name="Migliaia 7 5 2 4" xfId="25749" xr:uid="{69159985-0868-4659-B986-FC193B2E950D}"/>
    <cellStyle name="Migliaia 7 5 2 5" xfId="16934" xr:uid="{E896F8FB-FC1C-4BD3-9344-517F1DCDCB20}"/>
    <cellStyle name="Migliaia 7 5 2 6" xfId="8833" xr:uid="{E7092D9C-9F64-4E2F-B624-016CC0937387}"/>
    <cellStyle name="Migliaia 7 5 3" xfId="6935" xr:uid="{E1918868-936D-42BD-ADC3-E03688033D38}"/>
    <cellStyle name="Migliaia 7 5 3 2" xfId="34951" xr:uid="{BC16B10C-3593-49B2-84C7-B52FA1470FAB}"/>
    <cellStyle name="Migliaia 7 5 3 3" xfId="25750" xr:uid="{AFB8E326-B577-41C5-9B35-9AEA0B919216}"/>
    <cellStyle name="Migliaia 7 5 3 4" xfId="11475" xr:uid="{43CC46CF-0AF2-4AC5-A6CA-B9DE8F51EF09}"/>
    <cellStyle name="Migliaia 7 5 4" xfId="4044" xr:uid="{21AAB6AF-FB95-48C8-B2DC-F45D4F66FDFC}"/>
    <cellStyle name="Migliaia 7 5 4 2" xfId="21662" xr:uid="{6E0E003C-E758-4D57-9A18-5D9E63DC274F}"/>
    <cellStyle name="Migliaia 7 5 4 2 2" xfId="34952" xr:uid="{03E0FBF9-BE62-4E9E-B424-825126A8D3EC}"/>
    <cellStyle name="Migliaia 7 5 4 3" xfId="25751" xr:uid="{74C6DC52-C657-4A7B-A317-1C4E97388D41}"/>
    <cellStyle name="Migliaia 7 5 4 4" xfId="46264" xr:uid="{14574FD1-34C2-41EC-BDFC-4C5B9638BFF7}"/>
    <cellStyle name="Migliaia 7 5 4 5" xfId="48919" xr:uid="{22740228-D9A4-4734-8294-7B9E9C598C4A}"/>
    <cellStyle name="Migliaia 7 5 4 6" xfId="50677" xr:uid="{4DF1BFF5-2DF8-4A39-AE8D-29117C45CCCA}"/>
    <cellStyle name="Migliaia 7 5 4 7" xfId="53693" xr:uid="{0EFD0C76-6F65-4813-9D55-62744F98EF79}"/>
    <cellStyle name="Migliaia 7 5 4 8" xfId="11027" xr:uid="{009AB03B-D2A2-4355-83BE-4DBFFE75C5B8}"/>
    <cellStyle name="Migliaia 7 5 5" xfId="21185" xr:uid="{453A0D02-D55B-4B9F-80C9-E8A42AF9691C}"/>
    <cellStyle name="Migliaia 7 5 5 2" xfId="34953" xr:uid="{F005D585-9805-4CB1-947E-8ECF8029C2FE}"/>
    <cellStyle name="Migliaia 7 5 5 3" xfId="25752" xr:uid="{8AEED573-F762-4F96-B1A1-C8C8C808A048}"/>
    <cellStyle name="Migliaia 7 5 5 4" xfId="48920" xr:uid="{6ADE10FD-F72F-4EA5-871B-E3C953DC9896}"/>
    <cellStyle name="Migliaia 7 5 6" xfId="25753" xr:uid="{C1CDD871-87C2-4980-B9FA-8587C4A405D1}"/>
    <cellStyle name="Migliaia 7 5 6 2" xfId="34954" xr:uid="{600B85E5-304A-4749-998F-5AC2B3AA7945}"/>
    <cellStyle name="Migliaia 7 5 7" xfId="34949" xr:uid="{D515311B-4708-411D-BB27-D9CADE3DA4DD}"/>
    <cellStyle name="Migliaia 7 5 8" xfId="25748" xr:uid="{17E8AC3B-69CF-40B0-AADC-ACEC150D9D46}"/>
    <cellStyle name="Migliaia 7 5 9" xfId="7643" xr:uid="{3C254E8D-60D2-40B1-9A9B-4ADA5FD707E9}"/>
    <cellStyle name="Migliaia 7 6" xfId="4045" xr:uid="{45BB8103-A4D4-4395-A6DB-7E049D78584A}"/>
    <cellStyle name="Migliaia 7 6 2" xfId="5771" xr:uid="{4BD32CA3-F614-465A-B6B3-B55EEE94ABF5}"/>
    <cellStyle name="Migliaia 7 6 2 2" xfId="9997" xr:uid="{5E7C17FA-765A-459A-8C57-FF3727870481}"/>
    <cellStyle name="Migliaia 7 6 2 3" xfId="18595" xr:uid="{B599FE21-6715-4D97-AB6C-18EA81DA7013}"/>
    <cellStyle name="Migliaia 7 6 2 4" xfId="21188" xr:uid="{AFD70CFF-C79E-48DF-B8CB-E4B6318CF35F}"/>
    <cellStyle name="Migliaia 7 6 2 5" xfId="32492" xr:uid="{5D7CA130-0BEE-46EE-925C-126864B1BB3B}"/>
    <cellStyle name="Migliaia 7 6 2 6" xfId="16936" xr:uid="{B6E23629-2D5C-46B2-AEB5-139AF4179221}"/>
    <cellStyle name="Migliaia 7 6 2 7" xfId="8828" xr:uid="{6198FC9B-B19F-4CA5-BC49-50D20102BF3A}"/>
    <cellStyle name="Migliaia 7 6 3" xfId="6936" xr:uid="{0BA02215-AA6A-4C63-A68E-AD1425C93165}"/>
    <cellStyle name="Migliaia 7 6 3 2" xfId="35533" xr:uid="{86E12278-0EB6-4E79-954B-B0AECE035711}"/>
    <cellStyle name="Migliaia 7 6 3 2 2" xfId="40693" xr:uid="{A7474291-6CEF-4122-823C-F5EAF1ED428E}"/>
    <cellStyle name="Migliaia 7 6 3 2 3" xfId="45995" xr:uid="{244610C2-2D01-43DD-88B3-BBABF2B2AE6F}"/>
    <cellStyle name="Migliaia 7 6 3 3" xfId="38042" xr:uid="{A1076FC8-2347-486E-A2A3-6632D0E15748}"/>
    <cellStyle name="Migliaia 7 6 3 4" xfId="43344" xr:uid="{EAE472A8-8864-40E1-A58B-AF33716BE2ED}"/>
    <cellStyle name="Migliaia 7 6 3 5" xfId="9760" xr:uid="{CF0FFDDB-8C89-4660-A3F4-5B5E215A84E0}"/>
    <cellStyle name="Migliaia 7 6 4" xfId="21187" xr:uid="{F0190793-A242-4EC5-9678-E2394A3A5E15}"/>
    <cellStyle name="Migliaia 7 6 4 2" xfId="34955" xr:uid="{911B7BF8-4663-48A5-A3C9-BF7010250663}"/>
    <cellStyle name="Migliaia 7 6 5" xfId="25754" xr:uid="{1499B7D7-45D5-4E79-87C0-D36789E71B95}"/>
    <cellStyle name="Migliaia 7 6 6" xfId="16935" xr:uid="{2D7D882C-FF51-42E1-A6CF-2E1DEAC1F851}"/>
    <cellStyle name="Migliaia 7 6 7" xfId="7638" xr:uid="{258A1440-E529-4DAB-B0E9-1D4603F7DC00}"/>
    <cellStyle name="Migliaia 7 7" xfId="4046" xr:uid="{058B7C75-986B-4938-B9E1-BE8704A6BE63}"/>
    <cellStyle name="Migliaia 7 7 2" xfId="5772" xr:uid="{6C317DA2-D567-416A-99E9-5FF5B1EE2107}"/>
    <cellStyle name="Migliaia 7 7 2 2" xfId="35534" xr:uid="{28155C86-2A9E-486F-8077-B4BD662DB4E0}"/>
    <cellStyle name="Migliaia 7 7 2 2 2" xfId="40694" xr:uid="{029FC0A9-5D4C-4DEF-9068-D1D3E02F25AE}"/>
    <cellStyle name="Migliaia 7 7 2 2 3" xfId="45996" xr:uid="{3312E757-DECB-4A01-A357-7CC368A908D8}"/>
    <cellStyle name="Migliaia 7 7 2 3" xfId="38043" xr:uid="{54A65956-BA24-41C1-AAF7-25BBB4AB129D}"/>
    <cellStyle name="Migliaia 7 7 2 4" xfId="43345" xr:uid="{9569C81E-C5A2-412A-8E75-5C25DB459EB7}"/>
    <cellStyle name="Migliaia 7 7 2 5" xfId="14353" xr:uid="{06A2E369-68E3-429F-B839-C87BAD92C42B}"/>
    <cellStyle name="Migliaia 7 7 3" xfId="6937" xr:uid="{CD139268-3FE5-4F21-9C06-770ED01198AA}"/>
    <cellStyle name="Migliaia 7 7 3 2" xfId="34956" xr:uid="{DF56AF27-A215-4FB7-B018-DDA4BB585F70}"/>
    <cellStyle name="Migliaia 7 7 3 3" xfId="21189" xr:uid="{4C885129-53E6-4108-8BBC-E3C8B2344961}"/>
    <cellStyle name="Migliaia 7 7 4" xfId="25755" xr:uid="{0BCCB46E-BC69-4BF4-9DD7-74A6847CB45A}"/>
    <cellStyle name="Migliaia 7 7 5" xfId="16937" xr:uid="{F0821808-1FA4-464E-9D62-25C2DEBF8AFB}"/>
    <cellStyle name="Migliaia 7 7 6" xfId="8415" xr:uid="{9FB96027-CE29-4AF2-84F4-3C5399D1035A}"/>
    <cellStyle name="Migliaia 7 8" xfId="4047" xr:uid="{F291C5A0-E741-4085-896E-912335925A81}"/>
    <cellStyle name="Migliaia 7 8 2" xfId="5773" xr:uid="{004F08B0-91AA-44ED-8854-E2372DEC676E}"/>
    <cellStyle name="Migliaia 7 8 2 2" xfId="35535" xr:uid="{24C76989-F0D7-41A1-B1FB-FA705A65931C}"/>
    <cellStyle name="Migliaia 7 8 2 2 2" xfId="40695" xr:uid="{17E352E7-AD7D-4B9C-9E99-B44CA8E3BB7F}"/>
    <cellStyle name="Migliaia 7 8 2 2 3" xfId="45997" xr:uid="{1BE283D3-4C76-45B4-A161-5BF4E6476105}"/>
    <cellStyle name="Migliaia 7 8 2 3" xfId="38044" xr:uid="{8D4F9F3A-1D40-4DE6-944C-12F88AFD8382}"/>
    <cellStyle name="Migliaia 7 8 2 4" xfId="43346" xr:uid="{395FF946-4E21-4594-A3C1-1AB21939C2C9}"/>
    <cellStyle name="Migliaia 7 8 2 5" xfId="14058" xr:uid="{FFA990BE-07D1-4DDA-8881-71C29DDB791D}"/>
    <cellStyle name="Migliaia 7 8 3" xfId="6938" xr:uid="{2753721D-0928-4BF5-BD70-305E454C310F}"/>
    <cellStyle name="Migliaia 7 8 3 2" xfId="34957" xr:uid="{ABA3F3E6-35C9-4E5F-A82B-7E19F9DF8171}"/>
    <cellStyle name="Migliaia 7 8 3 3" xfId="21190" xr:uid="{70E8B24A-76F9-4BD1-AC28-409631F7F1DF}"/>
    <cellStyle name="Migliaia 7 8 4" xfId="25756" xr:uid="{EB367DC2-954B-4C2B-8E84-409AC2EA5EFA}"/>
    <cellStyle name="Migliaia 7 8 5" xfId="16938" xr:uid="{5F0F7160-27BD-4683-944C-A297426CB7B2}"/>
    <cellStyle name="Migliaia 7 8 6" xfId="8054" xr:uid="{0C4F2ED1-9B18-4B0A-85CF-747FA6AAA39E}"/>
    <cellStyle name="Migliaia 7 9" xfId="5758" xr:uid="{9AF9A528-99A9-4B7B-B9D0-CC06B09BAFA3}"/>
    <cellStyle name="Migliaia 7 9 2" xfId="34958" xr:uid="{FF9C768C-3D40-4CF8-859D-2E3D17C0A253}"/>
    <cellStyle name="Migliaia 7 9 3" xfId="25757" xr:uid="{152AE709-4FB2-45BC-94BD-CFC6268431B4}"/>
    <cellStyle name="Migliaia 7 9 4" xfId="17251" xr:uid="{7AC3B4D5-7E2B-4A73-A0E5-6D4BA410962A}"/>
    <cellStyle name="Migliaia 8" xfId="537" xr:uid="{00000000-0005-0000-0000-0000D2040000}"/>
    <cellStyle name="Migliaia 8 10" xfId="6939" xr:uid="{42732290-0D34-4357-9908-9669684615F5}"/>
    <cellStyle name="Migliaia 8 10 2" xfId="34959" xr:uid="{97FF1AD0-1DEE-48DE-A923-F0945546FE65}"/>
    <cellStyle name="Migliaia 8 10 3" xfId="21191" xr:uid="{EA2926A8-C077-4B08-8B95-5EB000440649}"/>
    <cellStyle name="Migliaia 8 11" xfId="4048" xr:uid="{EA5BE971-B2A5-4A9F-B3AD-9A906962C9A3}"/>
    <cellStyle name="Migliaia 8 11 2" xfId="25758" xr:uid="{40796EEC-28B1-49F6-B71B-0060EAD5195C}"/>
    <cellStyle name="Migliaia 8 12" xfId="7219" xr:uid="{D7CE8AD6-921F-4827-82C0-F01608A57CB6}"/>
    <cellStyle name="Migliaia 8 2" xfId="538" xr:uid="{00000000-0005-0000-0000-0000D3040000}"/>
    <cellStyle name="Migliaia 8 2 2" xfId="1951" xr:uid="{00000000-0005-0000-0000-0000D4040000}"/>
    <cellStyle name="Migliaia 8 2 2 2" xfId="5776" xr:uid="{198B8A53-891D-4DDE-8E39-BB5502252E55}"/>
    <cellStyle name="Migliaia 8 2 2 2 2" xfId="14422" xr:uid="{12CF2505-BF82-44C8-BA47-C8517906CE16}"/>
    <cellStyle name="Migliaia 8 2 2 2 2 2" xfId="34962" xr:uid="{07DA104F-9186-45F0-B44F-9E6F5385A15F}"/>
    <cellStyle name="Migliaia 8 2 2 2 3" xfId="18539" xr:uid="{E1BBE52F-F986-4B6D-9367-53AF1390E367}"/>
    <cellStyle name="Migliaia 8 2 2 2 4" xfId="21194" xr:uid="{FD7CCBE3-68D6-41B9-AF29-418E9BDD6FD3}"/>
    <cellStyle name="Migliaia 8 2 2 2 5" xfId="25761" xr:uid="{7B7CFC36-90C9-43F6-BC3E-B5F420ED3C0A}"/>
    <cellStyle name="Migliaia 8 2 2 2 6" xfId="16939" xr:uid="{1F431CE6-C7CD-490D-86F6-C0BF2AF118CB}"/>
    <cellStyle name="Migliaia 8 2 2 2 7" xfId="8835" xr:uid="{FBBBA0CB-DBFE-4CA2-A6A4-23934874F94C}"/>
    <cellStyle name="Migliaia 8 2 2 3" xfId="6941" xr:uid="{FF03437A-E241-474D-812F-59A357D88991}"/>
    <cellStyle name="Migliaia 8 2 2 3 2" xfId="35536" xr:uid="{2F982680-DB82-46CD-8BE5-2983F30CC054}"/>
    <cellStyle name="Migliaia 8 2 2 3 2 2" xfId="40696" xr:uid="{6F4A6449-8D41-4527-B760-828F8B5D50EB}"/>
    <cellStyle name="Migliaia 8 2 2 3 2 3" xfId="45998" xr:uid="{01804738-BAE4-42F2-9436-AE6F18AB04FA}"/>
    <cellStyle name="Migliaia 8 2 2 3 3" xfId="38045" xr:uid="{7BC83EA9-BE9B-4B64-8893-05715BC82644}"/>
    <cellStyle name="Migliaia 8 2 2 3 4" xfId="43347" xr:uid="{D7B37A79-3D5A-46AD-A26F-48F95B6F32F5}"/>
    <cellStyle name="Migliaia 8 2 2 3 5" xfId="11649" xr:uid="{D76FD867-4E42-4D25-9EE9-1C0FA63A858E}"/>
    <cellStyle name="Migliaia 8 2 2 4" xfId="4050" xr:uid="{C2966A30-CD7C-456B-8769-64314EC554C8}"/>
    <cellStyle name="Migliaia 8 2 2 4 2" xfId="21663" xr:uid="{05A6A728-AA0B-4A4D-89D2-24B725A94988}"/>
    <cellStyle name="Migliaia 8 2 2 4 3" xfId="34961" xr:uid="{BB947804-C4C3-4FB3-8DA4-ADEAFD67178C}"/>
    <cellStyle name="Migliaia 8 2 2 4 4" xfId="47005" xr:uid="{AE484FE4-737A-44DB-8285-0EA18C8CCDB6}"/>
    <cellStyle name="Migliaia 8 2 2 4 5" xfId="50678" xr:uid="{707290C9-A8D5-4F4E-B3CD-A96FD53A2CB2}"/>
    <cellStyle name="Migliaia 8 2 2 4 6" xfId="53694" xr:uid="{D03216C8-59DF-40D3-9666-915B83B1642D}"/>
    <cellStyle name="Migliaia 8 2 2 4 7" xfId="11028" xr:uid="{5B9FCB7A-A04C-44C0-BAE3-26BD264CC325}"/>
    <cellStyle name="Migliaia 8 2 2 5" xfId="21193" xr:uid="{D7C1AB24-293A-4C3E-9A76-7F48C922DC45}"/>
    <cellStyle name="Migliaia 8 2 2 6" xfId="25760" xr:uid="{63BF5A05-7A34-4A9A-99E2-AC285A8A5A6E}"/>
    <cellStyle name="Migliaia 8 2 2 7" xfId="7645" xr:uid="{AA767F48-493E-4C6A-87F3-6B8A750E6737}"/>
    <cellStyle name="Migliaia 8 2 3" xfId="4051" xr:uid="{19546196-290B-454C-BC62-71CA7E0989AE}"/>
    <cellStyle name="Migliaia 8 2 3 2" xfId="5777" xr:uid="{64BF85C6-DEB6-4A51-82CF-EDD32F712F22}"/>
    <cellStyle name="Migliaia 8 2 3 2 2" xfId="35537" xr:uid="{0929C6B6-953F-40A7-90DB-352209843457}"/>
    <cellStyle name="Migliaia 8 2 3 2 2 2" xfId="40697" xr:uid="{FDF9D135-E20E-4633-9F90-E247EE1FCC9B}"/>
    <cellStyle name="Migliaia 8 2 3 2 2 3" xfId="45999" xr:uid="{240456D9-A8EC-4FF5-A965-68C4F7476228}"/>
    <cellStyle name="Migliaia 8 2 3 2 3" xfId="38046" xr:uid="{188CA09B-8CEC-46C9-9159-EC85BD5D9230}"/>
    <cellStyle name="Migliaia 8 2 3 2 4" xfId="43348" xr:uid="{5D8F6450-C253-49A4-8705-6C4E75EB950C}"/>
    <cellStyle name="Migliaia 8 2 3 2 5" xfId="14357" xr:uid="{E2A45D1B-7411-4DC9-B3E5-30129F61D35A}"/>
    <cellStyle name="Migliaia 8 2 3 3" xfId="6942" xr:uid="{6976F27C-3C6B-41B5-939D-016EC96E0C2F}"/>
    <cellStyle name="Migliaia 8 2 3 3 2" xfId="34963" xr:uid="{62A4533D-E8F3-436E-AE46-8366096C6460}"/>
    <cellStyle name="Migliaia 8 2 3 3 3" xfId="21195" xr:uid="{394D8066-A88F-422D-8780-4093C55FC656}"/>
    <cellStyle name="Migliaia 8 2 3 4" xfId="25762" xr:uid="{625BD244-2EEB-4216-931E-0811D2754835}"/>
    <cellStyle name="Migliaia 8 2 3 5" xfId="16940" xr:uid="{0593F4FF-32A1-44A3-ACEE-EA6D5D0CD5E7}"/>
    <cellStyle name="Migliaia 8 2 3 6" xfId="8419" xr:uid="{E62DF4EB-C590-48B6-9108-6D0EE3917EEB}"/>
    <cellStyle name="Migliaia 8 2 4" xfId="5775" xr:uid="{A4B6968D-67E5-4C3E-B48F-38F3188C867D}"/>
    <cellStyle name="Migliaia 8 2 4 2" xfId="14062" xr:uid="{85017906-7861-491D-B9D6-334D309A4C01}"/>
    <cellStyle name="Migliaia 8 2 4 2 2" xfId="34964" xr:uid="{8DE16B60-B52F-4578-96AA-4B95EC6EADDE}"/>
    <cellStyle name="Migliaia 8 2 4 3" xfId="18029" xr:uid="{8A828822-E85C-459A-9C63-BDAFC85567CA}"/>
    <cellStyle name="Migliaia 8 2 4 4" xfId="21196" xr:uid="{A6B6B66E-EAA4-456C-B336-DCC7D8E4B952}"/>
    <cellStyle name="Migliaia 8 2 4 5" xfId="25763" xr:uid="{B170C743-1362-445D-8A35-82A54DEBE15B}"/>
    <cellStyle name="Migliaia 8 2 4 6" xfId="16941" xr:uid="{9590949A-A1F9-42C6-A6EC-2F31E552C71E}"/>
    <cellStyle name="Migliaia 8 2 4 7" xfId="8059" xr:uid="{559063F2-C089-4B0C-8666-3BC1F6A49341}"/>
    <cellStyle name="Migliaia 8 2 5" xfId="6940" xr:uid="{3CB1A946-BB27-429D-8F93-4F0C709B34FE}"/>
    <cellStyle name="Migliaia 8 2 5 2" xfId="34965" xr:uid="{F6EBFDA8-D477-4A06-BD73-BECFD2110F49}"/>
    <cellStyle name="Migliaia 8 2 5 3" xfId="25764" xr:uid="{7FF3C799-B044-4124-BDF8-C4C8BBEE99A5}"/>
    <cellStyle name="Migliaia 8 2 5 4" xfId="13162" xr:uid="{74BEBB57-1656-4A27-B31C-4611A9108068}"/>
    <cellStyle name="Migliaia 8 2 6" xfId="4049" xr:uid="{2412CB90-CD2D-470C-B126-6D85C0B70FA8}"/>
    <cellStyle name="Migliaia 8 2 6 2" xfId="34966" xr:uid="{D26DBAB2-6094-4E76-911D-620F1CB913BD}"/>
    <cellStyle name="Migliaia 8 2 6 3" xfId="25765" xr:uid="{C4F29345-5659-4862-A1B9-B1CF9E2C5F20}"/>
    <cellStyle name="Migliaia 8 2 6 4" xfId="21192" xr:uid="{4047F0C5-5D77-48D0-85A9-757F55FA5914}"/>
    <cellStyle name="Migliaia 8 2 7" xfId="34960" xr:uid="{9CB62C5F-F38E-4BE5-BA3E-2F2367F7AC36}"/>
    <cellStyle name="Migliaia 8 2 8" xfId="25759" xr:uid="{78F643CA-8339-41F3-A8D6-D2060F0213B8}"/>
    <cellStyle name="Migliaia 8 2 9" xfId="7220" xr:uid="{2FFC127C-AA39-4ECF-9D88-4E116260E83D}"/>
    <cellStyle name="Migliaia 8 3" xfId="539" xr:uid="{00000000-0005-0000-0000-0000D5040000}"/>
    <cellStyle name="Migliaia 8 3 10" xfId="25766" xr:uid="{2EF97081-129A-415A-928D-987CD9E85904}"/>
    <cellStyle name="Migliaia 8 3 11" xfId="16942" xr:uid="{BE2ED227-A80D-49F5-A246-8D285FB63088}"/>
    <cellStyle name="Migliaia 8 3 12" xfId="7221" xr:uid="{9A7D0293-8212-40DF-B3EC-30CC41466FE8}"/>
    <cellStyle name="Migliaia 8 3 2" xfId="540" xr:uid="{00000000-0005-0000-0000-0000D6040000}"/>
    <cellStyle name="Migliaia 8 3 2 2" xfId="1952" xr:uid="{00000000-0005-0000-0000-0000D7040000}"/>
    <cellStyle name="Migliaia 8 3 2 2 2" xfId="5780" xr:uid="{55476D72-608F-4B23-A911-953C4EE76FA3}"/>
    <cellStyle name="Migliaia 8 3 2 2 2 2" xfId="18540" xr:uid="{EC502423-BE99-4EB2-81A7-45D12B118235}"/>
    <cellStyle name="Migliaia 8 3 2 2 2 2 2" xfId="21900" xr:uid="{A9419A82-E706-4CD9-99DC-3DD10CB0A08E}"/>
    <cellStyle name="Migliaia 8 3 2 2 2 2 3" xfId="34970" xr:uid="{114C4623-C07E-47C4-ABBF-B31D7EC9AD30}"/>
    <cellStyle name="Migliaia 8 3 2 2 2 3" xfId="25769" xr:uid="{BF716321-83EF-469A-8112-BD849E73B193}"/>
    <cellStyle name="Migliaia 8 3 2 2 2 4" xfId="46754" xr:uid="{B918F143-9605-42E1-8FBF-CA1A95512203}"/>
    <cellStyle name="Migliaia 8 3 2 2 2 5" xfId="50928" xr:uid="{DE1A4E04-AE1B-4B9F-9E11-11B217C933F3}"/>
    <cellStyle name="Migliaia 8 3 2 2 2 6" xfId="53944" xr:uid="{722778E7-6EB5-4069-9FD4-A0BB69E940AF}"/>
    <cellStyle name="Migliaia 8 3 2 2 2 7" xfId="17699" xr:uid="{74EDFE5F-E900-48F9-98BE-2A56E9CC9AF2}"/>
    <cellStyle name="Migliaia 8 3 2 2 2 8" xfId="12123" xr:uid="{EF79F590-9474-40B4-8365-3B8711BC8CEF}"/>
    <cellStyle name="Migliaia 8 3 2 2 3" xfId="6945" xr:uid="{5BF4C390-7D92-48D5-AC2B-D0AF5D51F4DC}"/>
    <cellStyle name="Migliaia 8 3 2 2 3 2" xfId="34969" xr:uid="{2E7692BE-EE3E-4BE5-A952-1E382153A5D5}"/>
    <cellStyle name="Migliaia 8 3 2 2 3 3" xfId="11121" xr:uid="{ED5BBA2F-0FAA-4F64-AD3B-A54F65E185F3}"/>
    <cellStyle name="Migliaia 8 3 2 2 4" xfId="4054" xr:uid="{CC33838A-0484-4FD2-B4CB-4A04BC99661E}"/>
    <cellStyle name="Migliaia 8 3 2 2 4 2" xfId="21664" xr:uid="{FA907329-8A2D-44B6-A364-A9C7CCCCBE19}"/>
    <cellStyle name="Migliaia 8 3 2 2 4 3" xfId="48387" xr:uid="{C2F6CD7E-5341-4F59-9A62-D6CEE6B7BFCD}"/>
    <cellStyle name="Migliaia 8 3 2 2 4 4" xfId="50679" xr:uid="{28FD5CBB-E81B-46FA-A6AF-2F271BE0441B}"/>
    <cellStyle name="Migliaia 8 3 2 2 4 5" xfId="53695" xr:uid="{45B60E8C-6397-48CF-A6A0-8B9E7D2A9C0A}"/>
    <cellStyle name="Migliaia 8 3 2 2 4 6" xfId="11029" xr:uid="{BA78FF93-E190-41BA-A21E-0B6107B1F0C8}"/>
    <cellStyle name="Migliaia 8 3 2 2 5" xfId="21199" xr:uid="{13DFBE96-B202-4899-833A-F7666073DD14}"/>
    <cellStyle name="Migliaia 8 3 2 2 6" xfId="25768" xr:uid="{0A9E11F9-E0AB-48FB-BE46-9EC0370C15FA}"/>
    <cellStyle name="Migliaia 8 3 2 2 7" xfId="8837" xr:uid="{CE4167BD-C60A-4C17-961C-E85C9FEC7798}"/>
    <cellStyle name="Migliaia 8 3 2 3" xfId="5779" xr:uid="{240C5528-6D90-41D5-9DAB-AD2EC0A5B3A6}"/>
    <cellStyle name="Migliaia 8 3 2 3 2" xfId="12393" xr:uid="{EE39173D-793C-4AA0-9CF4-52456E917F6E}"/>
    <cellStyle name="Migliaia 8 3 2 3 2 2" xfId="34971" xr:uid="{5649EFCD-CFD0-4FDE-9A7F-EECC392EB63D}"/>
    <cellStyle name="Migliaia 8 3 2 3 3" xfId="12124" xr:uid="{AE7B153A-C1B4-4252-B501-41CD5B054726}"/>
    <cellStyle name="Migliaia 8 3 2 3 4" xfId="21200" xr:uid="{18746D50-84BA-4919-A3E8-0979C8C086CB}"/>
    <cellStyle name="Migliaia 8 3 2 3 5" xfId="25770" xr:uid="{73A37B0D-96E9-4E26-A2D7-29BBAABC0D6A}"/>
    <cellStyle name="Migliaia 8 3 2 3 6" xfId="16943" xr:uid="{5764B5F7-4A6D-4955-9EE9-16A0BA6629A9}"/>
    <cellStyle name="Migliaia 8 3 2 3 7" xfId="8061" xr:uid="{ADD52887-1EB0-4403-9DB0-E47D8E1DAEAD}"/>
    <cellStyle name="Migliaia 8 3 2 4" xfId="6944" xr:uid="{FE8F7CF1-3510-44EC-94E4-6A6F3D91E842}"/>
    <cellStyle name="Migliaia 8 3 2 4 2" xfId="18116" xr:uid="{1B466C25-86AE-47B1-80C8-412FD81D22C9}"/>
    <cellStyle name="Migliaia 8 3 2 4 2 2" xfId="34972" xr:uid="{CA218FD1-C8A8-423F-ADFE-23EE41B6276E}"/>
    <cellStyle name="Migliaia 8 3 2 4 3" xfId="25771" xr:uid="{35DD6FFA-6EF2-4358-BE40-2CA6FBF5C7ED}"/>
    <cellStyle name="Migliaia 8 3 2 4 4" xfId="17254" xr:uid="{2BC06D13-2117-4672-82EB-450B819974DD}"/>
    <cellStyle name="Migliaia 8 3 2 4 5" xfId="11476" xr:uid="{932DBEC3-EB41-4C04-86E5-4C760E3270DD}"/>
    <cellStyle name="Migliaia 8 3 2 5" xfId="4053" xr:uid="{63748CD9-23B2-458A-9389-288A13E7C255}"/>
    <cellStyle name="Migliaia 8 3 2 5 2" xfId="34973" xr:uid="{188A2232-FD0F-406C-A3C8-E98D9B72B3FE}"/>
    <cellStyle name="Migliaia 8 3 2 5 3" xfId="25772" xr:uid="{807E4555-652E-43E9-9F15-CF9AFDFE9B38}"/>
    <cellStyle name="Migliaia 8 3 2 5 4" xfId="17071" xr:uid="{6F646775-557C-4C21-9E12-D6EF412A7082}"/>
    <cellStyle name="Migliaia 8 3 2 6" xfId="21198" xr:uid="{CDD6C387-04ED-42BD-9A21-B29CEEA1A531}"/>
    <cellStyle name="Migliaia 8 3 2 6 2" xfId="34974" xr:uid="{786BC00E-DFE2-435F-AA46-ED5E30D1000F}"/>
    <cellStyle name="Migliaia 8 3 2 6 3" xfId="25773" xr:uid="{D41AD211-A96A-472C-87F2-1635C2C323E9}"/>
    <cellStyle name="Migliaia 8 3 2 7" xfId="34968" xr:uid="{2105843C-1F7C-464E-9A52-D32AABC3BEB2}"/>
    <cellStyle name="Migliaia 8 3 2 8" xfId="25767" xr:uid="{78B4A58E-C1DA-490D-815D-26FB5BB13F97}"/>
    <cellStyle name="Migliaia 8 3 2 9" xfId="7647" xr:uid="{BF4BF363-2575-42FF-9D8C-B4907C0AFC51}"/>
    <cellStyle name="Migliaia 8 3 3" xfId="4055" xr:uid="{4A2B5E83-2908-449A-86C4-CBCE3F3E554F}"/>
    <cellStyle name="Migliaia 8 3 3 2" xfId="5781" xr:uid="{5D9E08E2-8696-4AC9-B8A2-6311B65A2238}"/>
    <cellStyle name="Migliaia 8 3 3 2 2" xfId="10000" xr:uid="{EED4E24B-B97E-4F4F-A923-4E536E304070}"/>
    <cellStyle name="Migliaia 8 3 3 2 2 2" xfId="34976" xr:uid="{AD10F3A9-4B62-419D-88DA-5A28FC08DAD7}"/>
    <cellStyle name="Migliaia 8 3 3 2 3" xfId="18280" xr:uid="{0CC75BCE-9ABB-48EC-85F7-0D5EDB58993E}"/>
    <cellStyle name="Migliaia 8 3 3 2 4" xfId="21202" xr:uid="{A47960AB-1799-4E8F-A523-0E451FD67DD9}"/>
    <cellStyle name="Migliaia 8 3 3 2 5" xfId="25775" xr:uid="{6DAADA17-E34D-4B20-98D2-15AAA0DCD9AA}"/>
    <cellStyle name="Migliaia 8 3 3 2 6" xfId="16945" xr:uid="{9D62A238-74CA-400B-8305-2029C13E37DD}"/>
    <cellStyle name="Migliaia 8 3 3 2 7" xfId="8836" xr:uid="{75D64D0A-8009-4992-8DE1-605EECAD77E2}"/>
    <cellStyle name="Migliaia 8 3 3 3" xfId="6946" xr:uid="{9AC01286-4764-4805-B81A-9AB1788CD0CE}"/>
    <cellStyle name="Migliaia 8 3 3 3 2" xfId="34977" xr:uid="{999B3522-CDBA-494B-9EBB-E2C1654146B3}"/>
    <cellStyle name="Migliaia 8 3 3 3 3" xfId="25776" xr:uid="{9FA9A2EC-FA7E-4F09-BBCA-94765E29B235}"/>
    <cellStyle name="Migliaia 8 3 3 3 4" xfId="9763" xr:uid="{A3E33163-E962-4004-988B-3B51EC3ADC4F}"/>
    <cellStyle name="Migliaia 8 3 3 4" xfId="21201" xr:uid="{425D97D5-9FB9-4265-8C69-D278C3E5E394}"/>
    <cellStyle name="Migliaia 8 3 3 4 2" xfId="34978" xr:uid="{6066AC38-072C-4B2F-8327-5BD3C60F1C75}"/>
    <cellStyle name="Migliaia 8 3 3 4 3" xfId="25777" xr:uid="{4A258D42-19B1-48A2-869F-4C45686BE2AE}"/>
    <cellStyle name="Migliaia 8 3 3 4 4" xfId="48921" xr:uid="{2C271326-02BF-4379-8827-10431400FC28}"/>
    <cellStyle name="Migliaia 8 3 3 5" xfId="25778" xr:uid="{7927EA8C-67EB-4619-9709-905C969A748E}"/>
    <cellStyle name="Migliaia 8 3 3 5 2" xfId="34979" xr:uid="{21498A75-9D3A-449C-9FED-A7B2CD42A74E}"/>
    <cellStyle name="Migliaia 8 3 3 5 3" xfId="48922" xr:uid="{DDAE9DDC-25D4-4E8A-96EF-CF76A1DAC777}"/>
    <cellStyle name="Migliaia 8 3 3 6" xfId="34975" xr:uid="{F3F2B406-7344-451F-A377-2D3838D7F088}"/>
    <cellStyle name="Migliaia 8 3 3 7" xfId="25774" xr:uid="{110774A3-64B0-41CE-8AD8-AF3124BB69E1}"/>
    <cellStyle name="Migliaia 8 3 3 8" xfId="16944" xr:uid="{A5911C09-4D57-455C-BA7C-5BFD20FC20BB}"/>
    <cellStyle name="Migliaia 8 3 3 9" xfId="7646" xr:uid="{376E067D-68C9-4BAB-BA67-E80328FE7311}"/>
    <cellStyle name="Migliaia 8 3 4" xfId="4056" xr:uid="{D43ED737-AD63-48C3-9372-CD9B2B78B19D}"/>
    <cellStyle name="Migliaia 8 3 4 2" xfId="5782" xr:uid="{1F4BE67C-E4D0-4909-8759-788E90A4323F}"/>
    <cellStyle name="Migliaia 8 3 4 2 2" xfId="14482" xr:uid="{3083664A-CD49-4262-A481-50BAA1EA5227}"/>
    <cellStyle name="Migliaia 8 3 4 2 3" xfId="18138" xr:uid="{F0D15D7C-5706-410E-8F61-667EB57C0E13}"/>
    <cellStyle name="Migliaia 8 3 4 2 4" xfId="21204" xr:uid="{5147103E-A1A1-43F9-BEAE-DC5CC833082B}"/>
    <cellStyle name="Migliaia 8 3 4 2 5" xfId="32493" xr:uid="{CA1AD4E3-2E6A-4D93-980C-97EE590CB6FF}"/>
    <cellStyle name="Migliaia 8 3 4 2 6" xfId="16947" xr:uid="{57D07224-0F97-4B15-81BC-12ADDF15A87D}"/>
    <cellStyle name="Migliaia 8 3 4 2 7" xfId="8905" xr:uid="{FCC984D9-CA77-4B96-B8C5-62CBA26BAC68}"/>
    <cellStyle name="Migliaia 8 3 4 3" xfId="6947" xr:uid="{251EA692-6DCD-4682-8AD1-2D2D91A53C08}"/>
    <cellStyle name="Migliaia 8 3 4 3 2" xfId="35538" xr:uid="{B0417D94-77C6-466F-A8EB-FD14F40D129D}"/>
    <cellStyle name="Migliaia 8 3 4 3 2 2" xfId="40698" xr:uid="{AC504118-18B2-4658-AC53-58334D661708}"/>
    <cellStyle name="Migliaia 8 3 4 3 2 3" xfId="46000" xr:uid="{4DA24A22-25C5-4E74-89A8-9A9AD681CF39}"/>
    <cellStyle name="Migliaia 8 3 4 3 3" xfId="38047" xr:uid="{73F1FDBF-0E65-46B1-B7C0-7A259B93E6AB}"/>
    <cellStyle name="Migliaia 8 3 4 3 4" xfId="43349" xr:uid="{EC182E30-DC0A-4FC9-8D6C-80570F3FCDD4}"/>
    <cellStyle name="Migliaia 8 3 4 3 5" xfId="13730" xr:uid="{83FCEB35-8453-4428-84C2-FF9BDF3DD8D2}"/>
    <cellStyle name="Migliaia 8 3 4 4" xfId="21203" xr:uid="{61922515-71C3-497F-A915-B01744E58525}"/>
    <cellStyle name="Migliaia 8 3 4 4 2" xfId="34980" xr:uid="{A6144BB0-42B4-4468-8973-7AFC224CBFC2}"/>
    <cellStyle name="Migliaia 8 3 4 5" xfId="25779" xr:uid="{8021B574-64AC-49F8-9F60-E40FAFB7327E}"/>
    <cellStyle name="Migliaia 8 3 4 6" xfId="16946" xr:uid="{A64D83DB-B6F9-4FC6-82CD-E5D24789C574}"/>
    <cellStyle name="Migliaia 8 3 4 7" xfId="7715" xr:uid="{91E37383-FADE-4284-BC98-13F3BA1CD9B5}"/>
    <cellStyle name="Migliaia 8 3 5" xfId="4057" xr:uid="{3A2541F0-E259-4353-8C0F-7EC23A1265E5}"/>
    <cellStyle name="Migliaia 8 3 5 2" xfId="5783" xr:uid="{6F6E0E86-BA57-492E-8F0E-54BB2C166D42}"/>
    <cellStyle name="Migliaia 8 3 5 2 2" xfId="35539" xr:uid="{491863A6-C623-4FEA-B6C6-6A97193B71D9}"/>
    <cellStyle name="Migliaia 8 3 5 2 2 2" xfId="40699" xr:uid="{F3CD34B0-27FB-4EBA-A249-2C86EF3F969F}"/>
    <cellStyle name="Migliaia 8 3 5 2 2 3" xfId="46001" xr:uid="{3DA69BCA-F6EC-4EDD-91CA-B4593DB3C703}"/>
    <cellStyle name="Migliaia 8 3 5 2 3" xfId="38048" xr:uid="{FB8D2539-52F8-4982-BF16-3A5BC05E7A8F}"/>
    <cellStyle name="Migliaia 8 3 5 2 4" xfId="43350" xr:uid="{43F2DE22-A4CF-4C13-AA2E-0D4CF3B22A7C}"/>
    <cellStyle name="Migliaia 8 3 5 2 5" xfId="14358" xr:uid="{8AA36850-FADA-4F8B-A508-EBBA8EC74B72}"/>
    <cellStyle name="Migliaia 8 3 5 3" xfId="6948" xr:uid="{8B71E9BF-52E2-435E-8602-C73DF0DE60FD}"/>
    <cellStyle name="Migliaia 8 3 5 3 2" xfId="34981" xr:uid="{3894AFE9-8D09-4624-AEDC-C520828C1814}"/>
    <cellStyle name="Migliaia 8 3 5 3 3" xfId="21205" xr:uid="{FAFE60AD-DD84-44EA-B0A5-598EF01CC4CD}"/>
    <cellStyle name="Migliaia 8 3 5 4" xfId="25780" xr:uid="{DCB7DC6A-3EA7-4D7B-B1E5-01BA2467C34B}"/>
    <cellStyle name="Migliaia 8 3 5 5" xfId="16948" xr:uid="{B0321ED4-BEC5-462E-B3EC-05F24D8D798A}"/>
    <cellStyle name="Migliaia 8 3 5 6" xfId="8420" xr:uid="{BFCFA197-2ACD-4636-8D84-4DB42A653AC7}"/>
    <cellStyle name="Migliaia 8 3 6" xfId="5778" xr:uid="{638CC610-A0CF-423C-BC53-4E019F5F7ADD}"/>
    <cellStyle name="Migliaia 8 3 6 2" xfId="14063" xr:uid="{CD91F5AB-6D4D-45A7-BC36-5948BF5475E1}"/>
    <cellStyle name="Migliaia 8 3 6 2 2" xfId="34982" xr:uid="{34472D3B-0164-442F-B218-925299D94A5F}"/>
    <cellStyle name="Migliaia 8 3 6 3" xfId="18295" xr:uid="{CE3C8FBA-D8E0-4BFC-9CE1-B9D0DBE4B65E}"/>
    <cellStyle name="Migliaia 8 3 6 4" xfId="21206" xr:uid="{28A23009-CAEC-4FD3-81FA-C90D8E3AC05E}"/>
    <cellStyle name="Migliaia 8 3 6 5" xfId="25781" xr:uid="{87757FD7-2DA6-4190-B7C4-AF8EE227F8AF}"/>
    <cellStyle name="Migliaia 8 3 6 6" xfId="16949" xr:uid="{4DB432C5-57FE-4F73-86E8-92BFCAFC8335}"/>
    <cellStyle name="Migliaia 8 3 6 7" xfId="8060" xr:uid="{ECA13006-1D3B-4010-9B9A-FA2DD66F3508}"/>
    <cellStyle name="Migliaia 8 3 7" xfId="6943" xr:uid="{7C753410-109D-4320-A6D1-F7F5A111A278}"/>
    <cellStyle name="Migliaia 8 3 7 2" xfId="34983" xr:uid="{FE2ADB63-C011-4BAB-B46F-8D8131C28534}"/>
    <cellStyle name="Migliaia 8 3 7 3" xfId="25782" xr:uid="{45708F92-ECA1-4212-A6DE-3DC94EFE164A}"/>
    <cellStyle name="Migliaia 8 3 7 4" xfId="11528" xr:uid="{FF947D9A-04FB-41B2-9D53-5CBFE1280BB4}"/>
    <cellStyle name="Migliaia 8 3 8" xfId="4052" xr:uid="{625D4832-045F-4D5B-81E6-D0F7D30F88B0}"/>
    <cellStyle name="Migliaia 8 3 8 2" xfId="34984" xr:uid="{AC8A2C25-2908-470F-B75C-4E88BA266483}"/>
    <cellStyle name="Migliaia 8 3 8 3" xfId="25783" xr:uid="{D2C88710-5B06-4033-9108-4A0133DDEEDE}"/>
    <cellStyle name="Migliaia 8 3 8 4" xfId="17072" xr:uid="{2CAA3F20-2491-4864-B3B8-01E97A7EF1B4}"/>
    <cellStyle name="Migliaia 8 3 9" xfId="21197" xr:uid="{5AE3AF0A-F306-451F-8C26-096C85E5B1F4}"/>
    <cellStyle name="Migliaia 8 3 9 2" xfId="34967" xr:uid="{31F0CCB1-2117-47FE-9120-E544A224CAC9}"/>
    <cellStyle name="Migliaia 8 4" xfId="1953" xr:uid="{00000000-0005-0000-0000-0000D8040000}"/>
    <cellStyle name="Migliaia 8 4 10" xfId="7648" xr:uid="{ABB272F9-F28A-40D1-8D51-CA198B2570F9}"/>
    <cellStyle name="Migliaia 8 4 2" xfId="1954" xr:uid="{00000000-0005-0000-0000-0000D9040000}"/>
    <cellStyle name="Migliaia 8 4 2 2" xfId="5785" xr:uid="{28D47832-F7D1-4D5E-939F-7A316EDDD151}"/>
    <cellStyle name="Migliaia 8 4 2 2 2" xfId="34987" xr:uid="{10D71D22-D281-4C5F-A68F-8B08D2C5B0B7}"/>
    <cellStyle name="Migliaia 8 4 2 2 3" xfId="25786" xr:uid="{5097F723-5F07-42C7-A4BA-535B2FEC5144}"/>
    <cellStyle name="Migliaia 8 4 2 2 4" xfId="9226" xr:uid="{9E0FCA8D-FBD0-4B92-B694-4AFBE893FD50}"/>
    <cellStyle name="Migliaia 8 4 2 3" xfId="4059" xr:uid="{65C915E7-A5E6-4EBF-B3EE-CA36378182FE}"/>
    <cellStyle name="Migliaia 8 4 2 3 2" xfId="34988" xr:uid="{3F13A995-FDD5-415A-91B6-B0AB317068A8}"/>
    <cellStyle name="Migliaia 8 4 2 3 3" xfId="25787" xr:uid="{9FF7D592-D27A-4258-A0C4-7FD246C72BD4}"/>
    <cellStyle name="Migliaia 8 4 2 3 4" xfId="12125" xr:uid="{D543CB77-E8EC-4878-AFF3-93AF71187FD8}"/>
    <cellStyle name="Migliaia 8 4 2 4" xfId="11478" xr:uid="{D5C60B8F-EDF0-4B73-8101-2A81F0A9B45D}"/>
    <cellStyle name="Migliaia 8 4 2 4 2" xfId="34986" xr:uid="{15E4B1BB-9F59-4F3E-B9B8-E9EF7746D30E}"/>
    <cellStyle name="Migliaia 8 4 2 5" xfId="11031" xr:uid="{7F3AD5DF-D2BC-4341-ADFF-3C027709BB39}"/>
    <cellStyle name="Migliaia 8 4 2 5 2" xfId="21666" xr:uid="{19D92D1F-1C80-403A-9C27-52930119C96E}"/>
    <cellStyle name="Migliaia 8 4 2 5 3" xfId="47679" xr:uid="{6348B76F-129F-4AC2-8CBB-5D248BE7556F}"/>
    <cellStyle name="Migliaia 8 4 2 5 4" xfId="50681" xr:uid="{2A1BA575-E56B-489B-88C8-F546366C9C67}"/>
    <cellStyle name="Migliaia 8 4 2 5 5" xfId="53697" xr:uid="{F9B180E9-65BE-4645-BA1E-7BC7FC7900E6}"/>
    <cellStyle name="Migliaia 8 4 2 6" xfId="21208" xr:uid="{A1C96CC6-5F70-496F-8A5E-E515112CFE5A}"/>
    <cellStyle name="Migliaia 8 4 2 7" xfId="25785" xr:uid="{A0B522A5-2484-4F04-8035-8388A381844D}"/>
    <cellStyle name="Migliaia 8 4 2 8" xfId="8838" xr:uid="{BCA9FA97-DFDB-4AAC-BB4C-BBB7562B50A2}"/>
    <cellStyle name="Migliaia 8 4 3" xfId="5784" xr:uid="{70B376AC-BFF8-46B7-B59C-4D1BD74A381B}"/>
    <cellStyle name="Migliaia 8 4 3 2" xfId="18281" xr:uid="{F90D423A-E80D-4A38-9ECD-40D6F85F7312}"/>
    <cellStyle name="Migliaia 8 4 3 2 2" xfId="34989" xr:uid="{139623DB-7430-49FC-A5DB-500FB76693A4}"/>
    <cellStyle name="Migliaia 8 4 3 3" xfId="25788" xr:uid="{DD58A32D-B35D-4F8B-83EC-69EFABB95588}"/>
    <cellStyle name="Migliaia 8 4 3 4" xfId="17070" xr:uid="{0A11BB28-AADD-4773-9E1C-79B134AD62D3}"/>
    <cellStyle name="Migliaia 8 4 3 5" xfId="9227" xr:uid="{8E95F46E-BA01-4DA9-85A0-ADDAF6C96C78}"/>
    <cellStyle name="Migliaia 8 4 4" xfId="6949" xr:uid="{D16315A8-76E1-4735-A853-04F49591CE47}"/>
    <cellStyle name="Migliaia 8 4 4 2" xfId="34990" xr:uid="{BC1924EC-96DD-4133-9942-CD0A19570EBA}"/>
    <cellStyle name="Migliaia 8 4 4 3" xfId="25789" xr:uid="{91ECE1D7-0E03-4A2D-8D5B-31B790B226CD}"/>
    <cellStyle name="Migliaia 8 4 4 4" xfId="12126" xr:uid="{1D68E090-C3DE-4545-9A16-B5027557F5DE}"/>
    <cellStyle name="Migliaia 8 4 5" xfId="4058" xr:uid="{4730F66D-B654-44CF-B7BC-91EECFBF4C68}"/>
    <cellStyle name="Migliaia 8 4 5 2" xfId="34991" xr:uid="{2908A872-19D1-447D-9192-2E02A352145C}"/>
    <cellStyle name="Migliaia 8 4 5 3" xfId="25790" xr:uid="{C1666164-AA52-4EDE-9EA6-39480C29276D}"/>
    <cellStyle name="Migliaia 8 4 5 4" xfId="11477" xr:uid="{EA4DC004-C43D-4B90-AD7C-D9F115073703}"/>
    <cellStyle name="Migliaia 8 4 6" xfId="11030" xr:uid="{807D6B5B-2BC1-4775-AED7-DF5891AAF23E}"/>
    <cellStyle name="Migliaia 8 4 6 2" xfId="21665" xr:uid="{14FE3B6F-4CEF-4219-B478-7DF27C2FF882}"/>
    <cellStyle name="Migliaia 8 4 6 2 2" xfId="34992" xr:uid="{E17648DE-BB54-42BF-8A24-3D6A20D045C9}"/>
    <cellStyle name="Migliaia 8 4 6 3" xfId="25791" xr:uid="{C5AD1F45-86B9-4710-887E-EFB8AE953B95}"/>
    <cellStyle name="Migliaia 8 4 6 4" xfId="46714" xr:uid="{4BCFD92E-D1C0-46CF-A940-60A7B1FD22C4}"/>
    <cellStyle name="Migliaia 8 4 6 5" xfId="48923" xr:uid="{94AD1F9E-E83E-4593-AFB7-D04EE2B4DB70}"/>
    <cellStyle name="Migliaia 8 4 6 6" xfId="50680" xr:uid="{22090831-2DB2-4D9B-A568-2828F8A3D538}"/>
    <cellStyle name="Migliaia 8 4 6 7" xfId="53696" xr:uid="{A6C50489-F17D-416E-8252-EED98FA78BF1}"/>
    <cellStyle name="Migliaia 8 4 7" xfId="21207" xr:uid="{AC7B3EDB-145B-4673-BCD6-0571F9232F86}"/>
    <cellStyle name="Migliaia 8 4 7 2" xfId="34993" xr:uid="{C3D66CE0-CFFF-4B83-B17E-B8EC9A33D7F5}"/>
    <cellStyle name="Migliaia 8 4 7 3" xfId="25792" xr:uid="{8A07FC9C-77EF-4300-A8EA-9F95DB7D203D}"/>
    <cellStyle name="Migliaia 8 4 8" xfId="34985" xr:uid="{B339C7D7-102D-4DE8-8716-E6E549CD2A06}"/>
    <cellStyle name="Migliaia 8 4 9" xfId="25784" xr:uid="{8A9B3B72-BB59-4B10-AE7D-B2B91A7D67DA}"/>
    <cellStyle name="Migliaia 8 5" xfId="1955" xr:uid="{00000000-0005-0000-0000-0000DA040000}"/>
    <cellStyle name="Migliaia 8 5 2" xfId="5786" xr:uid="{3B4C5BEE-C3E6-4765-B446-ECC3C23FA290}"/>
    <cellStyle name="Migliaia 8 5 2 2" xfId="18541" xr:uid="{147D4634-C31A-4DC6-86DE-40CAC86251BB}"/>
    <cellStyle name="Migliaia 8 5 2 2 2" xfId="34995" xr:uid="{13EEE7CF-49A3-4B2F-9B62-5713CCC62375}"/>
    <cellStyle name="Migliaia 8 5 2 3" xfId="21210" xr:uid="{2CFE8F77-717A-4E7E-A2D6-CB8FB5C36326}"/>
    <cellStyle name="Migliaia 8 5 2 4" xfId="25794" xr:uid="{9F08236A-8148-4864-B6E4-34A404398F5C}"/>
    <cellStyle name="Migliaia 8 5 2 5" xfId="16950" xr:uid="{50E3FC8F-EB5D-42FF-BC33-AFFEA9AD1272}"/>
    <cellStyle name="Migliaia 8 5 2 6" xfId="8839" xr:uid="{D54E05FB-1816-41C1-8FBB-4F0DC867D971}"/>
    <cellStyle name="Migliaia 8 5 3" xfId="6950" xr:uid="{3B42F455-DB57-44A1-A34D-995449AC071B}"/>
    <cellStyle name="Migliaia 8 5 3 2" xfId="34996" xr:uid="{3B5BC207-4640-4FAC-886C-299DB4D2878D}"/>
    <cellStyle name="Migliaia 8 5 3 3" xfId="25795" xr:uid="{B3C23EA3-1531-4172-9705-AA2B24BB569C}"/>
    <cellStyle name="Migliaia 8 5 3 4" xfId="11479" xr:uid="{5C46E573-09F4-4DFF-AAF7-7CB81C532254}"/>
    <cellStyle name="Migliaia 8 5 4" xfId="4060" xr:uid="{C9B8C833-2DD0-43F3-B948-2D65B4D6F71D}"/>
    <cellStyle name="Migliaia 8 5 4 2" xfId="21667" xr:uid="{1F752105-E72A-4CEB-983C-B50F047C0822}"/>
    <cellStyle name="Migliaia 8 5 4 2 2" xfId="34997" xr:uid="{B3D09992-431B-4B40-9BE5-FBECB9D6CEB4}"/>
    <cellStyle name="Migliaia 8 5 4 3" xfId="25796" xr:uid="{CA9C1FAB-9BF1-4275-B6E5-8FF7FA7456E3}"/>
    <cellStyle name="Migliaia 8 5 4 4" xfId="48480" xr:uid="{28C86657-1C28-42BD-90EF-E8CADA5220E0}"/>
    <cellStyle name="Migliaia 8 5 4 5" xfId="48924" xr:uid="{B8CB55D6-CCEB-488B-BADA-72AE4F4E6450}"/>
    <cellStyle name="Migliaia 8 5 4 6" xfId="50682" xr:uid="{9C7F221E-9922-46D5-A5BD-00497931F9B2}"/>
    <cellStyle name="Migliaia 8 5 4 7" xfId="53698" xr:uid="{E86C177F-57E3-47CD-A0B9-AB6E66B527F0}"/>
    <cellStyle name="Migliaia 8 5 4 8" xfId="11032" xr:uid="{4195EE89-EDE9-44BC-A1EC-B3FFCBD5F85F}"/>
    <cellStyle name="Migliaia 8 5 5" xfId="21209" xr:uid="{F1E69CC8-48D0-4324-A6E4-4C79683FB9CB}"/>
    <cellStyle name="Migliaia 8 5 5 2" xfId="34998" xr:uid="{89D00C8D-E30A-4941-B797-B012CB104B17}"/>
    <cellStyle name="Migliaia 8 5 5 3" xfId="25797" xr:uid="{02BBD466-7D27-4B07-8ACF-F98E15F9B876}"/>
    <cellStyle name="Migliaia 8 5 5 4" xfId="48925" xr:uid="{C83737E0-A129-4F9B-ADB6-919F2B5EACA2}"/>
    <cellStyle name="Migliaia 8 5 6" xfId="25798" xr:uid="{4D6E1198-18F2-46F7-A6EA-D373EEB038E3}"/>
    <cellStyle name="Migliaia 8 5 6 2" xfId="34999" xr:uid="{7F88EE9C-DF22-4C1A-8D48-1CBEDC266D12}"/>
    <cellStyle name="Migliaia 8 5 7" xfId="34994" xr:uid="{0A1E8DC4-BAEA-4836-8476-3B1D47436067}"/>
    <cellStyle name="Migliaia 8 5 8" xfId="25793" xr:uid="{BB048E3E-0024-4CB0-9BA2-4F0E6F82FA9E}"/>
    <cellStyle name="Migliaia 8 5 9" xfId="7649" xr:uid="{607DC9C2-D629-4110-BE1A-660F6FA94335}"/>
    <cellStyle name="Migliaia 8 6" xfId="4061" xr:uid="{8A638CAF-47FB-4EFE-B908-A171043B8A32}"/>
    <cellStyle name="Migliaia 8 6 2" xfId="5787" xr:uid="{ABB338E6-8C8C-4772-9C6E-BE1099AAE38F}"/>
    <cellStyle name="Migliaia 8 6 2 2" xfId="9999" xr:uid="{3F87CB59-9E45-4AFF-8046-95C7364F5BC8}"/>
    <cellStyle name="Migliaia 8 6 2 3" xfId="18144" xr:uid="{CCC2BD5A-ADF6-4DBD-B9D5-F04DBC8A01F0}"/>
    <cellStyle name="Migliaia 8 6 2 4" xfId="21212" xr:uid="{4EAE7858-BC2D-4625-B82C-B9C68AE0E335}"/>
    <cellStyle name="Migliaia 8 6 2 5" xfId="32494" xr:uid="{72F46D16-A2A5-4084-B31F-91AF959C193E}"/>
    <cellStyle name="Migliaia 8 6 2 6" xfId="16952" xr:uid="{C2CAF8D0-F5FE-4F79-89B5-77D585C851E1}"/>
    <cellStyle name="Migliaia 8 6 2 7" xfId="8834" xr:uid="{FA3BE688-2923-42CD-9E44-E2DACB1D4A99}"/>
    <cellStyle name="Migliaia 8 6 3" xfId="6951" xr:uid="{86094E8F-8854-4E9F-95F5-5BF9F7A5201D}"/>
    <cellStyle name="Migliaia 8 6 3 2" xfId="35540" xr:uid="{1FD081A1-A8A3-4C7D-91DC-35B61D3798A1}"/>
    <cellStyle name="Migliaia 8 6 3 2 2" xfId="40700" xr:uid="{D3393BEC-24FF-4D4A-8AB0-297023B2E349}"/>
    <cellStyle name="Migliaia 8 6 3 2 3" xfId="46002" xr:uid="{730B2ECD-97E6-4B81-96AF-9ED87EADB3E3}"/>
    <cellStyle name="Migliaia 8 6 3 3" xfId="38049" xr:uid="{AD710B21-B9D0-4EE5-8C7A-3F05A2B359DD}"/>
    <cellStyle name="Migliaia 8 6 3 4" xfId="43351" xr:uid="{10F84E14-3837-434F-BBEC-FB1514016234}"/>
    <cellStyle name="Migliaia 8 6 3 5" xfId="9762" xr:uid="{A124A3A4-3828-4088-9CEC-DD5F2D016335}"/>
    <cellStyle name="Migliaia 8 6 4" xfId="21211" xr:uid="{DE3A05CA-23DF-4D0B-847F-4E98604072B7}"/>
    <cellStyle name="Migliaia 8 6 4 2" xfId="35000" xr:uid="{65652D2A-8E96-4589-B509-96333677545C}"/>
    <cellStyle name="Migliaia 8 6 5" xfId="25799" xr:uid="{9716E372-F2D8-40D5-B86B-7B6F58E59BF3}"/>
    <cellStyle name="Migliaia 8 6 6" xfId="16951" xr:uid="{0E831529-0CA7-42FC-87B9-3DC600E73D7E}"/>
    <cellStyle name="Migliaia 8 6 7" xfId="7644" xr:uid="{E0EC0EB2-55C1-4D45-A41C-8920F1B85B57}"/>
    <cellStyle name="Migliaia 8 7" xfId="4062" xr:uid="{600A349C-40BC-4971-A0D3-DC370A847046}"/>
    <cellStyle name="Migliaia 8 7 2" xfId="5788" xr:uid="{12577BCA-A006-4E2E-BE2E-AA46DADBBCB4}"/>
    <cellStyle name="Migliaia 8 7 2 2" xfId="35541" xr:uid="{41150B1A-EA80-42DA-B2EE-C4E942F05113}"/>
    <cellStyle name="Migliaia 8 7 2 2 2" xfId="40701" xr:uid="{ABC0AB2E-BA46-4DE6-9EE0-C19591D12BDE}"/>
    <cellStyle name="Migliaia 8 7 2 2 3" xfId="46003" xr:uid="{F76E6C21-8FDA-447C-AE7A-FED1753496CD}"/>
    <cellStyle name="Migliaia 8 7 2 3" xfId="38050" xr:uid="{40B248F1-4B1F-471E-BAA6-F691DC0FCC17}"/>
    <cellStyle name="Migliaia 8 7 2 4" xfId="43352" xr:uid="{4851BF2C-511A-42B5-8D43-112149FF8C0B}"/>
    <cellStyle name="Migliaia 8 7 2 5" xfId="14356" xr:uid="{C7C44FD9-F4C4-4451-8DF0-7F3A0752B537}"/>
    <cellStyle name="Migliaia 8 7 3" xfId="6952" xr:uid="{1BCEEC43-4416-4A33-8C78-E5A5EEA3BE56}"/>
    <cellStyle name="Migliaia 8 7 3 2" xfId="35001" xr:uid="{24C19B53-7B1F-4AAE-8245-C9493F965646}"/>
    <cellStyle name="Migliaia 8 7 3 3" xfId="21213" xr:uid="{60D82829-579A-4F27-9A35-4F5DC3DA8D44}"/>
    <cellStyle name="Migliaia 8 7 4" xfId="25800" xr:uid="{B8879FE7-8959-43AB-A1C9-7D1E15067E35}"/>
    <cellStyle name="Migliaia 8 7 5" xfId="16953" xr:uid="{C3B1383F-F395-45BA-AD8B-13A90961CE33}"/>
    <cellStyle name="Migliaia 8 7 6" xfId="8418" xr:uid="{0E1F9FFD-92B6-4133-84C1-914847E42C59}"/>
    <cellStyle name="Migliaia 8 8" xfId="4063" xr:uid="{A11AF05E-045B-4E5C-8375-FEA30196341A}"/>
    <cellStyle name="Migliaia 8 8 2" xfId="5789" xr:uid="{13CEB729-B818-4F86-A7EF-15FAAD3E43A2}"/>
    <cellStyle name="Migliaia 8 8 2 2" xfId="35542" xr:uid="{A99A463F-74B2-473B-9248-26CA16CD4A25}"/>
    <cellStyle name="Migliaia 8 8 2 2 2" xfId="40702" xr:uid="{DB1FBCB9-26FF-4DD2-B247-CC48AA0CC9E3}"/>
    <cellStyle name="Migliaia 8 8 2 2 3" xfId="46004" xr:uid="{89913422-3FFF-4D21-B748-DDDB3A69A727}"/>
    <cellStyle name="Migliaia 8 8 2 3" xfId="38051" xr:uid="{5E2C3E1B-8C02-4F1B-BEB5-1F363F692AA3}"/>
    <cellStyle name="Migliaia 8 8 2 4" xfId="43353" xr:uid="{8C9AA405-5393-465E-935A-DE252E6A27DC}"/>
    <cellStyle name="Migliaia 8 8 2 5" xfId="14061" xr:uid="{12ED683A-14B3-4371-A14C-ECBF76295D7B}"/>
    <cellStyle name="Migliaia 8 8 3" xfId="6953" xr:uid="{9D9FB119-9772-4BC0-A045-13AA2CDF0527}"/>
    <cellStyle name="Migliaia 8 8 3 2" xfId="35002" xr:uid="{342FDAE4-B1FE-459E-81FF-8D1D2AB34CDD}"/>
    <cellStyle name="Migliaia 8 8 3 3" xfId="21214" xr:uid="{4DA0D42A-E674-477E-8733-67EE273D908C}"/>
    <cellStyle name="Migliaia 8 8 4" xfId="25801" xr:uid="{9351ED71-CF51-4AC5-9D99-675608FAE76A}"/>
    <cellStyle name="Migliaia 8 8 5" xfId="16954" xr:uid="{624F8449-871F-4C5A-992B-3041F16E03BC}"/>
    <cellStyle name="Migliaia 8 8 6" xfId="8058" xr:uid="{37021BCD-010F-4697-AE66-2B569AB249C7}"/>
    <cellStyle name="Migliaia 8 9" xfId="5774" xr:uid="{3238EFD4-53D7-4188-823C-A2F7716EF350}"/>
    <cellStyle name="Migliaia 8 9 2" xfId="35003" xr:uid="{800FF788-91C4-47EE-8F52-21E8AE58C915}"/>
    <cellStyle name="Migliaia 8 9 3" xfId="25802" xr:uid="{CFFA3992-5B28-4DE3-AB5E-6B48AA3B5523}"/>
    <cellStyle name="Migliaia 8 9 4" xfId="17253" xr:uid="{E57B314C-0F44-4A5A-8CC5-18650B3D94DE}"/>
    <cellStyle name="Migliaia 9" xfId="541" xr:uid="{00000000-0005-0000-0000-0000DB040000}"/>
    <cellStyle name="Migliaia 9 10" xfId="6954" xr:uid="{9422089C-F3C7-4638-8D57-69992F6DA309}"/>
    <cellStyle name="Migliaia 9 10 2" xfId="35004" xr:uid="{FB7BBD44-E837-4E34-B311-2BD879879487}"/>
    <cellStyle name="Migliaia 9 10 3" xfId="21215" xr:uid="{42B815A0-7693-417A-B0B9-B7A7019DCA72}"/>
    <cellStyle name="Migliaia 9 11" xfId="4064" xr:uid="{5735C708-8682-4ABB-9B37-3CA1A8DAC16E}"/>
    <cellStyle name="Migliaia 9 11 2" xfId="25803" xr:uid="{25F172D0-A7A1-45A4-BCFB-B0C32406C38E}"/>
    <cellStyle name="Migliaia 9 12" xfId="7222" xr:uid="{BC7119AB-AFD6-4078-854E-EB12CA155F16}"/>
    <cellStyle name="Migliaia 9 2" xfId="542" xr:uid="{00000000-0005-0000-0000-0000DC040000}"/>
    <cellStyle name="Migliaia 9 2 2" xfId="1956" xr:uid="{00000000-0005-0000-0000-0000DD040000}"/>
    <cellStyle name="Migliaia 9 2 2 2" xfId="5792" xr:uid="{BFBFA100-FEB9-44C2-A459-B6BB61CB1B42}"/>
    <cellStyle name="Migliaia 9 2 2 2 2" xfId="14423" xr:uid="{B0BFA00D-C1FC-40A4-8244-A0424749F5FB}"/>
    <cellStyle name="Migliaia 9 2 2 2 2 2" xfId="35007" xr:uid="{AC3FE6A2-F222-43ED-BED0-6CBCB74FB50E}"/>
    <cellStyle name="Migliaia 9 2 2 2 3" xfId="18542" xr:uid="{88060C41-3F31-4DFD-BD45-7E22C772A760}"/>
    <cellStyle name="Migliaia 9 2 2 2 4" xfId="21218" xr:uid="{827A884F-2297-4927-AC98-1394BD57E0BA}"/>
    <cellStyle name="Migliaia 9 2 2 2 5" xfId="25806" xr:uid="{13C8F7EF-47CF-4AA4-B77B-0A3F3114722C}"/>
    <cellStyle name="Migliaia 9 2 2 2 6" xfId="16955" xr:uid="{3C52D432-37A0-40B9-A252-616280003333}"/>
    <cellStyle name="Migliaia 9 2 2 2 7" xfId="8841" xr:uid="{2BF70959-E540-4643-AEDA-4D8B69BDE9CA}"/>
    <cellStyle name="Migliaia 9 2 2 3" xfId="6956" xr:uid="{44D855AE-E350-4944-9A25-F268D33B01A0}"/>
    <cellStyle name="Migliaia 9 2 2 3 2" xfId="35543" xr:uid="{D58A5DFC-4847-4913-A39B-EB1580BF5B16}"/>
    <cellStyle name="Migliaia 9 2 2 3 2 2" xfId="40703" xr:uid="{F6797B22-9281-461B-8168-E9E3B87F37D6}"/>
    <cellStyle name="Migliaia 9 2 2 3 2 3" xfId="46005" xr:uid="{912214E5-A8CC-4DB6-BF7B-EA727514AE91}"/>
    <cellStyle name="Migliaia 9 2 2 3 3" xfId="38052" xr:uid="{7322B97F-31A9-4115-A3C0-64BF9600E8C8}"/>
    <cellStyle name="Migliaia 9 2 2 3 4" xfId="43354" xr:uid="{042AEE9C-7099-460F-83F7-9C0A2262130F}"/>
    <cellStyle name="Migliaia 9 2 2 3 5" xfId="11650" xr:uid="{5E7786CB-1BE5-4EE3-88E0-2BE010DCE88F}"/>
    <cellStyle name="Migliaia 9 2 2 4" xfId="4066" xr:uid="{EE74782A-71E4-437A-8373-E0D5CF5FF489}"/>
    <cellStyle name="Migliaia 9 2 2 4 2" xfId="21668" xr:uid="{489372CE-3DCA-4271-AA2B-B7DD10E29669}"/>
    <cellStyle name="Migliaia 9 2 2 4 3" xfId="35006" xr:uid="{1091D017-75F8-453E-B6F7-31467AEC38D9}"/>
    <cellStyle name="Migliaia 9 2 2 4 4" xfId="46265" xr:uid="{426D3242-2489-455E-AF44-8E5FE0510014}"/>
    <cellStyle name="Migliaia 9 2 2 4 5" xfId="50683" xr:uid="{5A3C253E-BBC5-4EB0-8D58-F5FE124CD56E}"/>
    <cellStyle name="Migliaia 9 2 2 4 6" xfId="53699" xr:uid="{779EBA15-D160-4626-A0C5-15B0150EB70D}"/>
    <cellStyle name="Migliaia 9 2 2 4 7" xfId="11033" xr:uid="{745BED47-C9A1-4AB7-812E-F46524A5525F}"/>
    <cellStyle name="Migliaia 9 2 2 5" xfId="21217" xr:uid="{A973D641-9C24-43E0-9B77-8E6DBA165D37}"/>
    <cellStyle name="Migliaia 9 2 2 6" xfId="25805" xr:uid="{5FA4BD26-484B-4E96-A5C4-3B092FC59014}"/>
    <cellStyle name="Migliaia 9 2 2 7" xfId="7651" xr:uid="{0A615E37-5462-4424-B951-38A1469AEA2C}"/>
    <cellStyle name="Migliaia 9 2 3" xfId="4067" xr:uid="{9E22674B-5FF0-441B-83AD-475A9E6778D4}"/>
    <cellStyle name="Migliaia 9 2 3 2" xfId="5793" xr:uid="{363E7D07-71C9-45DC-95CB-58BAE52DF23C}"/>
    <cellStyle name="Migliaia 9 2 3 2 2" xfId="35544" xr:uid="{9D8AEEF0-FA8B-45AE-B1A7-D50486DA4ADB}"/>
    <cellStyle name="Migliaia 9 2 3 2 2 2" xfId="40704" xr:uid="{C5DFF0E2-9D0E-4D5E-A210-6AE7FF1C0171}"/>
    <cellStyle name="Migliaia 9 2 3 2 2 3" xfId="46006" xr:uid="{7B9F585C-CE32-4E2D-B56D-8FA5C1448EEF}"/>
    <cellStyle name="Migliaia 9 2 3 2 3" xfId="38053" xr:uid="{4DB3D8F2-BDF9-4476-B9CE-92490160EFDE}"/>
    <cellStyle name="Migliaia 9 2 3 2 4" xfId="43355" xr:uid="{E6EE990B-FB8F-4CAE-82E9-9C6740947554}"/>
    <cellStyle name="Migliaia 9 2 3 2 5" xfId="14360" xr:uid="{3139646C-B71E-4962-91F7-41EF9F414FDE}"/>
    <cellStyle name="Migliaia 9 2 3 3" xfId="6957" xr:uid="{9B95BC2F-78B0-4070-A6C3-E57062AA2922}"/>
    <cellStyle name="Migliaia 9 2 3 3 2" xfId="35008" xr:uid="{F91BE782-0C85-47E1-A697-97F0C743BA3B}"/>
    <cellStyle name="Migliaia 9 2 3 3 3" xfId="21219" xr:uid="{D1D6EFF4-D32F-4314-ACF1-7302989C2CA7}"/>
    <cellStyle name="Migliaia 9 2 3 4" xfId="25807" xr:uid="{8AE75178-C814-4FAA-9144-C18AB37AA229}"/>
    <cellStyle name="Migliaia 9 2 3 5" xfId="16956" xr:uid="{01E7B165-386D-4C93-A219-BD62662E7AF4}"/>
    <cellStyle name="Migliaia 9 2 3 6" xfId="8422" xr:uid="{4194D04D-48CE-456A-8804-1B83897A8079}"/>
    <cellStyle name="Migliaia 9 2 4" xfId="5791" xr:uid="{A2FBE208-FC9C-4E2E-B897-66FEE0A66828}"/>
    <cellStyle name="Migliaia 9 2 4 2" xfId="14065" xr:uid="{133450F3-1E35-445F-B691-28ED4CF22AAF}"/>
    <cellStyle name="Migliaia 9 2 4 2 2" xfId="35009" xr:uid="{EFBBEE48-EF7E-4870-8480-5BC0D56F2680}"/>
    <cellStyle name="Migliaia 9 2 4 3" xfId="18598" xr:uid="{03D0C6D5-E80F-445F-95CF-8BCC7B640BB8}"/>
    <cellStyle name="Migliaia 9 2 4 4" xfId="21220" xr:uid="{D0F4CE51-21F4-4D3F-8E8B-9D8DBF13E4E2}"/>
    <cellStyle name="Migliaia 9 2 4 5" xfId="25808" xr:uid="{9C599DD5-70E0-462A-8165-3B1C2E4E48AF}"/>
    <cellStyle name="Migliaia 9 2 4 6" xfId="16957" xr:uid="{C303E8F6-F057-451B-9D4D-CA13AFFCAD84}"/>
    <cellStyle name="Migliaia 9 2 4 7" xfId="8063" xr:uid="{50EC7600-790B-4EDD-AE03-C0E247852BAA}"/>
    <cellStyle name="Migliaia 9 2 5" xfId="6955" xr:uid="{9DFCFE63-43AD-4B0B-9DF2-77553895702E}"/>
    <cellStyle name="Migliaia 9 2 5 2" xfId="35010" xr:uid="{323C26B2-8E18-43B9-B7EE-E624600F7C0D}"/>
    <cellStyle name="Migliaia 9 2 5 3" xfId="25809" xr:uid="{497484A1-8F29-4993-A26F-44DEBE046432}"/>
    <cellStyle name="Migliaia 9 2 5 4" xfId="13163" xr:uid="{61822D79-D1D9-40EC-BADF-B0C59D13FF3C}"/>
    <cellStyle name="Migliaia 9 2 6" xfId="4065" xr:uid="{9F46BD22-C030-415A-9919-4371D66019F8}"/>
    <cellStyle name="Migliaia 9 2 6 2" xfId="35011" xr:uid="{08405742-5BE4-4E6B-9485-739D146465D3}"/>
    <cellStyle name="Migliaia 9 2 6 3" xfId="25810" xr:uid="{501FFD06-E074-439C-A800-2428728A3874}"/>
    <cellStyle name="Migliaia 9 2 6 4" xfId="21216" xr:uid="{C042833D-07DC-4FF5-B5D9-9E0BF1F740B3}"/>
    <cellStyle name="Migliaia 9 2 7" xfId="35005" xr:uid="{D5A3AE35-E6A4-41C5-AAAA-B69FBCEB490E}"/>
    <cellStyle name="Migliaia 9 2 8" xfId="25804" xr:uid="{C310895E-96C6-4FAF-914C-AEFF5926A788}"/>
    <cellStyle name="Migliaia 9 2 9" xfId="7223" xr:uid="{B9888257-752F-42B5-8BEB-22652EB82BF4}"/>
    <cellStyle name="Migliaia 9 3" xfId="543" xr:uid="{00000000-0005-0000-0000-0000DE040000}"/>
    <cellStyle name="Migliaia 9 3 10" xfId="25811" xr:uid="{84B07822-CF42-4D46-9BE8-EFE065CF031C}"/>
    <cellStyle name="Migliaia 9 3 11" xfId="16958" xr:uid="{4817DEE2-38D2-4927-B822-4D72F4CE2225}"/>
    <cellStyle name="Migliaia 9 3 12" xfId="7224" xr:uid="{524E75A8-5333-4010-9601-48638774EF6D}"/>
    <cellStyle name="Migliaia 9 3 2" xfId="544" xr:uid="{00000000-0005-0000-0000-0000DF040000}"/>
    <cellStyle name="Migliaia 9 3 2 2" xfId="1957" xr:uid="{00000000-0005-0000-0000-0000E0040000}"/>
    <cellStyle name="Migliaia 9 3 2 2 2" xfId="5796" xr:uid="{CDDC0203-C21C-4A10-87F1-0F7AFE69FF84}"/>
    <cellStyle name="Migliaia 9 3 2 2 2 2" xfId="18543" xr:uid="{51EF434D-5979-46B4-86FA-E188850EEEBA}"/>
    <cellStyle name="Migliaia 9 3 2 2 2 2 2" xfId="21901" xr:uid="{BBECBCE8-9721-41ED-9CE9-E3E5148E5009}"/>
    <cellStyle name="Migliaia 9 3 2 2 2 2 3" xfId="35015" xr:uid="{77FE19C7-F144-4075-9C2A-D8C7F080C4C1}"/>
    <cellStyle name="Migliaia 9 3 2 2 2 3" xfId="25814" xr:uid="{84554CA1-42C2-47A6-8047-9C828F30999E}"/>
    <cellStyle name="Migliaia 9 3 2 2 2 4" xfId="25109" xr:uid="{426A5D12-126F-47FD-B8C5-0647E9C57BE9}"/>
    <cellStyle name="Migliaia 9 3 2 2 2 5" xfId="50929" xr:uid="{BC945CDD-3E6A-41EC-B1F3-6A9D65E258E7}"/>
    <cellStyle name="Migliaia 9 3 2 2 2 6" xfId="53945" xr:uid="{AEAE58E0-2ED5-42DF-B026-031EAC03A45B}"/>
    <cellStyle name="Migliaia 9 3 2 2 2 7" xfId="17700" xr:uid="{397391AB-CBE8-41F8-9C81-B2F6901FD152}"/>
    <cellStyle name="Migliaia 9 3 2 2 2 8" xfId="12127" xr:uid="{9830FBF7-8E85-434B-A5D8-F6DA775A6FAD}"/>
    <cellStyle name="Migliaia 9 3 2 2 3" xfId="6960" xr:uid="{321D3ECC-A31A-4337-85B1-97A8A40BE080}"/>
    <cellStyle name="Migliaia 9 3 2 2 3 2" xfId="35014" xr:uid="{1A29D507-E9AD-4862-A999-2F50052A6285}"/>
    <cellStyle name="Migliaia 9 3 2 2 3 3" xfId="12155" xr:uid="{64240603-F188-4651-9818-BC788C94A1CC}"/>
    <cellStyle name="Migliaia 9 3 2 2 4" xfId="4070" xr:uid="{F22EC6BA-7458-449F-80B0-06285C780B46}"/>
    <cellStyle name="Migliaia 9 3 2 2 4 2" xfId="21669" xr:uid="{10F74BB1-B9F0-44D1-AC4A-CAB8C547EB1A}"/>
    <cellStyle name="Migliaia 9 3 2 2 4 3" xfId="47006" xr:uid="{72574C5B-7C88-4285-876A-EEF81307C3F5}"/>
    <cellStyle name="Migliaia 9 3 2 2 4 4" xfId="50684" xr:uid="{076B6966-3EA0-4640-8BE1-3F57CEB354BD}"/>
    <cellStyle name="Migliaia 9 3 2 2 4 5" xfId="53700" xr:uid="{7F25C22D-DB00-4D09-90EA-D1E0A1C25451}"/>
    <cellStyle name="Migliaia 9 3 2 2 4 6" xfId="11034" xr:uid="{46D77535-3F8E-43FD-A388-77BB1CE786E6}"/>
    <cellStyle name="Migliaia 9 3 2 2 5" xfId="21223" xr:uid="{DFE29F63-C970-4CA7-BE2D-F23C18C7B736}"/>
    <cellStyle name="Migliaia 9 3 2 2 6" xfId="25813" xr:uid="{019C9F68-D5E2-4B2A-A909-2348ED4C5AC2}"/>
    <cellStyle name="Migliaia 9 3 2 2 7" xfId="8843" xr:uid="{BB507055-10A9-4793-8A3D-01830495F607}"/>
    <cellStyle name="Migliaia 9 3 2 3" xfId="5795" xr:uid="{6E8A4527-E654-499A-A49A-25D0CCB6B7C3}"/>
    <cellStyle name="Migliaia 9 3 2 3 2" xfId="12392" xr:uid="{D957121B-F2B6-4E03-B5BE-62C8D50E092B}"/>
    <cellStyle name="Migliaia 9 3 2 3 2 2" xfId="35016" xr:uid="{B0C87E26-0EE2-4FAF-B348-5704E7A680A6}"/>
    <cellStyle name="Migliaia 9 3 2 3 3" xfId="12128" xr:uid="{BAA94122-E8C7-4C80-A745-381D0461B546}"/>
    <cellStyle name="Migliaia 9 3 2 3 4" xfId="21224" xr:uid="{35226F61-C209-4632-AFC9-F713B0D69720}"/>
    <cellStyle name="Migliaia 9 3 2 3 5" xfId="25815" xr:uid="{85E9E823-388A-4B71-93C1-7A5AB415CDE0}"/>
    <cellStyle name="Migliaia 9 3 2 3 6" xfId="16959" xr:uid="{04464BE4-D2D2-49D5-924F-CFD89AA1C3D7}"/>
    <cellStyle name="Migliaia 9 3 2 3 7" xfId="8065" xr:uid="{ED40EE81-66F4-4DDC-84F4-F2481B3F6710}"/>
    <cellStyle name="Migliaia 9 3 2 4" xfId="6959" xr:uid="{52FD9F32-6FDE-4CC3-9498-4A84EDCE2A08}"/>
    <cellStyle name="Migliaia 9 3 2 4 2" xfId="18117" xr:uid="{DD07F4E7-8CAB-4692-B726-DDBB9D83A6EB}"/>
    <cellStyle name="Migliaia 9 3 2 4 2 2" xfId="35017" xr:uid="{187ED11E-2D68-45A1-BFCB-505B0228B8C1}"/>
    <cellStyle name="Migliaia 9 3 2 4 3" xfId="25816" xr:uid="{949C76A0-F05F-4200-8988-8CBF5B487B14}"/>
    <cellStyle name="Migliaia 9 3 2 4 4" xfId="17256" xr:uid="{83F7924C-51D0-47B8-8403-116E4BEB4FDB}"/>
    <cellStyle name="Migliaia 9 3 2 4 5" xfId="11480" xr:uid="{5BA2D00A-E0F5-4CE4-A481-9716CC750F43}"/>
    <cellStyle name="Migliaia 9 3 2 5" xfId="4069" xr:uid="{94EA7D00-2BD0-463C-B332-1F8FECCED5D0}"/>
    <cellStyle name="Migliaia 9 3 2 5 2" xfId="35018" xr:uid="{3C47FABB-3A38-48B8-AD90-B7BFFCCE67CF}"/>
    <cellStyle name="Migliaia 9 3 2 5 3" xfId="25817" xr:uid="{56D17547-0149-4D17-A1CF-E2C7FCB93280}"/>
    <cellStyle name="Migliaia 9 3 2 5 4" xfId="17068" xr:uid="{FBD1D2D5-E375-489A-B915-DAC93D605C79}"/>
    <cellStyle name="Migliaia 9 3 2 6" xfId="21222" xr:uid="{1D36E54B-7641-4A8C-9B2E-E5BE4BD2AFC1}"/>
    <cellStyle name="Migliaia 9 3 2 6 2" xfId="35019" xr:uid="{09FB56E1-BB63-48AD-9BAC-FA0139278360}"/>
    <cellStyle name="Migliaia 9 3 2 6 3" xfId="25818" xr:uid="{05A0C721-58A0-46BB-AA5D-B08792D50161}"/>
    <cellStyle name="Migliaia 9 3 2 7" xfId="35013" xr:uid="{6CF623DE-1FC1-4AB6-861F-7FF7DEFF6891}"/>
    <cellStyle name="Migliaia 9 3 2 8" xfId="25812" xr:uid="{3EBF86C8-4EE5-4F67-86CC-1E683193619D}"/>
    <cellStyle name="Migliaia 9 3 2 9" xfId="7653" xr:uid="{F32E78E6-2FAD-44B8-BD25-705187320D2D}"/>
    <cellStyle name="Migliaia 9 3 3" xfId="4071" xr:uid="{ACCBB988-B4CC-4E81-8161-8B8CC9D214CB}"/>
    <cellStyle name="Migliaia 9 3 3 2" xfId="5797" xr:uid="{5CC1DB42-7175-4C9A-BF4E-CE88C1FD1985}"/>
    <cellStyle name="Migliaia 9 3 3 2 2" xfId="10002" xr:uid="{E546449D-63E7-4A5B-A7E9-339A1B49C0E1}"/>
    <cellStyle name="Migliaia 9 3 3 2 2 2" xfId="35021" xr:uid="{626D95A4-8D79-4C61-8034-C909E415C944}"/>
    <cellStyle name="Migliaia 9 3 3 2 3" xfId="18282" xr:uid="{8905C512-4C70-4D01-A855-7A0CE70C6632}"/>
    <cellStyle name="Migliaia 9 3 3 2 4" xfId="21226" xr:uid="{2BD9055C-7BB5-49E9-898E-A3C1FD1BC9B9}"/>
    <cellStyle name="Migliaia 9 3 3 2 5" xfId="25820" xr:uid="{167F5678-2251-4271-80D1-2DCB9360DD91}"/>
    <cellStyle name="Migliaia 9 3 3 2 6" xfId="16961" xr:uid="{B1D6547E-791B-4C1F-9EFF-55C766EDE981}"/>
    <cellStyle name="Migliaia 9 3 3 2 7" xfId="8842" xr:uid="{D026CB18-7562-4771-8AF2-AE0566520233}"/>
    <cellStyle name="Migliaia 9 3 3 3" xfId="6961" xr:uid="{56A598A3-9B07-42EC-AA28-9AF25CBD90DE}"/>
    <cellStyle name="Migliaia 9 3 3 3 2" xfId="35022" xr:uid="{CD713A11-C175-48E7-8DF6-85F522F9BA60}"/>
    <cellStyle name="Migliaia 9 3 3 3 3" xfId="25821" xr:uid="{ECB85467-33C1-44CE-A165-56B0CDA1688D}"/>
    <cellStyle name="Migliaia 9 3 3 3 4" xfId="9765" xr:uid="{589573EA-9127-43C1-A1A4-DD54C8A65D0F}"/>
    <cellStyle name="Migliaia 9 3 3 4" xfId="21225" xr:uid="{89BC17DB-8A0C-489E-BCCA-1932767D3FFB}"/>
    <cellStyle name="Migliaia 9 3 3 4 2" xfId="35023" xr:uid="{A527CB08-7C9F-4F9E-B4FD-ED52507A431D}"/>
    <cellStyle name="Migliaia 9 3 3 4 3" xfId="25822" xr:uid="{7CDD60D7-AD26-40FF-9182-A40020CBE179}"/>
    <cellStyle name="Migliaia 9 3 3 4 4" xfId="48926" xr:uid="{6FAE8750-E170-45EB-821D-96AD40169D4A}"/>
    <cellStyle name="Migliaia 9 3 3 5" xfId="25823" xr:uid="{1621BB3E-8463-4BA9-82C8-F8D1363D92DB}"/>
    <cellStyle name="Migliaia 9 3 3 5 2" xfId="35024" xr:uid="{6BE8F888-735A-43BE-99AB-453218E87C58}"/>
    <cellStyle name="Migliaia 9 3 3 5 3" xfId="48927" xr:uid="{8A8C7BEA-954B-4D30-AB75-B13DE399F939}"/>
    <cellStyle name="Migliaia 9 3 3 6" xfId="35020" xr:uid="{2553E789-6FD0-4352-8A92-AAB986E64DA4}"/>
    <cellStyle name="Migliaia 9 3 3 7" xfId="25819" xr:uid="{155ECBD0-931F-4D60-81DE-CD0DDA2ED0F1}"/>
    <cellStyle name="Migliaia 9 3 3 8" xfId="16960" xr:uid="{1761E77F-4F05-4562-8D05-238E77C44AF7}"/>
    <cellStyle name="Migliaia 9 3 3 9" xfId="7652" xr:uid="{0A3B3DB9-8270-4987-A46C-3D29BF82A03D}"/>
    <cellStyle name="Migliaia 9 3 4" xfId="4072" xr:uid="{28EB31A9-0C2D-4A8A-8F64-C871DBEFFD12}"/>
    <cellStyle name="Migliaia 9 3 4 2" xfId="5798" xr:uid="{748AF8FE-108D-402E-BFF6-8EAC4EFFC186}"/>
    <cellStyle name="Migliaia 9 3 4 2 2" xfId="14483" xr:uid="{1CCDF4A9-74FA-4BC6-B96F-91715FE9A2CD}"/>
    <cellStyle name="Migliaia 9 3 4 2 3" xfId="18139" xr:uid="{6729FE85-F76D-425A-A56B-CADDDE510F69}"/>
    <cellStyle name="Migliaia 9 3 4 2 4" xfId="21228" xr:uid="{BCFB046D-EC41-4D68-939A-2511680F3C3A}"/>
    <cellStyle name="Migliaia 9 3 4 2 5" xfId="32495" xr:uid="{7AAC43D7-167A-44BB-A593-E98FE2BF31E7}"/>
    <cellStyle name="Migliaia 9 3 4 2 6" xfId="16963" xr:uid="{5A0FD6C4-EB28-43EC-BF2C-97733CD4C01A}"/>
    <cellStyle name="Migliaia 9 3 4 2 7" xfId="8906" xr:uid="{AA1F1B02-49F4-426E-944B-9A534B834FAB}"/>
    <cellStyle name="Migliaia 9 3 4 3" xfId="6962" xr:uid="{55D4BD7E-3B72-4671-B2A5-71BB2B8C1078}"/>
    <cellStyle name="Migliaia 9 3 4 3 2" xfId="35545" xr:uid="{B141E22B-4536-4689-AB85-43EE169E2A13}"/>
    <cellStyle name="Migliaia 9 3 4 3 2 2" xfId="40705" xr:uid="{515756AC-1409-4784-AA54-818BD013EA64}"/>
    <cellStyle name="Migliaia 9 3 4 3 2 3" xfId="46007" xr:uid="{89024393-EDFB-4696-A1F7-62D54493DF50}"/>
    <cellStyle name="Migliaia 9 3 4 3 3" xfId="38054" xr:uid="{29425DF4-7DD6-40F2-BD0E-8C36EC2560FC}"/>
    <cellStyle name="Migliaia 9 3 4 3 4" xfId="43356" xr:uid="{BD82AF49-D81C-4180-A647-715C52680A69}"/>
    <cellStyle name="Migliaia 9 3 4 3 5" xfId="13731" xr:uid="{CEBD1B28-3EEC-453E-B63E-07691DBC809C}"/>
    <cellStyle name="Migliaia 9 3 4 4" xfId="21227" xr:uid="{582EFDB7-6110-4FFF-9ED7-C1A229F183CE}"/>
    <cellStyle name="Migliaia 9 3 4 4 2" xfId="35025" xr:uid="{1E2613F1-D171-4894-A6C4-647C78155357}"/>
    <cellStyle name="Migliaia 9 3 4 5" xfId="25824" xr:uid="{B5AF64DD-67F8-4396-A9C4-D49D7B7B7929}"/>
    <cellStyle name="Migliaia 9 3 4 6" xfId="16962" xr:uid="{5B84465C-9CA7-4971-A8B2-6497B8474B93}"/>
    <cellStyle name="Migliaia 9 3 4 7" xfId="7716" xr:uid="{3816E0F3-06B8-4001-94F4-69D22D668A6B}"/>
    <cellStyle name="Migliaia 9 3 5" xfId="4073" xr:uid="{FE7CB2C8-0CE2-4DF1-BAD3-427B3D8C5331}"/>
    <cellStyle name="Migliaia 9 3 5 2" xfId="5799" xr:uid="{870833B1-1FE1-44F1-AD59-B76F4DCF9663}"/>
    <cellStyle name="Migliaia 9 3 5 2 2" xfId="35546" xr:uid="{E3F25165-05FF-45BF-9A43-1EE949FD8F67}"/>
    <cellStyle name="Migliaia 9 3 5 2 2 2" xfId="40706" xr:uid="{7378D3A8-597E-4C46-89BE-FDE29ACD06B8}"/>
    <cellStyle name="Migliaia 9 3 5 2 2 3" xfId="46008" xr:uid="{10F73268-0930-44A4-BF45-3B8326BAE18E}"/>
    <cellStyle name="Migliaia 9 3 5 2 3" xfId="38055" xr:uid="{C69EE27A-BFB4-4A68-84F7-ADF9EB93C7D6}"/>
    <cellStyle name="Migliaia 9 3 5 2 4" xfId="43357" xr:uid="{E690FB4D-B16D-4C24-9DAF-0990A8711B3C}"/>
    <cellStyle name="Migliaia 9 3 5 2 5" xfId="14361" xr:uid="{B2375B97-A58C-44C7-B274-6E970E248B31}"/>
    <cellStyle name="Migliaia 9 3 5 3" xfId="6963" xr:uid="{E6B56958-97E7-4BA1-8C07-B4634415B666}"/>
    <cellStyle name="Migliaia 9 3 5 3 2" xfId="35026" xr:uid="{88E5DD48-1837-4A08-AFEC-7F4C134D50CA}"/>
    <cellStyle name="Migliaia 9 3 5 3 3" xfId="21229" xr:uid="{6AB63477-581F-4580-BEB3-649273A4E382}"/>
    <cellStyle name="Migliaia 9 3 5 4" xfId="25825" xr:uid="{62947019-BFFB-4C39-9E0A-AE16BD854A50}"/>
    <cellStyle name="Migliaia 9 3 5 5" xfId="16964" xr:uid="{ED65BCF2-DD61-4054-B024-77BC770CBA95}"/>
    <cellStyle name="Migliaia 9 3 5 6" xfId="8423" xr:uid="{0A9D807C-1C14-4E13-9771-F3CB9F0906E7}"/>
    <cellStyle name="Migliaia 9 3 6" xfId="5794" xr:uid="{7A860B01-E80A-4046-89AE-ECBD52ACEE64}"/>
    <cellStyle name="Migliaia 9 3 6 2" xfId="14066" xr:uid="{ED9E5710-8C68-4B7E-A703-1A9C14E630BC}"/>
    <cellStyle name="Migliaia 9 3 6 2 2" xfId="35027" xr:uid="{FCCBA6D5-91DF-4B1B-9F22-31C5E8BDB9A5}"/>
    <cellStyle name="Migliaia 9 3 6 3" xfId="18030" xr:uid="{6EEEDB2A-EE48-4325-9CDB-C3BB5E5A78B8}"/>
    <cellStyle name="Migliaia 9 3 6 4" xfId="21230" xr:uid="{9DEA2B95-2DA2-4164-9BC1-FD952606BF10}"/>
    <cellStyle name="Migliaia 9 3 6 5" xfId="25826" xr:uid="{99B9F7CA-6ED7-487E-AC6A-4DFECE141FB3}"/>
    <cellStyle name="Migliaia 9 3 6 6" xfId="16965" xr:uid="{94FC6A7A-87E3-49C4-87E6-934AEE963555}"/>
    <cellStyle name="Migliaia 9 3 6 7" xfId="8064" xr:uid="{11D65983-3339-485D-8EFF-D20BF1637781}"/>
    <cellStyle name="Migliaia 9 3 7" xfId="6958" xr:uid="{CB9DC3F6-A8F6-487A-A899-FF20B6FEB8CA}"/>
    <cellStyle name="Migliaia 9 3 7 2" xfId="35028" xr:uid="{61263095-70BD-4B9F-B03E-EF8EEF75CC01}"/>
    <cellStyle name="Migliaia 9 3 7 3" xfId="25827" xr:uid="{3A0FB1B0-8662-481C-8101-392465449D05}"/>
    <cellStyle name="Migliaia 9 3 7 4" xfId="12289" xr:uid="{72C74E1F-0622-48EC-AF55-A55E67563EA6}"/>
    <cellStyle name="Migliaia 9 3 8" xfId="4068" xr:uid="{FE2D2938-20C8-44E3-839F-05F5401798B3}"/>
    <cellStyle name="Migliaia 9 3 8 2" xfId="35029" xr:uid="{C198B50B-0896-4075-A968-7C854C646B5D}"/>
    <cellStyle name="Migliaia 9 3 8 3" xfId="25828" xr:uid="{5A371847-2FBA-4791-B654-4617FA649A97}"/>
    <cellStyle name="Migliaia 9 3 8 4" xfId="17069" xr:uid="{971C2EE1-41BA-41C0-B463-603DE7D744AF}"/>
    <cellStyle name="Migliaia 9 3 9" xfId="21221" xr:uid="{B551B788-FD22-4059-AC7F-06F3441603E0}"/>
    <cellStyle name="Migliaia 9 3 9 2" xfId="35012" xr:uid="{5F2E0199-F5D9-49FB-BEFA-83FEDC5A1990}"/>
    <cellStyle name="Migliaia 9 4" xfId="1958" xr:uid="{00000000-0005-0000-0000-0000E1040000}"/>
    <cellStyle name="Migliaia 9 4 10" xfId="7654" xr:uid="{043134D7-C236-4A3E-AE70-9DEDCC922EEF}"/>
    <cellStyle name="Migliaia 9 4 2" xfId="1959" xr:uid="{00000000-0005-0000-0000-0000E2040000}"/>
    <cellStyle name="Migliaia 9 4 2 2" xfId="5801" xr:uid="{4441B9B0-3F93-4E61-8ADA-3E3A56CCF627}"/>
    <cellStyle name="Migliaia 9 4 2 2 2" xfId="35032" xr:uid="{647093B1-32B9-4775-8F8C-61191642D400}"/>
    <cellStyle name="Migliaia 9 4 2 2 3" xfId="25831" xr:uid="{1C958E6F-0FEC-420A-9811-5B063D33045A}"/>
    <cellStyle name="Migliaia 9 4 2 2 4" xfId="9228" xr:uid="{2BDC43E0-04EA-4071-8D6D-A6F036FC65D3}"/>
    <cellStyle name="Migliaia 9 4 2 3" xfId="4075" xr:uid="{CB3B3AF3-0326-470A-A417-3CE8AC3F69A0}"/>
    <cellStyle name="Migliaia 9 4 2 3 2" xfId="35033" xr:uid="{4DFBC43B-4DA9-4C68-8576-B0A523656056}"/>
    <cellStyle name="Migliaia 9 4 2 3 3" xfId="25832" xr:uid="{8A39FB0A-82A9-4B26-905B-5D3FE9201A0A}"/>
    <cellStyle name="Migliaia 9 4 2 3 4" xfId="12129" xr:uid="{7F59A072-FA73-4604-BE65-8F6F0258CCB9}"/>
    <cellStyle name="Migliaia 9 4 2 4" xfId="11482" xr:uid="{6840BFE6-BBF2-4B52-A5A9-5A3186EEDB7C}"/>
    <cellStyle name="Migliaia 9 4 2 4 2" xfId="35031" xr:uid="{E14CDE76-89CC-40CC-B152-D68713EA4109}"/>
    <cellStyle name="Migliaia 9 4 2 5" xfId="11036" xr:uid="{8047A570-A2A0-436D-863F-9EDB4D0B5247}"/>
    <cellStyle name="Migliaia 9 4 2 5 2" xfId="21671" xr:uid="{1985E927-F96E-4F5B-953A-D2313763F50D}"/>
    <cellStyle name="Migliaia 9 4 2 5 3" xfId="46715" xr:uid="{27747C98-2D0E-4D2D-B3DF-C4D4331868C1}"/>
    <cellStyle name="Migliaia 9 4 2 5 4" xfId="50686" xr:uid="{DDA31782-16E5-4BE5-B127-A96D92940065}"/>
    <cellStyle name="Migliaia 9 4 2 5 5" xfId="53702" xr:uid="{A00FA59A-438A-4067-B21C-F8B76F5C2479}"/>
    <cellStyle name="Migliaia 9 4 2 6" xfId="21232" xr:uid="{930506EB-EB37-49C8-8299-B6C397B877E8}"/>
    <cellStyle name="Migliaia 9 4 2 7" xfId="25830" xr:uid="{4CDE14C8-F52B-47CD-85EF-3E3C3139EF1F}"/>
    <cellStyle name="Migliaia 9 4 2 8" xfId="8844" xr:uid="{A17F92AE-2743-4BA0-BAA6-82EEBFC7800A}"/>
    <cellStyle name="Migliaia 9 4 3" xfId="5800" xr:uid="{B800EBF7-E588-4B1B-954C-B1D3D115C02F}"/>
    <cellStyle name="Migliaia 9 4 3 2" xfId="18283" xr:uid="{CB3CAB25-B73F-483A-83D7-B62439D42E5D}"/>
    <cellStyle name="Migliaia 9 4 3 2 2" xfId="35034" xr:uid="{4B2A86E2-8E52-4BAC-A393-C5E4E3D3BB52}"/>
    <cellStyle name="Migliaia 9 4 3 3" xfId="25833" xr:uid="{D39DEB47-77B2-4A21-9F9B-992710B1D636}"/>
    <cellStyle name="Migliaia 9 4 3 4" xfId="17067" xr:uid="{DF20BD73-6167-4D1A-BF10-09462E911910}"/>
    <cellStyle name="Migliaia 9 4 3 5" xfId="9229" xr:uid="{41517645-1E9C-4A03-821F-06A1EFF1AF9C}"/>
    <cellStyle name="Migliaia 9 4 4" xfId="6964" xr:uid="{E1A24F35-522C-490D-B37D-684CD12704B9}"/>
    <cellStyle name="Migliaia 9 4 4 2" xfId="35035" xr:uid="{6C6D3944-2D1D-4B75-A306-EA9BD1904EB1}"/>
    <cellStyle name="Migliaia 9 4 4 3" xfId="25834" xr:uid="{DD23E1A7-A0DC-40A6-9DF6-7F7E206F5B09}"/>
    <cellStyle name="Migliaia 9 4 4 4" xfId="12130" xr:uid="{01E695F9-B3AE-41E3-B853-B234E4E22ECC}"/>
    <cellStyle name="Migliaia 9 4 5" xfId="4074" xr:uid="{13735715-4017-443A-BD7A-B70E08B12325}"/>
    <cellStyle name="Migliaia 9 4 5 2" xfId="35036" xr:uid="{6DD36D7E-0607-4D0D-A540-1B62B9FBF65A}"/>
    <cellStyle name="Migliaia 9 4 5 3" xfId="25835" xr:uid="{E4DC3EFE-BF89-4A2F-AAB8-479E051D359F}"/>
    <cellStyle name="Migliaia 9 4 5 4" xfId="11481" xr:uid="{F8DF6D6B-ED86-4A86-A923-1DA29EC9E1F3}"/>
    <cellStyle name="Migliaia 9 4 6" xfId="11035" xr:uid="{749467CD-139F-4FDB-B0E8-35DB1AEE3B8C}"/>
    <cellStyle name="Migliaia 9 4 6 2" xfId="21670" xr:uid="{5E7582CB-500B-4C06-BFB3-F1CF9C6EC797}"/>
    <cellStyle name="Migliaia 9 4 6 2 2" xfId="35037" xr:uid="{1A1000BA-1F21-47DE-8144-253DE00DD929}"/>
    <cellStyle name="Migliaia 9 4 6 3" xfId="25836" xr:uid="{80F59D56-76CB-462F-88A5-97C49B303066}"/>
    <cellStyle name="Migliaia 9 4 6 4" xfId="47516" xr:uid="{FB401D88-5B0C-446D-8B19-7F3A43E68E30}"/>
    <cellStyle name="Migliaia 9 4 6 5" xfId="48928" xr:uid="{A5744524-52E8-44BA-90BA-7F76CB4973C2}"/>
    <cellStyle name="Migliaia 9 4 6 6" xfId="50685" xr:uid="{04CBB422-8A27-44E7-ADBB-5A7BB1AE5E91}"/>
    <cellStyle name="Migliaia 9 4 6 7" xfId="53701" xr:uid="{52E8C7F1-D695-40B0-A671-C249DD6870F8}"/>
    <cellStyle name="Migliaia 9 4 7" xfId="21231" xr:uid="{D505C79F-F378-4DFF-AF2F-92C341F2F4FC}"/>
    <cellStyle name="Migliaia 9 4 7 2" xfId="35038" xr:uid="{A34FF172-2B55-4E5C-B460-A58D4234F11B}"/>
    <cellStyle name="Migliaia 9 4 7 3" xfId="25837" xr:uid="{6C3C600F-0347-4A26-B164-EFE9542CA8C4}"/>
    <cellStyle name="Migliaia 9 4 8" xfId="35030" xr:uid="{55994591-D9B6-4E7F-A76E-E0D07BE52C21}"/>
    <cellStyle name="Migliaia 9 4 9" xfId="25829" xr:uid="{8F1F5023-3582-4A07-9689-9868571CD4B2}"/>
    <cellStyle name="Migliaia 9 5" xfId="1960" xr:uid="{00000000-0005-0000-0000-0000E3040000}"/>
    <cellStyle name="Migliaia 9 5 2" xfId="5802" xr:uid="{FB2698D1-A43A-4FAD-8626-45CACFE46F64}"/>
    <cellStyle name="Migliaia 9 5 2 2" xfId="18544" xr:uid="{479193F4-2BF8-4F81-9792-4998F1BF9FCB}"/>
    <cellStyle name="Migliaia 9 5 2 2 2" xfId="35040" xr:uid="{A2B81643-CD1D-4CBD-BCAC-9A85C092612E}"/>
    <cellStyle name="Migliaia 9 5 2 3" xfId="21234" xr:uid="{34DA00D1-C8FA-4C54-B72C-3457C3F98E06}"/>
    <cellStyle name="Migliaia 9 5 2 4" xfId="25839" xr:uid="{1FD3E17A-F09C-4A55-B3F8-C822998E76A3}"/>
    <cellStyle name="Migliaia 9 5 2 5" xfId="16966" xr:uid="{B5BDC54D-C439-41B3-AD99-91DFDA1E5147}"/>
    <cellStyle name="Migliaia 9 5 2 6" xfId="8845" xr:uid="{073D3E82-5982-4E3F-B608-6628B548B1CB}"/>
    <cellStyle name="Migliaia 9 5 3" xfId="6965" xr:uid="{4C01C900-B544-4381-B041-EE5DA3CF58F4}"/>
    <cellStyle name="Migliaia 9 5 3 2" xfId="35041" xr:uid="{DA2A1BCA-199A-4682-AD58-9985B4142F23}"/>
    <cellStyle name="Migliaia 9 5 3 3" xfId="25840" xr:uid="{BBF12B61-310E-4F1F-9781-C30282889546}"/>
    <cellStyle name="Migliaia 9 5 3 4" xfId="11483" xr:uid="{E9423140-03D3-47E3-BF17-334519C59A41}"/>
    <cellStyle name="Migliaia 9 5 4" xfId="4076" xr:uid="{C892A0DE-2216-424B-9103-E03B3A83A33C}"/>
    <cellStyle name="Migliaia 9 5 4 2" xfId="21672" xr:uid="{25E7D16B-A3F4-4956-BC18-468C973D4791}"/>
    <cellStyle name="Migliaia 9 5 4 2 2" xfId="35042" xr:uid="{C062FEEE-45EA-44A9-AA6F-07888A458220}"/>
    <cellStyle name="Migliaia 9 5 4 3" xfId="25841" xr:uid="{4101C909-EA74-477C-9F26-92150C11ECB0}"/>
    <cellStyle name="Migliaia 9 5 4 4" xfId="48260" xr:uid="{7FE9664C-F454-4F3D-A76A-EE42226F5766}"/>
    <cellStyle name="Migliaia 9 5 4 5" xfId="48929" xr:uid="{6428BB1A-BD27-45D8-97B3-E1F19F1ADA6E}"/>
    <cellStyle name="Migliaia 9 5 4 6" xfId="50687" xr:uid="{634F156D-500C-4CA4-A83E-7F82466023CD}"/>
    <cellStyle name="Migliaia 9 5 4 7" xfId="53703" xr:uid="{31C4F6B3-706B-4E93-8A8A-C57345E8E38C}"/>
    <cellStyle name="Migliaia 9 5 4 8" xfId="11037" xr:uid="{77AB1AE4-0526-4120-80DC-03D90B01FC97}"/>
    <cellStyle name="Migliaia 9 5 5" xfId="21233" xr:uid="{85BF6354-BE2F-4109-A104-CCC807C65F6C}"/>
    <cellStyle name="Migliaia 9 5 5 2" xfId="35043" xr:uid="{A69D6063-2B8B-4D93-8068-1FA9F2F5EB76}"/>
    <cellStyle name="Migliaia 9 5 5 3" xfId="25842" xr:uid="{1C2A0D31-5467-49A4-94B0-BD6B75816027}"/>
    <cellStyle name="Migliaia 9 5 5 4" xfId="48930" xr:uid="{56A0D999-7628-4E1D-8A1A-814153694534}"/>
    <cellStyle name="Migliaia 9 5 6" xfId="25843" xr:uid="{77665FD0-5E96-4D53-9BA3-973DD7825280}"/>
    <cellStyle name="Migliaia 9 5 6 2" xfId="35044" xr:uid="{4453CA8B-3D97-4AC8-AA23-FE8B18BF78E6}"/>
    <cellStyle name="Migliaia 9 5 7" xfId="35039" xr:uid="{C405E3FF-D5C0-433E-AD95-ADDE40E5789E}"/>
    <cellStyle name="Migliaia 9 5 8" xfId="25838" xr:uid="{9D52287A-41C3-41F3-A508-95FF60DB4BE3}"/>
    <cellStyle name="Migliaia 9 5 9" xfId="7655" xr:uid="{8E7CC24B-EA7A-4058-8136-3A4EF795D4E3}"/>
    <cellStyle name="Migliaia 9 6" xfId="4077" xr:uid="{AC151E29-A1AF-4C68-924F-815A5E009242}"/>
    <cellStyle name="Migliaia 9 6 2" xfId="5803" xr:uid="{54886909-D92F-4806-9016-78D7081B275C}"/>
    <cellStyle name="Migliaia 9 6 2 2" xfId="10001" xr:uid="{6C1F5EE2-12C7-4B10-A55A-F649B7B16990}"/>
    <cellStyle name="Migliaia 9 6 2 3" xfId="18594" xr:uid="{226C846D-EB80-4FB5-9202-61B45F9D9BA5}"/>
    <cellStyle name="Migliaia 9 6 2 4" xfId="21236" xr:uid="{1C98370E-5C32-4FC8-8BC6-8FFA0F7C6DF3}"/>
    <cellStyle name="Migliaia 9 6 2 5" xfId="32496" xr:uid="{781403E7-79FB-45D2-9E7E-75181173B1C4}"/>
    <cellStyle name="Migliaia 9 6 2 6" xfId="16968" xr:uid="{5BD6572D-3903-43CF-9276-18F592EA52E7}"/>
    <cellStyle name="Migliaia 9 6 2 7" xfId="8840" xr:uid="{B347AB4E-D4FF-40E5-AA13-EEA36B1A4F0E}"/>
    <cellStyle name="Migliaia 9 6 3" xfId="6966" xr:uid="{870C5297-9DCE-4C76-B85E-63B612C18B9A}"/>
    <cellStyle name="Migliaia 9 6 3 2" xfId="35547" xr:uid="{70426EC2-80D0-4D2D-9EA8-9601B4E57D8A}"/>
    <cellStyle name="Migliaia 9 6 3 2 2" xfId="40707" xr:uid="{18D61EAA-B53E-4A5A-955C-C0F5CA58581D}"/>
    <cellStyle name="Migliaia 9 6 3 2 3" xfId="46009" xr:uid="{F0D91B48-9C0B-4440-9C61-BF1B920687F5}"/>
    <cellStyle name="Migliaia 9 6 3 3" xfId="38056" xr:uid="{085C8F58-99DB-4848-B34E-AC7FDBAF01F9}"/>
    <cellStyle name="Migliaia 9 6 3 4" xfId="43358" xr:uid="{44710E45-88B0-44E3-B799-9910B57105F7}"/>
    <cellStyle name="Migliaia 9 6 3 5" xfId="9764" xr:uid="{0127F633-0C84-4362-BECE-26FEEC9611A7}"/>
    <cellStyle name="Migliaia 9 6 4" xfId="21235" xr:uid="{14AA7376-5557-449C-BF06-9D5C6F81A53F}"/>
    <cellStyle name="Migliaia 9 6 4 2" xfId="35045" xr:uid="{FE9FF43D-EED3-4F5C-9BC4-3235B157B6AC}"/>
    <cellStyle name="Migliaia 9 6 5" xfId="25844" xr:uid="{C7C635FA-D2CC-44A3-8C3F-73A8CFBADB2C}"/>
    <cellStyle name="Migliaia 9 6 6" xfId="16967" xr:uid="{9CBB6869-172F-4CA1-819C-D9703A234C39}"/>
    <cellStyle name="Migliaia 9 6 7" xfId="7650" xr:uid="{6EC0F1AF-457C-4E02-9168-5DAEAF1C6021}"/>
    <cellStyle name="Migliaia 9 7" xfId="4078" xr:uid="{992C413C-790E-4247-9C76-33C89B0CC7B1}"/>
    <cellStyle name="Migliaia 9 7 2" xfId="5804" xr:uid="{4F74F1E8-EE86-4F77-8E1B-31C5D8529E11}"/>
    <cellStyle name="Migliaia 9 7 2 2" xfId="35548" xr:uid="{016AAEAA-28B2-4E49-924F-3A5DB3233250}"/>
    <cellStyle name="Migliaia 9 7 2 2 2" xfId="40708" xr:uid="{14B7CD83-6818-47F6-A0DB-2C476AEBE747}"/>
    <cellStyle name="Migliaia 9 7 2 2 3" xfId="46010" xr:uid="{A324A435-FB0B-435E-A1F8-A18C9A6D4FC2}"/>
    <cellStyle name="Migliaia 9 7 2 3" xfId="38057" xr:uid="{935482EF-B838-4467-9BC2-ED04CD108E8C}"/>
    <cellStyle name="Migliaia 9 7 2 4" xfId="43359" xr:uid="{F2080A7A-71BE-4428-801C-969819B002EC}"/>
    <cellStyle name="Migliaia 9 7 2 5" xfId="14359" xr:uid="{404B528D-1429-40DF-A547-0CFDCC66FEA9}"/>
    <cellStyle name="Migliaia 9 7 3" xfId="6967" xr:uid="{9F1D38D3-D47E-44EB-8ABD-EC9889845EB0}"/>
    <cellStyle name="Migliaia 9 7 3 2" xfId="35046" xr:uid="{C1001A7D-278C-42AD-AEA8-DF861FC2C870}"/>
    <cellStyle name="Migliaia 9 7 3 3" xfId="21237" xr:uid="{8FD002C9-CB02-4815-BB91-2E7BCF7AC271}"/>
    <cellStyle name="Migliaia 9 7 4" xfId="25845" xr:uid="{B52BD695-4F62-422F-A945-BE046F681C6D}"/>
    <cellStyle name="Migliaia 9 7 5" xfId="16969" xr:uid="{504B94DE-32E6-46FE-8A45-7AC4B4A37A22}"/>
    <cellStyle name="Migliaia 9 7 6" xfId="8421" xr:uid="{A4DCB5AA-20C3-4E61-B570-9D97B91E44C4}"/>
    <cellStyle name="Migliaia 9 8" xfId="4079" xr:uid="{20B4D4BC-F145-4805-A6B0-84C6DA625243}"/>
    <cellStyle name="Migliaia 9 8 2" xfId="5805" xr:uid="{DD4C9894-6954-438B-957F-8A07AE879E66}"/>
    <cellStyle name="Migliaia 9 8 2 2" xfId="35549" xr:uid="{3C75C1D4-B5D2-4B28-8BB4-69BF5A133FA8}"/>
    <cellStyle name="Migliaia 9 8 2 2 2" xfId="40709" xr:uid="{635E5D68-5DD6-464E-80E1-0E316FC2EBF6}"/>
    <cellStyle name="Migliaia 9 8 2 2 3" xfId="46011" xr:uid="{32A10C0B-FBC6-4699-A5E1-9DED9F91DDD0}"/>
    <cellStyle name="Migliaia 9 8 2 3" xfId="38058" xr:uid="{C7A50851-4ABF-4255-94FE-429C59F15E42}"/>
    <cellStyle name="Migliaia 9 8 2 4" xfId="43360" xr:uid="{4D716847-50EC-46D3-9F55-D3118C2E9FCF}"/>
    <cellStyle name="Migliaia 9 8 2 5" xfId="14064" xr:uid="{16584684-89D4-41F7-8048-BB2764055A0B}"/>
    <cellStyle name="Migliaia 9 8 3" xfId="6968" xr:uid="{C71300A4-7314-4365-B508-262A5D358FB4}"/>
    <cellStyle name="Migliaia 9 8 3 2" xfId="35047" xr:uid="{A9FBE340-2204-4BC9-A9E7-9A8847150223}"/>
    <cellStyle name="Migliaia 9 8 3 3" xfId="21238" xr:uid="{A20CAA5A-E53E-4F7B-94C5-BC449FDDDD1E}"/>
    <cellStyle name="Migliaia 9 8 4" xfId="25846" xr:uid="{B1CCC46D-CC3B-4399-8750-ED6D662B5D19}"/>
    <cellStyle name="Migliaia 9 8 5" xfId="16970" xr:uid="{5A35876C-8A6E-4A4A-BD67-FEEE28635902}"/>
    <cellStyle name="Migliaia 9 8 6" xfId="8062" xr:uid="{ADA43F90-BA53-45A2-BB77-DBD185BECFD1}"/>
    <cellStyle name="Migliaia 9 9" xfId="5790" xr:uid="{69CC92EF-BF99-4C81-822E-6FF38615C59E}"/>
    <cellStyle name="Migliaia 9 9 2" xfId="35048" xr:uid="{CAF3A3BC-A10C-4FB4-82E5-3E501843C5B9}"/>
    <cellStyle name="Migliaia 9 9 3" xfId="25847" xr:uid="{F6FECE83-43F6-4EA8-9A96-102B4E1C8E6E}"/>
    <cellStyle name="Migliaia 9 9 4" xfId="17255" xr:uid="{299F2705-40D9-4655-A6D6-56F98384D707}"/>
    <cellStyle name="Neutral 2" xfId="1961" xr:uid="{00000000-0005-0000-0000-0000E4040000}"/>
    <cellStyle name="Neutral 2 2" xfId="12131" xr:uid="{C899570C-600D-4F6C-8939-A03F56BF4FFF}"/>
    <cellStyle name="Neutral 2 2 2" xfId="35050" xr:uid="{52B7C439-5DFB-4EA3-9A34-5C0D5AD01D08}"/>
    <cellStyle name="Neutral 2 2 3" xfId="25849" xr:uid="{A81A9AB3-E5D8-48BF-B653-931E3BEF8F40}"/>
    <cellStyle name="Neutral 2 3" xfId="11146" xr:uid="{744A3589-8C13-4F86-828A-5D898C77BD9D}"/>
    <cellStyle name="Neutral 2 3 2" xfId="35049" xr:uid="{4A3305C7-95BA-4CA0-B961-DDB4372857F2}"/>
    <cellStyle name="Neutral 2 4" xfId="25848" xr:uid="{CDAC301B-C671-490F-9DD2-19C1E16AEF8D}"/>
    <cellStyle name="Neutrale" xfId="545" xr:uid="{00000000-0005-0000-0000-0000E5040000}"/>
    <cellStyle name="Neutrale 2" xfId="35051" xr:uid="{13782016-4AA8-4263-B83B-488F0A145C86}"/>
    <cellStyle name="Neutrale 3" xfId="25850" xr:uid="{4882C3BE-1793-4667-BC74-5BD2B37607F4}"/>
    <cellStyle name="Normal" xfId="0" builtinId="0"/>
    <cellStyle name="Normal 10" xfId="546" xr:uid="{00000000-0005-0000-0000-0000E7040000}"/>
    <cellStyle name="Normal 10 2" xfId="547" xr:uid="{00000000-0005-0000-0000-0000E8040000}"/>
    <cellStyle name="Normal 10 2 2" xfId="13426" xr:uid="{ED16485E-6A34-461E-9D86-44D12FAFBDDE}"/>
    <cellStyle name="Normal 10 2 2 2" xfId="25854" xr:uid="{92D6837F-86F5-45FB-8CDA-2E941F3957E5}"/>
    <cellStyle name="Normal 10 2 2 3" xfId="25853" xr:uid="{377C935E-BD98-4390-99C3-F74794C10766}"/>
    <cellStyle name="Normal 10 2 3" xfId="25855" xr:uid="{4A727725-E9C3-4E0F-AAF8-979EFB5D38FE}"/>
    <cellStyle name="Normal 10 2 3 2" xfId="25856" xr:uid="{09BC3F57-5286-4672-8D7B-1482329C6C48}"/>
    <cellStyle name="Normal 10 2 4" xfId="25857" xr:uid="{EA9FAC10-C759-4383-8502-41C878A3C7AC}"/>
    <cellStyle name="Normal 10 2 5" xfId="25858" xr:uid="{F9B6C59B-D48A-4E96-89E1-C5F43AF401BD}"/>
    <cellStyle name="Normal 10 2 6" xfId="25852" xr:uid="{4940E4A1-BD78-4059-8E92-B52DFB49B63A}"/>
    <cellStyle name="Normal 10 3" xfId="13164" xr:uid="{30C8662A-8C44-44E3-AF3B-BDE83AA1B9E7}"/>
    <cellStyle name="Normal 10 3 2" xfId="25860" xr:uid="{15975EDF-3DCD-4AC9-976C-944EE02158CE}"/>
    <cellStyle name="Normal 10 3 3" xfId="25861" xr:uid="{C544083C-9CAA-436B-92A3-4EBA861B8E0A}"/>
    <cellStyle name="Normal 10 3 4" xfId="25859" xr:uid="{698DDAB6-AB14-481F-829D-62E1C80D0A6A}"/>
    <cellStyle name="Normal 10 3 5" xfId="48931" xr:uid="{802F1A7D-C47A-45EA-BDBD-52482F8FC287}"/>
    <cellStyle name="Normal 10 4" xfId="25862" xr:uid="{2948B177-5CE7-4576-8C58-A20D454A0558}"/>
    <cellStyle name="Normal 10 4 2" xfId="25863" xr:uid="{74044C66-629A-4017-AFE5-6B8F784973C1}"/>
    <cellStyle name="Normal 10 5" xfId="25864" xr:uid="{107EBD8A-1D43-4EA0-8338-A2DE2FAE44FF}"/>
    <cellStyle name="Normal 10 5 2" xfId="25865" xr:uid="{601B1830-485F-451E-9384-475658541BAB}"/>
    <cellStyle name="Normal 10 6" xfId="25866" xr:uid="{679A8AA2-C5CD-4D44-8CF2-288E7FFFD06D}"/>
    <cellStyle name="Normal 10 7" xfId="25867" xr:uid="{2A56D88B-755C-4AA5-AF22-D216DA85D015}"/>
    <cellStyle name="Normal 10 8" xfId="30228" xr:uid="{09619C9C-172B-42C3-8BC8-68ECD4D45236}"/>
    <cellStyle name="Normal 10 9" xfId="25851" xr:uid="{8AFA136F-B9D0-4985-958F-D1675FDCE046}"/>
    <cellStyle name="Normal 11" xfId="548" xr:uid="{00000000-0005-0000-0000-0000E9040000}"/>
    <cellStyle name="Normal 11 2" xfId="8908" xr:uid="{E3AAC0B1-47A8-477B-91AD-3C8E3FD3C0EF}"/>
    <cellStyle name="Normal 11 2 2" xfId="10005" xr:uid="{04FB841B-3F5F-47CD-8E74-8CF8A5E98596}"/>
    <cellStyle name="Normal 11 2 2 2" xfId="10313" xr:uid="{E59A7D61-26EE-4B2F-B756-DC1A0F1A8261}"/>
    <cellStyle name="Normal 11 2 2 2 2" xfId="12766" xr:uid="{ED1316D3-38BD-46F2-B859-A20D2ED29641}"/>
    <cellStyle name="Normal 11 2 2 2 2 2" xfId="46350" xr:uid="{D44A011F-666E-4862-96EE-0740FA56036C}"/>
    <cellStyle name="Normal 11 2 2 2 3" xfId="18895" xr:uid="{F6BE6463-78EC-499F-A05C-5681EDF03748}"/>
    <cellStyle name="Normal 11 2 2 3" xfId="12465" xr:uid="{EA39FB85-7A9D-4C1E-BC66-F8076B0B9619}"/>
    <cellStyle name="Normal 11 2 2 3 2" xfId="25868" xr:uid="{3F094415-55E1-45E7-85B0-8B194828078D}"/>
    <cellStyle name="Normal 11 2 2 4" xfId="18746" xr:uid="{A1D45337-812B-422D-A5B0-9F3B8A7817E3}"/>
    <cellStyle name="Normal 11 2 3" xfId="10079" xr:uid="{099887CE-B612-488B-9F67-407A0E13B576}"/>
    <cellStyle name="Normal 11 2 3 2" xfId="10392" xr:uid="{2A8CADFC-0A0B-4AED-814C-C81F0B2A3573}"/>
    <cellStyle name="Normal 11 2 3 2 2" xfId="12845" xr:uid="{432761A7-435D-4BE2-99B2-1D4D9497EBA3}"/>
    <cellStyle name="Normal 11 2 3 2 2 2" xfId="24690" xr:uid="{A20777B1-28F8-42C3-AB55-543803AF9E14}"/>
    <cellStyle name="Normal 11 2 3 2 3" xfId="18936" xr:uid="{7A1BFD2C-2E3D-4ABD-ADFE-DA5CC50D5A01}"/>
    <cellStyle name="Normal 11 2 3 3" xfId="12536" xr:uid="{B75E8823-2FB2-4A73-8FDD-13EB40211070}"/>
    <cellStyle name="Normal 11 2 3 3 2" xfId="32428" xr:uid="{88A9E4E2-C17C-410A-9D5F-AE6E1F39E99E}"/>
    <cellStyle name="Normal 11 2 3 4" xfId="18779" xr:uid="{859ADA94-BEDA-49FD-AA6C-50A5DA47885D}"/>
    <cellStyle name="Normal 11 2 4" xfId="10158" xr:uid="{A13575A4-7FE2-4BEA-920D-315BD90881F6}"/>
    <cellStyle name="Normal 11 2 4 2" xfId="10472" xr:uid="{666A1568-27D0-43A6-AC85-5BF6BEA546C7}"/>
    <cellStyle name="Normal 11 2 4 2 2" xfId="12925" xr:uid="{4DC447BC-9B03-48F5-ABD7-26E4DD9B8AF7}"/>
    <cellStyle name="Normal 11 2 4 2 2 2" xfId="47622" xr:uid="{0D01D32F-8309-47AE-9433-A287CD8A50F0}"/>
    <cellStyle name="Normal 11 2 4 2 3" xfId="18978" xr:uid="{ABC794F0-5C1D-4297-AD9D-544278CCF722}"/>
    <cellStyle name="Normal 11 2 4 3" xfId="12612" xr:uid="{180CA8A5-54F8-45D8-8973-F374214D4BDE}"/>
    <cellStyle name="Normal 11 2 4 3 2" xfId="46773" xr:uid="{99461D95-989E-41F7-9875-693D1C0C65F6}"/>
    <cellStyle name="Normal 11 2 4 4" xfId="18817" xr:uid="{7CC4B8DD-C940-4A8B-8615-51C0BAAB61F0}"/>
    <cellStyle name="Normal 11 2 5" xfId="10238" xr:uid="{036DD976-3430-4A7E-8D37-6E3D8231D839}"/>
    <cellStyle name="Normal 11 2 5 2" xfId="12691" xr:uid="{04915A62-CEE7-4568-97D8-015D7D636447}"/>
    <cellStyle name="Normal 11 2 5 2 2" xfId="47663" xr:uid="{FF6168FA-9772-4782-8E57-9F6B6B30C47E}"/>
    <cellStyle name="Normal 11 2 5 3" xfId="18858" xr:uid="{C5867C41-9578-4FE0-BD63-82D81889D717}"/>
    <cellStyle name="Normal 11 2 6" xfId="10552" xr:uid="{3CE1FF23-0C59-4967-AB6D-50416CFCE578}"/>
    <cellStyle name="Normal 11 2 6 2" xfId="13005" xr:uid="{C3939D86-FC95-4F46-A429-8B8550CF6C87}"/>
    <cellStyle name="Normal 11 2 6 2 2" xfId="32551" xr:uid="{4C96EE07-C3E1-453E-8D06-48F45FBD0211}"/>
    <cellStyle name="Normal 11 2 6 3" xfId="19020" xr:uid="{A3CADAD4-477E-41DE-9B18-71022A197905}"/>
    <cellStyle name="Normal 11 2 7" xfId="11676" xr:uid="{86D25780-0543-4DB1-BF22-7C6A98B62AAA}"/>
    <cellStyle name="Normal 11 2 7 2" xfId="48040" xr:uid="{3C311F0E-A003-431D-98D1-707BB215BC46}"/>
    <cellStyle name="Normal 11 2 8" xfId="17714" xr:uid="{623A42D8-876C-458A-92E5-A7FE3879F721}"/>
    <cellStyle name="Normal 11 3" xfId="6969" xr:uid="{19879A5A-36C3-4CBB-9C55-BD1705E3F3FB}"/>
    <cellStyle name="Normal 11 3 2" xfId="25870" xr:uid="{B16FD14C-AEF8-4581-8800-97058B016DB3}"/>
    <cellStyle name="Normal 11 3 2 2" xfId="25871" xr:uid="{60465B5E-D1A7-4A9C-8C39-DAB6E4241F15}"/>
    <cellStyle name="Normal 11 3 3" xfId="25872" xr:uid="{3D50152C-EC04-4376-823A-E2FCA6B5F07B}"/>
    <cellStyle name="Normal 11 3 3 2" xfId="25873" xr:uid="{2CB5C3C2-AB10-4F10-A58A-4B3ECB154D61}"/>
    <cellStyle name="Normal 11 3 4" xfId="25874" xr:uid="{A515B0E4-B1AD-4211-A845-CD0BD054CE84}"/>
    <cellStyle name="Normal 11 3 5" xfId="25875" xr:uid="{888E1E22-3E1D-4301-8725-E7A5A23694A0}"/>
    <cellStyle name="Normal 11 3 6" xfId="25869" xr:uid="{A9A0CE4C-AD85-4A26-858F-8E855054C0FA}"/>
    <cellStyle name="Normal 11 4" xfId="11578" xr:uid="{5B167E7E-BC69-4FE5-98D2-2322DF78161F}"/>
    <cellStyle name="Normal 11 4 2" xfId="25876" xr:uid="{EACFFD14-730C-4DC3-9224-92E9C8EC0ACF}"/>
    <cellStyle name="Normal 11 4 3" xfId="18158" xr:uid="{038F2501-6AD7-45BB-A44B-AE88F3EBC28A}"/>
    <cellStyle name="Normal 11 5" xfId="25877" xr:uid="{DA6847B2-B9EA-4FEA-98E2-F709F6745DE6}"/>
    <cellStyle name="Normal 11 5 2" xfId="25878" xr:uid="{60E531A7-6017-4219-B0F1-EDE20CACCC12}"/>
    <cellStyle name="Normal 11 6" xfId="25879" xr:uid="{733B8CC3-E986-4D84-9439-88370FFA0613}"/>
    <cellStyle name="Normal 11 6 2" xfId="25880" xr:uid="{FA701BF1-118D-452A-AD9B-D862F5F8315D}"/>
    <cellStyle name="Normal 11 7" xfId="25881" xr:uid="{F73167AE-C5B0-452B-A81E-05CE46E89E56}"/>
    <cellStyle name="Normal 11 8" xfId="25882" xr:uid="{BF1B6D55-955C-4CC4-ADB0-812CE6E37B94}"/>
    <cellStyle name="Normal 11 9" xfId="25883" xr:uid="{5815AE43-5610-41DD-8D96-D11A7F7B5E09}"/>
    <cellStyle name="Normal 11 9 2" xfId="30227" xr:uid="{1566F0D5-620F-4B55-BD3A-08F4C8F60D3A}"/>
    <cellStyle name="Normal 12" xfId="549" xr:uid="{00000000-0005-0000-0000-0000EA040000}"/>
    <cellStyle name="Normal 12 2" xfId="1962" xr:uid="{00000000-0005-0000-0000-0000EB040000}"/>
    <cellStyle name="Normal 12 2 2" xfId="14067" xr:uid="{C85D0616-4990-4D89-99E0-1BB7FEB95FA8}"/>
    <cellStyle name="Normal 12 2 2 2" xfId="25885" xr:uid="{DE88613E-F93F-46F1-AC66-F58E99229103}"/>
    <cellStyle name="Normal 12 2 2 3" xfId="25884" xr:uid="{40FF8891-40F1-4FDD-81FF-85C8007D0D49}"/>
    <cellStyle name="Normal 12 2 3" xfId="25886" xr:uid="{E692D5D0-575A-40BA-BB2F-B70A32DA17D5}"/>
    <cellStyle name="Normal 12 2 3 2" xfId="25887" xr:uid="{D7CFF064-805D-40EF-9822-C81883E008BD}"/>
    <cellStyle name="Normal 12 2 4" xfId="25888" xr:uid="{4154A3CA-6DC2-4335-8853-DA799FF0EEE6}"/>
    <cellStyle name="Normal 12 2 5" xfId="17790" xr:uid="{BE30F136-79AE-4163-B005-0B1108866E0E}"/>
    <cellStyle name="Normal 12 3" xfId="12132" xr:uid="{62FE28A8-A81D-46E5-BDB5-A2697A28CE70}"/>
    <cellStyle name="Normal 12 3 2" xfId="25890" xr:uid="{3787D45E-EF34-4973-8AA9-F4113C70D30D}"/>
    <cellStyle name="Normal 12 3 3" xfId="25889" xr:uid="{BE651B28-D39A-482A-AC58-97373A9EA0FE}"/>
    <cellStyle name="Normal 12 4" xfId="25891" xr:uid="{F2DEB5D2-42F7-4FC7-84D4-D7361E502A93}"/>
    <cellStyle name="Normal 12 4 2" xfId="25892" xr:uid="{6339C7A5-1621-4262-9C03-0D4D58E00802}"/>
    <cellStyle name="Normal 12 5" xfId="25893" xr:uid="{B64A0529-AF2C-4EA5-B4F5-6AA49FB043C5}"/>
    <cellStyle name="Normal 12 5 2" xfId="25894" xr:uid="{F80B3665-F025-4132-8B77-F700B030351B}"/>
    <cellStyle name="Normal 12 6" xfId="25895" xr:uid="{E13184D6-57D8-4258-AE89-77E87F93C48D}"/>
    <cellStyle name="Normal 12 7" xfId="25896" xr:uid="{DDD9E8B4-5498-4E5B-8778-B5CB2B9A521F}"/>
    <cellStyle name="Normal 12 8" xfId="25897" xr:uid="{10C470D2-36D6-4C97-B561-484B39BB4F4E}"/>
    <cellStyle name="Normal 13" xfId="1251" xr:uid="{00000000-0005-0000-0000-0000EC040000}"/>
    <cellStyle name="Normal 13 2" xfId="4080" xr:uid="{A5158115-D314-454E-8DC8-A75CAB1A8815}"/>
    <cellStyle name="Normal 13 2 2" xfId="18568" xr:uid="{96BDA1A6-79A9-4B86-93EC-88848E6939A6}"/>
    <cellStyle name="Normal 13 2 2 2" xfId="25901" xr:uid="{814D7447-147A-498A-95F2-A822CA516375}"/>
    <cellStyle name="Normal 13 2 2 3" xfId="25900" xr:uid="{FEA97028-883A-4A6D-A399-6B57D8CD18FE}"/>
    <cellStyle name="Normal 13 2 3" xfId="25902" xr:uid="{B9EB7D34-36A7-49DF-A894-3AC1DC848E6C}"/>
    <cellStyle name="Normal 13 2 3 2" xfId="25903" xr:uid="{002F5AE7-3AE9-4313-B2C1-20AEAFE7D207}"/>
    <cellStyle name="Normal 13 2 4" xfId="25904" xr:uid="{A8E0CA92-FF03-4AD8-AB1A-C17087391367}"/>
    <cellStyle name="Normal 13 2 5" xfId="25899" xr:uid="{54530EF4-CC40-4B89-BD0B-F9B9AD92868F}"/>
    <cellStyle name="Normal 13 3" xfId="11179" xr:uid="{37F75737-775C-4724-A963-164CE06AB033}"/>
    <cellStyle name="Normal 13 3 2" xfId="25906" xr:uid="{9145E8A6-95CE-49B7-863B-B30CA4F2D836}"/>
    <cellStyle name="Normal 13 3 3" xfId="25905" xr:uid="{F3044CFE-7601-4CA8-9755-3066590598D3}"/>
    <cellStyle name="Normal 13 4" xfId="25907" xr:uid="{FF02DF7A-5754-45CC-BB80-6B7F2966ADB7}"/>
    <cellStyle name="Normal 13 4 2" xfId="25908" xr:uid="{7DE84DFF-23C1-4B0D-A03F-3732F72B1A76}"/>
    <cellStyle name="Normal 13 5" xfId="25909" xr:uid="{9B36FF78-F0C5-4CB8-A141-BDCA62B03EA8}"/>
    <cellStyle name="Normal 13 5 2" xfId="25910" xr:uid="{32A9098C-6DD1-42CF-A395-5101967A578D}"/>
    <cellStyle name="Normal 13 6" xfId="25911" xr:uid="{9F696ADD-F42E-4CA5-9465-621E577B341C}"/>
    <cellStyle name="Normal 13 7" xfId="25912" xr:uid="{9C57606C-1C6D-4A70-8C05-69241C3A1515}"/>
    <cellStyle name="Normal 13 8" xfId="25913" xr:uid="{180004AA-83D1-42DA-9CD2-48C3E057AE66}"/>
    <cellStyle name="Normal 13 9" xfId="25898" xr:uid="{4E6A0F3E-4CF4-4287-87BE-F174C3D85A3F}"/>
    <cellStyle name="Normal 14" xfId="1963" xr:uid="{00000000-0005-0000-0000-0000ED040000}"/>
    <cellStyle name="Normal 14 10" xfId="7717" xr:uid="{FB84CD53-3E0C-463B-AF32-3F1B7937F5FF}"/>
    <cellStyle name="Normal 14 2" xfId="9875" xr:uid="{A1897E28-D80A-4629-9DB8-0A7123A2CE8D}"/>
    <cellStyle name="Normal 14 2 2" xfId="10298" xr:uid="{8DE30AC6-5559-43EE-85B8-330EACD9C3A1}"/>
    <cellStyle name="Normal 14 2 2 2" xfId="12751" xr:uid="{808B4025-91E0-48DB-A13F-000B7C942291}"/>
    <cellStyle name="Normal 14 2 2 2 2" xfId="46788" xr:uid="{9B35E8FF-8462-4BE3-A171-920D36239D76}"/>
    <cellStyle name="Normal 14 2 2 3" xfId="18881" xr:uid="{DFD8E134-7578-42B0-881B-03546243FB71}"/>
    <cellStyle name="Normal 14 2 3" xfId="12454" xr:uid="{02FE65F0-913E-4F71-833F-2491A1D6852A}"/>
    <cellStyle name="Normal 14 2 3 2" xfId="48487" xr:uid="{ADE9A540-D01B-400C-B0FB-93839D3F475D}"/>
    <cellStyle name="Normal 14 2 4" xfId="48932" xr:uid="{1C96FF1C-9B70-41FB-A3B3-49372C1C00E2}"/>
    <cellStyle name="Normal 14 2 5" xfId="18736" xr:uid="{FC4060D7-2160-4D4E-8247-935212671EDA}"/>
    <cellStyle name="Normal 14 3" xfId="10064" xr:uid="{78D4EDA8-C8BF-4C07-8E5B-39EFA029EAB8}"/>
    <cellStyle name="Normal 14 3 2" xfId="10373" xr:uid="{39E456B4-D638-4F91-91DC-ABC31E5352FB}"/>
    <cellStyle name="Normal 14 3 2 2" xfId="12826" xr:uid="{AE7E469C-F737-41D3-A325-9FC65689E7FB}"/>
    <cellStyle name="Normal 14 3 2 2 2" xfId="32535" xr:uid="{0A260DAB-8C16-4900-830E-CA5209A09156}"/>
    <cellStyle name="Normal 14 3 2 3" xfId="18918" xr:uid="{0E75A49E-83AC-4153-A5BD-DC360299706D}"/>
    <cellStyle name="Normal 14 3 3" xfId="12523" xr:uid="{F8207222-ED8F-42AF-9E73-F1CAD1B6A8E7}"/>
    <cellStyle name="Normal 14 3 3 2" xfId="46318" xr:uid="{C853FA77-DAAF-4865-8516-6E155C28AB14}"/>
    <cellStyle name="Normal 14 3 4" xfId="18767" xr:uid="{E95FEA04-A989-49C0-A43C-9F24124719CA}"/>
    <cellStyle name="Normal 14 4" xfId="10139" xr:uid="{9F85A2CA-0474-4EAF-858D-AF341261A811}"/>
    <cellStyle name="Normal 14 4 2" xfId="10453" xr:uid="{82CCEF86-012B-416B-BFA1-D3A43134292D}"/>
    <cellStyle name="Normal 14 4 2 2" xfId="12906" xr:uid="{75AD52C9-5824-4965-B392-DA4DE1E7A9DE}"/>
    <cellStyle name="Normal 14 4 2 2 2" xfId="47766" xr:uid="{47D4CAB4-5AA2-40C1-9B7B-6DD83BBED294}"/>
    <cellStyle name="Normal 14 4 2 3" xfId="18960" xr:uid="{494BCE03-3698-426E-A250-CA414761A8F7}"/>
    <cellStyle name="Normal 14 4 3" xfId="12595" xr:uid="{3BC5333C-1508-449B-99E4-1D43E60F3627}"/>
    <cellStyle name="Normal 14 4 3 2" xfId="46775" xr:uid="{65DFDB99-ECD3-4239-B31E-F05B411B2FF5}"/>
    <cellStyle name="Normal 14 4 4" xfId="18801" xr:uid="{8F2837C4-1864-4C35-B357-472D5CC9E42C}"/>
    <cellStyle name="Normal 14 5" xfId="10219" xr:uid="{7B3DF198-7AE6-45D2-921E-E95541EA3EA5}"/>
    <cellStyle name="Normal 14 5 2" xfId="12672" xr:uid="{FA5A68B8-B685-43FE-8CB5-DAED6E8988EE}"/>
    <cellStyle name="Normal 14 5 2 2" xfId="47320" xr:uid="{464BCDA2-B489-496F-90C0-75981F6A4203}"/>
    <cellStyle name="Normal 14 5 3" xfId="18840" xr:uid="{C896C38F-7121-4207-84C5-AE60F3B9505C}"/>
    <cellStyle name="Normal 14 6" xfId="10533" xr:uid="{9B0D05AA-2B3E-4F4C-ADB5-FCC78E1DAF44}"/>
    <cellStyle name="Normal 14 6 2" xfId="12986" xr:uid="{81156C90-5293-4561-B6C8-DCE340BC990B}"/>
    <cellStyle name="Normal 14 6 2 2" xfId="47025" xr:uid="{CA163365-4A79-4C0C-8034-0F902F85F63A}"/>
    <cellStyle name="Normal 14 6 3" xfId="19002" xr:uid="{7C0E6F31-97D1-4869-8258-2416DC2441EE}"/>
    <cellStyle name="Normal 14 7" xfId="11544" xr:uid="{79D12C48-E118-40F9-9420-9A45EA5F0EF9}"/>
    <cellStyle name="Normal 14 7 2" xfId="18150" xr:uid="{2AF2779F-1979-46A7-B58A-976765089A5D}"/>
    <cellStyle name="Normal 14 8" xfId="11038" xr:uid="{74B528EC-87F5-4172-BBCE-006D831A46CE}"/>
    <cellStyle name="Normal 14 9" xfId="16971" xr:uid="{06A3761E-45AA-4384-8730-CBBDD8CA0AE3}"/>
    <cellStyle name="Normal 15" xfId="1964" xr:uid="{00000000-0005-0000-0000-0000EE040000}"/>
    <cellStyle name="Normal 15 2" xfId="10003" xr:uid="{4664C86B-C6EF-422E-9800-46EA5CD70BF2}"/>
    <cellStyle name="Normal 15 2 2" xfId="10311" xr:uid="{526B75E3-11D7-40B7-9AB7-E631050584E8}"/>
    <cellStyle name="Normal 15 2 2 2" xfId="12764" xr:uid="{C4D1F214-1376-4C9D-9D3F-84B8207BC4D1}"/>
    <cellStyle name="Normal 15 2 2 2 2" xfId="25915" xr:uid="{5C4FB269-DAA7-48EC-81C6-CFF4FD3FC366}"/>
    <cellStyle name="Normal 15 2 2 2 3" xfId="25914" xr:uid="{6CF48F68-3867-4717-8088-0F463C2A3224}"/>
    <cellStyle name="Normal 15 2 2 3" xfId="25916" xr:uid="{95DC8ACD-83A0-4081-84BF-CFD091D217D6}"/>
    <cellStyle name="Normal 15 2 2 3 2" xfId="25917" xr:uid="{EA3F7113-205A-4EE0-B64D-F4567F066712}"/>
    <cellStyle name="Normal 15 2 2 4" xfId="25918" xr:uid="{7DC54709-B4C9-436B-B2EB-DFA60CE14312}"/>
    <cellStyle name="Normal 15 2 2 4 2" xfId="25919" xr:uid="{14F5E516-C5F6-4C04-8651-031B778B9F38}"/>
    <cellStyle name="Normal 15 2 2 5" xfId="25920" xr:uid="{CE1AAE5F-D68E-4850-8BF9-538B3DA85E67}"/>
    <cellStyle name="Normal 15 2 2 6" xfId="18893" xr:uid="{5BB3007F-C0E4-4152-B91E-D77C56B13AAB}"/>
    <cellStyle name="Normal 15 2 3" xfId="12463" xr:uid="{DA8AFE74-52E7-47D7-A98E-A9937ECE140C}"/>
    <cellStyle name="Normal 15 2 3 2" xfId="25922" xr:uid="{DDA569F3-96B0-48CA-A5AD-87CA7B72B9F0}"/>
    <cellStyle name="Normal 15 2 3 2 2" xfId="25923" xr:uid="{7CDF06DC-2F80-448C-8DAC-FE3776A9A4E6}"/>
    <cellStyle name="Normal 15 2 3 3" xfId="25924" xr:uid="{4689DAE7-576C-4CC1-AAC2-6774DA3E6A91}"/>
    <cellStyle name="Normal 15 2 3 3 2" xfId="25925" xr:uid="{7B031B0E-DC03-4047-BFF2-FFD56AFCDC20}"/>
    <cellStyle name="Normal 15 2 3 4" xfId="25926" xr:uid="{FC661C76-EB41-4BC0-A9E9-F547B61BA371}"/>
    <cellStyle name="Normal 15 2 3 4 2" xfId="25927" xr:uid="{23C918B5-1AB3-48BE-9D8E-11BA7F2A1881}"/>
    <cellStyle name="Normal 15 2 3 5" xfId="25928" xr:uid="{432E5D7D-08FC-4251-88C3-E31B2980F358}"/>
    <cellStyle name="Normal 15 2 3 6" xfId="25921" xr:uid="{A93E14E8-FB88-4DBC-8CFD-903331682BEB}"/>
    <cellStyle name="Normal 15 2 4" xfId="48933" xr:uid="{3A3ADBC0-E948-47C1-986C-B6AD9E79FA9B}"/>
    <cellStyle name="Normal 15 2 5" xfId="18744" xr:uid="{102BA565-79B2-49E0-8105-11328A5A6205}"/>
    <cellStyle name="Normal 15 3" xfId="10078" xr:uid="{FFE970CC-6C00-4E6A-A93C-D84E9B737E0B}"/>
    <cellStyle name="Normal 15 3 2" xfId="10390" xr:uid="{01411272-07DB-4B19-AF44-6CB872673FC5}"/>
    <cellStyle name="Normal 15 3 2 2" xfId="12843" xr:uid="{0086168D-1413-4412-AE3A-B14F4019D848}"/>
    <cellStyle name="Normal 15 3 2 2 2" xfId="32335" xr:uid="{54602AEB-7D53-4D09-8518-8DD6215551BA}"/>
    <cellStyle name="Normal 15 3 2 3" xfId="18934" xr:uid="{166C0EF1-82A2-4284-B869-A40ED5F74379}"/>
    <cellStyle name="Normal 15 3 3" xfId="12535" xr:uid="{215D0CEE-5402-4ADC-8278-3A5D343F0E57}"/>
    <cellStyle name="Normal 15 3 3 2" xfId="46320" xr:uid="{3D80B73A-25B9-4697-B622-80A9CD31E926}"/>
    <cellStyle name="Normal 15 3 4" xfId="48934" xr:uid="{5BC98056-C9ED-459C-B925-FEE83377E7F0}"/>
    <cellStyle name="Normal 15 3 5" xfId="18778" xr:uid="{B8CF2619-A109-4C50-96EC-0420EDC3EE34}"/>
    <cellStyle name="Normal 15 4" xfId="10156" xr:uid="{C412007C-E79F-42C5-B014-716C24700CBC}"/>
    <cellStyle name="Normal 15 4 2" xfId="10470" xr:uid="{6DE24923-DC10-4A0E-BE37-28013375CEDF}"/>
    <cellStyle name="Normal 15 4 2 2" xfId="12923" xr:uid="{D260FA33-EABF-476C-B644-5E629887FE51}"/>
    <cellStyle name="Normal 15 4 2 2 2" xfId="46812" xr:uid="{B871D421-74DF-471A-80C1-3643E4D2BE5F}"/>
    <cellStyle name="Normal 15 4 2 3" xfId="18976" xr:uid="{71EBA9AC-EDDE-46FA-983C-DEADE34F17BF}"/>
    <cellStyle name="Normal 15 4 3" xfId="12610" xr:uid="{1CF66200-3F5E-4675-8D13-05C2E56F0073}"/>
    <cellStyle name="Normal 15 4 3 2" xfId="34174" xr:uid="{7209509D-4509-4566-B845-9B0922435F35}"/>
    <cellStyle name="Normal 15 4 4" xfId="18815" xr:uid="{BC06F374-68AC-45A1-AA89-39CC9A36E699}"/>
    <cellStyle name="Normal 15 5" xfId="10236" xr:uid="{A591BB13-8220-4D8D-80DE-515E2B5D7072}"/>
    <cellStyle name="Normal 15 5 2" xfId="12689" xr:uid="{325F8D7D-AB08-4524-9E87-477EE86C775D}"/>
    <cellStyle name="Normal 15 5 2 2" xfId="25929" xr:uid="{2212EEAE-CA3B-4876-AE31-3FC9893E4815}"/>
    <cellStyle name="Normal 15 5 3" xfId="18856" xr:uid="{804FDC2E-15A0-416E-B01C-581CCACEF056}"/>
    <cellStyle name="Normal 15 6" xfId="10550" xr:uid="{90D8997A-37EE-4D64-8CDF-CF5DDACB8876}"/>
    <cellStyle name="Normal 15 6 2" xfId="13003" xr:uid="{0E94B98E-2C51-4505-92CE-B846C9C1D1E2}"/>
    <cellStyle name="Normal 15 6 2 2" xfId="25322" xr:uid="{3D4511D7-3B15-4640-A3BC-FA46A6F34E86}"/>
    <cellStyle name="Normal 15 6 3" xfId="19018" xr:uid="{CD1F67D3-8F16-4702-8A4C-85A651049E30}"/>
    <cellStyle name="Normal 15 7" xfId="12317" xr:uid="{A470DC12-F190-4855-94F8-38EC2F0895F9}"/>
    <cellStyle name="Normal 15 7 2" xfId="18626" xr:uid="{7C658FF7-C387-426A-99E9-2A030D726E7B}"/>
    <cellStyle name="Normal 15 8" xfId="11039" xr:uid="{17EF56D7-D4E9-4B51-A968-E609CF5695D9}"/>
    <cellStyle name="Normal 15 9" xfId="8907" xr:uid="{CE6BC9E3-BC26-412D-BE21-B0F1BB0238D7}"/>
    <cellStyle name="Normal 15_Trends fuels" xfId="25930" xr:uid="{DFE6332B-C5DC-4216-82E1-3392786AA97B}"/>
    <cellStyle name="Normal 16" xfId="1965" xr:uid="{00000000-0005-0000-0000-0000EF040000}"/>
    <cellStyle name="Normal 16 2" xfId="1966" xr:uid="{00000000-0005-0000-0000-0000F0040000}"/>
    <cellStyle name="Normal 16 2 2" xfId="10312" xr:uid="{4F47A049-7449-4EB2-9BBD-1636B406FF2D}"/>
    <cellStyle name="Normal 16 2 2 2" xfId="12765" xr:uid="{D6114FB9-6DA0-4DD0-AB07-E145A8F983FD}"/>
    <cellStyle name="Normal 16 2 2 2 2" xfId="48199" xr:uid="{45900CB6-BDE9-425B-979E-0812A81E25E9}"/>
    <cellStyle name="Normal 16 2 2 3" xfId="18894" xr:uid="{9C33D38D-DD44-4B1C-B8D9-560B41F7903F}"/>
    <cellStyle name="Normal 16 2 3" xfId="12464" xr:uid="{427042E3-B17D-46A5-9A07-29F46A5BF65E}"/>
    <cellStyle name="Normal 16 2 3 2" xfId="18745" xr:uid="{2EC926BB-38C1-480F-AC42-5655CDFBE532}"/>
    <cellStyle name="Normal 16 2 4" xfId="11041" xr:uid="{B6E41DE1-E386-44BF-862F-52DA1146EE6D}"/>
    <cellStyle name="Normal 16 2 5" xfId="10004" xr:uid="{1CB39161-76F0-4272-9F69-06695C001312}"/>
    <cellStyle name="Normal 16 3" xfId="1967" xr:uid="{00000000-0005-0000-0000-0000F1040000}"/>
    <cellStyle name="Normal 16 3 2" xfId="10391" xr:uid="{0A83CE65-260D-4D8C-AD84-B6DFA517568E}"/>
    <cellStyle name="Normal 16 3 2 2" xfId="12844" xr:uid="{0B6177A2-61CF-402E-AFDC-9F888B93393E}"/>
    <cellStyle name="Normal 16 3 2 2 2" xfId="46801" xr:uid="{B9D1DA2F-BF77-459C-BEE8-315D5A108F55}"/>
    <cellStyle name="Normal 16 3 2 3" xfId="18935" xr:uid="{BBB8E1A7-3EEF-4981-9745-CA2F39508A8D}"/>
    <cellStyle name="Normal 16 3 3" xfId="11042" xr:uid="{EDE06C8E-2D50-488B-B826-CAEB797C107C}"/>
    <cellStyle name="Normal 16 3 3 2" xfId="46716" xr:uid="{DFD77FC4-5039-4C8B-A8A2-51E852D165B2}"/>
    <cellStyle name="Normal 16 3 4" xfId="17792" xr:uid="{BE77ACE7-B595-4D25-AA09-8F0D3D6BF445}"/>
    <cellStyle name="Normal 16 4" xfId="6979" xr:uid="{376A5363-B223-4165-BD91-BD43E11122DF}"/>
    <cellStyle name="Normal 16 4 2" xfId="10471" xr:uid="{C44D4EC8-F14E-478E-A77E-3A7CE46E8738}"/>
    <cellStyle name="Normal 16 4 2 2" xfId="12924" xr:uid="{EB27161A-84AB-49C5-BD4B-8149AC5D6F15}"/>
    <cellStyle name="Normal 16 4 2 2 2" xfId="48056" xr:uid="{FB170481-E094-43E8-8136-B62E2CB109EB}"/>
    <cellStyle name="Normal 16 4 2 3" xfId="18977" xr:uid="{1DA5BA42-DD01-452D-813B-CACFEF85773D}"/>
    <cellStyle name="Normal 16 4 3" xfId="12611" xr:uid="{FA252D98-A344-488C-A143-4379FB6D1DDA}"/>
    <cellStyle name="Normal 16 4 3 2" xfId="47524" xr:uid="{B71AE72D-BF51-4FBB-B1DD-537A7992B0D1}"/>
    <cellStyle name="Normal 16 4 4" xfId="18816" xr:uid="{07967C5A-E1D1-4568-B7FB-AC3D71CF4005}"/>
    <cellStyle name="Normal 16 4 5" xfId="10157" xr:uid="{4C28333F-91CF-45E2-B867-DA62BAA1F4C1}"/>
    <cellStyle name="Normal 16 5" xfId="10237" xr:uid="{A85541D3-4879-4418-80B8-AF53099DF563}"/>
    <cellStyle name="Normal 16 5 2" xfId="12690" xr:uid="{4250DE48-6537-41A8-8024-A5D15D504A10}"/>
    <cellStyle name="Normal 16 5 2 2" xfId="24324" xr:uid="{15EEC67A-2CCC-4E0D-983C-396EDF0E9CAE}"/>
    <cellStyle name="Normal 16 5 3" xfId="18857" xr:uid="{55E74B8F-D836-4E40-876F-026B97F01382}"/>
    <cellStyle name="Normal 16 6" xfId="10551" xr:uid="{9B155FE7-8C78-4AFF-A532-6DB13A7CAACC}"/>
    <cellStyle name="Normal 16 6 2" xfId="13004" xr:uid="{C0ED4C61-0AF9-4A15-B11E-41447A9147A9}"/>
    <cellStyle name="Normal 16 6 2 2" xfId="47806" xr:uid="{537755C3-1CFD-479F-A40C-327A693806AD}"/>
    <cellStyle name="Normal 16 6 3" xfId="19019" xr:uid="{C1528B29-920C-47A2-BE9A-5AE7A57DE723}"/>
    <cellStyle name="Normal 16 7" xfId="11040" xr:uid="{D8112F0C-5AF9-4436-B7B5-17DB52B414DF}"/>
    <cellStyle name="Normal 16 7 2" xfId="25181" xr:uid="{1512B106-C7CC-4B9A-86AE-A9358538F2C5}"/>
    <cellStyle name="Normal 16 8" xfId="17791" xr:uid="{20254C31-0541-4D8A-BEB4-054C3E535481}"/>
    <cellStyle name="Normal 17" xfId="1968" xr:uid="{00000000-0005-0000-0000-0000F2040000}"/>
    <cellStyle name="Normal 17 2" xfId="1969" xr:uid="{00000000-0005-0000-0000-0000F3040000}"/>
    <cellStyle name="Normal 17 2 2" xfId="25933" xr:uid="{758BCACE-8BB2-426D-81F6-94E246D1AC36}"/>
    <cellStyle name="Normal 17 2 3" xfId="25934" xr:uid="{0E8695DF-DBD3-45CB-941A-85B964407EFD}"/>
    <cellStyle name="Normal 17 2 4" xfId="25932" xr:uid="{71FA2D9D-211B-4355-BC67-813DA4142611}"/>
    <cellStyle name="Normal 17 3" xfId="25935" xr:uid="{AB124E28-D9BA-41A6-9D8F-F4AE43E46322}"/>
    <cellStyle name="Normal 17 3 2" xfId="25936" xr:uid="{5D9C47CF-EA1F-4D39-B337-DB2960BF63C8}"/>
    <cellStyle name="Normal 17 4" xfId="25937" xr:uid="{93EF165B-98F2-4BC9-A1DE-5E496099FDEC}"/>
    <cellStyle name="Normal 17 4 2" xfId="25938" xr:uid="{D46160CE-A407-47B9-B1A0-A7F3700ED9E3}"/>
    <cellStyle name="Normal 17 5" xfId="25939" xr:uid="{A9E4216A-7F1D-4F26-9DE7-6ADC1ED164E0}"/>
    <cellStyle name="Normal 17 6" xfId="25940" xr:uid="{0E0CFE76-BB83-40BB-BBCF-5E963A8824D2}"/>
    <cellStyle name="Normal 17 7" xfId="25931" xr:uid="{5B7BB7AC-7FFB-4334-B239-397DE228005D}"/>
    <cellStyle name="Normal 18" xfId="1970" xr:uid="{00000000-0005-0000-0000-0000F4040000}"/>
    <cellStyle name="Normal 18 2" xfId="1971" xr:uid="{00000000-0005-0000-0000-0000F5040000}"/>
    <cellStyle name="Normal 18 2 2" xfId="25943" xr:uid="{FE64E695-4344-43EC-BAEF-74ED9949ACA0}"/>
    <cellStyle name="Normal 18 2 3" xfId="25944" xr:uid="{AF5CB2EA-7CC2-4A39-AEF1-EC73EC2BDC33}"/>
    <cellStyle name="Normal 18 2 4" xfId="25942" xr:uid="{02D6E8BA-B92A-4AB8-BFE3-CAA01A74551F}"/>
    <cellStyle name="Normal 18 3" xfId="25945" xr:uid="{1568298F-7101-4437-B116-26453687B0DF}"/>
    <cellStyle name="Normal 18 3 2" xfId="25946" xr:uid="{9739F7B1-17DA-45AC-A0BA-A5FA8A7785E2}"/>
    <cellStyle name="Normal 18 4" xfId="25947" xr:uid="{5C8A381F-A652-4C8B-826C-05386C2AA231}"/>
    <cellStyle name="Normal 18 4 2" xfId="25948" xr:uid="{A8C1F0FA-F397-4C78-A28A-47A695DF02F7}"/>
    <cellStyle name="Normal 18 5" xfId="25949" xr:uid="{B984410D-6CD1-4276-97DB-0B55D3C88AA1}"/>
    <cellStyle name="Normal 18 6" xfId="25950" xr:uid="{18886414-0524-4658-B0B7-76F5286A86E8}"/>
    <cellStyle name="Normal 18 7" xfId="25941" xr:uid="{E2CCB704-ADFE-412C-9EF9-DEEDFC969144}"/>
    <cellStyle name="Normal 19" xfId="1972" xr:uid="{00000000-0005-0000-0000-0000F6040000}"/>
    <cellStyle name="Normal 19 2" xfId="1973" xr:uid="{00000000-0005-0000-0000-0000F7040000}"/>
    <cellStyle name="Normal 19 2 2" xfId="25952" xr:uid="{27AC6C80-11A5-4E2F-84B5-E891083F7661}"/>
    <cellStyle name="Normal 19 2 3" xfId="25953" xr:uid="{89422BAB-D954-420B-8027-85861A203D6E}"/>
    <cellStyle name="Normal 19 2 4" xfId="25951" xr:uid="{C8A944B1-A093-4907-ABE7-71E2E0A46615}"/>
    <cellStyle name="Normal 19 3" xfId="1974" xr:uid="{00000000-0005-0000-0000-0000F8040000}"/>
    <cellStyle name="Normal 19 3 2" xfId="17794" xr:uid="{F5242784-B960-4EB7-A231-07A6F5EA1A8D}"/>
    <cellStyle name="Normal 19 4" xfId="17793" xr:uid="{C78111D5-5D60-43FA-A148-D8B4342CFE27}"/>
    <cellStyle name="Normal 2" xfId="550" xr:uid="{00000000-0005-0000-0000-0000F9040000}"/>
    <cellStyle name="Normal 2 10" xfId="6973" xr:uid="{B548D4D1-5A67-4899-8F1F-05782A70F1CE}"/>
    <cellStyle name="Normal 2 10 2" xfId="48935" xr:uid="{7B3015B3-F8C2-4A15-A1AF-CFAB835A47CA}"/>
    <cellStyle name="Normal 2 11" xfId="25954" xr:uid="{4E455E6C-6576-40E9-A603-A06D4E3C6A07}"/>
    <cellStyle name="Normal 2 11 2" xfId="25955" xr:uid="{E5F748DB-9DFF-45DA-9679-BE7B6BD72400}"/>
    <cellStyle name="Normal 2 11 2 2" xfId="25956" xr:uid="{66FFF264-F2AA-499B-B0AA-8F8980ACD10F}"/>
    <cellStyle name="Normal 2 11 3" xfId="25957" xr:uid="{A07412E7-2965-4BDC-9D82-E0303220F7CF}"/>
    <cellStyle name="Normal 2 12" xfId="25958" xr:uid="{C5048E45-C903-49D3-AAC1-81FDFD937311}"/>
    <cellStyle name="Normal 2 12 2" xfId="25959" xr:uid="{21D374B4-9600-4A94-BD47-496C96DEF535}"/>
    <cellStyle name="Normal 2 13" xfId="25960" xr:uid="{12EBADAA-11DA-49CC-AF80-9B0F1C3A92A3}"/>
    <cellStyle name="Normal 2 13 2" xfId="25961" xr:uid="{DB4BEE7B-BC48-4CFE-BF65-D6943C4A7ABE}"/>
    <cellStyle name="Normal 2 14" xfId="25962" xr:uid="{CFBB0187-21C5-489E-88A6-49718D84058C}"/>
    <cellStyle name="Normal 2 14 2" xfId="25963" xr:uid="{AC229BC2-E265-4AC8-B531-1185571B2E21}"/>
    <cellStyle name="Normal 2 15" xfId="25964" xr:uid="{F5D7F272-E4D4-46A7-8B97-146BC0F0F858}"/>
    <cellStyle name="Normal 2 15 2" xfId="48936" xr:uid="{D1F0B726-5DD7-4A82-A757-17A9E672B4F7}"/>
    <cellStyle name="Normal 2 2" xfId="551" xr:uid="{00000000-0005-0000-0000-0000FA040000}"/>
    <cellStyle name="Normal 2 2 2" xfId="552" xr:uid="{00000000-0005-0000-0000-0000FB040000}"/>
    <cellStyle name="Normal 2 2 2 2" xfId="1975" xr:uid="{00000000-0005-0000-0000-0000FC040000}"/>
    <cellStyle name="Normal 2 2 2 2 2" xfId="1976" xr:uid="{00000000-0005-0000-0000-0000FD040000}"/>
    <cellStyle name="Normal 2 2 2 2 2 2" xfId="1977" xr:uid="{00000000-0005-0000-0000-0000FE040000}"/>
    <cellStyle name="Normal 2 2 2 2 2 2 2" xfId="17797" xr:uid="{6177551A-495A-4BF3-B128-F7E12FDF920E}"/>
    <cellStyle name="Normal 2 2 2 2 2 3" xfId="14484" xr:uid="{8D5F3B70-9FC4-494F-8ACC-3B9FF55B7266}"/>
    <cellStyle name="Normal 2 2 2 2 2 4" xfId="17796" xr:uid="{46B98ABA-3CDA-41D9-BF09-790AE79F34F1}"/>
    <cellStyle name="Normal 2 2 2 2 3" xfId="1978" xr:uid="{00000000-0005-0000-0000-0000FF040000}"/>
    <cellStyle name="Normal 2 2 2 2 3 2" xfId="17798" xr:uid="{333F04AB-2873-4450-8F7A-A373FC007908}"/>
    <cellStyle name="Normal 2 2 2 2 4" xfId="4082" xr:uid="{9AA9FFB5-EF86-4C98-9A4F-85A1B6A4AB37}"/>
    <cellStyle name="Normal 2 2 2 2 4 2" xfId="25965" xr:uid="{0CA2E63F-5B9A-4170-B3CE-A80F75F25E89}"/>
    <cellStyle name="Normal 2 2 2 2 4 3" xfId="12133" xr:uid="{2D1DB450-5C49-4FE8-9848-CA1ABC3D19F4}"/>
    <cellStyle name="Normal 2 2 2 2 5" xfId="11485" xr:uid="{9E483A50-5802-4B72-A568-9CADAE7A63C4}"/>
    <cellStyle name="Normal 2 2 2 2 5 2" xfId="25966" xr:uid="{FE87A635-139E-4E32-BAAB-C03C573F1C04}"/>
    <cellStyle name="Normal 2 2 2 2 6" xfId="12199" xr:uid="{2B1F706B-7A3F-46F6-BDD4-D9F2E7FD9139}"/>
    <cellStyle name="Normal 2 2 2 2 7" xfId="11043" xr:uid="{487BCA6F-9CF6-4E2E-82BF-4DBED75BF30E}"/>
    <cellStyle name="Normal 2 2 2 2 7 2" xfId="17795" xr:uid="{E942BCF2-AE6C-4641-B020-CA5F1FD9AA03}"/>
    <cellStyle name="Normal 2 2 2 3" xfId="8066" xr:uid="{406264BF-5ACD-4756-98B7-554732035292}"/>
    <cellStyle name="Normal 2 2 2 3 2" xfId="11109" xr:uid="{02246D06-03F4-4540-9DC5-F91FA546D35A}"/>
    <cellStyle name="Normal 2 2 2 3 2 2" xfId="25969" xr:uid="{00D26139-2BAC-46C9-99CB-0A73E67C6B6C}"/>
    <cellStyle name="Normal 2 2 2 3 2 3" xfId="25968" xr:uid="{D6710EDA-83BC-41A6-96C6-93469F0A95A1}"/>
    <cellStyle name="Normal 2 2 2 3 3" xfId="11651" xr:uid="{81A224DD-FE31-433B-A1DF-649EC675E1E9}"/>
    <cellStyle name="Normal 2 2 2 3 3 2" xfId="25970" xr:uid="{5AC59EDF-8719-43BB-B8BD-9272443797C3}"/>
    <cellStyle name="Normal 2 2 2 3 4" xfId="25971" xr:uid="{9C9A5D48-0FCF-48FC-9441-8ED871334AA5}"/>
    <cellStyle name="Normal 2 2 2 3 5" xfId="25967" xr:uid="{0BCB8D8F-E6F4-4185-8A18-D845E6A6BFA3}"/>
    <cellStyle name="Normal 2 2 2 4" xfId="12134" xr:uid="{755D33AC-2D98-4791-A62C-8EA34455E81A}"/>
    <cellStyle name="Normal 2 2 2 4 2" xfId="25973" xr:uid="{13D2826B-0BCC-439D-99D7-A179C6D92CB5}"/>
    <cellStyle name="Normal 2 2 2 4 3" xfId="25974" xr:uid="{2005B056-D906-413E-A743-8D4A573F88F9}"/>
    <cellStyle name="Normal 2 2 2 4 4" xfId="25972" xr:uid="{4E08F3E6-9877-40BA-8819-EDF942371815}"/>
    <cellStyle name="Normal 2 2 2 5" xfId="11484" xr:uid="{760E8829-4339-43DA-A7B6-F8BE82D99CF1}"/>
    <cellStyle name="Normal 2 2 2 5 2" xfId="25976" xr:uid="{7CAC42D9-B5CF-4C1E-AAEF-C328AF6FC41D}"/>
    <cellStyle name="Normal 2 2 2 5 3" xfId="25975" xr:uid="{F526F61A-0A9E-48DB-A4FA-3DCB4A9ACA6A}"/>
    <cellStyle name="Normal 2 2 2 6" xfId="25977" xr:uid="{3937FC7C-3A26-4771-8671-F560FE54D73F}"/>
    <cellStyle name="Normal 2 2 2 7" xfId="25978" xr:uid="{E0A1AE21-9E0F-40A5-A6C2-96A1F5B0328B}"/>
    <cellStyle name="Normal 2 2 2 8" xfId="25979" xr:uid="{75A4D4E8-37FB-4830-9754-C2D685C44781}"/>
    <cellStyle name="Normal 2 2 2 8 2" xfId="48937" xr:uid="{4003BCF8-19CD-46A2-88C1-0D99BD363971}"/>
    <cellStyle name="Normal 2 2 3" xfId="553" xr:uid="{00000000-0005-0000-0000-000000050000}"/>
    <cellStyle name="Normal 2 2 3 2" xfId="1979" xr:uid="{00000000-0005-0000-0000-000001050000}"/>
    <cellStyle name="Normal 2 2 3 2 2" xfId="1980" xr:uid="{00000000-0005-0000-0000-000002050000}"/>
    <cellStyle name="Normal 2 2 3 2 2 2" xfId="11045" xr:uid="{5340040D-BAF6-4B78-A32F-C041E1024B70}"/>
    <cellStyle name="Normal 2 2 3 2 2 2 2" xfId="48327" xr:uid="{6054394D-617F-4CF7-A5DC-4175D2B0CC13}"/>
    <cellStyle name="Normal 2 2 3 2 2 3" xfId="17800" xr:uid="{E69BFCC8-8A19-4706-A962-0F373C8404BA}"/>
    <cellStyle name="Normal 2 2 3 2 3" xfId="11044" xr:uid="{1BE0C8AF-74C1-4850-9AAC-1680775A141E}"/>
    <cellStyle name="Normal 2 2 3 2 3 2" xfId="46717" xr:uid="{12F05AB4-D281-4804-A565-CC74805D1258}"/>
    <cellStyle name="Normal 2 2 3 2 4" xfId="17799" xr:uid="{5CCF37DC-7927-4064-8F4C-A1793517AB00}"/>
    <cellStyle name="Normal 2 2 3 3" xfId="1981" xr:uid="{00000000-0005-0000-0000-000003050000}"/>
    <cellStyle name="Normal 2 2 3 3 2" xfId="10376" xr:uid="{D359C4F9-0A7A-4819-8B95-F2A803A6D5AC}"/>
    <cellStyle name="Normal 2 2 3 3 2 2" xfId="12829" xr:uid="{21A2F6D4-6D09-42D9-8FD4-513C7357FA9D}"/>
    <cellStyle name="Normal 2 2 3 3 2 2 2" xfId="46360" xr:uid="{E50203EA-4BF8-47BA-9B66-18297ED910DE}"/>
    <cellStyle name="Normal 2 2 3 3 2 3" xfId="18921" xr:uid="{015B61D4-1310-4F60-AE8A-50875C862DA4}"/>
    <cellStyle name="Normal 2 2 3 3 3" xfId="11046" xr:uid="{210E3FF1-42F2-4E40-81F5-3C9A63AA9398}"/>
    <cellStyle name="Normal 2 2 3 3 3 2" xfId="47902" xr:uid="{CEEAE20F-2F6D-445E-A20F-205EDE0C71B4}"/>
    <cellStyle name="Normal 2 2 3 3 4" xfId="17801" xr:uid="{C0B1EDF3-5365-44C2-8576-85ECA7158EFF}"/>
    <cellStyle name="Normal 2 2 3 4" xfId="10142" xr:uid="{7C59EF78-2ECD-40F3-8098-05F45BA6D6F1}"/>
    <cellStyle name="Normal 2 2 3 4 2" xfId="10456" xr:uid="{06EC7F92-F44A-4E66-8F8F-E5F2986ECC90}"/>
    <cellStyle name="Normal 2 2 3 4 2 2" xfId="12909" xr:uid="{9FE85F37-7157-42EA-8491-674594D9E0E5}"/>
    <cellStyle name="Normal 2 2 3 4 2 2 2" xfId="32422" xr:uid="{781BFCB8-E168-486E-9798-8972AE41ACA3}"/>
    <cellStyle name="Normal 2 2 3 4 2 3" xfId="18963" xr:uid="{4DE9C2EE-B8DA-4B9B-A240-15D9C3EAB11D}"/>
    <cellStyle name="Normal 2 2 3 4 3" xfId="12598" xr:uid="{AF5B0A66-CF30-4C3E-ACF8-9FB203D14748}"/>
    <cellStyle name="Normal 2 2 3 4 3 2" xfId="47015" xr:uid="{316C5399-740C-4622-B89D-C1758B33589F}"/>
    <cellStyle name="Normal 2 2 3 4 4" xfId="18804" xr:uid="{CC673A2B-08EE-4222-964B-4BD44EE6AB8F}"/>
    <cellStyle name="Normal 2 2 3 5" xfId="10222" xr:uid="{D9F09BF0-EE8C-4FCA-B58C-F06C9B9BA52C}"/>
    <cellStyle name="Normal 2 2 3 5 2" xfId="12675" xr:uid="{325E3A74-5B28-4EC3-9330-A89F96B9F428}"/>
    <cellStyle name="Normal 2 2 3 5 2 2" xfId="48396" xr:uid="{E22B00D9-A058-43EA-9952-9259337CF95F}"/>
    <cellStyle name="Normal 2 2 3 5 3" xfId="18843" xr:uid="{7E4A82F8-9B9F-4DE1-9C50-6FC777808E79}"/>
    <cellStyle name="Normal 2 2 3 6" xfId="10536" xr:uid="{A0E0AF6D-8E78-478E-86C1-B828C9E98B61}"/>
    <cellStyle name="Normal 2 2 3 6 2" xfId="12989" xr:uid="{169BBD4F-743E-4C4A-AC28-B3507D91F494}"/>
    <cellStyle name="Normal 2 2 3 6 2 2" xfId="47763" xr:uid="{E0656424-6A6D-4CBD-B2C3-9CFEC26ECCD6}"/>
    <cellStyle name="Normal 2 2 3 6 3" xfId="19005" xr:uid="{5E689DB2-A767-4695-9D06-641BBDC5A111}"/>
    <cellStyle name="Normal 2 2 3 7" xfId="10604" xr:uid="{EE2C5754-2455-453F-B6B9-F44E9150516A}"/>
    <cellStyle name="Normal 2 2 3 7 2" xfId="47655" xr:uid="{C3C06811-680B-4EA5-BE1F-A5B2D0374755}"/>
    <cellStyle name="Normal 2 2 3 8" xfId="48938" xr:uid="{04E859D0-925C-4755-9485-6C1E89807737}"/>
    <cellStyle name="Normal 2 2 3 9" xfId="16972" xr:uid="{5006D756-0EB1-4BAF-8994-DCF158A87916}"/>
    <cellStyle name="Normal 2 2 4" xfId="1982" xr:uid="{00000000-0005-0000-0000-000004050000}"/>
    <cellStyle name="Normal 2 2 4 2" xfId="1983" xr:uid="{00000000-0005-0000-0000-000005050000}"/>
    <cellStyle name="Normal 2 2 4 2 2" xfId="25980" xr:uid="{6AE1DEF7-CFCA-48F4-800F-75904C3962F7}"/>
    <cellStyle name="Normal 2 2 4 2 3" xfId="17803" xr:uid="{86A8EFB8-6B31-497F-815F-C31E460330FC}"/>
    <cellStyle name="Normal 2 2 4 3" xfId="25981" xr:uid="{4E04E72B-CF2E-4C86-A7E5-174EE99C92A7}"/>
    <cellStyle name="Normal 2 2 4 4" xfId="17802" xr:uid="{9997C71F-4ABE-4980-88F4-7C8155C0F30F}"/>
    <cellStyle name="Normal 2 2 5" xfId="1984" xr:uid="{00000000-0005-0000-0000-000006050000}"/>
    <cellStyle name="Normal 2 2 5 2" xfId="25982" xr:uid="{5ACE6574-683D-4439-AF95-44A9B14AA6A3}"/>
    <cellStyle name="Normal 2 2 5 3" xfId="17804" xr:uid="{0D9D9CFD-AA9C-4CC3-B9DD-1D57B06E9B68}"/>
    <cellStyle name="Normal 2 2 6" xfId="4081" xr:uid="{5FF66FF3-7BC3-4D2F-9C86-3405FF7C5FD2}"/>
    <cellStyle name="Normal 2 2 6 2" xfId="25984" xr:uid="{31C82569-F8D6-484E-B8C7-0F6BAD4D0BFC}"/>
    <cellStyle name="Normal 2 2 6 3" xfId="25983" xr:uid="{46411090-80BC-484C-941D-C97C823CE288}"/>
    <cellStyle name="Normal 2 2 7" xfId="25985" xr:uid="{873E6B5E-F0D8-49B3-ACC9-219E27634749}"/>
    <cellStyle name="Normal 2 2 7 2" xfId="48939" xr:uid="{BC967B5A-BAE6-45EF-ABC1-63171D473FD7}"/>
    <cellStyle name="Normal 2 2 8" xfId="25986" xr:uid="{C4F7AEAA-4E93-487F-BF5D-6F81D2668768}"/>
    <cellStyle name="Normal 2 2 9" xfId="25987" xr:uid="{92E8545D-D3B3-421B-83D0-60C17220CAA6}"/>
    <cellStyle name="Normal 2 3" xfId="554" xr:uid="{00000000-0005-0000-0000-000007050000}"/>
    <cellStyle name="Normal 2 3 10" xfId="25989" xr:uid="{67A1DF85-1C74-4B2C-B5EF-C0BDD3488646}"/>
    <cellStyle name="Normal 2 3 11" xfId="30254" xr:uid="{CDADF718-2B30-49C5-9BF9-A80E78B0A56F}"/>
    <cellStyle name="Normal 2 3 12" xfId="25988" xr:uid="{1BF06E64-C126-4223-9523-068A8C96CDB6}"/>
    <cellStyle name="Normal 2 3 2" xfId="4083" xr:uid="{CE812BEB-0B05-48F1-B85D-DA6489CC357A}"/>
    <cellStyle name="Normal 2 3 2 2" xfId="25991" xr:uid="{ADEA2092-022E-4B15-A1F6-4A7E6109EE9B}"/>
    <cellStyle name="Normal 2 3 2 2 2" xfId="25992" xr:uid="{CAF5952A-0132-41B9-BA87-8AFDF1961766}"/>
    <cellStyle name="Normal 2 3 2 3" xfId="25993" xr:uid="{5EE113DD-F1CB-4111-8729-AD8FC33A5988}"/>
    <cellStyle name="Normal 2 3 2 3 2" xfId="25994" xr:uid="{C0BBC9C7-A995-4E6A-AEA3-144D9ADE3F76}"/>
    <cellStyle name="Normal 2 3 2 4" xfId="25995" xr:uid="{3B13B07B-3363-45AF-854D-89E03D6CCAEF}"/>
    <cellStyle name="Normal 2 3 2 5" xfId="25990" xr:uid="{772BEAD4-E241-4183-BF74-CDD6594F6D82}"/>
    <cellStyle name="Normal 2 3 3" xfId="4084" xr:uid="{D7D085DD-B1AB-4CE5-8D7A-31645E4285A1}"/>
    <cellStyle name="Normal 2 3 3 2" xfId="13427" xr:uid="{98158BF1-6CCB-4B09-86D2-F6248FDB48E2}"/>
    <cellStyle name="Normal 2 3 3 2 2" xfId="25997" xr:uid="{FD299A94-ED3C-4E0A-A53A-FF8F1A75D557}"/>
    <cellStyle name="Normal 2 3 3 3" xfId="18118" xr:uid="{C2E9792A-054F-452F-B561-84D9013DCD40}"/>
    <cellStyle name="Normal 2 3 3 4" xfId="25996" xr:uid="{8CEEA139-C1E6-499E-BBAE-036A5C7E0232}"/>
    <cellStyle name="Normal 2 3 3 5" xfId="11486" xr:uid="{A6AB8E3A-5686-4443-A265-D8B2781E7F9B}"/>
    <cellStyle name="Normal 2 3 4" xfId="25998" xr:uid="{4AA8527F-C4FE-4DAD-97D8-5399B401DE69}"/>
    <cellStyle name="Normal 2 3 4 2" xfId="25999" xr:uid="{642C894A-B37C-472B-8062-52DAC1B3F9A6}"/>
    <cellStyle name="Normal 2 3 5" xfId="26000" xr:uid="{DC089020-0012-42E5-B8E3-6A91DE12ADA4}"/>
    <cellStyle name="Normal 2 3 5 2" xfId="26001" xr:uid="{7D0D9B92-C802-4380-8CDA-A1082FDE7E6D}"/>
    <cellStyle name="Normal 2 3 6" xfId="26002" xr:uid="{F9DECC90-7CDC-4651-9E12-AF4A2E40F8A1}"/>
    <cellStyle name="Normal 2 3 6 2" xfId="26003" xr:uid="{6EB5872D-D7A6-4984-9CDF-4D584A005E08}"/>
    <cellStyle name="Normal 2 3 7" xfId="26004" xr:uid="{067EB478-9EFF-4CA3-9191-1AE297CCE443}"/>
    <cellStyle name="Normal 2 3 7 2" xfId="26005" xr:uid="{2DE1E3F5-CB64-4FA4-A046-0596E9CAB737}"/>
    <cellStyle name="Normal 2 3 8" xfId="26006" xr:uid="{67755135-496A-4D62-8022-335EB740ED42}"/>
    <cellStyle name="Normal 2 3 8 2" xfId="48940" xr:uid="{54C27EA9-684B-4419-B792-6A434532F325}"/>
    <cellStyle name="Normal 2 3 9" xfId="26007" xr:uid="{FD7E849E-97A2-4C4A-888A-6AE7BCC9A19E}"/>
    <cellStyle name="Normal 2 3 9 2" xfId="48941" xr:uid="{907A3753-22E0-4D7F-B23D-B42821DD2360}"/>
    <cellStyle name="Normal 2 4" xfId="555" xr:uid="{00000000-0005-0000-0000-000008050000}"/>
    <cellStyle name="Normal 2 4 2" xfId="1985" xr:uid="{00000000-0005-0000-0000-000009050000}"/>
    <cellStyle name="Normal 2 4 2 2" xfId="1986" xr:uid="{00000000-0005-0000-0000-00000A050000}"/>
    <cellStyle name="Normal 2 4 2 2 2" xfId="26008" xr:uid="{C7747BCB-E01A-4EBA-95E7-1A4BB63D9AC2}"/>
    <cellStyle name="Normal 2 4 2 2 3" xfId="17806" xr:uid="{63A3E9A6-E78F-43C3-AEBA-A230F7807F9C}"/>
    <cellStyle name="Normal 2 4 2 3" xfId="12135" xr:uid="{991CF921-EFE7-4A2B-AE49-EC1856999C67}"/>
    <cellStyle name="Normal 2 4 2 3 2" xfId="26010" xr:uid="{3CD747CA-A7E8-4C92-A212-A168BB1B0CFB}"/>
    <cellStyle name="Normal 2 4 2 3 3" xfId="26009" xr:uid="{29139BFD-D2AD-4FCD-80BB-6A6E2B658A97}"/>
    <cellStyle name="Normal 2 4 2 4" xfId="11652" xr:uid="{E5C8CC66-F4D4-41E3-BC3A-F4F2EF5CCC78}"/>
    <cellStyle name="Normal 2 4 2 4 2" xfId="26011" xr:uid="{C6E6DADA-54AA-4F23-BDB5-3B7BCB91595C}"/>
    <cellStyle name="Normal 2 4 2 5" xfId="11047" xr:uid="{6A3BB9DF-F2DE-4E2B-A07F-98994FF168BF}"/>
    <cellStyle name="Normal 2 4 2 5 2" xfId="26012" xr:uid="{E4739F95-5DE2-45F1-B801-852F59AB41C3}"/>
    <cellStyle name="Normal 2 4 2 6" xfId="26013" xr:uid="{7E9508BB-497A-46B3-B1BA-3DA34CAE2AB5}"/>
    <cellStyle name="Normal 2 4 2 7" xfId="17805" xr:uid="{092EA9CC-DE07-4669-91A3-7CFD57318BB8}"/>
    <cellStyle name="Normal 2 4 2 8" xfId="9230" xr:uid="{2DBA7BA7-8EEF-47D1-9D37-91839F511EBA}"/>
    <cellStyle name="Normal 2 4 3" xfId="1987" xr:uid="{00000000-0005-0000-0000-00000B050000}"/>
    <cellStyle name="Normal 2 4 3 2" xfId="26014" xr:uid="{2B0D404A-4121-451C-8A27-A17B8707670C}"/>
    <cellStyle name="Normal 2 4 3 3" xfId="17807" xr:uid="{98A64F62-51D9-4DCF-B41F-7B2B578AA75B}"/>
    <cellStyle name="Normal 2 4 4" xfId="12136" xr:uid="{F2E46824-49A4-41C4-9A2A-D22B48D38697}"/>
    <cellStyle name="Normal 2 4 4 2" xfId="26016" xr:uid="{EE66411F-5E1D-44BB-A8AB-FABC8540B013}"/>
    <cellStyle name="Normal 2 4 4 3" xfId="26015" xr:uid="{4207EB4D-8B29-490F-9C70-AA2507804D25}"/>
    <cellStyle name="Normal 2 4 5" xfId="26017" xr:uid="{27F28F2F-8A21-4412-8F24-3442F50B9691}"/>
    <cellStyle name="Normal 2 4 5 2" xfId="26018" xr:uid="{B20D9811-78FA-4032-B226-F43DDCEAC2D2}"/>
    <cellStyle name="Normal 2 4 6" xfId="26019" xr:uid="{5590BAB7-C03B-4E65-9DDA-761DAAA6F6F8}"/>
    <cellStyle name="Normal 2 4 6 2" xfId="26020" xr:uid="{34969C06-FA0C-4FA8-9F57-3D99D1DDE42D}"/>
    <cellStyle name="Normal 2 4 7" xfId="26021" xr:uid="{E574CB89-0DB3-44ED-849D-447983BBAC3D}"/>
    <cellStyle name="Normal 2 4 7 2" xfId="26022" xr:uid="{1C09A6B1-9DDE-4B90-80A1-B9D4798C19C6}"/>
    <cellStyle name="Normal 2 4 8" xfId="26023" xr:uid="{0188285F-D1C0-476A-AC94-53D0D8396279}"/>
    <cellStyle name="Normal 2 4 8 2" xfId="48942" xr:uid="{BA1EC366-A556-4563-B618-1A1A2F351764}"/>
    <cellStyle name="Normal 2 4 9" xfId="26024" xr:uid="{6893BEB8-0F63-453A-B8E6-3A6379E77034}"/>
    <cellStyle name="Normal 2 5" xfId="1988" xr:uid="{00000000-0005-0000-0000-00000C050000}"/>
    <cellStyle name="Normal 2 5 10" xfId="26025" xr:uid="{64CEA76E-E188-4296-BEC7-532935CC326A}"/>
    <cellStyle name="Normal 2 5 11" xfId="48943" xr:uid="{4E6F6B81-3633-49B5-9337-6DC238605601}"/>
    <cellStyle name="Normal 2 5 2" xfId="26026" xr:uid="{DEE0193F-6DE4-4D29-A5B5-2CA302366216}"/>
    <cellStyle name="Normal 2 5 2 2" xfId="26027" xr:uid="{442918E7-C9BA-47F2-ADC0-E1E153EFA80F}"/>
    <cellStyle name="Normal 2 5 2 2 2" xfId="26028" xr:uid="{89A647BF-61B6-49B9-A039-4A8A545AC1EF}"/>
    <cellStyle name="Normal 2 5 2 3" xfId="26029" xr:uid="{5AC786D3-E109-4DA4-A76D-C3840EAAC9F6}"/>
    <cellStyle name="Normal 2 5 2 3 2" xfId="26030" xr:uid="{1682CEFA-9DC7-47FE-9B29-87FDF39F831B}"/>
    <cellStyle name="Normal 2 5 2 4" xfId="26031" xr:uid="{CFA0A103-EB14-44B7-9886-D3D3648E2C5B}"/>
    <cellStyle name="Normal 2 5 3" xfId="26032" xr:uid="{5D36008F-E0C8-4C8F-B9FC-1531C0A48E5A}"/>
    <cellStyle name="Normal 2 5 3 2" xfId="26033" xr:uid="{AEE75CE0-3C93-4D70-A24C-2A6A83F207D7}"/>
    <cellStyle name="Normal 2 5 4" xfId="26034" xr:uid="{73673140-FC5A-4803-9A4D-360F754AEF11}"/>
    <cellStyle name="Normal 2 5 4 2" xfId="26035" xr:uid="{62FC8F9F-67E0-4890-9DBF-6B43FF6474CB}"/>
    <cellStyle name="Normal 2 5 5" xfId="26036" xr:uid="{634A8158-42B7-4D1B-AC03-711F4E1B1EEF}"/>
    <cellStyle name="Normal 2 5 5 2" xfId="26037" xr:uid="{A09565EC-DA60-4F5C-A077-5E39E31F9226}"/>
    <cellStyle name="Normal 2 5 6" xfId="26038" xr:uid="{D5AD8542-129A-498A-AEA7-C06436E66FAC}"/>
    <cellStyle name="Normal 2 5 6 2" xfId="26039" xr:uid="{E4EE9A77-A3AF-445F-A614-07F1C080B56F}"/>
    <cellStyle name="Normal 2 5 7" xfId="26040" xr:uid="{C3947C20-D269-43BD-832D-FFC6A08687A7}"/>
    <cellStyle name="Normal 2 5 7 2" xfId="48944" xr:uid="{0738BB52-5FD1-4DDB-BFDA-9223A3ADADA7}"/>
    <cellStyle name="Normal 2 5 8" xfId="26041" xr:uid="{D5FB66C6-0C06-48F4-8458-28DA2983901C}"/>
    <cellStyle name="Normal 2 5 8 2" xfId="48945" xr:uid="{6CB50DAC-7ABD-4ADA-92CD-9AE50BC627EC}"/>
    <cellStyle name="Normal 2 5 9" xfId="26042" xr:uid="{20E8148E-3E93-41A6-9AED-3FC1309A62BE}"/>
    <cellStyle name="Normal 2 6" xfId="26043" xr:uid="{340B750A-ED53-4DD0-86D1-1A7AAFBE2E87}"/>
    <cellStyle name="Normal 2 6 2" xfId="26044" xr:uid="{28BC664B-603D-48F4-91FE-53302B361D3A}"/>
    <cellStyle name="Normal 2 6 2 2" xfId="26045" xr:uid="{47CE0404-E7C6-4E64-878E-C221DA3A12B4}"/>
    <cellStyle name="Normal 2 6 2 2 2" xfId="26046" xr:uid="{3891D583-5021-4D3A-B9BB-2CDC2323B448}"/>
    <cellStyle name="Normal 2 6 2 3" xfId="26047" xr:uid="{434718F8-96EC-45C1-AFD6-9B95F1E6EAFE}"/>
    <cellStyle name="Normal 2 6 2 3 2" xfId="26048" xr:uid="{8B476A28-5C49-4198-8967-3BDF28D4A8CD}"/>
    <cellStyle name="Normal 2 6 2 4" xfId="26049" xr:uid="{E69DDEF5-D081-40AE-B548-C72101B823BE}"/>
    <cellStyle name="Normal 2 6 3" xfId="26050" xr:uid="{FE778A85-1EEE-404C-B6A5-2C323BF76B4F}"/>
    <cellStyle name="Normal 2 6 3 2" xfId="26051" xr:uid="{8A99DB48-23CF-43F3-9793-47E8785BC354}"/>
    <cellStyle name="Normal 2 6 4" xfId="26052" xr:uid="{3052A629-D98D-4A10-B7FC-E94550880021}"/>
    <cellStyle name="Normal 2 6 4 2" xfId="26053" xr:uid="{356E1B8B-82F8-41C2-B218-11CCF3A6AACB}"/>
    <cellStyle name="Normal 2 6 5" xfId="26054" xr:uid="{73DA08F9-3F21-4A9F-BA71-23172A851B5A}"/>
    <cellStyle name="Normal 2 6 5 2" xfId="26055" xr:uid="{24A2DB09-0421-4B1E-98BF-C41284C37494}"/>
    <cellStyle name="Normal 2 6 6" xfId="26056" xr:uid="{EFBFFB47-1411-49E2-A2D6-9316263FADA2}"/>
    <cellStyle name="Normal 2 6 6 2" xfId="26057" xr:uid="{5A1B7310-577B-4FBB-8D89-CEAB212D3FA6}"/>
    <cellStyle name="Normal 2 6 7" xfId="48946" xr:uid="{360798C8-9116-479F-B41A-FB4D957646E4}"/>
    <cellStyle name="Normal 2 7" xfId="26058" xr:uid="{0F55875A-DD73-4703-89C7-B55EF670BFBC}"/>
    <cellStyle name="Normal 2 7 2" xfId="26059" xr:uid="{70E15297-A8CD-4626-924E-7238DC8EC9B3}"/>
    <cellStyle name="Normal 2 7 2 2" xfId="26060" xr:uid="{E0A43B54-6AC2-4947-90EB-615D7DD044D7}"/>
    <cellStyle name="Normal 2 7 2 2 2" xfId="26061" xr:uid="{1346773B-F252-4A4E-9C8F-F3E1AE3EB187}"/>
    <cellStyle name="Normal 2 7 2 3" xfId="26062" xr:uid="{9052ABA2-7C99-45C9-A813-26A21FBECD7F}"/>
    <cellStyle name="Normal 2 7 2 3 2" xfId="26063" xr:uid="{DAE1855D-250A-46A6-A683-442EF17D6AD2}"/>
    <cellStyle name="Normal 2 7 2 4" xfId="26064" xr:uid="{274791D3-1CB9-4D64-8736-5ED87C4FA9A3}"/>
    <cellStyle name="Normal 2 7 3" xfId="26065" xr:uid="{FE4B02AF-7439-4DCA-B661-F088944D352C}"/>
    <cellStyle name="Normal 2 7 3 2" xfId="26066" xr:uid="{84632C96-75AE-4F18-8D20-EA4D0C62B008}"/>
    <cellStyle name="Normal 2 7 4" xfId="26067" xr:uid="{B9201B52-5125-4463-BF35-D1D420C3280B}"/>
    <cellStyle name="Normal 2 7 4 2" xfId="26068" xr:uid="{4F936754-32F5-4897-B7C6-B1BC442D49F9}"/>
    <cellStyle name="Normal 2 7 5" xfId="26069" xr:uid="{AF6E041C-1B75-4092-816D-63F27D128645}"/>
    <cellStyle name="Normal 2 7 5 2" xfId="26070" xr:uid="{455AFAA7-99C2-443B-BAC6-947E9B2861E0}"/>
    <cellStyle name="Normal 2 7 6" xfId="26071" xr:uid="{AF66AD4F-26D8-4515-B8BE-7D892E8407AF}"/>
    <cellStyle name="Normal 2 8" xfId="26072" xr:uid="{2A31173D-6808-4061-A961-32FFACDA3538}"/>
    <cellStyle name="Normal 2 8 2" xfId="26073" xr:uid="{503A469C-78FA-47E2-A743-88A1CFF97F14}"/>
    <cellStyle name="Normal 2 8 2 2" xfId="26074" xr:uid="{04A301DA-8ADB-4186-9D74-0762D647F888}"/>
    <cellStyle name="Normal 2 8 2 2 2" xfId="26075" xr:uid="{7C61FADD-9292-4ABA-A913-E3814626F474}"/>
    <cellStyle name="Normal 2 8 2 3" xfId="26076" xr:uid="{19E51D8B-6EE3-4A7A-BE75-B6114D1D3A50}"/>
    <cellStyle name="Normal 2 8 2 3 2" xfId="26077" xr:uid="{F8196CAE-3425-4D0F-88E7-79C4DBEE14ED}"/>
    <cellStyle name="Normal 2 8 2 4" xfId="26078" xr:uid="{0AC2FE7A-10AF-4E38-8150-8E2EA2F62361}"/>
    <cellStyle name="Normal 2 8 3" xfId="26079" xr:uid="{7CE01C13-F18D-4918-A2BE-527112C81A99}"/>
    <cellStyle name="Normal 2 8 3 2" xfId="26080" xr:uid="{DBD499B2-DD3B-43AC-80F4-F318D63D3F24}"/>
    <cellStyle name="Normal 2 8 4" xfId="26081" xr:uid="{221E8F1D-2788-4F2E-A732-17CE8606B67B}"/>
    <cellStyle name="Normal 2 8 4 2" xfId="26082" xr:uid="{BF222C33-2692-478E-91DB-61F53B1344CC}"/>
    <cellStyle name="Normal 2 8 5" xfId="26083" xr:uid="{9E34F5F7-31FD-4520-84FB-7FA3654E0861}"/>
    <cellStyle name="Normal 2 8 5 2" xfId="26084" xr:uid="{472185FF-F297-45B4-97BD-8C59FAE0BDE4}"/>
    <cellStyle name="Normal 2 8 6" xfId="26085" xr:uid="{7398CE4D-4ADA-4E2B-9938-80761A023040}"/>
    <cellStyle name="Normal 2 9" xfId="26086" xr:uid="{48C4C14B-6DD5-4333-BAA1-408481DB4940}"/>
    <cellStyle name="Normal 2 9 2" xfId="26087" xr:uid="{559DAC64-32D8-406A-AFE1-8C407B2BA389}"/>
    <cellStyle name="Normal 2 9 2 2" xfId="26088" xr:uid="{DB2603C3-D16C-43F3-876E-4E00B32B060D}"/>
    <cellStyle name="Normal 2 9 2 2 2" xfId="26089" xr:uid="{B7815A8C-E674-41CA-9CFA-63E1C5A47701}"/>
    <cellStyle name="Normal 2 9 2 3" xfId="26090" xr:uid="{047140B3-17F7-442C-9EAD-0FDD76FFDFC4}"/>
    <cellStyle name="Normal 2 9 2 3 2" xfId="26091" xr:uid="{0B24C816-2515-402B-8191-45284C68F863}"/>
    <cellStyle name="Normal 2 9 2 4" xfId="26092" xr:uid="{3E46BF7B-9560-4DC0-A5D9-8AEABE1BF510}"/>
    <cellStyle name="Normal 2 9 3" xfId="26093" xr:uid="{38829973-3567-4C0A-B0E0-96B11D7D4B2F}"/>
    <cellStyle name="Normal 2 9 3 2" xfId="26094" xr:uid="{6045CB2A-994A-4528-B483-F7889FEFC2BD}"/>
    <cellStyle name="Normal 2 9 4" xfId="26095" xr:uid="{BBA5644B-D314-421B-B094-5EFD0FFE8836}"/>
    <cellStyle name="Normal 2 9 4 2" xfId="26096" xr:uid="{E61F07F2-8ADA-42A5-A3C6-65435AAA455E}"/>
    <cellStyle name="Normal 2 9 5" xfId="26097" xr:uid="{B68AD298-10F4-4912-8B9C-3DC8343A9B91}"/>
    <cellStyle name="Normal 2_Plants" xfId="1989" xr:uid="{00000000-0005-0000-0000-00000D050000}"/>
    <cellStyle name="Normal 20" xfId="1990" xr:uid="{00000000-0005-0000-0000-00000E050000}"/>
    <cellStyle name="Normal 20 2" xfId="26099" xr:uid="{7DAD4F89-7828-4077-A27F-C9DF273B4B1A}"/>
    <cellStyle name="Normal 20 3" xfId="26100" xr:uid="{6AAFDE01-538E-45C6-80DA-5CAABDC385D9}"/>
    <cellStyle name="Normal 20 4" xfId="26098" xr:uid="{B1A09895-80F2-4E72-912F-A1AFC793CC7C}"/>
    <cellStyle name="Normal 21" xfId="1991" xr:uid="{00000000-0005-0000-0000-00000F050000}"/>
    <cellStyle name="Normal 21 2" xfId="26102" xr:uid="{2DE83324-6114-4ABF-AAB8-BFDBF2DFDE1D}"/>
    <cellStyle name="Normal 21 3" xfId="26103" xr:uid="{32E77219-CCDC-4D27-8B35-CBF583B075B7}"/>
    <cellStyle name="Normal 21 4" xfId="26101" xr:uid="{B5C5B7A7-ECA1-47AA-832A-13270CA09764}"/>
    <cellStyle name="Normal 22" xfId="1992" xr:uid="{00000000-0005-0000-0000-000010050000}"/>
    <cellStyle name="Normal 22 2" xfId="26105" xr:uid="{8BFA613A-F53A-4658-BFDF-7BA5171DEF6C}"/>
    <cellStyle name="Normal 22 3" xfId="26106" xr:uid="{5A8A9220-9760-4062-BBE2-610BC6063976}"/>
    <cellStyle name="Normal 22 4" xfId="26104" xr:uid="{FB2B9904-809D-4DA8-A99D-FA016E02FD52}"/>
    <cellStyle name="Normal 23" xfId="1993" xr:uid="{00000000-0005-0000-0000-000011050000}"/>
    <cellStyle name="Normal 23 2" xfId="26108" xr:uid="{49549CFF-0D7D-443E-A419-72B520196363}"/>
    <cellStyle name="Normal 23 3" xfId="26109" xr:uid="{9F097735-9F0D-4CDE-A116-C4B29D133384}"/>
    <cellStyle name="Normal 23 4" xfId="26107" xr:uid="{3615E7CD-78D9-47AB-8C68-DC9A4273A8B6}"/>
    <cellStyle name="Normal 24" xfId="1994" xr:uid="{00000000-0005-0000-0000-000012050000}"/>
    <cellStyle name="Normal 24 2" xfId="26111" xr:uid="{72FC3CEE-E588-40BB-8F27-DF4DF6963571}"/>
    <cellStyle name="Normal 24 3" xfId="26110" xr:uid="{47F1950F-5A16-4D92-8FAF-F499157DAB17}"/>
    <cellStyle name="Normal 24 4" xfId="48947" xr:uid="{8EE6DDF0-BD63-44E3-BB8A-F32CBE25882F}"/>
    <cellStyle name="Normal 25" xfId="1995" xr:uid="{00000000-0005-0000-0000-000013050000}"/>
    <cellStyle name="Normal 25 2" xfId="26113" xr:uid="{1AA6E246-B68E-44CD-9518-48A984A2D1ED}"/>
    <cellStyle name="Normal 25 3" xfId="26112" xr:uid="{47654DE6-AE74-4C39-B3F1-932A91CF4B22}"/>
    <cellStyle name="Normal 25 4" xfId="48948" xr:uid="{A2E26FD0-F89A-4E26-AC81-7984A6EA89FC}"/>
    <cellStyle name="Normal 26" xfId="1996" xr:uid="{00000000-0005-0000-0000-000014050000}"/>
    <cellStyle name="Normal 26 2" xfId="26115" xr:uid="{8EF6F8E0-50BF-4524-9328-C8BB4FD560A2}"/>
    <cellStyle name="Normal 26 3" xfId="26114" xr:uid="{AB7AC8C4-6198-45E3-998D-DAFB70D8FAAE}"/>
    <cellStyle name="Normal 26 4" xfId="48949" xr:uid="{EFF6C202-D407-480A-B0C1-33A7FCD3123F}"/>
    <cellStyle name="Normal 27" xfId="1997" xr:uid="{00000000-0005-0000-0000-000015050000}"/>
    <cellStyle name="Normal 27 2" xfId="26117" xr:uid="{F4F8FD33-7A99-4A04-B9BB-EB378E930646}"/>
    <cellStyle name="Normal 27 3" xfId="26116" xr:uid="{44B8E0F7-16CC-4A1F-8293-390DD17302E3}"/>
    <cellStyle name="Normal 27 4" xfId="48950" xr:uid="{7B06B54B-C9CF-449A-8547-F26E4A3E079C}"/>
    <cellStyle name="Normal 28" xfId="1998" xr:uid="{00000000-0005-0000-0000-000016050000}"/>
    <cellStyle name="Normal 28 2" xfId="26119" xr:uid="{7D72CD25-B0A3-406D-AE92-C69AE5E07D4E}"/>
    <cellStyle name="Normal 28 3" xfId="26118" xr:uid="{77F762D9-B064-4EAC-9B46-F3F8F41BD873}"/>
    <cellStyle name="Normal 28 4" xfId="48951" xr:uid="{BA575035-D3ED-4E3F-969B-AA821232FD04}"/>
    <cellStyle name="Normal 29" xfId="1999" xr:uid="{00000000-0005-0000-0000-000017050000}"/>
    <cellStyle name="Normal 29 2" xfId="2000" xr:uid="{00000000-0005-0000-0000-000018050000}"/>
    <cellStyle name="Normal 29 2 2" xfId="17809" xr:uid="{D8ED0CC1-ED96-4FC7-A383-CBC11E54F242}"/>
    <cellStyle name="Normal 29 3" xfId="26120" xr:uid="{6C6AAF8E-33A8-47D8-8B6D-8438A687D024}"/>
    <cellStyle name="Normal 29 4" xfId="48952" xr:uid="{53A13280-1074-4701-97DF-A707FE842019}"/>
    <cellStyle name="Normal 29 5" xfId="17808" xr:uid="{1BAE3121-0A18-4382-8488-672FB576C753}"/>
    <cellStyle name="Normal 3" xfId="556" xr:uid="{00000000-0005-0000-0000-000019050000}"/>
    <cellStyle name="Normal 3 10" xfId="2001" xr:uid="{00000000-0005-0000-0000-00001A050000}"/>
    <cellStyle name="Normal 3 10 2" xfId="12660" xr:uid="{04441DE3-9016-4CB4-AB7D-C8EA31BE87B1}"/>
    <cellStyle name="Normal 3 10 2 2" xfId="26121" xr:uid="{E3B80F01-F35C-454D-AF42-17EA80FE55E8}"/>
    <cellStyle name="Normal 3 10 2 3" xfId="18833" xr:uid="{7609301A-A385-4FCA-9856-E63D5374D4A6}"/>
    <cellStyle name="Normal 3 10 3" xfId="11048" xr:uid="{2483506D-07B3-411D-AA9C-9F23DC54E47A}"/>
    <cellStyle name="Normal 3 10 3 2" xfId="37518" xr:uid="{46ED8552-3A56-4E26-9F53-3B16385D0728}"/>
    <cellStyle name="Normal 3 10 3 3" xfId="26122" xr:uid="{EF85DE27-6B47-4486-A60A-A3C10BE72B1A}"/>
    <cellStyle name="Normal 3 10 4" xfId="26123" xr:uid="{EAA9913F-FABD-45CD-93EC-1A40291F91C4}"/>
    <cellStyle name="Normal 3 10 5" xfId="10207" xr:uid="{43E65694-37F5-4B19-9AB6-A0BD2F09B1B0}"/>
    <cellStyle name="Normal 3 11" xfId="2002" xr:uid="{00000000-0005-0000-0000-00001B050000}"/>
    <cellStyle name="Normal 3 11 2" xfId="12974" xr:uid="{29E2F27F-42B0-49BD-8E60-69A7057540F6}"/>
    <cellStyle name="Normal 3 11 2 2" xfId="18995" xr:uid="{0478C803-1793-46B0-AAB4-2A7FDAFC31C8}"/>
    <cellStyle name="Normal 3 11 3" xfId="11049" xr:uid="{86591EE1-BFB7-4666-A385-BCED4A36E93A}"/>
    <cellStyle name="Normal 3 11 3 2" xfId="48092" xr:uid="{B9BC2659-251C-486A-B489-DAE0F1B3F55D}"/>
    <cellStyle name="Normal 3 11 3 3" xfId="26124" xr:uid="{C848C920-A3FD-4D49-9779-73623CC34E09}"/>
    <cellStyle name="Normal 3 11 4" xfId="10521" xr:uid="{62EAE520-58D1-4789-8E1A-E1D039C6F0BF}"/>
    <cellStyle name="Normal 3 12" xfId="2003" xr:uid="{00000000-0005-0000-0000-00001C050000}"/>
    <cellStyle name="Normal 3 12 2" xfId="26126" xr:uid="{666B767D-DC19-4925-9B1F-623D0E10472B}"/>
    <cellStyle name="Normal 3 12 3" xfId="26127" xr:uid="{BA6EF3D4-B56D-409E-AC72-44635D06B2CC}"/>
    <cellStyle name="Normal 3 12 4" xfId="26125" xr:uid="{795EFC74-09E5-4B3D-9FD7-A83114032C6B}"/>
    <cellStyle name="Normal 3 13" xfId="2004" xr:uid="{00000000-0005-0000-0000-00001D050000}"/>
    <cellStyle name="Normal 3 13 2" xfId="26129" xr:uid="{35D92CD5-75F8-480E-BF0E-A8F934A1699D}"/>
    <cellStyle name="Normal 3 13 3" xfId="26130" xr:uid="{8DE988D7-5743-4ED9-B545-7904BEC9B260}"/>
    <cellStyle name="Normal 3 13 4" xfId="26128" xr:uid="{F512C8D0-5CFA-42A6-AE54-30D5936FC880}"/>
    <cellStyle name="Normal 3 14" xfId="2005" xr:uid="{00000000-0005-0000-0000-00001E050000}"/>
    <cellStyle name="Normal 3 14 2" xfId="26132" xr:uid="{F9C6EF2C-EA5D-45B0-945D-B9BE930FAB37}"/>
    <cellStyle name="Normal 3 14 3" xfId="26133" xr:uid="{33B940BF-C50E-4B6E-8CEB-38033FACC52A}"/>
    <cellStyle name="Normal 3 14 4" xfId="26131" xr:uid="{9853AD6F-AFF3-424F-9C55-B4D0C56AB956}"/>
    <cellStyle name="Normal 3 15" xfId="2006" xr:uid="{00000000-0005-0000-0000-00001F050000}"/>
    <cellStyle name="Normal 3 15 2" xfId="26135" xr:uid="{FE0AE2CB-D626-4FE6-80BE-DF4B1A485A82}"/>
    <cellStyle name="Normal 3 15 3" xfId="26134" xr:uid="{16F7872C-FE7A-4382-AE51-766383C0D1C2}"/>
    <cellStyle name="Normal 3 15 4" xfId="48953" xr:uid="{C997B44B-A72A-44A5-8A42-B1872A758FFD}"/>
    <cellStyle name="Normal 3 16" xfId="2007" xr:uid="{00000000-0005-0000-0000-000020050000}"/>
    <cellStyle name="Normal 3 16 2" xfId="26136" xr:uid="{5266C609-1BE6-4785-BCB4-0F40F03F2D1D}"/>
    <cellStyle name="Normal 3 16 3" xfId="48954" xr:uid="{E791E01B-1883-44CB-8137-F1124BC79BDF}"/>
    <cellStyle name="Normal 3 16 4" xfId="17810" xr:uid="{71A080E3-29E1-4033-9653-34316683CE58}"/>
    <cellStyle name="Normal 3 17" xfId="10605" xr:uid="{ACF6057F-FC24-40DD-B093-A275D02C7222}"/>
    <cellStyle name="Normal 3 17 2" xfId="46158" xr:uid="{A847BDCF-C006-4C21-890A-71423908245C}"/>
    <cellStyle name="Normal 3 18" xfId="16973" xr:uid="{35B24204-008E-4E44-BC7B-57019416F3AF}"/>
    <cellStyle name="Normal 3 2" xfId="557" xr:uid="{00000000-0005-0000-0000-000021050000}"/>
    <cellStyle name="Normal 3 2 10" xfId="10606" xr:uid="{6EB48CD1-6488-4BEB-B76E-BC1F0FE91E00}"/>
    <cellStyle name="Normal 3 2 10 2" xfId="47295" xr:uid="{7D67BA51-BB66-4DBD-8BBA-44551B4BD656}"/>
    <cellStyle name="Normal 3 2 11" xfId="16974" xr:uid="{93D4542A-56C2-4916-A40D-1D4883A8C181}"/>
    <cellStyle name="Normal 3 2 2" xfId="558" xr:uid="{00000000-0005-0000-0000-000022050000}"/>
    <cellStyle name="Normal 3 2 2 2" xfId="2008" xr:uid="{00000000-0005-0000-0000-000023050000}"/>
    <cellStyle name="Normal 3 2 2 2 2" xfId="4085" xr:uid="{20EFB8C9-9949-4054-98E5-B71FE73FB663}"/>
    <cellStyle name="Normal 3 2 2 2 2 2" xfId="10309" xr:uid="{97079813-CA6F-4D52-B25D-54C3F8818E5B}"/>
    <cellStyle name="Normal 3 2 2 2 2 2 2" xfId="12762" xr:uid="{4B87800D-3687-46B4-B3E0-C25E8933A727}"/>
    <cellStyle name="Normal 3 2 2 2 2 2 2 2" xfId="48273" xr:uid="{381EDA03-26A1-464B-A2C4-22C1456E8F2B}"/>
    <cellStyle name="Normal 3 2 2 2 2 2 3" xfId="18891" xr:uid="{FFE6792C-B1D1-4FDA-BEB5-74A633BADD87}"/>
    <cellStyle name="Normal 3 2 2 2 2 3" xfId="12461" xr:uid="{4AA39EAA-F9C9-47FE-A99E-14E1E838C054}"/>
    <cellStyle name="Normal 3 2 2 2 2 3 2" xfId="46309" xr:uid="{D545C542-3FB2-433E-9C7A-A9619DEE0798}"/>
    <cellStyle name="Normal 3 2 2 2 2 4" xfId="18742" xr:uid="{AB7E0D20-1E08-4C72-A6FA-A0EAD2460628}"/>
    <cellStyle name="Normal 3 2 2 2 3" xfId="10076" xr:uid="{21982FB5-F980-4039-B82E-6737687A3317}"/>
    <cellStyle name="Normal 3 2 2 2 3 2" xfId="10388" xr:uid="{306AC40D-F6D3-4D6E-8518-2FE7C2680F0A}"/>
    <cellStyle name="Normal 3 2 2 2 3 2 2" xfId="12841" xr:uid="{6F447464-87F4-428D-9967-D02B54FA5C98}"/>
    <cellStyle name="Normal 3 2 2 2 3 2 2 2" xfId="46362" xr:uid="{CDBB03F2-ACAD-468E-91AC-197726C1CD18}"/>
    <cellStyle name="Normal 3 2 2 2 3 2 3" xfId="18932" xr:uid="{2E260D67-E698-442E-AA83-F0B4EEC4C9DE}"/>
    <cellStyle name="Normal 3 2 2 2 3 3" xfId="12533" xr:uid="{3E7D13F5-B41D-4ADE-B202-510A158513E2}"/>
    <cellStyle name="Normal 3 2 2 2 3 3 2" xfId="48335" xr:uid="{DC70115C-2939-426F-BDE6-E3A35EDEB5AB}"/>
    <cellStyle name="Normal 3 2 2 2 3 4" xfId="18776" xr:uid="{CD7C024D-81AA-48FA-BCBB-7F9BB30CC54D}"/>
    <cellStyle name="Normal 3 2 2 2 4" xfId="10154" xr:uid="{5FE54D2D-47E2-4A6F-9AC3-E60B69EAE1FA}"/>
    <cellStyle name="Normal 3 2 2 2 4 2" xfId="10468" xr:uid="{2640CB69-50E8-4D5C-8BE7-BF7047CB40BA}"/>
    <cellStyle name="Normal 3 2 2 2 4 2 2" xfId="12921" xr:uid="{1A734615-A55D-4116-8400-C955242F8C37}"/>
    <cellStyle name="Normal 3 2 2 2 4 2 2 2" xfId="32421" xr:uid="{53B9F37C-52C2-4546-A4FD-A93FAFC7D179}"/>
    <cellStyle name="Normal 3 2 2 2 4 2 3" xfId="18974" xr:uid="{1A1F3C58-10D4-4CD0-AD08-D720A6574023}"/>
    <cellStyle name="Normal 3 2 2 2 4 3" xfId="12608" xr:uid="{B6D02529-1A55-41AE-B4E2-FD180E9E6F8D}"/>
    <cellStyle name="Normal 3 2 2 2 4 3 2" xfId="47916" xr:uid="{05107D5D-BF27-4CA5-8424-25C6B120FE75}"/>
    <cellStyle name="Normal 3 2 2 2 4 4" xfId="18813" xr:uid="{8DCE3C07-33F0-4BA9-B43E-390462187CEA}"/>
    <cellStyle name="Normal 3 2 2 2 5" xfId="10234" xr:uid="{33D15470-8665-4DEB-A840-5E71DA9824F9}"/>
    <cellStyle name="Normal 3 2 2 2 5 2" xfId="12687" xr:uid="{6CA69017-288C-421C-9D6E-329F87EA2534}"/>
    <cellStyle name="Normal 3 2 2 2 5 2 2" xfId="48093" xr:uid="{011543A7-641C-46CA-B219-9B8F911719F8}"/>
    <cellStyle name="Normal 3 2 2 2 5 3" xfId="18854" xr:uid="{0AFC4699-7CA1-48E0-AB0A-8A0D4351B49F}"/>
    <cellStyle name="Normal 3 2 2 2 6" xfId="10548" xr:uid="{9BF4E79A-29B5-45DA-9655-65EDC9627DDC}"/>
    <cellStyle name="Normal 3 2 2 2 6 2" xfId="13001" xr:uid="{8640394B-EB45-4E29-9E79-A8544342FAE5}"/>
    <cellStyle name="Normal 3 2 2 2 6 2 2" xfId="48341" xr:uid="{6EB24D71-2023-4BD3-A6A3-F9D6513B7CC7}"/>
    <cellStyle name="Normal 3 2 2 2 6 3" xfId="19016" xr:uid="{EAC6F4A9-100F-4B61-8959-8EB46069682A}"/>
    <cellStyle name="Normal 3 2 2 2 7" xfId="12318" xr:uid="{E2CFD978-B662-40DB-B49A-2800C4C2FACE}"/>
    <cellStyle name="Normal 3 2 2 2 7 2" xfId="18631" xr:uid="{E9ED9127-F197-41B8-A8AF-BBDEBEB77ABC}"/>
    <cellStyle name="Normal 3 2 2 2 8" xfId="11050" xr:uid="{2915DC79-E216-4085-90A5-0912E62B3652}"/>
    <cellStyle name="Normal 3 2 2 2 9" xfId="16976" xr:uid="{0E2D17F0-87BA-4B00-83B8-4708C9E51E2A}"/>
    <cellStyle name="Normal 3 2 2 3" xfId="2009" xr:uid="{00000000-0005-0000-0000-000024050000}"/>
    <cellStyle name="Normal 3 2 2 3 2" xfId="2010" xr:uid="{00000000-0005-0000-0000-000025050000}"/>
    <cellStyle name="Normal 3 2 2 3 2 2" xfId="14068" xr:uid="{A0CFA564-A352-4D66-9CE1-CC883C84E94B}"/>
    <cellStyle name="Normal 3 2 2 3 2 3" xfId="17812" xr:uid="{50036E50-CD3B-42B3-8E2C-B662CEB3A820}"/>
    <cellStyle name="Normal 3 2 2 3 3" xfId="11132" xr:uid="{6A89020C-3FEE-4112-BC4C-37A9023BAF33}"/>
    <cellStyle name="Normal 3 2 2 3 3 2" xfId="26137" xr:uid="{161850D8-AD52-4BAE-823A-A2F997270BB0}"/>
    <cellStyle name="Normal 3 2 2 3 4" xfId="11051" xr:uid="{DBD9F86C-9475-4B33-98B8-B981A4E80B03}"/>
    <cellStyle name="Normal 3 2 2 3 4 2" xfId="17811" xr:uid="{2CEEE4E3-8CAD-4B8B-874E-09A5F46AB4A4}"/>
    <cellStyle name="Normal 3 2 2 3 5" xfId="8067" xr:uid="{2B3B3DF3-3A7D-44FF-A4CF-5E717423559B}"/>
    <cellStyle name="Normal 3 2 2 4" xfId="2011" xr:uid="{00000000-0005-0000-0000-000026050000}"/>
    <cellStyle name="Normal 3 2 2 4 2" xfId="10295" xr:uid="{F74B0D49-92A1-4610-9B87-CCEBBA805736}"/>
    <cellStyle name="Normal 3 2 2 4 2 2" xfId="12748" xr:uid="{5279744D-03AE-4C23-8B3E-DF2BE83982EA}"/>
    <cellStyle name="Normal 3 2 2 4 2 2 2" xfId="46348" xr:uid="{9313C41D-1C3B-4A20-86D0-22C50A091019}"/>
    <cellStyle name="Normal 3 2 2 4 2 3" xfId="18879" xr:uid="{24FFDE9E-D52E-4679-B695-3CCC46AF5044}"/>
    <cellStyle name="Normal 3 2 2 4 3" xfId="11052" xr:uid="{A18650FD-E249-4C0F-BD1A-DFAF5BD0CE26}"/>
    <cellStyle name="Normal 3 2 2 4 3 2" xfId="32540" xr:uid="{10C5E935-BCA3-4E28-B962-757D3B154E06}"/>
    <cellStyle name="Normal 3 2 2 4 4" xfId="17813" xr:uid="{14B12029-1008-4267-AE83-B3C66093FC3A}"/>
    <cellStyle name="Normal 3 2 2 5" xfId="10061" xr:uid="{C59533FC-1B5D-4389-BF22-D5A5048A9525}"/>
    <cellStyle name="Normal 3 2 2 5 2" xfId="10369" xr:uid="{79EF18AC-A864-45B8-AC49-02072EEC5857}"/>
    <cellStyle name="Normal 3 2 2 5 2 2" xfId="12822" xr:uid="{98C19FD8-6326-439A-A73A-7073065DB7CD}"/>
    <cellStyle name="Normal 3 2 2 5 2 2 2" xfId="46358" xr:uid="{BEAB1A32-2020-43AD-A66B-05A3092F39A9}"/>
    <cellStyle name="Normal 3 2 2 5 2 3" xfId="18915" xr:uid="{9023FED3-F09C-4CDC-B5BB-F71041E5602B}"/>
    <cellStyle name="Normal 3 2 2 5 3" xfId="12520" xr:uid="{BA1356DD-8D0F-472C-8C05-110737685AAD}"/>
    <cellStyle name="Normal 3 2 2 5 3 2" xfId="46763" xr:uid="{4B33AACA-1D2D-46F9-9CCB-6E0909FF8F4F}"/>
    <cellStyle name="Normal 3 2 2 5 4" xfId="18765" xr:uid="{AE55F90C-7D0B-4D0B-9935-470E5AC93167}"/>
    <cellStyle name="Normal 3 2 2 6" xfId="10135" xr:uid="{04DC7B54-A4E7-4DDC-BD8F-38204D79F8A2}"/>
    <cellStyle name="Normal 3 2 2 6 2" xfId="10449" xr:uid="{4B6EF139-920B-48AF-8276-A316725A6028}"/>
    <cellStyle name="Normal 3 2 2 6 2 2" xfId="12902" xr:uid="{5B13C51A-C56C-4CC8-BC77-C2F34CE35B52}"/>
    <cellStyle name="Normal 3 2 2 6 2 2 2" xfId="46367" xr:uid="{C7A80337-506C-4DDB-89E2-4202808A287F}"/>
    <cellStyle name="Normal 3 2 2 6 2 3" xfId="18957" xr:uid="{4F03C8B7-64AA-40DE-AFD5-D29448F1B691}"/>
    <cellStyle name="Normal 3 2 2 6 3" xfId="12592" xr:uid="{2F87AE5D-0FD4-4E77-9400-F1AACCC4CE8D}"/>
    <cellStyle name="Normal 3 2 2 6 3 2" xfId="46327" xr:uid="{F393D580-A550-406E-87B8-A8A5BEE319B3}"/>
    <cellStyle name="Normal 3 2 2 6 4" xfId="18799" xr:uid="{5A5986EA-2A73-4AB8-8F1E-DE077B454E75}"/>
    <cellStyle name="Normal 3 2 2 7" xfId="10215" xr:uid="{AAC45652-BFAA-415D-B988-602A89A2B12B}"/>
    <cellStyle name="Normal 3 2 2 7 2" xfId="12668" xr:uid="{83392A4A-CF46-489E-BB2F-60B941F0F671}"/>
    <cellStyle name="Normal 3 2 2 7 2 2" xfId="25065" xr:uid="{43C37D24-0FBB-4A14-A8F0-A2201F22DD31}"/>
    <cellStyle name="Normal 3 2 2 7 3" xfId="18837" xr:uid="{9D754360-CE2F-40DC-BE3F-8B3C97141A9E}"/>
    <cellStyle name="Normal 3 2 2 8" xfId="10529" xr:uid="{6188F8EF-3C19-48E9-B09E-AF34E629D1BC}"/>
    <cellStyle name="Normal 3 2 2 8 2" xfId="12982" xr:uid="{AA4AA0D9-A840-432D-A588-88F750B71E3F}"/>
    <cellStyle name="Normal 3 2 2 8 2 2" xfId="46818" xr:uid="{286AF498-3BBB-4AA7-AEA9-87E0982AB098}"/>
    <cellStyle name="Normal 3 2 2 8 3" xfId="18999" xr:uid="{5C212349-1DC7-4FE0-990E-2C73B8F0B923}"/>
    <cellStyle name="Normal 3 2 2 9" xfId="16975" xr:uid="{59F3C6DD-5A81-45A1-A95F-BF29D070957F}"/>
    <cellStyle name="Normal 3 2 3" xfId="559" xr:uid="{00000000-0005-0000-0000-000027050000}"/>
    <cellStyle name="Normal 3 2 3 2" xfId="2012" xr:uid="{00000000-0005-0000-0000-000028050000}"/>
    <cellStyle name="Normal 3 2 3 2 2" xfId="2013" xr:uid="{00000000-0005-0000-0000-000029050000}"/>
    <cellStyle name="Normal 3 2 3 2 2 2" xfId="11054" xr:uid="{C6422F01-33F0-4D40-9B26-4ED6FE94A0E5}"/>
    <cellStyle name="Normal 3 2 3 2 2 2 2" xfId="47413" xr:uid="{D61A08B1-4B02-43ED-8D79-63A5983087A1}"/>
    <cellStyle name="Normal 3 2 3 2 2 3" xfId="17815" xr:uid="{35B191F3-91CC-44B0-93E0-427B83FB83B8}"/>
    <cellStyle name="Normal 3 2 3 2 3" xfId="11053" xr:uid="{A91562C1-5BA0-47B8-A93A-86705DCD682C}"/>
    <cellStyle name="Normal 3 2 3 2 3 2" xfId="47459" xr:uid="{EE3CEF5E-5103-4A63-9338-1F04669CD2C6}"/>
    <cellStyle name="Normal 3 2 3 2 4" xfId="17814" xr:uid="{29833302-D880-4259-B07F-F2214280CF8D}"/>
    <cellStyle name="Normal 3 2 3 3" xfId="2014" xr:uid="{00000000-0005-0000-0000-00002A050000}"/>
    <cellStyle name="Normal 3 2 3 3 2" xfId="10379" xr:uid="{4CE29ECE-506F-44C2-9BBD-BF3AF5A93B31}"/>
    <cellStyle name="Normal 3 2 3 3 2 2" xfId="12832" xr:uid="{5CED1565-C79B-428C-A7B7-09D7EA0C3E01}"/>
    <cellStyle name="Normal 3 2 3 3 2 2 2" xfId="46800" xr:uid="{3A2B08D3-13BE-47D7-8A4B-763EC7FDEE32}"/>
    <cellStyle name="Normal 3 2 3 3 2 3" xfId="18924" xr:uid="{D4D1A545-5292-418A-8DA9-4C63B95C2F2E}"/>
    <cellStyle name="Normal 3 2 3 3 3" xfId="11055" xr:uid="{B3CB2F14-91C9-4254-B226-46E3301ECB09}"/>
    <cellStyle name="Normal 3 2 3 3 3 2" xfId="25174" xr:uid="{FCE2E93F-51E2-4533-8CF0-508BA7BFAA80}"/>
    <cellStyle name="Normal 3 2 3 3 4" xfId="17816" xr:uid="{C0927E91-9B2B-446E-A55A-0D9336838E87}"/>
    <cellStyle name="Normal 3 2 3 4" xfId="10145" xr:uid="{F82806DA-E80B-4FF2-AD94-DCFC52C119A5}"/>
    <cellStyle name="Normal 3 2 3 4 2" xfId="10459" xr:uid="{E7F73BC9-0D21-43B4-9BEC-CA8E08456B5D}"/>
    <cellStyle name="Normal 3 2 3 4 2 2" xfId="12912" xr:uid="{0B81CBDC-F0EE-41CB-84C2-C8B9D3063C90}"/>
    <cellStyle name="Normal 3 2 3 4 2 2 2" xfId="48344" xr:uid="{0E8513C6-942A-492F-AF2D-63556630EC64}"/>
    <cellStyle name="Normal 3 2 3 4 2 3" xfId="18966" xr:uid="{28885040-83C9-420D-9BDA-BDAB75EFB67A}"/>
    <cellStyle name="Normal 3 2 3 4 3" xfId="12137" xr:uid="{994FF669-B81C-4C8C-B396-E32B1B1BFF78}"/>
    <cellStyle name="Normal 3 2 3 4 3 2" xfId="48012" xr:uid="{5EDF6345-6271-4738-B01E-48691AEA5056}"/>
    <cellStyle name="Normal 3 2 3 4 4" xfId="18545" xr:uid="{173EC239-AC9E-4EBF-9AD4-59EB65018170}"/>
    <cellStyle name="Normal 3 2 3 5" xfId="10225" xr:uid="{CEF81111-7B72-4E84-A467-BB84BCA49C4C}"/>
    <cellStyle name="Normal 3 2 3 5 2" xfId="12678" xr:uid="{0A477308-3314-4C58-A200-E9798BC1823D}"/>
    <cellStyle name="Normal 3 2 3 5 2 2" xfId="47918" xr:uid="{97304F9B-B302-44D8-87E1-2A0EDF2BECB2}"/>
    <cellStyle name="Normal 3 2 3 5 3" xfId="18846" xr:uid="{F4C02379-EA55-4221-978C-48BC41BB7EC7}"/>
    <cellStyle name="Normal 3 2 3 6" xfId="10539" xr:uid="{158C5B28-CBD7-446A-BFA0-AAC55D8823C9}"/>
    <cellStyle name="Normal 3 2 3 6 2" xfId="12992" xr:uid="{45577E25-D364-4D9F-BFCF-9AD99BD3922D}"/>
    <cellStyle name="Normal 3 2 3 6 2 2" xfId="47215" xr:uid="{F0916E8E-8D30-4DAA-9628-157F6AD0DE57}"/>
    <cellStyle name="Normal 3 2 3 6 3" xfId="19008" xr:uid="{53B4E278-E80B-406E-9AEC-9B9870EB870A}"/>
    <cellStyle name="Normal 3 2 3 7" xfId="10607" xr:uid="{3EA83C3A-E8E7-4511-96CE-392030CF60EC}"/>
    <cellStyle name="Normal 3 2 3 7 2" xfId="47410" xr:uid="{41AEE0B2-CDBF-4D8E-AE8D-93ADC87891ED}"/>
    <cellStyle name="Normal 3 2 3 8" xfId="16977" xr:uid="{7BA72C5E-A6F8-400D-85B4-0366B4746B8D}"/>
    <cellStyle name="Normal 3 2 4" xfId="2015" xr:uid="{00000000-0005-0000-0000-00002B050000}"/>
    <cellStyle name="Normal 3 2 4 2" xfId="2016" xr:uid="{00000000-0005-0000-0000-00002C050000}"/>
    <cellStyle name="Normal 3 2 4 2 2" xfId="10302" xr:uid="{54D44F06-0F0A-4F79-8068-DA29FED3FF03}"/>
    <cellStyle name="Normal 3 2 4 2 2 2" xfId="12755" xr:uid="{02D34694-2892-485F-BE62-B5CCC4B85945}"/>
    <cellStyle name="Normal 3 2 4 2 2 2 2" xfId="25059" xr:uid="{B0F7C8B2-19AF-4652-9E67-44B535483C93}"/>
    <cellStyle name="Normal 3 2 4 2 2 3" xfId="18885" xr:uid="{ED59A7F5-72C4-49AA-BB84-EC818E40E34B}"/>
    <cellStyle name="Normal 3 2 4 2 3" xfId="11057" xr:uid="{E0FBFB23-164B-4D1B-9E4D-C080A32664F5}"/>
    <cellStyle name="Normal 3 2 4 2 3 2" xfId="46718" xr:uid="{8C68F667-9156-4C44-A401-BCD3FCB167BD}"/>
    <cellStyle name="Normal 3 2 4 2 4" xfId="17817" xr:uid="{5BE9E6F1-CD63-4F99-89AF-E507A3E864D6}"/>
    <cellStyle name="Normal 3 2 4 3" xfId="10068" xr:uid="{3427040F-1CDB-4FFC-88D2-469D2841E0CF}"/>
    <cellStyle name="Normal 3 2 4 3 2" xfId="10378" xr:uid="{B4041505-FE23-4688-9BD9-78639EDC18F6}"/>
    <cellStyle name="Normal 3 2 4 3 2 2" xfId="12831" xr:uid="{686904FD-8F7A-4299-B082-1ECA200B4BD5}"/>
    <cellStyle name="Normal 3 2 4 3 2 2 2" xfId="48108" xr:uid="{6B750345-E736-44FB-B153-FEFD6FBEF568}"/>
    <cellStyle name="Normal 3 2 4 3 2 3" xfId="18923" xr:uid="{70E740C7-14EE-433E-9F43-BEE689EFE5A3}"/>
    <cellStyle name="Normal 3 2 4 3 3" xfId="12527" xr:uid="{07647A0D-B236-4C84-ACD9-7190131B6519}"/>
    <cellStyle name="Normal 3 2 4 3 3 2" xfId="47757" xr:uid="{ED1D5BE3-D7C7-4D34-9A85-A997AC605593}"/>
    <cellStyle name="Normal 3 2 4 3 4" xfId="18771" xr:uid="{5D159D1B-8C23-41B5-AFCD-298CB71558BF}"/>
    <cellStyle name="Normal 3 2 4 4" xfId="10144" xr:uid="{22ED4862-37C2-4A1F-AC80-214C2936F665}"/>
    <cellStyle name="Normal 3 2 4 4 2" xfId="10458" xr:uid="{4FC736F8-5BB8-4409-B5B7-9AC4A0BB7812}"/>
    <cellStyle name="Normal 3 2 4 4 2 2" xfId="12911" xr:uid="{C2B88CF5-E779-40F9-8084-670CDFE570E7}"/>
    <cellStyle name="Normal 3 2 4 4 2 2 2" xfId="46810" xr:uid="{ED745C6D-4483-480E-9692-CE153F94CC67}"/>
    <cellStyle name="Normal 3 2 4 4 2 3" xfId="18965" xr:uid="{D912F64B-5981-44B4-A688-7B6006636D4A}"/>
    <cellStyle name="Normal 3 2 4 4 3" xfId="12600" xr:uid="{F800B506-7A1B-4E99-A8F2-11E1F1BA6A11}"/>
    <cellStyle name="Normal 3 2 4 4 3 2" xfId="46771" xr:uid="{05BB1907-AB30-436E-BB14-85781C1DC03D}"/>
    <cellStyle name="Normal 3 2 4 4 4" xfId="18806" xr:uid="{4911EB8A-9436-4A84-9BAD-0CD3704D230A}"/>
    <cellStyle name="Normal 3 2 4 5" xfId="10224" xr:uid="{51D5C71D-B838-458F-8383-293A14FC776F}"/>
    <cellStyle name="Normal 3 2 4 5 2" xfId="12677" xr:uid="{170E3560-1161-4A69-BBFE-0AEFCCDAD4E7}"/>
    <cellStyle name="Normal 3 2 4 5 2 2" xfId="48338" xr:uid="{C422F38A-E1A9-4DFC-9608-D9591C24C326}"/>
    <cellStyle name="Normal 3 2 4 5 3" xfId="18845" xr:uid="{01A0838F-9F8C-4B5E-806E-09C2C1342872}"/>
    <cellStyle name="Normal 3 2 4 6" xfId="10538" xr:uid="{70094AAF-5501-4F0A-8B7E-13A5A99DE90C}"/>
    <cellStyle name="Normal 3 2 4 6 2" xfId="12991" xr:uid="{7B2768B6-0083-435D-9788-938333EC5C88}"/>
    <cellStyle name="Normal 3 2 4 6 2 2" xfId="32464" xr:uid="{CD924B37-5E33-49EF-8D56-A35D878C1FA6}"/>
    <cellStyle name="Normal 3 2 4 6 3" xfId="19007" xr:uid="{E3063396-EC96-43DE-90CC-0C35184E6B83}"/>
    <cellStyle name="Normal 3 2 4 7" xfId="11056" xr:uid="{AC257383-14A1-4FE6-B5BE-E87B660D0758}"/>
    <cellStyle name="Normal 3 2 4 7 2" xfId="47688" xr:uid="{5F555792-EE12-45EB-9E3C-CE4A52CE1AAF}"/>
    <cellStyle name="Normal 3 2 4 8" xfId="16978" xr:uid="{5FA44F41-1529-4D76-84F4-FA8F8D016197}"/>
    <cellStyle name="Normal 3 2 5" xfId="2017" xr:uid="{00000000-0005-0000-0000-00002D050000}"/>
    <cellStyle name="Normal 3 2 5 2" xfId="10288" xr:uid="{E4A64D2A-8653-4C6C-90C5-99EA77BD416D}"/>
    <cellStyle name="Normal 3 2 5 2 2" xfId="12741" xr:uid="{94A807F3-9AEF-4A23-8FE3-A6DEDB727660}"/>
    <cellStyle name="Normal 3 2 5 2 2 2" xfId="25324" xr:uid="{A16E4384-2652-492A-9527-E5034DA334BD}"/>
    <cellStyle name="Normal 3 2 5 2 3" xfId="18876" xr:uid="{99FC5848-125C-4B58-9D3A-E3794C84F7CE}"/>
    <cellStyle name="Normal 3 2 5 3" xfId="11058" xr:uid="{0C6335F5-4BD3-445C-858F-238826B017DA}"/>
    <cellStyle name="Normal 3 2 5 3 2" xfId="26138" xr:uid="{F2F01B62-BAA8-421A-93C8-76D6DEFAD4A2}"/>
    <cellStyle name="Normal 3 2 5 4" xfId="17818" xr:uid="{7239B199-6728-4523-8E1E-BBBD12EBEB22}"/>
    <cellStyle name="Normal 3 2 6" xfId="10054" xr:uid="{21C6132E-2393-4238-B5D0-14D7B04852A2}"/>
    <cellStyle name="Normal 3 2 6 2" xfId="10362" xr:uid="{1BC3CF14-C617-4315-9AD8-B28E612449B4}"/>
    <cellStyle name="Normal 3 2 6 2 2" xfId="12815" xr:uid="{ECE69015-CE5E-412D-9FAB-248640CF67FF}"/>
    <cellStyle name="Normal 3 2 6 2 2 2" xfId="46357" xr:uid="{13BD3EE1-CD52-4347-9C90-0BE7021ED0FC}"/>
    <cellStyle name="Normal 3 2 6 2 3" xfId="18912" xr:uid="{8DB01723-E88F-4C7F-B596-4AE316BB7217}"/>
    <cellStyle name="Normal 3 2 6 3" xfId="12138" xr:uid="{2B6BE014-5F48-4DE3-B8B4-2FF6F5B842B5}"/>
    <cellStyle name="Normal 3 2 6 3 2" xfId="47088" xr:uid="{0B5DA8E4-DE14-4DB7-AE74-ADC9DDD5B1D5}"/>
    <cellStyle name="Normal 3 2 6 4" xfId="18546" xr:uid="{050F3ACE-48AA-4712-B4F0-82A50D26AB08}"/>
    <cellStyle name="Normal 3 2 7" xfId="10128" xr:uid="{02F08D3B-5787-4B88-85D0-F90167A565E8}"/>
    <cellStyle name="Normal 3 2 7 2" xfId="10442" xr:uid="{164AE200-F138-4632-A632-41356F1C45C3}"/>
    <cellStyle name="Normal 3 2 7 2 2" xfId="12895" xr:uid="{B5C9CCF5-9DCD-4ABD-A693-9FE2AF408DE4}"/>
    <cellStyle name="Normal 3 2 7 2 2 2" xfId="46366" xr:uid="{5F1FE77F-1943-4F69-8838-7AFFD2542215}"/>
    <cellStyle name="Normal 3 2 7 2 3" xfId="18954" xr:uid="{D959D8F8-B73F-4CD7-846F-2E59D5EA4971}"/>
    <cellStyle name="Normal 3 2 7 3" xfId="12585" xr:uid="{45E6C338-10CE-48E5-9618-9514B71D7EF1}"/>
    <cellStyle name="Normal 3 2 7 3 2" xfId="25330" xr:uid="{21C45FD1-4192-476A-8760-5AE199B61D0F}"/>
    <cellStyle name="Normal 3 2 7 4" xfId="18796" xr:uid="{EE4CB540-C5ED-429A-838F-2AA5FF01717C}"/>
    <cellStyle name="Normal 3 2 8" xfId="10208" xr:uid="{49D3050D-1C9C-43A1-AE04-9B910AB21C02}"/>
    <cellStyle name="Normal 3 2 8 2" xfId="12661" xr:uid="{A2F1DD4A-F00A-4E51-A19F-485F7C55A9A8}"/>
    <cellStyle name="Normal 3 2 8 2 2" xfId="47094" xr:uid="{4E13E985-3EB2-4064-8C26-E824E1D9D111}"/>
    <cellStyle name="Normal 3 2 8 3" xfId="48955" xr:uid="{9F6F426E-7D2B-47FD-8CB4-FFB457BDBB26}"/>
    <cellStyle name="Normal 3 2 8 4" xfId="18834" xr:uid="{1F226EA0-3159-4568-A177-9FC401A3B8CC}"/>
    <cellStyle name="Normal 3 2 9" xfId="10522" xr:uid="{4A4B5765-0F52-4C4B-AB28-9EA060995F42}"/>
    <cellStyle name="Normal 3 2 9 2" xfId="12975" xr:uid="{DEA67BE3-6C0B-4372-841F-862810066460}"/>
    <cellStyle name="Normal 3 2 9 2 2" xfId="48561" xr:uid="{8405B6FD-A0F3-4F74-8805-0581CA8C0FFC}"/>
    <cellStyle name="Normal 3 2 9 3" xfId="18996" xr:uid="{E46801CB-705C-4D43-A49F-3BD87F79B720}"/>
    <cellStyle name="Normal 3 3" xfId="560" xr:uid="{00000000-0005-0000-0000-00002E050000}"/>
    <cellStyle name="Normal 3 3 2" xfId="2018" xr:uid="{00000000-0005-0000-0000-00002F050000}"/>
    <cellStyle name="Normal 3 3 2 2" xfId="2019" xr:uid="{00000000-0005-0000-0000-000030050000}"/>
    <cellStyle name="Normal 3 3 2 2 2" xfId="2020" xr:uid="{00000000-0005-0000-0000-000031050000}"/>
    <cellStyle name="Normal 3 3 2 2 2 2" xfId="11061" xr:uid="{8A4ABD6D-0C14-4B20-91A2-4274D592ED4F}"/>
    <cellStyle name="Normal 3 3 2 2 2 2 2" xfId="47007" xr:uid="{76F50B4F-13A7-40BB-9DC0-54C4898108FF}"/>
    <cellStyle name="Normal 3 3 2 2 2 3" xfId="17820" xr:uid="{F55A21E8-CBE8-46E4-AB14-95FF951F0363}"/>
    <cellStyle name="Normal 3 3 2 2 3" xfId="11060" xr:uid="{FD676D40-43B8-488B-B670-768859643336}"/>
    <cellStyle name="Normal 3 3 2 2 3 2" xfId="26139" xr:uid="{8D978203-DA79-47BB-B27F-E318D2DF41D6}"/>
    <cellStyle name="Normal 3 3 2 2 4" xfId="17819" xr:uid="{AA74505C-D3DE-4F4D-AF86-AAFFFE34232C}"/>
    <cellStyle name="Normal 3 3 2 3" xfId="2021" xr:uid="{00000000-0005-0000-0000-000032050000}"/>
    <cellStyle name="Normal 3 3 2 3 2" xfId="10380" xr:uid="{3307ECC6-B609-42E1-8275-18E3651F8975}"/>
    <cellStyle name="Normal 3 3 2 3 2 2" xfId="12833" xr:uid="{D74DB17A-4F8F-419C-ACE6-3C57477E1304}"/>
    <cellStyle name="Normal 3 3 2 3 2 2 2" xfId="47473" xr:uid="{A3CF96E7-599F-4217-93A9-F35C4FFF0ADC}"/>
    <cellStyle name="Normal 3 3 2 3 2 3" xfId="18925" xr:uid="{671DCC0C-3D8F-4CF6-8282-55CE7AAAA237}"/>
    <cellStyle name="Normal 3 3 2 3 3" xfId="11062" xr:uid="{B419E045-FF3A-459A-9E0B-38719EA2DB0C}"/>
    <cellStyle name="Normal 3 3 2 3 3 2" xfId="48269" xr:uid="{4629FBE4-CBA5-4E3D-A454-F5275D4BDCBA}"/>
    <cellStyle name="Normal 3 3 2 3 4" xfId="17821" xr:uid="{B650CAE3-35D2-4D9C-AF0F-943C05F9F59C}"/>
    <cellStyle name="Normal 3 3 2 4" xfId="10146" xr:uid="{6E658A4A-C2AA-4BD8-91C4-DFA4D3263DA9}"/>
    <cellStyle name="Normal 3 3 2 4 2" xfId="10460" xr:uid="{91C6E2DA-0846-43DB-968F-D2AF3E0AFBF6}"/>
    <cellStyle name="Normal 3 3 2 4 2 2" xfId="12913" xr:uid="{7DEA705A-D581-4B8C-9313-9B7E291CF6F8}"/>
    <cellStyle name="Normal 3 3 2 4 2 2 2" xfId="47923" xr:uid="{BEC22676-5575-4D03-842A-EACEAC70E3CB}"/>
    <cellStyle name="Normal 3 3 2 4 2 3" xfId="18967" xr:uid="{C192569D-E9BF-4D6E-A763-C0E1A732B2AE}"/>
    <cellStyle name="Normal 3 3 2 4 3" xfId="12139" xr:uid="{2A0252CB-7F13-49AD-A53C-E4893D1A6341}"/>
    <cellStyle name="Normal 3 3 2 4 3 2" xfId="32467" xr:uid="{9A971025-7E86-4ED0-BF82-52CA24632688}"/>
    <cellStyle name="Normal 3 3 2 4 4" xfId="18547" xr:uid="{48AD91B9-9DDB-48B2-99D8-947609DA75CC}"/>
    <cellStyle name="Normal 3 3 2 5" xfId="10226" xr:uid="{14E04B5F-DB54-4BF0-B955-9316BD2EAE86}"/>
    <cellStyle name="Normal 3 3 2 5 2" xfId="12679" xr:uid="{949E858C-7CC9-42FC-B807-54CD8AD419D5}"/>
    <cellStyle name="Normal 3 3 2 5 2 2" xfId="25329" xr:uid="{FB7E9E4B-1A6D-49F8-9D68-266DA9674176}"/>
    <cellStyle name="Normal 3 3 2 5 3" xfId="18847" xr:uid="{22088A59-85CC-4C64-9AB1-8B185E388555}"/>
    <cellStyle name="Normal 3 3 2 6" xfId="10540" xr:uid="{71A8A5A2-975B-4295-8F94-0CA81CE0B3EB}"/>
    <cellStyle name="Normal 3 3 2 6 2" xfId="12993" xr:uid="{F22A8B87-92DC-4D6C-A029-F1FABE778E54}"/>
    <cellStyle name="Normal 3 3 2 6 2 2" xfId="46674" xr:uid="{1FFAC18B-D0BE-4499-B4A4-C9CE1E6F9F93}"/>
    <cellStyle name="Normal 3 3 2 6 3" xfId="19009" xr:uid="{331662FA-1DAC-498D-ACEB-9ACCAB837C57}"/>
    <cellStyle name="Normal 3 3 2 7" xfId="11059" xr:uid="{19D28FA9-914C-49BE-96AB-EC0822E5B2C4}"/>
    <cellStyle name="Normal 3 3 2 7 2" xfId="48180" xr:uid="{E722C68F-CADE-4680-BB2A-F48D97100DD2}"/>
    <cellStyle name="Normal 3 3 2 8" xfId="16980" xr:uid="{1E654AED-B58E-4E1E-B487-C18CBEB96637}"/>
    <cellStyle name="Normal 3 3 3" xfId="2022" xr:uid="{00000000-0005-0000-0000-000033050000}"/>
    <cellStyle name="Normal 3 3 3 2" xfId="2023" xr:uid="{00000000-0005-0000-0000-000034050000}"/>
    <cellStyle name="Normal 3 3 3 2 2" xfId="11064" xr:uid="{8F4A6B30-87F6-4F6A-8EF8-EE806FC11C94}"/>
    <cellStyle name="Normal 3 3 3 2 2 2" xfId="47156" xr:uid="{5B7AD9D6-B28A-4B3A-BB55-025BBEEC851F}"/>
    <cellStyle name="Normal 3 3 3 2 3" xfId="17823" xr:uid="{588798CB-8EBD-4AF2-9FED-9055803973A6}"/>
    <cellStyle name="Normal 3 3 3 3" xfId="11063" xr:uid="{5E78B465-7275-46A5-A499-9E92683AA57C}"/>
    <cellStyle name="Normal 3 3 3 3 2" xfId="26140" xr:uid="{7475B5DD-2C94-47D9-8E2D-20B34058E7E8}"/>
    <cellStyle name="Normal 3 3 3 4" xfId="17822" xr:uid="{56A12C50-982B-417B-9BD7-5E5918036EEC}"/>
    <cellStyle name="Normal 3 3 4" xfId="2024" xr:uid="{00000000-0005-0000-0000-000035050000}"/>
    <cellStyle name="Normal 3 3 4 2" xfId="10370" xr:uid="{EFD716B1-A43C-4116-ADFA-7B7441B082AF}"/>
    <cellStyle name="Normal 3 3 4 2 2" xfId="12823" xr:uid="{3F8265C1-C86F-49DA-BEBB-CF935DD85423}"/>
    <cellStyle name="Normal 3 3 4 2 2 2" xfId="46359" xr:uid="{092B0CDF-6A51-4BEB-A475-0267660F2B37}"/>
    <cellStyle name="Normal 3 3 4 2 3" xfId="18916" xr:uid="{91C51D28-E7EA-4E33-966D-1E0410A57DDC}"/>
    <cellStyle name="Normal 3 3 4 3" xfId="11065" xr:uid="{41E7FCBF-FAE3-45B6-B92F-9B22EB82DE00}"/>
    <cellStyle name="Normal 3 3 4 3 2" xfId="26141" xr:uid="{533A8FA8-3596-4E09-AAC4-52941B6E3CF5}"/>
    <cellStyle name="Normal 3 3 4 4" xfId="17824" xr:uid="{3675B459-0D12-43FF-850D-A02B404852FD}"/>
    <cellStyle name="Normal 3 3 5" xfId="6972" xr:uid="{A63F98B2-E092-4EBD-8D68-52731810AA8E}"/>
    <cellStyle name="Normal 3 3 5 2" xfId="10450" xr:uid="{E4D183F6-D50F-44E5-A0F7-CAD28FC1DD23}"/>
    <cellStyle name="Normal 3 3 5 2 2" xfId="12903" xr:uid="{E6EC10CF-5670-4B4A-85B5-ADBED117F6DF}"/>
    <cellStyle name="Normal 3 3 5 2 2 2" xfId="25042" xr:uid="{D98DCB5C-8F63-406C-8BA2-0F321B4C9704}"/>
    <cellStyle name="Normal 3 3 5 2 3" xfId="18958" xr:uid="{6ED179D0-ED2B-435F-8090-B0EE5F923035}"/>
    <cellStyle name="Normal 3 3 5 3" xfId="12141" xr:uid="{F98947DA-960B-40D6-BDC6-B0903722EA2A}"/>
    <cellStyle name="Normal 3 3 5 3 2" xfId="46660" xr:uid="{28B2F1A5-9150-4A23-80C7-5FD65BB3D93A}"/>
    <cellStyle name="Normal 3 3 5 4" xfId="18548" xr:uid="{EBC06D00-1FD9-437C-B30A-B1A2943F1C35}"/>
    <cellStyle name="Normal 3 3 5 5" xfId="10136" xr:uid="{E8D789BF-E14D-4BBA-890B-24F37A247B5B}"/>
    <cellStyle name="Normal 3 3 6" xfId="10216" xr:uid="{32C08230-EC63-45E3-A880-CBEC8C6C768C}"/>
    <cellStyle name="Normal 3 3 6 2" xfId="12669" xr:uid="{28B1C55D-11E7-4856-81BD-D0106E5069D0}"/>
    <cellStyle name="Normal 3 3 6 2 2" xfId="26142" xr:uid="{8F8355F0-71BB-4A56-862A-298CFB5DD4D1}"/>
    <cellStyle name="Normal 3 3 6 3" xfId="18838" xr:uid="{F1DDB537-BCB5-4978-8763-E849E3F55AF0}"/>
    <cellStyle name="Normal 3 3 7" xfId="10530" xr:uid="{C8BDA6D2-BF86-4AF7-8C6D-8DF5E187A324}"/>
    <cellStyle name="Normal 3 3 7 2" xfId="12983" xr:uid="{98BA8C2C-D9BE-48CF-8ED1-BD37371AACF0}"/>
    <cellStyle name="Normal 3 3 7 2 2" xfId="47170" xr:uid="{C0D590CC-952A-4EF0-9EE7-71292925575F}"/>
    <cellStyle name="Normal 3 3 7 3" xfId="19000" xr:uid="{8F3AA57C-BC5B-4B56-A4E0-B0B2053D5FCF}"/>
    <cellStyle name="Normal 3 3 8" xfId="10608" xr:uid="{85B51ABF-10AD-440D-8EC9-185D1430271B}"/>
    <cellStyle name="Normal 3 3 8 2" xfId="26143" xr:uid="{F2063373-6200-4B28-9216-D56F0D03026B}"/>
    <cellStyle name="Normal 3 3 9" xfId="16979" xr:uid="{455024A0-5163-44E1-8822-957FBB636131}"/>
    <cellStyle name="Normal 3 4" xfId="561" xr:uid="{00000000-0005-0000-0000-000036050000}"/>
    <cellStyle name="Normal 3 4 10" xfId="16981" xr:uid="{C604B1A7-1CFB-4375-B9DD-1DA971C87E97}"/>
    <cellStyle name="Normal 3 4 2" xfId="2025" xr:uid="{00000000-0005-0000-0000-000037050000}"/>
    <cellStyle name="Normal 3 4 2 2" xfId="4086" xr:uid="{982A97FA-4A6D-48BC-BB6D-A5B7619499EB}"/>
    <cellStyle name="Normal 3 4 2 2 2" xfId="10308" xr:uid="{A829F642-6C4E-4CCF-8951-A7F810E8578F}"/>
    <cellStyle name="Normal 3 4 2 2 2 2" xfId="12761" xr:uid="{3FC46C51-C77C-4ADD-96EE-15774FE7D12A}"/>
    <cellStyle name="Normal 3 4 2 2 2 2 2" xfId="25057" xr:uid="{D0F46D73-1E77-45D2-9AAF-7DCA44A5185E}"/>
    <cellStyle name="Normal 3 4 2 2 2 3" xfId="18890" xr:uid="{1322A6E3-D458-4C60-9069-BC86F32128FD}"/>
    <cellStyle name="Normal 3 4 2 2 3" xfId="12460" xr:uid="{125F3050-E868-46F0-A357-A64EE4EC56AE}"/>
    <cellStyle name="Normal 3 4 2 2 3 2" xfId="48013" xr:uid="{7196B7A3-C2B3-429B-B098-C8B71DE078A3}"/>
    <cellStyle name="Normal 3 4 2 2 4" xfId="18741" xr:uid="{9A12EC44-28F5-475B-9637-11AB20D535B6}"/>
    <cellStyle name="Normal 3 4 2 3" xfId="10075" xr:uid="{4226AAC1-5969-425E-8D5B-84129A42CA70}"/>
    <cellStyle name="Normal 3 4 2 3 2" xfId="10387" xr:uid="{2C74D0E8-B1F2-46F2-9F5C-F7307B6F09FE}"/>
    <cellStyle name="Normal 3 4 2 3 2 2" xfId="12840" xr:uid="{96496C4E-E97B-4149-8ED9-771DFAFC9311}"/>
    <cellStyle name="Normal 3 4 2 3 2 2 2" xfId="47621" xr:uid="{E4E52E2C-2031-4108-A4B6-FFF63BF48216}"/>
    <cellStyle name="Normal 3 4 2 3 2 3" xfId="18931" xr:uid="{73671A91-2468-4B6A-B8C2-C8E0C2DB5622}"/>
    <cellStyle name="Normal 3 4 2 3 3" xfId="12532" xr:uid="{B311FEB9-BE65-45E0-9C5C-6FBBE10D12A5}"/>
    <cellStyle name="Normal 3 4 2 3 3 2" xfId="46765" xr:uid="{F726D0F5-FC44-454D-91AA-F9F9CCD96898}"/>
    <cellStyle name="Normal 3 4 2 3 4" xfId="18775" xr:uid="{1F8DB5B5-A6C7-461A-ABF5-0C3743357B9A}"/>
    <cellStyle name="Normal 3 4 2 4" xfId="10153" xr:uid="{A242BF8A-C7F0-4673-AC64-171799D2E9D6}"/>
    <cellStyle name="Normal 3 4 2 4 2" xfId="10467" xr:uid="{74EAD9A6-A7F7-4D65-9204-05693361C721}"/>
    <cellStyle name="Normal 3 4 2 4 2 2" xfId="12920" xr:uid="{5569E045-B211-4E7F-9558-060B5DDA4C4A}"/>
    <cellStyle name="Normal 3 4 2 4 2 2 2" xfId="46370" xr:uid="{E18CCDDE-9A36-4340-9CE4-8DEB0BE6436C}"/>
    <cellStyle name="Normal 3 4 2 4 2 3" xfId="18973" xr:uid="{2024D201-EC07-49B5-8A1A-EF29392B630D}"/>
    <cellStyle name="Normal 3 4 2 4 3" xfId="12607" xr:uid="{714E647E-54EB-454F-A936-C47A405FD274}"/>
    <cellStyle name="Normal 3 4 2 4 3 2" xfId="48336" xr:uid="{69703FEB-BC0D-4BB1-B1E5-A6C621BB8F94}"/>
    <cellStyle name="Normal 3 4 2 4 4" xfId="18812" xr:uid="{F5BB4133-F7EB-4C99-90DA-21DD7CA4E108}"/>
    <cellStyle name="Normal 3 4 2 5" xfId="10233" xr:uid="{77589AED-98A9-4460-9A51-150D56A86229}"/>
    <cellStyle name="Normal 3 4 2 5 2" xfId="12686" xr:uid="{90C72FF9-B51D-4843-8CE5-46405BB765A8}"/>
    <cellStyle name="Normal 3 4 2 5 2 2" xfId="25325" xr:uid="{943CFC2A-A8F6-41C8-9BCC-06DD121829E4}"/>
    <cellStyle name="Normal 3 4 2 5 3" xfId="18853" xr:uid="{0A521745-B407-4C5B-9865-6CBA7956AE54}"/>
    <cellStyle name="Normal 3 4 2 6" xfId="10547" xr:uid="{BD516B81-D860-45C2-BAFA-333C96597CC3}"/>
    <cellStyle name="Normal 3 4 2 6 2" xfId="13000" xr:uid="{32C1B685-CD9A-4D8E-8117-98E88C00938D}"/>
    <cellStyle name="Normal 3 4 2 6 2 2" xfId="46820" xr:uid="{1EC0A7E2-23E6-4B28-ABAD-1D9FEFE2681F}"/>
    <cellStyle name="Normal 3 4 2 6 3" xfId="19015" xr:uid="{C1754B61-BE41-4953-83B2-8831A6A3999C}"/>
    <cellStyle name="Normal 3 4 2 7" xfId="11492" xr:uid="{06C4F2F1-63DA-4D8D-BA03-4E7EC26172F7}"/>
    <cellStyle name="Normal 3 4 2 7 2" xfId="18121" xr:uid="{9DFB13B7-557D-4D11-913F-119D140BB699}"/>
    <cellStyle name="Normal 3 4 2 8" xfId="11066" xr:uid="{A1542CA1-CF74-40F5-90F3-9636D68EA2D4}"/>
    <cellStyle name="Normal 3 4 2 9" xfId="16982" xr:uid="{C21144CC-96BE-4B6F-A043-62C8E645011B}"/>
    <cellStyle name="Normal 3 4 3" xfId="8068" xr:uid="{5629B4EE-DD19-404C-995D-F156322B7CF9}"/>
    <cellStyle name="Normal 3 4 3 2" xfId="11661" xr:uid="{2D983834-7BDC-408B-948C-B4D01911366C}"/>
    <cellStyle name="Normal 3 4 3 2 2" xfId="26145" xr:uid="{F421AD24-1D49-4B53-8DA9-D6531E66D0DD}"/>
    <cellStyle name="Normal 3 4 3 3" xfId="11487" xr:uid="{55A547B1-6C57-40AA-ABF5-F89DB94D7927}"/>
    <cellStyle name="Normal 3 4 3 4" xfId="26144" xr:uid="{9829F2CA-C384-4C2F-8FF2-9730389D62C1}"/>
    <cellStyle name="Normal 3 4 4" xfId="9766" xr:uid="{89841084-E306-41E1-8969-11C83DF6C645}"/>
    <cellStyle name="Normal 3 4 4 2" xfId="10294" xr:uid="{CB8C576E-7A22-42FC-AB27-3B33726E18A4}"/>
    <cellStyle name="Normal 3 4 4 2 2" xfId="12747" xr:uid="{7E842B8A-3FD7-47B1-911D-5A83752DFC64}"/>
    <cellStyle name="Normal 3 4 4 2 2 2" xfId="47962" xr:uid="{C17407C9-A3A5-429D-9BA2-71B662D89D21}"/>
    <cellStyle name="Normal 3 4 4 2 3" xfId="18878" xr:uid="{572D6CB7-4DD2-4D03-8A7C-003AA83062D7}"/>
    <cellStyle name="Normal 3 4 4 3" xfId="12452" xr:uid="{364C1ED4-E4BE-4967-B5BE-0A8B7460CCB4}"/>
    <cellStyle name="Normal 3 4 4 3 2" xfId="46756" xr:uid="{F0E816A0-8CA2-4A40-889F-7265FFF62431}"/>
    <cellStyle name="Normal 3 4 4 4" xfId="18734" xr:uid="{7F8A54BD-7A5A-43D2-BEF0-56959CABF4CF}"/>
    <cellStyle name="Normal 3 4 5" xfId="10060" xr:uid="{DD45D6FD-4102-4DEF-B99E-01B4F0C846BB}"/>
    <cellStyle name="Normal 3 4 5 2" xfId="10368" xr:uid="{0B58E21C-A08A-4357-AA6C-4CE7C8F5BE91}"/>
    <cellStyle name="Normal 3 4 5 2 2" xfId="12821" xr:uid="{7A128275-E30D-40B9-9E36-D0553A7BB1E2}"/>
    <cellStyle name="Normal 3 4 5 2 2 2" xfId="47098" xr:uid="{0C7A9C01-A3DA-4273-B55F-EF52542E3D59}"/>
    <cellStyle name="Normal 3 4 5 2 3" xfId="18914" xr:uid="{8DA9866B-DB1C-430D-AB9D-8CC41C7B1F6A}"/>
    <cellStyle name="Normal 3 4 5 3" xfId="12519" xr:uid="{80648298-A2CD-48A4-A8C5-41B7E75E7923}"/>
    <cellStyle name="Normal 3 4 5 3 2" xfId="48104" xr:uid="{3CEA7BEC-84AC-4C97-975C-278AD07322D4}"/>
    <cellStyle name="Normal 3 4 5 4" xfId="18764" xr:uid="{17754154-FEAC-41C8-BCCB-D05DF85158EC}"/>
    <cellStyle name="Normal 3 4 6" xfId="10134" xr:uid="{ECCF33F1-2ABA-4436-9C0E-40BA4238CFE4}"/>
    <cellStyle name="Normal 3 4 6 2" xfId="10448" xr:uid="{39C98205-0BFD-4393-A3AE-04678889ECEC}"/>
    <cellStyle name="Normal 3 4 6 2 2" xfId="12901" xr:uid="{37C10A97-45F2-45D8-9032-73AA7F4964E6}"/>
    <cellStyle name="Normal 3 4 6 2 2 2" xfId="32289" xr:uid="{35026EB0-7C92-4053-8C1E-3A83490B6A6C}"/>
    <cellStyle name="Normal 3 4 6 2 3" xfId="18956" xr:uid="{94CA15E6-BCB6-4369-B078-CC5A08E3D942}"/>
    <cellStyle name="Normal 3 4 6 3" xfId="12591" xr:uid="{AA3CDA29-B905-4711-8C94-C371E89531CA}"/>
    <cellStyle name="Normal 3 4 6 3 2" xfId="47961" xr:uid="{D75DB446-6DC7-4034-9850-9F5F56E405C1}"/>
    <cellStyle name="Normal 3 4 6 4" xfId="18798" xr:uid="{0C3D6A4B-314C-48A8-ACB8-FFBD4EE4E481}"/>
    <cellStyle name="Normal 3 4 7" xfId="10214" xr:uid="{7F17FB2E-30D6-4A42-A50E-242C390CC632}"/>
    <cellStyle name="Normal 3 4 7 2" xfId="12667" xr:uid="{F6DEDA23-521B-480C-8076-A6A0A72A76B1}"/>
    <cellStyle name="Normal 3 4 7 2 2" xfId="46339" xr:uid="{A94B4896-7E51-4EFF-ACDD-ED90AF9A9D26}"/>
    <cellStyle name="Normal 3 4 7 3" xfId="18836" xr:uid="{512ECA1E-46A9-4D15-97B4-BE68705D754F}"/>
    <cellStyle name="Normal 3 4 8" xfId="10528" xr:uid="{A1192634-8AA3-49CE-A047-94114E74415F}"/>
    <cellStyle name="Normal 3 4 8 2" xfId="12981" xr:uid="{DC1D680E-5C64-4D1A-83D2-0B18E6D6DA1F}"/>
    <cellStyle name="Normal 3 4 8 2 2" xfId="47694" xr:uid="{7F1CE5E1-B713-4758-AD27-11817A5F83BD}"/>
    <cellStyle name="Normal 3 4 8 3" xfId="18998" xr:uid="{973DFEA2-3696-40D4-8166-147D5AB3BD7C}"/>
    <cellStyle name="Normal 3 4 9" xfId="12267" xr:uid="{1670B404-4DF1-4435-B883-5159A1F11F06}"/>
    <cellStyle name="Normal 3 4 9 2" xfId="18624" xr:uid="{54BBAEB0-367A-417D-BED4-E9DC29655768}"/>
    <cellStyle name="Normal 3 5" xfId="562" xr:uid="{00000000-0005-0000-0000-000038050000}"/>
    <cellStyle name="Normal 3 5 10" xfId="48956" xr:uid="{53F50C19-4920-4F33-8DEA-558ADC978472}"/>
    <cellStyle name="Normal 3 5 2" xfId="4087" xr:uid="{D50390D2-3E3E-43F5-8220-10DC2BBCACB8}"/>
    <cellStyle name="Normal 3 5 2 2" xfId="26148" xr:uid="{72E55F7D-33AA-424D-A64A-3AF104D8C4D1}"/>
    <cellStyle name="Normal 3 5 2 2 2" xfId="26149" xr:uid="{4A0CBA7A-690A-495A-AD48-7305A61BD7EA}"/>
    <cellStyle name="Normal 3 5 2 3" xfId="26150" xr:uid="{38F89E72-9B89-4278-B790-02F2B47E779B}"/>
    <cellStyle name="Normal 3 5 2 3 2" xfId="26151" xr:uid="{855CE5F6-CEEC-4E59-89B8-8DF0A29B4BFB}"/>
    <cellStyle name="Normal 3 5 2 4" xfId="26152" xr:uid="{2490173E-8867-424A-8B15-CC319242EA13}"/>
    <cellStyle name="Normal 3 5 2 5" xfId="26147" xr:uid="{0922B9AB-0F2E-43F6-9FFC-A4AD07ED9CFC}"/>
    <cellStyle name="Normal 3 5 3" xfId="8069" xr:uid="{31C77FFB-D94E-402D-B347-03BE6375886C}"/>
    <cellStyle name="Normal 3 5 3 2" xfId="26154" xr:uid="{2BA2E33D-9CA9-409C-9919-8E9B6B28CC62}"/>
    <cellStyle name="Normal 3 5 3 3" xfId="26153" xr:uid="{7F6E1363-74A6-4B6C-95B9-A4B93DB02CEA}"/>
    <cellStyle name="Normal 3 5 4" xfId="12161" xr:uid="{DD165294-7C12-4B0C-872D-67CFD66ED538}"/>
    <cellStyle name="Normal 3 5 4 2" xfId="26156" xr:uid="{B3267777-3D8C-4BA4-8261-7F094E0CEC69}"/>
    <cellStyle name="Normal 3 5 4 3" xfId="26155" xr:uid="{521EFD84-6249-45A3-B2B3-DCCCBB16B806}"/>
    <cellStyle name="Normal 3 5 5" xfId="26157" xr:uid="{81CC1442-77FC-454B-9C6F-72ACDD7EDF59}"/>
    <cellStyle name="Normal 3 5 5 2" xfId="26158" xr:uid="{08E520F3-FA13-4A9A-8053-287DD1DF2AA7}"/>
    <cellStyle name="Normal 3 5 6" xfId="26159" xr:uid="{A0806662-D658-4A75-A37D-0961D365667C}"/>
    <cellStyle name="Normal 3 5 7" xfId="26160" xr:uid="{328E01C4-6311-4CE9-9BEA-41BE4D45E0D0}"/>
    <cellStyle name="Normal 3 5 8" xfId="26161" xr:uid="{58C8159E-3847-4116-B697-211BC8D49B2C}"/>
    <cellStyle name="Normal 3 5 9" xfId="26146" xr:uid="{10586F55-6CFA-4D3C-AA6E-01C133D41B56}"/>
    <cellStyle name="Normal 3 6" xfId="2026" xr:uid="{00000000-0005-0000-0000-000039050000}"/>
    <cellStyle name="Normal 3 6 10" xfId="16983" xr:uid="{2452EC57-91C4-4AD7-B8A2-1B7F60589CDE}"/>
    <cellStyle name="Normal 3 6 2" xfId="2027" xr:uid="{00000000-0005-0000-0000-00003A050000}"/>
    <cellStyle name="Normal 3 6 2 2" xfId="10301" xr:uid="{51C998F9-AF0E-4D3F-9602-D38571B18BF3}"/>
    <cellStyle name="Normal 3 6 2 2 2" xfId="12754" xr:uid="{0F3F700D-3297-4140-B924-F73F545BB8A8}"/>
    <cellStyle name="Normal 3 6 2 2 2 2" xfId="26162" xr:uid="{0CA467FB-77C2-4C6E-A850-3C275EC9517B}"/>
    <cellStyle name="Normal 3 6 2 2 3" xfId="18884" xr:uid="{136C29BC-1DC9-4322-887A-38DBA8629E9A}"/>
    <cellStyle name="Normal 3 6 2 3" xfId="11068" xr:uid="{04109416-18AD-4218-89F0-0AE7F342C42A}"/>
    <cellStyle name="Normal 3 6 2 3 2" xfId="26164" xr:uid="{ACBFC6A1-584A-4421-B12A-945BFCF1B65B}"/>
    <cellStyle name="Normal 3 6 2 3 3" xfId="26163" xr:uid="{DD6291F8-05F8-4786-8B6C-A18D5954B3CE}"/>
    <cellStyle name="Normal 3 6 2 4" xfId="26165" xr:uid="{B8B5CF62-D4DA-4D8D-B3F0-120612BEE1CA}"/>
    <cellStyle name="Normal 3 6 2 5" xfId="17825" xr:uid="{8EAAA564-0161-41F7-8200-86695A4A6345}"/>
    <cellStyle name="Normal 3 6 3" xfId="10067" xr:uid="{65DE7A3B-3429-410A-A304-6B866A358FE1}"/>
    <cellStyle name="Normal 3 6 3 2" xfId="10377" xr:uid="{23E5B567-313A-48BC-AC09-E4E134D1CC0E}"/>
    <cellStyle name="Normal 3 6 3 2 2" xfId="12830" xr:uid="{71FCFF28-C92F-41DD-8A8E-6BFEDEB1F38F}"/>
    <cellStyle name="Normal 3 6 3 2 2 2" xfId="32424" xr:uid="{B4AD5C7F-7052-4A4E-AA63-2D32130563A3}"/>
    <cellStyle name="Normal 3 6 3 2 3" xfId="18922" xr:uid="{C6E3328A-FA98-4B0D-9B30-E214D0409158}"/>
    <cellStyle name="Normal 3 6 3 3" xfId="12526" xr:uid="{D6C80F7C-33E5-474E-9943-9C2757F40FBE}"/>
    <cellStyle name="Normal 3 6 3 3 2" xfId="46764" xr:uid="{9985495A-4207-45DB-BA09-1A91D3981C50}"/>
    <cellStyle name="Normal 3 6 3 4" xfId="18770" xr:uid="{06DB7F1F-8BDB-4E82-8729-3FE5652EDCC9}"/>
    <cellStyle name="Normal 3 6 4" xfId="10143" xr:uid="{FE5C4048-12DB-4F41-AE73-5137CBE61378}"/>
    <cellStyle name="Normal 3 6 4 2" xfId="10457" xr:uid="{000CC181-4FF5-48BC-B050-D84DAB99C095}"/>
    <cellStyle name="Normal 3 6 4 2 2" xfId="12910" xr:uid="{95C1090E-E2E8-4081-A902-09CF601D0A6C}"/>
    <cellStyle name="Normal 3 6 4 2 2 2" xfId="47528" xr:uid="{EF8E565B-C7B2-43E2-98CB-788BC5523E65}"/>
    <cellStyle name="Normal 3 6 4 2 3" xfId="18964" xr:uid="{7A2B7516-7336-4380-A372-318C271E03F1}"/>
    <cellStyle name="Normal 3 6 4 3" xfId="12599" xr:uid="{69ACA978-9067-4359-9483-9855BBF6D29A}"/>
    <cellStyle name="Normal 3 6 4 3 2" xfId="47820" xr:uid="{2630D599-54C7-4666-BDB0-F3E0E8D5FD91}"/>
    <cellStyle name="Normal 3 6 4 4" xfId="18805" xr:uid="{16CD8C56-DA89-4517-BC97-5B2BA539CC30}"/>
    <cellStyle name="Normal 3 6 5" xfId="10223" xr:uid="{0EF1880A-78E2-4AD7-B7D5-08F14F2388EF}"/>
    <cellStyle name="Normal 3 6 5 2" xfId="12676" xr:uid="{3DF9BF87-8A52-4251-B31E-DE61A4F78E60}"/>
    <cellStyle name="Normal 3 6 5 2 2" xfId="26166" xr:uid="{0B397C39-34E1-4764-90AD-79F01AF862E0}"/>
    <cellStyle name="Normal 3 6 5 3" xfId="18844" xr:uid="{F94C2DE7-F7EE-473C-955C-B97D867E7769}"/>
    <cellStyle name="Normal 3 6 6" xfId="10537" xr:uid="{787C8CAC-DCB2-439B-9486-EBF488136C8B}"/>
    <cellStyle name="Normal 3 6 6 2" xfId="12990" xr:uid="{336FE612-AEEC-4463-89BE-E6ECBFFB8816}"/>
    <cellStyle name="Normal 3 6 6 2 2" xfId="47078" xr:uid="{AA66CECA-4A77-4095-AC11-C4A8BF19821D}"/>
    <cellStyle name="Normal 3 6 6 3" xfId="19006" xr:uid="{D525BC79-1BFB-4BB6-8780-2E6698963F3F}"/>
    <cellStyle name="Normal 3 6 7" xfId="11067" xr:uid="{4B7A7AD0-1473-4174-A8E7-CF05CD30248D}"/>
    <cellStyle name="Normal 3 6 7 2" xfId="26167" xr:uid="{CCC69704-3A76-470D-A7C0-6718AE9F28C0}"/>
    <cellStyle name="Normal 3 6 8" xfId="26168" xr:uid="{1C3C3F18-4B97-471A-80E5-0B8F87EC8883}"/>
    <cellStyle name="Normal 3 6 9" xfId="48957" xr:uid="{D07BEB68-AB94-4436-B91A-42589FDCDDBA}"/>
    <cellStyle name="Normal 3 7" xfId="2028" xr:uid="{00000000-0005-0000-0000-00003B050000}"/>
    <cellStyle name="Normal 3 7 2" xfId="10287" xr:uid="{00DD26A2-5952-4039-9397-45E392F7209B}"/>
    <cellStyle name="Normal 3 7 2 2" xfId="12740" xr:uid="{BA2570EC-6F56-4AD8-8CC0-EF820728C05A}"/>
    <cellStyle name="Normal 3 7 2 2 2" xfId="26170" xr:uid="{38DDC089-849E-4C50-91D1-625C9242B786}"/>
    <cellStyle name="Normal 3 7 2 2 3" xfId="26169" xr:uid="{5B488BBF-8AA4-4B8A-A192-EDBA2DBDD1A9}"/>
    <cellStyle name="Normal 3 7 2 3" xfId="26171" xr:uid="{E821CE5C-8707-4E46-9D39-D996557D16EC}"/>
    <cellStyle name="Normal 3 7 2 3 2" xfId="26172" xr:uid="{DC428333-74C9-4A6C-B2D6-7245DE04203E}"/>
    <cellStyle name="Normal 3 7 2 4" xfId="26173" xr:uid="{05D1F44C-E1BF-4C10-810A-DC105FA5A53B}"/>
    <cellStyle name="Normal 3 7 2 5" xfId="18875" xr:uid="{5F8B2335-A0CD-4A7E-90B6-269DE4108B38}"/>
    <cellStyle name="Normal 3 7 3" xfId="12448" xr:uid="{FCEBAF92-FF86-4841-B7B9-A83DCF86121E}"/>
    <cellStyle name="Normal 3 7 3 2" xfId="26174" xr:uid="{E555909D-B63B-4FC0-86B1-952CE2F9A21D}"/>
    <cellStyle name="Normal 3 7 3 3" xfId="18733" xr:uid="{2AD2F008-A73B-44BA-B8BF-5AB97898A8A2}"/>
    <cellStyle name="Normal 3 7 4" xfId="11069" xr:uid="{E21B2B3F-0A1D-493F-B5F7-3A1F74DADB13}"/>
    <cellStyle name="Normal 3 7 4 2" xfId="26176" xr:uid="{FB955EDC-2E2D-4B17-82A6-A4CE137BE1E6}"/>
    <cellStyle name="Normal 3 7 4 3" xfId="46719" xr:uid="{9322FE1A-5874-4F6F-A5ED-2005DEBE010C}"/>
    <cellStyle name="Normal 3 7 4 4" xfId="26175" xr:uid="{6F523392-FD9D-451A-BC4F-71ACB24A2050}"/>
    <cellStyle name="Normal 3 7 5" xfId="26177" xr:uid="{3EBCAA6E-2B47-4345-8E5A-69C0438FEC0A}"/>
    <cellStyle name="Normal 3 7 5 2" xfId="26178" xr:uid="{E2270388-B05F-44BC-8B3B-4F76AEBF8C19}"/>
    <cellStyle name="Normal 3 7 6" xfId="26179" xr:uid="{F0CF014E-A284-4652-937E-1A9F30057764}"/>
    <cellStyle name="Normal 3 7 7" xfId="26180" xr:uid="{458ECE91-C8E9-4D76-BA3E-BFE2BF314174}"/>
    <cellStyle name="Normal 3 7 8" xfId="9595" xr:uid="{53122765-ABA1-4418-A35B-EDD440CB1095}"/>
    <cellStyle name="Normal 3 8" xfId="2029" xr:uid="{00000000-0005-0000-0000-00003C050000}"/>
    <cellStyle name="Normal 3 8 2" xfId="10361" xr:uid="{072C4DAE-5E7A-4F7D-BFDD-4A251D7D6ACB}"/>
    <cellStyle name="Normal 3 8 2 2" xfId="12814" xr:uid="{329682CF-E4E2-4268-BE59-977F960BAC13}"/>
    <cellStyle name="Normal 3 8 2 2 2" xfId="26182" xr:uid="{5FD82C94-C19A-4D10-A7F4-7092EE8B61E5}"/>
    <cellStyle name="Normal 3 8 2 2 3" xfId="26181" xr:uid="{34DFC214-53C2-4E6C-A228-8E8EA8FAAF29}"/>
    <cellStyle name="Normal 3 8 2 3" xfId="26183" xr:uid="{99138770-46D8-4D76-BE3D-2BA6195B261C}"/>
    <cellStyle name="Normal 3 8 2 3 2" xfId="26184" xr:uid="{8E7EA34D-20A8-40ED-B8C6-034E2A61CECF}"/>
    <cellStyle name="Normal 3 8 2 4" xfId="26185" xr:uid="{DF510C69-E4AB-4D61-8705-98B7827E667A}"/>
    <cellStyle name="Normal 3 8 2 5" xfId="18911" xr:uid="{7972704C-F519-4CA1-85A9-9CCFB1A932D8}"/>
    <cellStyle name="Normal 3 8 3" xfId="12513" xr:uid="{17BA11A4-07BF-4FD1-9F71-884E576CE098}"/>
    <cellStyle name="Normal 3 8 3 2" xfId="26186" xr:uid="{FB5DCCFD-64FF-43A6-BE7A-F3C62AE296FA}"/>
    <cellStyle name="Normal 3 8 3 3" xfId="18762" xr:uid="{C7A3EAF6-C0FC-46D0-A11F-CFF889C4F646}"/>
    <cellStyle name="Normal 3 8 4" xfId="11070" xr:uid="{7B1A2E0F-4D29-4D6F-A6A3-8E03A8FD257B}"/>
    <cellStyle name="Normal 3 8 4 2" xfId="26188" xr:uid="{582733BD-4776-4198-AF84-33D16FBCF62F}"/>
    <cellStyle name="Normal 3 8 4 3" xfId="47749" xr:uid="{3DBF1DE5-580B-4669-A464-9ED8B5497E40}"/>
    <cellStyle name="Normal 3 8 4 4" xfId="26187" xr:uid="{116FF335-F4DA-4BBE-8C19-589387A4C638}"/>
    <cellStyle name="Normal 3 8 5" xfId="26189" xr:uid="{DDAE4C33-AF3D-4DEB-9C94-770BE748A486}"/>
    <cellStyle name="Normal 3 8 5 2" xfId="26190" xr:uid="{0E489BA5-3F2C-490A-B947-8A1BDA974701}"/>
    <cellStyle name="Normal 3 8 6" xfId="26191" xr:uid="{24E93ACE-8AA6-4926-B1F8-328A15A55158}"/>
    <cellStyle name="Normal 3 8 7" xfId="26192" xr:uid="{2DC4ECA2-0273-4D45-B063-E0B370447816}"/>
    <cellStyle name="Normal 3 8 8" xfId="10053" xr:uid="{C8242F87-BE94-4573-9649-796C328B3A5A}"/>
    <cellStyle name="Normal 3 9" xfId="2030" xr:uid="{00000000-0005-0000-0000-00003D050000}"/>
    <cellStyle name="Normal 3 9 2" xfId="10441" xr:uid="{85FF29B7-7F3C-4402-8F7D-CB3030660282}"/>
    <cellStyle name="Normal 3 9 2 2" xfId="12894" xr:uid="{FA8641DE-CFC8-41C8-BE11-AA612A5EAAC7}"/>
    <cellStyle name="Normal 3 9 2 2 2" xfId="26193" xr:uid="{5C0B06CC-DEC5-40A9-B604-05D4B2ABFD1D}"/>
    <cellStyle name="Normal 3 9 2 3" xfId="18953" xr:uid="{1A1FC2F8-0398-42EA-B079-0FD3C0674352}"/>
    <cellStyle name="Normal 3 9 3" xfId="12584" xr:uid="{F5DA07F7-4679-4BA6-90A4-6AA2AF4006C0}"/>
    <cellStyle name="Normal 3 9 3 2" xfId="26194" xr:uid="{0D376E36-2F60-4774-899F-8107DD3E6CA7}"/>
    <cellStyle name="Normal 3 9 3 3" xfId="18795" xr:uid="{FD424412-13AC-4559-B746-99A92403CAAF}"/>
    <cellStyle name="Normal 3 9 4" xfId="11071" xr:uid="{92F9207A-1B0B-45D8-9D51-3B2F66CA77D8}"/>
    <cellStyle name="Normal 3 9 4 2" xfId="47073" xr:uid="{E3993960-841E-4AFD-8D75-199EA66A1C28}"/>
    <cellStyle name="Normal 3 9 4 3" xfId="26195" xr:uid="{95FBC2A3-2D85-4367-96F6-1C6E28E44564}"/>
    <cellStyle name="Normal 3 9 5" xfId="26196" xr:uid="{F116705D-81B5-485F-9EE4-8C6C2AEC1168}"/>
    <cellStyle name="Normal 3 9 6" xfId="10127" xr:uid="{2E53637E-F7BF-455C-8216-810097A4947C}"/>
    <cellStyle name="Normal 30" xfId="6970" xr:uid="{DDE9929B-9114-4C93-83CE-163391D71162}"/>
    <cellStyle name="Normal 30 2" xfId="26197" xr:uid="{4FA0161A-2F6D-417C-B049-C8F2C004C8CD}"/>
    <cellStyle name="Normal 30 3" xfId="48958" xr:uid="{19584C80-D0BC-44E6-8E6F-573D8B05E629}"/>
    <cellStyle name="Normal 30 4" xfId="18549" xr:uid="{06AC6D4D-AD3F-4C9B-A58A-F14A740B0AA5}"/>
    <cellStyle name="Normal 30 5" xfId="12142" xr:uid="{FFDE2A04-6EC2-4409-BBE0-7E781B116DC1}"/>
    <cellStyle name="Normal 31" xfId="2031" xr:uid="{00000000-0005-0000-0000-00003E050000}"/>
    <cellStyle name="Normal 31 2" xfId="26199" xr:uid="{3575A1B8-5F12-4CB9-99CA-C0710850BF7C}"/>
    <cellStyle name="Normal 31 3" xfId="26198" xr:uid="{BCE97F7F-33C7-4AEA-AF6B-A49444DAFD73}"/>
    <cellStyle name="Normal 31 4" xfId="48959" xr:uid="{1EFE0EC4-6557-45E6-B205-971423B54A49}"/>
    <cellStyle name="Normal 32" xfId="2032" xr:uid="{00000000-0005-0000-0000-00003F050000}"/>
    <cellStyle name="Normal 32 2" xfId="26201" xr:uid="{7F1FF435-4A74-4230-8918-F8B81221A457}"/>
    <cellStyle name="Normal 32 3" xfId="26200" xr:uid="{523AE943-F955-4615-A5B0-DA41920C856A}"/>
    <cellStyle name="Normal 32 4" xfId="48960" xr:uid="{F7F326A2-2B0A-4BC0-8A73-3AFF150BA595}"/>
    <cellStyle name="Normal 33" xfId="2033" xr:uid="{00000000-0005-0000-0000-000040050000}"/>
    <cellStyle name="Normal 33 2" xfId="26203" xr:uid="{F62C9027-1EE4-4E9A-A821-C1B56B6CE2A1}"/>
    <cellStyle name="Normal 33 3" xfId="26202" xr:uid="{7F235298-953A-47E6-B64C-317956F0F7BE}"/>
    <cellStyle name="Normal 33 4" xfId="48961" xr:uid="{58430EB5-AE46-4B05-A823-BE5A98F9009A}"/>
    <cellStyle name="Normal 34" xfId="2034" xr:uid="{00000000-0005-0000-0000-000041050000}"/>
    <cellStyle name="Normal 34 2" xfId="26204" xr:uid="{92FB3DC9-6B80-4FB1-A621-B4EDAFA73443}"/>
    <cellStyle name="Normal 35" xfId="6974" xr:uid="{61E3DF63-488D-4424-8D6F-7278F25B36BD}"/>
    <cellStyle name="Normal 35 2" xfId="30229" xr:uid="{40570083-4441-4AED-A2D7-3938C10AA2B1}"/>
    <cellStyle name="Normal 35 3" xfId="18731" xr:uid="{ABA01B6D-45FF-4154-ABD9-CC246EF08FD8}"/>
    <cellStyle name="Normal 35 4" xfId="12445" xr:uid="{9138A7C9-A537-4140-A6BC-308DD13C424B}"/>
    <cellStyle name="Normal 36" xfId="14485" xr:uid="{A2C7C234-B336-42BA-BF14-C7050AA5FB05}"/>
    <cellStyle name="Normal 36 2" xfId="35053" xr:uid="{017F5CDA-0E2B-431B-90EF-69C1D0E7ACF8}"/>
    <cellStyle name="Normal 36 3" xfId="30240" xr:uid="{C5898641-DA7B-4C42-A8F8-98B712007BF9}"/>
    <cellStyle name="Normal 36 4" xfId="19039" xr:uid="{F4C0C16B-6548-437D-B7AE-AF8582F99DA1}"/>
    <cellStyle name="Normal 37" xfId="14963" xr:uid="{3E781280-C7D7-438A-8A7D-D7D3059F5BE1}"/>
    <cellStyle name="Normal 37 2" xfId="19175" xr:uid="{53CA7C2B-941C-4F2E-9B7E-B73FFC734E76}"/>
    <cellStyle name="Normal 38" xfId="14965" xr:uid="{960CAE37-57EB-4C1E-BE97-88B7A3DF8B87}"/>
    <cellStyle name="Normal 38 2" xfId="19177" xr:uid="{99F3020E-C4BE-41B9-8E15-018C7E084286}"/>
    <cellStyle name="Normal 39" xfId="14970" xr:uid="{B1832F46-6084-409D-95D0-D705F0F702E1}"/>
    <cellStyle name="Normal 39 2" xfId="19178" xr:uid="{0997A15B-7983-4627-B66A-D582E60FFC95}"/>
    <cellStyle name="Normal 4" xfId="563" xr:uid="{00000000-0005-0000-0000-000042050000}"/>
    <cellStyle name="Normal 4 10" xfId="2035" xr:uid="{00000000-0005-0000-0000-000043050000}"/>
    <cellStyle name="Normal 4 10 2" xfId="26206" xr:uid="{4765D7AC-F7D1-41BD-960A-42290B03AD37}"/>
    <cellStyle name="Normal 4 11" xfId="2036" xr:uid="{00000000-0005-0000-0000-000044050000}"/>
    <cellStyle name="Normal 4 11 2" xfId="26207" xr:uid="{A66FFEE4-D876-4312-9BB0-74851E4D1E3E}"/>
    <cellStyle name="Normal 4 12" xfId="2037" xr:uid="{00000000-0005-0000-0000-000045050000}"/>
    <cellStyle name="Normal 4 12 2" xfId="26208" xr:uid="{CBE8B420-5D46-411B-84C8-0DC95D72C98B}"/>
    <cellStyle name="Normal 4 13" xfId="2038" xr:uid="{00000000-0005-0000-0000-000046050000}"/>
    <cellStyle name="Normal 4 13 2" xfId="26209" xr:uid="{DDC18EF2-509D-48D1-9758-014B4E4E4ABE}"/>
    <cellStyle name="Normal 4 14" xfId="2039" xr:uid="{00000000-0005-0000-0000-000047050000}"/>
    <cellStyle name="Normal 4 14 2" xfId="26210" xr:uid="{E3B01482-7F73-4662-96C1-0322AE43F2AC}"/>
    <cellStyle name="Normal 4 15" xfId="2040" xr:uid="{00000000-0005-0000-0000-000048050000}"/>
    <cellStyle name="Normal 4 15 2" xfId="26211" xr:uid="{45E695AD-F4CA-4E1B-AE56-BA0E1C21869C}"/>
    <cellStyle name="Normal 4 16" xfId="6977" xr:uid="{F6311D08-4CDB-4E16-B683-74129D6E834B}"/>
    <cellStyle name="Normal 4 17" xfId="26205" xr:uid="{3D035143-A0C6-4050-939D-CD07AB6CF5F0}"/>
    <cellStyle name="Normal 4 2" xfId="564" xr:uid="{00000000-0005-0000-0000-000049050000}"/>
    <cellStyle name="Normal 4 2 2" xfId="6976" xr:uid="{68268B91-3FBB-47FE-A29D-3196BE23EECF}"/>
    <cellStyle name="Normal 4 2 2 2" xfId="26213" xr:uid="{90D0E8CA-5642-4A2E-B32F-08AE1C82E4DE}"/>
    <cellStyle name="Normal 4 2 2 3" xfId="9231" xr:uid="{3277EE4B-B63D-478A-BB3B-B95498D6FC51}"/>
    <cellStyle name="Normal 4 2 3" xfId="26214" xr:uid="{3A496885-46BD-429E-B5C1-E4AF774DF5F2}"/>
    <cellStyle name="Normal 4 2 3 2" xfId="48962" xr:uid="{D6750E53-A079-47DC-9216-2C429A16A000}"/>
    <cellStyle name="Normal 4 2 4" xfId="26215" xr:uid="{C514DC07-9844-4C35-A462-8C2BF59737E6}"/>
    <cellStyle name="Normal 4 2 4 2" xfId="48963" xr:uid="{0D909273-85DA-4A81-A23F-35FAD528F6F0}"/>
    <cellStyle name="Normal 4 2 5" xfId="26212" xr:uid="{D7FC0F05-1E3E-42DD-A7EE-A5679C831877}"/>
    <cellStyle name="Normal 4 3" xfId="565" xr:uid="{00000000-0005-0000-0000-00004A050000}"/>
    <cellStyle name="Normal 4 3 2" xfId="26217" xr:uid="{D84DF192-4FBB-4899-AE5C-2491C235973F}"/>
    <cellStyle name="Normal 4 3 2 2" xfId="26218" xr:uid="{B73ADA63-93CD-4C0A-AFC3-F620285BF425}"/>
    <cellStyle name="Normal 4 3 3" xfId="26219" xr:uid="{978E391A-4B4D-4F0E-BBFF-70791CF601D5}"/>
    <cellStyle name="Normal 4 3 3 2" xfId="26220" xr:uid="{84C346B6-2B39-42EA-ADFF-3A2EBEF0D190}"/>
    <cellStyle name="Normal 4 3 4" xfId="26221" xr:uid="{4F61A8C5-3294-4DBE-A65A-5406FF3090E2}"/>
    <cellStyle name="Normal 4 3 4 2" xfId="48965" xr:uid="{1AB04E86-A7CB-4B60-ADA4-7E4D71E8D6A0}"/>
    <cellStyle name="Normal 4 3 5" xfId="26222" xr:uid="{BE274B72-0F55-403B-8837-3118120D33A9}"/>
    <cellStyle name="Normal 4 3 6" xfId="26223" xr:uid="{4735D3E5-A420-47E0-BE7E-DCCA1011D0EC}"/>
    <cellStyle name="Normal 4 3 7" xfId="26224" xr:uid="{D8F2E8FF-BE8D-4D55-804F-3FAA79CA98DC}"/>
    <cellStyle name="Normal 4 3 8" xfId="26216" xr:uid="{19AA330F-D72A-4C91-A941-E16BAD4A1AE9}"/>
    <cellStyle name="Normal 4 3 9" xfId="48964" xr:uid="{1E8363B4-8B4C-47A3-A814-796B1194C303}"/>
    <cellStyle name="Normal 4 4" xfId="566" xr:uid="{00000000-0005-0000-0000-00004B050000}"/>
    <cellStyle name="Normal 4 4 2" xfId="12144" xr:uid="{579F263B-944E-4446-BF19-E28875F07733}"/>
    <cellStyle name="Normal 4 4 2 2" xfId="26226" xr:uid="{99E1C4A3-B0F1-4F3C-AE67-357B0828B5E8}"/>
    <cellStyle name="Normal 4 4 3" xfId="26227" xr:uid="{0F0FAD41-DFCB-4738-AB74-4346036C09E0}"/>
    <cellStyle name="Normal 4 4 4" xfId="26225" xr:uid="{C5851707-9F73-47FD-BE48-56AF2CFD97EF}"/>
    <cellStyle name="Normal 4 5" xfId="2041" xr:uid="{00000000-0005-0000-0000-00004C050000}"/>
    <cellStyle name="Normal 4 5 2" xfId="14069" xr:uid="{5A1DC99C-BE5B-47F4-A73B-6C7C4AA48089}"/>
    <cellStyle name="Normal 4 5 2 2" xfId="26229" xr:uid="{7006E006-AE89-4F71-B840-A2A56EC9C3A4}"/>
    <cellStyle name="Normal 4 5 3" xfId="26230" xr:uid="{4ACA1189-01B0-4101-9A18-00660504E16A}"/>
    <cellStyle name="Normal 4 5 4" xfId="26228" xr:uid="{B996CBC4-20ED-4B94-9AE0-4740489259B4}"/>
    <cellStyle name="Normal 4 6" xfId="2042" xr:uid="{00000000-0005-0000-0000-00004D050000}"/>
    <cellStyle name="Normal 4 6 2" xfId="26231" xr:uid="{A9DBD876-E4DE-448F-B924-4FFB4E2D521E}"/>
    <cellStyle name="Normal 4 7" xfId="2043" xr:uid="{00000000-0005-0000-0000-00004E050000}"/>
    <cellStyle name="Normal 4 7 2" xfId="26233" xr:uid="{86C12B79-28CC-4AF9-9032-2770B2AD82D6}"/>
    <cellStyle name="Normal 4 7 3" xfId="26232" xr:uid="{5F727EAC-7589-44F1-BB63-587D538C5C36}"/>
    <cellStyle name="Normal 4 8" xfId="2044" xr:uid="{00000000-0005-0000-0000-00004F050000}"/>
    <cellStyle name="Normal 4 8 2" xfId="26235" xr:uid="{AA60170C-208F-4153-8B87-D959C9790DE1}"/>
    <cellStyle name="Normal 4 8 3" xfId="26234" xr:uid="{066759D0-3C5F-4D57-B056-1F3A1D89B4EA}"/>
    <cellStyle name="Normal 4 9" xfId="2045" xr:uid="{00000000-0005-0000-0000-000050050000}"/>
    <cellStyle name="Normal 4 9 2" xfId="26236" xr:uid="{F44FDFFA-D307-4151-AEC1-A9232471C8D8}"/>
    <cellStyle name="Normal 40" xfId="14964" xr:uid="{4F3AD861-3F3F-4D83-93EE-293878E7F982}"/>
    <cellStyle name="Normal 40 2" xfId="19176" xr:uid="{A69B0833-F2E7-459D-8065-079CB06BE7EB}"/>
    <cellStyle name="Normal 41" xfId="14971" xr:uid="{900838C4-802C-4F77-AF6A-186F3E99B72C}"/>
    <cellStyle name="Normal 41 2" xfId="19179" xr:uid="{6711411C-020E-4BA8-823E-2A71D7DD6EFF}"/>
    <cellStyle name="Normal 42" xfId="15076" xr:uid="{B5EA68C3-EEEA-41BC-B59C-324FDEFC71FC}"/>
    <cellStyle name="Normal 42 2" xfId="19212" xr:uid="{F1942FE4-2FA2-45F0-9CE4-10ECD6D6082C}"/>
    <cellStyle name="Normal 43" xfId="14975" xr:uid="{DD14D125-F022-4E67-9B34-F8FEEE575103}"/>
    <cellStyle name="Normal 43 2" xfId="19182" xr:uid="{1D3AE33A-1676-4881-8AB4-368E6A935925}"/>
    <cellStyle name="Normal 44" xfId="14977" xr:uid="{C1D91347-7954-4D7D-87D3-8030E4D40B70}"/>
    <cellStyle name="Normal 44 2" xfId="19183" xr:uid="{8B128D5A-5333-41D5-9A52-00893F0A8CD4}"/>
    <cellStyle name="Normal 45" xfId="15448" xr:uid="{912F9288-5177-4C38-8E55-B83CFD8E7017}"/>
    <cellStyle name="Normal 45 2" xfId="19318" xr:uid="{9B3963B9-BA0A-47B8-9D45-2D2E32168F51}"/>
    <cellStyle name="Normal 46" xfId="15451" xr:uid="{1293A573-FFAA-45EE-A4D6-6153411D57E2}"/>
    <cellStyle name="Normal 46 2" xfId="19321" xr:uid="{F708DE25-8E8D-4AE4-A52A-B775BA2211E6}"/>
    <cellStyle name="Normal 47" xfId="15456" xr:uid="{C0050DE5-40A1-45C3-AD40-65816DCE1FAE}"/>
    <cellStyle name="Normal 47 2" xfId="19322" xr:uid="{F1A050AF-F0C1-4A09-A995-96B9FEE33BA0}"/>
    <cellStyle name="Normal 48" xfId="15450" xr:uid="{F6ADAD53-7B55-454D-A1D8-13F6A9662126}"/>
    <cellStyle name="Normal 48 2" xfId="19320" xr:uid="{A234AFC5-D645-442E-A2AF-8D91D9AFD5F4}"/>
    <cellStyle name="Normal 49" xfId="15457" xr:uid="{2318E72D-DF3C-491E-8C15-463C555B9CE7}"/>
    <cellStyle name="Normal 49 2" xfId="19323" xr:uid="{01779194-6120-4C5E-959F-BB6B7CCE9E15}"/>
    <cellStyle name="Normal 5" xfId="567" xr:uid="{00000000-0005-0000-0000-000051050000}"/>
    <cellStyle name="Normal 5 10" xfId="26238" xr:uid="{6E1EA525-5FA4-44B8-9404-BDE53F7100FF}"/>
    <cellStyle name="Normal 5 10 2" xfId="26239" xr:uid="{03245E41-8AA4-4E40-8DE1-E8DD7DBF1A6B}"/>
    <cellStyle name="Normal 5 11" xfId="26240" xr:uid="{30763912-CD09-4A12-8080-EF677E9BBF3E}"/>
    <cellStyle name="Normal 5 11 2" xfId="26241" xr:uid="{28785CAF-0EEA-4C0C-B98A-EE5AFC4E3FA5}"/>
    <cellStyle name="Normal 5 12" xfId="26242" xr:uid="{77E42813-3479-4EB2-87FF-BA431F106E13}"/>
    <cellStyle name="Normal 5 12 2" xfId="26243" xr:uid="{2FB35BDB-5B6D-436C-A996-EAD59DF142E6}"/>
    <cellStyle name="Normal 5 13" xfId="26244" xr:uid="{1749EA97-A6C3-484C-B267-20EBF03C326D}"/>
    <cellStyle name="Normal 5 13 2" xfId="26245" xr:uid="{CFFEB22C-4BFB-41E2-885C-FA69C4E928E2}"/>
    <cellStyle name="Normal 5 14" xfId="26246" xr:uid="{D7D0F12A-1DA9-4349-84E3-CBF37FC9B4CE}"/>
    <cellStyle name="Normal 5 14 2" xfId="48966" xr:uid="{D9E40CDF-1C64-4D33-A5CF-65864F980B1A}"/>
    <cellStyle name="Normal 5 15" xfId="26247" xr:uid="{64EDA396-A88E-4F68-AA85-0FB4681EEEF7}"/>
    <cellStyle name="Normal 5 15 2" xfId="48967" xr:uid="{0D350CF0-CB49-4E82-ABF6-5643FEFD60BF}"/>
    <cellStyle name="Normal 5 16" xfId="26237" xr:uid="{864B46B1-5AE1-4A2D-86DA-A7929E941F17}"/>
    <cellStyle name="Normal 5 2" xfId="568" xr:uid="{00000000-0005-0000-0000-000052050000}"/>
    <cellStyle name="Normal 5 2 10" xfId="26248" xr:uid="{4EA74DC4-7A96-4F10-A40A-1CC44971FB65}"/>
    <cellStyle name="Normal 5 2 2" xfId="569" xr:uid="{00000000-0005-0000-0000-000053050000}"/>
    <cellStyle name="Normal 5 2 2 2" xfId="570" xr:uid="{00000000-0005-0000-0000-000054050000}"/>
    <cellStyle name="Normal 5 2 2 2 2" xfId="26251" xr:uid="{DBB825F0-A3A5-42A2-B0B6-B939ACE4B9C0}"/>
    <cellStyle name="Normal 5 2 2 2 3" xfId="26252" xr:uid="{33E9196B-C93C-4754-A017-D418C35C50CE}"/>
    <cellStyle name="Normal 5 2 2 2 4" xfId="26250" xr:uid="{036FB0A7-1CA4-415F-94B1-4A4A39D3672D}"/>
    <cellStyle name="Normal 5 2 2 3" xfId="2046" xr:uid="{00000000-0005-0000-0000-000055050000}"/>
    <cellStyle name="Normal 5 2 2 3 2" xfId="26254" xr:uid="{C322D886-C93A-4888-93E7-C3BAF9B41F01}"/>
    <cellStyle name="Normal 5 2 2 3 3" xfId="26255" xr:uid="{4FFBDC05-DB2E-48D3-BF0F-470D5BA1DAAC}"/>
    <cellStyle name="Normal 5 2 2 3 4" xfId="26253" xr:uid="{085C300F-6EB5-46AB-8A9F-25EC641E3912}"/>
    <cellStyle name="Normal 5 2 2 4" xfId="26256" xr:uid="{169DDAFE-AD64-473B-8711-35B17D307A67}"/>
    <cellStyle name="Normal 5 2 2 5" xfId="26257" xr:uid="{E7646EF8-4A01-4ED0-98A5-59ABACE0C332}"/>
    <cellStyle name="Normal 5 2 2 6" xfId="26249" xr:uid="{64E86DEC-5B7D-46E5-8950-6033AF741AE1}"/>
    <cellStyle name="Normal 5 2 3" xfId="2047" xr:uid="{00000000-0005-0000-0000-000056050000}"/>
    <cellStyle name="Normal 5 2 3 2" xfId="2048" xr:uid="{00000000-0005-0000-0000-000057050000}"/>
    <cellStyle name="Normal 5 2 3 2 2" xfId="26260" xr:uid="{8FB6ABAB-7EF7-47FC-9A88-AD6B0A7FDE28}"/>
    <cellStyle name="Normal 5 2 3 2 3" xfId="26259" xr:uid="{EA8DE149-86D7-4A1C-A2AC-C568D18B030A}"/>
    <cellStyle name="Normal 5 2 3 3" xfId="26261" xr:uid="{64941242-771F-4FE2-95E0-675A80892AA3}"/>
    <cellStyle name="Normal 5 2 3 4" xfId="26258" xr:uid="{B91A6BB0-3118-4421-896A-C8B7C23F13B6}"/>
    <cellStyle name="Normal 5 2 4" xfId="26262" xr:uid="{4CDD19F8-DA49-461B-B0E4-11EBC2D97754}"/>
    <cellStyle name="Normal 5 2 4 2" xfId="26263" xr:uid="{A3ADF8DB-0E6B-4469-8C05-974D67EC1C1F}"/>
    <cellStyle name="Normal 5 2 5" xfId="26264" xr:uid="{2C2B0AF3-EE65-44CA-A67B-7FAB4075A506}"/>
    <cellStyle name="Normal 5 2 5 2" xfId="26265" xr:uid="{57A66AFA-C584-4808-8758-58C954A7B270}"/>
    <cellStyle name="Normal 5 2 6" xfId="26266" xr:uid="{66420660-D274-48B3-9456-F3C6596E05A8}"/>
    <cellStyle name="Normal 5 2 6 2" xfId="26267" xr:uid="{594ADB93-F417-4F95-B270-21F93A2E965B}"/>
    <cellStyle name="Normal 5 2 7" xfId="26268" xr:uid="{4687A1A7-C4D8-4D9C-8B4D-782EC3554738}"/>
    <cellStyle name="Normal 5 2 7 2" xfId="26269" xr:uid="{9334C8AA-F2EC-457C-9BA3-2077E1593952}"/>
    <cellStyle name="Normal 5 2 8" xfId="26270" xr:uid="{7EDEA3CF-D277-4196-B069-BC54B122A991}"/>
    <cellStyle name="Normal 5 2 8 2" xfId="48968" xr:uid="{382D1140-618D-443A-BCDD-606074E69526}"/>
    <cellStyle name="Normal 5 2 9" xfId="26271" xr:uid="{3EFDB36B-7449-44A9-A73D-89DABAB1D697}"/>
    <cellStyle name="Normal 5 2 9 2" xfId="48969" xr:uid="{1FF56289-64FA-414F-BD9E-2B19FFC53B85}"/>
    <cellStyle name="Normal 5 3" xfId="2049" xr:uid="{00000000-0005-0000-0000-000058050000}"/>
    <cellStyle name="Normal 5 3 10" xfId="26272" xr:uid="{76035AAD-9476-42A0-B1FC-183B420F4792}"/>
    <cellStyle name="Normal 5 3 11" xfId="48970" xr:uid="{AAD28A2B-AEEB-4A73-8ADB-B0CB52BE31CA}"/>
    <cellStyle name="Normal 5 3 2" xfId="26273" xr:uid="{E3860411-2F76-4A2C-B322-59EB5D1B151F}"/>
    <cellStyle name="Normal 5 3 2 2" xfId="26274" xr:uid="{9A336E04-9A13-42B2-A13E-61B9684E53DC}"/>
    <cellStyle name="Normal 5 3 2 2 2" xfId="26275" xr:uid="{0BC52C49-F69F-4A4F-B5A1-6990DF556BD4}"/>
    <cellStyle name="Normal 5 3 2 3" xfId="26276" xr:uid="{F3E70D7A-8081-41F5-8ECA-46349EC5E076}"/>
    <cellStyle name="Normal 5 3 2 3 2" xfId="26277" xr:uid="{918300BB-C156-41BA-9015-85040381C5D8}"/>
    <cellStyle name="Normal 5 3 2 4" xfId="26278" xr:uid="{C70F6F45-53A4-4FE8-A965-54B44A229C33}"/>
    <cellStyle name="Normal 5 3 3" xfId="26279" xr:uid="{89CA4812-2F99-46EC-BEF9-5437AD5D67E5}"/>
    <cellStyle name="Normal 5 3 3 2" xfId="26280" xr:uid="{6FD3E08D-8EFA-4C62-AB55-3E0B9218DE85}"/>
    <cellStyle name="Normal 5 3 4" xfId="26281" xr:uid="{B5A2A17C-AB10-48F7-9742-79DD63145CF9}"/>
    <cellStyle name="Normal 5 3 4 2" xfId="26282" xr:uid="{862599BC-2866-4776-976A-BCE62D7E1E7A}"/>
    <cellStyle name="Normal 5 3 5" xfId="26283" xr:uid="{85D64586-D534-4024-917F-96A02F25AD30}"/>
    <cellStyle name="Normal 5 3 5 2" xfId="26284" xr:uid="{A9147402-CF5D-412B-ABB1-DF02CDD2A4C4}"/>
    <cellStyle name="Normal 5 3 6" xfId="26285" xr:uid="{BEBA495E-FD16-49A5-8E8D-50CFF388948B}"/>
    <cellStyle name="Normal 5 3 6 2" xfId="26286" xr:uid="{D50AD1B8-BAF0-4B74-B2FF-926CCD895891}"/>
    <cellStyle name="Normal 5 3 7" xfId="26287" xr:uid="{20D686DE-20D5-4E3F-A7FC-A6570E8133B3}"/>
    <cellStyle name="Normal 5 3 8" xfId="26288" xr:uid="{6B8B35A3-8D27-41BF-A789-333EA0FC0B14}"/>
    <cellStyle name="Normal 5 3 9" xfId="26289" xr:uid="{7999E148-C081-43B7-AF89-425BFD479161}"/>
    <cellStyle name="Normal 5 4" xfId="26290" xr:uid="{F0E32636-D19B-4198-A73E-1BE2285D1438}"/>
    <cellStyle name="Normal 5 4 2" xfId="26291" xr:uid="{02C3D07F-E04C-4A04-A0FD-97D01EB7A6F6}"/>
    <cellStyle name="Normal 5 4 2 2" xfId="26292" xr:uid="{19840EAA-17BC-444D-B74D-58AD0BE5D3AB}"/>
    <cellStyle name="Normal 5 4 2 2 2" xfId="26293" xr:uid="{CB0FDC83-34B9-4991-A3D9-BECF500B9778}"/>
    <cellStyle name="Normal 5 4 2 3" xfId="26294" xr:uid="{66CD1C24-0455-4CB2-8C87-2C60A42A7943}"/>
    <cellStyle name="Normal 5 4 2 3 2" xfId="26295" xr:uid="{C184C129-BFA3-4D6B-B1EA-62AEC68DEAB2}"/>
    <cellStyle name="Normal 5 4 2 4" xfId="26296" xr:uid="{3A5DEF3A-CBF7-4E07-8E97-C92FCDF1C813}"/>
    <cellStyle name="Normal 5 4 3" xfId="26297" xr:uid="{97FEDD41-7B91-41F8-B782-F1375BE7ABFF}"/>
    <cellStyle name="Normal 5 4 3 2" xfId="26298" xr:uid="{7D013A4A-AA5B-460D-918E-B8A30368E456}"/>
    <cellStyle name="Normal 5 4 4" xfId="26299" xr:uid="{6B711529-5DC9-4826-ADF2-9D17C0A9118F}"/>
    <cellStyle name="Normal 5 4 4 2" xfId="26300" xr:uid="{51EB0342-AC5F-48CB-80D3-7839D87ED9BB}"/>
    <cellStyle name="Normal 5 4 5" xfId="26301" xr:uid="{2E71DE11-D178-46EF-B068-0D934BEB98BD}"/>
    <cellStyle name="Normal 5 4 5 2" xfId="26302" xr:uid="{A60EECFA-9E8E-4521-87F7-CF472917618D}"/>
    <cellStyle name="Normal 5 4 6" xfId="26303" xr:uid="{F973F083-581C-4F8F-902C-AE2F2006BD69}"/>
    <cellStyle name="Normal 5 5" xfId="26304" xr:uid="{7884412B-3C27-48E0-B545-EE7587066676}"/>
    <cellStyle name="Normal 5 5 2" xfId="26305" xr:uid="{ED3F05ED-AA75-4213-929D-F25E1F1DDC5D}"/>
    <cellStyle name="Normal 5 5 2 2" xfId="26306" xr:uid="{52679342-43E5-4632-AE15-7E64B78E11D7}"/>
    <cellStyle name="Normal 5 5 2 2 2" xfId="26307" xr:uid="{AA5CADED-C313-4751-9E1B-7CD206B9EC59}"/>
    <cellStyle name="Normal 5 5 2 3" xfId="26308" xr:uid="{EBA4795C-FE2F-4BD7-B67D-BD98E2C7CE86}"/>
    <cellStyle name="Normal 5 5 2 3 2" xfId="26309" xr:uid="{5D791DF4-E64D-4855-8CAC-61CF5D6CEC71}"/>
    <cellStyle name="Normal 5 5 2 4" xfId="26310" xr:uid="{DC289FFD-D0AE-4F89-92A1-3F7516236A66}"/>
    <cellStyle name="Normal 5 5 3" xfId="26311" xr:uid="{E161AA34-A2AE-4753-A779-2D6731B88B1F}"/>
    <cellStyle name="Normal 5 5 3 2" xfId="26312" xr:uid="{F7EAC9A6-8A04-4776-874C-44F1124079BD}"/>
    <cellStyle name="Normal 5 5 4" xfId="26313" xr:uid="{70FDEE04-BB9D-4FD9-80F0-D8E62B673EE1}"/>
    <cellStyle name="Normal 5 5 4 2" xfId="26314" xr:uid="{6250D197-998A-4873-9284-3ED86B52D560}"/>
    <cellStyle name="Normal 5 5 5" xfId="26315" xr:uid="{AECB6C8C-FE17-4CE6-AEA9-66BB878E59BB}"/>
    <cellStyle name="Normal 5 5 5 2" xfId="26316" xr:uid="{A326A580-9543-417A-9CB8-DF8A470B73F8}"/>
    <cellStyle name="Normal 5 5 6" xfId="26317" xr:uid="{5E24069C-DA95-4860-AAE0-99801BD60A68}"/>
    <cellStyle name="Normal 5 6" xfId="26318" xr:uid="{9D4B2A21-C09D-4911-9112-3D042AEE5991}"/>
    <cellStyle name="Normal 5 6 2" xfId="26319" xr:uid="{9D201994-93AB-4E29-8B9D-2533092B924F}"/>
    <cellStyle name="Normal 5 6 2 2" xfId="26320" xr:uid="{0DA478B0-B504-4518-BBD4-E0176A313115}"/>
    <cellStyle name="Normal 5 6 2 2 2" xfId="26321" xr:uid="{33B52B06-61B0-43F6-8A60-774CB046CB58}"/>
    <cellStyle name="Normal 5 6 2 3" xfId="26322" xr:uid="{F588AD04-87BC-48AB-9EAC-8DFFFF2623C2}"/>
    <cellStyle name="Normal 5 6 2 3 2" xfId="26323" xr:uid="{9110817E-9E74-4024-A50A-6F015F77C76D}"/>
    <cellStyle name="Normal 5 6 2 4" xfId="26324" xr:uid="{946278A4-A10D-471A-8140-AE9DA6DFFB68}"/>
    <cellStyle name="Normal 5 6 3" xfId="26325" xr:uid="{44BA34CE-021C-4D35-9B8D-E43891B083AF}"/>
    <cellStyle name="Normal 5 6 3 2" xfId="26326" xr:uid="{4A868DB7-7671-4C35-98F8-9DE58774D7AE}"/>
    <cellStyle name="Normal 5 6 4" xfId="26327" xr:uid="{0CD9DBEF-3BE5-45B4-B7DE-C1E579B3DB93}"/>
    <cellStyle name="Normal 5 6 4 2" xfId="26328" xr:uid="{FD510D97-AC44-4401-B60F-ADC596A9DEAE}"/>
    <cellStyle name="Normal 5 6 5" xfId="26329" xr:uid="{F4EEE548-3CB9-4AE4-90B4-ECD392C74E3D}"/>
    <cellStyle name="Normal 5 6 5 2" xfId="26330" xr:uid="{759121B3-D978-4337-B433-E5CA79EA066A}"/>
    <cellStyle name="Normal 5 6 6" xfId="26331" xr:uid="{CE8BDCAB-BEB2-42AA-943F-74EBCBF854D9}"/>
    <cellStyle name="Normal 5 7" xfId="26332" xr:uid="{F51B4660-BD19-4FBB-A2DE-42FD13FEB5F5}"/>
    <cellStyle name="Normal 5 7 2" xfId="26333" xr:uid="{FB90D1CF-E71B-42E1-A822-7C8BBFF4B7A2}"/>
    <cellStyle name="Normal 5 7 2 2" xfId="26334" xr:uid="{EF4055C5-1B27-45BF-A748-3ACD021456A6}"/>
    <cellStyle name="Normal 5 7 2 2 2" xfId="26335" xr:uid="{F287068C-66A2-4051-B677-F240186191FA}"/>
    <cellStyle name="Normal 5 7 2 3" xfId="26336" xr:uid="{54D9556D-E867-4471-B1F2-8FC1E78AECEA}"/>
    <cellStyle name="Normal 5 7 2 3 2" xfId="26337" xr:uid="{4080845C-DA2C-4898-9884-F0C971139D35}"/>
    <cellStyle name="Normal 5 7 2 4" xfId="26338" xr:uid="{24A8E32F-E2ED-4AE5-B0D2-96956589ACE9}"/>
    <cellStyle name="Normal 5 7 3" xfId="26339" xr:uid="{6138244D-FF1C-4CE6-AC43-73A9FF561C79}"/>
    <cellStyle name="Normal 5 7 3 2" xfId="26340" xr:uid="{24146285-D80F-4F14-9A01-699A0F0B081F}"/>
    <cellStyle name="Normal 5 7 4" xfId="26341" xr:uid="{B98D8903-2B43-401E-9BF1-75D4A56C90CF}"/>
    <cellStyle name="Normal 5 7 4 2" xfId="26342" xr:uid="{8D7488B2-493A-410D-B4E7-6744531547D6}"/>
    <cellStyle name="Normal 5 7 5" xfId="26343" xr:uid="{008ECD04-71A3-4C04-9EE4-BA118232E8AD}"/>
    <cellStyle name="Normal 5 7 5 2" xfId="26344" xr:uid="{2B2A4763-3F94-4000-91CA-3AB3256FBA39}"/>
    <cellStyle name="Normal 5 7 6" xfId="26345" xr:uid="{3D63B4D8-4B8B-4927-BF71-DBFC8D8704B4}"/>
    <cellStyle name="Normal 5 8" xfId="26346" xr:uid="{7D7DDDCD-1674-4F38-ABA5-BB7165135439}"/>
    <cellStyle name="Normal 5 8 2" xfId="26347" xr:uid="{E299573A-70D3-4EBF-A381-B35C35C2FF78}"/>
    <cellStyle name="Normal 5 8 2 2" xfId="26348" xr:uid="{8EE8BCF0-F1D7-41B3-8E6A-A8C85CC9FB4D}"/>
    <cellStyle name="Normal 5 8 3" xfId="26349" xr:uid="{3CB5385E-99BF-4B6C-AF3E-6C806F125AF7}"/>
    <cellStyle name="Normal 5 8 3 2" xfId="26350" xr:uid="{4ACE2183-17B0-4D84-A7CE-DEE9097FA50D}"/>
    <cellStyle name="Normal 5 8 4" xfId="26351" xr:uid="{CA199265-9113-4718-BA75-9F224206A9A4}"/>
    <cellStyle name="Normal 5 9" xfId="26352" xr:uid="{FE0E0D18-A396-473F-AE2F-BA710F848020}"/>
    <cellStyle name="Normal 5 9 2" xfId="26353" xr:uid="{E8A63647-BDF9-4FA1-BD0E-1F88409D8681}"/>
    <cellStyle name="Normal 5 9 2 2" xfId="26354" xr:uid="{6ECD4B1C-C6AE-4BF3-A214-40CBC86AF645}"/>
    <cellStyle name="Normal 5 9 3" xfId="26355" xr:uid="{F63E7C38-98EF-43C9-8A06-2EDBBB75A90C}"/>
    <cellStyle name="Normal 50" xfId="15563" xr:uid="{5DCD23B2-F215-4CB1-97FB-14DEEA29C464}"/>
    <cellStyle name="Normal 50 2" xfId="19357" xr:uid="{8ED4985F-BF8D-4ABD-96B5-E30F5EEC49DB}"/>
    <cellStyle name="Normal 51" xfId="15462" xr:uid="{4315286A-5345-479E-AD49-C5431AAEBC6F}"/>
    <cellStyle name="Normal 51 2" xfId="19327" xr:uid="{6DD4432E-2593-4CAF-AC9F-824ECFDECE1D}"/>
    <cellStyle name="Normal 52" xfId="15464" xr:uid="{916E0E3C-DF36-4A74-B321-1EAF520C89B0}"/>
    <cellStyle name="Normal 52 2" xfId="19328" xr:uid="{04163A9E-36B3-480E-976B-67442CC5A4E3}"/>
    <cellStyle name="Normal 53" xfId="15449" xr:uid="{5B0ECCDD-D560-4085-9972-6081D4302797}"/>
    <cellStyle name="Normal 53 2" xfId="19319" xr:uid="{5321A1BB-C9C6-44BB-B499-CAD41B6002E6}"/>
    <cellStyle name="Normal 54" xfId="15458" xr:uid="{2714B744-F764-4378-AAAB-6AAE7838F4A5}"/>
    <cellStyle name="Normal 54 2" xfId="19324" xr:uid="{F52AB8CA-4362-4E19-907A-CFA2B8CB1383}"/>
    <cellStyle name="Normal 55" xfId="15886" xr:uid="{DECF5C4D-959A-4743-9084-C954409E7A1E}"/>
    <cellStyle name="Normal 55 2" xfId="19448" xr:uid="{FEFCB092-BE7C-4191-8A02-F2D5555CAD41}"/>
    <cellStyle name="Normal 56" xfId="15937" xr:uid="{1996EF94-0A35-441D-ADA0-69EDCBC416ED}"/>
    <cellStyle name="Normal 56 2" xfId="19465" xr:uid="{90C111CB-C9F7-47E9-88B0-E5D1822BC2ED}"/>
    <cellStyle name="Normal 57" xfId="15936" xr:uid="{4B69DC09-5956-41C5-BE25-EDC1CDBF7C3C}"/>
    <cellStyle name="Normal 57 2" xfId="19464" xr:uid="{31B6B1C6-20A8-47E5-BC7C-D37665866B79}"/>
    <cellStyle name="Normal 58" xfId="10601" xr:uid="{6EAE8DFA-CCA6-4EBA-829D-75374FEC1592}"/>
    <cellStyle name="Normal 58 2" xfId="47735" xr:uid="{09691AD0-FF16-4FD9-B7A0-BADE2DC9BF61}"/>
    <cellStyle name="Normal 59" xfId="48250" xr:uid="{77C0ABAF-DF0F-4A16-8B91-EB36DA9913D8}"/>
    <cellStyle name="Normal 6" xfId="571" xr:uid="{00000000-0005-0000-0000-000059050000}"/>
    <cellStyle name="Normal 6 10" xfId="10609" xr:uid="{02C30CED-C610-40DF-BA3A-58CE6CBC772D}"/>
    <cellStyle name="Normal 6 10 2" xfId="26357" xr:uid="{07D8E242-3CD1-4F42-A6B8-48DC3AFAA484}"/>
    <cellStyle name="Normal 6 10 3" xfId="26356" xr:uid="{94644688-9BCC-4A0A-9E0D-4BBD8A751BF6}"/>
    <cellStyle name="Normal 6 11" xfId="26358" xr:uid="{F82A1944-49EA-4D6A-89A0-F9FBEB1A1A67}"/>
    <cellStyle name="Normal 6 11 2" xfId="26359" xr:uid="{2BBA9B37-ECB1-4295-8584-89BF56DE6729}"/>
    <cellStyle name="Normal 6 12" xfId="26360" xr:uid="{E6913783-1C9B-42ED-B0CE-6408671D58B9}"/>
    <cellStyle name="Normal 6 12 2" xfId="26361" xr:uid="{7F4B0BC3-E83E-40BA-AB54-0D053267A524}"/>
    <cellStyle name="Normal 6 13" xfId="26362" xr:uid="{E40A0EFA-F000-46A4-8CBC-F671B3256A57}"/>
    <cellStyle name="Normal 6 13 2" xfId="26363" xr:uid="{6878FB9F-3F84-4895-9FFC-8D8CF1732D35}"/>
    <cellStyle name="Normal 6 14" xfId="26364" xr:uid="{171FFB99-83D4-4ACD-8792-66B65FFB1899}"/>
    <cellStyle name="Normal 6 15" xfId="26365" xr:uid="{97ACF207-F2E1-46A7-80A2-DF639F4DF011}"/>
    <cellStyle name="Normal 6 16" xfId="16984" xr:uid="{225B633C-CD6C-4EDA-8A11-ADB2ACCCA9E3}"/>
    <cellStyle name="Normal 6 2" xfId="572" xr:uid="{00000000-0005-0000-0000-00005A050000}"/>
    <cellStyle name="Normal 6 2 10" xfId="26366" xr:uid="{9ABB9C0B-DE45-48E0-9556-966A79C592BD}"/>
    <cellStyle name="Normal 6 2 10 2" xfId="48971" xr:uid="{37D1B535-2825-4924-A3ED-C33970507572}"/>
    <cellStyle name="Normal 6 2 11" xfId="16985" xr:uid="{A2A1A7A6-171B-4464-AFF2-2DC4DF1D7555}"/>
    <cellStyle name="Normal 6 2 2" xfId="2050" xr:uid="{00000000-0005-0000-0000-00005B050000}"/>
    <cellStyle name="Normal 6 2 2 2" xfId="4088" xr:uid="{60083ED1-180F-4F02-BB0F-6635A2563F18}"/>
    <cellStyle name="Normal 6 2 2 2 2" xfId="10310" xr:uid="{02A2C0EE-20CC-42A7-A149-76C002ABE55A}"/>
    <cellStyle name="Normal 6 2 2 2 2 2" xfId="12763" xr:uid="{14D7F4EC-35C0-44F1-AB07-01C1ADD6D63B}"/>
    <cellStyle name="Normal 6 2 2 2 2 2 2" xfId="46790" xr:uid="{03FE353B-F98A-49D7-A64A-0851B223E06F}"/>
    <cellStyle name="Normal 6 2 2 2 2 3" xfId="18892" xr:uid="{1B454EF4-C1F9-48DA-9D01-CC38ADFDE66D}"/>
    <cellStyle name="Normal 6 2 2 2 3" xfId="12462" xr:uid="{5E38A481-AB6E-4F6F-A784-FB4B3CB4675D}"/>
    <cellStyle name="Normal 6 2 2 2 3 2" xfId="32431" xr:uid="{373B5F4C-115B-4BA3-9B60-6978E3096B26}"/>
    <cellStyle name="Normal 6 2 2 2 4" xfId="18743" xr:uid="{6B9C8128-E67D-400A-A7FC-CA9A3C72706E}"/>
    <cellStyle name="Normal 6 2 2 3" xfId="10077" xr:uid="{AF88B393-8D68-47E8-AD17-D0C93986EB2C}"/>
    <cellStyle name="Normal 6 2 2 3 2" xfId="10389" xr:uid="{55EC623E-8EC1-472F-A6B8-41A231756863}"/>
    <cellStyle name="Normal 6 2 2 3 2 2" xfId="12842" xr:uid="{B299605A-9226-4340-BDDF-33F6A1FD22BF}"/>
    <cellStyle name="Normal 6 2 2 3 2 2 2" xfId="47022" xr:uid="{687398E3-6B44-4F79-8C86-D5D409355781}"/>
    <cellStyle name="Normal 6 2 2 3 2 3" xfId="18933" xr:uid="{002EC377-DA55-4BC7-8022-1898FC6111BF}"/>
    <cellStyle name="Normal 6 2 2 3 3" xfId="12534" xr:uid="{CB8135EE-57C5-4F90-A7EF-F1C848C0B26F}"/>
    <cellStyle name="Normal 6 2 2 3 3 2" xfId="32291" xr:uid="{7E7F5E2F-14A8-4916-9DA2-78D1E5F597E2}"/>
    <cellStyle name="Normal 6 2 2 3 4" xfId="18777" xr:uid="{7723B284-0282-45AF-9B90-73E9C2A76594}"/>
    <cellStyle name="Normal 6 2 2 4" xfId="10155" xr:uid="{6FDEA96A-177A-480F-B1BE-2739B0AE92E4}"/>
    <cellStyle name="Normal 6 2 2 4 2" xfId="10469" xr:uid="{EED58D87-26EA-40D3-812D-C1915C697A75}"/>
    <cellStyle name="Normal 6 2 2 4 2 2" xfId="12922" xr:uid="{494ECBB7-A69F-4FB4-80BD-78C3D7007029}"/>
    <cellStyle name="Normal 6 2 2 4 2 2 2" xfId="24478" xr:uid="{3C2F495C-2DE1-4492-A9CE-5840A1774C1A}"/>
    <cellStyle name="Normal 6 2 2 4 2 3" xfId="18975" xr:uid="{F8E48DB4-6DFD-4812-8B90-94212277B367}"/>
    <cellStyle name="Normal 6 2 2 4 3" xfId="12609" xr:uid="{3D4DE4CD-43B7-4876-B527-03E520C17922}"/>
    <cellStyle name="Normal 6 2 2 4 3 2" xfId="46329" xr:uid="{AD8392F9-FC04-4EE7-A388-129C7135DB08}"/>
    <cellStyle name="Normal 6 2 2 4 4" xfId="18814" xr:uid="{D4783D55-87F8-4853-B1DA-D9B114129BB3}"/>
    <cellStyle name="Normal 6 2 2 5" xfId="10235" xr:uid="{2A1DD66D-6373-4840-9AF9-DA2ACE19F203}"/>
    <cellStyle name="Normal 6 2 2 5 2" xfId="12688" xr:uid="{3A964658-51D0-49BE-912E-F5DD8410D9DC}"/>
    <cellStyle name="Normal 6 2 2 5 2 2" xfId="46666" xr:uid="{0EF4EF00-FA08-4ECA-8CD3-D175ACFAC4A2}"/>
    <cellStyle name="Normal 6 2 2 5 3" xfId="18855" xr:uid="{2BA88494-4798-4751-825A-8DF971B366A5}"/>
    <cellStyle name="Normal 6 2 2 6" xfId="10549" xr:uid="{71D533F3-5DD9-4FDB-984D-8FDC88FE6AC9}"/>
    <cellStyle name="Normal 6 2 2 6 2" xfId="13002" xr:uid="{3FD5F73D-A49B-485E-B954-1119B2A5F504}"/>
    <cellStyle name="Normal 6 2 2 6 2 2" xfId="47079" xr:uid="{3079F85F-2B22-4188-A2B3-9C99995C6055}"/>
    <cellStyle name="Normal 6 2 2 6 3" xfId="19017" xr:uid="{E1BC9A4C-3E94-4B09-8D35-7C7C16CDAB6B}"/>
    <cellStyle name="Normal 6 2 2 7" xfId="11493" xr:uid="{35BB2119-4B49-4847-B1F5-D661BEE3C131}"/>
    <cellStyle name="Normal 6 2 2 7 2" xfId="18122" xr:uid="{CD9DF533-4125-462A-95D0-079E151AD93A}"/>
    <cellStyle name="Normal 6 2 2 8" xfId="11072" xr:uid="{18438AC8-E498-4B3D-AB50-E672643D74A0}"/>
    <cellStyle name="Normal 6 2 2 9" xfId="16986" xr:uid="{66A12BE4-F7E9-4303-BF56-76E7965D3FF9}"/>
    <cellStyle name="Normal 6 2 3" xfId="2051" xr:uid="{00000000-0005-0000-0000-00005C050000}"/>
    <cellStyle name="Normal 6 2 3 2" xfId="2052" xr:uid="{00000000-0005-0000-0000-00005D050000}"/>
    <cellStyle name="Normal 6 2 3 2 2" xfId="14070" xr:uid="{2424B98D-EB6E-446E-90ED-23AE433944F4}"/>
    <cellStyle name="Normal 6 2 3 2 2 2" xfId="26367" xr:uid="{F40A7D20-09CB-4CC7-BEB2-2AE552D1A39E}"/>
    <cellStyle name="Normal 6 2 3 2 3" xfId="17827" xr:uid="{43ECE267-AD5A-48FE-BA14-BEE8C588E583}"/>
    <cellStyle name="Normal 6 2 3 3" xfId="11110" xr:uid="{7752FDBC-2021-47C0-9142-68A5D8560E3E}"/>
    <cellStyle name="Normal 6 2 3 3 2" xfId="26368" xr:uid="{92D944FE-DF38-46F6-84C4-02097DC7B6E0}"/>
    <cellStyle name="Normal 6 2 3 4" xfId="11073" xr:uid="{3D0DEDD2-82B0-40E1-B8F8-BAC90DA1F22B}"/>
    <cellStyle name="Normal 6 2 3 4 2" xfId="17826" xr:uid="{384D3E07-17A1-48DA-B038-E6F4463CA386}"/>
    <cellStyle name="Normal 6 2 3 5" xfId="8070" xr:uid="{1EC41DA4-3548-4779-8ACA-68D760C0349B}"/>
    <cellStyle name="Normal 6 2 4" xfId="2053" xr:uid="{00000000-0005-0000-0000-00005E050000}"/>
    <cellStyle name="Normal 6 2 4 2" xfId="10296" xr:uid="{AB24E985-BCD1-4996-B551-96930159F456}"/>
    <cellStyle name="Normal 6 2 4 2 2" xfId="12749" xr:uid="{E4739E04-BAA9-46FA-9F70-DF47B32F28E1}"/>
    <cellStyle name="Normal 6 2 4 2 2 2" xfId="25060" xr:uid="{74250D35-E25E-404E-B7C4-2C2138C41033}"/>
    <cellStyle name="Normal 6 2 4 2 3" xfId="18880" xr:uid="{18D36F6B-D6C4-4345-B30A-0135A59483CA}"/>
    <cellStyle name="Normal 6 2 4 3" xfId="11074" xr:uid="{2ACD1806-6D19-46A9-86E6-B749CE196867}"/>
    <cellStyle name="Normal 6 2 4 3 2" xfId="47689" xr:uid="{7B9F6DD4-46AA-48E6-BE2B-8E6E6DB40862}"/>
    <cellStyle name="Normal 6 2 4 4" xfId="17828" xr:uid="{764B910F-E8B2-4410-887E-95D19BC4302E}"/>
    <cellStyle name="Normal 6 2 5" xfId="10062" xr:uid="{40E9C109-96B1-410C-A909-F02281BACC46}"/>
    <cellStyle name="Normal 6 2 5 2" xfId="10371" xr:uid="{3E96248A-4B7E-49DF-A951-CA775398114C}"/>
    <cellStyle name="Normal 6 2 5 2 2" xfId="12824" xr:uid="{EABE3A47-8AA0-4E78-8B02-83C39BEF872C}"/>
    <cellStyle name="Normal 6 2 5 2 2 2" xfId="25048" xr:uid="{7FEDCFFF-4810-4FE3-B176-5DA4A43190C6}"/>
    <cellStyle name="Normal 6 2 5 2 3" xfId="18917" xr:uid="{B1568EBE-A39F-4213-9287-3238915266B9}"/>
    <cellStyle name="Normal 6 2 5 3" xfId="12521" xr:uid="{FAF3BA2B-FD21-46E3-A994-6306B2599CB1}"/>
    <cellStyle name="Normal 6 2 5 3 2" xfId="47164" xr:uid="{9F5897A8-F30C-4007-8073-18027E57B64C}"/>
    <cellStyle name="Normal 6 2 5 4" xfId="18766" xr:uid="{C9D3C138-49BC-4369-B0CD-4234CACB5942}"/>
    <cellStyle name="Normal 6 2 6" xfId="10137" xr:uid="{55AECC5B-C051-445D-8CFA-9B0741C66067}"/>
    <cellStyle name="Normal 6 2 6 2" xfId="10451" xr:uid="{9783613E-B10F-4C2E-8567-67A401A5BD1A}"/>
    <cellStyle name="Normal 6 2 6 2 2" xfId="12904" xr:uid="{778546F2-4B7D-40DF-BFC7-352D2E017579}"/>
    <cellStyle name="Normal 6 2 6 2 2 2" xfId="48399" xr:uid="{2B1153A4-C9CD-498E-B5B7-EBF8696745DB}"/>
    <cellStyle name="Normal 6 2 6 2 3" xfId="18959" xr:uid="{713090A2-853B-4C74-B934-03AAC03913F2}"/>
    <cellStyle name="Normal 6 2 6 3" xfId="12593" xr:uid="{37CC4A4D-9590-4221-8B72-6BC3E47BD7A5}"/>
    <cellStyle name="Normal 6 2 6 3 2" xfId="25072" xr:uid="{C7B27CC2-0120-4C23-BBD1-AEA3B8D74B70}"/>
    <cellStyle name="Normal 6 2 6 4" xfId="18800" xr:uid="{A6FA8DE5-C047-49F9-8899-26043F51B7B3}"/>
    <cellStyle name="Normal 6 2 7" xfId="10217" xr:uid="{C9A54947-227D-44A8-81BB-E8446F5AA722}"/>
    <cellStyle name="Normal 6 2 7 2" xfId="12670" xr:uid="{7A9F96F6-6F7E-4457-9E14-D24058194936}"/>
    <cellStyle name="Normal 6 2 7 2 2" xfId="26369" xr:uid="{42602055-88A8-4A40-8F5B-5588A28275D5}"/>
    <cellStyle name="Normal 6 2 7 3" xfId="18839" xr:uid="{27B36202-1770-426C-BC02-1846C5E9B351}"/>
    <cellStyle name="Normal 6 2 8" xfId="10531" xr:uid="{82A74E40-AA8E-412E-8B97-A53D28ABFDE4}"/>
    <cellStyle name="Normal 6 2 8 2" xfId="12984" xr:uid="{21B47E0A-F7FA-436D-B902-2BAEF64B3CA7}"/>
    <cellStyle name="Normal 6 2 8 2 2" xfId="24211" xr:uid="{103C0A93-C27E-4931-B9F3-388811261325}"/>
    <cellStyle name="Normal 6 2 8 3" xfId="19001" xr:uid="{656CE997-FB7F-4B0E-9F23-C638EAB3BCF9}"/>
    <cellStyle name="Normal 6 2 9" xfId="26370" xr:uid="{438E1D79-6D89-45DA-BD96-CCB31F7253C8}"/>
    <cellStyle name="Normal 6 3" xfId="573" xr:uid="{00000000-0005-0000-0000-00005F050000}"/>
    <cellStyle name="Normal 6 3 10" xfId="16987" xr:uid="{82EFB4A7-10A2-4F4C-8CBD-49AA5604F47E}"/>
    <cellStyle name="Normal 6 3 2" xfId="2054" xr:uid="{00000000-0005-0000-0000-000060050000}"/>
    <cellStyle name="Normal 6 3 2 2" xfId="2055" xr:uid="{00000000-0005-0000-0000-000061050000}"/>
    <cellStyle name="Normal 6 3 2 2 2" xfId="2056" xr:uid="{00000000-0005-0000-0000-000062050000}"/>
    <cellStyle name="Normal 6 3 2 2 2 2" xfId="17831" xr:uid="{69A48F6C-1A82-4ADD-A1BC-5C24B6489015}"/>
    <cellStyle name="Normal 6 3 2 2 3" xfId="11076" xr:uid="{95E519DE-9DE3-490E-87B8-9524C532B6DD}"/>
    <cellStyle name="Normal 6 3 2 2 3 2" xfId="47747" xr:uid="{59D32853-0E74-4FB1-AEDE-704F09FE4119}"/>
    <cellStyle name="Normal 6 3 2 2 4" xfId="17830" xr:uid="{8A820FE8-0D5E-4E7F-9D8D-8BE29DE75492}"/>
    <cellStyle name="Normal 6 3 2 3" xfId="2057" xr:uid="{00000000-0005-0000-0000-000063050000}"/>
    <cellStyle name="Normal 6 3 2 3 2" xfId="26371" xr:uid="{9E8BCCCD-816B-43BF-B27B-C80C69AEC92A}"/>
    <cellStyle name="Normal 6 3 2 3 3" xfId="17832" xr:uid="{4E0A2E98-8945-4492-9153-FF85DCC3F5DC}"/>
    <cellStyle name="Normal 6 3 2 4" xfId="11075" xr:uid="{63401A67-F0EE-4D95-9A41-ED8E0596C39A}"/>
    <cellStyle name="Normal 6 3 2 4 2" xfId="26372" xr:uid="{B305B268-8265-4164-8E36-1177806E9859}"/>
    <cellStyle name="Normal 6 3 2 5" xfId="26373" xr:uid="{BECCF119-89A3-4D09-98A6-DE1CD1613830}"/>
    <cellStyle name="Normal 6 3 2 6" xfId="17829" xr:uid="{E93AF44F-F1CA-4398-BEAD-45C6DCE6C7A1}"/>
    <cellStyle name="Normal 6 3 3" xfId="10070" xr:uid="{9C475D89-F04F-405B-B2D4-A63624070335}"/>
    <cellStyle name="Normal 6 3 3 2" xfId="10382" xr:uid="{B8DB2697-7780-454A-BF54-5C80B56E1579}"/>
    <cellStyle name="Normal 6 3 3 2 2" xfId="12835" xr:uid="{59A42511-FB05-4A4C-B512-400A32030B85}"/>
    <cellStyle name="Normal 6 3 3 2 2 2" xfId="46361" xr:uid="{95F5FBED-4FD8-45C5-84DC-DB578A6FA5A0}"/>
    <cellStyle name="Normal 6 3 3 2 3" xfId="18927" xr:uid="{8397FF70-710E-4F3B-A7AF-997A1358F36E}"/>
    <cellStyle name="Normal 6 3 3 3" xfId="12145" xr:uid="{1085D662-D079-48AB-94DA-E40D447F35EE}"/>
    <cellStyle name="Normal 6 3 3 3 2" xfId="25105" xr:uid="{149B04BE-CD1E-4B90-BB4A-1DE62A3C45FC}"/>
    <cellStyle name="Normal 6 3 3 4" xfId="18550" xr:uid="{C28C2977-55C9-4095-9C20-2928C8FACB77}"/>
    <cellStyle name="Normal 6 3 4" xfId="10148" xr:uid="{379612C7-6C9D-4D18-9C29-22834E36D7D8}"/>
    <cellStyle name="Normal 6 3 4 2" xfId="10462" xr:uid="{63C08EBD-BD97-4707-87D7-29AC99D6F520}"/>
    <cellStyle name="Normal 6 3 4 2 2" xfId="12915" xr:uid="{3F5A5B75-441C-436B-A4B4-601C1D0ED8FD}"/>
    <cellStyle name="Normal 6 3 4 2 2 2" xfId="25041" xr:uid="{47BD88CD-44E2-44E2-A2CC-F513D3F7359A}"/>
    <cellStyle name="Normal 6 3 4 2 3" xfId="18969" xr:uid="{88FAD949-EC4E-48EF-A042-FECCFECEB43E}"/>
    <cellStyle name="Normal 6 3 4 3" xfId="12602" xr:uid="{C117E380-46FF-4392-9084-44B404E8B320}"/>
    <cellStyle name="Normal 6 3 4 3 2" xfId="47318" xr:uid="{07206F6A-851D-405A-96F6-312EE645372A}"/>
    <cellStyle name="Normal 6 3 4 4" xfId="18808" xr:uid="{E5BAAC09-0246-4BCE-A1F8-3BC8E42D4936}"/>
    <cellStyle name="Normal 6 3 5" xfId="10228" xr:uid="{70FF8ED0-5543-46D6-883B-978A693F8433}"/>
    <cellStyle name="Normal 6 3 5 2" xfId="12681" xr:uid="{D794CF9A-2F72-4A2F-82B5-BD10866AAC02}"/>
    <cellStyle name="Normal 6 3 5 2 2" xfId="26374" xr:uid="{5A1A46DD-A197-4D59-AF3E-CCA734C86062}"/>
    <cellStyle name="Normal 6 3 5 3" xfId="18849" xr:uid="{005ABF8A-407F-4801-92B8-1A2E18D2E040}"/>
    <cellStyle name="Normal 6 3 6" xfId="10542" xr:uid="{4902B039-B411-4AB3-BEC1-09A558B7F8F2}"/>
    <cellStyle name="Normal 6 3 6 2" xfId="12995" xr:uid="{1EE5C68A-5EA2-4A06-B427-52D1CA119A22}"/>
    <cellStyle name="Normal 6 3 6 2 2" xfId="26375" xr:uid="{DA3E9F0F-4A9D-433F-B510-093D765C42BE}"/>
    <cellStyle name="Normal 6 3 6 3" xfId="19011" xr:uid="{A0B40885-1F69-474C-B844-E207C575D009}"/>
    <cellStyle name="Normal 6 3 7" xfId="10610" xr:uid="{DEFE9A28-D569-4D64-A9CD-FBE3B85FFCF8}"/>
    <cellStyle name="Normal 6 3 7 2" xfId="26377" xr:uid="{50CFA442-3443-4A21-B131-29BE71A2863F}"/>
    <cellStyle name="Normal 6 3 7 3" xfId="26376" xr:uid="{C07332AA-3467-45F0-A138-515C9B9B15E4}"/>
    <cellStyle name="Normal 6 3 8" xfId="26378" xr:uid="{B9184DC7-8BC2-4113-BF56-CB11ADE90864}"/>
    <cellStyle name="Normal 6 3 9" xfId="26379" xr:uid="{034B3FE6-7E7C-45DE-880E-2A79325020B3}"/>
    <cellStyle name="Normal 6 4" xfId="2058" xr:uid="{00000000-0005-0000-0000-000064050000}"/>
    <cellStyle name="Normal 6 4 2" xfId="2059" xr:uid="{00000000-0005-0000-0000-000065050000}"/>
    <cellStyle name="Normal 6 4 2 2" xfId="10303" xr:uid="{8E1DDB58-E4E6-4BB7-9692-53873CF68BCE}"/>
    <cellStyle name="Normal 6 4 2 2 2" xfId="12756" xr:uid="{75A26AFC-77FA-4F7F-802A-6533FAA9D412}"/>
    <cellStyle name="Normal 6 4 2 2 2 2" xfId="26380" xr:uid="{2677EB2A-FE3E-4917-8DED-EB071223AAC0}"/>
    <cellStyle name="Normal 6 4 2 2 3" xfId="18886" xr:uid="{61E8405F-2FBE-4E68-B088-48D43A7BE319}"/>
    <cellStyle name="Normal 6 4 2 3" xfId="11078" xr:uid="{F0BA996F-2080-400E-8EDE-311A5155A06C}"/>
    <cellStyle name="Normal 6 4 2 3 2" xfId="26382" xr:uid="{B3A46E5A-1E4B-4915-A5EC-76332BF8D44F}"/>
    <cellStyle name="Normal 6 4 2 3 3" xfId="26381" xr:uid="{B6501462-323A-44EB-818E-15114F456DFF}"/>
    <cellStyle name="Normal 6 4 2 4" xfId="26383" xr:uid="{2114D988-20E7-4C9C-B58D-92CFB6681F8E}"/>
    <cellStyle name="Normal 6 4 2 5" xfId="17833" xr:uid="{D23E21A8-9C6B-4912-A547-152C44844AD8}"/>
    <cellStyle name="Normal 6 4 3" xfId="10069" xr:uid="{E54C84B3-8A60-4E31-8EC5-A3015DB600B2}"/>
    <cellStyle name="Normal 6 4 3 2" xfId="10381" xr:uid="{BEA7B2A0-6B60-4D13-BB6B-CB5168300F7C}"/>
    <cellStyle name="Normal 6 4 3 2 2" xfId="12834" xr:uid="{C5DC0C63-E065-46E8-A985-09881C32EADB}"/>
    <cellStyle name="Normal 6 4 3 2 2 2" xfId="48496" xr:uid="{5E59A3FB-9249-479F-8A1D-AC8AE64AD9CC}"/>
    <cellStyle name="Normal 6 4 3 2 3" xfId="18926" xr:uid="{FE9C42DC-4ABF-44F7-9456-76C030B9D4E9}"/>
    <cellStyle name="Normal 6 4 3 3" xfId="12146" xr:uid="{CCEF2DD4-DE2B-440F-81B7-67B1C371E6C5}"/>
    <cellStyle name="Normal 6 4 3 3 2" xfId="47522" xr:uid="{826E092B-5A1C-4F64-998A-0AAE6279164F}"/>
    <cellStyle name="Normal 6 4 3 4" xfId="18551" xr:uid="{63FD1A32-077C-42A2-AA30-6F034DFF13E3}"/>
    <cellStyle name="Normal 6 4 4" xfId="10147" xr:uid="{2B7D382F-581B-45D9-90CA-1A54886E186B}"/>
    <cellStyle name="Normal 6 4 4 2" xfId="10461" xr:uid="{75C5A3D3-3283-478A-A65B-14DF981DC0A0}"/>
    <cellStyle name="Normal 6 4 4 2 2" xfId="12914" xr:uid="{5850B6CB-56EF-402D-8594-76B80A8C96B8}"/>
    <cellStyle name="Normal 6 4 4 2 2 2" xfId="46369" xr:uid="{A771FBF4-33D4-4A80-A2B7-17C372D08FB6}"/>
    <cellStyle name="Normal 6 4 4 2 3" xfId="18968" xr:uid="{F313E93F-B335-4D1F-9E39-C491BB0D2547}"/>
    <cellStyle name="Normal 6 4 4 3" xfId="12601" xr:uid="{C0548005-C6CA-4CBF-A8D9-B03B47B64B97}"/>
    <cellStyle name="Normal 6 4 4 3 2" xfId="47758" xr:uid="{3080CF5C-34E3-45E5-ADCC-44346804B591}"/>
    <cellStyle name="Normal 6 4 4 4" xfId="18807" xr:uid="{3860A266-AAE4-4DA4-BE0F-A1631FABB721}"/>
    <cellStyle name="Normal 6 4 5" xfId="10227" xr:uid="{18C5A83C-FE51-4E6F-895E-2EDBBE6FA1A6}"/>
    <cellStyle name="Normal 6 4 5 2" xfId="12680" xr:uid="{576A0A46-AECB-4A48-83B3-FE79F4C73CC9}"/>
    <cellStyle name="Normal 6 4 5 2 2" xfId="26384" xr:uid="{7E02840C-DB11-4C89-A6E6-6B076D8DF276}"/>
    <cellStyle name="Normal 6 4 5 3" xfId="18848" xr:uid="{896A32CD-2262-4DE1-BA70-C048E351CDB4}"/>
    <cellStyle name="Normal 6 4 6" xfId="10541" xr:uid="{32E2F1BB-824A-4FA4-8741-E8D783451A0A}"/>
    <cellStyle name="Normal 6 4 6 2" xfId="12994" xr:uid="{DC528CE5-28A1-4139-B197-49FB0EC3A096}"/>
    <cellStyle name="Normal 6 4 6 2 2" xfId="26385" xr:uid="{9FFA5DBD-C6F0-4EBE-AF59-B138C3F5872A}"/>
    <cellStyle name="Normal 6 4 6 3" xfId="19010" xr:uid="{1F8B6F25-11AB-4081-8292-D28AD811564A}"/>
    <cellStyle name="Normal 6 4 7" xfId="11077" xr:uid="{79B20DCF-9365-4056-B398-A0DB65404188}"/>
    <cellStyle name="Normal 6 4 7 2" xfId="26386" xr:uid="{CE61761B-AB3A-4C3F-BEC5-685A7457C4A8}"/>
    <cellStyle name="Normal 6 4 8" xfId="26387" xr:uid="{54524788-8F24-4AE9-A1B6-359A8014DC6B}"/>
    <cellStyle name="Normal 6 4 9" xfId="16988" xr:uid="{A168CE59-B2CA-4B67-AA3C-D54D8EAAC31F}"/>
    <cellStyle name="Normal 6 5" xfId="2060" xr:uid="{00000000-0005-0000-0000-000066050000}"/>
    <cellStyle name="Normal 6 5 2" xfId="10289" xr:uid="{8FA67956-864D-4DED-95C5-B1C7E51F2CB3}"/>
    <cellStyle name="Normal 6 5 2 2" xfId="12742" xr:uid="{56CBE741-026D-41F6-81B6-FEC9225DE227}"/>
    <cellStyle name="Normal 6 5 2 2 2" xfId="26389" xr:uid="{14CFAFAD-A486-49FE-B2EA-DB0B04E644DB}"/>
    <cellStyle name="Normal 6 5 2 2 3" xfId="26388" xr:uid="{83D09A6B-53E6-4321-82DD-DECE4D2B1322}"/>
    <cellStyle name="Normal 6 5 2 3" xfId="26390" xr:uid="{A7C89D78-09FB-4179-8EEC-9EF2C14F2BE7}"/>
    <cellStyle name="Normal 6 5 2 3 2" xfId="26391" xr:uid="{DFF13529-0F78-48C9-8A70-B8676855C84E}"/>
    <cellStyle name="Normal 6 5 2 4" xfId="26392" xr:uid="{F60D5B1C-107E-4346-B5F6-0A7AF895FC46}"/>
    <cellStyle name="Normal 6 5 2 5" xfId="18877" xr:uid="{7C97A051-FE7C-4A3B-A085-ACA3FEDFFA6F}"/>
    <cellStyle name="Normal 6 5 3" xfId="11079" xr:uid="{563EA0D8-378B-4FC8-A1EA-15EF640D7FE6}"/>
    <cellStyle name="Normal 6 5 3 2" xfId="26394" xr:uid="{9E0DE7A6-5A74-4B5E-BD67-E6F216EBCD13}"/>
    <cellStyle name="Normal 6 5 3 3" xfId="26393" xr:uid="{30605F59-61AD-4748-920C-824A47B22D2A}"/>
    <cellStyle name="Normal 6 5 4" xfId="26395" xr:uid="{FD41804A-74AB-4189-BF7D-5A97B815CC63}"/>
    <cellStyle name="Normal 6 5 4 2" xfId="26396" xr:uid="{C3787F2D-4D23-4650-BFA9-266E942CE5D7}"/>
    <cellStyle name="Normal 6 5 5" xfId="26397" xr:uid="{AD805A88-ECBA-4156-99CA-22DFA1D007DC}"/>
    <cellStyle name="Normal 6 5 5 2" xfId="26398" xr:uid="{80F5F740-ABD3-4AD6-B798-9A122A374A75}"/>
    <cellStyle name="Normal 6 5 6" xfId="26399" xr:uid="{A617F684-E86E-4DFE-9725-70AD7A8A70FF}"/>
    <cellStyle name="Normal 6 5 7" xfId="26400" xr:uid="{A3336C83-962B-4285-84D5-D6F489B619DA}"/>
    <cellStyle name="Normal 6 5 8" xfId="17834" xr:uid="{1C6F0C99-778D-4742-AB70-3DF9ACB17860}"/>
    <cellStyle name="Normal 6 6" xfId="6971" xr:uid="{8B4346A7-17DA-465F-BCDC-6962E3534189}"/>
    <cellStyle name="Normal 6 6 2" xfId="10363" xr:uid="{0EF0D14F-B331-47C8-8E09-0B29983B9A3C}"/>
    <cellStyle name="Normal 6 6 2 2" xfId="12816" xr:uid="{768BB3AA-9F4C-4A1C-A444-4AE894EE91B4}"/>
    <cellStyle name="Normal 6 6 2 2 2" xfId="26402" xr:uid="{E4B8E7BE-2D96-4E63-912B-085D46E2AE9F}"/>
    <cellStyle name="Normal 6 6 2 2 3" xfId="26401" xr:uid="{13436F56-6D28-4DF0-BDCE-C934027DBB31}"/>
    <cellStyle name="Normal 6 6 2 3" xfId="26403" xr:uid="{AB1B95C7-04F8-4574-8FE8-8168C0EB6ADE}"/>
    <cellStyle name="Normal 6 6 2 3 2" xfId="26404" xr:uid="{F51D148D-9517-4A0E-A1B8-8004318C836B}"/>
    <cellStyle name="Normal 6 6 2 4" xfId="26405" xr:uid="{82375810-0F28-427A-8B76-A736D340C1E4}"/>
    <cellStyle name="Normal 6 6 2 5" xfId="18913" xr:uid="{971EC556-BD3C-467E-ACF8-9F770B688765}"/>
    <cellStyle name="Normal 6 6 3" xfId="12514" xr:uid="{E94E0211-84D9-4A72-B44B-1354910CFE83}"/>
    <cellStyle name="Normal 6 6 3 2" xfId="26407" xr:uid="{F8A391C9-DC04-48E4-A8D7-A91C0C0BE954}"/>
    <cellStyle name="Normal 6 6 3 3" xfId="26406" xr:uid="{3A2B67D5-B608-4A90-A584-FB56AB82E2D1}"/>
    <cellStyle name="Normal 6 6 4" xfId="26408" xr:uid="{71D76A10-CB35-4500-B5B7-5563C07A2C92}"/>
    <cellStyle name="Normal 6 6 4 2" xfId="26409" xr:uid="{68228758-28C3-417B-8697-5668645A43A9}"/>
    <cellStyle name="Normal 6 6 5" xfId="26410" xr:uid="{AF9E2812-24D8-4609-9F82-37ED7234FA19}"/>
    <cellStyle name="Normal 6 6 5 2" xfId="26411" xr:uid="{3E7A12F8-D0A8-49AD-8840-21757F2E7BED}"/>
    <cellStyle name="Normal 6 6 6" xfId="26412" xr:uid="{686F323E-2938-46D5-A531-14B9E13C001A}"/>
    <cellStyle name="Normal 6 6 7" xfId="18763" xr:uid="{691202EE-E9AF-4A53-A46E-ED599FB7FCC5}"/>
    <cellStyle name="Normal 6 6 8" xfId="10055" xr:uid="{8948630A-4AC9-491A-B7B7-000C6E50727E}"/>
    <cellStyle name="Normal 6 7" xfId="10129" xr:uid="{BDD2A34F-E3DA-42EF-AC0C-8DA02CA709E6}"/>
    <cellStyle name="Normal 6 7 2" xfId="10443" xr:uid="{4AD616B7-D134-4439-80FF-F098326A4303}"/>
    <cellStyle name="Normal 6 7 2 2" xfId="12896" xr:uid="{FEF5855E-6C13-4D98-A8AA-94CCAF9283EC}"/>
    <cellStyle name="Normal 6 7 2 2 2" xfId="26414" xr:uid="{3465426A-6E83-4584-B27A-5E8496E9A7A0}"/>
    <cellStyle name="Normal 6 7 2 2 3" xfId="26413" xr:uid="{D7BC1A91-74B6-4A36-A2A0-B0771E24BA68}"/>
    <cellStyle name="Normal 6 7 2 3" xfId="26415" xr:uid="{9D495409-7965-4D2F-ADFB-83A93F3958C5}"/>
    <cellStyle name="Normal 6 7 2 3 2" xfId="26416" xr:uid="{C19CAC34-FD7C-4E7E-B5FA-4565884D65E0}"/>
    <cellStyle name="Normal 6 7 2 4" xfId="26417" xr:uid="{65265849-C2AA-4141-8BDB-1FA6490E0208}"/>
    <cellStyle name="Normal 6 7 2 5" xfId="18955" xr:uid="{FF86B0F8-21D0-4555-96A6-B654A5DA6B0C}"/>
    <cellStyle name="Normal 6 7 3" xfId="12586" xr:uid="{96EB0ABF-3F59-415C-85A7-983ED2242C94}"/>
    <cellStyle name="Normal 6 7 3 2" xfId="26419" xr:uid="{36B27C1A-7121-4076-8FB8-A03BACF15C55}"/>
    <cellStyle name="Normal 6 7 3 3" xfId="26418" xr:uid="{8152E69B-A70C-4356-8F2E-2DDCE39E2DDB}"/>
    <cellStyle name="Normal 6 7 4" xfId="26420" xr:uid="{61879B0F-B9A3-4F2C-B653-1111BE2792D4}"/>
    <cellStyle name="Normal 6 7 4 2" xfId="26421" xr:uid="{61A93638-9266-47F9-9EFD-44CAF8C9D017}"/>
    <cellStyle name="Normal 6 7 5" xfId="26422" xr:uid="{975616A6-94EA-45D1-BACD-0D3CCE8ADE6D}"/>
    <cellStyle name="Normal 6 7 5 2" xfId="26423" xr:uid="{383C0101-5A9B-4D2D-A91A-8A1E2D20DB9E}"/>
    <cellStyle name="Normal 6 7 6" xfId="26424" xr:uid="{DF4E975F-7013-403A-AF22-DD5CD0CF69A9}"/>
    <cellStyle name="Normal 6 7 7" xfId="18797" xr:uid="{D94BEC1D-DA57-48FA-9522-81ABF501A583}"/>
    <cellStyle name="Normal 6 8" xfId="10209" xr:uid="{48D2E025-C2B7-4E88-9D70-68C20FDEC7FA}"/>
    <cellStyle name="Normal 6 8 2" xfId="12662" xr:uid="{C822F596-33EE-4867-8863-CD90012BAE90}"/>
    <cellStyle name="Normal 6 8 2 2" xfId="26426" xr:uid="{0E1E89F3-C76C-457F-BE58-FAD069FC93D9}"/>
    <cellStyle name="Normal 6 8 2 3" xfId="26425" xr:uid="{9424A334-990A-47B4-B6C4-68921FA44C57}"/>
    <cellStyle name="Normal 6 8 3" xfId="26427" xr:uid="{55D2E8C9-CAC9-4CE5-8184-3136265D58DE}"/>
    <cellStyle name="Normal 6 8 3 2" xfId="26428" xr:uid="{71EF1CEA-956C-4F2B-BA66-95CD2E6A1D38}"/>
    <cellStyle name="Normal 6 8 4" xfId="26429" xr:uid="{5556CD0E-2F32-472D-AED9-28B679843923}"/>
    <cellStyle name="Normal 6 8 5" xfId="18835" xr:uid="{20C51072-6B69-40C9-871A-A9E1395C9BC0}"/>
    <cellStyle name="Normal 6 9" xfId="10523" xr:uid="{813A251D-D6BF-432D-8A47-F74BDE5D2E04}"/>
    <cellStyle name="Normal 6 9 2" xfId="12976" xr:uid="{54324D75-33E5-4E94-9FA3-75DC5F60A187}"/>
    <cellStyle name="Normal 6 9 2 2" xfId="26431" xr:uid="{06747E47-4D17-48F2-A019-65B9801E850B}"/>
    <cellStyle name="Normal 6 9 2 3" xfId="26430" xr:uid="{F911045E-07B7-45B8-B83B-9A1E86BFAF01}"/>
    <cellStyle name="Normal 6 9 3" xfId="26432" xr:uid="{006029F3-AE81-40A6-86DE-E419D4A46E6E}"/>
    <cellStyle name="Normal 6 9 4" xfId="18997" xr:uid="{CA24DEAC-B6B4-4574-BD41-2E64456AF45D}"/>
    <cellStyle name="Normal 60" xfId="47377" xr:uid="{DF2D57BF-BC59-45F1-BAF7-2703EA455FDC}"/>
    <cellStyle name="Normal 61" xfId="48251" xr:uid="{282DCB4B-FF59-48E6-AD68-023D913938FE}"/>
    <cellStyle name="Normal 62" xfId="46659" xr:uid="{864DD4AC-6158-4164-9CDC-89583BE19741}"/>
    <cellStyle name="Normal 63" xfId="47086" xr:uid="{2955FC5A-D292-4C29-A612-8D44416F0072}"/>
    <cellStyle name="Normal 64" xfId="47420" xr:uid="{60D62603-170C-4F9E-B31B-87B0ED52BF26}"/>
    <cellStyle name="Normal 65" xfId="49787" xr:uid="{8967BE25-767B-4C3F-AD09-DCA8A64B5159}"/>
    <cellStyle name="Normal 66" xfId="52802" xr:uid="{456E5176-DF68-4EE0-B2E9-91CB75ED3596}"/>
    <cellStyle name="Normal 67" xfId="52856" xr:uid="{6B60E35B-9A1B-4769-A2E4-FA886956D044}"/>
    <cellStyle name="Normal 68" xfId="15938" xr:uid="{5DECD1E5-7A00-4393-9A67-B06FF4EA45AA}"/>
    <cellStyle name="Normal 69" xfId="55818" xr:uid="{D931C62E-F484-4422-9861-063264948975}"/>
    <cellStyle name="Normal 7" xfId="574" xr:uid="{00000000-0005-0000-0000-000067050000}"/>
    <cellStyle name="Normal 7 10" xfId="26433" xr:uid="{0A60B9F6-7B5A-4E05-ADD6-1D8B5F4E8339}"/>
    <cellStyle name="Normal 7 2" xfId="575" xr:uid="{00000000-0005-0000-0000-000068050000}"/>
    <cellStyle name="Normal 7 2 2" xfId="12147" xr:uid="{48EAB45B-F868-4BE2-BC8F-8DE573F274F3}"/>
    <cellStyle name="Normal 7 2 2 2" xfId="26436" xr:uid="{9D97A880-7519-4552-9791-E4FB2E2C4CB5}"/>
    <cellStyle name="Normal 7 2 2 2 2" xfId="48973" xr:uid="{53F4BB7C-BB78-41B4-8516-B0E73631109C}"/>
    <cellStyle name="Normal 7 2 2 3" xfId="26437" xr:uid="{B3141F78-D837-4A5B-9BCD-9D738777EE41}"/>
    <cellStyle name="Normal 7 2 2 4" xfId="26438" xr:uid="{EDFB468B-E565-4C76-BA9B-F752AD150077}"/>
    <cellStyle name="Normal 7 2 2 5" xfId="26435" xr:uid="{286638B5-A80F-4801-9163-099023772AB0}"/>
    <cellStyle name="Normal 7 2 2 6" xfId="48972" xr:uid="{126638AD-534E-4545-99E5-08324F65E010}"/>
    <cellStyle name="Normal 7 2 3" xfId="11488" xr:uid="{089021D9-763A-44C4-BB4F-01F7B4EDDB0E}"/>
    <cellStyle name="Normal 7 2 3 2" xfId="26440" xr:uid="{9B651D8F-9156-4BDD-986D-60411744607C}"/>
    <cellStyle name="Normal 7 2 3 2 2" xfId="26441" xr:uid="{54892DF3-9DF9-4966-B1A2-A9A2E9D51E1D}"/>
    <cellStyle name="Normal 7 2 3 3" xfId="26442" xr:uid="{DD48B2E4-DE69-40A2-826E-1DFF9A4BADFF}"/>
    <cellStyle name="Normal 7 2 3 4" xfId="26439" xr:uid="{E8E2575C-AA44-43F3-8B2A-BC58B4BC0448}"/>
    <cellStyle name="Normal 7 2 4" xfId="26443" xr:uid="{A0BF5C59-C39C-4F92-BC95-70B4481AA48E}"/>
    <cellStyle name="Normal 7 2 4 2" xfId="48974" xr:uid="{A65D60A6-F1CD-4429-8129-2704C03DD292}"/>
    <cellStyle name="Normal 7 2 5" xfId="26444" xr:uid="{BD1D00C9-257F-4B9E-93EB-85EDEA78155A}"/>
    <cellStyle name="Normal 7 2 6" xfId="26445" xr:uid="{F39C00CF-23A3-4DB4-93B8-A8A9888B229D}"/>
    <cellStyle name="Normal 7 2 7" xfId="26434" xr:uid="{F9536466-B65F-4A1B-90AD-C41294DC48B5}"/>
    <cellStyle name="Normal 7 3" xfId="576" xr:uid="{00000000-0005-0000-0000-000069050000}"/>
    <cellStyle name="Normal 7 3 2" xfId="2061" xr:uid="{00000000-0005-0000-0000-00006A050000}"/>
    <cellStyle name="Normal 7 3 2 2" xfId="2062" xr:uid="{00000000-0005-0000-0000-00006B050000}"/>
    <cellStyle name="Normal 7 3 2 2 2" xfId="17836" xr:uid="{1A23F4CE-D8B6-4281-ABFA-40A879D56E98}"/>
    <cellStyle name="Normal 7 3 2 3" xfId="17835" xr:uid="{21D69EE0-BF65-4438-A9C3-7EE9FD042D58}"/>
    <cellStyle name="Normal 7 3 3" xfId="2063" xr:uid="{00000000-0005-0000-0000-00006C050000}"/>
    <cellStyle name="Normal 7 3 3 2" xfId="26446" xr:uid="{22636D6D-B1E8-4C45-A4E1-788CE1F0D943}"/>
    <cellStyle name="Normal 7 3 3 3" xfId="17837" xr:uid="{6BCCD087-2D98-4178-B7A1-82CD743635A5}"/>
    <cellStyle name="Normal 7 3 4" xfId="26447" xr:uid="{63D9695A-153D-47DF-91CE-060A9DFC90E7}"/>
    <cellStyle name="Normal 7 3 4 2" xfId="26448" xr:uid="{B4DA271A-FCDE-4C1A-BF8A-9430179A39A9}"/>
    <cellStyle name="Normal 7 3 5" xfId="26449" xr:uid="{0A77C418-99C6-4890-A172-0BC4598B8D5A}"/>
    <cellStyle name="Normal 7 4" xfId="4089" xr:uid="{29E4B45E-5ECC-409A-A027-13BD41D9D817}"/>
    <cellStyle name="Normal 7 4 2" xfId="26451" xr:uid="{030DC6D0-839C-44C7-A5D1-1ED444B8D9F7}"/>
    <cellStyle name="Normal 7 4 2 2" xfId="26452" xr:uid="{27197995-0510-4343-A0B7-FD1794220897}"/>
    <cellStyle name="Normal 7 4 3" xfId="26453" xr:uid="{CDA3FD78-746B-4FE8-9958-F0C40938683D}"/>
    <cellStyle name="Normal 7 4 3 2" xfId="26454" xr:uid="{2B953990-0EA6-4942-B31A-BE9A7F773032}"/>
    <cellStyle name="Normal 7 4 4" xfId="26455" xr:uid="{80D90590-CE09-4A7F-8B5A-8CD141CD1A96}"/>
    <cellStyle name="Normal 7 4 5" xfId="26450" xr:uid="{1BA0485F-995A-46FE-912B-40C8E2E8CC46}"/>
    <cellStyle name="Normal 7 5" xfId="26456" xr:uid="{4D4DB772-FCA6-4363-B627-D4365EF07CD6}"/>
    <cellStyle name="Normal 7 5 2" xfId="26457" xr:uid="{85A7C645-FDED-4BE0-8CD7-69F418C8679E}"/>
    <cellStyle name="Normal 7 6" xfId="26458" xr:uid="{1A41C6FC-EC9B-4E5B-871B-5EEFC4FF8EC0}"/>
    <cellStyle name="Normal 7 6 2" xfId="26459" xr:uid="{7E8A52A5-C87B-424F-8B33-81BA6D235A38}"/>
    <cellStyle name="Normal 7 7" xfId="26460" xr:uid="{6962534F-5ECA-4282-A82C-7CFBD5A05371}"/>
    <cellStyle name="Normal 7 7 2" xfId="26461" xr:uid="{4713DDB2-824B-4837-B45D-4C966B529FAF}"/>
    <cellStyle name="Normal 7 8" xfId="26462" xr:uid="{E292AE8C-0188-494F-888F-6A4B05176325}"/>
    <cellStyle name="Normal 7 8 2" xfId="26463" xr:uid="{13A7D4D7-EE91-4801-8B1A-A4546AFBE8E1}"/>
    <cellStyle name="Normal 7 9" xfId="26464" xr:uid="{260EEADE-AAC5-4020-8521-3FB345D846B5}"/>
    <cellStyle name="Normal 70" xfId="6980" xr:uid="{A0BB5359-37AC-431F-A43B-5A746E9EE210}"/>
    <cellStyle name="Normal 72" xfId="55821" xr:uid="{690D8D4A-6C7D-4CB1-B8AC-A2DBD7C6B101}"/>
    <cellStyle name="Normal 8" xfId="577" xr:uid="{00000000-0005-0000-0000-00006D050000}"/>
    <cellStyle name="Normal 8 2" xfId="578" xr:uid="{00000000-0005-0000-0000-00006E050000}"/>
    <cellStyle name="Normal 8 2 2" xfId="2064" xr:uid="{00000000-0005-0000-0000-00006F050000}"/>
    <cellStyle name="Normal 8 2 2 2" xfId="2065" xr:uid="{00000000-0005-0000-0000-000070050000}"/>
    <cellStyle name="Normal 8 2 2 2 2" xfId="2066" xr:uid="{00000000-0005-0000-0000-000071050000}"/>
    <cellStyle name="Normal 8 2 2 2 2 2" xfId="11082" xr:uid="{CB1B1BA2-7ACF-410E-9681-D855CE1DCF52}"/>
    <cellStyle name="Normal 8 2 2 2 2 2 2" xfId="46720" xr:uid="{F7D78A7E-9E13-4A6B-A0AB-7C81E42A64E7}"/>
    <cellStyle name="Normal 8 2 2 2 2 3" xfId="17840" xr:uid="{417993D1-1791-4DE1-ABE0-074F2A769826}"/>
    <cellStyle name="Normal 8 2 2 2 3" xfId="11081" xr:uid="{2F986DD7-BB98-4E11-B650-2395B5483DE0}"/>
    <cellStyle name="Normal 8 2 2 2 3 2" xfId="47221" xr:uid="{FEB3699E-3849-4D4F-AD1D-C971D5F9CFBD}"/>
    <cellStyle name="Normal 8 2 2 2 4" xfId="17839" xr:uid="{747511E6-044B-49DC-ADBC-3DC64CDA1DE5}"/>
    <cellStyle name="Normal 8 2 2 3" xfId="2067" xr:uid="{00000000-0005-0000-0000-000072050000}"/>
    <cellStyle name="Normal 8 2 2 3 2" xfId="10438" xr:uid="{3ECFF2DA-B5FE-41A1-ADEE-21F314A570B6}"/>
    <cellStyle name="Normal 8 2 2 3 2 2" xfId="12891" xr:uid="{99CAD355-9A8B-4CD0-B91E-366420F7F9E7}"/>
    <cellStyle name="Normal 8 2 2 3 2 2 2" xfId="48110" xr:uid="{ABEF63A4-C443-4830-A67A-CD257F3626FC}"/>
    <cellStyle name="Normal 8 2 2 3 2 3" xfId="18950" xr:uid="{6A01524C-4D29-41A9-B9B4-772A9DBD0828}"/>
    <cellStyle name="Normal 8 2 2 3 3" xfId="11083" xr:uid="{886A7AAE-F399-40BD-8C2E-5C59A99211A2}"/>
    <cellStyle name="Normal 8 2 2 3 3 2" xfId="47457" xr:uid="{9A95FB72-8C7C-4A24-A7EE-CC1F085556B6}"/>
    <cellStyle name="Normal 8 2 2 3 4" xfId="17841" xr:uid="{7600C262-86E0-4CEA-9EA8-3ED44604D075}"/>
    <cellStyle name="Normal 8 2 2 4" xfId="10204" xr:uid="{D95A78DB-C421-4F61-B554-F715C8BA2476}"/>
    <cellStyle name="Normal 8 2 2 4 2" xfId="10518" xr:uid="{BEF6C333-FF98-42BF-AF29-2B2AB8AF9E43}"/>
    <cellStyle name="Normal 8 2 2 4 2 2" xfId="12971" xr:uid="{19DF8EE1-B132-4249-893F-FE6427ED08D7}"/>
    <cellStyle name="Normal 8 2 2 4 2 2 2" xfId="46378" xr:uid="{6200E318-F82D-497E-B0D6-59CED374A715}"/>
    <cellStyle name="Normal 8 2 2 4 2 3" xfId="18992" xr:uid="{52C0E963-51C2-4D98-958B-2EA80B40551C}"/>
    <cellStyle name="Normal 8 2 2 4 3" xfId="12148" xr:uid="{D260ACC9-52DC-4B19-8B05-CD6322DEFACF}"/>
    <cellStyle name="Normal 8 2 2 4 3 2" xfId="47161" xr:uid="{1A0B4350-7CB7-47B3-8118-AA62C9EBE931}"/>
    <cellStyle name="Normal 8 2 2 4 4" xfId="18552" xr:uid="{D4ED6C5C-84D2-4DB7-930F-9C468891882A}"/>
    <cellStyle name="Normal 8 2 2 5" xfId="10284" xr:uid="{DCB99F5D-3E67-470E-B6DB-159D7ACCD8B9}"/>
    <cellStyle name="Normal 8 2 2 5 2" xfId="12737" xr:uid="{B61F9311-3ABE-47C0-88AF-7198C495047C}"/>
    <cellStyle name="Normal 8 2 2 5 2 2" xfId="47989" xr:uid="{4988269A-43CA-4A21-BAF8-258C1FD84370}"/>
    <cellStyle name="Normal 8 2 2 5 3" xfId="18872" xr:uid="{DEDF9B36-8837-4212-BB5F-E7A9B168979B}"/>
    <cellStyle name="Normal 8 2 2 6" xfId="10598" xr:uid="{4F594B56-2146-4779-B323-B1C37C157C23}"/>
    <cellStyle name="Normal 8 2 2 6 2" xfId="13051" xr:uid="{FF185220-A97B-4E22-A15B-EB5D290FC610}"/>
    <cellStyle name="Normal 8 2 2 6 2 2" xfId="47327" xr:uid="{77A88CC1-AFFA-4220-9026-9443B5FDC18F}"/>
    <cellStyle name="Normal 8 2 2 6 3" xfId="19034" xr:uid="{C084F1E8-6067-4C45-B250-4CD1C92832B1}"/>
    <cellStyle name="Normal 8 2 2 7" xfId="11080" xr:uid="{DB4C0ED5-F7E0-434A-B2EF-C2BADDE2983B}"/>
    <cellStyle name="Normal 8 2 2 7 2" xfId="25170" xr:uid="{B24ABF8B-1CF9-435D-8154-634BDA525A34}"/>
    <cellStyle name="Normal 8 2 2 8" xfId="17838" xr:uid="{D318347C-B4A6-47FE-A975-EA13B2E6DF5F}"/>
    <cellStyle name="Normal 8 2 3" xfId="9879" xr:uid="{BE3E7035-B716-4EF3-8755-9470C9457CFC}"/>
    <cellStyle name="Normal 8 2 3 2" xfId="10305" xr:uid="{190BE5E1-846E-4E96-8561-62FBBBE8F5E9}"/>
    <cellStyle name="Normal 8 2 3 2 2" xfId="12758" xr:uid="{4BBDEDE3-BF4B-43F4-A701-009C0FB8B985}"/>
    <cellStyle name="Normal 8 2 3 2 2 2" xfId="48051" xr:uid="{AF619FC9-576B-4625-B7CD-1D0B49C1B2D9}"/>
    <cellStyle name="Normal 8 2 3 2 3" xfId="18888" xr:uid="{73A9E24F-74CD-4256-A477-DCA22956483F}"/>
    <cellStyle name="Normal 8 2 3 3" xfId="12149" xr:uid="{2AB76305-B645-4660-BC21-7E6911FC194D}"/>
    <cellStyle name="Normal 8 2 3 3 2" xfId="26465" xr:uid="{F02E2129-C793-4017-9566-B4C5278A37F5}"/>
    <cellStyle name="Normal 8 2 3 4" xfId="18553" xr:uid="{7FEFE07B-0B75-4BD5-B98A-7A979A532D1F}"/>
    <cellStyle name="Normal 8 2 4" xfId="10072" xr:uid="{6B922791-70F3-4860-BCD4-0A96616BCF39}"/>
    <cellStyle name="Normal 8 2 4 2" xfId="10384" xr:uid="{EE7D9FEF-6C3A-4364-8181-50A6AB94ED52}"/>
    <cellStyle name="Normal 8 2 4 2 2" xfId="12837" xr:uid="{BDE9DCB7-0458-45ED-BC61-7DB6E438B778}"/>
    <cellStyle name="Normal 8 2 4 2 2 2" xfId="24479" xr:uid="{9603E27C-9046-4E4F-AEF6-A974DF6E9601}"/>
    <cellStyle name="Normal 8 2 4 2 3" xfId="18929" xr:uid="{AB9BEC53-EBB0-41CF-A335-7EFFF55B5AF0}"/>
    <cellStyle name="Normal 8 2 4 3" xfId="12529" xr:uid="{C3D04978-607C-41E9-A9CB-45C13580829E}"/>
    <cellStyle name="Normal 8 2 4 3 2" xfId="46319" xr:uid="{3B89B05D-611B-4EA8-8325-D609563EFEF3}"/>
    <cellStyle name="Normal 8 2 4 4" xfId="18773" xr:uid="{D53D7925-CACC-4518-86CA-05884EFA1ADE}"/>
    <cellStyle name="Normal 8 2 5" xfId="10150" xr:uid="{BAE3663F-D168-47B9-9435-123997C4792E}"/>
    <cellStyle name="Normal 8 2 5 2" xfId="10464" xr:uid="{9D80DFFA-7BED-45D9-A3CD-2B6A88261904}"/>
    <cellStyle name="Normal 8 2 5 2 2" xfId="12917" xr:uid="{C589C281-0F5B-48CC-A4EF-6FAADB92BB7F}"/>
    <cellStyle name="Normal 8 2 5 2 2 2" xfId="46811" xr:uid="{06979C03-69FB-4AE9-850D-3F639516382B}"/>
    <cellStyle name="Normal 8 2 5 2 3" xfId="18971" xr:uid="{959144B5-3A62-4ADF-93E4-FB3B66239233}"/>
    <cellStyle name="Normal 8 2 5 3" xfId="12604" xr:uid="{8500877E-EA07-40C9-B7BC-B89EF90500BD}"/>
    <cellStyle name="Normal 8 2 5 3 2" xfId="47016" xr:uid="{89F61657-9484-4D39-8F13-2D8032F9B368}"/>
    <cellStyle name="Normal 8 2 5 4" xfId="18810" xr:uid="{BCD1D9FE-DAD2-4514-BFA7-3A2188A2DA0F}"/>
    <cellStyle name="Normal 8 2 6" xfId="10230" xr:uid="{5F1598C3-905D-419A-BC98-F3B9DDDE2A90}"/>
    <cellStyle name="Normal 8 2 6 2" xfId="12683" xr:uid="{2B45560D-29B6-4770-B96C-228B3C11694A}"/>
    <cellStyle name="Normal 8 2 6 2 2" xfId="48141" xr:uid="{024DAC7E-F0E2-4ADC-BBD3-A1FA379D70DD}"/>
    <cellStyle name="Normal 8 2 6 3" xfId="18851" xr:uid="{17439E58-E06F-4070-A07F-FBD1857AE3C5}"/>
    <cellStyle name="Normal 8 2 7" xfId="10544" xr:uid="{19B905A4-72EF-4D24-ACC2-EDBCC1A57E91}"/>
    <cellStyle name="Normal 8 2 7 2" xfId="12997" xr:uid="{EB600B75-ABE5-4227-B2F7-75EE960369D9}"/>
    <cellStyle name="Normal 8 2 7 2 2" xfId="46381" xr:uid="{A45858F2-9126-4452-81A1-9EAA857E6C0F}"/>
    <cellStyle name="Normal 8 2 7 3" xfId="19013" xr:uid="{A874EBE3-ACDB-43C4-872D-CE5995E22C03}"/>
    <cellStyle name="Normal 8 2 8" xfId="10612" xr:uid="{B52AC69B-6F95-488B-AF97-786B7CA1C6DA}"/>
    <cellStyle name="Normal 8 2 8 2" xfId="46159" xr:uid="{431B0032-7568-4176-9566-C3682F590C8F}"/>
    <cellStyle name="Normal 8 2 9" xfId="16989" xr:uid="{3AEA64ED-E62A-437F-8B88-715B33E980A3}"/>
    <cellStyle name="Normal 8 3" xfId="579" xr:uid="{00000000-0005-0000-0000-000073050000}"/>
    <cellStyle name="Normal 8 3 2" xfId="12150" xr:uid="{17854968-3F09-4A5F-A9BA-B7E09C2CCF74}"/>
    <cellStyle name="Normal 8 3 2 2" xfId="14071" xr:uid="{F1999DFD-6C5B-41AD-99CA-83E58606AB8A}"/>
    <cellStyle name="Normal 8 3 2 2 2" xfId="26468" xr:uid="{3ECDB313-9626-4E84-9A45-0EF07C3AFEA7}"/>
    <cellStyle name="Normal 8 3 2 3" xfId="26467" xr:uid="{FCB94746-CDA0-4083-8CC3-E5263CD214D7}"/>
    <cellStyle name="Normal 8 3 3" xfId="26469" xr:uid="{77811CDB-B2B5-4C64-9659-5A2AAF3CC9B4}"/>
    <cellStyle name="Normal 8 3 3 2" xfId="26470" xr:uid="{1EB8FD36-BE71-44E0-A881-B05E74E86951}"/>
    <cellStyle name="Normal 8 3 4" xfId="26471" xr:uid="{03BBBDEF-2A2D-43C9-9D69-4E66AE1DE678}"/>
    <cellStyle name="Normal 8 3 5" xfId="26472" xr:uid="{A51A18CB-2241-4389-8D3B-47AD2DAA20E3}"/>
    <cellStyle name="Normal 8 3 6" xfId="26473" xr:uid="{6C6F343B-DCF0-41AC-92DB-1DF605D97AF6}"/>
    <cellStyle name="Normal 8 3 7" xfId="26466" xr:uid="{38CF106E-8BA9-4CD9-AA3C-FBDB58A52AD4}"/>
    <cellStyle name="Normal 8 4" xfId="4090" xr:uid="{1C3B8848-506F-4067-8C6C-B7CD2EF24ACC}"/>
    <cellStyle name="Normal 8 4 2" xfId="26475" xr:uid="{A316A215-B2A0-4071-90B3-215468DA9138}"/>
    <cellStyle name="Normal 8 4 3" xfId="26474" xr:uid="{E948F184-9078-4708-AB5A-F76DF2ED3642}"/>
    <cellStyle name="Normal 8 5" xfId="8071" xr:uid="{0ADAD2C6-0344-4189-ADCF-CEBDE01CAB67}"/>
    <cellStyle name="Normal 8 5 2" xfId="9878" xr:uid="{FDBCCF74-5594-4AE9-A6F5-4A71393E6731}"/>
    <cellStyle name="Normal 8 5 2 2" xfId="10304" xr:uid="{8A2BF9BE-B0FE-4B96-94B2-4B28BCD08349}"/>
    <cellStyle name="Normal 8 5 2 2 2" xfId="12757" xr:uid="{9413CF4A-8180-45D5-8D4A-37BB62C70995}"/>
    <cellStyle name="Normal 8 5 2 2 2 2" xfId="46789" xr:uid="{631E1F2E-AED1-4D60-9005-D00D7A517B4D}"/>
    <cellStyle name="Normal 8 5 2 2 3" xfId="18887" xr:uid="{647E9590-9D9B-4BD1-8147-8AE5D4CD7BB8}"/>
    <cellStyle name="Normal 8 5 2 3" xfId="12457" xr:uid="{65D22D6C-8BF3-4C3B-A875-319D9E1B29D7}"/>
    <cellStyle name="Normal 8 5 2 3 2" xfId="46662" xr:uid="{4626EE72-81DD-4B15-8D51-1B8A7610A21F}"/>
    <cellStyle name="Normal 8 5 2 4" xfId="18739" xr:uid="{F6D8E0C0-9B8E-4B89-A6F5-047CE1E25C8E}"/>
    <cellStyle name="Normal 8 5 3" xfId="10071" xr:uid="{5F8DE068-47E4-4BED-9953-D368A74F781D}"/>
    <cellStyle name="Normal 8 5 3 2" xfId="10383" xr:uid="{CDE92345-2F85-49E1-9DD2-717BF19DFEA9}"/>
    <cellStyle name="Normal 8 5 3 2 2" xfId="12836" xr:uid="{5E6040EE-468D-4077-B21C-BFCDBDA04130}"/>
    <cellStyle name="Normal 8 5 3 2 2 2" xfId="47021" xr:uid="{DD1E83BC-47AD-4DD8-96BA-739D71F59068}"/>
    <cellStyle name="Normal 8 5 3 2 3" xfId="18928" xr:uid="{47790DBF-29C3-4DBC-848F-486F5AE38265}"/>
    <cellStyle name="Normal 8 5 3 3" xfId="12528" xr:uid="{E8C99E73-F5BC-4A97-A2ED-E055274481F0}"/>
    <cellStyle name="Normal 8 5 3 3 2" xfId="24219" xr:uid="{168BD876-D34D-4069-9D26-F89D2CBB1FED}"/>
    <cellStyle name="Normal 8 5 3 4" xfId="18772" xr:uid="{4FED5467-BCD7-42FE-8C0C-CEAFB136D907}"/>
    <cellStyle name="Normal 8 5 4" xfId="10149" xr:uid="{D12A06CD-8BE8-46C0-BFB5-F1E28AAA88B5}"/>
    <cellStyle name="Normal 8 5 4 2" xfId="10463" xr:uid="{5F39F319-6810-4667-B7C2-53A3328CA016}"/>
    <cellStyle name="Normal 8 5 4 2 2" xfId="12916" xr:uid="{37168783-089B-421D-AF69-7C801B02EF44}"/>
    <cellStyle name="Normal 8 5 4 2 2 2" xfId="48109" xr:uid="{3EA2C0BC-F277-41AA-B3A3-B5C51897FFD6}"/>
    <cellStyle name="Normal 8 5 4 2 3" xfId="18970" xr:uid="{F0F75265-60D4-4DEA-BD1A-C151E65631B8}"/>
    <cellStyle name="Normal 8 5 4 3" xfId="12603" xr:uid="{091FCEBC-D33E-46F0-96C3-DB11E91A5816}"/>
    <cellStyle name="Normal 8 5 4 3 2" xfId="46328" xr:uid="{4B202ECF-7CB2-4721-9355-C23984B3553D}"/>
    <cellStyle name="Normal 8 5 4 4" xfId="18809" xr:uid="{CC460B56-E975-4D58-BF58-F5E4340154F8}"/>
    <cellStyle name="Normal 8 5 5" xfId="10229" xr:uid="{AA256D91-E6A7-4C63-95E4-5345F99563CF}"/>
    <cellStyle name="Normal 8 5 5 2" xfId="12682" xr:uid="{883AFF74-3F90-493E-97FE-BE4A2713EC03}"/>
    <cellStyle name="Normal 8 5 5 2 2" xfId="47451" xr:uid="{5ADD9018-B84C-4DE4-8372-0BB371311399}"/>
    <cellStyle name="Normal 8 5 5 3" xfId="18850" xr:uid="{321C26E1-9242-4C93-984E-A59DBE2D929A}"/>
    <cellStyle name="Normal 8 5 6" xfId="10543" xr:uid="{7C0D61B3-8EDB-46FD-A406-491C95CF9318}"/>
    <cellStyle name="Normal 8 5 6 2" xfId="12996" xr:uid="{BCF6E3FC-BC28-4DB7-BAB0-7BCEE2D170D9}"/>
    <cellStyle name="Normal 8 5 6 2 2" xfId="47963" xr:uid="{EAB58E3F-6D53-43E2-B5BF-E5F8B390A30F}"/>
    <cellStyle name="Normal 8 5 6 3" xfId="19012" xr:uid="{0EDAB7BF-207B-48D5-89F9-36225A01AAE3}"/>
    <cellStyle name="Normal 8 5 7" xfId="11662" xr:uid="{BBFCA1C6-3528-4EDF-B205-42A017717E18}"/>
    <cellStyle name="Normal 8 5 7 2" xfId="32338" xr:uid="{2938418F-8041-42E8-836A-852BFB19C309}"/>
    <cellStyle name="Normal 8 5 8" xfId="16990" xr:uid="{22993E2E-927D-4683-95BF-F4F9AF18FEF7}"/>
    <cellStyle name="Normal 8 6" xfId="10611" xr:uid="{1B020316-DB53-466B-B8FF-FA374DEE0783}"/>
    <cellStyle name="Normal 8 6 2" xfId="26477" xr:uid="{16526E75-A083-4717-9B44-258E5BE13552}"/>
    <cellStyle name="Normal 8 6 3" xfId="26476" xr:uid="{4F1DD762-2A5D-4090-8800-AEDB7EE42CD0}"/>
    <cellStyle name="Normal 8 7" xfId="26478" xr:uid="{8C9ABA2A-3F57-4B82-B040-9C42B29DF974}"/>
    <cellStyle name="Normal 8 7 2" xfId="26479" xr:uid="{1C3509E8-F6AE-48BA-ADFA-871836E6DCEC}"/>
    <cellStyle name="Normal 8 8" xfId="26480" xr:uid="{4700F530-F0AB-4460-89FC-A0D88B968022}"/>
    <cellStyle name="Normal 8 8 2" xfId="48975" xr:uid="{F4DEDDB3-4447-402A-B2A0-41B19ED95BB6}"/>
    <cellStyle name="Normal 9" xfId="580" xr:uid="{00000000-0005-0000-0000-000074050000}"/>
    <cellStyle name="Normal 9 2" xfId="2068" xr:uid="{00000000-0005-0000-0000-000075050000}"/>
    <cellStyle name="Normal 9 2 2" xfId="2069" xr:uid="{00000000-0005-0000-0000-000076050000}"/>
    <cellStyle name="Normal 9 2 2 2" xfId="26481" xr:uid="{53FCDD5E-0096-48F3-9752-A0D223698512}"/>
    <cellStyle name="Normal 9 2 2 3" xfId="17843" xr:uid="{296352D5-EC86-4936-BCA9-886966DF4B6F}"/>
    <cellStyle name="Normal 9 2 3" xfId="12143" xr:uid="{C71861E1-66C3-4325-857A-35A44634D5A4}"/>
    <cellStyle name="Normal 9 2 3 2" xfId="26483" xr:uid="{ABAC6EA5-09C8-4921-A75F-38094E4383EA}"/>
    <cellStyle name="Normal 9 2 3 3" xfId="26482" xr:uid="{DD54985A-BA7B-4EAD-94FB-0A8A965D43EE}"/>
    <cellStyle name="Normal 9 2 4" xfId="26484" xr:uid="{766DFA55-F55C-44F7-82F8-BEE539765AB8}"/>
    <cellStyle name="Normal 9 2 5" xfId="26485" xr:uid="{18FFE733-1BD6-493F-88F9-8213B2B738AF}"/>
    <cellStyle name="Normal 9 2 6" xfId="26486" xr:uid="{D8754571-5EFA-465F-9076-72F41B26075B}"/>
    <cellStyle name="Normal 9 2 7" xfId="17842" xr:uid="{E3444206-9157-4173-97DC-0001A3D391B2}"/>
    <cellStyle name="Normal 9 3" xfId="12151" xr:uid="{6AAF5E20-941B-40A7-812C-6B0D1E47AB7B}"/>
    <cellStyle name="Normal 9 3 2" xfId="26488" xr:uid="{56872304-334E-45E7-B188-B66639501B17}"/>
    <cellStyle name="Normal 9 3 3" xfId="26487" xr:uid="{8D14E640-8752-42C5-B273-F543564FBF08}"/>
    <cellStyle name="Normal 9 4" xfId="11489" xr:uid="{547DC85F-0157-4315-BB37-97AFAE6F0598}"/>
    <cellStyle name="Normal 9 4 2" xfId="26490" xr:uid="{E515A5A8-7764-4CA0-8DB5-E01D679C8F40}"/>
    <cellStyle name="Normal 9 4 3" xfId="26489" xr:uid="{897790D7-294F-472A-B6C7-3AFF351652BB}"/>
    <cellStyle name="Normal 9 5" xfId="12447" xr:uid="{46287A36-2F0C-40C1-99C8-B4147A89C820}"/>
    <cellStyle name="Normal 9 5 2" xfId="26492" xr:uid="{03EB9533-029F-42C5-94C2-CD44306DFB72}"/>
    <cellStyle name="Normal 9 5 3" xfId="26491" xr:uid="{A4FCBB26-5E68-4BEB-BCF2-80BFD02901CA}"/>
    <cellStyle name="Normal 9 6" xfId="26493" xr:uid="{DB8D255D-18CE-4C4E-ADFB-3F20C3136249}"/>
    <cellStyle name="Normal 9 7" xfId="26494" xr:uid="{988375E0-A9C9-438E-861D-0C4EC9E8F8CA}"/>
    <cellStyle name="Normal 9 8" xfId="26495" xr:uid="{6DB24E8C-601D-4332-AD7C-C0FAC7E95DBA}"/>
    <cellStyle name="Normal 9 8 2" xfId="48976" xr:uid="{E9C5DA2B-B977-4E04-8A7E-2F1F6A3898B4}"/>
    <cellStyle name="Normal GHG Numbers (0.00)" xfId="581" xr:uid="{00000000-0005-0000-0000-000077050000}"/>
    <cellStyle name="Normal GHG Numbers (0.00) 2" xfId="582" xr:uid="{00000000-0005-0000-0000-000078050000}"/>
    <cellStyle name="Normal GHG Numbers (0.00) 2 2" xfId="17445" xr:uid="{BD47A0C5-8A28-4917-A79E-BA9282F1857D}"/>
    <cellStyle name="Normal GHG Numbers (0.00) 2 2 2" xfId="32633" xr:uid="{F3294AA4-BB9B-4366-A1E9-61ACBE217987}"/>
    <cellStyle name="Normal GHG Numbers (0.00) 2 2 2 2" xfId="35585" xr:uid="{2BA6B7DD-CE13-4495-A1CC-2C4D04DFC2FB}"/>
    <cellStyle name="Normal GHG Numbers (0.00) 2 2 3" xfId="26498" xr:uid="{D81E02CA-A8BA-499C-B177-E9BDC69D740F}"/>
    <cellStyle name="Normal GHG Numbers (0.00) 2 3" xfId="26499" xr:uid="{E0BEDF66-72CA-4880-9883-8B9F85687D5D}"/>
    <cellStyle name="Normal GHG Numbers (0.00) 2 3 2" xfId="32634" xr:uid="{E09B3E2E-74EB-401F-9E9D-5531401992E9}"/>
    <cellStyle name="Normal GHG Numbers (0.00) 2 3 2 2" xfId="35586" xr:uid="{F934241E-C138-4DB7-BDC4-FDDD7881F880}"/>
    <cellStyle name="Normal GHG Numbers (0.00) 2 4" xfId="26500" xr:uid="{98C03C01-66E8-4654-860C-D90E484B4A0E}"/>
    <cellStyle name="Normal GHG Numbers (0.00) 2 4 2" xfId="32635" xr:uid="{A53DA7C0-FCAF-4A5B-9A75-37C1A4F9350F}"/>
    <cellStyle name="Normal GHG Numbers (0.00) 2 4 2 2" xfId="35587" xr:uid="{8355F2AB-F990-4E3F-8FE6-FC749B5148B2}"/>
    <cellStyle name="Normal GHG Numbers (0.00) 2 5" xfId="26501" xr:uid="{447E1FCA-2F1A-42EA-B7B5-F8A0A81A0F27}"/>
    <cellStyle name="Normal GHG Numbers (0.00) 2 5 2" xfId="32636" xr:uid="{4F476894-FC06-4E89-8D40-F97181CD3EDB}"/>
    <cellStyle name="Normal GHG Numbers (0.00) 2 5 2 2" xfId="35588" xr:uid="{58332B06-8BC6-45CE-AB9A-D8E4ECEC88E6}"/>
    <cellStyle name="Normal GHG Numbers (0.00) 2 6" xfId="32637" xr:uid="{0BFE0D60-0FE2-4102-BCA1-3152D05DCDB1}"/>
    <cellStyle name="Normal GHG Numbers (0.00) 2 6 2" xfId="35589" xr:uid="{7D921EAC-9A9E-455B-AF22-CF2967367D5E}"/>
    <cellStyle name="Normal GHG Numbers (0.00) 2 7" xfId="26497" xr:uid="{06CF0D8B-2241-4C23-A39B-3C1D862A2862}"/>
    <cellStyle name="Normal GHG Numbers (0.00) 3" xfId="583" xr:uid="{00000000-0005-0000-0000-000079050000}"/>
    <cellStyle name="Normal GHG Numbers (0.00) 3 2" xfId="17446" xr:uid="{37BE8050-0A93-4999-AAB8-58A620B10AC0}"/>
    <cellStyle name="Normal GHG Numbers (0.00) 3 2 2" xfId="35550" xr:uid="{8CFA723A-94B6-4B35-BFFE-AC2A5976E08A}"/>
    <cellStyle name="Normal GHG Numbers (0.00) 3 2 3" xfId="32497" xr:uid="{F90A5AC0-61FE-4BBD-87B8-DB0ECAD5E5CE}"/>
    <cellStyle name="Normal GHG Numbers (0.00) 3 3" xfId="26502" xr:uid="{EF81281A-5340-42AD-BC57-7D1F5B561867}"/>
    <cellStyle name="Normal GHG Numbers (0.00) 4" xfId="4091" xr:uid="{10A23B8A-311A-4A12-A912-77C16296408E}"/>
    <cellStyle name="Normal GHG Numbers (0.00) 4 2" xfId="32638" xr:uid="{55BBC4BE-8815-4F2B-B54B-BE48812E0CBB}"/>
    <cellStyle name="Normal GHG Numbers (0.00) 4 2 2" xfId="35590" xr:uid="{F1985A30-17DC-4C83-ADC7-E25523304496}"/>
    <cellStyle name="Normal GHG Numbers (0.00) 4 3" xfId="26503" xr:uid="{65C2E355-9F9E-4482-8C86-F6BCB8C0FFA5}"/>
    <cellStyle name="Normal GHG Numbers (0.00) 5" xfId="17706" xr:uid="{E7DE17BA-2821-44E7-B27E-AA2BCC452059}"/>
    <cellStyle name="Normal GHG Numbers (0.00) 5 2" xfId="21246" xr:uid="{F4944E17-99C8-4D55-B9EC-F627F1F0996E}"/>
    <cellStyle name="Normal GHG Numbers (0.00) 5 2 2" xfId="35591" xr:uid="{8958DFF7-EAF3-45CE-8035-5716C403BB1E}"/>
    <cellStyle name="Normal GHG Numbers (0.00) 5 2 3" xfId="32639" xr:uid="{7B4CC9E7-AC08-4393-ADC5-135FAC47D884}"/>
    <cellStyle name="Normal GHG Numbers (0.00) 5 3" xfId="26504" xr:uid="{CB57077F-CBC9-4AFA-9F5A-8D7FF449F4EA}"/>
    <cellStyle name="Normal GHG Numbers (0.00) 6" xfId="17685" xr:uid="{0879C2EB-DCD9-419A-AA87-DE6F2673B09B}"/>
    <cellStyle name="Normal GHG Numbers (0.00) 6 2" xfId="21245" xr:uid="{0703DEEF-07DD-4C1B-8209-9B78F66926EC}"/>
    <cellStyle name="Normal GHG Numbers (0.00) 6 2 2" xfId="35592" xr:uid="{7916F402-3370-4BA9-A746-C3E8CC3BEFEC}"/>
    <cellStyle name="Normal GHG Numbers (0.00) 6 2 3" xfId="32640" xr:uid="{92738244-76A2-4CE7-886D-7D95AD40AD8D}"/>
    <cellStyle name="Normal GHG Numbers (0.00) 6 3" xfId="26505" xr:uid="{E0595E94-E489-4356-94CF-AD7A0CAC2056}"/>
    <cellStyle name="Normal GHG Numbers (0.00) 7" xfId="32641" xr:uid="{A12EEFAA-8363-4C99-B537-7EA06C16DB5E}"/>
    <cellStyle name="Normal GHG Numbers (0.00) 7 2" xfId="35593" xr:uid="{5A66DF18-F999-4824-8A4B-CBFC22E653EF}"/>
    <cellStyle name="Normal GHG Numbers (0.00) 8" xfId="26496" xr:uid="{EF068D45-AEED-4372-8948-41797086F7ED}"/>
    <cellStyle name="Normal GHG Textfiels Bold" xfId="584" xr:uid="{00000000-0005-0000-0000-00007A050000}"/>
    <cellStyle name="Normal GHG Textfiels Bold 2" xfId="26506" xr:uid="{69837BAD-6FD6-469D-A305-03990C78BE20}"/>
    <cellStyle name="Normal GHG-Shade" xfId="585" xr:uid="{00000000-0005-0000-0000-00007B050000}"/>
    <cellStyle name="Normal GHG-Shade 2" xfId="4092" xr:uid="{959B814D-7EEC-4E72-8777-A08A97C06CCB}"/>
    <cellStyle name="Normal GHG-Shade 2 2" xfId="13428" xr:uid="{F21440D1-9CFB-40A7-81D2-51CFE2C76985}"/>
    <cellStyle name="Normal GHG-Shade 2 3" xfId="26508" xr:uid="{CFF1B33A-BC84-42D4-8E4E-0B94AC4D384F}"/>
    <cellStyle name="Normal GHG-Shade 3" xfId="13165" xr:uid="{28A6E3DE-4F36-4571-88C4-C9CCBF985E31}"/>
    <cellStyle name="Normal GHG-Shade 4" xfId="26507" xr:uid="{6CC6F1F0-D977-45CE-83F0-301492DA5255}"/>
    <cellStyle name="Normale 10" xfId="586" xr:uid="{00000000-0005-0000-0000-00007C050000}"/>
    <cellStyle name="Normale 10 2" xfId="587" xr:uid="{00000000-0005-0000-0000-00007D050000}"/>
    <cellStyle name="Normale 10 2 2" xfId="588" xr:uid="{00000000-0005-0000-0000-00007E050000}"/>
    <cellStyle name="Normale 10 2 2 2" xfId="13430" xr:uid="{A8F814CE-677F-4DDE-B980-30BFBD464B62}"/>
    <cellStyle name="Normale 10 2 2 3" xfId="26511" xr:uid="{BED1DA27-E3B6-43A1-8C3E-117D92C99B17}"/>
    <cellStyle name="Normale 10 2 3" xfId="13167" xr:uid="{EDA28762-69F2-4E8C-A5A6-776A4A7E0B88}"/>
    <cellStyle name="Normale 10 2 4" xfId="26510" xr:uid="{C2DA16A9-0235-4C3A-B002-4C95EB9C58BC}"/>
    <cellStyle name="Normale 10 3" xfId="589" xr:uid="{00000000-0005-0000-0000-00007F050000}"/>
    <cellStyle name="Normale 10 3 2" xfId="590" xr:uid="{00000000-0005-0000-0000-000080050000}"/>
    <cellStyle name="Normale 10 3 2 2" xfId="13431" xr:uid="{79488E86-4CCC-4E8A-8FA9-D62EDD2BD9F0}"/>
    <cellStyle name="Normale 10 3 2 3" xfId="26513" xr:uid="{C68BC043-813E-4EE5-8AA7-F27CC2E4C94D}"/>
    <cellStyle name="Normale 10 3 3" xfId="13168" xr:uid="{2F4AB1FE-2D79-456B-AC8D-217B75EF554B}"/>
    <cellStyle name="Normale 10 3 4" xfId="26512" xr:uid="{4D823D0B-4979-4718-8CF4-256DA22A9C58}"/>
    <cellStyle name="Normale 10 4" xfId="591" xr:uid="{00000000-0005-0000-0000-000081050000}"/>
    <cellStyle name="Normale 10 4 2" xfId="13429" xr:uid="{449188AD-2286-405C-80BA-9BD53794AB26}"/>
    <cellStyle name="Normale 10 4 3" xfId="26514" xr:uid="{8FA91A47-0B0F-46C5-A0AE-961D1BE5FBC0}"/>
    <cellStyle name="Normale 10 5" xfId="13166" xr:uid="{F05634E0-5124-47A8-92C5-94644FC9B92F}"/>
    <cellStyle name="Normale 10 6" xfId="26509" xr:uid="{5F16C0E1-1000-4414-B21A-A28B45D8C5F6}"/>
    <cellStyle name="Normale 10_EDEN industria 2008 rev" xfId="592" xr:uid="{00000000-0005-0000-0000-000082050000}"/>
    <cellStyle name="Normale 11" xfId="593" xr:uid="{00000000-0005-0000-0000-000083050000}"/>
    <cellStyle name="Normale 11 2" xfId="594" xr:uid="{00000000-0005-0000-0000-000084050000}"/>
    <cellStyle name="Normale 11 2 2" xfId="595" xr:uid="{00000000-0005-0000-0000-000085050000}"/>
    <cellStyle name="Normale 11 2 2 2" xfId="13433" xr:uid="{0F28DB52-3707-4C4C-A7E6-AF2A232A7DFB}"/>
    <cellStyle name="Normale 11 2 2 3" xfId="26517" xr:uid="{BBC5790E-EDCD-4E3B-BFE3-2FE9962DDEB5}"/>
    <cellStyle name="Normale 11 2 3" xfId="13170" xr:uid="{B8C58875-8A14-456B-8CEC-43FCF9B8024E}"/>
    <cellStyle name="Normale 11 2 4" xfId="26516" xr:uid="{ED8FEE1F-FF9D-4BD3-86D1-49F9DD8659E5}"/>
    <cellStyle name="Normale 11 3" xfId="596" xr:uid="{00000000-0005-0000-0000-000086050000}"/>
    <cellStyle name="Normale 11 3 2" xfId="597" xr:uid="{00000000-0005-0000-0000-000087050000}"/>
    <cellStyle name="Normale 11 3 2 2" xfId="13434" xr:uid="{50D54E64-B74E-435C-B8E5-32E91F5E5257}"/>
    <cellStyle name="Normale 11 3 2 3" xfId="26519" xr:uid="{697547EC-C453-44C0-A2B9-37F96253EE83}"/>
    <cellStyle name="Normale 11 3 3" xfId="13171" xr:uid="{0150E4F6-7895-4CC0-93A0-541F965744A0}"/>
    <cellStyle name="Normale 11 3 4" xfId="26518" xr:uid="{C3FE82D5-424F-4D41-9F82-BE6C08F6C3D6}"/>
    <cellStyle name="Normale 11 4" xfId="598" xr:uid="{00000000-0005-0000-0000-000088050000}"/>
    <cellStyle name="Normale 11 4 2" xfId="13432" xr:uid="{4057CC1B-3C43-4F39-8424-54911BA17976}"/>
    <cellStyle name="Normale 11 4 3" xfId="26520" xr:uid="{3BD80AB2-432D-4B43-9B4D-4C85EBC4BC76}"/>
    <cellStyle name="Normale 11 5" xfId="13169" xr:uid="{0BB85EFD-EAA8-46E4-A4D1-82A0FE242CA6}"/>
    <cellStyle name="Normale 11 6" xfId="26515" xr:uid="{FD79BD93-FA36-47DE-889B-F42E7E9815EC}"/>
    <cellStyle name="Normale 11_EDEN industria 2008 rev" xfId="599" xr:uid="{00000000-0005-0000-0000-000089050000}"/>
    <cellStyle name="Normale 12" xfId="600" xr:uid="{00000000-0005-0000-0000-00008A050000}"/>
    <cellStyle name="Normale 12 2" xfId="601" xr:uid="{00000000-0005-0000-0000-00008B050000}"/>
    <cellStyle name="Normale 12 2 2" xfId="602" xr:uid="{00000000-0005-0000-0000-00008C050000}"/>
    <cellStyle name="Normale 12 2 2 2" xfId="13436" xr:uid="{90A134F4-F01B-4202-8EB5-985F4C4DDD8C}"/>
    <cellStyle name="Normale 12 2 2 3" xfId="26523" xr:uid="{64987905-6D46-4AED-BBA5-42B537538F7B}"/>
    <cellStyle name="Normale 12 2 3" xfId="13173" xr:uid="{F0FA5086-254C-4312-97F5-E767C612F93F}"/>
    <cellStyle name="Normale 12 2 4" xfId="26522" xr:uid="{9FBC366A-C47E-4AA3-9FBB-929534B2D99D}"/>
    <cellStyle name="Normale 12 3" xfId="603" xr:uid="{00000000-0005-0000-0000-00008D050000}"/>
    <cellStyle name="Normale 12 3 2" xfId="604" xr:uid="{00000000-0005-0000-0000-00008E050000}"/>
    <cellStyle name="Normale 12 3 2 2" xfId="13437" xr:uid="{E4AA6FF7-14BF-4404-AEF9-F85765563D2C}"/>
    <cellStyle name="Normale 12 3 2 3" xfId="26525" xr:uid="{46E4479D-6EE6-40F0-ACCD-49A69A3FEE04}"/>
    <cellStyle name="Normale 12 3 3" xfId="13174" xr:uid="{B610E0A5-EBA5-43D4-8E86-579C88BFBEBB}"/>
    <cellStyle name="Normale 12 3 4" xfId="26524" xr:uid="{6E974B70-7533-4A47-BE95-7E01059CA4F8}"/>
    <cellStyle name="Normale 12 4" xfId="605" xr:uid="{00000000-0005-0000-0000-00008F050000}"/>
    <cellStyle name="Normale 12 4 2" xfId="13435" xr:uid="{01F07CC9-422C-498E-ADCA-17A05AE414B9}"/>
    <cellStyle name="Normale 12 4 3" xfId="26526" xr:uid="{24A43135-6178-47D8-9D46-8DA648EDA76F}"/>
    <cellStyle name="Normale 12 5" xfId="13172" xr:uid="{0824D37E-DCFF-4EEA-9E49-A8A0E401F3DE}"/>
    <cellStyle name="Normale 12 6" xfId="26521" xr:uid="{BD468766-C76E-4F7F-9642-BA1C35FBE218}"/>
    <cellStyle name="Normale 12_EDEN industria 2008 rev" xfId="606" xr:uid="{00000000-0005-0000-0000-000090050000}"/>
    <cellStyle name="Normale 13" xfId="607" xr:uid="{00000000-0005-0000-0000-000091050000}"/>
    <cellStyle name="Normale 13 2" xfId="608" xr:uid="{00000000-0005-0000-0000-000092050000}"/>
    <cellStyle name="Normale 13 2 2" xfId="609" xr:uid="{00000000-0005-0000-0000-000093050000}"/>
    <cellStyle name="Normale 13 2 2 2" xfId="13439" xr:uid="{1497CA83-6410-4D77-82C4-76EE319FBEC3}"/>
    <cellStyle name="Normale 13 2 2 3" xfId="26529" xr:uid="{46A6329A-B40C-4AE6-B9B8-C221C797260D}"/>
    <cellStyle name="Normale 13 2 3" xfId="13176" xr:uid="{D251ADA3-4F28-47F1-8A28-FBB15FC33FC6}"/>
    <cellStyle name="Normale 13 2 4" xfId="26528" xr:uid="{8A7493FA-1C76-4D92-B2F4-BCA42C7276AA}"/>
    <cellStyle name="Normale 13 3" xfId="610" xr:uid="{00000000-0005-0000-0000-000094050000}"/>
    <cellStyle name="Normale 13 3 2" xfId="611" xr:uid="{00000000-0005-0000-0000-000095050000}"/>
    <cellStyle name="Normale 13 3 2 2" xfId="13440" xr:uid="{4FA898AC-C893-4C1C-A2DD-B1B3A124B788}"/>
    <cellStyle name="Normale 13 3 2 3" xfId="26531" xr:uid="{937F3FDD-19AE-4E84-B0BA-CEBDA3597FBC}"/>
    <cellStyle name="Normale 13 3 3" xfId="13177" xr:uid="{68566AEC-2580-4354-95DB-C2AD26FAB1F8}"/>
    <cellStyle name="Normale 13 3 4" xfId="26530" xr:uid="{A2DF840E-BF99-4D59-AA2B-D0ED7A3BAFA9}"/>
    <cellStyle name="Normale 13 4" xfId="612" xr:uid="{00000000-0005-0000-0000-000096050000}"/>
    <cellStyle name="Normale 13 4 2" xfId="13438" xr:uid="{73572DD7-A7F6-4D6B-BE92-AAA27D9F3F84}"/>
    <cellStyle name="Normale 13 4 3" xfId="26532" xr:uid="{246512EF-EF1F-46A6-B865-07BAFC22E35E}"/>
    <cellStyle name="Normale 13 5" xfId="13175" xr:uid="{709C50D5-CEAD-4688-B0B3-EE2E6D755F7C}"/>
    <cellStyle name="Normale 13 6" xfId="26527" xr:uid="{FAF379F8-8F97-4122-BCF4-10FA4AB50A87}"/>
    <cellStyle name="Normale 13_EDEN industria 2008 rev" xfId="613" xr:uid="{00000000-0005-0000-0000-000097050000}"/>
    <cellStyle name="Normale 14" xfId="614" xr:uid="{00000000-0005-0000-0000-000098050000}"/>
    <cellStyle name="Normale 14 2" xfId="615" xr:uid="{00000000-0005-0000-0000-000099050000}"/>
    <cellStyle name="Normale 14 2 2" xfId="616" xr:uid="{00000000-0005-0000-0000-00009A050000}"/>
    <cellStyle name="Normale 14 2 2 2" xfId="13442" xr:uid="{4B6518FD-65CA-45AF-82FB-8DB7FA4B607A}"/>
    <cellStyle name="Normale 14 2 2 3" xfId="26535" xr:uid="{5FAFF940-F491-49C8-BAE9-6F0CF2D3FF9E}"/>
    <cellStyle name="Normale 14 2 3" xfId="13179" xr:uid="{07112093-510A-4FD5-A62A-F5E5D6FDD2DB}"/>
    <cellStyle name="Normale 14 2 4" xfId="26534" xr:uid="{505F60F3-ECEF-4720-B286-804A51B6E715}"/>
    <cellStyle name="Normale 14 3" xfId="617" xr:uid="{00000000-0005-0000-0000-00009B050000}"/>
    <cellStyle name="Normale 14 3 2" xfId="618" xr:uid="{00000000-0005-0000-0000-00009C050000}"/>
    <cellStyle name="Normale 14 3 2 2" xfId="13443" xr:uid="{43C532F8-571C-4D59-941D-05FB29D968F6}"/>
    <cellStyle name="Normale 14 3 2 3" xfId="26537" xr:uid="{FAF3C4AC-B17E-4C23-8A96-37D6DA8C57DE}"/>
    <cellStyle name="Normale 14 3 3" xfId="13180" xr:uid="{926746C1-1F17-45D5-9FC2-451EB14B1B1A}"/>
    <cellStyle name="Normale 14 3 4" xfId="26536" xr:uid="{2A91D37B-64FF-459A-B493-CDB0B189AA9D}"/>
    <cellStyle name="Normale 14 4" xfId="619" xr:uid="{00000000-0005-0000-0000-00009D050000}"/>
    <cellStyle name="Normale 14 4 2" xfId="13441" xr:uid="{A2C49144-D12C-4D3C-B780-A422F5A5E982}"/>
    <cellStyle name="Normale 14 4 3" xfId="26538" xr:uid="{C2BC9F7F-28D6-46E3-BAB9-16FACB9D9C42}"/>
    <cellStyle name="Normale 14 5" xfId="13178" xr:uid="{7B2DE2E4-1441-4B20-AA31-5A8AC93310C5}"/>
    <cellStyle name="Normale 14 6" xfId="26533" xr:uid="{CC2A1AFB-A9BD-4D59-B1F7-C98DBD3E6527}"/>
    <cellStyle name="Normale 14_EDEN industria 2008 rev" xfId="620" xr:uid="{00000000-0005-0000-0000-00009E050000}"/>
    <cellStyle name="Normale 15" xfId="621" xr:uid="{00000000-0005-0000-0000-00009F050000}"/>
    <cellStyle name="Normale 15 2" xfId="622" xr:uid="{00000000-0005-0000-0000-0000A0050000}"/>
    <cellStyle name="Normale 15 2 2" xfId="623" xr:uid="{00000000-0005-0000-0000-0000A1050000}"/>
    <cellStyle name="Normale 15 2 2 2" xfId="13445" xr:uid="{D2DD63EC-E465-4434-BF3D-5B0AA39A11D5}"/>
    <cellStyle name="Normale 15 2 2 3" xfId="26541" xr:uid="{91818688-A175-4C19-8A72-6C9D10508C7D}"/>
    <cellStyle name="Normale 15 2 3" xfId="13182" xr:uid="{A2957F15-0712-4DF3-830C-1A36047E2240}"/>
    <cellStyle name="Normale 15 2 4" xfId="26540" xr:uid="{AC3C4A84-F2A6-4DE0-AABE-38FD38A1CB9E}"/>
    <cellStyle name="Normale 15 3" xfId="624" xr:uid="{00000000-0005-0000-0000-0000A2050000}"/>
    <cellStyle name="Normale 15 3 2" xfId="625" xr:uid="{00000000-0005-0000-0000-0000A3050000}"/>
    <cellStyle name="Normale 15 3 2 2" xfId="13446" xr:uid="{C898F81D-6D8A-41A1-8065-788AAAB74E36}"/>
    <cellStyle name="Normale 15 3 2 3" xfId="26543" xr:uid="{AEB50399-380B-49D6-B737-982E9D0A2774}"/>
    <cellStyle name="Normale 15 3 3" xfId="13183" xr:uid="{CBB89086-7DFB-425C-830E-0E0BEFAE2FEA}"/>
    <cellStyle name="Normale 15 3 4" xfId="26542" xr:uid="{16E22B8B-A27A-4779-AE65-BAF5E3E54158}"/>
    <cellStyle name="Normale 15 4" xfId="626" xr:uid="{00000000-0005-0000-0000-0000A4050000}"/>
    <cellStyle name="Normale 15 4 2" xfId="13444" xr:uid="{32D117D2-8FD8-4039-8C3D-D0871840B3E1}"/>
    <cellStyle name="Normale 15 4 3" xfId="26544" xr:uid="{60964F35-DE73-4FE4-A4DA-58CB032D2D58}"/>
    <cellStyle name="Normale 15 5" xfId="13181" xr:uid="{FB52FEC8-AE76-45B2-A1C5-4163DA3B7354}"/>
    <cellStyle name="Normale 15 6" xfId="26539" xr:uid="{916935EA-51E7-4B68-9271-2FD314A911A5}"/>
    <cellStyle name="Normale 15_EDEN industria 2008 rev" xfId="627" xr:uid="{00000000-0005-0000-0000-0000A5050000}"/>
    <cellStyle name="Normale 16" xfId="628" xr:uid="{00000000-0005-0000-0000-0000A6050000}"/>
    <cellStyle name="Normale 16 2" xfId="629" xr:uid="{00000000-0005-0000-0000-0000A7050000}"/>
    <cellStyle name="Normale 16 2 2" xfId="13447" xr:uid="{E1B343A3-B255-4F7A-BA5B-B848C61127FF}"/>
    <cellStyle name="Normale 16 2 3" xfId="26546" xr:uid="{3F7262AB-EB56-4CDD-8020-3177E3A16E28}"/>
    <cellStyle name="Normale 16 3" xfId="13184" xr:uid="{E03B9BD5-7899-43D3-88A9-D7BAEAD7DFBE}"/>
    <cellStyle name="Normale 16 4" xfId="26545" xr:uid="{5EE6994D-0BD9-4286-9284-71077A4947C3}"/>
    <cellStyle name="Normale 17" xfId="630" xr:uid="{00000000-0005-0000-0000-0000A8050000}"/>
    <cellStyle name="Normale 17 2" xfId="631" xr:uid="{00000000-0005-0000-0000-0000A9050000}"/>
    <cellStyle name="Normale 17 2 2" xfId="13448" xr:uid="{A2A1FF0A-E339-4EE0-9902-31D33B85BE14}"/>
    <cellStyle name="Normale 17 2 3" xfId="26548" xr:uid="{6C59727B-7798-45DB-B444-89005A33B882}"/>
    <cellStyle name="Normale 17 3" xfId="13185" xr:uid="{BC368B59-2C74-4265-B3DE-09D20A2B155E}"/>
    <cellStyle name="Normale 17 4" xfId="26547" xr:uid="{0F70E433-03C1-4793-BB5A-08C9D54F0734}"/>
    <cellStyle name="Normale 18" xfId="632" xr:uid="{00000000-0005-0000-0000-0000AA050000}"/>
    <cellStyle name="Normale 18 2" xfId="633" xr:uid="{00000000-0005-0000-0000-0000AB050000}"/>
    <cellStyle name="Normale 18 2 2" xfId="26550" xr:uid="{9BA62BD7-AEDC-4C63-A635-6AD9D9795387}"/>
    <cellStyle name="Normale 18 3" xfId="26549" xr:uid="{76569935-51CA-4DF8-8E88-FFBBAC7FE55A}"/>
    <cellStyle name="Normale 19" xfId="634" xr:uid="{00000000-0005-0000-0000-0000AC050000}"/>
    <cellStyle name="Normale 19 2" xfId="635" xr:uid="{00000000-0005-0000-0000-0000AD050000}"/>
    <cellStyle name="Normale 19 2 2" xfId="26552" xr:uid="{7274C602-D9AD-4DC1-B298-BDB8068134D3}"/>
    <cellStyle name="Normale 19 3" xfId="26551" xr:uid="{7653A989-E6B5-48B7-B1A8-D105C40C7B25}"/>
    <cellStyle name="Normale 2" xfId="636" xr:uid="{00000000-0005-0000-0000-0000AE050000}"/>
    <cellStyle name="Normale 2 2" xfId="637" xr:uid="{00000000-0005-0000-0000-0000AF050000}"/>
    <cellStyle name="Normale 2 2 2" xfId="638" xr:uid="{00000000-0005-0000-0000-0000B0050000}"/>
    <cellStyle name="Normale 2 2 2 2" xfId="13450" xr:uid="{A3C9A395-95E5-42E2-B360-973A1256CC0D}"/>
    <cellStyle name="Normale 2 2 2 3" xfId="26555" xr:uid="{37983C18-83C5-49AA-96F0-22D2BD427A4A}"/>
    <cellStyle name="Normale 2 2 3" xfId="13187" xr:uid="{5E24BF66-221C-4205-B79A-02EADCD602B7}"/>
    <cellStyle name="Normale 2 2 4" xfId="26554" xr:uid="{84314B29-E5B5-48E8-A9B8-3543C3CBD564}"/>
    <cellStyle name="Normale 2 3" xfId="639" xr:uid="{00000000-0005-0000-0000-0000B1050000}"/>
    <cellStyle name="Normale 2 3 2" xfId="13449" xr:uid="{9DD5D0CF-F276-4A2F-907F-D9C2DA6485EA}"/>
    <cellStyle name="Normale 2 3 3" xfId="26556" xr:uid="{C8BD1E10-DDB0-484B-BCD6-CC70F329F69F}"/>
    <cellStyle name="Normale 2 4" xfId="13186" xr:uid="{D9A4E2FB-50B6-472E-A4E5-9F7D306C7D4C}"/>
    <cellStyle name="Normale 2 5" xfId="26553" xr:uid="{8DBF76EF-41EB-41D4-9F52-54846C130A05}"/>
    <cellStyle name="Normale 2_EDEN industria 2008 rev" xfId="640" xr:uid="{00000000-0005-0000-0000-0000B2050000}"/>
    <cellStyle name="Normale 20" xfId="641" xr:uid="{00000000-0005-0000-0000-0000B3050000}"/>
    <cellStyle name="Normale 20 2" xfId="642" xr:uid="{00000000-0005-0000-0000-0000B4050000}"/>
    <cellStyle name="Normale 20 2 2" xfId="13451" xr:uid="{4B1D49A2-7BA2-437F-B30C-114FF73F1667}"/>
    <cellStyle name="Normale 20 2 3" xfId="26558" xr:uid="{AB4471DA-18F4-46E1-8D0F-D9C701693A09}"/>
    <cellStyle name="Normale 20 3" xfId="13188" xr:uid="{9BAC3C4D-3A99-4167-B3FD-836F06A872BA}"/>
    <cellStyle name="Normale 20 4" xfId="26557" xr:uid="{B36434F7-028F-468B-98E9-B2BFADDE7C83}"/>
    <cellStyle name="Normale 21" xfId="643" xr:uid="{00000000-0005-0000-0000-0000B5050000}"/>
    <cellStyle name="Normale 21 2" xfId="644" xr:uid="{00000000-0005-0000-0000-0000B6050000}"/>
    <cellStyle name="Normale 21 2 2" xfId="13452" xr:uid="{3DC14ED4-BBF9-43FE-B0DC-8026AC26DC6B}"/>
    <cellStyle name="Normale 21 2 3" xfId="26560" xr:uid="{F3BE4475-8FC4-4B80-9551-1F3D3DF8E8F3}"/>
    <cellStyle name="Normale 21 3" xfId="13189" xr:uid="{7E66DBC6-C94A-4FC1-8046-CED6E75C280F}"/>
    <cellStyle name="Normale 21 4" xfId="26559" xr:uid="{519016B2-42F7-4830-9168-B31054299CB9}"/>
    <cellStyle name="Normale 22" xfId="645" xr:uid="{00000000-0005-0000-0000-0000B7050000}"/>
    <cellStyle name="Normale 22 2" xfId="646" xr:uid="{00000000-0005-0000-0000-0000B8050000}"/>
    <cellStyle name="Normale 22 2 2" xfId="13453" xr:uid="{7D06C3E6-FE28-45A0-91A9-7E9B58F60A41}"/>
    <cellStyle name="Normale 22 2 3" xfId="26562" xr:uid="{92A2C325-7B8B-4B3E-8E9E-C2ED359E3FAB}"/>
    <cellStyle name="Normale 22 3" xfId="13190" xr:uid="{9ABFBB53-E322-4E3B-9E04-D8EC56A5876D}"/>
    <cellStyle name="Normale 22 4" xfId="26561" xr:uid="{C950FA08-7814-4155-961D-CF4FCF603567}"/>
    <cellStyle name="Normale 23" xfId="647" xr:uid="{00000000-0005-0000-0000-0000B9050000}"/>
    <cellStyle name="Normale 23 2" xfId="648" xr:uid="{00000000-0005-0000-0000-0000BA050000}"/>
    <cellStyle name="Normale 23 2 2" xfId="13454" xr:uid="{24E6EA32-9118-4D36-9C41-131A90F7A225}"/>
    <cellStyle name="Normale 23 2 3" xfId="26564" xr:uid="{A3F7A614-8EC7-41D7-8BE3-256F975CAFB9}"/>
    <cellStyle name="Normale 23 3" xfId="13191" xr:uid="{42F3F59B-8DCA-4679-A977-3E8F0894A2F4}"/>
    <cellStyle name="Normale 23 4" xfId="26563" xr:uid="{06F70293-C0CE-48B8-BC08-90ED73428AD6}"/>
    <cellStyle name="Normale 24" xfId="649" xr:uid="{00000000-0005-0000-0000-0000BB050000}"/>
    <cellStyle name="Normale 24 2" xfId="650" xr:uid="{00000000-0005-0000-0000-0000BC050000}"/>
    <cellStyle name="Normale 24 2 2" xfId="13455" xr:uid="{597A6BED-2672-4916-A749-3FB129869431}"/>
    <cellStyle name="Normale 24 2 3" xfId="26566" xr:uid="{0FFDB4A6-8E93-4CC1-B633-436FB4AE0744}"/>
    <cellStyle name="Normale 24 3" xfId="13192" xr:uid="{3AC85107-C59E-4D5B-B02E-5953B9D08746}"/>
    <cellStyle name="Normale 24 4" xfId="26565" xr:uid="{594C8761-F496-445B-BC7F-CEEB319E3600}"/>
    <cellStyle name="Normale 25" xfId="651" xr:uid="{00000000-0005-0000-0000-0000BD050000}"/>
    <cellStyle name="Normale 25 2" xfId="652" xr:uid="{00000000-0005-0000-0000-0000BE050000}"/>
    <cellStyle name="Normale 25 2 2" xfId="13456" xr:uid="{60A12DCF-DF4B-4D68-AC75-7FA0F6A17E0F}"/>
    <cellStyle name="Normale 25 2 3" xfId="26568" xr:uid="{1571B6F9-EA38-43A2-9C57-FDB05291E187}"/>
    <cellStyle name="Normale 25 3" xfId="13193" xr:uid="{FB2689FF-529A-41AB-82A1-3FD3C2E806D3}"/>
    <cellStyle name="Normale 25 4" xfId="26567" xr:uid="{5F01B50B-0E78-46B4-A6D4-DC2796F8A15E}"/>
    <cellStyle name="Normale 26" xfId="653" xr:uid="{00000000-0005-0000-0000-0000BF050000}"/>
    <cellStyle name="Normale 26 2" xfId="654" xr:uid="{00000000-0005-0000-0000-0000C0050000}"/>
    <cellStyle name="Normale 26 2 2" xfId="13457" xr:uid="{4D4085C1-981A-4F7D-8CA1-F8EBEAF78DC1}"/>
    <cellStyle name="Normale 26 2 3" xfId="26570" xr:uid="{ADD0F4FA-A653-4F3B-B23A-4714F709DE13}"/>
    <cellStyle name="Normale 26 3" xfId="13194" xr:uid="{B13ADFA6-824B-440A-A766-8BB30468256D}"/>
    <cellStyle name="Normale 26 4" xfId="26569" xr:uid="{63B05BE0-FA98-4592-86DE-CD9E5C7F22F3}"/>
    <cellStyle name="Normale 27" xfId="655" xr:uid="{00000000-0005-0000-0000-0000C1050000}"/>
    <cellStyle name="Normale 27 2" xfId="656" xr:uid="{00000000-0005-0000-0000-0000C2050000}"/>
    <cellStyle name="Normale 27 2 2" xfId="13458" xr:uid="{E91D0C35-4D1F-4574-A619-A9A503987993}"/>
    <cellStyle name="Normale 27 2 3" xfId="26572" xr:uid="{EE1EE963-F0AD-4954-AA9C-3B37FCE081CF}"/>
    <cellStyle name="Normale 27 3" xfId="13195" xr:uid="{2445B2FE-A74B-4799-B848-087DB7ACDC14}"/>
    <cellStyle name="Normale 27 4" xfId="26571" xr:uid="{E3A0A7B3-93A6-42E4-A5D4-7DB5F155C674}"/>
    <cellStyle name="Normale 28" xfId="657" xr:uid="{00000000-0005-0000-0000-0000C3050000}"/>
    <cellStyle name="Normale 28 2" xfId="658" xr:uid="{00000000-0005-0000-0000-0000C4050000}"/>
    <cellStyle name="Normale 28 2 2" xfId="13459" xr:uid="{FC6FA0DD-DA60-44D4-A5F6-9C9CF60035A3}"/>
    <cellStyle name="Normale 28 2 3" xfId="26574" xr:uid="{3796901C-3072-4908-B77D-6C840AA15E0B}"/>
    <cellStyle name="Normale 28 3" xfId="13196" xr:uid="{C617E7F1-276A-4168-830A-3AACDEF6ED85}"/>
    <cellStyle name="Normale 28 4" xfId="26573" xr:uid="{B0AA0E24-5CF4-4B88-9D3A-99A447156076}"/>
    <cellStyle name="Normale 29" xfId="659" xr:uid="{00000000-0005-0000-0000-0000C5050000}"/>
    <cellStyle name="Normale 29 2" xfId="660" xr:uid="{00000000-0005-0000-0000-0000C6050000}"/>
    <cellStyle name="Normale 29 2 2" xfId="13460" xr:uid="{6D4D0D1B-268A-487C-8EC9-B4438F3A305F}"/>
    <cellStyle name="Normale 29 2 3" xfId="26576" xr:uid="{F6C676C5-94E8-4032-9980-760A7AB7DE04}"/>
    <cellStyle name="Normale 29 3" xfId="13197" xr:uid="{D9CB8B9F-04AB-40A1-9870-B362B65D04CE}"/>
    <cellStyle name="Normale 29 4" xfId="26575" xr:uid="{8DC24EB9-2D4B-48AC-BDED-9C50314D71F6}"/>
    <cellStyle name="Normale 3" xfId="661" xr:uid="{00000000-0005-0000-0000-0000C7050000}"/>
    <cellStyle name="Normale 3 2" xfId="662" xr:uid="{00000000-0005-0000-0000-0000C8050000}"/>
    <cellStyle name="Normale 3 2 2" xfId="663" xr:uid="{00000000-0005-0000-0000-0000C9050000}"/>
    <cellStyle name="Normale 3 2 2 2" xfId="13462" xr:uid="{247AC841-C745-404C-93BC-C2D80AF2F55B}"/>
    <cellStyle name="Normale 3 2 2 3" xfId="26579" xr:uid="{87575125-529A-4223-B134-FC600669B16D}"/>
    <cellStyle name="Normale 3 2 3" xfId="13199" xr:uid="{A773C592-E38D-490F-A091-C51FC4426D3A}"/>
    <cellStyle name="Normale 3 2 4" xfId="26578" xr:uid="{E3108FE4-C323-4413-BA03-32A852CD6BE8}"/>
    <cellStyle name="Normale 3 3" xfId="664" xr:uid="{00000000-0005-0000-0000-0000CA050000}"/>
    <cellStyle name="Normale 3 3 2" xfId="665" xr:uid="{00000000-0005-0000-0000-0000CB050000}"/>
    <cellStyle name="Normale 3 3 2 2" xfId="13463" xr:uid="{F128BF2E-8C9E-4A10-8EFD-0502D1AFBCD9}"/>
    <cellStyle name="Normale 3 3 2 3" xfId="26581" xr:uid="{55AAA1BB-46D6-477F-BE33-6AEB1AF7A46E}"/>
    <cellStyle name="Normale 3 3 3" xfId="13200" xr:uid="{9B5102B5-E738-454B-9803-14320FB0F6B7}"/>
    <cellStyle name="Normale 3 3 4" xfId="26580" xr:uid="{E7B36EC1-63FC-4E27-8333-CA3DC0CED956}"/>
    <cellStyle name="Normale 3 4" xfId="666" xr:uid="{00000000-0005-0000-0000-0000CC050000}"/>
    <cellStyle name="Normale 3 4 2" xfId="13461" xr:uid="{BAC910FA-D0CF-4BC9-BA02-44A640EBE3A2}"/>
    <cellStyle name="Normale 3 4 3" xfId="26582" xr:uid="{92A2007A-1EEA-4BA6-A0F3-10FA2EC1EC5E}"/>
    <cellStyle name="Normale 3 5" xfId="13198" xr:uid="{04464832-00A0-4AA2-96C5-6D351EBDC169}"/>
    <cellStyle name="Normale 3 6" xfId="26577" xr:uid="{FBA0418D-88A0-4AB8-B352-E654092E6694}"/>
    <cellStyle name="Normale 3_EDEN industria 2008 rev" xfId="667" xr:uid="{00000000-0005-0000-0000-0000CD050000}"/>
    <cellStyle name="Normale 30" xfId="668" xr:uid="{00000000-0005-0000-0000-0000CE050000}"/>
    <cellStyle name="Normale 30 2" xfId="669" xr:uid="{00000000-0005-0000-0000-0000CF050000}"/>
    <cellStyle name="Normale 30 2 2" xfId="13464" xr:uid="{6F7D5461-789B-4952-B569-D4373037BDD8}"/>
    <cellStyle name="Normale 30 2 3" xfId="26584" xr:uid="{0D5CBFE0-E662-4598-9418-30F4423C34C4}"/>
    <cellStyle name="Normale 30 3" xfId="13201" xr:uid="{E49AA84F-3D5A-43F2-95FF-527BD98EFD81}"/>
    <cellStyle name="Normale 30 4" xfId="26583" xr:uid="{7421E45F-E05E-403F-846A-2DCCD9583BD5}"/>
    <cellStyle name="Normale 31" xfId="670" xr:uid="{00000000-0005-0000-0000-0000D0050000}"/>
    <cellStyle name="Normale 31 2" xfId="671" xr:uid="{00000000-0005-0000-0000-0000D1050000}"/>
    <cellStyle name="Normale 31 2 2" xfId="13465" xr:uid="{4772882B-9A95-4A37-88C8-2F5AA0AFB942}"/>
    <cellStyle name="Normale 31 2 3" xfId="26586" xr:uid="{925C03BD-3A6B-4675-9B4B-EC388543CDC5}"/>
    <cellStyle name="Normale 31 3" xfId="13202" xr:uid="{95D0A218-9A43-434B-A664-D321CBE01A91}"/>
    <cellStyle name="Normale 31 4" xfId="26585" xr:uid="{DDD315F5-FD86-4B02-A20E-E4EBCE38D3E4}"/>
    <cellStyle name="Normale 32" xfId="672" xr:uid="{00000000-0005-0000-0000-0000D2050000}"/>
    <cellStyle name="Normale 32 2" xfId="673" xr:uid="{00000000-0005-0000-0000-0000D3050000}"/>
    <cellStyle name="Normale 32 2 2" xfId="13466" xr:uid="{2BA985A0-9C66-4DEE-9F10-993EE27C18EE}"/>
    <cellStyle name="Normale 32 2 3" xfId="26588" xr:uid="{BD5AABF2-ECD3-453E-B444-1181453551AB}"/>
    <cellStyle name="Normale 32 3" xfId="13203" xr:uid="{547A135E-C0E2-4F94-88E8-43FAFB204776}"/>
    <cellStyle name="Normale 32 4" xfId="26587" xr:uid="{DE83427D-A242-4C66-808D-78CC8C27E456}"/>
    <cellStyle name="Normale 33" xfId="674" xr:uid="{00000000-0005-0000-0000-0000D4050000}"/>
    <cellStyle name="Normale 33 2" xfId="675" xr:uid="{00000000-0005-0000-0000-0000D5050000}"/>
    <cellStyle name="Normale 33 2 2" xfId="13467" xr:uid="{09C2A5C7-2E9C-41F7-955B-E7715A7C6CB6}"/>
    <cellStyle name="Normale 33 2 3" xfId="26590" xr:uid="{92E4D345-C9FC-4348-8681-B0D815B96E2C}"/>
    <cellStyle name="Normale 33 3" xfId="13204" xr:uid="{D548BC84-DEDA-4F11-850F-989B19868ADE}"/>
    <cellStyle name="Normale 33 4" xfId="26589" xr:uid="{36AB3790-E040-4E39-8C94-1601D4C9E6B9}"/>
    <cellStyle name="Normale 34" xfId="676" xr:uid="{00000000-0005-0000-0000-0000D6050000}"/>
    <cellStyle name="Normale 34 2" xfId="677" xr:uid="{00000000-0005-0000-0000-0000D7050000}"/>
    <cellStyle name="Normale 34 2 2" xfId="13468" xr:uid="{BA69115A-5CC3-44EC-9521-771689369BBC}"/>
    <cellStyle name="Normale 34 2 3" xfId="26592" xr:uid="{AD5EFD83-0C42-4A49-8BEA-94BFAB859344}"/>
    <cellStyle name="Normale 34 3" xfId="13205" xr:uid="{D0A8A2B4-8AF8-4FDA-9162-E6A0883802AB}"/>
    <cellStyle name="Normale 34 4" xfId="26591" xr:uid="{A65E25F2-7EA0-40FE-9DCF-00CB74CC32B0}"/>
    <cellStyle name="Normale 35" xfId="678" xr:uid="{00000000-0005-0000-0000-0000D8050000}"/>
    <cellStyle name="Normale 35 2" xfId="679" xr:uid="{00000000-0005-0000-0000-0000D9050000}"/>
    <cellStyle name="Normale 35 2 2" xfId="13469" xr:uid="{1F38A2AE-AA26-446F-8798-BE36920D8271}"/>
    <cellStyle name="Normale 35 2 3" xfId="26594" xr:uid="{E4DB0D3C-2F90-42CE-B37D-CB5FE87C814B}"/>
    <cellStyle name="Normale 35 3" xfId="13206" xr:uid="{33778B17-EA0E-4511-8728-D1C8EADBF6A9}"/>
    <cellStyle name="Normale 35 4" xfId="26593" xr:uid="{E2582F64-BD84-4945-A6EB-21DBC591F54F}"/>
    <cellStyle name="Normale 36" xfId="680" xr:uid="{00000000-0005-0000-0000-0000DA050000}"/>
    <cellStyle name="Normale 36 2" xfId="681" xr:uid="{00000000-0005-0000-0000-0000DB050000}"/>
    <cellStyle name="Normale 36 2 2" xfId="13470" xr:uid="{B18F6F9E-FA21-4F43-B4D9-6E8D4EF71501}"/>
    <cellStyle name="Normale 36 2 3" xfId="26596" xr:uid="{B3EBE7B9-5BC3-4F0D-A965-4921ED2A5F45}"/>
    <cellStyle name="Normale 36 3" xfId="13207" xr:uid="{F2B72FDC-37BB-4F43-A950-07870BE9CEC5}"/>
    <cellStyle name="Normale 36 4" xfId="26595" xr:uid="{D6CBF05B-29AB-41F6-842B-D10C26B2C01E}"/>
    <cellStyle name="Normale 37" xfId="682" xr:uid="{00000000-0005-0000-0000-0000DC050000}"/>
    <cellStyle name="Normale 37 2" xfId="683" xr:uid="{00000000-0005-0000-0000-0000DD050000}"/>
    <cellStyle name="Normale 37 2 2" xfId="13471" xr:uid="{D41DBB45-8DC4-4F81-824B-59F1F5733D8C}"/>
    <cellStyle name="Normale 37 2 3" xfId="26598" xr:uid="{AC2B8F44-4F90-4FDB-91F2-68548EB65937}"/>
    <cellStyle name="Normale 37 3" xfId="13208" xr:uid="{1B0CF4B2-DA42-4DBB-99C5-27C4626C65EC}"/>
    <cellStyle name="Normale 37 4" xfId="26597" xr:uid="{E9820BF5-1EF1-4EF0-90EB-0F5E1E0CA973}"/>
    <cellStyle name="Normale 38" xfId="684" xr:uid="{00000000-0005-0000-0000-0000DE050000}"/>
    <cellStyle name="Normale 38 2" xfId="685" xr:uid="{00000000-0005-0000-0000-0000DF050000}"/>
    <cellStyle name="Normale 38 2 2" xfId="13472" xr:uid="{A6567DD6-237A-4D16-B24D-19D3ACA329B4}"/>
    <cellStyle name="Normale 38 2 3" xfId="26600" xr:uid="{707A4CBC-46BD-455F-A918-A0CF12602BF6}"/>
    <cellStyle name="Normale 38 3" xfId="13209" xr:uid="{1F8620F4-E287-4365-982B-0B21840D3321}"/>
    <cellStyle name="Normale 38 4" xfId="26599" xr:uid="{EFEB3358-7E0A-4DBB-9A35-911AEB062C08}"/>
    <cellStyle name="Normale 39" xfId="686" xr:uid="{00000000-0005-0000-0000-0000E0050000}"/>
    <cellStyle name="Normale 39 2" xfId="687" xr:uid="{00000000-0005-0000-0000-0000E1050000}"/>
    <cellStyle name="Normale 39 2 2" xfId="13473" xr:uid="{9A8671F2-D800-4723-AAFA-D91C24A3BB1C}"/>
    <cellStyle name="Normale 39 2 3" xfId="26602" xr:uid="{F44DE2D0-C4BF-4D42-A65D-56FCA7468D42}"/>
    <cellStyle name="Normale 39 3" xfId="13210" xr:uid="{74C29E2E-D0C0-4AE3-8008-104904969037}"/>
    <cellStyle name="Normale 39 4" xfId="26601" xr:uid="{B546FA44-627B-4A5B-8E49-D19199274BDD}"/>
    <cellStyle name="Normale 4" xfId="688" xr:uid="{00000000-0005-0000-0000-0000E2050000}"/>
    <cellStyle name="Normale 4 2" xfId="689" xr:uid="{00000000-0005-0000-0000-0000E3050000}"/>
    <cellStyle name="Normale 4 2 2" xfId="690" xr:uid="{00000000-0005-0000-0000-0000E4050000}"/>
    <cellStyle name="Normale 4 2 2 2" xfId="13475" xr:uid="{F590C70F-1272-4F42-BB33-05BC383122C4}"/>
    <cellStyle name="Normale 4 2 2 3" xfId="26605" xr:uid="{D93B1EE2-7296-46EF-ACF5-E2958A3F4373}"/>
    <cellStyle name="Normale 4 2 3" xfId="13212" xr:uid="{46436C78-6CAA-4F93-8702-91091BC5AD92}"/>
    <cellStyle name="Normale 4 2 4" xfId="26604" xr:uid="{CC7AA46C-70ED-4593-B8EF-454875CBCF54}"/>
    <cellStyle name="Normale 4 3" xfId="691" xr:uid="{00000000-0005-0000-0000-0000E5050000}"/>
    <cellStyle name="Normale 4 3 2" xfId="692" xr:uid="{00000000-0005-0000-0000-0000E6050000}"/>
    <cellStyle name="Normale 4 3 2 2" xfId="13476" xr:uid="{CF203EDC-E6D4-46D1-B5FF-95284ECA3F2C}"/>
    <cellStyle name="Normale 4 3 2 3" xfId="26607" xr:uid="{E9D1B159-5FCD-4CC1-A765-F122041E8DEF}"/>
    <cellStyle name="Normale 4 3 3" xfId="13213" xr:uid="{FC2851AA-19C8-4400-BF1F-AB1551683FF2}"/>
    <cellStyle name="Normale 4 3 4" xfId="26606" xr:uid="{421C6C32-C814-42FB-9837-1AE8F1F95BB2}"/>
    <cellStyle name="Normale 4 4" xfId="693" xr:uid="{00000000-0005-0000-0000-0000E7050000}"/>
    <cellStyle name="Normale 4 4 2" xfId="13474" xr:uid="{5E576451-1E28-4DE1-A942-A9CA16E06697}"/>
    <cellStyle name="Normale 4 4 3" xfId="26608" xr:uid="{D016AB1D-8F53-42F9-8BBF-33D5A764804D}"/>
    <cellStyle name="Normale 4 5" xfId="13211" xr:uid="{04AA19F3-F320-401E-9208-D477D91BAA95}"/>
    <cellStyle name="Normale 4 6" xfId="26603" xr:uid="{DCBFD719-E43F-438F-8C94-B884CCD0B241}"/>
    <cellStyle name="Normale 4_EDEN industria 2008 rev" xfId="694" xr:uid="{00000000-0005-0000-0000-0000E8050000}"/>
    <cellStyle name="Normale 40" xfId="695" xr:uid="{00000000-0005-0000-0000-0000E9050000}"/>
    <cellStyle name="Normale 40 2" xfId="696" xr:uid="{00000000-0005-0000-0000-0000EA050000}"/>
    <cellStyle name="Normale 40 2 2" xfId="13477" xr:uid="{7F5C26D0-A35C-44CB-A44A-5A994D0346EA}"/>
    <cellStyle name="Normale 40 2 3" xfId="26610" xr:uid="{F53B8403-D06A-4DEA-9194-3AC9BA912FF0}"/>
    <cellStyle name="Normale 40 3" xfId="13214" xr:uid="{8B7FE2E9-85D5-46D4-A6F0-381E5372D3FA}"/>
    <cellStyle name="Normale 40 4" xfId="26609" xr:uid="{494264C1-60D2-4DBA-B77B-39727AABAE59}"/>
    <cellStyle name="Normale 41" xfId="697" xr:uid="{00000000-0005-0000-0000-0000EB050000}"/>
    <cellStyle name="Normale 41 2" xfId="698" xr:uid="{00000000-0005-0000-0000-0000EC050000}"/>
    <cellStyle name="Normale 41 2 2" xfId="13478" xr:uid="{7B2B4A0D-C9C3-4D91-AFA2-C3499553FCD0}"/>
    <cellStyle name="Normale 41 2 3" xfId="26612" xr:uid="{59402AF0-7CCB-4BB2-B960-F101E87BDA56}"/>
    <cellStyle name="Normale 41 3" xfId="13215" xr:uid="{51556CC9-DD63-4F68-995E-7B361F87E1B9}"/>
    <cellStyle name="Normale 41 4" xfId="26611" xr:uid="{D5504061-5FB6-4A90-9EEB-93F1596C75A3}"/>
    <cellStyle name="Normale 42" xfId="699" xr:uid="{00000000-0005-0000-0000-0000ED050000}"/>
    <cellStyle name="Normale 42 2" xfId="700" xr:uid="{00000000-0005-0000-0000-0000EE050000}"/>
    <cellStyle name="Normale 42 2 2" xfId="13479" xr:uid="{260413BA-CF84-446E-B242-B67A0ED72C09}"/>
    <cellStyle name="Normale 42 2 3" xfId="26614" xr:uid="{B3A0B1DF-8685-404E-8F1C-6A2ED32FECDC}"/>
    <cellStyle name="Normale 42 3" xfId="13216" xr:uid="{447CDD61-8ADF-49C0-8C50-2DA1B2FF409F}"/>
    <cellStyle name="Normale 42 4" xfId="26613" xr:uid="{0A244961-C325-4658-AF3D-C60C1B20D46C}"/>
    <cellStyle name="Normale 43" xfId="701" xr:uid="{00000000-0005-0000-0000-0000EF050000}"/>
    <cellStyle name="Normale 43 2" xfId="702" xr:uid="{00000000-0005-0000-0000-0000F0050000}"/>
    <cellStyle name="Normale 43 2 2" xfId="13480" xr:uid="{FE25C291-52CA-4B9F-A551-A449264CC5BD}"/>
    <cellStyle name="Normale 43 2 3" xfId="26616" xr:uid="{BE24CD83-9101-4016-996B-18015BB0D213}"/>
    <cellStyle name="Normale 43 3" xfId="13217" xr:uid="{D86B0AA1-0358-4887-9312-09F61CB0B690}"/>
    <cellStyle name="Normale 43 4" xfId="26615" xr:uid="{51DA3DD5-C6D7-418D-A2A0-858990C5771E}"/>
    <cellStyle name="Normale 44" xfId="703" xr:uid="{00000000-0005-0000-0000-0000F1050000}"/>
    <cellStyle name="Normale 44 2" xfId="704" xr:uid="{00000000-0005-0000-0000-0000F2050000}"/>
    <cellStyle name="Normale 44 2 2" xfId="13481" xr:uid="{591F5399-43AE-40DE-A54C-37BC48A93159}"/>
    <cellStyle name="Normale 44 2 3" xfId="26618" xr:uid="{0BBA10A7-1F13-4531-B97F-ABA3BB2E8527}"/>
    <cellStyle name="Normale 44 3" xfId="13218" xr:uid="{2F338E19-08AB-43FF-B642-771850C100B8}"/>
    <cellStyle name="Normale 44 4" xfId="26617" xr:uid="{FD379033-34FA-4B2E-A222-36865BDCAC49}"/>
    <cellStyle name="Normale 45" xfId="705" xr:uid="{00000000-0005-0000-0000-0000F3050000}"/>
    <cellStyle name="Normale 45 2" xfId="706" xr:uid="{00000000-0005-0000-0000-0000F4050000}"/>
    <cellStyle name="Normale 45 2 2" xfId="13482" xr:uid="{420A11D4-1D05-4E5B-8B46-AFC41C87CAA7}"/>
    <cellStyle name="Normale 45 2 3" xfId="26620" xr:uid="{6E5DEDE9-8909-42BE-BF42-C6D405A1724A}"/>
    <cellStyle name="Normale 45 3" xfId="13219" xr:uid="{B247D582-9AAD-403E-88A5-DC00FB7460C7}"/>
    <cellStyle name="Normale 45 4" xfId="26619" xr:uid="{5E57785E-CEE1-459F-BF16-2060B73D042F}"/>
    <cellStyle name="Normale 46" xfId="707" xr:uid="{00000000-0005-0000-0000-0000F5050000}"/>
    <cellStyle name="Normale 46 2" xfId="708" xr:uid="{00000000-0005-0000-0000-0000F6050000}"/>
    <cellStyle name="Normale 46 2 2" xfId="13483" xr:uid="{BDEF8E50-3275-4E09-B180-7E89C0514CBF}"/>
    <cellStyle name="Normale 46 2 3" xfId="26622" xr:uid="{F7C5C21F-2D14-4431-956B-D08AC78EF4D4}"/>
    <cellStyle name="Normale 46 3" xfId="13220" xr:uid="{C00EEB14-A10E-498D-8C63-8615B972D92D}"/>
    <cellStyle name="Normale 46 4" xfId="26621" xr:uid="{F2B061E2-F4D2-4981-9595-656CBF83610B}"/>
    <cellStyle name="Normale 47" xfId="709" xr:uid="{00000000-0005-0000-0000-0000F7050000}"/>
    <cellStyle name="Normale 47 2" xfId="710" xr:uid="{00000000-0005-0000-0000-0000F8050000}"/>
    <cellStyle name="Normale 47 2 2" xfId="13484" xr:uid="{2331FB6B-AC39-4E28-9ECF-58862BFBF721}"/>
    <cellStyle name="Normale 47 2 3" xfId="26624" xr:uid="{015EBC96-081C-43CB-A2C5-5D2083A54FC3}"/>
    <cellStyle name="Normale 47 3" xfId="13221" xr:uid="{CB9DDA30-E822-4CD8-B232-C8B834AA8580}"/>
    <cellStyle name="Normale 47 4" xfId="26623" xr:uid="{FC854A77-5616-4776-AE52-9875C3B609DA}"/>
    <cellStyle name="Normale 48" xfId="711" xr:uid="{00000000-0005-0000-0000-0000F9050000}"/>
    <cellStyle name="Normale 48 2" xfId="712" xr:uid="{00000000-0005-0000-0000-0000FA050000}"/>
    <cellStyle name="Normale 48 2 2" xfId="13485" xr:uid="{4E2D3CA8-4636-4FD0-B93C-40338977A4D6}"/>
    <cellStyle name="Normale 48 2 3" xfId="26626" xr:uid="{4C9F14AB-9816-49E1-A4A1-7DEF8484E313}"/>
    <cellStyle name="Normale 48 3" xfId="13222" xr:uid="{D8E67EA3-71B1-41B5-A571-2283C7294099}"/>
    <cellStyle name="Normale 48 4" xfId="26625" xr:uid="{00233539-FE60-4286-B3BF-3C9929C5A429}"/>
    <cellStyle name="Normale 49" xfId="713" xr:uid="{00000000-0005-0000-0000-0000FB050000}"/>
    <cellStyle name="Normale 49 2" xfId="714" xr:uid="{00000000-0005-0000-0000-0000FC050000}"/>
    <cellStyle name="Normale 49 2 2" xfId="13486" xr:uid="{221B7582-5024-47C4-B397-53E9523F04BB}"/>
    <cellStyle name="Normale 49 2 3" xfId="26628" xr:uid="{570F714E-4C12-4498-849D-964F08A35610}"/>
    <cellStyle name="Normale 49 3" xfId="13223" xr:uid="{3223E72B-9C28-4D27-9690-590392A2DC26}"/>
    <cellStyle name="Normale 49 4" xfId="26627" xr:uid="{83F89BEE-EEEB-4EAF-832D-E50A8B70F9EA}"/>
    <cellStyle name="Normale 5" xfId="715" xr:uid="{00000000-0005-0000-0000-0000FD050000}"/>
    <cellStyle name="Normale 5 2" xfId="716" xr:uid="{00000000-0005-0000-0000-0000FE050000}"/>
    <cellStyle name="Normale 5 2 2" xfId="717" xr:uid="{00000000-0005-0000-0000-0000FF050000}"/>
    <cellStyle name="Normale 5 2 2 2" xfId="13488" xr:uid="{8D04A784-10DE-41ED-ACE7-69FF2DCBE52B}"/>
    <cellStyle name="Normale 5 2 2 3" xfId="26631" xr:uid="{CCEC3E95-3FBD-4FDD-B547-D05DD8F1C4DB}"/>
    <cellStyle name="Normale 5 2 3" xfId="13225" xr:uid="{04BEEB42-892A-456B-B0A9-7CF60F5FFBEA}"/>
    <cellStyle name="Normale 5 2 4" xfId="26630" xr:uid="{C571386B-9A81-4C38-89D0-CE5AC587A5D9}"/>
    <cellStyle name="Normale 5 3" xfId="718" xr:uid="{00000000-0005-0000-0000-000000060000}"/>
    <cellStyle name="Normale 5 3 2" xfId="719" xr:uid="{00000000-0005-0000-0000-000001060000}"/>
    <cellStyle name="Normale 5 3 2 2" xfId="13489" xr:uid="{75B5FF28-DC4B-4E1C-B694-9CF85AB5BE42}"/>
    <cellStyle name="Normale 5 3 2 3" xfId="26633" xr:uid="{6E4C05AE-C585-43E9-9902-461892D1F772}"/>
    <cellStyle name="Normale 5 3 3" xfId="13226" xr:uid="{7710BD57-51CE-4CB8-BBC8-B87DFC7DC6E9}"/>
    <cellStyle name="Normale 5 3 4" xfId="26632" xr:uid="{8A6821B3-4895-49E9-9511-9AD566926758}"/>
    <cellStyle name="Normale 5 4" xfId="720" xr:uid="{00000000-0005-0000-0000-000002060000}"/>
    <cellStyle name="Normale 5 4 2" xfId="13487" xr:uid="{403A58D7-8FCF-4A91-B9B2-762D708383EE}"/>
    <cellStyle name="Normale 5 4 3" xfId="26634" xr:uid="{1E0AA705-082C-4844-A626-5CA6EABABE8F}"/>
    <cellStyle name="Normale 5 5" xfId="13224" xr:uid="{C826482C-894C-4020-8801-20598B716A5E}"/>
    <cellStyle name="Normale 5 6" xfId="26629" xr:uid="{1E069F9C-BFF7-405A-AE0F-56CEA4A6128B}"/>
    <cellStyle name="Normale 5_EDEN industria 2008 rev" xfId="721" xr:uid="{00000000-0005-0000-0000-000003060000}"/>
    <cellStyle name="Normale 50" xfId="722" xr:uid="{00000000-0005-0000-0000-000004060000}"/>
    <cellStyle name="Normale 50 2" xfId="723" xr:uid="{00000000-0005-0000-0000-000005060000}"/>
    <cellStyle name="Normale 50 2 2" xfId="13490" xr:uid="{330A4027-4058-46AE-B900-F886C66FC741}"/>
    <cellStyle name="Normale 50 2 3" xfId="26636" xr:uid="{BE276201-9BB5-4612-A086-690212E65F45}"/>
    <cellStyle name="Normale 50 3" xfId="13227" xr:uid="{07A6FE91-0915-4884-B4A1-545DAC3D09EC}"/>
    <cellStyle name="Normale 50 4" xfId="26635" xr:uid="{9305BDBD-9191-4318-9C9A-3CD09EE82925}"/>
    <cellStyle name="Normale 51" xfId="724" xr:uid="{00000000-0005-0000-0000-000006060000}"/>
    <cellStyle name="Normale 51 2" xfId="725" xr:uid="{00000000-0005-0000-0000-000007060000}"/>
    <cellStyle name="Normale 51 2 2" xfId="13491" xr:uid="{DC7FDAD1-EE6B-4637-8362-227352A2CB1E}"/>
    <cellStyle name="Normale 51 2 3" xfId="26638" xr:uid="{00231BC9-835E-4AAB-84D0-4DA15BC35F77}"/>
    <cellStyle name="Normale 51 3" xfId="13228" xr:uid="{4C561223-633A-415F-BD5D-741189D6B129}"/>
    <cellStyle name="Normale 51 4" xfId="26637" xr:uid="{0E4FF3F7-DFBF-43AF-8902-4C33EFC15B98}"/>
    <cellStyle name="Normale 52" xfId="726" xr:uid="{00000000-0005-0000-0000-000008060000}"/>
    <cellStyle name="Normale 52 2" xfId="727" xr:uid="{00000000-0005-0000-0000-000009060000}"/>
    <cellStyle name="Normale 52 2 2" xfId="13492" xr:uid="{EBBCE616-B87D-41E5-B7B3-179CCB59670D}"/>
    <cellStyle name="Normale 52 2 3" xfId="26640" xr:uid="{645A77CA-64B4-472E-94D2-44D100026721}"/>
    <cellStyle name="Normale 52 3" xfId="13229" xr:uid="{B957CE43-648D-4895-8DE6-4ECB8DF15C03}"/>
    <cellStyle name="Normale 52 4" xfId="26639" xr:uid="{A388E880-18E7-4AC8-84D5-8ADA4EA61B2A}"/>
    <cellStyle name="Normale 53" xfId="728" xr:uid="{00000000-0005-0000-0000-00000A060000}"/>
    <cellStyle name="Normale 53 2" xfId="729" xr:uid="{00000000-0005-0000-0000-00000B060000}"/>
    <cellStyle name="Normale 53 2 2" xfId="13493" xr:uid="{8838C5E5-3C24-482E-A2A0-36239DB40844}"/>
    <cellStyle name="Normale 53 2 3" xfId="26642" xr:uid="{14F8EDAE-4B9B-4BBC-A95F-9E60FFEF9202}"/>
    <cellStyle name="Normale 53 3" xfId="13230" xr:uid="{DA7F9812-9AD7-46D1-BF4D-E6BE0F3D868D}"/>
    <cellStyle name="Normale 53 4" xfId="26641" xr:uid="{B4DCA91C-5C3C-4188-8357-463448989F0B}"/>
    <cellStyle name="Normale 54" xfId="730" xr:uid="{00000000-0005-0000-0000-00000C060000}"/>
    <cellStyle name="Normale 54 2" xfId="731" xr:uid="{00000000-0005-0000-0000-00000D060000}"/>
    <cellStyle name="Normale 54 2 2" xfId="13494" xr:uid="{D62A902D-3311-483F-82B6-D3DDC87C5EAF}"/>
    <cellStyle name="Normale 54 2 3" xfId="26644" xr:uid="{3C9D1953-9A02-4314-B7AB-B46B1E3E0E9F}"/>
    <cellStyle name="Normale 54 3" xfId="13231" xr:uid="{03A6CA82-261A-4353-BA38-FBB94BDF92DA}"/>
    <cellStyle name="Normale 54 4" xfId="26643" xr:uid="{D30A2773-21FF-493A-AC64-F27C49FD2867}"/>
    <cellStyle name="Normale 55" xfId="732" xr:uid="{00000000-0005-0000-0000-00000E060000}"/>
    <cellStyle name="Normale 55 2" xfId="733" xr:uid="{00000000-0005-0000-0000-00000F060000}"/>
    <cellStyle name="Normale 55 2 2" xfId="13495" xr:uid="{92AB5C51-BA00-4A0F-879A-262D90239856}"/>
    <cellStyle name="Normale 55 2 3" xfId="26646" xr:uid="{B7968E9B-B8C3-41FC-B15A-75FCEF093D58}"/>
    <cellStyle name="Normale 55 3" xfId="13232" xr:uid="{5D5F3DB1-BEF8-45D4-8AC2-D52D7E0705EF}"/>
    <cellStyle name="Normale 55 4" xfId="26645" xr:uid="{49853305-EA00-45A6-9847-287B605567C1}"/>
    <cellStyle name="Normale 56" xfId="734" xr:uid="{00000000-0005-0000-0000-000010060000}"/>
    <cellStyle name="Normale 56 2" xfId="735" xr:uid="{00000000-0005-0000-0000-000011060000}"/>
    <cellStyle name="Normale 56 2 2" xfId="13496" xr:uid="{D57E23FC-E656-4FC9-AEA3-1BAF420877F8}"/>
    <cellStyle name="Normale 56 2 3" xfId="26648" xr:uid="{5CD9B61F-7239-48E8-A5D0-AD7E703742E9}"/>
    <cellStyle name="Normale 56 3" xfId="13233" xr:uid="{76EBB083-8FEE-48A5-8F27-D82A3B982658}"/>
    <cellStyle name="Normale 56 4" xfId="26647" xr:uid="{5851B607-FCE1-4401-BA91-567778B3DD25}"/>
    <cellStyle name="Normale 57" xfId="736" xr:uid="{00000000-0005-0000-0000-000012060000}"/>
    <cellStyle name="Normale 57 2" xfId="737" xr:uid="{00000000-0005-0000-0000-000013060000}"/>
    <cellStyle name="Normale 57 2 2" xfId="13497" xr:uid="{8100225D-9F66-4197-BB3B-600E1F4050CA}"/>
    <cellStyle name="Normale 57 2 3" xfId="26650" xr:uid="{AA94115A-1F67-439B-B327-401EC7674CEC}"/>
    <cellStyle name="Normale 57 3" xfId="13234" xr:uid="{679841F2-7761-4DE5-954A-A50FDCF05FB0}"/>
    <cellStyle name="Normale 57 4" xfId="26649" xr:uid="{0B87B7F3-63F2-478E-9A43-3F174BD85033}"/>
    <cellStyle name="Normale 58" xfId="738" xr:uid="{00000000-0005-0000-0000-000014060000}"/>
    <cellStyle name="Normale 58 2" xfId="739" xr:uid="{00000000-0005-0000-0000-000015060000}"/>
    <cellStyle name="Normale 58 2 2" xfId="13498" xr:uid="{37F14728-C790-4D2A-ACAC-F0BCC3B9B059}"/>
    <cellStyle name="Normale 58 2 3" xfId="26652" xr:uid="{5C3F5FC6-E2D5-4A78-B8E0-A45A4BBEEE90}"/>
    <cellStyle name="Normale 58 3" xfId="13235" xr:uid="{FAAEE55B-70CD-4FC1-B220-48C5E3A2882F}"/>
    <cellStyle name="Normale 58 4" xfId="26651" xr:uid="{A8085905-1835-46DB-A372-8CA1A5F6B7DE}"/>
    <cellStyle name="Normale 59" xfId="740" xr:uid="{00000000-0005-0000-0000-000016060000}"/>
    <cellStyle name="Normale 59 2" xfId="741" xr:uid="{00000000-0005-0000-0000-000017060000}"/>
    <cellStyle name="Normale 59 2 2" xfId="13499" xr:uid="{7694778A-C900-42FE-B0FF-FC36DA974273}"/>
    <cellStyle name="Normale 59 2 3" xfId="26654" xr:uid="{FDA36CBB-757A-4BAA-BDBE-CA207EB9E1F3}"/>
    <cellStyle name="Normale 59 3" xfId="13236" xr:uid="{9A0FFC13-A8B0-4BD3-955C-B93EC50496D1}"/>
    <cellStyle name="Normale 59 4" xfId="26653" xr:uid="{2618A925-B9D7-4F4C-B2DB-7E1D6F4A3BF5}"/>
    <cellStyle name="Normale 6" xfId="742" xr:uid="{00000000-0005-0000-0000-000018060000}"/>
    <cellStyle name="Normale 6 2" xfId="743" xr:uid="{00000000-0005-0000-0000-000019060000}"/>
    <cellStyle name="Normale 6 2 2" xfId="744" xr:uid="{00000000-0005-0000-0000-00001A060000}"/>
    <cellStyle name="Normale 6 2 2 2" xfId="13501" xr:uid="{23637299-61F3-43A1-A0E3-66814ED5C94C}"/>
    <cellStyle name="Normale 6 2 2 3" xfId="26657" xr:uid="{D75EFE8A-9EEE-4E16-A470-ED4D302387B3}"/>
    <cellStyle name="Normale 6 2 3" xfId="13238" xr:uid="{90D26A6F-4B8E-43D0-B19F-266DF5A24ACC}"/>
    <cellStyle name="Normale 6 2 4" xfId="26656" xr:uid="{DEBCFE88-3D6A-4F30-B542-09983819A368}"/>
    <cellStyle name="Normale 6 3" xfId="745" xr:uid="{00000000-0005-0000-0000-00001B060000}"/>
    <cellStyle name="Normale 6 3 2" xfId="746" xr:uid="{00000000-0005-0000-0000-00001C060000}"/>
    <cellStyle name="Normale 6 3 2 2" xfId="13502" xr:uid="{0A18FCA2-8122-42A1-B040-922F49A22CC5}"/>
    <cellStyle name="Normale 6 3 2 3" xfId="26659" xr:uid="{CB201946-EFDC-461F-BB4E-E8CABA85612A}"/>
    <cellStyle name="Normale 6 3 3" xfId="13239" xr:uid="{53B5C6C1-8392-4CE1-AE92-C7B280B88277}"/>
    <cellStyle name="Normale 6 3 4" xfId="26658" xr:uid="{11F9A046-FB61-49C4-AF29-269CC1B7824E}"/>
    <cellStyle name="Normale 6 4" xfId="747" xr:uid="{00000000-0005-0000-0000-00001D060000}"/>
    <cellStyle name="Normale 6 4 2" xfId="13500" xr:uid="{BC6BE46F-92C9-4D7B-939F-07B8BF5AB7FB}"/>
    <cellStyle name="Normale 6 4 3" xfId="26660" xr:uid="{0E9B995E-C7F1-425A-8C1B-73C73D5C3B52}"/>
    <cellStyle name="Normale 6 5" xfId="13237" xr:uid="{2AEECFC7-B94F-479B-83C7-952ACE8A6023}"/>
    <cellStyle name="Normale 6 6" xfId="26655" xr:uid="{0CC986AF-BC33-421B-8134-59F823881FB5}"/>
    <cellStyle name="Normale 6_EDEN industria 2008 rev" xfId="748" xr:uid="{00000000-0005-0000-0000-00001E060000}"/>
    <cellStyle name="Normale 60" xfId="749" xr:uid="{00000000-0005-0000-0000-00001F060000}"/>
    <cellStyle name="Normale 60 2" xfId="750" xr:uid="{00000000-0005-0000-0000-000020060000}"/>
    <cellStyle name="Normale 60 2 2" xfId="13503" xr:uid="{CD903034-8011-4EED-BAA7-64BEF015DF72}"/>
    <cellStyle name="Normale 60 2 3" xfId="26662" xr:uid="{7A49EFF3-C5E0-421B-A898-29BD09F53726}"/>
    <cellStyle name="Normale 60 3" xfId="13240" xr:uid="{8E49CA04-DCAE-43B4-9A56-25B99A8A8F36}"/>
    <cellStyle name="Normale 60 4" xfId="26661" xr:uid="{93E29BF5-115C-402F-A2AB-9BF1A0F64A24}"/>
    <cellStyle name="Normale 61" xfId="751" xr:uid="{00000000-0005-0000-0000-000021060000}"/>
    <cellStyle name="Normale 61 2" xfId="752" xr:uid="{00000000-0005-0000-0000-000022060000}"/>
    <cellStyle name="Normale 61 2 2" xfId="13504" xr:uid="{3B1D6171-E077-445E-B238-A662014E920B}"/>
    <cellStyle name="Normale 61 2 3" xfId="26664" xr:uid="{050AFDB1-4634-4A69-8FD2-AE7E0BC1A721}"/>
    <cellStyle name="Normale 61 3" xfId="13241" xr:uid="{DF93C380-F5A8-4109-A824-EA874CA0B635}"/>
    <cellStyle name="Normale 61 4" xfId="26663" xr:uid="{B6843D0D-9EC3-480B-BE15-E61885BEEAC3}"/>
    <cellStyle name="Normale 62" xfId="753" xr:uid="{00000000-0005-0000-0000-000023060000}"/>
    <cellStyle name="Normale 62 2" xfId="754" xr:uid="{00000000-0005-0000-0000-000024060000}"/>
    <cellStyle name="Normale 62 2 2" xfId="13505" xr:uid="{8EC4782A-76ED-40D9-B574-EB1745EB52FF}"/>
    <cellStyle name="Normale 62 2 3" xfId="26666" xr:uid="{5616E69A-A4D2-467A-B99B-6BA2D6DF07CA}"/>
    <cellStyle name="Normale 62 3" xfId="13242" xr:uid="{808B16E4-57C0-4231-8CBB-EA7825D69179}"/>
    <cellStyle name="Normale 62 4" xfId="26665" xr:uid="{4688096E-0065-4122-B780-042A08748171}"/>
    <cellStyle name="Normale 63" xfId="755" xr:uid="{00000000-0005-0000-0000-000025060000}"/>
    <cellStyle name="Normale 63 2" xfId="756" xr:uid="{00000000-0005-0000-0000-000026060000}"/>
    <cellStyle name="Normale 63 2 2" xfId="13506" xr:uid="{82F22B25-53BA-4334-9034-3F113A73B044}"/>
    <cellStyle name="Normale 63 2 3" xfId="26668" xr:uid="{1D7B3264-2147-4BC7-BFC5-7939A5B1258B}"/>
    <cellStyle name="Normale 63 3" xfId="13243" xr:uid="{35AD0FB8-8CD3-427E-B3EC-3009FB8E4EE4}"/>
    <cellStyle name="Normale 63 4" xfId="26667" xr:uid="{C8F0C85C-ADBC-489E-A3AF-44BE81F3AB59}"/>
    <cellStyle name="Normale 64" xfId="757" xr:uid="{00000000-0005-0000-0000-000027060000}"/>
    <cellStyle name="Normale 64 2" xfId="758" xr:uid="{00000000-0005-0000-0000-000028060000}"/>
    <cellStyle name="Normale 64 2 2" xfId="13507" xr:uid="{A7E7D7BA-2A2D-41B4-B686-25962F3BB9ED}"/>
    <cellStyle name="Normale 64 2 3" xfId="26670" xr:uid="{FF396A60-8D44-4FA0-8760-614F534B9D65}"/>
    <cellStyle name="Normale 64 3" xfId="13244" xr:uid="{EEDC1192-D15F-46C4-8B5A-605402FE735E}"/>
    <cellStyle name="Normale 64 4" xfId="26669" xr:uid="{767612A6-840B-47FF-A091-000A184F0D2E}"/>
    <cellStyle name="Normale 65" xfId="759" xr:uid="{00000000-0005-0000-0000-000029060000}"/>
    <cellStyle name="Normale 65 2" xfId="760" xr:uid="{00000000-0005-0000-0000-00002A060000}"/>
    <cellStyle name="Normale 65 2 2" xfId="13508" xr:uid="{3E049862-8BA0-44E8-9F42-9CE3228BC978}"/>
    <cellStyle name="Normale 65 2 3" xfId="26672" xr:uid="{4699D664-7761-4BC4-8D95-4563F11FB602}"/>
    <cellStyle name="Normale 65 3" xfId="13245" xr:uid="{30F72BAC-E6C4-443A-A67A-7B19395CCF98}"/>
    <cellStyle name="Normale 65 4" xfId="26671" xr:uid="{90A3B9AC-3637-4DCC-B0BB-C40CCC07887F}"/>
    <cellStyle name="Normale 7" xfId="761" xr:uid="{00000000-0005-0000-0000-00002B060000}"/>
    <cellStyle name="Normale 7 2" xfId="762" xr:uid="{00000000-0005-0000-0000-00002C060000}"/>
    <cellStyle name="Normale 7 2 2" xfId="763" xr:uid="{00000000-0005-0000-0000-00002D060000}"/>
    <cellStyle name="Normale 7 2 2 2" xfId="13510" xr:uid="{4AA6D427-35D4-4C4A-99E7-A56C00887211}"/>
    <cellStyle name="Normale 7 2 2 3" xfId="26675" xr:uid="{FA38BE2A-7973-4C8A-83C4-5AAF02F15842}"/>
    <cellStyle name="Normale 7 2 3" xfId="13247" xr:uid="{63D06842-063F-4A70-9131-C48E31119C5D}"/>
    <cellStyle name="Normale 7 2 4" xfId="26674" xr:uid="{72AC0559-C485-4D9E-B3B9-B5DC2BC7A14B}"/>
    <cellStyle name="Normale 7 3" xfId="764" xr:uid="{00000000-0005-0000-0000-00002E060000}"/>
    <cellStyle name="Normale 7 3 2" xfId="765" xr:uid="{00000000-0005-0000-0000-00002F060000}"/>
    <cellStyle name="Normale 7 3 2 2" xfId="13511" xr:uid="{462257A5-CE34-4319-B1F2-320AE8D4A8DD}"/>
    <cellStyle name="Normale 7 3 2 3" xfId="26677" xr:uid="{07047716-0616-418B-B6EF-51DD46555977}"/>
    <cellStyle name="Normale 7 3 3" xfId="13248" xr:uid="{809CB64F-D444-4D65-A0A0-B1B70160917D}"/>
    <cellStyle name="Normale 7 3 4" xfId="26676" xr:uid="{D76DC9BA-893F-4DAA-955D-780C63AA541A}"/>
    <cellStyle name="Normale 7 4" xfId="766" xr:uid="{00000000-0005-0000-0000-000030060000}"/>
    <cellStyle name="Normale 7 4 2" xfId="13509" xr:uid="{EC5D3C1D-1745-4D1F-8061-5A19772FE9F6}"/>
    <cellStyle name="Normale 7 4 3" xfId="26678" xr:uid="{F60E4C47-C215-4769-8649-79D0CD0D134B}"/>
    <cellStyle name="Normale 7 5" xfId="13246" xr:uid="{5C554234-610C-4FDB-B5EC-1D7B1E926A23}"/>
    <cellStyle name="Normale 7 6" xfId="26673" xr:uid="{E9351115-4E59-4198-A5B7-0C749D4DD1DC}"/>
    <cellStyle name="Normale 7_EDEN industria 2008 rev" xfId="767" xr:uid="{00000000-0005-0000-0000-000031060000}"/>
    <cellStyle name="Normale 8" xfId="768" xr:uid="{00000000-0005-0000-0000-000032060000}"/>
    <cellStyle name="Normale 8 2" xfId="769" xr:uid="{00000000-0005-0000-0000-000033060000}"/>
    <cellStyle name="Normale 8 2 2" xfId="770" xr:uid="{00000000-0005-0000-0000-000034060000}"/>
    <cellStyle name="Normale 8 2 2 2" xfId="13513" xr:uid="{ECDA71A5-010C-48E0-936B-416A85258921}"/>
    <cellStyle name="Normale 8 2 2 3" xfId="26681" xr:uid="{CD16C241-39C5-4995-A566-A7EA67E5E28F}"/>
    <cellStyle name="Normale 8 2 3" xfId="13250" xr:uid="{F6953B84-F527-43FA-BD2B-7E55BDA66F70}"/>
    <cellStyle name="Normale 8 2 4" xfId="26680" xr:uid="{23B5C6D1-6107-4244-BDAF-4AC8AA002A92}"/>
    <cellStyle name="Normale 8 3" xfId="771" xr:uid="{00000000-0005-0000-0000-000035060000}"/>
    <cellStyle name="Normale 8 3 2" xfId="772" xr:uid="{00000000-0005-0000-0000-000036060000}"/>
    <cellStyle name="Normale 8 3 2 2" xfId="13514" xr:uid="{D1FD96E8-CB85-4973-A87D-818B9056CEE4}"/>
    <cellStyle name="Normale 8 3 2 3" xfId="26683" xr:uid="{D74F93A8-5195-4066-A432-00D896C6E0D8}"/>
    <cellStyle name="Normale 8 3 3" xfId="13251" xr:uid="{906E6ADA-8BBA-46CC-9084-4B3D540A4717}"/>
    <cellStyle name="Normale 8 3 4" xfId="26682" xr:uid="{632094EB-D509-435A-9270-6DECB005E4D2}"/>
    <cellStyle name="Normale 8 4" xfId="773" xr:uid="{00000000-0005-0000-0000-000037060000}"/>
    <cellStyle name="Normale 8 4 2" xfId="13512" xr:uid="{FBBE6D52-311E-43D7-8C0A-B2201B60B1B0}"/>
    <cellStyle name="Normale 8 4 3" xfId="26684" xr:uid="{52CBCD97-1ED4-4D7A-AB9C-B363B15E0EB9}"/>
    <cellStyle name="Normale 8 5" xfId="13249" xr:uid="{D945D9A3-1F2C-4638-B96D-BA6EC9CD2269}"/>
    <cellStyle name="Normale 8 6" xfId="26679" xr:uid="{7CE9BC07-1F23-4990-A43D-F59B16E1F266}"/>
    <cellStyle name="Normale 8_EDEN industria 2008 rev" xfId="774" xr:uid="{00000000-0005-0000-0000-000038060000}"/>
    <cellStyle name="Normale 9" xfId="775" xr:uid="{00000000-0005-0000-0000-000039060000}"/>
    <cellStyle name="Normale 9 2" xfId="776" xr:uid="{00000000-0005-0000-0000-00003A060000}"/>
    <cellStyle name="Normale 9 2 2" xfId="777" xr:uid="{00000000-0005-0000-0000-00003B060000}"/>
    <cellStyle name="Normale 9 2 2 2" xfId="13516" xr:uid="{18236570-8E28-425E-95C9-6F37E58357DE}"/>
    <cellStyle name="Normale 9 2 2 3" xfId="26687" xr:uid="{DCE445A9-42BE-4949-80B8-197E158BF5A8}"/>
    <cellStyle name="Normale 9 2 3" xfId="13253" xr:uid="{3F2AEBA2-D101-469D-A155-E419D2A493E2}"/>
    <cellStyle name="Normale 9 2 4" xfId="26686" xr:uid="{2E4BA16B-CD62-4A65-B2A9-9F2E0AEC2856}"/>
    <cellStyle name="Normale 9 3" xfId="778" xr:uid="{00000000-0005-0000-0000-00003C060000}"/>
    <cellStyle name="Normale 9 3 2" xfId="779" xr:uid="{00000000-0005-0000-0000-00003D060000}"/>
    <cellStyle name="Normale 9 3 2 2" xfId="13517" xr:uid="{A4758B9C-1133-4C9F-833E-1C9716CF4B1A}"/>
    <cellStyle name="Normale 9 3 2 3" xfId="26689" xr:uid="{0762319C-789C-444D-A19A-72213EC99B2E}"/>
    <cellStyle name="Normale 9 3 3" xfId="13254" xr:uid="{B6AD9C70-BCDA-4883-A9D6-865F6B23CDAF}"/>
    <cellStyle name="Normale 9 3 4" xfId="26688" xr:uid="{3CCB2BB5-B789-4F76-A5FB-1CE85261139F}"/>
    <cellStyle name="Normale 9 4" xfId="780" xr:uid="{00000000-0005-0000-0000-00003E060000}"/>
    <cellStyle name="Normale 9 4 2" xfId="13515" xr:uid="{96AF77B0-AA0D-47D1-999F-42091EDFC4BD}"/>
    <cellStyle name="Normale 9 4 3" xfId="26690" xr:uid="{3A7AB1E5-72ED-4320-811D-27241223C1B5}"/>
    <cellStyle name="Normale 9 5" xfId="13252" xr:uid="{3EC5706B-2B75-4D6E-9527-97E9D93F88E9}"/>
    <cellStyle name="Normale 9 6" xfId="26685" xr:uid="{51519371-6BBF-4B6E-8569-40ACFD562EFC}"/>
    <cellStyle name="Normale 9_EDEN industria 2008 rev" xfId="781" xr:uid="{00000000-0005-0000-0000-00003F060000}"/>
    <cellStyle name="Normale_B2020" xfId="782" xr:uid="{00000000-0005-0000-0000-000040060000}"/>
    <cellStyle name="Nota" xfId="783" xr:uid="{00000000-0005-0000-0000-000041060000}"/>
    <cellStyle name="Nota 10" xfId="9232" xr:uid="{17604FBB-0533-42AF-8385-274CE8EF9671}"/>
    <cellStyle name="Nota 10 2" xfId="26692" xr:uid="{D1E1B6F1-03D3-4620-9BB4-2AFB92CAF242}"/>
    <cellStyle name="Nota 11" xfId="26691" xr:uid="{952B7A6A-215C-492A-9215-FFFE9DDCFA0B}"/>
    <cellStyle name="Nota 2" xfId="784" xr:uid="{00000000-0005-0000-0000-000042060000}"/>
    <cellStyle name="Nota 2 2" xfId="2070" xr:uid="{00000000-0005-0000-0000-000043060000}"/>
    <cellStyle name="Nota 2 2 2" xfId="13518" xr:uid="{1F71E99E-FDB1-4671-AD7B-0C935F9CD678}"/>
    <cellStyle name="Nota 2 2 2 2" xfId="19037" xr:uid="{71FC2C49-5FA9-4B8B-B04E-6BC8F82B8A83}"/>
    <cellStyle name="Nota 2 2 3" xfId="17710" xr:uid="{A1DC160B-A197-41C0-858C-CC92A5A47BF1}"/>
    <cellStyle name="Nota 2 2 4" xfId="26694" xr:uid="{DA5E8CCE-2E23-4570-8466-C473B01E4337}"/>
    <cellStyle name="Nota 2 3" xfId="9233" xr:uid="{7575769A-D1A9-42DC-AA59-45745CB90D93}"/>
    <cellStyle name="Nota 2 3 2" xfId="18625" xr:uid="{E5801005-2221-4E10-9606-18DF0FEFB912}"/>
    <cellStyle name="Nota 2 3 3" xfId="26695" xr:uid="{719E3BC8-FA75-45A4-9218-98EEED09DE91}"/>
    <cellStyle name="Nota 2 4" xfId="9234" xr:uid="{CA99AD1C-5A50-4D5E-8F68-B652326DA694}"/>
    <cellStyle name="Nota 2 4 2" xfId="26696" xr:uid="{8191615F-E1C9-40C1-B708-3B503A0E0091}"/>
    <cellStyle name="Nota 2 5" xfId="9235" xr:uid="{5A9D2A33-B521-45FB-824F-3369B83D1BFB}"/>
    <cellStyle name="Nota 2 5 2" xfId="26697" xr:uid="{AD2CF813-8DE3-42BF-AEE1-325C431F3004}"/>
    <cellStyle name="Nota 2 6" xfId="9236" xr:uid="{1D167E10-5408-4F68-8D3C-66D64B15804A}"/>
    <cellStyle name="Nota 2 6 2" xfId="26698" xr:uid="{F9CEB985-BEA3-4EF8-86F9-0351CBC83BF0}"/>
    <cellStyle name="Nota 2 7" xfId="26693" xr:uid="{A795E788-9130-45D0-863E-D625FE7A3EF5}"/>
    <cellStyle name="Nota 3" xfId="785" xr:uid="{00000000-0005-0000-0000-000044060000}"/>
    <cellStyle name="Nota 3 2" xfId="786" xr:uid="{00000000-0005-0000-0000-000045060000}"/>
    <cellStyle name="Nota 3 2 2" xfId="2071" xr:uid="{00000000-0005-0000-0000-000046060000}"/>
    <cellStyle name="Nota 3 2 2 2" xfId="2072" xr:uid="{00000000-0005-0000-0000-000047060000}"/>
    <cellStyle name="Nota 3 2 2 2 2" xfId="17844" xr:uid="{7A81B047-270C-4E49-AC07-3CFDBEE31E91}"/>
    <cellStyle name="Nota 3 2 2 2 3" xfId="26702" xr:uid="{76779240-1689-41A6-9A9E-CD9AA7F42E28}"/>
    <cellStyle name="Nota 3 2 2 3" xfId="17712" xr:uid="{F978474E-0BAF-45EE-92D8-71A57A631A5D}"/>
    <cellStyle name="Nota 3 2 2 4" xfId="26701" xr:uid="{C440A37F-1CDD-4309-9890-37C4782494D2}"/>
    <cellStyle name="Nota 3 2 3" xfId="2073" xr:uid="{00000000-0005-0000-0000-000048060000}"/>
    <cellStyle name="Nota 3 2 3 2" xfId="14072" xr:uid="{19E015DD-216D-42D3-89F4-5A7CD0DCEBC0}"/>
    <cellStyle name="Nota 3 2 3 2 2" xfId="26704" xr:uid="{DFD72275-BDD2-450E-80DB-9156A129820F}"/>
    <cellStyle name="Nota 3 2 3 3" xfId="17845" xr:uid="{D70A0E09-CE77-49E9-B475-509B31D730C0}"/>
    <cellStyle name="Nota 3 2 3 4" xfId="26703" xr:uid="{951468D8-B1DE-433D-AACE-1EA984F0D8AE}"/>
    <cellStyle name="Nota 3 2 3 5" xfId="48977" xr:uid="{CAC5C9AB-E216-4797-8FB3-4DD712CDD3B5}"/>
    <cellStyle name="Nota 3 2 4" xfId="9237" xr:uid="{16B53B15-4EB9-49EC-9851-AC74B812650E}"/>
    <cellStyle name="Nota 3 2 4 2" xfId="18149" xr:uid="{06E3589D-D937-4A01-A261-9087664652F8}"/>
    <cellStyle name="Nota 3 2 4 3" xfId="21242" xr:uid="{19E7B223-C810-41CF-B90A-B6CEB987D8AA}"/>
    <cellStyle name="Nota 3 2 4 4" xfId="26705" xr:uid="{F089EE80-1436-4CF2-BF44-B276B9495CE4}"/>
    <cellStyle name="Nota 3 2 4 5" xfId="17468" xr:uid="{80385EB8-B28C-4445-AC91-C2563B8FCF06}"/>
    <cellStyle name="Nota 3 2 5" xfId="9238" xr:uid="{FF665BE5-482D-4B13-AD74-C7BCA3A7AB59}"/>
    <cellStyle name="Nota 3 2 5 2" xfId="18567" xr:uid="{F7D0A4ED-3814-46C8-AE53-D0CDDC34E891}"/>
    <cellStyle name="Nota 3 2 5 3" xfId="26706" xr:uid="{E2846075-349D-4D93-9D6A-865C2743C5A9}"/>
    <cellStyle name="Nota 3 2 5 4" xfId="17462" xr:uid="{5DB7A828-99F6-48AA-A74A-3228593EF56D}"/>
    <cellStyle name="Nota 3 2 6" xfId="9239" xr:uid="{83FCB1D8-A46B-4FFE-B770-3154B56545A1}"/>
    <cellStyle name="Nota 3 2 6 2" xfId="26707" xr:uid="{8B7AF7C2-986F-436B-8DE7-18755A157E19}"/>
    <cellStyle name="Nota 3 2 7" xfId="26700" xr:uid="{EE1488C7-48DF-4B66-A57B-3EFA5294306F}"/>
    <cellStyle name="Nota 3 3" xfId="2074" xr:uid="{00000000-0005-0000-0000-000049060000}"/>
    <cellStyle name="Nota 3 3 2" xfId="9240" xr:uid="{A6528DA4-4FD2-442B-95E3-7557C16125E6}"/>
    <cellStyle name="Nota 3 3 2 2" xfId="18296" xr:uid="{CF1D5370-3246-4BCA-9C14-C78198320995}"/>
    <cellStyle name="Nota 3 3 2 3" xfId="26709" xr:uid="{00F19E2E-CEB8-400F-BC15-97EC7325942C}"/>
    <cellStyle name="Nota 3 3 3" xfId="17711" xr:uid="{2DA72051-3388-4061-9363-1FFF4CA82FFC}"/>
    <cellStyle name="Nota 3 3 4" xfId="26708" xr:uid="{5AA55BB6-F6A4-4A99-9833-2C0CA00DBE33}"/>
    <cellStyle name="Nota 3 4" xfId="4093" xr:uid="{5AAEDC52-1C55-42E7-B8E6-D0223E699AC7}"/>
    <cellStyle name="Nota 3 4 2" xfId="13732" xr:uid="{7B32ADA0-FD7F-41C9-9E52-C8641C5B21EE}"/>
    <cellStyle name="Nota 3 4 2 2" xfId="19038" xr:uid="{E5C77765-DC44-4EB7-9E7A-D0835B6465A4}"/>
    <cellStyle name="Nota 3 4 3" xfId="17713" xr:uid="{5F7DD80F-1591-4FDA-AF53-B42728335F8D}"/>
    <cellStyle name="Nota 3 4 4" xfId="26710" xr:uid="{CE92B5E9-C99D-4C59-87F8-1FEEBC2E707C}"/>
    <cellStyle name="Nota 3 5" xfId="9241" xr:uid="{43053810-B8CA-4486-A66F-D81DF4B5AAD2}"/>
    <cellStyle name="Nota 3 5 2" xfId="18141" xr:uid="{9FE4B626-DA12-4D30-ACE2-DEEA8EC88B84}"/>
    <cellStyle name="Nota 3 5 3" xfId="26711" xr:uid="{1492A781-0580-4AA0-BCF0-AD7A797A0312}"/>
    <cellStyle name="Nota 3 6" xfId="9242" xr:uid="{CFFB3110-1C3A-456D-BE5B-CEAC37110583}"/>
    <cellStyle name="Nota 3 6 2" xfId="26712" xr:uid="{7E7A8CD8-12DE-4EC6-B0A9-A7C7AFB69FCA}"/>
    <cellStyle name="Nota 3 7" xfId="9243" xr:uid="{0EC9B1EA-B60A-4602-931C-FD8612FA430E}"/>
    <cellStyle name="Nota 3 7 2" xfId="26713" xr:uid="{85A69E0D-590F-4A4D-A5CB-574198C9D25E}"/>
    <cellStyle name="Nota 3 8" xfId="26699" xr:uid="{D938E483-79DA-4998-BE83-3281C8E32F26}"/>
    <cellStyle name="Nota 4" xfId="787" xr:uid="{00000000-0005-0000-0000-00004A060000}"/>
    <cellStyle name="Nota 4 2" xfId="2075" xr:uid="{00000000-0005-0000-0000-00004B060000}"/>
    <cellStyle name="Nota 4 2 2" xfId="2076" xr:uid="{00000000-0005-0000-0000-00004C060000}"/>
    <cellStyle name="Nota 4 2 2 2" xfId="26716" xr:uid="{370B8D88-92F6-46E8-A7FE-16B9EBFD3B27}"/>
    <cellStyle name="Nota 4 2 3" xfId="17846" xr:uid="{C326065A-21AC-4244-9747-5D5AF4D25C1E}"/>
    <cellStyle name="Nota 4 2 4" xfId="21239" xr:uid="{B7F2738B-C2BB-4ED1-A1B7-83E02FAC80F4}"/>
    <cellStyle name="Nota 4 2 5" xfId="26715" xr:uid="{87436515-FCBE-442D-8897-85DADEFD6720}"/>
    <cellStyle name="Nota 4 2 6" xfId="17009" xr:uid="{2AFE020A-3A33-4CF1-8497-C80ED43B0727}"/>
    <cellStyle name="Nota 4 3" xfId="2077" xr:uid="{00000000-0005-0000-0000-00004D060000}"/>
    <cellStyle name="Nota 4 3 2" xfId="17847" xr:uid="{3D8AC9A8-EC7B-4DD9-98C9-59B3DCD6ADD6}"/>
    <cellStyle name="Nota 4 3 3" xfId="26717" xr:uid="{8AD539DA-2427-4CE0-A72C-64EFF765F2FB}"/>
    <cellStyle name="Nota 4 4" xfId="9244" xr:uid="{1CD62225-FF8A-4008-A05C-CD2288FA3637}"/>
    <cellStyle name="Nota 4 4 2" xfId="26718" xr:uid="{A3DE78C5-7C5C-4814-B64E-B3AF17361434}"/>
    <cellStyle name="Nota 4 5" xfId="9245" xr:uid="{A870E056-F11E-48AD-B093-C05F76C700AE}"/>
    <cellStyle name="Nota 4 5 2" xfId="26719" xr:uid="{D835BED8-E6B2-4901-A346-157A0C31ACD7}"/>
    <cellStyle name="Nota 4 6" xfId="9246" xr:uid="{FE8106DE-A971-4567-A6B4-88CB2C10EB0F}"/>
    <cellStyle name="Nota 4 6 2" xfId="26720" xr:uid="{1FCB8216-8DA4-4540-8AF9-066E5BFFEC04}"/>
    <cellStyle name="Nota 4 7" xfId="26714" xr:uid="{9457E34D-3801-4864-8A87-CE8EA9C18F95}"/>
    <cellStyle name="Nota 5" xfId="2078" xr:uid="{00000000-0005-0000-0000-00004E060000}"/>
    <cellStyle name="Nota 5 2" xfId="2079" xr:uid="{00000000-0005-0000-0000-00004F060000}"/>
    <cellStyle name="Nota 5 2 2" xfId="17848" xr:uid="{004DEDFB-9831-47A9-A361-AC71165420F9}"/>
    <cellStyle name="Nota 5 2 3" xfId="26722" xr:uid="{451BA248-87EC-43BA-A117-01F750A75346}"/>
    <cellStyle name="Nota 5 3" xfId="9247" xr:uid="{DC476628-7F8B-41BE-B6F3-62E751348284}"/>
    <cellStyle name="Nota 5 3 2" xfId="26723" xr:uid="{E118D133-3AC6-41C7-B66B-6D6330ECB059}"/>
    <cellStyle name="Nota 5 4" xfId="9248" xr:uid="{7EBB9226-B7F2-4FC1-ABA7-E31A413970E1}"/>
    <cellStyle name="Nota 5 4 2" xfId="26724" xr:uid="{CE72DB18-1512-4C63-993C-D1131F0C5B16}"/>
    <cellStyle name="Nota 5 5" xfId="9249" xr:uid="{F6481A90-0286-4633-AEDD-FDF877302B17}"/>
    <cellStyle name="Nota 5 5 2" xfId="26725" xr:uid="{62569D9F-B5DF-44D1-827C-AE36335551C1}"/>
    <cellStyle name="Nota 5 6" xfId="9250" xr:uid="{B461005B-8CDF-4F21-B710-442790950A5A}"/>
    <cellStyle name="Nota 5 6 2" xfId="26726" xr:uid="{E66E7BAB-E553-4FAF-81F0-DC2566D364B8}"/>
    <cellStyle name="Nota 5 7" xfId="26721" xr:uid="{5283CCBD-83DB-4584-993B-5D02FEFCD2A8}"/>
    <cellStyle name="Nota 6" xfId="2080" xr:uid="{00000000-0005-0000-0000-000050060000}"/>
    <cellStyle name="Nota 6 2" xfId="9767" xr:uid="{F8021FA0-C8C3-43A5-B9EA-96B20A84D8B3}"/>
    <cellStyle name="Nota 6 2 2" xfId="18735" xr:uid="{0B9CE564-B019-43DA-905A-C57DE42DB3E4}"/>
    <cellStyle name="Nota 6 3" xfId="17709" xr:uid="{5217F364-F39D-47DE-93B2-451DE1882013}"/>
    <cellStyle name="Nota 6 4" xfId="26727" xr:uid="{6412B124-13FA-4FE2-BAF3-D278C8A6EF74}"/>
    <cellStyle name="Nota 7" xfId="4094" xr:uid="{B8D2523C-DF13-48FA-A53C-8A3604A97DB6}"/>
    <cellStyle name="Nota 7 2" xfId="17515" xr:uid="{E57C4B43-D62F-4324-8C88-C3E4FA9A3AF9}"/>
    <cellStyle name="Nota 7 3" xfId="26728" xr:uid="{768ADD7F-0CBD-46BE-ACDC-661DC2AB3085}"/>
    <cellStyle name="Nota 8" xfId="9251" xr:uid="{75DD9BC4-F3CB-4615-B6DD-3E5904F5275C}"/>
    <cellStyle name="Nota 8 2" xfId="26729" xr:uid="{6CDFC767-6317-446B-950C-9D35DE08AFA3}"/>
    <cellStyle name="Nota 9" xfId="9252" xr:uid="{5DFFDE3E-CB86-4B13-B77C-70189DF1B1BE}"/>
    <cellStyle name="Nota 9 2" xfId="26730" xr:uid="{576FBDFF-8B80-4E88-80B5-10FEF1FFED61}"/>
    <cellStyle name="Note 2" xfId="2081" xr:uid="{00000000-0005-0000-0000-000051060000}"/>
    <cellStyle name="Note 2 2" xfId="2082" xr:uid="{00000000-0005-0000-0000-000052060000}"/>
    <cellStyle name="Note 2 2 2" xfId="2083" xr:uid="{00000000-0005-0000-0000-000053060000}"/>
    <cellStyle name="Note 2 2 2 2" xfId="26733" xr:uid="{B5D38532-EA04-4E3D-900E-9BD0797EEC61}"/>
    <cellStyle name="Note 2 2 2 3" xfId="17851" xr:uid="{728127E1-D783-48D9-8028-370D222C09DF}"/>
    <cellStyle name="Note 2 2 3" xfId="26734" xr:uid="{64349127-6E69-4227-8E11-A6B1CE87DE1F}"/>
    <cellStyle name="Note 2 2 4" xfId="26732" xr:uid="{F2C60866-2989-4D4A-AF3B-1375B12D0C08}"/>
    <cellStyle name="Note 2 2 5" xfId="48979" xr:uid="{F413384D-A0DA-4271-B1CB-1B20C27FEAF3}"/>
    <cellStyle name="Note 2 2 6" xfId="17850" xr:uid="{483E6FA9-DEE5-4883-86B1-4C39AA8B01A0}"/>
    <cellStyle name="Note 2 3" xfId="2084" xr:uid="{00000000-0005-0000-0000-000054060000}"/>
    <cellStyle name="Note 2 3 2" xfId="26735" xr:uid="{51457BD8-B0D6-442A-8E85-C3098DCEEEEE}"/>
    <cellStyle name="Note 2 3 3" xfId="17852" xr:uid="{5DFD9276-F9AD-48F2-BE8E-2283B3278473}"/>
    <cellStyle name="Note 2 4" xfId="26736" xr:uid="{67F3A8EB-F3B6-4AD1-8402-68EDF2C09C60}"/>
    <cellStyle name="Note 2 5" xfId="26731" xr:uid="{11EE935D-4488-4368-AF98-AAF49639AFA2}"/>
    <cellStyle name="Note 2 6" xfId="48978" xr:uid="{61456FD9-A1E5-44EF-B7A4-749E4CE1FC2C}"/>
    <cellStyle name="Note 2 7" xfId="17849" xr:uid="{8C67D7D7-6E5C-4D91-9413-AB9B7AE265F0}"/>
    <cellStyle name="Note 3" xfId="26737" xr:uid="{BE9DDFBE-0C62-4FD4-9B8A-639AD67A94BC}"/>
    <cellStyle name="Note 3 2" xfId="48980" xr:uid="{50D51BF1-1A86-47D4-A41C-1E51E0A22DC9}"/>
    <cellStyle name="Note 4" xfId="26738" xr:uid="{95299712-E502-49D8-B228-6518B8855A4C}"/>
    <cellStyle name="Note 4 2" xfId="48981" xr:uid="{3009F920-F1A1-412B-9073-3E1CCE6D60B4}"/>
    <cellStyle name="Nuovo" xfId="788" xr:uid="{00000000-0005-0000-0000-000055060000}"/>
    <cellStyle name="Nuovo 10" xfId="789" xr:uid="{00000000-0005-0000-0000-000056060000}"/>
    <cellStyle name="Nuovo 10 2" xfId="790" xr:uid="{00000000-0005-0000-0000-000057060000}"/>
    <cellStyle name="Nuovo 10 2 2" xfId="4095" xr:uid="{723A12F6-28DB-44D7-B59B-154C35212950}"/>
    <cellStyle name="Nuovo 10 2 2 2" xfId="13519" xr:uid="{3DDF913E-21EA-494D-ACB5-27AE16723BC0}"/>
    <cellStyle name="Nuovo 10 2 2 3" xfId="26742" xr:uid="{670C7151-4A39-4863-86DF-D5FCA124DCE3}"/>
    <cellStyle name="Nuovo 10 2 3" xfId="13255" xr:uid="{FC9B2A64-AC16-4873-9537-4C80F78CA456}"/>
    <cellStyle name="Nuovo 10 2 4" xfId="26741" xr:uid="{4458848A-5F79-4A25-90AC-864AB900AC1B}"/>
    <cellStyle name="Nuovo 10 3" xfId="791" xr:uid="{00000000-0005-0000-0000-000058060000}"/>
    <cellStyle name="Nuovo 10 3 2" xfId="792" xr:uid="{00000000-0005-0000-0000-000059060000}"/>
    <cellStyle name="Nuovo 10 3 2 2" xfId="2085" xr:uid="{00000000-0005-0000-0000-00005A060000}"/>
    <cellStyle name="Nuovo 10 3 2 2 2" xfId="26745" xr:uid="{061443BB-794F-4D35-93A2-442FF3CBD9C7}"/>
    <cellStyle name="Nuovo 10 3 2 3" xfId="8072" xr:uid="{F570F39B-A7C8-4C67-B54F-3A91C0DB0185}"/>
    <cellStyle name="Nuovo 10 3 2 3 2" xfId="14073" xr:uid="{C486105F-A458-44F7-94B6-D8E201917BE7}"/>
    <cellStyle name="Nuovo 10 3 2 4" xfId="26744" xr:uid="{461A24A3-76C8-4114-B5C6-D310C907E7DE}"/>
    <cellStyle name="Nuovo 10 3 3" xfId="4096" xr:uid="{F075B04C-37FC-401E-BD8C-3E355D86CC7C}"/>
    <cellStyle name="Nuovo 10 3 3 2" xfId="9253" xr:uid="{CFA04913-5CC5-46CB-9533-5586659724D8}"/>
    <cellStyle name="Nuovo 10 3 3 2 2" xfId="26747" xr:uid="{6E0240D3-EEC3-4DE2-B28A-193DF9C0184A}"/>
    <cellStyle name="Nuovo 10 3 3 3" xfId="26746" xr:uid="{8C368F65-4293-4EFC-B737-A8CE112CC546}"/>
    <cellStyle name="Nuovo 10 3 4" xfId="4097" xr:uid="{E024607C-4B24-4063-8375-7852027ADA13}"/>
    <cellStyle name="Nuovo 10 3 4 2" xfId="13733" xr:uid="{06432194-A02B-49F3-B065-FBF7B5DCC179}"/>
    <cellStyle name="Nuovo 10 3 4 3" xfId="26748" xr:uid="{9F2F0693-5771-4DD9-8E77-FD237EBB32C0}"/>
    <cellStyle name="Nuovo 10 3 5" xfId="12288" xr:uid="{24A3CC10-267B-4CD8-9CD8-C05C72D58AEB}"/>
    <cellStyle name="Nuovo 10 3 6" xfId="26743" xr:uid="{F71DCA7D-5CDF-4683-9BF0-053D18337D86}"/>
    <cellStyle name="Nuovo 10 4" xfId="2086" xr:uid="{00000000-0005-0000-0000-00005B060000}"/>
    <cellStyle name="Nuovo 10 4 2" xfId="2087" xr:uid="{00000000-0005-0000-0000-00005C060000}"/>
    <cellStyle name="Nuovo 10 4 2 2" xfId="9254" xr:uid="{36E878D6-CAAE-4DC9-BBB8-676D0F4EA900}"/>
    <cellStyle name="Nuovo 10 4 2 2 2" xfId="26751" xr:uid="{AC0C1D0A-9119-4F5D-A0C7-41C201E25E32}"/>
    <cellStyle name="Nuovo 10 4 2 3" xfId="17853" xr:uid="{D9AE4C95-B27D-45F2-A10F-C7ACF3164BAD}"/>
    <cellStyle name="Nuovo 10 4 2 4" xfId="26750" xr:uid="{3BE9728F-D3DC-4771-9486-510F73150F1B}"/>
    <cellStyle name="Nuovo 10 4 2 5" xfId="17008" xr:uid="{865E42A3-DC86-471C-9297-728CAC097BAC}"/>
    <cellStyle name="Nuovo 10 4 3" xfId="9255" xr:uid="{E82EEBFA-06E0-4310-9617-6CD6F4222BC2}"/>
    <cellStyle name="Nuovo 10 4 3 2" xfId="26752" xr:uid="{7AFF745F-B412-45FD-8400-060DA0324C21}"/>
    <cellStyle name="Nuovo 10 4 4" xfId="26749" xr:uid="{DBBE18D3-2ABD-484A-B127-E5E5A7B212EE}"/>
    <cellStyle name="Nuovo 10 5" xfId="2088" xr:uid="{00000000-0005-0000-0000-00005D060000}"/>
    <cellStyle name="Nuovo 10 5 2" xfId="26753" xr:uid="{B3B2E7E6-B4CB-44D0-86C6-BCC15F5845A6}"/>
    <cellStyle name="Nuovo 10 6" xfId="4098" xr:uid="{3455894D-00B6-4B93-9B16-2A725F420E69}"/>
    <cellStyle name="Nuovo 10 6 2" xfId="9769" xr:uid="{7CE52E3E-7D3B-4751-8967-4F8B654D924F}"/>
    <cellStyle name="Nuovo 10 7" xfId="26740" xr:uid="{75A05192-91BB-4EBB-AAD4-D3907035078C}"/>
    <cellStyle name="Nuovo 11" xfId="793" xr:uid="{00000000-0005-0000-0000-00005E060000}"/>
    <cellStyle name="Nuovo 11 2" xfId="794" xr:uid="{00000000-0005-0000-0000-00005F060000}"/>
    <cellStyle name="Nuovo 11 2 2" xfId="4099" xr:uid="{0A1E126E-5882-483B-9E07-21B2D77FA1AB}"/>
    <cellStyle name="Nuovo 11 2 2 2" xfId="13520" xr:uid="{3CC22825-B816-4D1A-B5B2-A1AA16D97635}"/>
    <cellStyle name="Nuovo 11 2 2 3" xfId="26756" xr:uid="{7DD647E0-7980-4D7A-812C-7D4747703F09}"/>
    <cellStyle name="Nuovo 11 2 3" xfId="13256" xr:uid="{D780665E-4735-409C-B91F-E3D16DD92DF0}"/>
    <cellStyle name="Nuovo 11 2 4" xfId="26755" xr:uid="{094ECED3-5840-4730-8E69-BE199D16E3D6}"/>
    <cellStyle name="Nuovo 11 3" xfId="795" xr:uid="{00000000-0005-0000-0000-000060060000}"/>
    <cellStyle name="Nuovo 11 3 2" xfId="796" xr:uid="{00000000-0005-0000-0000-000061060000}"/>
    <cellStyle name="Nuovo 11 3 2 2" xfId="2089" xr:uid="{00000000-0005-0000-0000-000062060000}"/>
    <cellStyle name="Nuovo 11 3 2 2 2" xfId="26759" xr:uid="{CF619BA6-A031-4BB4-B8CB-1E5EBB5C2361}"/>
    <cellStyle name="Nuovo 11 3 2 3" xfId="8073" xr:uid="{D76B8C5A-4BF3-4491-95C8-039CF6EF2E00}"/>
    <cellStyle name="Nuovo 11 3 2 3 2" xfId="14074" xr:uid="{5B5FBC4F-283F-4734-B14D-0F9F799A304A}"/>
    <cellStyle name="Nuovo 11 3 2 4" xfId="26758" xr:uid="{4BFBA962-E788-4D99-A8F2-8590DCAD9AA8}"/>
    <cellStyle name="Nuovo 11 3 3" xfId="4100" xr:uid="{103F5CDB-A1C1-41D3-9E40-6F0FDD65AABA}"/>
    <cellStyle name="Nuovo 11 3 3 2" xfId="9256" xr:uid="{1B2B4762-5E1C-4DAA-8D32-0F3F1EA98EA7}"/>
    <cellStyle name="Nuovo 11 3 3 2 2" xfId="26761" xr:uid="{44F1DD7A-395F-4F45-AD05-6A6B721476F9}"/>
    <cellStyle name="Nuovo 11 3 3 3" xfId="26760" xr:uid="{45AA8E7A-1FDA-416E-894E-4AF9BFA382D5}"/>
    <cellStyle name="Nuovo 11 3 4" xfId="4101" xr:uid="{C08DC5C1-4605-439C-BBFD-14A18D78FADF}"/>
    <cellStyle name="Nuovo 11 3 4 2" xfId="13734" xr:uid="{52AF50FA-2486-4316-961E-E5FB2403A24D}"/>
    <cellStyle name="Nuovo 11 3 4 3" xfId="26762" xr:uid="{A671DBF7-3A64-4219-A50D-B42A78677F96}"/>
    <cellStyle name="Nuovo 11 3 5" xfId="11527" xr:uid="{394963BF-513C-4F37-A172-62CB25F13A8F}"/>
    <cellStyle name="Nuovo 11 3 6" xfId="26757" xr:uid="{A6B8E787-928A-4A3B-970E-D12114F92EB7}"/>
    <cellStyle name="Nuovo 11 4" xfId="2090" xr:uid="{00000000-0005-0000-0000-000063060000}"/>
    <cellStyle name="Nuovo 11 4 2" xfId="2091" xr:uid="{00000000-0005-0000-0000-000064060000}"/>
    <cellStyle name="Nuovo 11 4 2 2" xfId="9257" xr:uid="{7468D6CF-6013-4412-995A-B8EC0F7E5B46}"/>
    <cellStyle name="Nuovo 11 4 2 2 2" xfId="26765" xr:uid="{4881E6FB-5F48-4346-92A3-D41BA051F285}"/>
    <cellStyle name="Nuovo 11 4 2 3" xfId="17854" xr:uid="{5F0BFFD4-80CC-4194-8716-C1CC41FBD414}"/>
    <cellStyle name="Nuovo 11 4 2 4" xfId="26764" xr:uid="{6527456B-2DE8-4015-86EE-C1A8AD3438FD}"/>
    <cellStyle name="Nuovo 11 4 2 5" xfId="17007" xr:uid="{DC3B97B2-8A7D-4FA0-A6F6-328FEF820980}"/>
    <cellStyle name="Nuovo 11 4 3" xfId="9258" xr:uid="{98561E7A-D31F-4487-A372-BF04E692AB26}"/>
    <cellStyle name="Nuovo 11 4 3 2" xfId="26766" xr:uid="{8F5F2385-1F5C-4D18-8D19-BB6764D77FBC}"/>
    <cellStyle name="Nuovo 11 4 4" xfId="26763" xr:uid="{9584B009-E7A3-48E9-BF2E-FE3C7C2956DF}"/>
    <cellStyle name="Nuovo 11 5" xfId="2092" xr:uid="{00000000-0005-0000-0000-000065060000}"/>
    <cellStyle name="Nuovo 11 5 2" xfId="26767" xr:uid="{F6214029-5E1E-443C-A4E0-6853756B80B0}"/>
    <cellStyle name="Nuovo 11 6" xfId="4102" xr:uid="{7DC4FA71-46B2-4A44-B776-322E5564491C}"/>
    <cellStyle name="Nuovo 11 6 2" xfId="9770" xr:uid="{60915CE5-A156-4137-9E5B-AA33920CC38A}"/>
    <cellStyle name="Nuovo 11 7" xfId="26754" xr:uid="{5D38CA62-2887-41C3-8FAE-05F4ABE719E7}"/>
    <cellStyle name="Nuovo 12" xfId="797" xr:uid="{00000000-0005-0000-0000-000066060000}"/>
    <cellStyle name="Nuovo 12 2" xfId="798" xr:uid="{00000000-0005-0000-0000-000067060000}"/>
    <cellStyle name="Nuovo 12 2 2" xfId="4103" xr:uid="{CE9F6DA8-2307-4B1F-8EE0-D0903E3B7D3F}"/>
    <cellStyle name="Nuovo 12 2 2 2" xfId="13521" xr:uid="{FD97A397-A6F4-4677-A979-AE05CC6CBA8E}"/>
    <cellStyle name="Nuovo 12 2 2 3" xfId="26770" xr:uid="{AB1BC61A-B479-43E4-B74A-5818CBC4995C}"/>
    <cellStyle name="Nuovo 12 2 3" xfId="13257" xr:uid="{91AC9634-50F9-47E1-ADD3-0DDA32EF53BB}"/>
    <cellStyle name="Nuovo 12 2 4" xfId="26769" xr:uid="{B057237E-DC8E-4CF4-A06A-460680346ED1}"/>
    <cellStyle name="Nuovo 12 3" xfId="799" xr:uid="{00000000-0005-0000-0000-000068060000}"/>
    <cellStyle name="Nuovo 12 3 2" xfId="800" xr:uid="{00000000-0005-0000-0000-000069060000}"/>
    <cellStyle name="Nuovo 12 3 2 2" xfId="2093" xr:uid="{00000000-0005-0000-0000-00006A060000}"/>
    <cellStyle name="Nuovo 12 3 2 2 2" xfId="26773" xr:uid="{7F4D5554-EDC8-4C33-94F8-6E00BF34AD59}"/>
    <cellStyle name="Nuovo 12 3 2 3" xfId="8074" xr:uid="{5B238DB2-0828-4CA1-B48B-E2120CC635DB}"/>
    <cellStyle name="Nuovo 12 3 2 3 2" xfId="14075" xr:uid="{800CA528-1DEA-4A7D-AD89-26E81F916C2B}"/>
    <cellStyle name="Nuovo 12 3 2 4" xfId="26772" xr:uid="{3B72E384-AB63-49BA-B16A-9CBD291AC55B}"/>
    <cellStyle name="Nuovo 12 3 3" xfId="4104" xr:uid="{5EE056CA-855F-427E-9B21-25D361241825}"/>
    <cellStyle name="Nuovo 12 3 3 2" xfId="9259" xr:uid="{39836A22-9243-4BB7-B505-8549BF4804A3}"/>
    <cellStyle name="Nuovo 12 3 3 2 2" xfId="26775" xr:uid="{D7706CA5-50D9-4B25-804F-B04DFE3397F1}"/>
    <cellStyle name="Nuovo 12 3 3 3" xfId="26774" xr:uid="{986052D1-833E-409B-ADC8-CEBCB91FEED6}"/>
    <cellStyle name="Nuovo 12 3 4" xfId="4105" xr:uid="{52F7B937-3D51-4B64-96EC-BA61D5C9C092}"/>
    <cellStyle name="Nuovo 12 3 4 2" xfId="13735" xr:uid="{82D5FB87-4DA7-4F7D-9B6F-BFD436CE25C4}"/>
    <cellStyle name="Nuovo 12 3 4 3" xfId="26776" xr:uid="{FCB18BD0-BEC9-42F7-B654-002DCDD9FFF4}"/>
    <cellStyle name="Nuovo 12 3 5" xfId="11214" xr:uid="{077EB9D7-B08D-4A48-B25F-E43206E240D4}"/>
    <cellStyle name="Nuovo 12 3 6" xfId="26771" xr:uid="{EE6CA4C6-ABA6-43FC-A3BC-D34054399F6B}"/>
    <cellStyle name="Nuovo 12 4" xfId="2094" xr:uid="{00000000-0005-0000-0000-00006B060000}"/>
    <cellStyle name="Nuovo 12 4 2" xfId="2095" xr:uid="{00000000-0005-0000-0000-00006C060000}"/>
    <cellStyle name="Nuovo 12 4 2 2" xfId="9260" xr:uid="{B17C5DF4-4A13-46D3-A10B-2E27AFA59D6F}"/>
    <cellStyle name="Nuovo 12 4 2 2 2" xfId="26779" xr:uid="{FA3D81D3-4A42-4BF9-BBF4-FDD510D2B1C0}"/>
    <cellStyle name="Nuovo 12 4 2 3" xfId="17855" xr:uid="{3D9B6291-96FD-4D73-B022-DE6C7F0BB922}"/>
    <cellStyle name="Nuovo 12 4 2 4" xfId="26778" xr:uid="{3FF85937-F612-4798-8662-00EFB6D28D5F}"/>
    <cellStyle name="Nuovo 12 4 2 5" xfId="17006" xr:uid="{540DD186-DEAA-4F0B-8C1E-2E10239D388A}"/>
    <cellStyle name="Nuovo 12 4 3" xfId="9261" xr:uid="{B9C85AB7-B505-4260-BA7F-B88058E831BA}"/>
    <cellStyle name="Nuovo 12 4 3 2" xfId="26780" xr:uid="{5D4BF611-ED69-4F39-954B-1DC8D4D559C8}"/>
    <cellStyle name="Nuovo 12 4 4" xfId="26777" xr:uid="{7057C2FB-ED42-4455-BA68-880FE01CD95F}"/>
    <cellStyle name="Nuovo 12 5" xfId="2096" xr:uid="{00000000-0005-0000-0000-00006D060000}"/>
    <cellStyle name="Nuovo 12 5 2" xfId="26781" xr:uid="{AA1AFE88-DDA1-4373-8580-0D301B7DE326}"/>
    <cellStyle name="Nuovo 12 6" xfId="4106" xr:uid="{3730AC5A-78BB-47C2-9940-80600D3C069C}"/>
    <cellStyle name="Nuovo 12 6 2" xfId="9771" xr:uid="{DF7BDED5-1DBB-4345-8BC2-741752C68838}"/>
    <cellStyle name="Nuovo 12 7" xfId="26768" xr:uid="{55B3D81F-853A-4B15-8E5D-69D0CB4626E3}"/>
    <cellStyle name="Nuovo 13" xfId="801" xr:uid="{00000000-0005-0000-0000-00006E060000}"/>
    <cellStyle name="Nuovo 13 2" xfId="802" xr:uid="{00000000-0005-0000-0000-00006F060000}"/>
    <cellStyle name="Nuovo 13 2 2" xfId="4107" xr:uid="{B3462424-B903-4D82-A94E-BCECF8331C67}"/>
    <cellStyle name="Nuovo 13 2 2 2" xfId="13522" xr:uid="{8FAC9277-9C7E-4BA8-A58C-D4397947D95C}"/>
    <cellStyle name="Nuovo 13 2 2 3" xfId="26784" xr:uid="{F99144CC-9601-4CE1-9030-2E8E6D85D8D3}"/>
    <cellStyle name="Nuovo 13 2 3" xfId="13258" xr:uid="{4DA01CB3-1817-4DE0-804B-957DB3C12410}"/>
    <cellStyle name="Nuovo 13 2 4" xfId="26783" xr:uid="{9DC1F15C-ACDE-4E68-9ADE-C6CF57E1EDC1}"/>
    <cellStyle name="Nuovo 13 3" xfId="803" xr:uid="{00000000-0005-0000-0000-000070060000}"/>
    <cellStyle name="Nuovo 13 3 2" xfId="804" xr:uid="{00000000-0005-0000-0000-000071060000}"/>
    <cellStyle name="Nuovo 13 3 2 2" xfId="2097" xr:uid="{00000000-0005-0000-0000-000072060000}"/>
    <cellStyle name="Nuovo 13 3 2 2 2" xfId="26787" xr:uid="{876B868F-303F-4F2E-9307-2407FC5A9655}"/>
    <cellStyle name="Nuovo 13 3 2 3" xfId="8075" xr:uid="{313A5975-6E81-497D-A0D9-29A4C47EB2EF}"/>
    <cellStyle name="Nuovo 13 3 2 3 2" xfId="14076" xr:uid="{7E800E01-5931-4363-B899-7C6CA386FBFA}"/>
    <cellStyle name="Nuovo 13 3 2 4" xfId="26786" xr:uid="{B74CD543-C158-4CE4-B492-6C3B12597B99}"/>
    <cellStyle name="Nuovo 13 3 3" xfId="4108" xr:uid="{8C85CC36-9D93-48FB-9F67-A21796D5E438}"/>
    <cellStyle name="Nuovo 13 3 3 2" xfId="9262" xr:uid="{435A33B8-648E-4CA1-BFC1-C67A4E013C4F}"/>
    <cellStyle name="Nuovo 13 3 3 2 2" xfId="26789" xr:uid="{AC060B3B-DE0C-4C95-B7B6-6C52CC4D8AE4}"/>
    <cellStyle name="Nuovo 13 3 3 3" xfId="26788" xr:uid="{9BFE8DA2-35B4-4A47-A9C9-C825195D2E83}"/>
    <cellStyle name="Nuovo 13 3 4" xfId="4109" xr:uid="{0EADFF64-4EF5-46E4-B7E2-5C5D69BB536C}"/>
    <cellStyle name="Nuovo 13 3 4 2" xfId="13736" xr:uid="{4E768A53-0479-4F15-B05B-2CD38AEAA32F}"/>
    <cellStyle name="Nuovo 13 3 4 3" xfId="26790" xr:uid="{A947F57C-151D-4E56-89C1-D0100B90F22B}"/>
    <cellStyle name="Nuovo 13 3 5" xfId="12254" xr:uid="{B1808459-2124-4FD0-8245-61EA411F58BA}"/>
    <cellStyle name="Nuovo 13 3 6" xfId="26785" xr:uid="{188194A9-60DA-4B9E-BD3E-C09D9EF52655}"/>
    <cellStyle name="Nuovo 13 4" xfId="2098" xr:uid="{00000000-0005-0000-0000-000073060000}"/>
    <cellStyle name="Nuovo 13 4 2" xfId="2099" xr:uid="{00000000-0005-0000-0000-000074060000}"/>
    <cellStyle name="Nuovo 13 4 2 2" xfId="9263" xr:uid="{04C39DD4-D347-4679-8D4A-075A73C67DE1}"/>
    <cellStyle name="Nuovo 13 4 2 2 2" xfId="26793" xr:uid="{FDBBDB7B-E66F-4860-A9B9-94801E413C1D}"/>
    <cellStyle name="Nuovo 13 4 2 3" xfId="17856" xr:uid="{18C6BCE1-508B-41CE-A240-0DD50F3E9B53}"/>
    <cellStyle name="Nuovo 13 4 2 4" xfId="26792" xr:uid="{5C9DF202-8451-49ED-85C7-AFB45CBB3154}"/>
    <cellStyle name="Nuovo 13 4 2 5" xfId="17005" xr:uid="{3C82AC3C-B550-48B0-B431-9EAEC9ABF5EA}"/>
    <cellStyle name="Nuovo 13 4 3" xfId="9264" xr:uid="{FF42DEC1-6622-47F0-BE8B-2D4101A1F59B}"/>
    <cellStyle name="Nuovo 13 4 3 2" xfId="26794" xr:uid="{97DAFC4C-55BE-49A4-9C87-CF646FDEE778}"/>
    <cellStyle name="Nuovo 13 4 4" xfId="26791" xr:uid="{47CD00BD-3689-4667-A2F2-ED003F072873}"/>
    <cellStyle name="Nuovo 13 5" xfId="2100" xr:uid="{00000000-0005-0000-0000-000075060000}"/>
    <cellStyle name="Nuovo 13 5 2" xfId="26795" xr:uid="{2EFB7276-F1A2-4BF5-AB34-B118DE2AAD58}"/>
    <cellStyle name="Nuovo 13 6" xfId="4110" xr:uid="{A1EA4960-875F-47FA-B5CE-F431BDC81CF2}"/>
    <cellStyle name="Nuovo 13 6 2" xfId="9772" xr:uid="{78BBC712-D163-4802-82B6-F5B64A1DE003}"/>
    <cellStyle name="Nuovo 13 7" xfId="26782" xr:uid="{457F099B-D566-43D8-B53D-0202A3569CCA}"/>
    <cellStyle name="Nuovo 14" xfId="805" xr:uid="{00000000-0005-0000-0000-000076060000}"/>
    <cellStyle name="Nuovo 14 2" xfId="806" xr:uid="{00000000-0005-0000-0000-000077060000}"/>
    <cellStyle name="Nuovo 14 2 2" xfId="4111" xr:uid="{D6A59815-0321-4B32-8EC5-0E679D9B4B50}"/>
    <cellStyle name="Nuovo 14 2 2 2" xfId="13523" xr:uid="{3B99CDEE-6C9E-45E2-855C-55AB00C200B8}"/>
    <cellStyle name="Nuovo 14 2 2 3" xfId="26798" xr:uid="{1B7B0488-2649-4382-AAA1-4FBE66305D9B}"/>
    <cellStyle name="Nuovo 14 2 3" xfId="13259" xr:uid="{A929E4E3-A0A6-465A-AA4C-3DF468D912BF}"/>
    <cellStyle name="Nuovo 14 2 4" xfId="26797" xr:uid="{3ACF895C-0DC0-47E6-AABA-2E29E005CA1F}"/>
    <cellStyle name="Nuovo 14 3" xfId="807" xr:uid="{00000000-0005-0000-0000-000078060000}"/>
    <cellStyle name="Nuovo 14 3 2" xfId="808" xr:uid="{00000000-0005-0000-0000-000079060000}"/>
    <cellStyle name="Nuovo 14 3 2 2" xfId="2101" xr:uid="{00000000-0005-0000-0000-00007A060000}"/>
    <cellStyle name="Nuovo 14 3 2 2 2" xfId="26801" xr:uid="{AF5D2E07-9C4F-469A-9C49-7DD3FAED533C}"/>
    <cellStyle name="Nuovo 14 3 2 3" xfId="8076" xr:uid="{A02A803D-0DE6-477B-9920-03E3CB3A468F}"/>
    <cellStyle name="Nuovo 14 3 2 3 2" xfId="14077" xr:uid="{1935A461-CA2A-4D5C-9A77-7F4DC89825B8}"/>
    <cellStyle name="Nuovo 14 3 2 4" xfId="26800" xr:uid="{912A36F2-CE30-4DA4-BC69-C92EAB5E9D86}"/>
    <cellStyle name="Nuovo 14 3 3" xfId="4112" xr:uid="{297A7DB0-45E5-415E-870B-5D0B90C128A3}"/>
    <cellStyle name="Nuovo 14 3 3 2" xfId="9265" xr:uid="{6FFE195A-EDD2-4817-BE07-F4C93951AA38}"/>
    <cellStyle name="Nuovo 14 3 3 2 2" xfId="26803" xr:uid="{71E554E7-3286-4928-B2D7-F650E97248C2}"/>
    <cellStyle name="Nuovo 14 3 3 3" xfId="26802" xr:uid="{19855C95-E8D5-4ECE-BA26-730F55D99C66}"/>
    <cellStyle name="Nuovo 14 3 4" xfId="4113" xr:uid="{740D2CAD-EB4C-448A-AB31-17E15720012C}"/>
    <cellStyle name="Nuovo 14 3 4 2" xfId="13737" xr:uid="{EDFECB3E-24C9-4760-B8E5-8B81E1DD8981}"/>
    <cellStyle name="Nuovo 14 3 4 3" xfId="26804" xr:uid="{DC49F379-BF69-4000-83F0-E97DC1374C2B}"/>
    <cellStyle name="Nuovo 14 3 5" xfId="12165" xr:uid="{50EA7597-6F8E-4B60-8CDD-D7A35DAD393A}"/>
    <cellStyle name="Nuovo 14 3 6" xfId="26799" xr:uid="{AD1A064F-00B6-4E17-AF72-08FBBB8BD425}"/>
    <cellStyle name="Nuovo 14 4" xfId="2102" xr:uid="{00000000-0005-0000-0000-00007B060000}"/>
    <cellStyle name="Nuovo 14 4 2" xfId="2103" xr:uid="{00000000-0005-0000-0000-00007C060000}"/>
    <cellStyle name="Nuovo 14 4 2 2" xfId="9266" xr:uid="{C6A7768E-72DA-4119-8402-01A7D39F53C4}"/>
    <cellStyle name="Nuovo 14 4 2 2 2" xfId="26807" xr:uid="{C53B601F-2C46-4A13-B62B-C1089E7E2DCC}"/>
    <cellStyle name="Nuovo 14 4 2 3" xfId="17857" xr:uid="{C57F1EF2-442D-4F25-9C35-5D2046677F29}"/>
    <cellStyle name="Nuovo 14 4 2 4" xfId="26806" xr:uid="{6A25BE5A-2F33-4747-A68A-AE9AC4BDEFA6}"/>
    <cellStyle name="Nuovo 14 4 2 5" xfId="17004" xr:uid="{5257A9A7-57EB-4AB7-8110-074A78A7F75D}"/>
    <cellStyle name="Nuovo 14 4 3" xfId="9267" xr:uid="{2EE604C0-3F1D-4230-A041-BFB9640B3647}"/>
    <cellStyle name="Nuovo 14 4 3 2" xfId="26808" xr:uid="{D54C1E61-1AB0-490C-88F6-1823397CBDE3}"/>
    <cellStyle name="Nuovo 14 4 4" xfId="26805" xr:uid="{E8ED559B-D14C-4400-AD16-F706C426C077}"/>
    <cellStyle name="Nuovo 14 5" xfId="2104" xr:uid="{00000000-0005-0000-0000-00007D060000}"/>
    <cellStyle name="Nuovo 14 5 2" xfId="26809" xr:uid="{ECBACA2C-B3DF-4B2E-B189-5C83C5E310B6}"/>
    <cellStyle name="Nuovo 14 6" xfId="4114" xr:uid="{DB155427-2CA2-4D2B-A63C-86F196AD5154}"/>
    <cellStyle name="Nuovo 14 6 2" xfId="9773" xr:uid="{A8670B5D-025B-4595-B2F5-1A0523F845BD}"/>
    <cellStyle name="Nuovo 14 7" xfId="26796" xr:uid="{6FB5CC97-0BFD-4BDB-B4C2-E80A314D9FBE}"/>
    <cellStyle name="Nuovo 15" xfId="809" xr:uid="{00000000-0005-0000-0000-00007E060000}"/>
    <cellStyle name="Nuovo 15 2" xfId="810" xr:uid="{00000000-0005-0000-0000-00007F060000}"/>
    <cellStyle name="Nuovo 15 2 2" xfId="4115" xr:uid="{B6450B25-85C1-410F-94F3-6F3C3EE65A91}"/>
    <cellStyle name="Nuovo 15 2 2 2" xfId="13524" xr:uid="{63ED82C3-0436-4568-AD97-BD1E46D2CDA3}"/>
    <cellStyle name="Nuovo 15 2 2 3" xfId="26812" xr:uid="{215729D3-1ADD-40F2-87D0-9E8B4F955538}"/>
    <cellStyle name="Nuovo 15 2 3" xfId="13260" xr:uid="{D4CE24B7-DA08-4EA6-8436-ECF7379C0553}"/>
    <cellStyle name="Nuovo 15 2 4" xfId="26811" xr:uid="{7CC9756F-E66A-4C51-B61A-9195CC556C37}"/>
    <cellStyle name="Nuovo 15 3" xfId="811" xr:uid="{00000000-0005-0000-0000-000080060000}"/>
    <cellStyle name="Nuovo 15 3 2" xfId="812" xr:uid="{00000000-0005-0000-0000-000081060000}"/>
    <cellStyle name="Nuovo 15 3 2 2" xfId="2105" xr:uid="{00000000-0005-0000-0000-000082060000}"/>
    <cellStyle name="Nuovo 15 3 2 2 2" xfId="26815" xr:uid="{3888F2C6-898B-41CA-8E09-4514944CC2EA}"/>
    <cellStyle name="Nuovo 15 3 2 3" xfId="8077" xr:uid="{E33F15C0-B8EF-4DE3-9972-5D1764918CC8}"/>
    <cellStyle name="Nuovo 15 3 2 3 2" xfId="14078" xr:uid="{DF6BDEE3-2D2A-418F-BC7B-4B8B3A1A32E0}"/>
    <cellStyle name="Nuovo 15 3 2 4" xfId="26814" xr:uid="{F83252AF-F7F5-4139-B5CD-F9B2E3AF004F}"/>
    <cellStyle name="Nuovo 15 3 3" xfId="4116" xr:uid="{D1C30CCD-9832-4582-BED6-A70C5191CA94}"/>
    <cellStyle name="Nuovo 15 3 3 2" xfId="9268" xr:uid="{0E3AD4E6-9F84-48ED-89A8-53257D84B1C8}"/>
    <cellStyle name="Nuovo 15 3 3 2 2" xfId="26817" xr:uid="{1C636180-9805-4C73-B4E4-58A6042BEDFC}"/>
    <cellStyle name="Nuovo 15 3 3 3" xfId="26816" xr:uid="{5D624AF0-6F80-4741-8860-5642A7DDD85F}"/>
    <cellStyle name="Nuovo 15 3 4" xfId="4117" xr:uid="{8AEAE1A3-272A-4158-A711-3BB33F95F417}"/>
    <cellStyle name="Nuovo 15 3 4 2" xfId="13738" xr:uid="{693FA69D-CED0-41EF-B8ED-39913784792E}"/>
    <cellStyle name="Nuovo 15 3 4 3" xfId="26818" xr:uid="{F21AF9A9-5DCD-41F8-9ECD-E0B677D52C6C}"/>
    <cellStyle name="Nuovo 15 3 5" xfId="11526" xr:uid="{B17050D1-8CED-4D4D-9604-E64F69964961}"/>
    <cellStyle name="Nuovo 15 3 6" xfId="26813" xr:uid="{8FD6D04B-0600-4268-B380-BAC4746629EA}"/>
    <cellStyle name="Nuovo 15 4" xfId="2106" xr:uid="{00000000-0005-0000-0000-000083060000}"/>
    <cellStyle name="Nuovo 15 4 2" xfId="2107" xr:uid="{00000000-0005-0000-0000-000084060000}"/>
    <cellStyle name="Nuovo 15 4 2 2" xfId="9269" xr:uid="{2CFBF946-815D-4756-A19A-D7C98599DBDB}"/>
    <cellStyle name="Nuovo 15 4 2 2 2" xfId="26821" xr:uid="{663B764A-EF13-4CE8-B778-11395218367A}"/>
    <cellStyle name="Nuovo 15 4 2 3" xfId="17858" xr:uid="{08D7E112-7585-4976-B0D7-1160780BABFC}"/>
    <cellStyle name="Nuovo 15 4 2 4" xfId="26820" xr:uid="{F1CEAACD-E809-455D-AF69-66926260B027}"/>
    <cellStyle name="Nuovo 15 4 2 5" xfId="17003" xr:uid="{1116C68F-F7F1-4708-B2C3-E58583D37E94}"/>
    <cellStyle name="Nuovo 15 4 3" xfId="9270" xr:uid="{F696F87C-B2FF-464D-8C5D-8C9241FD2963}"/>
    <cellStyle name="Nuovo 15 4 3 2" xfId="26822" xr:uid="{B06D3ED0-A8D5-491F-8E00-B425AB67E897}"/>
    <cellStyle name="Nuovo 15 4 4" xfId="26819" xr:uid="{5D4204A4-ABA8-4DE7-8704-EB9496436DF4}"/>
    <cellStyle name="Nuovo 15 5" xfId="2108" xr:uid="{00000000-0005-0000-0000-000085060000}"/>
    <cellStyle name="Nuovo 15 5 2" xfId="26823" xr:uid="{EE66ADCC-5AE4-42D5-A6E9-93004A1CE1A9}"/>
    <cellStyle name="Nuovo 15 6" xfId="4118" xr:uid="{EAC982BB-9C75-41FB-80A2-09932D31C774}"/>
    <cellStyle name="Nuovo 15 6 2" xfId="9774" xr:uid="{2B860115-CBF0-4D87-956A-02E8FBF80344}"/>
    <cellStyle name="Nuovo 15 7" xfId="26810" xr:uid="{3D4E834E-3F6D-428E-8DB9-EC3D210CC8C0}"/>
    <cellStyle name="Nuovo 16" xfId="813" xr:uid="{00000000-0005-0000-0000-000086060000}"/>
    <cellStyle name="Nuovo 16 2" xfId="814" xr:uid="{00000000-0005-0000-0000-000087060000}"/>
    <cellStyle name="Nuovo 16 2 2" xfId="4119" xr:uid="{674E81C1-15FC-48CE-82A3-C9A86B0EC722}"/>
    <cellStyle name="Nuovo 16 2 2 2" xfId="13525" xr:uid="{0BFA7FE3-6E2E-46F2-84BC-9B3F8F8A390C}"/>
    <cellStyle name="Nuovo 16 2 2 3" xfId="26826" xr:uid="{E826885B-CAC9-4E83-B0CF-B27DB64FCDF3}"/>
    <cellStyle name="Nuovo 16 2 3" xfId="13261" xr:uid="{BD0C9426-3D6B-4B4A-8E81-01F31D6668DF}"/>
    <cellStyle name="Nuovo 16 2 4" xfId="26825" xr:uid="{31062CA0-4CE9-49DE-8961-DAFA0B4A3810}"/>
    <cellStyle name="Nuovo 16 3" xfId="815" xr:uid="{00000000-0005-0000-0000-000088060000}"/>
    <cellStyle name="Nuovo 16 3 2" xfId="816" xr:uid="{00000000-0005-0000-0000-000089060000}"/>
    <cellStyle name="Nuovo 16 3 2 2" xfId="2109" xr:uid="{00000000-0005-0000-0000-00008A060000}"/>
    <cellStyle name="Nuovo 16 3 2 2 2" xfId="26829" xr:uid="{49AADD98-BCE9-453F-9C5F-2972B7C149DF}"/>
    <cellStyle name="Nuovo 16 3 2 3" xfId="8078" xr:uid="{CF5F2C7F-99CE-4926-B34C-539D24E85646}"/>
    <cellStyle name="Nuovo 16 3 2 3 2" xfId="14079" xr:uid="{914D4537-29C0-47F8-BD21-6B2310C99250}"/>
    <cellStyle name="Nuovo 16 3 2 4" xfId="26828" xr:uid="{92B3EF71-987C-4D60-8DAA-30A5862697B5}"/>
    <cellStyle name="Nuovo 16 3 3" xfId="4120" xr:uid="{732E2F74-9831-459D-996F-B14AB6D6AA93}"/>
    <cellStyle name="Nuovo 16 3 3 2" xfId="9271" xr:uid="{A404155A-8959-4121-B33E-8AC1EF9D4F8C}"/>
    <cellStyle name="Nuovo 16 3 3 2 2" xfId="26831" xr:uid="{CCCC3D13-E4ED-4848-8E74-DBC5A3E2248E}"/>
    <cellStyle name="Nuovo 16 3 3 3" xfId="26830" xr:uid="{FAC76E03-198D-4146-9BE4-69B7DFDC66EA}"/>
    <cellStyle name="Nuovo 16 3 4" xfId="4121" xr:uid="{D0C9F8CE-B331-4CEC-BA70-E5E2AF66290F}"/>
    <cellStyle name="Nuovo 16 3 4 2" xfId="13739" xr:uid="{BCD7D23E-15AA-40C3-88BC-F884AE3D2B7E}"/>
    <cellStyle name="Nuovo 16 3 4 3" xfId="26832" xr:uid="{CDEF79EE-FB9D-4A55-B32D-5CE7896FC532}"/>
    <cellStyle name="Nuovo 16 3 5" xfId="11124" xr:uid="{38D30BF8-A156-4DB7-9749-5325AAE2DB84}"/>
    <cellStyle name="Nuovo 16 3 6" xfId="26827" xr:uid="{5466334B-6D0F-4F46-9604-531FEE379345}"/>
    <cellStyle name="Nuovo 16 4" xfId="2110" xr:uid="{00000000-0005-0000-0000-00008B060000}"/>
    <cellStyle name="Nuovo 16 4 2" xfId="2111" xr:uid="{00000000-0005-0000-0000-00008C060000}"/>
    <cellStyle name="Nuovo 16 4 2 2" xfId="9272" xr:uid="{37A7AEC5-4E71-485B-84D7-12BF6BBF592C}"/>
    <cellStyle name="Nuovo 16 4 2 2 2" xfId="26835" xr:uid="{2FB9223B-D8FE-4E06-A2BE-1E8CF1B1C38A}"/>
    <cellStyle name="Nuovo 16 4 2 3" xfId="17859" xr:uid="{E4B0FACB-31B1-408D-90E0-74F628AF3094}"/>
    <cellStyle name="Nuovo 16 4 2 4" xfId="26834" xr:uid="{0D6E15ED-9569-4EAD-8902-4D8476BA1034}"/>
    <cellStyle name="Nuovo 16 4 2 5" xfId="17000" xr:uid="{71E8DCA5-67E5-40EB-BD32-0CD54A94B997}"/>
    <cellStyle name="Nuovo 16 4 3" xfId="9273" xr:uid="{C886ED95-3103-4DC6-9982-51AFC6CEFD2A}"/>
    <cellStyle name="Nuovo 16 4 3 2" xfId="26836" xr:uid="{7D28022C-0AD7-4085-95E8-AC9BA4E6EE28}"/>
    <cellStyle name="Nuovo 16 4 4" xfId="26833" xr:uid="{FC46FC3C-484C-4055-BEB4-C7BE21417500}"/>
    <cellStyle name="Nuovo 16 5" xfId="2112" xr:uid="{00000000-0005-0000-0000-00008D060000}"/>
    <cellStyle name="Nuovo 16 5 2" xfId="26837" xr:uid="{DF1271FD-2234-4C87-A573-46054AAA56EA}"/>
    <cellStyle name="Nuovo 16 6" xfId="4122" xr:uid="{6A3142C1-60C7-4085-8046-8BB8F78E1344}"/>
    <cellStyle name="Nuovo 16 6 2" xfId="9775" xr:uid="{FDB0036C-4369-4CA3-B688-64B2DE287A72}"/>
    <cellStyle name="Nuovo 16 7" xfId="26824" xr:uid="{0E8A1D69-B479-4BE3-B5C7-E7A1B0889293}"/>
    <cellStyle name="Nuovo 17" xfId="817" xr:uid="{00000000-0005-0000-0000-00008E060000}"/>
    <cellStyle name="Nuovo 17 2" xfId="818" xr:uid="{00000000-0005-0000-0000-00008F060000}"/>
    <cellStyle name="Nuovo 17 2 2" xfId="4123" xr:uid="{5680E20D-068A-478C-92E7-F135E9BF847C}"/>
    <cellStyle name="Nuovo 17 2 2 2" xfId="13526" xr:uid="{B9A90D01-2691-4386-BBC2-574AEBB4AB03}"/>
    <cellStyle name="Nuovo 17 2 2 3" xfId="26840" xr:uid="{3DA4EFCF-9789-4852-9D8C-06FD1C73252B}"/>
    <cellStyle name="Nuovo 17 2 3" xfId="13262" xr:uid="{64F3475B-DC25-49DE-A9DE-9DEDEBCF66D9}"/>
    <cellStyle name="Nuovo 17 2 4" xfId="26839" xr:uid="{386A8292-AF3E-4839-BD94-CE458B00352F}"/>
    <cellStyle name="Nuovo 17 3" xfId="819" xr:uid="{00000000-0005-0000-0000-000090060000}"/>
    <cellStyle name="Nuovo 17 3 2" xfId="820" xr:uid="{00000000-0005-0000-0000-000091060000}"/>
    <cellStyle name="Nuovo 17 3 2 2" xfId="2113" xr:uid="{00000000-0005-0000-0000-000092060000}"/>
    <cellStyle name="Nuovo 17 3 2 2 2" xfId="26843" xr:uid="{56E082A9-2329-4B2E-8012-A727DE988668}"/>
    <cellStyle name="Nuovo 17 3 2 3" xfId="8079" xr:uid="{22749D5B-D498-44DE-9DD0-569619B7EE33}"/>
    <cellStyle name="Nuovo 17 3 2 3 2" xfId="14080" xr:uid="{ED25BF14-5C7A-406F-9D3D-B1D5EDB3BBA7}"/>
    <cellStyle name="Nuovo 17 3 2 4" xfId="26842" xr:uid="{9415B1BC-D2CF-4865-908F-CEB36BD187C1}"/>
    <cellStyle name="Nuovo 17 3 3" xfId="4124" xr:uid="{6E633A86-78F0-48E6-A391-B054F0BF6D9A}"/>
    <cellStyle name="Nuovo 17 3 3 2" xfId="9274" xr:uid="{0E562992-A542-445C-94CB-2D3F7B98FDA4}"/>
    <cellStyle name="Nuovo 17 3 3 2 2" xfId="26845" xr:uid="{324D4E74-4DE5-4073-A101-56B0E7D66508}"/>
    <cellStyle name="Nuovo 17 3 3 3" xfId="26844" xr:uid="{25DCA003-27B8-4B81-B549-117447310214}"/>
    <cellStyle name="Nuovo 17 3 4" xfId="4125" xr:uid="{540D7934-7F25-4A18-B460-B6BA43E1E95E}"/>
    <cellStyle name="Nuovo 17 3 4 2" xfId="13740" xr:uid="{9D7B899C-7FA4-42AD-8C14-29E2EBD52C43}"/>
    <cellStyle name="Nuovo 17 3 4 3" xfId="26846" xr:uid="{9DF310C7-50B2-4C17-8864-EB38A63D2CEB}"/>
    <cellStyle name="Nuovo 17 3 5" xfId="12255" xr:uid="{66D6BFDC-4D1A-481C-A0B3-00A568E424BF}"/>
    <cellStyle name="Nuovo 17 3 6" xfId="26841" xr:uid="{D367C54E-DF59-4C72-B0EA-02CD522D50E3}"/>
    <cellStyle name="Nuovo 17 4" xfId="2114" xr:uid="{00000000-0005-0000-0000-000093060000}"/>
    <cellStyle name="Nuovo 17 4 2" xfId="2115" xr:uid="{00000000-0005-0000-0000-000094060000}"/>
    <cellStyle name="Nuovo 17 4 2 2" xfId="9275" xr:uid="{B7D72153-BBDD-4612-884E-B6C25E637A81}"/>
    <cellStyle name="Nuovo 17 4 2 2 2" xfId="26849" xr:uid="{90CAFA27-2605-4743-8440-79F7CF803FBB}"/>
    <cellStyle name="Nuovo 17 4 2 3" xfId="17860" xr:uid="{6C72D77F-20CD-4A69-854C-8B0AED43D0CD}"/>
    <cellStyle name="Nuovo 17 4 2 4" xfId="26848" xr:uid="{6A9181B2-4892-4523-AF14-27C35C16CC65}"/>
    <cellStyle name="Nuovo 17 4 2 5" xfId="16999" xr:uid="{C85BF479-FFE8-4464-9ECE-20071E35EEEB}"/>
    <cellStyle name="Nuovo 17 4 3" xfId="9276" xr:uid="{FC923EB8-9BEC-4EF9-B12D-C011A2EAFDAA}"/>
    <cellStyle name="Nuovo 17 4 3 2" xfId="26850" xr:uid="{896B88F7-E541-41C1-AE56-A67ECDB11B85}"/>
    <cellStyle name="Nuovo 17 4 4" xfId="26847" xr:uid="{93C7EB35-EFF8-4A62-8BA1-476CF484B611}"/>
    <cellStyle name="Nuovo 17 5" xfId="2116" xr:uid="{00000000-0005-0000-0000-000095060000}"/>
    <cellStyle name="Nuovo 17 5 2" xfId="26851" xr:uid="{1EB9EE26-08FA-4304-BA7A-BF0F969D8475}"/>
    <cellStyle name="Nuovo 17 6" xfId="4126" xr:uid="{685BADFE-6FEA-4AF5-852B-24E28B30987F}"/>
    <cellStyle name="Nuovo 17 6 2" xfId="9776" xr:uid="{B106A9A8-3012-452E-95D6-07DF7FEB9FC4}"/>
    <cellStyle name="Nuovo 17 7" xfId="26838" xr:uid="{82D1893F-8EAA-42C9-AA67-CD5381DE10A6}"/>
    <cellStyle name="Nuovo 18" xfId="821" xr:uid="{00000000-0005-0000-0000-000096060000}"/>
    <cellStyle name="Nuovo 18 2" xfId="822" xr:uid="{00000000-0005-0000-0000-000097060000}"/>
    <cellStyle name="Nuovo 18 2 2" xfId="4127" xr:uid="{16C23854-7301-45A9-A809-4071B3DB4052}"/>
    <cellStyle name="Nuovo 18 2 2 2" xfId="13527" xr:uid="{9768A9CE-6474-4FFC-AE6A-294E34508D64}"/>
    <cellStyle name="Nuovo 18 2 2 3" xfId="26854" xr:uid="{D85E5B60-EFB8-4363-A8E2-D2711A47650E}"/>
    <cellStyle name="Nuovo 18 2 3" xfId="13263" xr:uid="{0E7FAC49-7F66-4521-AC23-E3DEE0FD6280}"/>
    <cellStyle name="Nuovo 18 2 4" xfId="26853" xr:uid="{73B1D0CD-E1E2-412C-9815-286335A29032}"/>
    <cellStyle name="Nuovo 18 3" xfId="823" xr:uid="{00000000-0005-0000-0000-000098060000}"/>
    <cellStyle name="Nuovo 18 3 2" xfId="824" xr:uid="{00000000-0005-0000-0000-000099060000}"/>
    <cellStyle name="Nuovo 18 3 2 2" xfId="2117" xr:uid="{00000000-0005-0000-0000-00009A060000}"/>
    <cellStyle name="Nuovo 18 3 2 2 2" xfId="26857" xr:uid="{15A88CE9-3D55-427E-8F77-9DE6419F3A02}"/>
    <cellStyle name="Nuovo 18 3 2 3" xfId="8080" xr:uid="{1F9CCCD2-B19A-41BA-9A17-C6DF2044982A}"/>
    <cellStyle name="Nuovo 18 3 2 3 2" xfId="14081" xr:uid="{66A866B8-195A-48B4-B993-457A25ED944F}"/>
    <cellStyle name="Nuovo 18 3 2 4" xfId="26856" xr:uid="{A5905077-9D5B-4A1F-A2B2-2406AC1B4898}"/>
    <cellStyle name="Nuovo 18 3 3" xfId="4128" xr:uid="{E7417115-6237-478F-BE88-ABFB7AE2A3E1}"/>
    <cellStyle name="Nuovo 18 3 3 2" xfId="9277" xr:uid="{BF06A6A8-2F31-4E0E-BFB2-791EE3A98C6F}"/>
    <cellStyle name="Nuovo 18 3 3 2 2" xfId="26859" xr:uid="{C9808807-8068-4A17-914E-81330856D67B}"/>
    <cellStyle name="Nuovo 18 3 3 3" xfId="26858" xr:uid="{BD8B7010-B6FB-42B4-AE6B-9B6F53F36666}"/>
    <cellStyle name="Nuovo 18 3 4" xfId="4129" xr:uid="{12395711-7F7B-41F0-A4FD-E716E0CD77AD}"/>
    <cellStyle name="Nuovo 18 3 4 2" xfId="13741" xr:uid="{F6369F1C-BAAC-447C-A394-B604C62D95C0}"/>
    <cellStyle name="Nuovo 18 3 4 3" xfId="26860" xr:uid="{C0ABE044-CD93-478D-8F0A-41A9FC4AA8C6}"/>
    <cellStyle name="Nuovo 18 3 5" xfId="12290" xr:uid="{51E97831-DE30-4F67-B249-638A3449A4E8}"/>
    <cellStyle name="Nuovo 18 3 6" xfId="26855" xr:uid="{E738C5C2-9464-421E-BE24-0A8255F4A9A0}"/>
    <cellStyle name="Nuovo 18 4" xfId="2118" xr:uid="{00000000-0005-0000-0000-00009B060000}"/>
    <cellStyle name="Nuovo 18 4 2" xfId="2119" xr:uid="{00000000-0005-0000-0000-00009C060000}"/>
    <cellStyle name="Nuovo 18 4 2 2" xfId="9278" xr:uid="{D967E8D8-5884-439D-BD7F-DD5773323B10}"/>
    <cellStyle name="Nuovo 18 4 2 2 2" xfId="26863" xr:uid="{0703A6D8-6774-4119-8864-05B53A96F8FB}"/>
    <cellStyle name="Nuovo 18 4 2 3" xfId="17861" xr:uid="{56281425-C6F4-4229-A553-044764CC93EC}"/>
    <cellStyle name="Nuovo 18 4 2 4" xfId="26862" xr:uid="{ED5F36BC-EA8D-4E26-B144-EE6990728A4C}"/>
    <cellStyle name="Nuovo 18 4 2 5" xfId="16998" xr:uid="{B51137B3-D72C-4E7E-8341-0AC6CC6D1C87}"/>
    <cellStyle name="Nuovo 18 4 3" xfId="9279" xr:uid="{A4290608-DE32-4FB1-89C0-D213BF4A7FA4}"/>
    <cellStyle name="Nuovo 18 4 3 2" xfId="26864" xr:uid="{93825D5A-812D-4CB1-B778-EC7FF73455CE}"/>
    <cellStyle name="Nuovo 18 4 4" xfId="26861" xr:uid="{4D653D8A-C343-4870-865E-BCB38569F991}"/>
    <cellStyle name="Nuovo 18 5" xfId="2120" xr:uid="{00000000-0005-0000-0000-00009D060000}"/>
    <cellStyle name="Nuovo 18 5 2" xfId="26865" xr:uid="{B07D87C7-FCDE-4F77-82A2-780242742D21}"/>
    <cellStyle name="Nuovo 18 6" xfId="4130" xr:uid="{97BBC2CC-FD9F-4A01-82CE-0168A96D7A4B}"/>
    <cellStyle name="Nuovo 18 6 2" xfId="9777" xr:uid="{F2588A6C-4E2A-42E2-AB5A-3135F836BD23}"/>
    <cellStyle name="Nuovo 18 7" xfId="26852" xr:uid="{9A96B299-920D-4D6E-8A3B-371F13CE1C8B}"/>
    <cellStyle name="Nuovo 19" xfId="825" xr:uid="{00000000-0005-0000-0000-00009E060000}"/>
    <cellStyle name="Nuovo 19 2" xfId="826" xr:uid="{00000000-0005-0000-0000-00009F060000}"/>
    <cellStyle name="Nuovo 19 2 2" xfId="4131" xr:uid="{0469468D-0A85-41AA-881E-0E4239FFFFB2}"/>
    <cellStyle name="Nuovo 19 2 2 2" xfId="13528" xr:uid="{A9383297-0837-4399-A982-21BFFC973597}"/>
    <cellStyle name="Nuovo 19 2 2 3" xfId="26868" xr:uid="{B2754FAB-AA69-4DAE-BD82-5046063B0173}"/>
    <cellStyle name="Nuovo 19 2 3" xfId="13264" xr:uid="{0A66C863-075A-4702-A359-FFF1659E2DFC}"/>
    <cellStyle name="Nuovo 19 2 4" xfId="26867" xr:uid="{AC207970-DCF2-42FD-B586-7042F1ABEEF0}"/>
    <cellStyle name="Nuovo 19 3" xfId="827" xr:uid="{00000000-0005-0000-0000-0000A0060000}"/>
    <cellStyle name="Nuovo 19 3 2" xfId="828" xr:uid="{00000000-0005-0000-0000-0000A1060000}"/>
    <cellStyle name="Nuovo 19 3 2 2" xfId="2121" xr:uid="{00000000-0005-0000-0000-0000A2060000}"/>
    <cellStyle name="Nuovo 19 3 2 2 2" xfId="26871" xr:uid="{6DA514FB-F091-45E7-B4CC-158E6058686C}"/>
    <cellStyle name="Nuovo 19 3 2 3" xfId="8081" xr:uid="{8554760E-C743-41A6-863D-6FA0D653F441}"/>
    <cellStyle name="Nuovo 19 3 2 3 2" xfId="14082" xr:uid="{64E414CB-3AE7-4CD6-8A48-E5DE4811C721}"/>
    <cellStyle name="Nuovo 19 3 2 4" xfId="26870" xr:uid="{8264C23A-BEED-4C4F-B12F-89039CF980C4}"/>
    <cellStyle name="Nuovo 19 3 3" xfId="4132" xr:uid="{3527E782-8BAD-4E82-B406-EAA2BB25A9BC}"/>
    <cellStyle name="Nuovo 19 3 3 2" xfId="9280" xr:uid="{197C0E0F-3E47-4D9F-B92E-DF42AC41BF72}"/>
    <cellStyle name="Nuovo 19 3 3 2 2" xfId="26873" xr:uid="{F8E282C5-5696-4610-8B34-2A8FDA110222}"/>
    <cellStyle name="Nuovo 19 3 3 3" xfId="26872" xr:uid="{002AF38F-B9D6-457D-B8C1-5315DD0F9B76}"/>
    <cellStyle name="Nuovo 19 3 4" xfId="4133" xr:uid="{48E805F6-9715-4CBD-AC54-5C6A713CB2F7}"/>
    <cellStyle name="Nuovo 19 3 4 2" xfId="13742" xr:uid="{028E0C8A-7258-413F-813D-E8B09C237F78}"/>
    <cellStyle name="Nuovo 19 3 4 3" xfId="26874" xr:uid="{785C1D9F-5D28-4E4F-B29D-B0EA91310E65}"/>
    <cellStyle name="Nuovo 19 3 5" xfId="12253" xr:uid="{0A2C0C76-2656-4DD5-B9F3-1400D0805DD6}"/>
    <cellStyle name="Nuovo 19 3 6" xfId="26869" xr:uid="{92464BFB-AE89-48DE-8BE1-D78533CD2558}"/>
    <cellStyle name="Nuovo 19 4" xfId="2122" xr:uid="{00000000-0005-0000-0000-0000A3060000}"/>
    <cellStyle name="Nuovo 19 4 2" xfId="2123" xr:uid="{00000000-0005-0000-0000-0000A4060000}"/>
    <cellStyle name="Nuovo 19 4 2 2" xfId="9281" xr:uid="{4BEAAB3B-E061-493C-99AA-9B65B476AD21}"/>
    <cellStyle name="Nuovo 19 4 2 2 2" xfId="26877" xr:uid="{E7138712-F1DB-49F4-A0F2-9509BCF2F21F}"/>
    <cellStyle name="Nuovo 19 4 2 3" xfId="17862" xr:uid="{E15C583D-4508-43F6-AA2A-4878D49D2FC2}"/>
    <cellStyle name="Nuovo 19 4 2 4" xfId="26876" xr:uid="{0D6FA945-9A3B-4376-86F0-3F5450DF661F}"/>
    <cellStyle name="Nuovo 19 4 2 5" xfId="16997" xr:uid="{CBBBDF0C-FF1E-467C-8431-B0BE9ACC9FD8}"/>
    <cellStyle name="Nuovo 19 4 3" xfId="9282" xr:uid="{CCBA7983-C22F-40B1-81E7-A434A0B0399E}"/>
    <cellStyle name="Nuovo 19 4 3 2" xfId="26878" xr:uid="{66E37BA2-8819-4A09-A2BF-E5D6E3815D85}"/>
    <cellStyle name="Nuovo 19 4 4" xfId="26875" xr:uid="{DB556F40-0D41-4028-8E78-B3CB529FF6BB}"/>
    <cellStyle name="Nuovo 19 5" xfId="2124" xr:uid="{00000000-0005-0000-0000-0000A5060000}"/>
    <cellStyle name="Nuovo 19 5 2" xfId="26879" xr:uid="{2C8BD08C-060D-4C58-9255-3F3AB50D16DF}"/>
    <cellStyle name="Nuovo 19 6" xfId="4134" xr:uid="{2523D6B6-F43D-4715-946F-6ED9B7ED078C}"/>
    <cellStyle name="Nuovo 19 6 2" xfId="9778" xr:uid="{E6E07AF0-555D-4F0B-AB66-0937EF185238}"/>
    <cellStyle name="Nuovo 19 7" xfId="26866" xr:uid="{5351655E-5ADA-481A-B4B2-433AD41D51F0}"/>
    <cellStyle name="Nuovo 2" xfId="829" xr:uid="{00000000-0005-0000-0000-0000A6060000}"/>
    <cellStyle name="Nuovo 2 2" xfId="830" xr:uid="{00000000-0005-0000-0000-0000A7060000}"/>
    <cellStyle name="Nuovo 2 2 2" xfId="4135" xr:uid="{E53EEAB2-42F8-43AC-A993-346B1C133123}"/>
    <cellStyle name="Nuovo 2 2 2 2" xfId="13529" xr:uid="{CF3AACCE-B9B6-47B1-A5F2-CC41BB7EAD18}"/>
    <cellStyle name="Nuovo 2 2 2 3" xfId="26882" xr:uid="{E28B7FDF-C241-46C8-83AD-08B4D5C320B2}"/>
    <cellStyle name="Nuovo 2 2 3" xfId="13265" xr:uid="{C5071D0A-4695-4A4E-9868-FB2197466240}"/>
    <cellStyle name="Nuovo 2 2 4" xfId="26881" xr:uid="{E27EF1DD-8F45-4BA8-9727-909EF930F38F}"/>
    <cellStyle name="Nuovo 2 3" xfId="831" xr:uid="{00000000-0005-0000-0000-0000A8060000}"/>
    <cellStyle name="Nuovo 2 3 2" xfId="832" xr:uid="{00000000-0005-0000-0000-0000A9060000}"/>
    <cellStyle name="Nuovo 2 3 2 2" xfId="2125" xr:uid="{00000000-0005-0000-0000-0000AA060000}"/>
    <cellStyle name="Nuovo 2 3 2 2 2" xfId="26885" xr:uid="{D3CA7663-8E75-4FE8-8381-12B0859E8069}"/>
    <cellStyle name="Nuovo 2 3 2 3" xfId="8082" xr:uid="{83B0C817-DCB3-4FF9-A76E-1D2A582D6FD9}"/>
    <cellStyle name="Nuovo 2 3 2 3 2" xfId="14083" xr:uid="{B217C8EA-5ED2-4824-9010-3C768CED4CCC}"/>
    <cellStyle name="Nuovo 2 3 2 4" xfId="26884" xr:uid="{0AD56391-B97F-411C-A4E8-196209FB4A11}"/>
    <cellStyle name="Nuovo 2 3 3" xfId="4136" xr:uid="{71E8C56B-7BD8-4CA0-A7C2-ABF6955CB7A2}"/>
    <cellStyle name="Nuovo 2 3 3 2" xfId="9283" xr:uid="{8750224F-C0C4-4599-9536-C10AA28672EB}"/>
    <cellStyle name="Nuovo 2 3 3 2 2" xfId="26887" xr:uid="{F82082E3-4BA4-4B74-9ECD-4E0EAED9EFC8}"/>
    <cellStyle name="Nuovo 2 3 3 3" xfId="26886" xr:uid="{5CFDC2CE-D9F7-4588-ADD8-4569503B0561}"/>
    <cellStyle name="Nuovo 2 3 4" xfId="4137" xr:uid="{D5F7A0F4-288E-43E4-AA47-4F708922E956}"/>
    <cellStyle name="Nuovo 2 3 4 2" xfId="13743" xr:uid="{123B02DF-E764-422E-8FA5-04F51B773FFF}"/>
    <cellStyle name="Nuovo 2 3 4 3" xfId="26888" xr:uid="{75E28F60-BDF5-4D5F-9668-A240F7256F71}"/>
    <cellStyle name="Nuovo 2 3 5" xfId="11705" xr:uid="{4A301821-E690-4E74-80BE-47144F62E6F1}"/>
    <cellStyle name="Nuovo 2 3 6" xfId="26883" xr:uid="{9A012426-037C-4DB6-9D95-CD72B0E3E122}"/>
    <cellStyle name="Nuovo 2 4" xfId="2126" xr:uid="{00000000-0005-0000-0000-0000AB060000}"/>
    <cellStyle name="Nuovo 2 4 2" xfId="2127" xr:uid="{00000000-0005-0000-0000-0000AC060000}"/>
    <cellStyle name="Nuovo 2 4 2 2" xfId="9284" xr:uid="{FA05B748-F6D7-4282-9417-4068F646F139}"/>
    <cellStyle name="Nuovo 2 4 2 2 2" xfId="26891" xr:uid="{DDD0B65B-87EA-45F8-9D64-D9929CA99D61}"/>
    <cellStyle name="Nuovo 2 4 2 3" xfId="17863" xr:uid="{9AE4382F-14BC-4335-A131-58090E4F73F8}"/>
    <cellStyle name="Nuovo 2 4 2 4" xfId="26890" xr:uid="{89826831-9964-4BF2-A8F7-FC1ACC6F1FEA}"/>
    <cellStyle name="Nuovo 2 4 2 5" xfId="16996" xr:uid="{88C0F7C6-D9EC-4FA3-AC73-8C14321B5380}"/>
    <cellStyle name="Nuovo 2 4 3" xfId="9285" xr:uid="{E4183768-FDAB-4EF7-AD79-5B4F984A82DE}"/>
    <cellStyle name="Nuovo 2 4 3 2" xfId="26892" xr:uid="{53DD65C1-2657-41F8-A4A3-60CC8DB33E2F}"/>
    <cellStyle name="Nuovo 2 4 4" xfId="26889" xr:uid="{E9D5446B-6F5E-445C-9C70-0439090B9A4D}"/>
    <cellStyle name="Nuovo 2 5" xfId="2128" xr:uid="{00000000-0005-0000-0000-0000AD060000}"/>
    <cellStyle name="Nuovo 2 5 2" xfId="26893" xr:uid="{87D010B8-706E-41A4-B875-2A707925782E}"/>
    <cellStyle name="Nuovo 2 6" xfId="4138" xr:uid="{9DAE8486-7251-47E8-B4DF-8963FA0B0B0F}"/>
    <cellStyle name="Nuovo 2 6 2" xfId="9779" xr:uid="{8700AF4E-9784-4C1E-B031-75C25C430442}"/>
    <cellStyle name="Nuovo 2 7" xfId="26880" xr:uid="{DA15F51C-0E02-4CE8-BBE3-DBFE9E0F5B5C}"/>
    <cellStyle name="Nuovo 20" xfId="833" xr:uid="{00000000-0005-0000-0000-0000AE060000}"/>
    <cellStyle name="Nuovo 20 2" xfId="834" xr:uid="{00000000-0005-0000-0000-0000AF060000}"/>
    <cellStyle name="Nuovo 20 2 2" xfId="4139" xr:uid="{E2D7AAF1-48E6-4223-98C5-DFB33D211CC2}"/>
    <cellStyle name="Nuovo 20 2 2 2" xfId="13530" xr:uid="{8BF1B432-129D-48CF-A50D-5607533991EC}"/>
    <cellStyle name="Nuovo 20 2 2 3" xfId="26896" xr:uid="{F38F6526-C50E-4A76-AE03-E4483014EBD5}"/>
    <cellStyle name="Nuovo 20 2 3" xfId="13266" xr:uid="{0B30220A-1F9E-4E08-8F15-D20E91FAE283}"/>
    <cellStyle name="Nuovo 20 2 4" xfId="26895" xr:uid="{E08AB5F9-2E38-489F-91A2-EE369D784F2A}"/>
    <cellStyle name="Nuovo 20 3" xfId="835" xr:uid="{00000000-0005-0000-0000-0000B0060000}"/>
    <cellStyle name="Nuovo 20 3 2" xfId="836" xr:uid="{00000000-0005-0000-0000-0000B1060000}"/>
    <cellStyle name="Nuovo 20 3 2 2" xfId="2129" xr:uid="{00000000-0005-0000-0000-0000B2060000}"/>
    <cellStyle name="Nuovo 20 3 2 2 2" xfId="26899" xr:uid="{3618DAC7-7F62-47A0-8C54-B88540EA02C2}"/>
    <cellStyle name="Nuovo 20 3 2 3" xfId="8083" xr:uid="{A8ECA68B-3215-4EA5-B83B-2291D676F514}"/>
    <cellStyle name="Nuovo 20 3 2 3 2" xfId="14084" xr:uid="{9959E310-618B-4A5C-B3A9-88C8FC874783}"/>
    <cellStyle name="Nuovo 20 3 2 4" xfId="26898" xr:uid="{6BBB6A8B-5694-4982-9847-13FF85E23600}"/>
    <cellStyle name="Nuovo 20 3 3" xfId="4140" xr:uid="{FA7120B4-F2EA-4B18-8870-925291E037C3}"/>
    <cellStyle name="Nuovo 20 3 3 2" xfId="9286" xr:uid="{FD3C2A68-023C-46C8-8AAD-642351264874}"/>
    <cellStyle name="Nuovo 20 3 3 2 2" xfId="26901" xr:uid="{2D2055F6-487D-423B-9B1B-5CBCB0967270}"/>
    <cellStyle name="Nuovo 20 3 3 3" xfId="26900" xr:uid="{1E0D7019-C07E-46E7-921B-F182AD9E194F}"/>
    <cellStyle name="Nuovo 20 3 4" xfId="4141" xr:uid="{F4742C02-B8A7-4197-A3B4-02427543E0C7}"/>
    <cellStyle name="Nuovo 20 3 4 2" xfId="13744" xr:uid="{CD21DF07-F5DC-4D35-9AE3-12E37CF8CD68}"/>
    <cellStyle name="Nuovo 20 3 4 3" xfId="26902" xr:uid="{32E4E636-CED1-4E71-A661-B2F2D3B1C432}"/>
    <cellStyle name="Nuovo 20 3 5" xfId="11168" xr:uid="{3EE3E568-510F-42D6-9790-C17ADD78C17B}"/>
    <cellStyle name="Nuovo 20 3 6" xfId="26897" xr:uid="{3FE60A8F-DDE9-42FE-9BF7-AB44906ACFFD}"/>
    <cellStyle name="Nuovo 20 4" xfId="2130" xr:uid="{00000000-0005-0000-0000-0000B3060000}"/>
    <cellStyle name="Nuovo 20 4 2" xfId="2131" xr:uid="{00000000-0005-0000-0000-0000B4060000}"/>
    <cellStyle name="Nuovo 20 4 2 2" xfId="9287" xr:uid="{62FC077E-DA6A-47AF-8B2A-E12DEA9C67F2}"/>
    <cellStyle name="Nuovo 20 4 2 2 2" xfId="26905" xr:uid="{DD39E68C-E667-4605-A11A-DCAC649C3DA8}"/>
    <cellStyle name="Nuovo 20 4 2 3" xfId="17864" xr:uid="{0D52ADBE-578F-46BB-8D57-D99C8345F69B}"/>
    <cellStyle name="Nuovo 20 4 2 4" xfId="26904" xr:uid="{543502C6-69B4-48C2-A9F3-8275C97ED810}"/>
    <cellStyle name="Nuovo 20 4 2 5" xfId="16995" xr:uid="{20FE1FC0-9B62-419C-9E4B-ADB49F63BB7E}"/>
    <cellStyle name="Nuovo 20 4 3" xfId="9288" xr:uid="{ECA4473F-0CA1-4471-BA38-F328B4EB9B11}"/>
    <cellStyle name="Nuovo 20 4 3 2" xfId="26906" xr:uid="{11A63F4B-4DA8-47CA-B334-6C8553A4957A}"/>
    <cellStyle name="Nuovo 20 4 4" xfId="26903" xr:uid="{19CFF423-01F7-481A-8FDE-F0AECF6F67A6}"/>
    <cellStyle name="Nuovo 20 5" xfId="2132" xr:uid="{00000000-0005-0000-0000-0000B5060000}"/>
    <cellStyle name="Nuovo 20 5 2" xfId="26907" xr:uid="{E66D1887-23AA-47A1-AAFE-0EF26071BE00}"/>
    <cellStyle name="Nuovo 20 6" xfId="4142" xr:uid="{042B3763-822C-4B3D-ADD5-8D2060976542}"/>
    <cellStyle name="Nuovo 20 6 2" xfId="9780" xr:uid="{8C1202AE-9BA0-43DC-8421-157D25E60532}"/>
    <cellStyle name="Nuovo 20 7" xfId="26894" xr:uid="{AF5E165B-FBC5-4473-8E10-B8A7993C81FB}"/>
    <cellStyle name="Nuovo 21" xfId="837" xr:uid="{00000000-0005-0000-0000-0000B6060000}"/>
    <cellStyle name="Nuovo 21 2" xfId="838" xr:uid="{00000000-0005-0000-0000-0000B7060000}"/>
    <cellStyle name="Nuovo 21 2 2" xfId="4143" xr:uid="{4FCC9E5D-23AC-4097-858A-DEEE69DC2237}"/>
    <cellStyle name="Nuovo 21 2 2 2" xfId="13531" xr:uid="{3835966C-FDB5-4943-BD00-9211BD5AB32E}"/>
    <cellStyle name="Nuovo 21 2 2 3" xfId="26910" xr:uid="{61E02F47-4534-4B55-8BF1-BF4DD57C4213}"/>
    <cellStyle name="Nuovo 21 2 3" xfId="13267" xr:uid="{4C348923-1D27-417F-93DB-27E3F01A6285}"/>
    <cellStyle name="Nuovo 21 2 4" xfId="26909" xr:uid="{9FFB159F-4D4E-4238-A5BB-964D9D6D7ACB}"/>
    <cellStyle name="Nuovo 21 3" xfId="839" xr:uid="{00000000-0005-0000-0000-0000B8060000}"/>
    <cellStyle name="Nuovo 21 3 2" xfId="840" xr:uid="{00000000-0005-0000-0000-0000B9060000}"/>
    <cellStyle name="Nuovo 21 3 2 2" xfId="2133" xr:uid="{00000000-0005-0000-0000-0000BA060000}"/>
    <cellStyle name="Nuovo 21 3 2 2 2" xfId="26913" xr:uid="{3DBCF29A-390A-4D35-9DA1-464543FE763B}"/>
    <cellStyle name="Nuovo 21 3 2 3" xfId="8084" xr:uid="{46DF2E57-C185-40BA-9F13-C4058784610C}"/>
    <cellStyle name="Nuovo 21 3 2 3 2" xfId="14085" xr:uid="{82321EDC-29F2-404D-B662-A5AD67256190}"/>
    <cellStyle name="Nuovo 21 3 2 4" xfId="26912" xr:uid="{D6FE727E-59AC-4F8D-95BD-5A3B960D08F6}"/>
    <cellStyle name="Nuovo 21 3 3" xfId="4144" xr:uid="{E46D2CAC-B7D0-43C9-892D-D9B54741D312}"/>
    <cellStyle name="Nuovo 21 3 3 2" xfId="9289" xr:uid="{E56BD314-6953-433B-8B6C-ECCEB3328936}"/>
    <cellStyle name="Nuovo 21 3 3 2 2" xfId="26915" xr:uid="{DFEC5A0F-A653-4BB7-997E-DDA0127E14A1}"/>
    <cellStyle name="Nuovo 21 3 3 3" xfId="26914" xr:uid="{7DE7B663-308E-4FD2-9BCB-C0A8D95A5859}"/>
    <cellStyle name="Nuovo 21 3 4" xfId="4145" xr:uid="{6FE9A12F-CFE3-4CC9-9C01-DDF910E5B743}"/>
    <cellStyle name="Nuovo 21 3 4 2" xfId="13745" xr:uid="{D9894C71-5ADF-4AC2-8FCE-F5106C77095C}"/>
    <cellStyle name="Nuovo 21 3 4 3" xfId="26916" xr:uid="{2C3C9C46-1B22-492B-A19B-3D88FFF69669}"/>
    <cellStyle name="Nuovo 21 3 5" xfId="11213" xr:uid="{D1017293-AA7A-433E-A7C1-0E300E6135F3}"/>
    <cellStyle name="Nuovo 21 3 6" xfId="26911" xr:uid="{496FBD82-649A-44B5-9AA9-B8353F5BC381}"/>
    <cellStyle name="Nuovo 21 4" xfId="2134" xr:uid="{00000000-0005-0000-0000-0000BB060000}"/>
    <cellStyle name="Nuovo 21 4 2" xfId="2135" xr:uid="{00000000-0005-0000-0000-0000BC060000}"/>
    <cellStyle name="Nuovo 21 4 2 2" xfId="9290" xr:uid="{88541B4E-2E4C-4E7B-8FD9-12E06D4A53F6}"/>
    <cellStyle name="Nuovo 21 4 2 2 2" xfId="26919" xr:uid="{DCAA7E5C-5026-4A6A-8C3B-3740C3B2478C}"/>
    <cellStyle name="Nuovo 21 4 2 3" xfId="17865" xr:uid="{865A2B65-72B9-4F43-B859-046D7D5C1801}"/>
    <cellStyle name="Nuovo 21 4 2 4" xfId="26918" xr:uid="{A7D3E78A-4501-4C4B-B716-9B2839DC5E83}"/>
    <cellStyle name="Nuovo 21 4 2 5" xfId="16994" xr:uid="{4B2E93D3-6DAA-4BAB-99C6-FB8842C9A926}"/>
    <cellStyle name="Nuovo 21 4 3" xfId="9291" xr:uid="{B97FC420-B54C-4D0F-A299-763C7407E88A}"/>
    <cellStyle name="Nuovo 21 4 3 2" xfId="26920" xr:uid="{4E855A64-67C8-4527-B36F-DAC1CF7211D5}"/>
    <cellStyle name="Nuovo 21 4 4" xfId="26917" xr:uid="{8896FAFE-07B8-4783-A3B2-055DB3C698D6}"/>
    <cellStyle name="Nuovo 21 5" xfId="2136" xr:uid="{00000000-0005-0000-0000-0000BD060000}"/>
    <cellStyle name="Nuovo 21 5 2" xfId="26921" xr:uid="{C4117D1C-6A8B-46B4-ACAC-47140F1A7383}"/>
    <cellStyle name="Nuovo 21 6" xfId="4146" xr:uid="{3A3FB840-1EB6-4965-9D89-22B6DB6D0BD6}"/>
    <cellStyle name="Nuovo 21 6 2" xfId="9781" xr:uid="{10DCCE7E-9FE7-4129-9DF0-F8F2516E710D}"/>
    <cellStyle name="Nuovo 21 7" xfId="26908" xr:uid="{A314BAD9-69F3-4976-8115-0D05E8089570}"/>
    <cellStyle name="Nuovo 22" xfId="841" xr:uid="{00000000-0005-0000-0000-0000BE060000}"/>
    <cellStyle name="Nuovo 22 2" xfId="842" xr:uid="{00000000-0005-0000-0000-0000BF060000}"/>
    <cellStyle name="Nuovo 22 2 2" xfId="4147" xr:uid="{190D5F54-5CAE-4DBC-A781-BFE482AAF63F}"/>
    <cellStyle name="Nuovo 22 2 2 2" xfId="13532" xr:uid="{AF42D2DE-DAC3-4CEC-A96C-1A73DBF8F076}"/>
    <cellStyle name="Nuovo 22 2 2 3" xfId="26924" xr:uid="{3EE2EC7F-2CC2-45E0-A74D-633A54A6BC2E}"/>
    <cellStyle name="Nuovo 22 2 3" xfId="13268" xr:uid="{3D651447-71A3-4153-AE09-1BF8F82C1AAF}"/>
    <cellStyle name="Nuovo 22 2 4" xfId="26923" xr:uid="{5F4ACDB5-3114-4A6E-AE62-855145B97412}"/>
    <cellStyle name="Nuovo 22 3" xfId="843" xr:uid="{00000000-0005-0000-0000-0000C0060000}"/>
    <cellStyle name="Nuovo 22 3 2" xfId="844" xr:uid="{00000000-0005-0000-0000-0000C1060000}"/>
    <cellStyle name="Nuovo 22 3 2 2" xfId="2137" xr:uid="{00000000-0005-0000-0000-0000C2060000}"/>
    <cellStyle name="Nuovo 22 3 2 2 2" xfId="26927" xr:uid="{9F64602D-7D66-4BAA-A21C-ADC74727261A}"/>
    <cellStyle name="Nuovo 22 3 2 3" xfId="8085" xr:uid="{4D90E068-A7A7-458D-BE60-D68B9E8953A6}"/>
    <cellStyle name="Nuovo 22 3 2 3 2" xfId="14086" xr:uid="{0F66BCF0-91A4-4352-9943-79FECC0924A4}"/>
    <cellStyle name="Nuovo 22 3 2 4" xfId="26926" xr:uid="{4AAFE26C-1190-4A25-8585-0A7628830735}"/>
    <cellStyle name="Nuovo 22 3 3" xfId="4148" xr:uid="{C98F360E-D3DB-4833-9FCC-FBFA2AB35062}"/>
    <cellStyle name="Nuovo 22 3 3 2" xfId="9292" xr:uid="{DDED313F-0434-41E3-9272-6EC311D80A73}"/>
    <cellStyle name="Nuovo 22 3 3 2 2" xfId="26929" xr:uid="{B236D636-28E3-494D-BC34-A5C3DAE17452}"/>
    <cellStyle name="Nuovo 22 3 3 3" xfId="26928" xr:uid="{8523AE93-D8BA-4286-8DEB-20584BCD25E2}"/>
    <cellStyle name="Nuovo 22 3 4" xfId="4149" xr:uid="{978C556F-C091-4EF3-A925-EB25B90AD6F3}"/>
    <cellStyle name="Nuovo 22 3 4 2" xfId="13746" xr:uid="{0AB1F027-3125-45CC-9446-4C07978D4D14}"/>
    <cellStyle name="Nuovo 22 3 4 3" xfId="26930" xr:uid="{F4EC456B-80DF-4FE3-8E84-D262DC1D0394}"/>
    <cellStyle name="Nuovo 22 3 5" xfId="12441" xr:uid="{DA71808A-93B4-46F5-9A6B-05B2CAC30642}"/>
    <cellStyle name="Nuovo 22 3 6" xfId="26925" xr:uid="{D6FBD180-A1F6-4420-9FCD-404B5942E0CB}"/>
    <cellStyle name="Nuovo 22 4" xfId="2138" xr:uid="{00000000-0005-0000-0000-0000C3060000}"/>
    <cellStyle name="Nuovo 22 4 2" xfId="2139" xr:uid="{00000000-0005-0000-0000-0000C4060000}"/>
    <cellStyle name="Nuovo 22 4 2 2" xfId="9293" xr:uid="{3BEB77F3-B40E-4DBF-9C32-144E1756DD50}"/>
    <cellStyle name="Nuovo 22 4 2 2 2" xfId="26933" xr:uid="{F73D5991-F436-4771-9B41-2C3458285F4C}"/>
    <cellStyle name="Nuovo 22 4 2 3" xfId="17866" xr:uid="{4C74D2E4-6664-48A8-840F-B7B04F438A18}"/>
    <cellStyle name="Nuovo 22 4 2 4" xfId="26932" xr:uid="{99595AE8-085C-4373-A851-98EA2F64CD6B}"/>
    <cellStyle name="Nuovo 22 4 2 5" xfId="16993" xr:uid="{3D3E100A-85C6-4CA9-A5E0-D03F4B7F05A8}"/>
    <cellStyle name="Nuovo 22 4 3" xfId="9294" xr:uid="{1A612FEE-693C-40A0-A36B-69102887DF72}"/>
    <cellStyle name="Nuovo 22 4 3 2" xfId="26934" xr:uid="{4E9CC583-B40A-43F6-82A5-2D032522A11C}"/>
    <cellStyle name="Nuovo 22 4 4" xfId="26931" xr:uid="{73F00FF1-A9B2-449C-A73C-39FBA2D16A75}"/>
    <cellStyle name="Nuovo 22 5" xfId="2140" xr:uid="{00000000-0005-0000-0000-0000C5060000}"/>
    <cellStyle name="Nuovo 22 5 2" xfId="26935" xr:uid="{7FF71506-D332-41BF-BCFC-67BAE9DE9987}"/>
    <cellStyle name="Nuovo 22 6" xfId="4150" xr:uid="{22ED8B9C-7D0C-44A3-B896-1D738241FB86}"/>
    <cellStyle name="Nuovo 22 6 2" xfId="9782" xr:uid="{AC88AF60-74BD-49E4-B7C8-97724859F800}"/>
    <cellStyle name="Nuovo 22 7" xfId="26922" xr:uid="{8C620ABC-984B-4D9D-87E2-2167F64FC60F}"/>
    <cellStyle name="Nuovo 23" xfId="845" xr:uid="{00000000-0005-0000-0000-0000C6060000}"/>
    <cellStyle name="Nuovo 23 2" xfId="846" xr:uid="{00000000-0005-0000-0000-0000C7060000}"/>
    <cellStyle name="Nuovo 23 2 2" xfId="4151" xr:uid="{7157CD31-4BAF-4EF6-839C-1BF23EFCA065}"/>
    <cellStyle name="Nuovo 23 2 2 2" xfId="13533" xr:uid="{427B8CFC-F87B-46D2-AA55-D09ADFC68975}"/>
    <cellStyle name="Nuovo 23 2 2 3" xfId="26938" xr:uid="{3FD1B108-CD1A-4DE2-BF36-31D72573611E}"/>
    <cellStyle name="Nuovo 23 2 3" xfId="13269" xr:uid="{7E809C5C-A02E-46FA-BB0C-C3EFCD1BAD14}"/>
    <cellStyle name="Nuovo 23 2 4" xfId="26937" xr:uid="{E6DCC4F0-B566-4394-9854-95886E56FFC7}"/>
    <cellStyle name="Nuovo 23 3" xfId="847" xr:uid="{00000000-0005-0000-0000-0000C8060000}"/>
    <cellStyle name="Nuovo 23 3 2" xfId="848" xr:uid="{00000000-0005-0000-0000-0000C9060000}"/>
    <cellStyle name="Nuovo 23 3 2 2" xfId="2141" xr:uid="{00000000-0005-0000-0000-0000CA060000}"/>
    <cellStyle name="Nuovo 23 3 2 2 2" xfId="26941" xr:uid="{C23081FC-61C7-4497-8328-045615CC728F}"/>
    <cellStyle name="Nuovo 23 3 2 3" xfId="8086" xr:uid="{532FE1A5-7649-4ADC-ABC9-8C60E9F8EEE6}"/>
    <cellStyle name="Nuovo 23 3 2 3 2" xfId="14087" xr:uid="{36FE240C-B563-49C5-8A61-6630A4B9D235}"/>
    <cellStyle name="Nuovo 23 3 2 4" xfId="26940" xr:uid="{54508881-C1C0-42F6-B055-0964718B9835}"/>
    <cellStyle name="Nuovo 23 3 3" xfId="4152" xr:uid="{14F9BE04-39CB-446F-93DE-2163740E8775}"/>
    <cellStyle name="Nuovo 23 3 3 2" xfId="9295" xr:uid="{AD1592CB-D337-4A8E-A738-874B40F32EA1}"/>
    <cellStyle name="Nuovo 23 3 3 2 2" xfId="26943" xr:uid="{620FECFA-4C72-4E93-BF73-8ACB0F07F12E}"/>
    <cellStyle name="Nuovo 23 3 3 3" xfId="26942" xr:uid="{BF90D167-7ADE-4CE1-8AB8-2B083DB9328B}"/>
    <cellStyle name="Nuovo 23 3 4" xfId="4153" xr:uid="{9DDA326C-DB94-4779-89B3-F731903B993B}"/>
    <cellStyle name="Nuovo 23 3 4 2" xfId="13747" xr:uid="{89D9B1C4-511D-4886-B0C9-BEA4965E9D11}"/>
    <cellStyle name="Nuovo 23 3 4 3" xfId="26944" xr:uid="{83EA0422-BA57-4AF4-ACB6-E940857373CD}"/>
    <cellStyle name="Nuovo 23 3 5" xfId="12257" xr:uid="{CD96B730-31F5-4CC8-9408-319B10E57DEC}"/>
    <cellStyle name="Nuovo 23 3 6" xfId="26939" xr:uid="{758A672E-CC6B-45BE-9042-85735A3062F4}"/>
    <cellStyle name="Nuovo 23 4" xfId="2142" xr:uid="{00000000-0005-0000-0000-0000CB060000}"/>
    <cellStyle name="Nuovo 23 4 2" xfId="2143" xr:uid="{00000000-0005-0000-0000-0000CC060000}"/>
    <cellStyle name="Nuovo 23 4 2 2" xfId="9296" xr:uid="{208A6234-EB87-467E-91D6-FDEDB8A15D78}"/>
    <cellStyle name="Nuovo 23 4 2 2 2" xfId="26947" xr:uid="{A3613FF5-942E-4482-8610-93EA81298BA0}"/>
    <cellStyle name="Nuovo 23 4 2 3" xfId="17867" xr:uid="{726438BD-E924-42F2-904C-E90E8F8743CC}"/>
    <cellStyle name="Nuovo 23 4 2 4" xfId="26946" xr:uid="{85D1FF94-AEB5-4973-85CF-509361A62265}"/>
    <cellStyle name="Nuovo 23 4 2 5" xfId="17479" xr:uid="{D1A88F4F-51F2-42BA-B7E0-208206310B85}"/>
    <cellStyle name="Nuovo 23 4 3" xfId="9297" xr:uid="{A79C7BD6-A2EB-4C6E-97E5-68E7DDF26468}"/>
    <cellStyle name="Nuovo 23 4 3 2" xfId="26948" xr:uid="{091A4766-522A-4997-87FC-7B5E641D71F2}"/>
    <cellStyle name="Nuovo 23 4 4" xfId="26945" xr:uid="{4CBCF245-1CA5-4DA8-9641-B24D824C4FB1}"/>
    <cellStyle name="Nuovo 23 5" xfId="2144" xr:uid="{00000000-0005-0000-0000-0000CD060000}"/>
    <cellStyle name="Nuovo 23 5 2" xfId="26949" xr:uid="{53F1E59F-ABA9-45BC-BF24-058DAB0B2D06}"/>
    <cellStyle name="Nuovo 23 6" xfId="4154" xr:uid="{D23FF2C2-A02C-4783-990C-742974AB7F70}"/>
    <cellStyle name="Nuovo 23 6 2" xfId="9783" xr:uid="{18ADBEE7-2A09-4C08-8F38-F5A7FD24D0D5}"/>
    <cellStyle name="Nuovo 23 7" xfId="26936" xr:uid="{8144A409-EE30-49AF-932A-24EF93D1949F}"/>
    <cellStyle name="Nuovo 24" xfId="849" xr:uid="{00000000-0005-0000-0000-0000CE060000}"/>
    <cellStyle name="Nuovo 24 2" xfId="850" xr:uid="{00000000-0005-0000-0000-0000CF060000}"/>
    <cellStyle name="Nuovo 24 2 2" xfId="4155" xr:uid="{07EF2E84-99D0-417C-8416-17D77CA7FEFD}"/>
    <cellStyle name="Nuovo 24 2 2 2" xfId="13534" xr:uid="{3D19811E-A749-4874-8EA7-176C1B7566DE}"/>
    <cellStyle name="Nuovo 24 2 2 3" xfId="26952" xr:uid="{C556097A-7E58-4C4A-8292-DB10169655BB}"/>
    <cellStyle name="Nuovo 24 2 3" xfId="13270" xr:uid="{3199F6F0-16DC-43F8-BEE6-784D690BFB98}"/>
    <cellStyle name="Nuovo 24 2 4" xfId="26951" xr:uid="{95E1236B-EA71-485D-A9FE-A4800B99BB2B}"/>
    <cellStyle name="Nuovo 24 3" xfId="851" xr:uid="{00000000-0005-0000-0000-0000D0060000}"/>
    <cellStyle name="Nuovo 24 3 2" xfId="852" xr:uid="{00000000-0005-0000-0000-0000D1060000}"/>
    <cellStyle name="Nuovo 24 3 2 2" xfId="2145" xr:uid="{00000000-0005-0000-0000-0000D2060000}"/>
    <cellStyle name="Nuovo 24 3 2 2 2" xfId="26955" xr:uid="{2EC2882D-EC61-4476-B42B-42690D5F8B56}"/>
    <cellStyle name="Nuovo 24 3 2 3" xfId="8087" xr:uid="{1BBBACE9-D904-4197-8444-F3BB646EE5A9}"/>
    <cellStyle name="Nuovo 24 3 2 3 2" xfId="14088" xr:uid="{4A581B01-9885-4DA2-B187-9ACDFC4739FD}"/>
    <cellStyle name="Nuovo 24 3 2 4" xfId="26954" xr:uid="{3C8CD56F-B18B-4D40-BCF3-5CD7BC4BCA3A}"/>
    <cellStyle name="Nuovo 24 3 3" xfId="4156" xr:uid="{56D43F84-2932-4CD3-BA6E-BF4F10A37A82}"/>
    <cellStyle name="Nuovo 24 3 3 2" xfId="9298" xr:uid="{E319618B-EF8F-470E-90C9-74A3F7100A43}"/>
    <cellStyle name="Nuovo 24 3 3 2 2" xfId="26957" xr:uid="{2555E9DC-14DF-4BF0-A90E-15E3065889F8}"/>
    <cellStyle name="Nuovo 24 3 3 3" xfId="26956" xr:uid="{FB91A124-528A-4F70-8824-3D8D01B30646}"/>
    <cellStyle name="Nuovo 24 3 4" xfId="4157" xr:uid="{470A1564-651A-4F1E-8B49-BC23ECDFCF37}"/>
    <cellStyle name="Nuovo 24 3 4 2" xfId="13748" xr:uid="{7252FCA1-AFC4-4B89-847A-334395A576BD}"/>
    <cellStyle name="Nuovo 24 3 4 3" xfId="26958" xr:uid="{1F943625-1B52-43DB-907B-BA3300D7A66C}"/>
    <cellStyle name="Nuovo 24 3 5" xfId="11127" xr:uid="{8FBA518D-FA75-4C37-B3FC-68937CAACC0D}"/>
    <cellStyle name="Nuovo 24 3 6" xfId="26953" xr:uid="{D7857E65-CE03-4CDF-9FE5-B60C11FAF06F}"/>
    <cellStyle name="Nuovo 24 4" xfId="2146" xr:uid="{00000000-0005-0000-0000-0000D3060000}"/>
    <cellStyle name="Nuovo 24 4 2" xfId="2147" xr:uid="{00000000-0005-0000-0000-0000D4060000}"/>
    <cellStyle name="Nuovo 24 4 2 2" xfId="9299" xr:uid="{51F42825-DAAC-46EF-A0B5-26D9C14FB498}"/>
    <cellStyle name="Nuovo 24 4 2 2 2" xfId="26961" xr:uid="{F2F8F5C6-4DEE-4A34-97D8-46DCCFDA7AC0}"/>
    <cellStyle name="Nuovo 24 4 2 3" xfId="17868" xr:uid="{67071843-D935-46FE-A6EF-79FC172B36C3}"/>
    <cellStyle name="Nuovo 24 4 2 4" xfId="26960" xr:uid="{A3B0CFAE-8897-44B9-9D06-0C69F2623849}"/>
    <cellStyle name="Nuovo 24 4 2 5" xfId="17481" xr:uid="{17E735F9-0AAE-40C6-A0D8-74D9930580C5}"/>
    <cellStyle name="Nuovo 24 4 3" xfId="9300" xr:uid="{21C4C983-F336-4523-91F9-01EE8E1A3C54}"/>
    <cellStyle name="Nuovo 24 4 3 2" xfId="26962" xr:uid="{4823D8C7-1344-430F-B66E-F24D7A2A649C}"/>
    <cellStyle name="Nuovo 24 4 4" xfId="26959" xr:uid="{7B237A87-2426-425B-9276-59C40410DF16}"/>
    <cellStyle name="Nuovo 24 5" xfId="2148" xr:uid="{00000000-0005-0000-0000-0000D5060000}"/>
    <cellStyle name="Nuovo 24 5 2" xfId="26963" xr:uid="{2DEACB00-F916-4EEA-819E-FFFE0DEF8255}"/>
    <cellStyle name="Nuovo 24 6" xfId="4158" xr:uid="{0962563C-1A01-4B00-B3AD-1CE8D47F7A08}"/>
    <cellStyle name="Nuovo 24 6 2" xfId="9784" xr:uid="{C16A3C2E-2ADD-4D9C-A467-B653D77E9348}"/>
    <cellStyle name="Nuovo 24 7" xfId="26950" xr:uid="{89225950-EDA2-4B72-BBF1-06B43CF715E7}"/>
    <cellStyle name="Nuovo 25" xfId="853" xr:uid="{00000000-0005-0000-0000-0000D6060000}"/>
    <cellStyle name="Nuovo 25 2" xfId="854" xr:uid="{00000000-0005-0000-0000-0000D7060000}"/>
    <cellStyle name="Nuovo 25 2 2" xfId="4159" xr:uid="{D8170EE6-B489-4C48-990E-0EA828ED6D8B}"/>
    <cellStyle name="Nuovo 25 2 2 2" xfId="13535" xr:uid="{9F5FAB29-339A-485F-91DA-C74F41D0F175}"/>
    <cellStyle name="Nuovo 25 2 2 3" xfId="26966" xr:uid="{017F06E5-A4FE-414D-AE3C-13697F768A5C}"/>
    <cellStyle name="Nuovo 25 2 3" xfId="13271" xr:uid="{3DCCCFC5-0996-4963-909A-C8BCFEBEBEDD}"/>
    <cellStyle name="Nuovo 25 2 4" xfId="26965" xr:uid="{4BAB185A-1348-4D36-8ED6-DF2D9112A9FB}"/>
    <cellStyle name="Nuovo 25 3" xfId="855" xr:uid="{00000000-0005-0000-0000-0000D8060000}"/>
    <cellStyle name="Nuovo 25 3 2" xfId="856" xr:uid="{00000000-0005-0000-0000-0000D9060000}"/>
    <cellStyle name="Nuovo 25 3 2 2" xfId="2149" xr:uid="{00000000-0005-0000-0000-0000DA060000}"/>
    <cellStyle name="Nuovo 25 3 2 2 2" xfId="26969" xr:uid="{EA5FFE06-443E-4A8B-B368-CBD854B77467}"/>
    <cellStyle name="Nuovo 25 3 2 3" xfId="8088" xr:uid="{CE1E4BED-43CE-4C49-8B2A-D01A356EB35E}"/>
    <cellStyle name="Nuovo 25 3 2 3 2" xfId="14089" xr:uid="{92220596-EC5C-4F70-B01B-74DEDE0E8ADF}"/>
    <cellStyle name="Nuovo 25 3 2 4" xfId="26968" xr:uid="{C9E43AD9-5728-4B27-B8A8-5B7AFE41B552}"/>
    <cellStyle name="Nuovo 25 3 3" xfId="4160" xr:uid="{76D5FDE6-7908-477A-B000-AC5DEAA09139}"/>
    <cellStyle name="Nuovo 25 3 3 2" xfId="9301" xr:uid="{C1997639-D819-4441-8F2B-2296D4F0F47B}"/>
    <cellStyle name="Nuovo 25 3 3 2 2" xfId="26971" xr:uid="{BE54E165-90C2-4D5B-991F-5071F315955E}"/>
    <cellStyle name="Nuovo 25 3 3 3" xfId="26970" xr:uid="{BA8552D3-F79E-41B0-86D4-FE3E1881B850}"/>
    <cellStyle name="Nuovo 25 3 4" xfId="4161" xr:uid="{A6A4EB4B-270C-43EE-B8BA-36DEC1EAEC6B}"/>
    <cellStyle name="Nuovo 25 3 4 2" xfId="13749" xr:uid="{D27E7559-59D4-4EA4-AF54-D1170C85BCCD}"/>
    <cellStyle name="Nuovo 25 3 4 3" xfId="26972" xr:uid="{28FCC7F2-3FAE-44E2-BA40-AB909C47C160}"/>
    <cellStyle name="Nuovo 25 3 5" xfId="11212" xr:uid="{37229BE2-A995-4B2A-A638-621B3A42E422}"/>
    <cellStyle name="Nuovo 25 3 6" xfId="26967" xr:uid="{6C0CE3EC-25A3-4675-BCC8-BE3861A5E9A0}"/>
    <cellStyle name="Nuovo 25 4" xfId="2150" xr:uid="{00000000-0005-0000-0000-0000DB060000}"/>
    <cellStyle name="Nuovo 25 4 2" xfId="2151" xr:uid="{00000000-0005-0000-0000-0000DC060000}"/>
    <cellStyle name="Nuovo 25 4 2 2" xfId="9302" xr:uid="{C7DEDADA-7E6C-44AD-BB82-9872BC911F01}"/>
    <cellStyle name="Nuovo 25 4 2 2 2" xfId="26975" xr:uid="{1FFD4884-956D-4D13-A7AB-5D32E23F3271}"/>
    <cellStyle name="Nuovo 25 4 2 3" xfId="17869" xr:uid="{E8247006-6F2E-4563-A2C9-425ED3727F4B}"/>
    <cellStyle name="Nuovo 25 4 2 4" xfId="26974" xr:uid="{821890DF-3CF0-4A0F-B1BC-2F3000802409}"/>
    <cellStyle name="Nuovo 25 4 2 5" xfId="17482" xr:uid="{B0E86E53-D7B5-4B5F-BF16-DB5F83A075EC}"/>
    <cellStyle name="Nuovo 25 4 3" xfId="9303" xr:uid="{DF6A0FA5-0BC6-4C90-A318-B078CF48A6BA}"/>
    <cellStyle name="Nuovo 25 4 3 2" xfId="26976" xr:uid="{EDA163A3-5717-493E-B4C6-D77030A5A4DC}"/>
    <cellStyle name="Nuovo 25 4 4" xfId="26973" xr:uid="{9AB378B0-E4C6-4E40-9A60-8937B8C37E1E}"/>
    <cellStyle name="Nuovo 25 5" xfId="2152" xr:uid="{00000000-0005-0000-0000-0000DD060000}"/>
    <cellStyle name="Nuovo 25 5 2" xfId="26977" xr:uid="{78B82A02-3059-4A38-AEC0-F19EF4F93B47}"/>
    <cellStyle name="Nuovo 25 6" xfId="4162" xr:uid="{74402205-FB7F-4276-8DFE-E6124C7D96FD}"/>
    <cellStyle name="Nuovo 25 6 2" xfId="9785" xr:uid="{26265561-0006-46BB-ABF2-ADBCCF2B0883}"/>
    <cellStyle name="Nuovo 25 7" xfId="26964" xr:uid="{2297E1B2-BF69-43F5-8D7D-F1C6B3747FE6}"/>
    <cellStyle name="Nuovo 26" xfId="857" xr:uid="{00000000-0005-0000-0000-0000DE060000}"/>
    <cellStyle name="Nuovo 26 2" xfId="858" xr:uid="{00000000-0005-0000-0000-0000DF060000}"/>
    <cellStyle name="Nuovo 26 2 2" xfId="4163" xr:uid="{EF14F0FD-8A37-4CE3-A40E-3CE8534B8C5B}"/>
    <cellStyle name="Nuovo 26 2 2 2" xfId="13536" xr:uid="{2217D1C9-EA97-4996-9322-2BD6E797FEFE}"/>
    <cellStyle name="Nuovo 26 2 2 3" xfId="26980" xr:uid="{DFF117F4-1366-45C8-BF2D-EBE80C57BF72}"/>
    <cellStyle name="Nuovo 26 2 3" xfId="13272" xr:uid="{D4156714-7C64-4C2C-8E3A-F7D7D426A896}"/>
    <cellStyle name="Nuovo 26 2 4" xfId="26979" xr:uid="{90798280-258D-498B-A420-EB576C538EE1}"/>
    <cellStyle name="Nuovo 26 3" xfId="859" xr:uid="{00000000-0005-0000-0000-0000E0060000}"/>
    <cellStyle name="Nuovo 26 3 2" xfId="860" xr:uid="{00000000-0005-0000-0000-0000E1060000}"/>
    <cellStyle name="Nuovo 26 3 2 2" xfId="2153" xr:uid="{00000000-0005-0000-0000-0000E2060000}"/>
    <cellStyle name="Nuovo 26 3 2 2 2" xfId="26983" xr:uid="{AABF13E1-B45F-4E4B-A059-B4F8AD127FB0}"/>
    <cellStyle name="Nuovo 26 3 2 3" xfId="8089" xr:uid="{94E36746-D424-467D-A2C1-8F1930F09992}"/>
    <cellStyle name="Nuovo 26 3 2 3 2" xfId="14090" xr:uid="{E0D52043-4D25-4F7F-A00A-D55598B2447B}"/>
    <cellStyle name="Nuovo 26 3 2 3 3" xfId="26984" xr:uid="{8C5F94D3-BE10-459A-BA03-50EDAB9623D0}"/>
    <cellStyle name="Nuovo 26 3 2 4" xfId="26982" xr:uid="{28E170CB-4ADD-4545-8699-4F692FC81332}"/>
    <cellStyle name="Nuovo 26 3 3" xfId="4164" xr:uid="{D276A25C-4144-498C-9A7D-2D275B778B96}"/>
    <cellStyle name="Nuovo 26 3 3 2" xfId="9304" xr:uid="{2A2F734C-D9D5-4D7A-96E3-9C052A0EBB52}"/>
    <cellStyle name="Nuovo 26 3 3 2 2" xfId="26986" xr:uid="{64566191-182C-48FD-9228-FA59C38F1C9E}"/>
    <cellStyle name="Nuovo 26 3 3 3" xfId="26987" xr:uid="{7A2044E9-5CB3-4E1F-9DBD-5257BF253A5A}"/>
    <cellStyle name="Nuovo 26 3 3 3 2" xfId="48982" xr:uid="{1C5B3DCB-C0A0-4D0B-8815-02129E5717A8}"/>
    <cellStyle name="Nuovo 26 3 3 4" xfId="26985" xr:uid="{76903C65-BE79-4711-AC88-2513F2B772A0}"/>
    <cellStyle name="Nuovo 26 3 4" xfId="4165" xr:uid="{6B877239-17AA-4D20-8268-EBA90573F64C}"/>
    <cellStyle name="Nuovo 26 3 4 2" xfId="13750" xr:uid="{D18D1676-DA70-4BCD-8045-2A7FB9680B90}"/>
    <cellStyle name="Nuovo 26 3 4 3" xfId="26988" xr:uid="{4A98CBFB-EC72-423B-AC1A-C643791D1B48}"/>
    <cellStyle name="Nuovo 26 3 5" xfId="11525" xr:uid="{D694070D-B0ED-4A0C-81F8-7E336C4C7110}"/>
    <cellStyle name="Nuovo 26 3 6" xfId="26981" xr:uid="{06D89117-333E-47BA-9FDC-77497AE221FE}"/>
    <cellStyle name="Nuovo 26 4" xfId="2154" xr:uid="{00000000-0005-0000-0000-0000E3060000}"/>
    <cellStyle name="Nuovo 26 4 2" xfId="2155" xr:uid="{00000000-0005-0000-0000-0000E4060000}"/>
    <cellStyle name="Nuovo 26 4 2 2" xfId="9305" xr:uid="{2EFBC1D8-521B-4D92-8BED-05A2E96DD197}"/>
    <cellStyle name="Nuovo 26 4 2 2 2" xfId="26991" xr:uid="{95ADC8BB-BD55-4E72-AE9B-06198DF6F369}"/>
    <cellStyle name="Nuovo 26 4 2 3" xfId="17870" xr:uid="{01A8D4E6-B6B0-4D70-B7D5-E0D948E2E1A7}"/>
    <cellStyle name="Nuovo 26 4 2 3 2" xfId="26992" xr:uid="{F1C808A6-3305-4F8A-8AF6-CB0910926AC6}"/>
    <cellStyle name="Nuovo 26 4 2 4" xfId="26990" xr:uid="{410497B3-B2E5-4245-A106-6B65F46962C7}"/>
    <cellStyle name="Nuovo 26 4 2 5" xfId="17483" xr:uid="{1C3EFE3D-E838-4085-A428-5E081D7FECB9}"/>
    <cellStyle name="Nuovo 26 4 3" xfId="9306" xr:uid="{5C6B8450-F27D-49B8-948B-D0FB2C2C4D31}"/>
    <cellStyle name="Nuovo 26 4 3 2" xfId="26993" xr:uid="{06769474-708F-4B0B-B66C-3FCECFAEC92E}"/>
    <cellStyle name="Nuovo 26 4 4" xfId="26994" xr:uid="{B6A5D8C9-5A39-46B4-8051-DF98D31DBD56}"/>
    <cellStyle name="Nuovo 26 4 4 2" xfId="48983" xr:uid="{EEDD10D2-1B28-4FC2-9050-F2F61054D30E}"/>
    <cellStyle name="Nuovo 26 4 5" xfId="26995" xr:uid="{D28E0155-EED8-4C32-8585-BC3A3EA79288}"/>
    <cellStyle name="Nuovo 26 4 6" xfId="26989" xr:uid="{CD9D3ED0-B880-42ED-9B0A-9EE3EA0D9FCC}"/>
    <cellStyle name="Nuovo 26 5" xfId="2156" xr:uid="{00000000-0005-0000-0000-0000E5060000}"/>
    <cellStyle name="Nuovo 26 5 2" xfId="26997" xr:uid="{90C97666-E77D-4A07-A65A-08ACF63A96D7}"/>
    <cellStyle name="Nuovo 26 5 2 2" xfId="48984" xr:uid="{3675AF6A-7347-4FEC-AD77-C5470B62BF08}"/>
    <cellStyle name="Nuovo 26 5 3" xfId="26998" xr:uid="{42BB239D-EBB1-4562-BFDF-41F5F2D329AB}"/>
    <cellStyle name="Nuovo 26 5 4" xfId="26996" xr:uid="{DD69BD77-B63C-4DC8-BD8F-AA37A0E6CD68}"/>
    <cellStyle name="Nuovo 26 6" xfId="4166" xr:uid="{BFD5F675-45CF-4014-BDC9-8E5281593A98}"/>
    <cellStyle name="Nuovo 26 6 2" xfId="9786" xr:uid="{06822B21-48A3-4B92-BDBC-E68AAE961D52}"/>
    <cellStyle name="Nuovo 26 7" xfId="26978" xr:uid="{73D118E2-7B80-41EE-AA10-8DF3A342FE98}"/>
    <cellStyle name="Nuovo 27" xfId="861" xr:uid="{00000000-0005-0000-0000-0000E6060000}"/>
    <cellStyle name="Nuovo 27 2" xfId="862" xr:uid="{00000000-0005-0000-0000-0000E7060000}"/>
    <cellStyle name="Nuovo 27 2 2" xfId="4167" xr:uid="{1F728945-5824-486B-9260-438B6B452C93}"/>
    <cellStyle name="Nuovo 27 2 2 2" xfId="13537" xr:uid="{ADC6E738-3D29-43C2-8AF6-D9D060A280E5}"/>
    <cellStyle name="Nuovo 27 2 2 3" xfId="27001" xr:uid="{29B249B4-AB44-4ADA-A952-246358690BA8}"/>
    <cellStyle name="Nuovo 27 2 3" xfId="13273" xr:uid="{3B9E0D04-55A2-43A1-94C3-38810649E02D}"/>
    <cellStyle name="Nuovo 27 2 3 2" xfId="27002" xr:uid="{DF7C1C4C-DB32-4505-9A96-2F598154F937}"/>
    <cellStyle name="Nuovo 27 2 4" xfId="27003" xr:uid="{19BD68A2-98C0-4C0E-B74A-FCC35D3C684C}"/>
    <cellStyle name="Nuovo 27 2 5" xfId="27000" xr:uid="{D32CBADF-9E1A-48E4-8DF2-F4FF033B8BFD}"/>
    <cellStyle name="Nuovo 27 3" xfId="863" xr:uid="{00000000-0005-0000-0000-0000E8060000}"/>
    <cellStyle name="Nuovo 27 3 2" xfId="864" xr:uid="{00000000-0005-0000-0000-0000E9060000}"/>
    <cellStyle name="Nuovo 27 3 2 2" xfId="2157" xr:uid="{00000000-0005-0000-0000-0000EA060000}"/>
    <cellStyle name="Nuovo 27 3 2 2 2" xfId="27006" xr:uid="{43A580AF-16BC-4A2B-B87A-27D227A1BA35}"/>
    <cellStyle name="Nuovo 27 3 2 3" xfId="8090" xr:uid="{7E9E3C4F-E111-4718-A1CD-22198948FB71}"/>
    <cellStyle name="Nuovo 27 3 2 3 2" xfId="14091" xr:uid="{AE34A3A1-F6DA-4ACF-B43A-FE1B6FA52A7C}"/>
    <cellStyle name="Nuovo 27 3 2 3 3" xfId="27007" xr:uid="{3C4B8813-F57E-4AE9-9005-51B9B89BF5BD}"/>
    <cellStyle name="Nuovo 27 3 2 4" xfId="27005" xr:uid="{2260AE4F-94E4-457F-9641-96D226346A59}"/>
    <cellStyle name="Nuovo 27 3 3" xfId="4168" xr:uid="{3D8CBF6F-3206-4603-B160-2B5A35715C28}"/>
    <cellStyle name="Nuovo 27 3 3 2" xfId="9307" xr:uid="{C789D64D-E054-48DD-ABC2-8826B9B861E4}"/>
    <cellStyle name="Nuovo 27 3 3 2 2" xfId="27009" xr:uid="{B194616D-5E8E-47C6-9B69-C8B3B98034BE}"/>
    <cellStyle name="Nuovo 27 3 3 3" xfId="27010" xr:uid="{D66AE1AE-8A38-419F-A542-8D54C08D90F1}"/>
    <cellStyle name="Nuovo 27 3 3 3 2" xfId="48985" xr:uid="{E2A5282C-CA1C-441F-8C8B-1C8B73C5AC4E}"/>
    <cellStyle name="Nuovo 27 3 3 4" xfId="27008" xr:uid="{DE7A8F8F-673F-4373-AF41-D921738AEB70}"/>
    <cellStyle name="Nuovo 27 3 4" xfId="4169" xr:uid="{87E1DEC4-2B49-4E49-8D5C-702822A341A5}"/>
    <cellStyle name="Nuovo 27 3 4 2" xfId="13751" xr:uid="{DEE0B21C-87CD-4B55-B4EB-7ACE770698FA}"/>
    <cellStyle name="Nuovo 27 3 4 3" xfId="27011" xr:uid="{10064725-131E-435B-BCB8-456295D14AF0}"/>
    <cellStyle name="Nuovo 27 3 5" xfId="12292" xr:uid="{D36D05FE-8DDF-4F01-8C98-6CFD84875D48}"/>
    <cellStyle name="Nuovo 27 3 5 2" xfId="27012" xr:uid="{C52B07CA-CCE0-4E56-97FE-0256ACE83794}"/>
    <cellStyle name="Nuovo 27 3 6" xfId="27013" xr:uid="{DA4ACAFF-5669-4949-AA49-F32F31FFA7DD}"/>
    <cellStyle name="Nuovo 27 3 7" xfId="27004" xr:uid="{E7B00F36-0258-4EAC-9027-36DF98AEF0E0}"/>
    <cellStyle name="Nuovo 27 4" xfId="2158" xr:uid="{00000000-0005-0000-0000-0000EB060000}"/>
    <cellStyle name="Nuovo 27 4 2" xfId="2159" xr:uid="{00000000-0005-0000-0000-0000EC060000}"/>
    <cellStyle name="Nuovo 27 4 2 2" xfId="9308" xr:uid="{CD1D1EF6-CCDD-45D5-9894-EF4F46638985}"/>
    <cellStyle name="Nuovo 27 4 2 2 2" xfId="27016" xr:uid="{4833EFD1-03DA-4B4C-8362-D221C871D2C8}"/>
    <cellStyle name="Nuovo 27 4 2 3" xfId="17871" xr:uid="{82AA1000-B2A1-42D2-AFA4-E54AE547BE3D}"/>
    <cellStyle name="Nuovo 27 4 2 3 2" xfId="27017" xr:uid="{F3EA65CC-B299-4BD2-8900-8E0C0C60DCA0}"/>
    <cellStyle name="Nuovo 27 4 2 4" xfId="27015" xr:uid="{F6C8BE89-4D81-4D62-8655-2815EF72E4C9}"/>
    <cellStyle name="Nuovo 27 4 2 5" xfId="17484" xr:uid="{CE95577F-FF77-485E-8065-0A4D6691A69D}"/>
    <cellStyle name="Nuovo 27 4 3" xfId="9309" xr:uid="{648FEC54-3B69-4191-882A-7807F0390925}"/>
    <cellStyle name="Nuovo 27 4 3 2" xfId="27018" xr:uid="{EB5BF957-9667-4A41-BFCC-6A41C2C84882}"/>
    <cellStyle name="Nuovo 27 4 4" xfId="27019" xr:uid="{BE3BBB84-825C-4212-8256-3D23E8778705}"/>
    <cellStyle name="Nuovo 27 4 4 2" xfId="48986" xr:uid="{F495EC05-5524-4BAC-B164-1BF72F9BBED2}"/>
    <cellStyle name="Nuovo 27 4 5" xfId="27020" xr:uid="{F1432F30-CBB2-418E-9088-F76ECD6149D7}"/>
    <cellStyle name="Nuovo 27 4 6" xfId="27014" xr:uid="{9E3E4A5D-B36E-4883-9A9F-0611C9BBBF20}"/>
    <cellStyle name="Nuovo 27 5" xfId="2160" xr:uid="{00000000-0005-0000-0000-0000ED060000}"/>
    <cellStyle name="Nuovo 27 5 2" xfId="27022" xr:uid="{98CB5B47-7351-4B1B-B936-6F3F207406B1}"/>
    <cellStyle name="Nuovo 27 5 2 2" xfId="48987" xr:uid="{7F35B425-7281-4465-9480-433ECDC5B41A}"/>
    <cellStyle name="Nuovo 27 5 3" xfId="27023" xr:uid="{76C2F13C-79C8-4F36-A936-B075BD0D61C0}"/>
    <cellStyle name="Nuovo 27 5 4" xfId="27021" xr:uid="{7D6D5053-83E9-466C-B9B4-862B54B6784B}"/>
    <cellStyle name="Nuovo 27 6" xfId="4170" xr:uid="{82E0C6F6-CF92-44FB-A4C7-EA23D3D1C610}"/>
    <cellStyle name="Nuovo 27 6 2" xfId="9787" xr:uid="{2CFC2FD0-10D9-4F6E-A850-ACA13D6FA110}"/>
    <cellStyle name="Nuovo 27 6 3" xfId="27024" xr:uid="{34C42F56-7767-49F2-ACED-B5D3CDFDB34B}"/>
    <cellStyle name="Nuovo 27 7" xfId="26999" xr:uid="{EC3ADD76-CA6D-4CCB-8E44-A6C1BF96ABD1}"/>
    <cellStyle name="Nuovo 28" xfId="865" xr:uid="{00000000-0005-0000-0000-0000EE060000}"/>
    <cellStyle name="Nuovo 28 2" xfId="866" xr:uid="{00000000-0005-0000-0000-0000EF060000}"/>
    <cellStyle name="Nuovo 28 2 2" xfId="4171" xr:uid="{9DE10C6A-FE3D-43FF-946A-165F4E283575}"/>
    <cellStyle name="Nuovo 28 2 2 2" xfId="13538" xr:uid="{EDCE01BA-E4DF-4651-B0F1-26BF1DD3CBB0}"/>
    <cellStyle name="Nuovo 28 2 2 3" xfId="27027" xr:uid="{68CAE817-C56D-48BD-8912-C7B9B16EC53D}"/>
    <cellStyle name="Nuovo 28 2 3" xfId="13274" xr:uid="{A2973573-094F-44BE-BBDA-9D25EABE9D1E}"/>
    <cellStyle name="Nuovo 28 2 3 2" xfId="27028" xr:uid="{1BDE885C-C5DA-47F7-A7A1-C72EC0C36AF6}"/>
    <cellStyle name="Nuovo 28 2 4" xfId="27029" xr:uid="{64B6D246-DFC2-4A32-A73B-9638DB746B25}"/>
    <cellStyle name="Nuovo 28 2 5" xfId="27026" xr:uid="{459FABE7-F54C-4FB2-B271-129DA9D0D736}"/>
    <cellStyle name="Nuovo 28 3" xfId="867" xr:uid="{00000000-0005-0000-0000-0000F0060000}"/>
    <cellStyle name="Nuovo 28 3 2" xfId="868" xr:uid="{00000000-0005-0000-0000-0000F1060000}"/>
    <cellStyle name="Nuovo 28 3 2 2" xfId="2161" xr:uid="{00000000-0005-0000-0000-0000F2060000}"/>
    <cellStyle name="Nuovo 28 3 2 2 2" xfId="27032" xr:uid="{FFD89313-B6FC-4B87-B1A7-B375BAB190CB}"/>
    <cellStyle name="Nuovo 28 3 2 3" xfId="8091" xr:uid="{1F771462-38B1-455D-AE2E-C354033B478A}"/>
    <cellStyle name="Nuovo 28 3 2 3 2" xfId="14092" xr:uid="{01E14D76-B450-40B7-AA77-A613F146F358}"/>
    <cellStyle name="Nuovo 28 3 2 3 3" xfId="27033" xr:uid="{A63EE8C3-B05F-4B54-9F00-70FBE8832751}"/>
    <cellStyle name="Nuovo 28 3 2 4" xfId="27031" xr:uid="{EA6DCFB0-4E23-4AA3-9049-22758FF7D985}"/>
    <cellStyle name="Nuovo 28 3 3" xfId="4172" xr:uid="{3D0B2B9F-C859-40DC-818C-F674FD5D97AC}"/>
    <cellStyle name="Nuovo 28 3 3 2" xfId="9310" xr:uid="{04E1E97C-4D13-4B96-8A05-E3B6D4260140}"/>
    <cellStyle name="Nuovo 28 3 3 2 2" xfId="27035" xr:uid="{0ED43991-74D4-4D44-9807-35F0E07216EC}"/>
    <cellStyle name="Nuovo 28 3 3 3" xfId="27036" xr:uid="{6FD50CA1-7918-45FA-9FE3-23E59E8C4255}"/>
    <cellStyle name="Nuovo 28 3 3 3 2" xfId="48988" xr:uid="{581B5636-19E7-47AC-935B-D826152DC248}"/>
    <cellStyle name="Nuovo 28 3 3 4" xfId="27034" xr:uid="{669272D9-7827-4C11-AAD7-366AF43BAAF8}"/>
    <cellStyle name="Nuovo 28 3 4" xfId="4173" xr:uid="{3E3BC6D1-600C-4056-BFE1-E2376EFB2EBF}"/>
    <cellStyle name="Nuovo 28 3 4 2" xfId="13752" xr:uid="{21A086AD-99BB-4CF1-8E14-9491E4F2BB3C}"/>
    <cellStyle name="Nuovo 28 3 4 3" xfId="27037" xr:uid="{270DF688-092C-4488-A5B4-E2A24B9ADF29}"/>
    <cellStyle name="Nuovo 28 3 5" xfId="12291" xr:uid="{7A77D1A4-DBC3-4942-AC1E-42245EA9035A}"/>
    <cellStyle name="Nuovo 28 3 5 2" xfId="27038" xr:uid="{ED24C9F9-449A-4BBB-AE7C-22D5B67DF35D}"/>
    <cellStyle name="Nuovo 28 3 6" xfId="27039" xr:uid="{2D6CA83D-645A-4F2A-A5DD-575F2A25DC74}"/>
    <cellStyle name="Nuovo 28 3 7" xfId="27030" xr:uid="{B6E15135-F125-435C-AEE4-9FACE4BF58DB}"/>
    <cellStyle name="Nuovo 28 4" xfId="2162" xr:uid="{00000000-0005-0000-0000-0000F3060000}"/>
    <cellStyle name="Nuovo 28 4 2" xfId="2163" xr:uid="{00000000-0005-0000-0000-0000F4060000}"/>
    <cellStyle name="Nuovo 28 4 2 2" xfId="9311" xr:uid="{CB292B8B-67FA-495F-8896-ABC62D287F52}"/>
    <cellStyle name="Nuovo 28 4 2 2 2" xfId="27042" xr:uid="{86E44C93-E077-41D8-8469-7D7E545CDD07}"/>
    <cellStyle name="Nuovo 28 4 2 3" xfId="17872" xr:uid="{29A91B33-18FB-4BEB-9F2D-8EF923DAD7D1}"/>
    <cellStyle name="Nuovo 28 4 2 3 2" xfId="27043" xr:uid="{CBF5F259-7CDF-4B0C-9AAB-5D858F12217A}"/>
    <cellStyle name="Nuovo 28 4 2 4" xfId="27041" xr:uid="{E1444A47-24B7-489F-AF63-EF5D64058008}"/>
    <cellStyle name="Nuovo 28 4 2 5" xfId="17485" xr:uid="{6D551685-EA9E-49BC-A073-422F363DD6B8}"/>
    <cellStyle name="Nuovo 28 4 3" xfId="9312" xr:uid="{5069DDCD-D354-4A47-829C-AEDE85C75C82}"/>
    <cellStyle name="Nuovo 28 4 3 2" xfId="27044" xr:uid="{6E9B80A0-27DC-4109-A70E-3FB2D35ADA35}"/>
    <cellStyle name="Nuovo 28 4 4" xfId="27045" xr:uid="{4B8E075A-EB00-4A1C-B7D9-306211032246}"/>
    <cellStyle name="Nuovo 28 4 4 2" xfId="48989" xr:uid="{70C45A30-7BE2-41A4-9839-70796AA4A29A}"/>
    <cellStyle name="Nuovo 28 4 5" xfId="27046" xr:uid="{8890A385-35A1-48E9-AF58-3F52A23B4453}"/>
    <cellStyle name="Nuovo 28 4 6" xfId="27040" xr:uid="{66084D60-3E47-4041-B4B7-36E8E1DE79CF}"/>
    <cellStyle name="Nuovo 28 5" xfId="2164" xr:uid="{00000000-0005-0000-0000-0000F5060000}"/>
    <cellStyle name="Nuovo 28 5 2" xfId="27048" xr:uid="{80D85BDA-4BD8-466F-A728-687E9A95E43B}"/>
    <cellStyle name="Nuovo 28 5 2 2" xfId="48990" xr:uid="{BE3009F8-D243-4001-A46D-9B77DBA2FB39}"/>
    <cellStyle name="Nuovo 28 5 3" xfId="27049" xr:uid="{4CFD1199-C71F-44D9-AA46-BBE09A4FDF4A}"/>
    <cellStyle name="Nuovo 28 5 4" xfId="27047" xr:uid="{98FAA14E-0A80-4198-96DC-26308CAF7E87}"/>
    <cellStyle name="Nuovo 28 6" xfId="4174" xr:uid="{98B1C2A4-D4FE-41D6-8D83-6ED5CDB8F70C}"/>
    <cellStyle name="Nuovo 28 6 2" xfId="9788" xr:uid="{809C2581-0581-430C-A89B-E14CCA585737}"/>
    <cellStyle name="Nuovo 28 6 3" xfId="27050" xr:uid="{95FE7660-F940-4909-9445-6537E7C363A2}"/>
    <cellStyle name="Nuovo 28 7" xfId="27025" xr:uid="{053DF3EA-3C3A-4CD7-9707-BB12CB2C79AD}"/>
    <cellStyle name="Nuovo 29" xfId="869" xr:uid="{00000000-0005-0000-0000-0000F6060000}"/>
    <cellStyle name="Nuovo 29 2" xfId="870" xr:uid="{00000000-0005-0000-0000-0000F7060000}"/>
    <cellStyle name="Nuovo 29 2 2" xfId="4175" xr:uid="{F435162C-D3E3-4A9E-AA6A-5B0C3198D196}"/>
    <cellStyle name="Nuovo 29 2 2 2" xfId="13539" xr:uid="{12B77F1A-7FF1-4CBD-980A-EABC675C94C1}"/>
    <cellStyle name="Nuovo 29 2 2 3" xfId="27053" xr:uid="{56F2E217-1D85-4889-A1BB-2F59E247C6A4}"/>
    <cellStyle name="Nuovo 29 2 3" xfId="13275" xr:uid="{D2202FDF-7420-4E5B-A95A-BB99CE5F028B}"/>
    <cellStyle name="Nuovo 29 2 3 2" xfId="27054" xr:uid="{D94AEA0E-ECF5-4E4B-BFBE-B711342DD453}"/>
    <cellStyle name="Nuovo 29 2 4" xfId="27055" xr:uid="{AE1510D8-E5E8-4DA2-8254-B63FB2B7A2DD}"/>
    <cellStyle name="Nuovo 29 2 5" xfId="27052" xr:uid="{CA163873-39F8-46C9-A5EA-448543F2B683}"/>
    <cellStyle name="Nuovo 29 3" xfId="871" xr:uid="{00000000-0005-0000-0000-0000F8060000}"/>
    <cellStyle name="Nuovo 29 3 2" xfId="872" xr:uid="{00000000-0005-0000-0000-0000F9060000}"/>
    <cellStyle name="Nuovo 29 3 2 2" xfId="2165" xr:uid="{00000000-0005-0000-0000-0000FA060000}"/>
    <cellStyle name="Nuovo 29 3 2 2 2" xfId="27058" xr:uid="{0780EC9E-09B2-44C8-B1DB-F412C6F66746}"/>
    <cellStyle name="Nuovo 29 3 2 3" xfId="8092" xr:uid="{FAED8526-9FD9-4E37-9F42-8756C64D71E2}"/>
    <cellStyle name="Nuovo 29 3 2 3 2" xfId="14093" xr:uid="{1D00A76A-401B-4A69-9D69-A2F82DA42D76}"/>
    <cellStyle name="Nuovo 29 3 2 3 3" xfId="27059" xr:uid="{8B328D4C-2BE6-4CD6-8DBF-63766DC54725}"/>
    <cellStyle name="Nuovo 29 3 2 4" xfId="27057" xr:uid="{9919B9D8-A1B7-4926-A456-109E39CBBC67}"/>
    <cellStyle name="Nuovo 29 3 3" xfId="4176" xr:uid="{5E205E26-4F26-47BD-A075-68C265ED28E6}"/>
    <cellStyle name="Nuovo 29 3 3 2" xfId="9313" xr:uid="{DCB942EB-66D6-4A3E-819B-F7DB68915B58}"/>
    <cellStyle name="Nuovo 29 3 3 2 2" xfId="27061" xr:uid="{4F72C81A-7B22-4466-B3BD-0D45810D2298}"/>
    <cellStyle name="Nuovo 29 3 3 3" xfId="27062" xr:uid="{6FB506F1-2CC2-4029-A2CA-7EC4A5D3862C}"/>
    <cellStyle name="Nuovo 29 3 3 3 2" xfId="48991" xr:uid="{E6FC0753-6999-4571-B733-35E2240B0EB5}"/>
    <cellStyle name="Nuovo 29 3 3 4" xfId="27060" xr:uid="{1E366760-D3D4-46A1-AD51-F7C17B786138}"/>
    <cellStyle name="Nuovo 29 3 4" xfId="4177" xr:uid="{A702743B-FFF0-4DA4-AE77-ABC8D8146F26}"/>
    <cellStyle name="Nuovo 29 3 4 2" xfId="13753" xr:uid="{2164E247-DA34-41CA-B376-B43769D5DD3F}"/>
    <cellStyle name="Nuovo 29 3 4 3" xfId="27063" xr:uid="{221E72DD-6DD6-49C2-B160-99745C98FBB8}"/>
    <cellStyle name="Nuovo 29 3 5" xfId="11524" xr:uid="{57D55DA6-CD8F-42E4-AF02-F2FC4BF9061B}"/>
    <cellStyle name="Nuovo 29 3 5 2" xfId="27064" xr:uid="{0ED34D48-DE25-44A4-95FF-1B3747337F11}"/>
    <cellStyle name="Nuovo 29 3 6" xfId="27065" xr:uid="{67C01637-9EAB-41E8-98A4-7340D100D8AF}"/>
    <cellStyle name="Nuovo 29 3 7" xfId="27056" xr:uid="{2FDD8740-ED1F-46CB-AE42-FEFCD84E6C13}"/>
    <cellStyle name="Nuovo 29 4" xfId="2166" xr:uid="{00000000-0005-0000-0000-0000FB060000}"/>
    <cellStyle name="Nuovo 29 4 2" xfId="2167" xr:uid="{00000000-0005-0000-0000-0000FC060000}"/>
    <cellStyle name="Nuovo 29 4 2 2" xfId="9314" xr:uid="{6AA47B0A-7018-4255-9330-FBADE8DE6F51}"/>
    <cellStyle name="Nuovo 29 4 2 2 2" xfId="27068" xr:uid="{BA424540-2468-46C9-B27E-8EA482E2EDAF}"/>
    <cellStyle name="Nuovo 29 4 2 3" xfId="17873" xr:uid="{4A0A6548-ECF7-4967-8A95-4D2B41BC4370}"/>
    <cellStyle name="Nuovo 29 4 2 3 2" xfId="27069" xr:uid="{BF20B2F0-F200-4CC8-97F4-8BB3DA1618C0}"/>
    <cellStyle name="Nuovo 29 4 2 4" xfId="27067" xr:uid="{DD0240C9-CB60-41A0-882B-43F891D03106}"/>
    <cellStyle name="Nuovo 29 4 2 5" xfId="17486" xr:uid="{839FA5B3-B92D-4489-BF14-BAC1CE69F644}"/>
    <cellStyle name="Nuovo 29 4 3" xfId="9315" xr:uid="{70ECB1F7-6A6B-4A0A-BF34-122713F3E35C}"/>
    <cellStyle name="Nuovo 29 4 3 2" xfId="27070" xr:uid="{9A182BFC-B220-4B1A-AFE0-CF84539C09C0}"/>
    <cellStyle name="Nuovo 29 4 4" xfId="27071" xr:uid="{BBD6AAE2-4A66-404A-8DAA-CFA2AE61195B}"/>
    <cellStyle name="Nuovo 29 4 4 2" xfId="48992" xr:uid="{8CDF61EB-B64B-4A38-8E1B-FF3C9CD5733B}"/>
    <cellStyle name="Nuovo 29 4 5" xfId="27072" xr:uid="{CDF0B523-65FE-4E2C-B2BA-F7CA4D774720}"/>
    <cellStyle name="Nuovo 29 4 6" xfId="27066" xr:uid="{43EC8547-3EBF-48DC-A2C8-1A5898F49A1A}"/>
    <cellStyle name="Nuovo 29 5" xfId="2168" xr:uid="{00000000-0005-0000-0000-0000FD060000}"/>
    <cellStyle name="Nuovo 29 5 2" xfId="27074" xr:uid="{00699010-7B76-4B83-BEF7-E3694EEE4D30}"/>
    <cellStyle name="Nuovo 29 5 2 2" xfId="48993" xr:uid="{FDE3D809-1BAA-4D00-BFA9-FAA6477DB64F}"/>
    <cellStyle name="Nuovo 29 5 3" xfId="27075" xr:uid="{A64257BC-32D7-47DA-807C-0E50CB8E1913}"/>
    <cellStyle name="Nuovo 29 5 4" xfId="27073" xr:uid="{DB2BEFFB-4B62-46CA-8079-8FAA9E877BD9}"/>
    <cellStyle name="Nuovo 29 6" xfId="4178" xr:uid="{7BD67813-54AA-4A51-803B-115A1461BE48}"/>
    <cellStyle name="Nuovo 29 6 2" xfId="9789" xr:uid="{3387D594-E7A4-485C-831C-41C67CFC3E80}"/>
    <cellStyle name="Nuovo 29 6 3" xfId="27076" xr:uid="{B5B349DA-C672-4EE7-AFD3-2BFA0DD6186C}"/>
    <cellStyle name="Nuovo 29 7" xfId="27051" xr:uid="{D0C24B72-89C7-4AB5-9CD4-C2BDC30CF520}"/>
    <cellStyle name="Nuovo 3" xfId="873" xr:uid="{00000000-0005-0000-0000-0000FE060000}"/>
    <cellStyle name="Nuovo 3 2" xfId="874" xr:uid="{00000000-0005-0000-0000-0000FF060000}"/>
    <cellStyle name="Nuovo 3 2 2" xfId="4179" xr:uid="{B7732E74-5E32-47C5-9255-120C3F735E80}"/>
    <cellStyle name="Nuovo 3 2 2 2" xfId="13540" xr:uid="{8B584F29-6802-4F6C-911A-42AC34E16BAF}"/>
    <cellStyle name="Nuovo 3 2 2 3" xfId="27079" xr:uid="{660B5E1D-4317-4CC1-A2A5-402C6A821E66}"/>
    <cellStyle name="Nuovo 3 2 3" xfId="13276" xr:uid="{81104CD3-5064-497F-B476-92447DC261FD}"/>
    <cellStyle name="Nuovo 3 2 3 2" xfId="27080" xr:uid="{5A873772-086F-4DE5-8415-61EAC4FFA962}"/>
    <cellStyle name="Nuovo 3 2 4" xfId="27081" xr:uid="{DC63CA28-8184-469A-89ED-B600163F027D}"/>
    <cellStyle name="Nuovo 3 2 5" xfId="27078" xr:uid="{9AC86300-9197-4A35-947D-E0A17B08A14F}"/>
    <cellStyle name="Nuovo 3 3" xfId="875" xr:uid="{00000000-0005-0000-0000-000000070000}"/>
    <cellStyle name="Nuovo 3 3 2" xfId="876" xr:uid="{00000000-0005-0000-0000-000001070000}"/>
    <cellStyle name="Nuovo 3 3 2 2" xfId="2169" xr:uid="{00000000-0005-0000-0000-000002070000}"/>
    <cellStyle name="Nuovo 3 3 2 2 2" xfId="27084" xr:uid="{137E65E0-906C-4C27-8E6B-878A2A3BE240}"/>
    <cellStyle name="Nuovo 3 3 2 3" xfId="8093" xr:uid="{A34B6EF5-63C3-40E2-A0FB-6AD732FED9A0}"/>
    <cellStyle name="Nuovo 3 3 2 3 2" xfId="14094" xr:uid="{EA62BB25-E173-4026-A3B9-7AB40AF1BFC4}"/>
    <cellStyle name="Nuovo 3 3 2 3 3" xfId="27085" xr:uid="{79868F73-6D21-44A8-86FF-3A745DCD3ED9}"/>
    <cellStyle name="Nuovo 3 3 2 4" xfId="27083" xr:uid="{FC76A9C0-8F60-4851-B793-4843CFE00538}"/>
    <cellStyle name="Nuovo 3 3 3" xfId="4180" xr:uid="{9744309A-C547-42CE-8175-02E4C23E7535}"/>
    <cellStyle name="Nuovo 3 3 3 2" xfId="9316" xr:uid="{13562002-BF8F-4447-B699-6DD7DB814D71}"/>
    <cellStyle name="Nuovo 3 3 3 2 2" xfId="27087" xr:uid="{8909DE2F-6FB3-4DAF-891C-33C57394DB2B}"/>
    <cellStyle name="Nuovo 3 3 3 3" xfId="27088" xr:uid="{AAF17F9E-001F-40D4-BBBE-E4B7C347389C}"/>
    <cellStyle name="Nuovo 3 3 3 3 2" xfId="48994" xr:uid="{DB6FB91E-F351-49F6-BCDC-71D58E797A4B}"/>
    <cellStyle name="Nuovo 3 3 3 4" xfId="27086" xr:uid="{8C9E9B9F-2A93-41E9-B445-EE25C6FCC0B0}"/>
    <cellStyle name="Nuovo 3 3 4" xfId="4181" xr:uid="{EFAD7141-6CE2-487E-9383-987D46DE267F}"/>
    <cellStyle name="Nuovo 3 3 4 2" xfId="13754" xr:uid="{B0609979-CDF4-47BA-8E3C-D78C1ED7BB99}"/>
    <cellStyle name="Nuovo 3 3 4 3" xfId="27089" xr:uid="{84B36260-F5C0-49BB-93D1-F9AD96F3D2B8}"/>
    <cellStyle name="Nuovo 3 3 5" xfId="11151" xr:uid="{A25707B0-C13F-41EE-B58B-B55F73979D0C}"/>
    <cellStyle name="Nuovo 3 3 5 2" xfId="27090" xr:uid="{D74A6D82-4FB2-4AF1-8BE7-3534D25F30AC}"/>
    <cellStyle name="Nuovo 3 3 6" xfId="27091" xr:uid="{018C7DE8-DD61-48EF-B99F-465858BDEF66}"/>
    <cellStyle name="Nuovo 3 3 7" xfId="27082" xr:uid="{51A35C29-891B-40FE-9636-7D7DF885A1D7}"/>
    <cellStyle name="Nuovo 3 4" xfId="2170" xr:uid="{00000000-0005-0000-0000-000003070000}"/>
    <cellStyle name="Nuovo 3 4 2" xfId="2171" xr:uid="{00000000-0005-0000-0000-000004070000}"/>
    <cellStyle name="Nuovo 3 4 2 2" xfId="9317" xr:uid="{ACBDFD2A-6662-4C88-B4B3-40275280BD07}"/>
    <cellStyle name="Nuovo 3 4 2 2 2" xfId="27094" xr:uid="{FDECEA14-CAFA-4E5F-8324-99C64A40883B}"/>
    <cellStyle name="Nuovo 3 4 2 3" xfId="17874" xr:uid="{1959E11B-B3F9-4BF0-94E8-69BBCDA2B461}"/>
    <cellStyle name="Nuovo 3 4 2 3 2" xfId="27095" xr:uid="{596C7552-E433-4B0C-AD71-B61E2C913868}"/>
    <cellStyle name="Nuovo 3 4 2 4" xfId="27093" xr:uid="{B60BD6C6-838B-49A4-9975-81AB9FB81BF6}"/>
    <cellStyle name="Nuovo 3 4 2 5" xfId="17487" xr:uid="{0229D477-C565-40E4-B4AC-3276FB7B2981}"/>
    <cellStyle name="Nuovo 3 4 3" xfId="9318" xr:uid="{AA6C6428-3ACD-4B2A-9C56-3DDFE4108B41}"/>
    <cellStyle name="Nuovo 3 4 3 2" xfId="27096" xr:uid="{85649D8C-75E6-420B-AFBC-2751B8504C04}"/>
    <cellStyle name="Nuovo 3 4 4" xfId="27097" xr:uid="{C5886140-E960-4745-BD29-6D5888871D5F}"/>
    <cellStyle name="Nuovo 3 4 4 2" xfId="48995" xr:uid="{C074807C-E136-4E38-955C-5E6E1F3439AA}"/>
    <cellStyle name="Nuovo 3 4 5" xfId="27098" xr:uid="{F358EA1A-CF1D-4811-91A8-F6CC3194BAB1}"/>
    <cellStyle name="Nuovo 3 4 6" xfId="27092" xr:uid="{00F38E65-57E9-44FF-AAEC-EC35FFEE1D71}"/>
    <cellStyle name="Nuovo 3 5" xfId="2172" xr:uid="{00000000-0005-0000-0000-000005070000}"/>
    <cellStyle name="Nuovo 3 5 2" xfId="27100" xr:uid="{4FD5FC88-D8E9-4F0F-994B-A893DDB914E1}"/>
    <cellStyle name="Nuovo 3 5 2 2" xfId="48996" xr:uid="{39FE75D6-1562-46ED-A371-F2BF3B6B8A3A}"/>
    <cellStyle name="Nuovo 3 5 3" xfId="27101" xr:uid="{D7132089-BD57-43F7-96D7-786ECAFD6DEA}"/>
    <cellStyle name="Nuovo 3 5 4" xfId="27099" xr:uid="{07D27B1A-5660-4493-B333-F9EB2AB9FB6C}"/>
    <cellStyle name="Nuovo 3 6" xfId="4182" xr:uid="{38791E31-885B-4766-B109-B252BEE0E935}"/>
    <cellStyle name="Nuovo 3 6 2" xfId="9790" xr:uid="{8436F9AD-1ED2-49FE-9B0E-1EF7EAF8CBF4}"/>
    <cellStyle name="Nuovo 3 6 3" xfId="27102" xr:uid="{BBA92BF8-1B8C-4A9F-A89A-94B16125B325}"/>
    <cellStyle name="Nuovo 3 7" xfId="27077" xr:uid="{C3B21BE5-8861-4B6E-BCA4-1AEE49C0D2C4}"/>
    <cellStyle name="Nuovo 30" xfId="877" xr:uid="{00000000-0005-0000-0000-000006070000}"/>
    <cellStyle name="Nuovo 30 2" xfId="878" xr:uid="{00000000-0005-0000-0000-000007070000}"/>
    <cellStyle name="Nuovo 30 2 2" xfId="4183" xr:uid="{FDDDBA86-EDE1-4E4A-BF91-2E8C2901BE3C}"/>
    <cellStyle name="Nuovo 30 2 2 2" xfId="13541" xr:uid="{9785960D-A04C-4154-9CC9-C44A459D52D3}"/>
    <cellStyle name="Nuovo 30 2 2 3" xfId="27105" xr:uid="{F722DC2C-2516-43F5-B1F1-6ADE98D39902}"/>
    <cellStyle name="Nuovo 30 2 3" xfId="13277" xr:uid="{301201DF-0FC5-49CD-BC52-C0355FD082EF}"/>
    <cellStyle name="Nuovo 30 2 3 2" xfId="27106" xr:uid="{B5D35993-FDA5-4CDC-8191-322BD73AA02F}"/>
    <cellStyle name="Nuovo 30 2 4" xfId="27107" xr:uid="{27120E87-5EBC-4506-9264-E47EBAD7091B}"/>
    <cellStyle name="Nuovo 30 2 5" xfId="27104" xr:uid="{6C494895-BBB5-4DB1-A80D-847191BED4E5}"/>
    <cellStyle name="Nuovo 30 3" xfId="879" xr:uid="{00000000-0005-0000-0000-000008070000}"/>
    <cellStyle name="Nuovo 30 3 2" xfId="880" xr:uid="{00000000-0005-0000-0000-000009070000}"/>
    <cellStyle name="Nuovo 30 3 2 2" xfId="2173" xr:uid="{00000000-0005-0000-0000-00000A070000}"/>
    <cellStyle name="Nuovo 30 3 2 2 2" xfId="27110" xr:uid="{58CB00EB-CA3A-4B33-8DF5-331A83925EEA}"/>
    <cellStyle name="Nuovo 30 3 2 3" xfId="8094" xr:uid="{4AC88854-BB0F-44B1-A4A4-E15D072AC66F}"/>
    <cellStyle name="Nuovo 30 3 2 3 2" xfId="14095" xr:uid="{9119FA69-E811-4816-BCAF-FDBE7173EEDF}"/>
    <cellStyle name="Nuovo 30 3 2 3 3" xfId="27111" xr:uid="{56BB9BF1-1498-43D5-898F-9EBA1D43EC40}"/>
    <cellStyle name="Nuovo 30 3 2 4" xfId="27109" xr:uid="{CB3C50CD-C82C-40A0-91D2-D738AD2BC834}"/>
    <cellStyle name="Nuovo 30 3 3" xfId="4184" xr:uid="{465EDB66-FB94-4FF7-8B14-18C1B4E6070A}"/>
    <cellStyle name="Nuovo 30 3 3 2" xfId="9319" xr:uid="{83B6B7F5-BA52-4BB3-BC97-B9A67BFEE564}"/>
    <cellStyle name="Nuovo 30 3 3 2 2" xfId="27113" xr:uid="{9F37583B-9997-496F-9702-53C99D7D524C}"/>
    <cellStyle name="Nuovo 30 3 3 3" xfId="27114" xr:uid="{5D752706-8113-4896-9057-584287ED57BB}"/>
    <cellStyle name="Nuovo 30 3 3 3 2" xfId="48997" xr:uid="{84718A53-3D1C-4098-BAC7-B74AA92DA661}"/>
    <cellStyle name="Nuovo 30 3 3 4" xfId="27112" xr:uid="{E8ABA294-83B0-4BAE-8209-9AF9C21D4A2E}"/>
    <cellStyle name="Nuovo 30 3 4" xfId="4185" xr:uid="{02347DE2-C03F-465F-A55C-73A80116BC11}"/>
    <cellStyle name="Nuovo 30 3 4 2" xfId="13755" xr:uid="{3DF574E3-2694-427F-875D-81A46C531A23}"/>
    <cellStyle name="Nuovo 30 3 4 3" xfId="27115" xr:uid="{6ADC1C3E-24EA-48AD-A7D1-8FDB219D901D}"/>
    <cellStyle name="Nuovo 30 3 5" xfId="12258" xr:uid="{D88614A1-594E-42DA-94D0-02549FB25C11}"/>
    <cellStyle name="Nuovo 30 3 5 2" xfId="27116" xr:uid="{2D9AAA43-067E-40BE-9225-ADE0163D712A}"/>
    <cellStyle name="Nuovo 30 3 6" xfId="27117" xr:uid="{3C07120D-307A-44C2-B500-53CDC07A020C}"/>
    <cellStyle name="Nuovo 30 3 7" xfId="27108" xr:uid="{BF025DD4-7CAA-4AD5-8AC0-9FB02253C973}"/>
    <cellStyle name="Nuovo 30 4" xfId="2174" xr:uid="{00000000-0005-0000-0000-00000B070000}"/>
    <cellStyle name="Nuovo 30 4 2" xfId="2175" xr:uid="{00000000-0005-0000-0000-00000C070000}"/>
    <cellStyle name="Nuovo 30 4 2 2" xfId="9320" xr:uid="{AC721AE7-6732-40B0-8331-93E3091A4439}"/>
    <cellStyle name="Nuovo 30 4 2 2 2" xfId="27120" xr:uid="{AE96A513-5D96-45AA-BB0B-4E412C9EAE80}"/>
    <cellStyle name="Nuovo 30 4 2 3" xfId="17875" xr:uid="{990354C8-F2DB-404A-BEAE-9196DEE3E108}"/>
    <cellStyle name="Nuovo 30 4 2 3 2" xfId="27121" xr:uid="{08958A1D-84AE-4433-B38E-90C7F62F9E5C}"/>
    <cellStyle name="Nuovo 30 4 2 4" xfId="27119" xr:uid="{7973A965-8F83-443E-8CCE-429E8F29273D}"/>
    <cellStyle name="Nuovo 30 4 2 5" xfId="17488" xr:uid="{E8EF0141-1EED-440D-A889-9295C6805654}"/>
    <cellStyle name="Nuovo 30 4 3" xfId="9321" xr:uid="{0474AF8B-223F-430E-AE45-11AFA663A22E}"/>
    <cellStyle name="Nuovo 30 4 3 2" xfId="27122" xr:uid="{64D62BF9-D572-4DF7-AE30-4911CC233906}"/>
    <cellStyle name="Nuovo 30 4 4" xfId="27123" xr:uid="{1B9F00EB-FF20-48F3-8DEF-2978B30A7CDE}"/>
    <cellStyle name="Nuovo 30 4 4 2" xfId="48998" xr:uid="{3E8E7918-C52A-47A5-80B2-209650CF6D3E}"/>
    <cellStyle name="Nuovo 30 4 5" xfId="27124" xr:uid="{3900FEE6-AE1E-4C00-86E2-892A04FFDB47}"/>
    <cellStyle name="Nuovo 30 4 6" xfId="27118" xr:uid="{FECAEC8B-20F6-46DF-A293-49CD60B905AC}"/>
    <cellStyle name="Nuovo 30 5" xfId="2176" xr:uid="{00000000-0005-0000-0000-00000D070000}"/>
    <cellStyle name="Nuovo 30 5 2" xfId="27126" xr:uid="{48B0FCC9-838E-4FF6-817B-B9043D382DB8}"/>
    <cellStyle name="Nuovo 30 5 2 2" xfId="48999" xr:uid="{90B9BC6E-DDBC-48B9-B17B-D385A06A89A4}"/>
    <cellStyle name="Nuovo 30 5 3" xfId="27127" xr:uid="{4B3D0FE6-8E24-4C96-8BBD-9C403BE9589E}"/>
    <cellStyle name="Nuovo 30 5 4" xfId="27125" xr:uid="{DBA9255F-E1DC-41FB-A245-618698CB2403}"/>
    <cellStyle name="Nuovo 30 6" xfId="4186" xr:uid="{E3B22F56-BF24-467E-BF96-5333ECD8B194}"/>
    <cellStyle name="Nuovo 30 6 2" xfId="9791" xr:uid="{2F0D4FAC-6A9F-4F05-9924-899B173D59E2}"/>
    <cellStyle name="Nuovo 30 6 3" xfId="27128" xr:uid="{50F6B7AF-3160-4808-A790-A781283A6689}"/>
    <cellStyle name="Nuovo 30 7" xfId="27103" xr:uid="{A59FDA06-1C8C-47C4-B7ED-52001EC4255D}"/>
    <cellStyle name="Nuovo 31" xfId="881" xr:uid="{00000000-0005-0000-0000-00000E070000}"/>
    <cellStyle name="Nuovo 31 2" xfId="882" xr:uid="{00000000-0005-0000-0000-00000F070000}"/>
    <cellStyle name="Nuovo 31 2 2" xfId="4187" xr:uid="{E9E1DCB1-4C5F-4D84-B38A-F351F78CC572}"/>
    <cellStyle name="Nuovo 31 2 2 2" xfId="13542" xr:uid="{37622C64-1894-4239-8BA1-AE3FF61ECBAE}"/>
    <cellStyle name="Nuovo 31 2 2 3" xfId="27131" xr:uid="{1640E42F-69AB-4272-82A4-8B185A50A1FB}"/>
    <cellStyle name="Nuovo 31 2 3" xfId="13278" xr:uid="{CBE1FC21-7727-4B56-9BEA-B99FE1AF3C6B}"/>
    <cellStyle name="Nuovo 31 2 3 2" xfId="27132" xr:uid="{0147F21C-31F0-4F51-BA31-65A6022FABCB}"/>
    <cellStyle name="Nuovo 31 2 4" xfId="27133" xr:uid="{E7E3B89A-CE69-4DDB-BC43-8D8084FEDE5F}"/>
    <cellStyle name="Nuovo 31 2 5" xfId="27130" xr:uid="{BF3F1BEC-F592-4007-A984-388E149A8AB5}"/>
    <cellStyle name="Nuovo 31 3" xfId="883" xr:uid="{00000000-0005-0000-0000-000010070000}"/>
    <cellStyle name="Nuovo 31 3 2" xfId="884" xr:uid="{00000000-0005-0000-0000-000011070000}"/>
    <cellStyle name="Nuovo 31 3 2 2" xfId="2177" xr:uid="{00000000-0005-0000-0000-000012070000}"/>
    <cellStyle name="Nuovo 31 3 2 2 2" xfId="27136" xr:uid="{5BB90CEB-3047-40FD-9A27-A246F5417454}"/>
    <cellStyle name="Nuovo 31 3 2 3" xfId="8095" xr:uid="{B0F16EDA-58C8-4484-B287-8EC7871D243B}"/>
    <cellStyle name="Nuovo 31 3 2 3 2" xfId="14096" xr:uid="{14D6FD21-0330-48E9-B4F2-D214A29A064B}"/>
    <cellStyle name="Nuovo 31 3 2 3 3" xfId="27137" xr:uid="{36EA4428-E291-4287-932E-6A222C0E1BD5}"/>
    <cellStyle name="Nuovo 31 3 2 4" xfId="27135" xr:uid="{CEABFF9E-0508-47B3-81CF-2C95D2EDBD14}"/>
    <cellStyle name="Nuovo 31 3 3" xfId="4188" xr:uid="{9037ED7C-BA02-401F-845D-0144FB6019FC}"/>
    <cellStyle name="Nuovo 31 3 3 2" xfId="9322" xr:uid="{71754337-5EEC-4331-9342-7BBF3DBE9AB4}"/>
    <cellStyle name="Nuovo 31 3 3 2 2" xfId="27139" xr:uid="{6E5308AD-40DD-431F-9C8C-32C78D584385}"/>
    <cellStyle name="Nuovo 31 3 3 3" xfId="27140" xr:uid="{48075BA7-12DC-4661-8B2D-439AB617C266}"/>
    <cellStyle name="Nuovo 31 3 3 3 2" xfId="49000" xr:uid="{275F38C9-5E03-4A3E-9EDA-441E74CE0536}"/>
    <cellStyle name="Nuovo 31 3 3 4" xfId="27138" xr:uid="{43EF8886-98C9-429D-B59F-B18E05E3CE71}"/>
    <cellStyle name="Nuovo 31 3 4" xfId="4189" xr:uid="{B65D84CB-B22C-4FE3-806F-168847179C1E}"/>
    <cellStyle name="Nuovo 31 3 4 2" xfId="13756" xr:uid="{27381C3C-10B3-4A0F-9C0D-76B160088216}"/>
    <cellStyle name="Nuovo 31 3 4 3" xfId="27141" xr:uid="{05DC2052-8434-45D9-A45C-44D01441D539}"/>
    <cellStyle name="Nuovo 31 3 5" xfId="11093" xr:uid="{387F2B93-D10A-4290-A3F3-2DF721B40726}"/>
    <cellStyle name="Nuovo 31 3 5 2" xfId="27142" xr:uid="{FF412BAD-010B-4D05-A858-75FF78C8F1FF}"/>
    <cellStyle name="Nuovo 31 3 6" xfId="27143" xr:uid="{894C7A40-226D-4969-901A-798874C02D4B}"/>
    <cellStyle name="Nuovo 31 3 7" xfId="27134" xr:uid="{BBB18440-1F08-4DFA-939A-8A740692122D}"/>
    <cellStyle name="Nuovo 31 4" xfId="2178" xr:uid="{00000000-0005-0000-0000-000013070000}"/>
    <cellStyle name="Nuovo 31 4 2" xfId="2179" xr:uid="{00000000-0005-0000-0000-000014070000}"/>
    <cellStyle name="Nuovo 31 4 2 2" xfId="9323" xr:uid="{ECC86338-7718-431A-8064-A6AE81A6AE21}"/>
    <cellStyle name="Nuovo 31 4 2 2 2" xfId="27146" xr:uid="{3F4AB99D-FDB0-4459-82FE-9D3D55403E7C}"/>
    <cellStyle name="Nuovo 31 4 2 3" xfId="17876" xr:uid="{9BD2F7CE-F9EF-49C2-A4C1-5C952BAA359B}"/>
    <cellStyle name="Nuovo 31 4 2 3 2" xfId="27147" xr:uid="{09174108-CFDA-4F9E-8451-7AC90B5757C3}"/>
    <cellStyle name="Nuovo 31 4 2 4" xfId="27145" xr:uid="{57A2112D-4D8A-4094-B6DD-51DE38AA80FF}"/>
    <cellStyle name="Nuovo 31 4 2 5" xfId="17489" xr:uid="{EAFEFA9C-5006-41CD-BB96-8695623A5580}"/>
    <cellStyle name="Nuovo 31 4 3" xfId="9324" xr:uid="{4777369C-21EB-4756-A3E2-CA51F86F560C}"/>
    <cellStyle name="Nuovo 31 4 3 2" xfId="27148" xr:uid="{45DD7763-BECD-4EAB-BB40-D257ACA30547}"/>
    <cellStyle name="Nuovo 31 4 4" xfId="27149" xr:uid="{0F423BA6-93F4-4CED-9CAE-38821B555D40}"/>
    <cellStyle name="Nuovo 31 4 4 2" xfId="49001" xr:uid="{6C486599-C44D-4C61-863B-384D7E8CA082}"/>
    <cellStyle name="Nuovo 31 4 5" xfId="27150" xr:uid="{ACA7AD7E-CB1E-4EB0-BB81-E08B2F2B5112}"/>
    <cellStyle name="Nuovo 31 4 6" xfId="27144" xr:uid="{8137556F-E1E1-4460-A0F2-79B798B6B20D}"/>
    <cellStyle name="Nuovo 31 5" xfId="2180" xr:uid="{00000000-0005-0000-0000-000015070000}"/>
    <cellStyle name="Nuovo 31 5 2" xfId="27152" xr:uid="{58F762C6-0629-4CD3-B283-454C16AE3F07}"/>
    <cellStyle name="Nuovo 31 5 2 2" xfId="49002" xr:uid="{9442B76D-B9D7-4871-8D31-33946B296863}"/>
    <cellStyle name="Nuovo 31 5 3" xfId="27153" xr:uid="{F23CB5C0-A160-415E-9814-939F1BFB1C47}"/>
    <cellStyle name="Nuovo 31 5 4" xfId="27151" xr:uid="{88E49587-CC4B-4317-8D8A-17544A7A758C}"/>
    <cellStyle name="Nuovo 31 6" xfId="4190" xr:uid="{1D018E73-AF8A-407F-873F-7FE11FCAD5A8}"/>
    <cellStyle name="Nuovo 31 6 2" xfId="9792" xr:uid="{84E6DAD2-9C12-4361-B04F-E10BECECF9D1}"/>
    <cellStyle name="Nuovo 31 6 3" xfId="27154" xr:uid="{6A05D25C-95B7-4762-8F7E-6E7FC463D423}"/>
    <cellStyle name="Nuovo 31 7" xfId="27129" xr:uid="{2E6CDBE2-F231-4B24-A555-2525F2238083}"/>
    <cellStyle name="Nuovo 32" xfId="885" xr:uid="{00000000-0005-0000-0000-000016070000}"/>
    <cellStyle name="Nuovo 32 2" xfId="886" xr:uid="{00000000-0005-0000-0000-000017070000}"/>
    <cellStyle name="Nuovo 32 2 2" xfId="4191" xr:uid="{8073B24D-5183-4C64-A33C-1EAB1CCE37F9}"/>
    <cellStyle name="Nuovo 32 2 2 2" xfId="13543" xr:uid="{708F25F9-FE27-4125-A040-A964AFAC6ECC}"/>
    <cellStyle name="Nuovo 32 2 2 3" xfId="27157" xr:uid="{C856EFC0-9799-4983-83B1-714E99E54903}"/>
    <cellStyle name="Nuovo 32 2 3" xfId="13279" xr:uid="{AF0A1A35-DF2E-41E2-83EE-501FDB2CC999}"/>
    <cellStyle name="Nuovo 32 2 3 2" xfId="27158" xr:uid="{515CDF23-1D51-4818-84FD-60B187F44BF1}"/>
    <cellStyle name="Nuovo 32 2 4" xfId="27159" xr:uid="{B65287E0-E631-40DD-920F-4234C2B480D6}"/>
    <cellStyle name="Nuovo 32 2 5" xfId="27156" xr:uid="{F982DA15-D038-4EC9-83C6-15579D0C7622}"/>
    <cellStyle name="Nuovo 32 3" xfId="887" xr:uid="{00000000-0005-0000-0000-000018070000}"/>
    <cellStyle name="Nuovo 32 3 2" xfId="888" xr:uid="{00000000-0005-0000-0000-000019070000}"/>
    <cellStyle name="Nuovo 32 3 2 2" xfId="2181" xr:uid="{00000000-0005-0000-0000-00001A070000}"/>
    <cellStyle name="Nuovo 32 3 2 2 2" xfId="27162" xr:uid="{63D5D95B-BDCE-4F71-93DC-3C50FE7D5C86}"/>
    <cellStyle name="Nuovo 32 3 2 3" xfId="8096" xr:uid="{CE1D831E-4BD3-4D4C-B4E1-362AD3FF6B55}"/>
    <cellStyle name="Nuovo 32 3 2 3 2" xfId="14097" xr:uid="{579F7EF1-BC4F-40AA-9FB1-3F1485C0136B}"/>
    <cellStyle name="Nuovo 32 3 2 3 3" xfId="27163" xr:uid="{CFE364A6-E1A7-481C-9902-B9898ECF9C6D}"/>
    <cellStyle name="Nuovo 32 3 2 4" xfId="27161" xr:uid="{A3F0C5CE-B492-400B-B8BE-2BCDA95791D5}"/>
    <cellStyle name="Nuovo 32 3 3" xfId="4192" xr:uid="{BD37E39D-AB41-4F8B-BF68-5F6FBE80EE1A}"/>
    <cellStyle name="Nuovo 32 3 3 2" xfId="9325" xr:uid="{30462EE7-087D-4E24-8083-8B50BBB8007B}"/>
    <cellStyle name="Nuovo 32 3 3 2 2" xfId="27165" xr:uid="{D825B2F2-31BA-4BEA-8B3B-8798C2136217}"/>
    <cellStyle name="Nuovo 32 3 3 3" xfId="27166" xr:uid="{F53F43F8-611E-432F-AAD8-77C72EA69250}"/>
    <cellStyle name="Nuovo 32 3 3 3 2" xfId="49003" xr:uid="{1A9FFA1E-8E4B-495F-B238-946FFA9A6878}"/>
    <cellStyle name="Nuovo 32 3 3 4" xfId="27164" xr:uid="{0E6CF306-58B8-4565-8323-ADDAE86AFF83}"/>
    <cellStyle name="Nuovo 32 3 4" xfId="4193" xr:uid="{F612A47E-9F57-463F-AFC0-6F060DFC7345}"/>
    <cellStyle name="Nuovo 32 3 4 2" xfId="13757" xr:uid="{93ECAD73-61FB-47A6-985E-A3D7308FB392}"/>
    <cellStyle name="Nuovo 32 3 4 3" xfId="27167" xr:uid="{7969DC61-2A47-41C0-A5BC-8AE9A963DEA6}"/>
    <cellStyle name="Nuovo 32 3 5" xfId="12256" xr:uid="{85C910E9-81D8-45F7-914A-68407EC6B5B8}"/>
    <cellStyle name="Nuovo 32 3 5 2" xfId="27168" xr:uid="{956BB4AF-1AB8-4AF2-A49D-6EE7746472C5}"/>
    <cellStyle name="Nuovo 32 3 6" xfId="27169" xr:uid="{AD1B6D85-B639-4520-B584-8B18C02F2FA2}"/>
    <cellStyle name="Nuovo 32 3 7" xfId="27160" xr:uid="{D216D338-728D-4A02-8967-BC94F30C6A1D}"/>
    <cellStyle name="Nuovo 32 4" xfId="2182" xr:uid="{00000000-0005-0000-0000-00001B070000}"/>
    <cellStyle name="Nuovo 32 4 2" xfId="2183" xr:uid="{00000000-0005-0000-0000-00001C070000}"/>
    <cellStyle name="Nuovo 32 4 2 2" xfId="9326" xr:uid="{EBD2F2DD-0D9D-4320-905F-9D6258FC8FA4}"/>
    <cellStyle name="Nuovo 32 4 2 2 2" xfId="27172" xr:uid="{26B64F80-8D0F-45BE-BDE5-A1C9109B19BE}"/>
    <cellStyle name="Nuovo 32 4 2 3" xfId="17877" xr:uid="{9B8F42FF-A2BE-47CA-A8E3-C54F940A25D8}"/>
    <cellStyle name="Nuovo 32 4 2 3 2" xfId="27173" xr:uid="{B12F05D6-7240-4B51-9A11-FBCFDDC4F7ED}"/>
    <cellStyle name="Nuovo 32 4 2 4" xfId="27171" xr:uid="{B0C4C5CB-A274-4481-97C5-CC6B6E1DEB9C}"/>
    <cellStyle name="Nuovo 32 4 2 5" xfId="17490" xr:uid="{E190F978-AE8C-4E6A-B0BF-E95E21614763}"/>
    <cellStyle name="Nuovo 32 4 3" xfId="9327" xr:uid="{AC99EA2A-9B5F-48FA-BCBB-899C026D8F92}"/>
    <cellStyle name="Nuovo 32 4 3 2" xfId="27174" xr:uid="{3257A2EA-B72A-4A4B-9E8F-F8C1C5FC1B3C}"/>
    <cellStyle name="Nuovo 32 4 4" xfId="27175" xr:uid="{5BFA4F7D-5CC7-4E60-8521-3BB8A3D9917C}"/>
    <cellStyle name="Nuovo 32 4 4 2" xfId="49004" xr:uid="{FC488498-D9C2-4B02-96FC-E2893E81AE7E}"/>
    <cellStyle name="Nuovo 32 4 5" xfId="27176" xr:uid="{09036DCD-EEEB-40FA-A10F-ADF8212FC3CE}"/>
    <cellStyle name="Nuovo 32 4 6" xfId="27170" xr:uid="{66B4F4CC-BAD1-4C8C-A634-80767886E980}"/>
    <cellStyle name="Nuovo 32 5" xfId="2184" xr:uid="{00000000-0005-0000-0000-00001D070000}"/>
    <cellStyle name="Nuovo 32 5 2" xfId="27178" xr:uid="{99B96F78-33F2-455D-A3D6-B3F7293806D6}"/>
    <cellStyle name="Nuovo 32 5 2 2" xfId="49005" xr:uid="{F35F360E-8B3E-4F52-90DD-6F77A872A3A2}"/>
    <cellStyle name="Nuovo 32 5 3" xfId="27179" xr:uid="{259BE631-B074-4C34-9647-098A35FEAB2D}"/>
    <cellStyle name="Nuovo 32 5 4" xfId="27177" xr:uid="{98DFD118-AE84-4099-A663-2E11094F6377}"/>
    <cellStyle name="Nuovo 32 6" xfId="4194" xr:uid="{EE24F8B6-634D-49B3-B532-AEA4C0175AEF}"/>
    <cellStyle name="Nuovo 32 6 2" xfId="9793" xr:uid="{DED478D7-7FD6-4821-8599-5BADD0A862F3}"/>
    <cellStyle name="Nuovo 32 6 3" xfId="27180" xr:uid="{26A4975C-5B0C-4F86-ADCF-7CB40A2DB21C}"/>
    <cellStyle name="Nuovo 32 7" xfId="27155" xr:uid="{954A0EA4-115B-4755-AF5B-35061BECE65E}"/>
    <cellStyle name="Nuovo 33" xfId="889" xr:uid="{00000000-0005-0000-0000-00001E070000}"/>
    <cellStyle name="Nuovo 33 2" xfId="890" xr:uid="{00000000-0005-0000-0000-00001F070000}"/>
    <cellStyle name="Nuovo 33 2 2" xfId="4195" xr:uid="{62ADB340-5E6B-4703-81F7-D70A6E1E35DC}"/>
    <cellStyle name="Nuovo 33 2 2 2" xfId="13544" xr:uid="{50AB1A74-AAB2-4682-94C3-906C8AFAB373}"/>
    <cellStyle name="Nuovo 33 2 2 3" xfId="27183" xr:uid="{3EB330F9-EE70-4FF2-9B28-97487C0CEE01}"/>
    <cellStyle name="Nuovo 33 2 3" xfId="13280" xr:uid="{0ED4FD4D-2DB1-4F96-B31F-E517AF68EDB5}"/>
    <cellStyle name="Nuovo 33 2 3 2" xfId="27184" xr:uid="{B6D2BD3D-28B3-488E-A740-AA9D5D08EE4E}"/>
    <cellStyle name="Nuovo 33 2 4" xfId="27185" xr:uid="{CEBD66E1-6FBB-4C08-95B5-F45E01C05C53}"/>
    <cellStyle name="Nuovo 33 2 5" xfId="27182" xr:uid="{F4E63E77-239F-41FE-AE8F-5E959B3F439E}"/>
    <cellStyle name="Nuovo 33 3" xfId="891" xr:uid="{00000000-0005-0000-0000-000020070000}"/>
    <cellStyle name="Nuovo 33 3 2" xfId="892" xr:uid="{00000000-0005-0000-0000-000021070000}"/>
    <cellStyle name="Nuovo 33 3 2 2" xfId="2185" xr:uid="{00000000-0005-0000-0000-000022070000}"/>
    <cellStyle name="Nuovo 33 3 2 2 2" xfId="27188" xr:uid="{2EE5AE18-774D-455D-A7FD-29FE48EC3529}"/>
    <cellStyle name="Nuovo 33 3 2 3" xfId="8097" xr:uid="{5066487D-A056-4DA8-B9B8-8CA876BC288B}"/>
    <cellStyle name="Nuovo 33 3 2 3 2" xfId="14098" xr:uid="{BE435E32-8C59-4209-97D6-240E5DF52D67}"/>
    <cellStyle name="Nuovo 33 3 2 3 3" xfId="27189" xr:uid="{7C86C599-CAEB-49B5-B622-90DCF51F28D3}"/>
    <cellStyle name="Nuovo 33 3 2 4" xfId="27187" xr:uid="{B92B5FC1-306E-4F00-B07F-87D9EBEC3FA5}"/>
    <cellStyle name="Nuovo 33 3 3" xfId="4196" xr:uid="{9F85EC94-8A08-4689-A3AB-00452B12ECE7}"/>
    <cellStyle name="Nuovo 33 3 3 2" xfId="9328" xr:uid="{64CE5116-176C-468E-8FA6-01AB98C0F993}"/>
    <cellStyle name="Nuovo 33 3 3 2 2" xfId="27191" xr:uid="{2058D5D1-591F-4F33-8C03-9A5FA159377A}"/>
    <cellStyle name="Nuovo 33 3 3 3" xfId="27192" xr:uid="{16C75CFC-F516-4513-ADBC-A7187DE67A2B}"/>
    <cellStyle name="Nuovo 33 3 3 3 2" xfId="49006" xr:uid="{A3676BE7-62D7-4165-812D-12897B82B232}"/>
    <cellStyle name="Nuovo 33 3 3 4" xfId="27190" xr:uid="{DB273DEE-56D1-4660-A6A6-553182B28855}"/>
    <cellStyle name="Nuovo 33 3 4" xfId="4197" xr:uid="{754AD26F-2146-4481-BF38-22CA85809A56}"/>
    <cellStyle name="Nuovo 33 3 4 2" xfId="13758" xr:uid="{7F19D354-C6FA-4C50-B567-1935AACC51B3}"/>
    <cellStyle name="Nuovo 33 3 4 3" xfId="27193" xr:uid="{9B249BD8-5668-4878-9582-E4E3AE91ACB1}"/>
    <cellStyle name="Nuovo 33 3 5" xfId="12294" xr:uid="{A312C3AE-2B69-4089-A545-FC39FCF757CE}"/>
    <cellStyle name="Nuovo 33 3 5 2" xfId="27194" xr:uid="{58561CA9-86FF-4C21-B06F-50AFC32D354D}"/>
    <cellStyle name="Nuovo 33 3 6" xfId="27195" xr:uid="{555CF545-F60B-4EE6-B6ED-87080D63E6EF}"/>
    <cellStyle name="Nuovo 33 3 7" xfId="27186" xr:uid="{14F20FD0-EC4C-437B-AE9D-C608357F643E}"/>
    <cellStyle name="Nuovo 33 4" xfId="2186" xr:uid="{00000000-0005-0000-0000-000023070000}"/>
    <cellStyle name="Nuovo 33 4 2" xfId="2187" xr:uid="{00000000-0005-0000-0000-000024070000}"/>
    <cellStyle name="Nuovo 33 4 2 2" xfId="9329" xr:uid="{F7000AFD-087D-426D-8578-3DC1017F8008}"/>
    <cellStyle name="Nuovo 33 4 2 2 2" xfId="27198" xr:uid="{A1B2F0BB-C321-49B8-ADFC-1D0AB73DB746}"/>
    <cellStyle name="Nuovo 33 4 2 3" xfId="17878" xr:uid="{D9B58261-394B-445A-8346-DE74570AF915}"/>
    <cellStyle name="Nuovo 33 4 2 3 2" xfId="27199" xr:uid="{42EFF72D-FCAC-4E5C-B35E-A9ECF28F65BD}"/>
    <cellStyle name="Nuovo 33 4 2 4" xfId="27197" xr:uid="{F65A87E1-8D7D-45CA-B637-799BD1137587}"/>
    <cellStyle name="Nuovo 33 4 2 5" xfId="17491" xr:uid="{66F51640-F46B-4E22-B921-3C6756ECE9AB}"/>
    <cellStyle name="Nuovo 33 4 3" xfId="9330" xr:uid="{68B102D0-1F83-4117-B3FA-5C5D89621DE3}"/>
    <cellStyle name="Nuovo 33 4 3 2" xfId="27200" xr:uid="{5AEBF1E6-CA1B-4458-B6DB-1AA9B74E7C5D}"/>
    <cellStyle name="Nuovo 33 4 4" xfId="27201" xr:uid="{3B2DD171-B62D-4651-AAA2-9E6047F74279}"/>
    <cellStyle name="Nuovo 33 4 4 2" xfId="49007" xr:uid="{877590C9-FB73-49E4-9A1D-369AA6AD4489}"/>
    <cellStyle name="Nuovo 33 4 5" xfId="27202" xr:uid="{D5FE7A98-A47A-40C1-AEA8-7E6DEB11A978}"/>
    <cellStyle name="Nuovo 33 4 6" xfId="27196" xr:uid="{EA834F2A-E98E-4AE8-9FE0-0AA7AB7FDFAF}"/>
    <cellStyle name="Nuovo 33 5" xfId="2188" xr:uid="{00000000-0005-0000-0000-000025070000}"/>
    <cellStyle name="Nuovo 33 5 2" xfId="27204" xr:uid="{36012286-C7D2-4F08-8AAF-F8D2AB33AEF5}"/>
    <cellStyle name="Nuovo 33 5 2 2" xfId="49008" xr:uid="{FC69466D-41E1-4890-8FF6-909966B78A1A}"/>
    <cellStyle name="Nuovo 33 5 3" xfId="27205" xr:uid="{F8FC96DA-A744-4560-8D11-491A3CB24A68}"/>
    <cellStyle name="Nuovo 33 5 4" xfId="27203" xr:uid="{542A594D-2389-4DCA-8057-D565FD217EFF}"/>
    <cellStyle name="Nuovo 33 6" xfId="4198" xr:uid="{FBED8D55-7227-4078-840F-0D474F8727B7}"/>
    <cellStyle name="Nuovo 33 6 2" xfId="9794" xr:uid="{8C95B018-7B18-463B-9CB0-AAB5CB15E477}"/>
    <cellStyle name="Nuovo 33 6 3" xfId="27206" xr:uid="{4BBBF63F-09B0-40D3-A152-5A1A9246083E}"/>
    <cellStyle name="Nuovo 33 7" xfId="27181" xr:uid="{53614CDA-4915-4972-B974-D6890C6FB978}"/>
    <cellStyle name="Nuovo 34" xfId="893" xr:uid="{00000000-0005-0000-0000-000026070000}"/>
    <cellStyle name="Nuovo 34 2" xfId="894" xr:uid="{00000000-0005-0000-0000-000027070000}"/>
    <cellStyle name="Nuovo 34 2 2" xfId="4199" xr:uid="{4760C67D-B602-4944-B63E-417E03357B6B}"/>
    <cellStyle name="Nuovo 34 2 2 2" xfId="13545" xr:uid="{C44D2FA2-D668-43ED-A5B4-BBF5ADDB3182}"/>
    <cellStyle name="Nuovo 34 2 2 3" xfId="27209" xr:uid="{9F5ABEDF-EC36-403A-9823-7C344A1C26AE}"/>
    <cellStyle name="Nuovo 34 2 3" xfId="13281" xr:uid="{E68759C0-081C-463D-8764-7DDAC910CB20}"/>
    <cellStyle name="Nuovo 34 2 3 2" xfId="27210" xr:uid="{B7549B9E-CFAA-4B63-AA52-25D3D8580156}"/>
    <cellStyle name="Nuovo 34 2 4" xfId="27211" xr:uid="{61A281B4-4C8F-4627-AC07-4B4A6B4A7305}"/>
    <cellStyle name="Nuovo 34 2 5" xfId="27208" xr:uid="{D4DF9D50-24D7-4975-8F89-FD8928F4092C}"/>
    <cellStyle name="Nuovo 34 3" xfId="895" xr:uid="{00000000-0005-0000-0000-000028070000}"/>
    <cellStyle name="Nuovo 34 3 2" xfId="896" xr:uid="{00000000-0005-0000-0000-000029070000}"/>
    <cellStyle name="Nuovo 34 3 2 2" xfId="2189" xr:uid="{00000000-0005-0000-0000-00002A070000}"/>
    <cellStyle name="Nuovo 34 3 2 2 2" xfId="27214" xr:uid="{21DAD0F5-1BB7-4357-B475-1087327BFA0F}"/>
    <cellStyle name="Nuovo 34 3 2 3" xfId="8098" xr:uid="{4F7FA860-F1F6-4C53-9A99-A395FE36FA46}"/>
    <cellStyle name="Nuovo 34 3 2 3 2" xfId="14099" xr:uid="{B67569B9-200C-4C05-8461-1CC17D040097}"/>
    <cellStyle name="Nuovo 34 3 2 3 3" xfId="27215" xr:uid="{4AD66738-49D2-474B-B1DA-496BE59D3C8A}"/>
    <cellStyle name="Nuovo 34 3 2 4" xfId="27213" xr:uid="{B07F219F-EF7E-4183-84F6-DBAB0FF17EAF}"/>
    <cellStyle name="Nuovo 34 3 3" xfId="4200" xr:uid="{D0EF8D5A-0058-465E-BCC6-BFEED23F1AF9}"/>
    <cellStyle name="Nuovo 34 3 3 2" xfId="9331" xr:uid="{AED031EE-BEFC-44A0-BB19-830202603881}"/>
    <cellStyle name="Nuovo 34 3 3 2 2" xfId="27217" xr:uid="{0679097B-32C5-4C19-BBE9-F37594A8B57D}"/>
    <cellStyle name="Nuovo 34 3 3 3" xfId="27218" xr:uid="{B3122453-FF9B-4AFB-9270-8959AA2B4B73}"/>
    <cellStyle name="Nuovo 34 3 3 3 2" xfId="49009" xr:uid="{95A6C1BC-D684-4277-8A53-19472303F7F8}"/>
    <cellStyle name="Nuovo 34 3 3 4" xfId="27216" xr:uid="{845A3798-AE6B-4A3E-AC6F-59685C534423}"/>
    <cellStyle name="Nuovo 34 3 4" xfId="4201" xr:uid="{3F8DD797-F9E4-468E-95F0-FC1E5EE53A73}"/>
    <cellStyle name="Nuovo 34 3 4 2" xfId="13759" xr:uid="{F49E5246-F1F4-4457-A006-682DB7760200}"/>
    <cellStyle name="Nuovo 34 3 4 3" xfId="27219" xr:uid="{9D46EAD2-DC7A-49D1-B156-F7F83E027802}"/>
    <cellStyle name="Nuovo 34 3 5" xfId="11523" xr:uid="{BF0C249E-E8EF-4D40-8C1A-F68B4F857B9E}"/>
    <cellStyle name="Nuovo 34 3 5 2" xfId="27220" xr:uid="{D9ED0A95-41AE-45B0-AA08-C45A0C13BDAC}"/>
    <cellStyle name="Nuovo 34 3 6" xfId="27221" xr:uid="{37F17EA5-380D-42CD-B4D7-B3A50548A2C5}"/>
    <cellStyle name="Nuovo 34 3 7" xfId="27212" xr:uid="{3CA0B4EF-AE5B-46F1-AE40-8D8AF965E545}"/>
    <cellStyle name="Nuovo 34 4" xfId="2190" xr:uid="{00000000-0005-0000-0000-00002B070000}"/>
    <cellStyle name="Nuovo 34 4 2" xfId="2191" xr:uid="{00000000-0005-0000-0000-00002C070000}"/>
    <cellStyle name="Nuovo 34 4 2 2" xfId="9332" xr:uid="{A3208215-197D-4879-BC0B-3DE5D8FD960F}"/>
    <cellStyle name="Nuovo 34 4 2 2 2" xfId="27224" xr:uid="{218A7458-F481-4855-948F-25DED7A1FB05}"/>
    <cellStyle name="Nuovo 34 4 2 3" xfId="17879" xr:uid="{80EB1D46-1C1E-4D10-A6F9-DC87B4835F7D}"/>
    <cellStyle name="Nuovo 34 4 2 3 2" xfId="27225" xr:uid="{D3B8F0A8-91DA-49A2-AFB9-E1229F31CDA4}"/>
    <cellStyle name="Nuovo 34 4 2 4" xfId="27223" xr:uid="{D2FCDD28-C7D2-4725-8038-3D87601EB4BB}"/>
    <cellStyle name="Nuovo 34 4 2 5" xfId="17492" xr:uid="{562B0D64-39BE-4395-9662-2F1595DD6FDD}"/>
    <cellStyle name="Nuovo 34 4 3" xfId="9333" xr:uid="{792E2068-7B49-4B27-83A8-841C8C770348}"/>
    <cellStyle name="Nuovo 34 4 3 2" xfId="27226" xr:uid="{1A2B48CA-5055-48A2-BB02-7AB2AA13A7D8}"/>
    <cellStyle name="Nuovo 34 4 4" xfId="27227" xr:uid="{F3A15C62-1B13-4133-9437-C7D569ADB996}"/>
    <cellStyle name="Nuovo 34 4 4 2" xfId="49010" xr:uid="{80E1A729-BB91-4ADB-B609-57754AFC6A35}"/>
    <cellStyle name="Nuovo 34 4 5" xfId="27228" xr:uid="{AF551834-E82F-416F-91D4-BAA0EF221AA1}"/>
    <cellStyle name="Nuovo 34 4 6" xfId="27222" xr:uid="{733D0E1D-8759-46AF-A422-88CE342DCBFE}"/>
    <cellStyle name="Nuovo 34 5" xfId="2192" xr:uid="{00000000-0005-0000-0000-00002D070000}"/>
    <cellStyle name="Nuovo 34 5 2" xfId="27230" xr:uid="{93B71085-518C-4934-B49B-8719272EF676}"/>
    <cellStyle name="Nuovo 34 5 2 2" xfId="49011" xr:uid="{E31D8145-9F6E-4170-BE91-D6F032F967CF}"/>
    <cellStyle name="Nuovo 34 5 3" xfId="27231" xr:uid="{6BF96C64-37EE-4894-8297-DAB936FCD9C3}"/>
    <cellStyle name="Nuovo 34 5 4" xfId="27229" xr:uid="{34AFEFBF-52B8-4030-965C-2B4A15A5C2C0}"/>
    <cellStyle name="Nuovo 34 6" xfId="4202" xr:uid="{6F1E2B6F-DB7F-49B8-BFCE-7D6C72323D19}"/>
    <cellStyle name="Nuovo 34 6 2" xfId="9795" xr:uid="{76CB15C1-AD00-4DF9-AF38-6CBE77320AAA}"/>
    <cellStyle name="Nuovo 34 6 3" xfId="27232" xr:uid="{95C0648A-B0E5-4428-A8D4-9719AEF4687D}"/>
    <cellStyle name="Nuovo 34 7" xfId="27207" xr:uid="{E03ECC80-CA1F-430B-9806-8299C17875FD}"/>
    <cellStyle name="Nuovo 35" xfId="897" xr:uid="{00000000-0005-0000-0000-00002E070000}"/>
    <cellStyle name="Nuovo 35 2" xfId="898" xr:uid="{00000000-0005-0000-0000-00002F070000}"/>
    <cellStyle name="Nuovo 35 2 2" xfId="4203" xr:uid="{3C68626D-0530-49F3-9A9F-8B05D0D1F455}"/>
    <cellStyle name="Nuovo 35 2 2 2" xfId="13546" xr:uid="{F4FE96F9-C04C-47BC-B6E7-6539BE77FB87}"/>
    <cellStyle name="Nuovo 35 2 2 3" xfId="27235" xr:uid="{833DF92F-FDA7-4F34-9A57-79AD959C0FCD}"/>
    <cellStyle name="Nuovo 35 2 3" xfId="13282" xr:uid="{E56E96C8-643F-41DA-8D28-A9ECA2F6D81C}"/>
    <cellStyle name="Nuovo 35 2 3 2" xfId="27236" xr:uid="{EBA50F5A-5C58-4126-9290-AACE2705BB9F}"/>
    <cellStyle name="Nuovo 35 2 4" xfId="27237" xr:uid="{B9073B77-D877-41C3-A63D-D5AF98415DB4}"/>
    <cellStyle name="Nuovo 35 2 5" xfId="27234" xr:uid="{55B3D2B0-77BB-4D47-9BCB-AAEE9542BFF8}"/>
    <cellStyle name="Nuovo 35 3" xfId="899" xr:uid="{00000000-0005-0000-0000-000030070000}"/>
    <cellStyle name="Nuovo 35 3 2" xfId="900" xr:uid="{00000000-0005-0000-0000-000031070000}"/>
    <cellStyle name="Nuovo 35 3 2 2" xfId="2193" xr:uid="{00000000-0005-0000-0000-000032070000}"/>
    <cellStyle name="Nuovo 35 3 2 2 2" xfId="27240" xr:uid="{2325484B-C178-4DE2-9E5F-9C96832C6ACF}"/>
    <cellStyle name="Nuovo 35 3 2 3" xfId="8099" xr:uid="{A0572E57-CBFA-4DA2-BA5E-5D98696789FD}"/>
    <cellStyle name="Nuovo 35 3 2 3 2" xfId="14100" xr:uid="{BB401603-18B0-4E57-9ECB-840073667616}"/>
    <cellStyle name="Nuovo 35 3 2 3 3" xfId="27241" xr:uid="{02903AF1-33CC-41D6-98B1-019C98492852}"/>
    <cellStyle name="Nuovo 35 3 2 4" xfId="27239" xr:uid="{198D4E41-F6A3-413D-9CE4-2DE6951467AF}"/>
    <cellStyle name="Nuovo 35 3 3" xfId="4204" xr:uid="{D3ABC173-4E1D-4ED0-B63C-0D64734FEE24}"/>
    <cellStyle name="Nuovo 35 3 3 2" xfId="9334" xr:uid="{D187EA62-D9BD-485E-BC18-514FE9131EB4}"/>
    <cellStyle name="Nuovo 35 3 3 2 2" xfId="27243" xr:uid="{C0CF2C0C-AE35-49E1-920F-BCB2E39D8E3D}"/>
    <cellStyle name="Nuovo 35 3 3 3" xfId="27244" xr:uid="{97766AEE-1D8D-47AF-BCBE-D2F08EC6DFA4}"/>
    <cellStyle name="Nuovo 35 3 3 3 2" xfId="49012" xr:uid="{DAB825AD-4423-49F2-8D52-CAAC6C3C90B0}"/>
    <cellStyle name="Nuovo 35 3 3 4" xfId="27242" xr:uid="{10BE030E-5610-4A57-BB09-1DB992382EF5}"/>
    <cellStyle name="Nuovo 35 3 4" xfId="4205" xr:uid="{4D1924AE-1D26-48C5-89BA-E0C03E0815B4}"/>
    <cellStyle name="Nuovo 35 3 4 2" xfId="13760" xr:uid="{DD9989AC-E89D-4E39-B23D-DA8838F2FD5E}"/>
    <cellStyle name="Nuovo 35 3 4 3" xfId="27245" xr:uid="{7A9FDA2A-2114-425E-80CC-C818F5E7AE9F}"/>
    <cellStyle name="Nuovo 35 3 5" xfId="12293" xr:uid="{385DEBF5-8E47-4BD8-971F-478C2399551A}"/>
    <cellStyle name="Nuovo 35 3 5 2" xfId="27246" xr:uid="{C6C435DF-76AF-4EF3-98AC-797AA14C72A5}"/>
    <cellStyle name="Nuovo 35 3 6" xfId="27247" xr:uid="{630C00AB-3761-436B-8A1C-DC1C38C643F2}"/>
    <cellStyle name="Nuovo 35 3 7" xfId="27238" xr:uid="{59D8FF75-E591-41B9-9461-6982995DB784}"/>
    <cellStyle name="Nuovo 35 4" xfId="2194" xr:uid="{00000000-0005-0000-0000-000033070000}"/>
    <cellStyle name="Nuovo 35 4 2" xfId="2195" xr:uid="{00000000-0005-0000-0000-000034070000}"/>
    <cellStyle name="Nuovo 35 4 2 2" xfId="9335" xr:uid="{EBA84BC7-37D3-4AEE-B865-8FC9853D31F3}"/>
    <cellStyle name="Nuovo 35 4 2 2 2" xfId="27250" xr:uid="{8719544B-5D12-4E37-8A37-6EC4D2FF55B9}"/>
    <cellStyle name="Nuovo 35 4 2 3" xfId="17880" xr:uid="{3B328E38-3E27-46DB-9C3C-C34DC60DFC3A}"/>
    <cellStyle name="Nuovo 35 4 2 3 2" xfId="27251" xr:uid="{002330BE-80B0-4351-B9A5-98136BFCD4CD}"/>
    <cellStyle name="Nuovo 35 4 2 4" xfId="27249" xr:uid="{84984614-2027-40D0-97C7-B29589073C79}"/>
    <cellStyle name="Nuovo 35 4 2 5" xfId="17493" xr:uid="{FF85A63D-3256-494E-A7B6-4D11BDFC8A42}"/>
    <cellStyle name="Nuovo 35 4 3" xfId="9336" xr:uid="{ACD4AA53-8D27-4AD3-93DF-C7867EC62402}"/>
    <cellStyle name="Nuovo 35 4 3 2" xfId="27252" xr:uid="{9160050D-D164-42E7-B414-5F0279C22023}"/>
    <cellStyle name="Nuovo 35 4 4" xfId="27253" xr:uid="{BC5F70AF-6370-44E1-A513-BF6F17F2F76F}"/>
    <cellStyle name="Nuovo 35 4 4 2" xfId="49013" xr:uid="{73AE7455-EF64-40AC-BBA5-7CFE441B8D4F}"/>
    <cellStyle name="Nuovo 35 4 5" xfId="27254" xr:uid="{51875896-46B2-4A59-954E-9F6A37BE292A}"/>
    <cellStyle name="Nuovo 35 4 6" xfId="27248" xr:uid="{27B8C873-CD0C-4945-9BC0-785D9B23E7AA}"/>
    <cellStyle name="Nuovo 35 5" xfId="2196" xr:uid="{00000000-0005-0000-0000-000035070000}"/>
    <cellStyle name="Nuovo 35 5 2" xfId="27256" xr:uid="{CF857EBD-B595-47F2-9AFC-BA5825C30305}"/>
    <cellStyle name="Nuovo 35 5 2 2" xfId="49014" xr:uid="{7C923DEF-FA17-41B2-985B-28EB3BE02D94}"/>
    <cellStyle name="Nuovo 35 5 3" xfId="27257" xr:uid="{58D343D5-13A8-4D8E-AFE8-7417DEC797CF}"/>
    <cellStyle name="Nuovo 35 5 4" xfId="27255" xr:uid="{57CB669C-F40E-46CF-AE3C-B0C73C8FD5C6}"/>
    <cellStyle name="Nuovo 35 6" xfId="4206" xr:uid="{A00A477E-7DA4-4521-8B51-E29DF5333F8A}"/>
    <cellStyle name="Nuovo 35 6 2" xfId="9796" xr:uid="{6CCA797E-296E-44F5-919D-77A3936F437D}"/>
    <cellStyle name="Nuovo 35 6 3" xfId="27258" xr:uid="{F9B26A35-6ACD-4222-9678-C452817B53B3}"/>
    <cellStyle name="Nuovo 35 7" xfId="27233" xr:uid="{F80F16F1-EB8B-4A4B-87D9-87EE53E5DBF5}"/>
    <cellStyle name="Nuovo 36" xfId="901" xr:uid="{00000000-0005-0000-0000-000036070000}"/>
    <cellStyle name="Nuovo 36 2" xfId="902" xr:uid="{00000000-0005-0000-0000-000037070000}"/>
    <cellStyle name="Nuovo 36 2 2" xfId="4207" xr:uid="{BAB3A3CA-3D4A-489D-AE94-AA1754033E98}"/>
    <cellStyle name="Nuovo 36 2 2 2" xfId="13547" xr:uid="{68BDEC0F-745C-49A5-97FE-97B58B7260D5}"/>
    <cellStyle name="Nuovo 36 2 2 3" xfId="27261" xr:uid="{5B14F0B3-0E37-44D7-A444-E1BFD3475BF1}"/>
    <cellStyle name="Nuovo 36 2 3" xfId="13283" xr:uid="{66748A89-6206-406D-9191-1854C7E4A55E}"/>
    <cellStyle name="Nuovo 36 2 3 2" xfId="27262" xr:uid="{3C16ABF0-9E4C-4105-9F54-9C3026D5DEA5}"/>
    <cellStyle name="Nuovo 36 2 4" xfId="27263" xr:uid="{1AE642CD-3C56-4A3A-80AB-E4B1098BB351}"/>
    <cellStyle name="Nuovo 36 2 5" xfId="27260" xr:uid="{942C864B-5F9C-4BB8-9C38-328068CA356C}"/>
    <cellStyle name="Nuovo 36 3" xfId="903" xr:uid="{00000000-0005-0000-0000-000038070000}"/>
    <cellStyle name="Nuovo 36 3 2" xfId="904" xr:uid="{00000000-0005-0000-0000-000039070000}"/>
    <cellStyle name="Nuovo 36 3 2 2" xfId="2197" xr:uid="{00000000-0005-0000-0000-00003A070000}"/>
    <cellStyle name="Nuovo 36 3 2 2 2" xfId="27266" xr:uid="{8D001364-04CC-449B-A0DF-0020F8C44CDB}"/>
    <cellStyle name="Nuovo 36 3 2 3" xfId="8100" xr:uid="{6B885DB8-483A-4A4B-8179-87C183F91748}"/>
    <cellStyle name="Nuovo 36 3 2 3 2" xfId="14101" xr:uid="{10B2A099-2DDF-49E9-8E9F-3CFA8928145D}"/>
    <cellStyle name="Nuovo 36 3 2 3 3" xfId="27267" xr:uid="{BE8B8FB5-2C1F-49A3-9904-4D1A2352FB28}"/>
    <cellStyle name="Nuovo 36 3 2 4" xfId="27265" xr:uid="{7BD93DA0-FBC8-45FE-9804-77E0FDC46DB8}"/>
    <cellStyle name="Nuovo 36 3 3" xfId="4208" xr:uid="{1A6BB515-873D-4047-B086-90A7F6DAD89A}"/>
    <cellStyle name="Nuovo 36 3 3 2" xfId="9337" xr:uid="{D92DA56D-7839-4070-A440-3DB93589BF04}"/>
    <cellStyle name="Nuovo 36 3 3 2 2" xfId="27269" xr:uid="{EA70AF1D-365D-4F7E-A4B1-1B0EEF1A305A}"/>
    <cellStyle name="Nuovo 36 3 3 3" xfId="27270" xr:uid="{BC055A74-BFDF-4452-A8B8-0A327E43C95E}"/>
    <cellStyle name="Nuovo 36 3 3 3 2" xfId="49015" xr:uid="{28E4ABFF-1404-4585-AACA-4DA5FE6BA1DE}"/>
    <cellStyle name="Nuovo 36 3 3 4" xfId="27268" xr:uid="{5CCEAF92-3ADF-4775-A04B-21454658042C}"/>
    <cellStyle name="Nuovo 36 3 4" xfId="4209" xr:uid="{348D861D-3051-4B69-A74B-58B7624BB565}"/>
    <cellStyle name="Nuovo 36 3 4 2" xfId="13761" xr:uid="{71A37468-4F6C-4EB0-9217-37F929FCAD78}"/>
    <cellStyle name="Nuovo 36 3 4 3" xfId="27271" xr:uid="{59271178-8E4A-4F4E-A4A4-E510B9389DBD}"/>
    <cellStyle name="Nuovo 36 3 5" xfId="11159" xr:uid="{51FE554E-3909-4EE5-8D39-5EAAA78E8AE9}"/>
    <cellStyle name="Nuovo 36 3 5 2" xfId="27272" xr:uid="{9AA71921-D11F-471C-A6EB-0B08112D2558}"/>
    <cellStyle name="Nuovo 36 3 6" xfId="27273" xr:uid="{AA3AEF3E-4DE2-46E8-93E3-450C01152F52}"/>
    <cellStyle name="Nuovo 36 3 7" xfId="27264" xr:uid="{9C48865C-5A4D-442C-9CA8-12A04AD1586F}"/>
    <cellStyle name="Nuovo 36 4" xfId="2198" xr:uid="{00000000-0005-0000-0000-00003B070000}"/>
    <cellStyle name="Nuovo 36 4 2" xfId="2199" xr:uid="{00000000-0005-0000-0000-00003C070000}"/>
    <cellStyle name="Nuovo 36 4 2 2" xfId="9338" xr:uid="{3584AA7C-FF76-4F52-A05C-FC4F4AC699EA}"/>
    <cellStyle name="Nuovo 36 4 2 2 2" xfId="27276" xr:uid="{11D42E05-3795-425A-8E26-78B040A5E643}"/>
    <cellStyle name="Nuovo 36 4 2 3" xfId="17881" xr:uid="{26CDCDD3-C842-404E-9B89-187CCE8CD2D5}"/>
    <cellStyle name="Nuovo 36 4 2 3 2" xfId="27277" xr:uid="{93AC6444-0834-4D0E-89B0-B0A50FC412F7}"/>
    <cellStyle name="Nuovo 36 4 2 4" xfId="27275" xr:uid="{FD6550FA-0386-42C3-B875-322C734FD08E}"/>
    <cellStyle name="Nuovo 36 4 2 5" xfId="17494" xr:uid="{5843FF36-F4EC-4188-95C5-9D4FCDCF774C}"/>
    <cellStyle name="Nuovo 36 4 3" xfId="9339" xr:uid="{66FFB423-8454-4DFA-8CE8-3391FB109B3A}"/>
    <cellStyle name="Nuovo 36 4 3 2" xfId="27278" xr:uid="{9101A21E-AB0A-4D60-A873-FF86035DC60B}"/>
    <cellStyle name="Nuovo 36 4 4" xfId="27279" xr:uid="{AAD892AB-8627-4AD3-AD1F-7922F3E2387D}"/>
    <cellStyle name="Nuovo 36 4 4 2" xfId="49016" xr:uid="{29A1643B-1430-44DA-9755-7A35118D7540}"/>
    <cellStyle name="Nuovo 36 4 5" xfId="27280" xr:uid="{960C0113-3E7E-43E4-AB7E-C67A9BA8A7F9}"/>
    <cellStyle name="Nuovo 36 4 6" xfId="27274" xr:uid="{8D5DE362-6DC1-4ADF-A218-9775BD6812A8}"/>
    <cellStyle name="Nuovo 36 5" xfId="2200" xr:uid="{00000000-0005-0000-0000-00003D070000}"/>
    <cellStyle name="Nuovo 36 5 2" xfId="27282" xr:uid="{85C24804-1692-492C-997C-0B1F91B9A4CC}"/>
    <cellStyle name="Nuovo 36 5 2 2" xfId="49017" xr:uid="{EA240E77-63FD-4985-A8E4-200C1C271D24}"/>
    <cellStyle name="Nuovo 36 5 3" xfId="27283" xr:uid="{FE0F2D3B-4FB4-44B6-8629-8503203BCE7C}"/>
    <cellStyle name="Nuovo 36 5 4" xfId="27281" xr:uid="{5F2B8A92-8F32-47B4-B73F-6130D5BBE552}"/>
    <cellStyle name="Nuovo 36 6" xfId="4210" xr:uid="{9EB4B771-343D-4179-846D-2C6EB25139AB}"/>
    <cellStyle name="Nuovo 36 6 2" xfId="9797" xr:uid="{D6026942-016B-4B9A-8B65-9F0D1AF2FDF4}"/>
    <cellStyle name="Nuovo 36 6 3" xfId="27284" xr:uid="{237D0C3E-FBDA-4DCC-9841-9521C9DCC51B}"/>
    <cellStyle name="Nuovo 36 7" xfId="27259" xr:uid="{3809480F-D2BC-4AB3-829B-C056122C5920}"/>
    <cellStyle name="Nuovo 37" xfId="905" xr:uid="{00000000-0005-0000-0000-00003E070000}"/>
    <cellStyle name="Nuovo 37 2" xfId="906" xr:uid="{00000000-0005-0000-0000-00003F070000}"/>
    <cellStyle name="Nuovo 37 2 2" xfId="4211" xr:uid="{451C8C83-4265-4C80-897F-9F90B06ACB10}"/>
    <cellStyle name="Nuovo 37 2 2 2" xfId="13548" xr:uid="{8FF510A7-8449-4F2C-A187-CDFDD943F7CA}"/>
    <cellStyle name="Nuovo 37 2 2 3" xfId="27287" xr:uid="{9418FE32-D825-4663-848F-3CB7BE0EDF04}"/>
    <cellStyle name="Nuovo 37 2 3" xfId="13284" xr:uid="{CDE741B1-6954-4F4F-9BE2-7B8A2F76C731}"/>
    <cellStyle name="Nuovo 37 2 3 2" xfId="27288" xr:uid="{211FEE41-F345-4399-989E-CC8E1594F4C5}"/>
    <cellStyle name="Nuovo 37 2 4" xfId="27289" xr:uid="{EA2546FB-7C56-4760-AB30-A7D602F678C1}"/>
    <cellStyle name="Nuovo 37 2 5" xfId="27286" xr:uid="{F3CA66AE-E43B-492D-AB56-6360650718B8}"/>
    <cellStyle name="Nuovo 37 3" xfId="907" xr:uid="{00000000-0005-0000-0000-000040070000}"/>
    <cellStyle name="Nuovo 37 3 2" xfId="908" xr:uid="{00000000-0005-0000-0000-000041070000}"/>
    <cellStyle name="Nuovo 37 3 2 2" xfId="2201" xr:uid="{00000000-0005-0000-0000-000042070000}"/>
    <cellStyle name="Nuovo 37 3 2 2 2" xfId="27292" xr:uid="{4ED65A9B-E4F9-446A-86BC-35EC784D90B6}"/>
    <cellStyle name="Nuovo 37 3 2 3" xfId="8101" xr:uid="{74744676-D7D3-4088-8BF1-E6AE5E150F50}"/>
    <cellStyle name="Nuovo 37 3 2 3 2" xfId="14102" xr:uid="{A63372C9-38E8-43D2-A053-4030A20ECF19}"/>
    <cellStyle name="Nuovo 37 3 2 3 3" xfId="27293" xr:uid="{1C150145-47C5-4C65-848B-5E100A3443CB}"/>
    <cellStyle name="Nuovo 37 3 2 4" xfId="27291" xr:uid="{DD77FE7E-CB94-4714-BD1A-1C6A399EB4D4}"/>
    <cellStyle name="Nuovo 37 3 3" xfId="4212" xr:uid="{709C5631-21BA-463E-ABE6-53AAADF9E01E}"/>
    <cellStyle name="Nuovo 37 3 3 2" xfId="9340" xr:uid="{B78E1A1E-8669-424D-865E-C0F0B351116D}"/>
    <cellStyle name="Nuovo 37 3 3 2 2" xfId="27295" xr:uid="{906B7EC4-4C1C-4BA6-9F48-E9EB0063A09D}"/>
    <cellStyle name="Nuovo 37 3 3 3" xfId="27296" xr:uid="{57D578E5-6C7C-4A5F-8F97-A3816240425E}"/>
    <cellStyle name="Nuovo 37 3 3 3 2" xfId="49018" xr:uid="{D7EA5D61-1D51-4599-BD42-80E3BEBEB135}"/>
    <cellStyle name="Nuovo 37 3 3 4" xfId="27294" xr:uid="{816DA027-8356-4CED-B02D-D54DFBCD2E42}"/>
    <cellStyle name="Nuovo 37 3 4" xfId="4213" xr:uid="{E14B18BF-3A3A-4791-B319-5A5A89AF164F}"/>
    <cellStyle name="Nuovo 37 3 4 2" xfId="13762" xr:uid="{EC0B03A5-41FA-4C95-BA67-756600455CA6}"/>
    <cellStyle name="Nuovo 37 3 4 3" xfId="27297" xr:uid="{E2C54552-5A01-4235-82F0-B59C5C326C37}"/>
    <cellStyle name="Nuovo 37 3 5" xfId="11211" xr:uid="{88701065-F8B7-4254-8D91-DAC47CEAD6A6}"/>
    <cellStyle name="Nuovo 37 3 5 2" xfId="27298" xr:uid="{ED218180-DA8E-4C95-B8C9-0234E056D26C}"/>
    <cellStyle name="Nuovo 37 3 6" xfId="27299" xr:uid="{84044522-4E91-4028-ABF0-86FDA4ACA927}"/>
    <cellStyle name="Nuovo 37 3 7" xfId="27290" xr:uid="{58F32333-1549-40CC-9114-E4D67D226801}"/>
    <cellStyle name="Nuovo 37 4" xfId="2202" xr:uid="{00000000-0005-0000-0000-000043070000}"/>
    <cellStyle name="Nuovo 37 4 2" xfId="2203" xr:uid="{00000000-0005-0000-0000-000044070000}"/>
    <cellStyle name="Nuovo 37 4 2 2" xfId="9341" xr:uid="{C1D6E32C-608B-49EF-9D71-2CD606168399}"/>
    <cellStyle name="Nuovo 37 4 2 2 2" xfId="27302" xr:uid="{B4B46885-9B01-4289-9219-59A22B15E6DC}"/>
    <cellStyle name="Nuovo 37 4 2 3" xfId="17882" xr:uid="{297FA0F4-5AD3-473A-827C-B657B98D0C0D}"/>
    <cellStyle name="Nuovo 37 4 2 3 2" xfId="27303" xr:uid="{9ADAAF37-B8EF-41E5-AFFD-6C81A48A6BD9}"/>
    <cellStyle name="Nuovo 37 4 2 4" xfId="27301" xr:uid="{A73D1DF8-1831-4694-B46E-A04F59B8A983}"/>
    <cellStyle name="Nuovo 37 4 2 5" xfId="17495" xr:uid="{EDB606B6-5318-4A1E-AE25-C7690FC5DC7F}"/>
    <cellStyle name="Nuovo 37 4 3" xfId="9342" xr:uid="{88FB8414-3692-4FA8-AF72-CA71124927BC}"/>
    <cellStyle name="Nuovo 37 4 3 2" xfId="27304" xr:uid="{BCC96947-F6C2-42A9-9844-2FBF31F6A95B}"/>
    <cellStyle name="Nuovo 37 4 4" xfId="27305" xr:uid="{1D0A1468-4536-49B1-A3AC-421535DC015C}"/>
    <cellStyle name="Nuovo 37 4 4 2" xfId="49019" xr:uid="{2EFAC234-D12A-4573-ADEF-5A9A40CB66C5}"/>
    <cellStyle name="Nuovo 37 4 5" xfId="27306" xr:uid="{55838139-EF42-4DE8-804A-5627AD39ADD9}"/>
    <cellStyle name="Nuovo 37 4 6" xfId="27300" xr:uid="{C509B4E1-1CCB-4B25-881B-2E830E2874D5}"/>
    <cellStyle name="Nuovo 37 5" xfId="2204" xr:uid="{00000000-0005-0000-0000-000045070000}"/>
    <cellStyle name="Nuovo 37 5 2" xfId="27308" xr:uid="{11B2EC6C-878E-4582-812E-405DAC955122}"/>
    <cellStyle name="Nuovo 37 5 2 2" xfId="49020" xr:uid="{B22353DA-B4EE-4188-A525-3632D609AC4C}"/>
    <cellStyle name="Nuovo 37 5 3" xfId="27309" xr:uid="{49C9CD0E-6090-41FD-BAD8-E3E1889A8D54}"/>
    <cellStyle name="Nuovo 37 5 4" xfId="27307" xr:uid="{4D4A73CB-F448-441E-A9CA-951626857D6F}"/>
    <cellStyle name="Nuovo 37 6" xfId="4214" xr:uid="{755877FC-1C24-4FEF-A1CD-1F4E95F8A063}"/>
    <cellStyle name="Nuovo 37 6 2" xfId="9798" xr:uid="{0C547E96-0FBA-490C-A298-196EEE77D30A}"/>
    <cellStyle name="Nuovo 37 6 3" xfId="27310" xr:uid="{DD31F1C5-6D9D-476A-B0F4-2388DD487633}"/>
    <cellStyle name="Nuovo 37 7" xfId="27285" xr:uid="{ABC330D2-11D5-414E-9E3D-53853BF03E05}"/>
    <cellStyle name="Nuovo 38" xfId="909" xr:uid="{00000000-0005-0000-0000-000046070000}"/>
    <cellStyle name="Nuovo 38 2" xfId="910" xr:uid="{00000000-0005-0000-0000-000047070000}"/>
    <cellStyle name="Nuovo 38 2 2" xfId="4215" xr:uid="{857CA0DB-A952-4D08-A180-C69C09EBF2FA}"/>
    <cellStyle name="Nuovo 38 2 2 2" xfId="13549" xr:uid="{212EA283-B1E2-4512-A9AD-E0D5B20E8AD4}"/>
    <cellStyle name="Nuovo 38 2 2 3" xfId="27313" xr:uid="{539A2166-0B1F-4802-BCC5-C84D34EFC1C5}"/>
    <cellStyle name="Nuovo 38 2 3" xfId="13285" xr:uid="{86B415F9-3E34-4288-82AF-997214192512}"/>
    <cellStyle name="Nuovo 38 2 3 2" xfId="27314" xr:uid="{EB3ECC36-7FC2-4A7A-B43D-C94C506562D6}"/>
    <cellStyle name="Nuovo 38 2 4" xfId="27315" xr:uid="{328E90C4-687F-44D5-A68C-19C0D447B547}"/>
    <cellStyle name="Nuovo 38 2 5" xfId="27312" xr:uid="{C8CE8A74-EBC9-4D54-9EC2-C7AF8D5A627E}"/>
    <cellStyle name="Nuovo 38 3" xfId="911" xr:uid="{00000000-0005-0000-0000-000048070000}"/>
    <cellStyle name="Nuovo 38 3 2" xfId="912" xr:uid="{00000000-0005-0000-0000-000049070000}"/>
    <cellStyle name="Nuovo 38 3 2 2" xfId="2205" xr:uid="{00000000-0005-0000-0000-00004A070000}"/>
    <cellStyle name="Nuovo 38 3 2 2 2" xfId="27318" xr:uid="{DEDB8531-4C79-4145-B970-EBF407AEAB18}"/>
    <cellStyle name="Nuovo 38 3 2 3" xfId="8102" xr:uid="{4D077069-81DE-4CCF-9A1C-26441F4089ED}"/>
    <cellStyle name="Nuovo 38 3 2 3 2" xfId="14103" xr:uid="{FAB01DAC-51C3-4953-B851-2D011F1266BD}"/>
    <cellStyle name="Nuovo 38 3 2 3 3" xfId="27319" xr:uid="{C88955ED-FED5-4E8B-80AC-1D212F1E9AC9}"/>
    <cellStyle name="Nuovo 38 3 2 4" xfId="27317" xr:uid="{CD803731-0A8A-4C9C-BFC3-9EBFAC7B53F8}"/>
    <cellStyle name="Nuovo 38 3 3" xfId="4216" xr:uid="{8E2433B2-F028-445A-9123-AF98EDF70BD8}"/>
    <cellStyle name="Nuovo 38 3 3 2" xfId="9343" xr:uid="{70FB8AA2-0BEA-4467-8960-58FC820B40F3}"/>
    <cellStyle name="Nuovo 38 3 3 2 2" xfId="27321" xr:uid="{D402D7AE-F280-423D-8104-A9E7FA28AAE9}"/>
    <cellStyle name="Nuovo 38 3 3 3" xfId="27322" xr:uid="{615D1B7C-3597-43D5-9264-9F13DA7C6EB7}"/>
    <cellStyle name="Nuovo 38 3 3 3 2" xfId="49021" xr:uid="{9D6E82D4-80B2-4745-84CE-C1D58EB3FD05}"/>
    <cellStyle name="Nuovo 38 3 3 4" xfId="27320" xr:uid="{DB5E77EC-AE71-4794-8AED-1BB4EA655937}"/>
    <cellStyle name="Nuovo 38 3 4" xfId="4217" xr:uid="{2AB2AD28-91AE-46D4-AF6B-DC30B0D982D8}"/>
    <cellStyle name="Nuovo 38 3 4 2" xfId="13763" xr:uid="{FDBFBF46-C933-4BBD-8DA0-EAC528319EAF}"/>
    <cellStyle name="Nuovo 38 3 4 3" xfId="27323" xr:uid="{13B35CB4-1A62-4175-A1A9-9937AB061E21}"/>
    <cellStyle name="Nuovo 38 3 5" xfId="12166" xr:uid="{3495FD65-535B-43D1-BD94-5C8180DB9AA8}"/>
    <cellStyle name="Nuovo 38 3 5 2" xfId="27324" xr:uid="{F7F70BFA-DAC3-4AE0-8818-8492B880525D}"/>
    <cellStyle name="Nuovo 38 3 6" xfId="27325" xr:uid="{E3F5AAD4-A859-4A69-AA9D-BE682B7F0F10}"/>
    <cellStyle name="Nuovo 38 3 7" xfId="27316" xr:uid="{5A04C8EC-4DDF-439D-AF84-F150BAD69CA6}"/>
    <cellStyle name="Nuovo 38 4" xfId="2206" xr:uid="{00000000-0005-0000-0000-00004B070000}"/>
    <cellStyle name="Nuovo 38 4 2" xfId="2207" xr:uid="{00000000-0005-0000-0000-00004C070000}"/>
    <cellStyle name="Nuovo 38 4 2 2" xfId="9344" xr:uid="{82E2E064-7EA6-4CFB-B2F6-D133DBADDE7C}"/>
    <cellStyle name="Nuovo 38 4 2 2 2" xfId="27328" xr:uid="{78DF7F13-5EED-4059-BD29-8A53758CCD12}"/>
    <cellStyle name="Nuovo 38 4 2 3" xfId="17883" xr:uid="{219C4AA9-C937-491B-9404-257DA9CFDC10}"/>
    <cellStyle name="Nuovo 38 4 2 3 2" xfId="27329" xr:uid="{8052CB63-865D-4589-A917-A86415C45D7D}"/>
    <cellStyle name="Nuovo 38 4 2 4" xfId="27327" xr:uid="{08049F89-5AF9-4B92-BD8A-CFA8EF457B9B}"/>
    <cellStyle name="Nuovo 38 4 2 5" xfId="17496" xr:uid="{4950C5CD-CC6E-40AD-84F0-F6E444A8EA1B}"/>
    <cellStyle name="Nuovo 38 4 3" xfId="9345" xr:uid="{1A269A71-F28A-4AD7-8140-F54F5858D5B2}"/>
    <cellStyle name="Nuovo 38 4 3 2" xfId="27330" xr:uid="{BBD301DF-3267-4D3F-8DEA-13D3432EA64B}"/>
    <cellStyle name="Nuovo 38 4 4" xfId="27331" xr:uid="{97B22414-D356-4F02-84D5-8004DB566752}"/>
    <cellStyle name="Nuovo 38 4 4 2" xfId="49022" xr:uid="{27D0EC1D-EB0C-4DFC-8603-D8F08ABE9B1E}"/>
    <cellStyle name="Nuovo 38 4 5" xfId="27332" xr:uid="{AFCAD945-1D8B-4862-9390-7DE97C29A140}"/>
    <cellStyle name="Nuovo 38 4 6" xfId="27326" xr:uid="{42BF52F5-0008-4484-B6B2-918EEB9DD1D3}"/>
    <cellStyle name="Nuovo 38 5" xfId="2208" xr:uid="{00000000-0005-0000-0000-00004D070000}"/>
    <cellStyle name="Nuovo 38 5 2" xfId="27334" xr:uid="{62CFD9EC-492F-4C60-A851-23A075CCF487}"/>
    <cellStyle name="Nuovo 38 5 2 2" xfId="49023" xr:uid="{D27E00E0-71FF-473F-BA80-12340D262CE4}"/>
    <cellStyle name="Nuovo 38 5 3" xfId="27335" xr:uid="{5C8F73D6-856A-41CC-B8D4-40C1BD7625F9}"/>
    <cellStyle name="Nuovo 38 5 4" xfId="27333" xr:uid="{34DF1E85-FDD2-4C4F-AC2A-316F57F9EB51}"/>
    <cellStyle name="Nuovo 38 6" xfId="4218" xr:uid="{8D70B16F-9F06-48CE-B7E4-B3E2D2BA6946}"/>
    <cellStyle name="Nuovo 38 6 2" xfId="9799" xr:uid="{64EE41C2-8EEC-4C11-B490-39858E53B766}"/>
    <cellStyle name="Nuovo 38 6 3" xfId="27336" xr:uid="{0675A832-8230-4939-8379-978717077623}"/>
    <cellStyle name="Nuovo 38 7" xfId="27311" xr:uid="{F706656D-7672-4831-8314-306650A395EA}"/>
    <cellStyle name="Nuovo 39" xfId="913" xr:uid="{00000000-0005-0000-0000-00004E070000}"/>
    <cellStyle name="Nuovo 39 2" xfId="914" xr:uid="{00000000-0005-0000-0000-00004F070000}"/>
    <cellStyle name="Nuovo 39 2 2" xfId="4219" xr:uid="{BF9C7FF7-BD0C-441F-9DA4-F117A547FE12}"/>
    <cellStyle name="Nuovo 39 2 2 2" xfId="13550" xr:uid="{9F9DBFB2-A7FA-49AD-9C5E-54946DDDA4D3}"/>
    <cellStyle name="Nuovo 39 2 2 3" xfId="27339" xr:uid="{0C524C89-8FC6-496C-BBB2-614FCF056AD6}"/>
    <cellStyle name="Nuovo 39 2 3" xfId="13286" xr:uid="{76E3B4F6-3EE2-4534-9B62-3A9AC5421079}"/>
    <cellStyle name="Nuovo 39 2 3 2" xfId="27340" xr:uid="{B61EDB77-62D0-4605-8641-FD5E3CA89171}"/>
    <cellStyle name="Nuovo 39 2 4" xfId="27341" xr:uid="{92B74338-9F15-47D3-AC74-0A6A1A715944}"/>
    <cellStyle name="Nuovo 39 2 5" xfId="27338" xr:uid="{FA3650C5-3754-41D0-82D0-0357FD063214}"/>
    <cellStyle name="Nuovo 39 3" xfId="915" xr:uid="{00000000-0005-0000-0000-000050070000}"/>
    <cellStyle name="Nuovo 39 3 2" xfId="916" xr:uid="{00000000-0005-0000-0000-000051070000}"/>
    <cellStyle name="Nuovo 39 3 2 2" xfId="2209" xr:uid="{00000000-0005-0000-0000-000052070000}"/>
    <cellStyle name="Nuovo 39 3 2 2 2" xfId="27344" xr:uid="{48225E26-C82C-465A-B9C3-480EBEFDFEBA}"/>
    <cellStyle name="Nuovo 39 3 2 3" xfId="8103" xr:uid="{596C5E91-F4A9-4FAD-BA3C-9884D92EE564}"/>
    <cellStyle name="Nuovo 39 3 2 3 2" xfId="14104" xr:uid="{61E68AF7-9A0D-4130-A60D-C84D86349C28}"/>
    <cellStyle name="Nuovo 39 3 2 3 3" xfId="27345" xr:uid="{66B3CCA7-3BFF-44FA-B2D0-9E869C17D5B7}"/>
    <cellStyle name="Nuovo 39 3 2 4" xfId="27343" xr:uid="{1D514E32-1C3E-4992-9829-FE1E29F5C761}"/>
    <cellStyle name="Nuovo 39 3 3" xfId="4220" xr:uid="{84BD995A-CF21-444C-BEE3-8301AA9C3CB4}"/>
    <cellStyle name="Nuovo 39 3 3 2" xfId="9346" xr:uid="{0DC2E48D-07AA-487D-BF51-597EE3B54941}"/>
    <cellStyle name="Nuovo 39 3 3 2 2" xfId="27347" xr:uid="{47DDC783-2CF7-4A54-B04A-C1418579194F}"/>
    <cellStyle name="Nuovo 39 3 3 3" xfId="27348" xr:uid="{EA130F99-81B6-4E1F-8994-0738F51BCD79}"/>
    <cellStyle name="Nuovo 39 3 3 3 2" xfId="49024" xr:uid="{1538ECC1-4F6C-4850-BEDC-721DC361AB40}"/>
    <cellStyle name="Nuovo 39 3 3 4" xfId="27346" xr:uid="{4EEE07AB-45FA-4FB4-8773-A7BB5483BBFF}"/>
    <cellStyle name="Nuovo 39 3 4" xfId="4221" xr:uid="{06B3BC52-BED8-486D-894F-576CCD3B75FA}"/>
    <cellStyle name="Nuovo 39 3 4 2" xfId="13764" xr:uid="{1473B520-3F3D-4716-A1A0-C5CE5FE6E77D}"/>
    <cellStyle name="Nuovo 39 3 4 3" xfId="27349" xr:uid="{30A07C10-11D4-4035-8D33-FE6A4F0DB50C}"/>
    <cellStyle name="Nuovo 39 3 5" xfId="11517" xr:uid="{83EA8FE6-18CC-4A1E-A33E-43D1BC64DC49}"/>
    <cellStyle name="Nuovo 39 3 5 2" xfId="27350" xr:uid="{2BA2AAD6-3A66-457E-BBDC-5D0193E8CB59}"/>
    <cellStyle name="Nuovo 39 3 6" xfId="27351" xr:uid="{AEA6FD27-AA64-4264-A7BF-81F309E926E2}"/>
    <cellStyle name="Nuovo 39 3 7" xfId="27342" xr:uid="{EB139388-6C43-4955-BEB9-11BEC697A78A}"/>
    <cellStyle name="Nuovo 39 4" xfId="2210" xr:uid="{00000000-0005-0000-0000-000053070000}"/>
    <cellStyle name="Nuovo 39 4 2" xfId="2211" xr:uid="{00000000-0005-0000-0000-000054070000}"/>
    <cellStyle name="Nuovo 39 4 2 2" xfId="9347" xr:uid="{DF0E42F9-576C-47D5-92E0-5F9C03F62513}"/>
    <cellStyle name="Nuovo 39 4 2 2 2" xfId="27354" xr:uid="{BAA68EB5-9ECD-4DA1-8B5F-53CD6AA3F157}"/>
    <cellStyle name="Nuovo 39 4 2 3" xfId="17884" xr:uid="{596D9FD1-7C5B-4D10-87D4-A637BCCAF0C5}"/>
    <cellStyle name="Nuovo 39 4 2 3 2" xfId="27355" xr:uid="{00AAE152-CF37-4924-B3B0-31D06838F153}"/>
    <cellStyle name="Nuovo 39 4 2 4" xfId="27353" xr:uid="{1ED75F13-4DEA-4AF2-9BAC-B5CF49DF7002}"/>
    <cellStyle name="Nuovo 39 4 2 5" xfId="17497" xr:uid="{EBED77DE-40C6-492E-8C34-A1DC4B4BCF6D}"/>
    <cellStyle name="Nuovo 39 4 3" xfId="9348" xr:uid="{6EB26866-CA1F-49BD-A129-887F45E328AF}"/>
    <cellStyle name="Nuovo 39 4 3 2" xfId="27356" xr:uid="{E7892FC2-DBB0-4143-BAC2-7E352502DC5B}"/>
    <cellStyle name="Nuovo 39 4 4" xfId="27357" xr:uid="{3C06FE52-0CAF-4241-AE85-628A7E70A82E}"/>
    <cellStyle name="Nuovo 39 4 4 2" xfId="49025" xr:uid="{79217679-4E68-4A61-B91A-D59ABDCDEE96}"/>
    <cellStyle name="Nuovo 39 4 5" xfId="27358" xr:uid="{6750D8B4-B573-4F54-AFB3-A27797A91DB7}"/>
    <cellStyle name="Nuovo 39 4 6" xfId="27352" xr:uid="{413040E0-C874-4AB7-B917-FAAB6D0F4E93}"/>
    <cellStyle name="Nuovo 39 5" xfId="2212" xr:uid="{00000000-0005-0000-0000-000055070000}"/>
    <cellStyle name="Nuovo 39 5 2" xfId="27360" xr:uid="{670BB942-C5C9-48FC-B1B3-849FE3DDF47C}"/>
    <cellStyle name="Nuovo 39 5 2 2" xfId="49026" xr:uid="{9A241577-2823-493A-90AC-DF36CE6F18C7}"/>
    <cellStyle name="Nuovo 39 5 3" xfId="27361" xr:uid="{1EB36258-BA26-4D64-8D18-28D5FE7B5A70}"/>
    <cellStyle name="Nuovo 39 5 4" xfId="27359" xr:uid="{B057090B-57A5-4E05-B235-B6521CEB8E2F}"/>
    <cellStyle name="Nuovo 39 6" xfId="4222" xr:uid="{983A5BD4-589B-4E00-AFAF-446FEB0DF76C}"/>
    <cellStyle name="Nuovo 39 6 2" xfId="9800" xr:uid="{03A714E9-0030-4266-A524-2F25E8291BB7}"/>
    <cellStyle name="Nuovo 39 6 3" xfId="27362" xr:uid="{6CB410D2-6CF6-43E1-BCD0-5302BC72FF80}"/>
    <cellStyle name="Nuovo 39 7" xfId="27337" xr:uid="{306B3D4F-3480-483C-9A69-59CA3E6549DB}"/>
    <cellStyle name="Nuovo 4" xfId="917" xr:uid="{00000000-0005-0000-0000-000056070000}"/>
    <cellStyle name="Nuovo 4 2" xfId="918" xr:uid="{00000000-0005-0000-0000-000057070000}"/>
    <cellStyle name="Nuovo 4 2 2" xfId="4223" xr:uid="{FCC138C4-366E-47A8-87F8-7E63EDD151A2}"/>
    <cellStyle name="Nuovo 4 2 2 2" xfId="13551" xr:uid="{6989DE48-9085-47CF-B2D9-13D9559C0758}"/>
    <cellStyle name="Nuovo 4 2 2 3" xfId="27365" xr:uid="{5FD48D02-60FC-444C-8AE6-A255BC3C8FC3}"/>
    <cellStyle name="Nuovo 4 2 3" xfId="13287" xr:uid="{C042C07A-34BB-4886-B92B-8A415E6F8CD0}"/>
    <cellStyle name="Nuovo 4 2 3 2" xfId="27366" xr:uid="{9DB79B1B-3F20-421C-B2CC-D4B5643D28E0}"/>
    <cellStyle name="Nuovo 4 2 4" xfId="27367" xr:uid="{6A925CE1-C356-453A-BB32-FAC4E39B08F0}"/>
    <cellStyle name="Nuovo 4 2 5" xfId="27364" xr:uid="{241F2536-4275-4084-8924-F0B68DA94107}"/>
    <cellStyle name="Nuovo 4 3" xfId="919" xr:uid="{00000000-0005-0000-0000-000058070000}"/>
    <cellStyle name="Nuovo 4 3 2" xfId="920" xr:uid="{00000000-0005-0000-0000-000059070000}"/>
    <cellStyle name="Nuovo 4 3 2 2" xfId="2213" xr:uid="{00000000-0005-0000-0000-00005A070000}"/>
    <cellStyle name="Nuovo 4 3 2 2 2" xfId="27370" xr:uid="{2DD331DB-D3CF-4062-A24D-86F935D31330}"/>
    <cellStyle name="Nuovo 4 3 2 3" xfId="8104" xr:uid="{8C1C30B2-ACC7-4465-9416-06BA63FA33D7}"/>
    <cellStyle name="Nuovo 4 3 2 3 2" xfId="14105" xr:uid="{75F21795-BDF1-4453-8DFC-30458AB5B3A5}"/>
    <cellStyle name="Nuovo 4 3 2 3 3" xfId="27371" xr:uid="{3F702709-90AB-4484-939A-CAA8B180A017}"/>
    <cellStyle name="Nuovo 4 3 2 4" xfId="27369" xr:uid="{85D3DC13-1825-4D19-9D46-0F5C46EBED4C}"/>
    <cellStyle name="Nuovo 4 3 3" xfId="4224" xr:uid="{5574D065-638B-4D74-B8E5-18B7E011A848}"/>
    <cellStyle name="Nuovo 4 3 3 2" xfId="9349" xr:uid="{22E1D41A-A102-4519-9C19-A1CFD7702EA7}"/>
    <cellStyle name="Nuovo 4 3 3 2 2" xfId="27373" xr:uid="{88B27AB4-BD5E-4310-8F1F-FA1504F19B6F}"/>
    <cellStyle name="Nuovo 4 3 3 3" xfId="27374" xr:uid="{32DF1EA7-5AC1-428D-8875-3AEA31C4AA2B}"/>
    <cellStyle name="Nuovo 4 3 3 3 2" xfId="49027" xr:uid="{5A412A1A-FB2E-428F-9ADD-A05DC7AB6C9D}"/>
    <cellStyle name="Nuovo 4 3 3 4" xfId="27372" xr:uid="{F4B3FEB7-F2C6-47AE-B20F-795550FD4A34}"/>
    <cellStyle name="Nuovo 4 3 4" xfId="4225" xr:uid="{F8DC0B41-B601-49DC-8830-DFCBEB854319}"/>
    <cellStyle name="Nuovo 4 3 4 2" xfId="13765" xr:uid="{80F7F3D9-E92F-42A1-9A2D-7005F1238A8A}"/>
    <cellStyle name="Nuovo 4 3 4 3" xfId="27375" xr:uid="{15031EA8-E82A-4350-ACB6-600E28C55AE2}"/>
    <cellStyle name="Nuovo 4 3 5" xfId="11125" xr:uid="{625E87B1-E496-4D26-9E3B-809016D040DF}"/>
    <cellStyle name="Nuovo 4 3 5 2" xfId="27376" xr:uid="{5CACAF69-1413-4527-B125-AE8D33AEB4A5}"/>
    <cellStyle name="Nuovo 4 3 6" xfId="27377" xr:uid="{36E9A1E1-4021-4F21-9752-4D8272666CA4}"/>
    <cellStyle name="Nuovo 4 3 7" xfId="27368" xr:uid="{21F630F4-EC82-4982-8D6C-1B822F7E45F3}"/>
    <cellStyle name="Nuovo 4 4" xfId="2214" xr:uid="{00000000-0005-0000-0000-00005B070000}"/>
    <cellStyle name="Nuovo 4 4 2" xfId="2215" xr:uid="{00000000-0005-0000-0000-00005C070000}"/>
    <cellStyle name="Nuovo 4 4 2 2" xfId="9350" xr:uid="{5C308950-2226-4F71-9AB2-83C73093596E}"/>
    <cellStyle name="Nuovo 4 4 2 2 2" xfId="27380" xr:uid="{30D579F7-D724-4703-B9DB-38AF7079A727}"/>
    <cellStyle name="Nuovo 4 4 2 3" xfId="17885" xr:uid="{58B8A53D-7EBE-49DC-8D9E-C39C70DD4D2B}"/>
    <cellStyle name="Nuovo 4 4 2 3 2" xfId="27381" xr:uid="{27446D1F-C032-4FCA-8454-0F18A8BBF5CD}"/>
    <cellStyle name="Nuovo 4 4 2 4" xfId="27379" xr:uid="{301C064A-2854-4EAD-B726-FB939FA1E421}"/>
    <cellStyle name="Nuovo 4 4 2 5" xfId="17498" xr:uid="{392F37BF-BB32-4049-BDA5-9E769657E8EA}"/>
    <cellStyle name="Nuovo 4 4 3" xfId="9351" xr:uid="{EB7D0048-36BB-44F1-B295-451D13F87053}"/>
    <cellStyle name="Nuovo 4 4 3 2" xfId="27382" xr:uid="{FF71786A-05E7-4B77-89CC-22A3755B187A}"/>
    <cellStyle name="Nuovo 4 4 4" xfId="27383" xr:uid="{7489607A-C702-463A-A701-8580DB983F13}"/>
    <cellStyle name="Nuovo 4 4 4 2" xfId="49028" xr:uid="{7F028850-EB7A-461E-9664-B97658F59B85}"/>
    <cellStyle name="Nuovo 4 4 5" xfId="27384" xr:uid="{1A36E2B4-901E-4936-AE5E-A8C26F923DD4}"/>
    <cellStyle name="Nuovo 4 4 6" xfId="27378" xr:uid="{E55E154A-9140-40F9-9942-54D7DB3FBC2B}"/>
    <cellStyle name="Nuovo 4 5" xfId="2216" xr:uid="{00000000-0005-0000-0000-00005D070000}"/>
    <cellStyle name="Nuovo 4 5 2" xfId="27386" xr:uid="{5AAF7EF2-789E-44E1-8649-33A502F5455B}"/>
    <cellStyle name="Nuovo 4 5 2 2" xfId="49029" xr:uid="{BF983976-3173-4463-B3A3-CB8890172176}"/>
    <cellStyle name="Nuovo 4 5 3" xfId="27387" xr:uid="{96B19299-26D0-41A8-9BF9-D6F99B40FC13}"/>
    <cellStyle name="Nuovo 4 5 4" xfId="27385" xr:uid="{D81BEFBD-EC4F-4AC4-BB91-43DEF691DC7A}"/>
    <cellStyle name="Nuovo 4 6" xfId="4226" xr:uid="{C431B80A-2152-4ED3-9A4F-8782E172FAD0}"/>
    <cellStyle name="Nuovo 4 6 2" xfId="9801" xr:uid="{481234EE-22B1-4B81-A0C8-42A442EE1FF2}"/>
    <cellStyle name="Nuovo 4 6 3" xfId="27388" xr:uid="{6F0BC83C-9708-48BD-B613-C30E647C7FF1}"/>
    <cellStyle name="Nuovo 4 7" xfId="27363" xr:uid="{626347A4-2C50-4794-976F-8BCA4597F5AF}"/>
    <cellStyle name="Nuovo 40" xfId="921" xr:uid="{00000000-0005-0000-0000-00005E070000}"/>
    <cellStyle name="Nuovo 40 2" xfId="922" xr:uid="{00000000-0005-0000-0000-00005F070000}"/>
    <cellStyle name="Nuovo 40 2 2" xfId="4227" xr:uid="{F2C6464D-D72D-4FEC-80EE-67679F85F15C}"/>
    <cellStyle name="Nuovo 40 2 2 2" xfId="13552" xr:uid="{641FF729-9083-404C-8293-22F2E47ECFEC}"/>
    <cellStyle name="Nuovo 40 2 2 3" xfId="27391" xr:uid="{8BFE84E9-0269-412C-9BD7-8815B4A7F5FB}"/>
    <cellStyle name="Nuovo 40 2 3" xfId="13288" xr:uid="{28081397-1405-46F7-8929-4FC76BABFBDB}"/>
    <cellStyle name="Nuovo 40 2 3 2" xfId="27392" xr:uid="{D7373CF7-7177-4041-ACAE-12591350268A}"/>
    <cellStyle name="Nuovo 40 2 4" xfId="27393" xr:uid="{D116166A-439A-43A2-99FF-DC159869F775}"/>
    <cellStyle name="Nuovo 40 2 5" xfId="27390" xr:uid="{600FF025-1B0B-4FFB-B02D-8791F7C594AA}"/>
    <cellStyle name="Nuovo 40 3" xfId="923" xr:uid="{00000000-0005-0000-0000-000060070000}"/>
    <cellStyle name="Nuovo 40 3 2" xfId="924" xr:uid="{00000000-0005-0000-0000-000061070000}"/>
    <cellStyle name="Nuovo 40 3 2 2" xfId="2217" xr:uid="{00000000-0005-0000-0000-000062070000}"/>
    <cellStyle name="Nuovo 40 3 2 2 2" xfId="27396" xr:uid="{2A018241-500D-404F-84DB-64F07DC2B4E1}"/>
    <cellStyle name="Nuovo 40 3 2 3" xfId="8105" xr:uid="{644E6713-AEF1-4401-BCC8-BDC2ADC6688B}"/>
    <cellStyle name="Nuovo 40 3 2 3 2" xfId="14106" xr:uid="{4398B1CF-0471-44C1-AB0F-ABACE171D439}"/>
    <cellStyle name="Nuovo 40 3 2 3 3" xfId="27397" xr:uid="{DD7C0C3C-2027-4872-86E3-07F35BB81DE4}"/>
    <cellStyle name="Nuovo 40 3 2 4" xfId="27395" xr:uid="{0CA8AEE9-0F15-4B7C-BD7F-3A923DD5311C}"/>
    <cellStyle name="Nuovo 40 3 3" xfId="4228" xr:uid="{9D55557E-02EB-43F2-8E75-AE93BAEA0100}"/>
    <cellStyle name="Nuovo 40 3 3 2" xfId="9352" xr:uid="{9C4AD7ED-3BAF-48FB-9CA8-A39C65467B21}"/>
    <cellStyle name="Nuovo 40 3 3 2 2" xfId="27399" xr:uid="{3CE32D1A-88B8-4F70-9F2E-73B3063A923B}"/>
    <cellStyle name="Nuovo 40 3 3 3" xfId="27400" xr:uid="{33D3B0D8-125E-45F1-A543-0C3CA79647C7}"/>
    <cellStyle name="Nuovo 40 3 3 3 2" xfId="49030" xr:uid="{9F96F28A-C801-4045-9268-9213969F7E86}"/>
    <cellStyle name="Nuovo 40 3 3 4" xfId="27398" xr:uid="{46B8D835-10E3-4773-BE9F-29D2C9A823F1}"/>
    <cellStyle name="Nuovo 40 3 4" xfId="4229" xr:uid="{B1FDBF2D-E656-426E-97B4-F901BE4B45F3}"/>
    <cellStyle name="Nuovo 40 3 4 2" xfId="13766" xr:uid="{96AF1580-1502-469C-8B41-B935196BD228}"/>
    <cellStyle name="Nuovo 40 3 4 3" xfId="27401" xr:uid="{6298F553-CFC8-49BB-A441-D015AB937868}"/>
    <cellStyle name="Nuovo 40 3 5" xfId="11506" xr:uid="{0EBD3E00-2A0A-48F4-81FE-570ED6D09A5E}"/>
    <cellStyle name="Nuovo 40 3 5 2" xfId="27402" xr:uid="{4CF57DB2-7A94-4698-86C9-5D6BF42D57AC}"/>
    <cellStyle name="Nuovo 40 3 6" xfId="27403" xr:uid="{65321793-F32F-41BB-AB73-BE6D29C839D1}"/>
    <cellStyle name="Nuovo 40 3 7" xfId="27394" xr:uid="{D780DBF1-2945-4B1A-B005-4A18B27AB8BA}"/>
    <cellStyle name="Nuovo 40 4" xfId="2218" xr:uid="{00000000-0005-0000-0000-000063070000}"/>
    <cellStyle name="Nuovo 40 4 2" xfId="2219" xr:uid="{00000000-0005-0000-0000-000064070000}"/>
    <cellStyle name="Nuovo 40 4 2 2" xfId="9353" xr:uid="{5FDC19C4-F9C6-408B-86BA-330176A1943A}"/>
    <cellStyle name="Nuovo 40 4 2 2 2" xfId="27406" xr:uid="{6FB0081A-EE4B-4666-9199-0072038B4210}"/>
    <cellStyle name="Nuovo 40 4 2 3" xfId="17886" xr:uid="{76C6EAA4-B5DE-418D-A2AE-9E89DC0B5A30}"/>
    <cellStyle name="Nuovo 40 4 2 3 2" xfId="27407" xr:uid="{7D32BBD2-C6A7-4BC2-AC59-A5F48E1F4238}"/>
    <cellStyle name="Nuovo 40 4 2 4" xfId="27405" xr:uid="{8A9C3579-0002-466C-902A-DB282C859ACD}"/>
    <cellStyle name="Nuovo 40 4 2 5" xfId="17499" xr:uid="{3361396E-B125-4E8F-9F67-D6DA398C4061}"/>
    <cellStyle name="Nuovo 40 4 3" xfId="9354" xr:uid="{5A96451D-FE77-4EF6-AD19-AC673B8CFE51}"/>
    <cellStyle name="Nuovo 40 4 3 2" xfId="27408" xr:uid="{7112FA63-B991-4C91-AFD4-A38B92B590FD}"/>
    <cellStyle name="Nuovo 40 4 4" xfId="27409" xr:uid="{A45F98B2-6EB8-411C-8D0C-59A13DD14183}"/>
    <cellStyle name="Nuovo 40 4 4 2" xfId="49031" xr:uid="{174B56E4-128B-4AA0-A9EF-74E36A2D98CD}"/>
    <cellStyle name="Nuovo 40 4 5" xfId="27410" xr:uid="{4B16595E-C7C2-46EF-BA87-898971D64972}"/>
    <cellStyle name="Nuovo 40 4 6" xfId="27404" xr:uid="{9B3923D2-301D-4DB3-812E-1F87626D308C}"/>
    <cellStyle name="Nuovo 40 5" xfId="2220" xr:uid="{00000000-0005-0000-0000-000065070000}"/>
    <cellStyle name="Nuovo 40 5 2" xfId="27412" xr:uid="{0AAC9643-2087-4C99-8D82-092EB4B9623E}"/>
    <cellStyle name="Nuovo 40 5 2 2" xfId="49032" xr:uid="{391BB20D-2969-4888-A68B-12EAE4BEFB91}"/>
    <cellStyle name="Nuovo 40 5 3" xfId="27413" xr:uid="{15941032-2F47-4B72-BDDA-9BF28A109E73}"/>
    <cellStyle name="Nuovo 40 5 4" xfId="27411" xr:uid="{D287FDF7-97E6-486B-B4DB-6A9C015F57D3}"/>
    <cellStyle name="Nuovo 40 6" xfId="4230" xr:uid="{B86B75D1-C360-480C-91C7-B9FA73136C2E}"/>
    <cellStyle name="Nuovo 40 6 2" xfId="9802" xr:uid="{A8EB0168-A74C-4590-8624-9D4F637194C3}"/>
    <cellStyle name="Nuovo 40 6 3" xfId="27414" xr:uid="{381972C9-BD9A-4F3E-83C0-41B697150258}"/>
    <cellStyle name="Nuovo 40 7" xfId="27389" xr:uid="{B595D215-CAA8-4ABF-B265-CE9308656E1B}"/>
    <cellStyle name="Nuovo 41" xfId="925" xr:uid="{00000000-0005-0000-0000-000066070000}"/>
    <cellStyle name="Nuovo 41 2" xfId="926" xr:uid="{00000000-0005-0000-0000-000067070000}"/>
    <cellStyle name="Nuovo 41 2 2" xfId="4231" xr:uid="{47F07A4F-570A-42E1-B5AE-FF8155903F97}"/>
    <cellStyle name="Nuovo 41 2 2 2" xfId="13553" xr:uid="{C853AF0B-2642-474A-8ECC-397A8B5AEAAB}"/>
    <cellStyle name="Nuovo 41 2 2 3" xfId="27417" xr:uid="{B28820B4-170B-4F2B-8627-04874A83AB2F}"/>
    <cellStyle name="Nuovo 41 2 3" xfId="13289" xr:uid="{21B4CF05-BA85-44E0-B404-A925686077B7}"/>
    <cellStyle name="Nuovo 41 2 3 2" xfId="27418" xr:uid="{4309EB0A-91DE-473C-91E5-F86A5BBB4552}"/>
    <cellStyle name="Nuovo 41 2 4" xfId="27419" xr:uid="{DE1462F9-126C-41B1-998C-EFE37B7D3DB2}"/>
    <cellStyle name="Nuovo 41 2 5" xfId="27416" xr:uid="{115E62B4-6265-44A5-B0EC-733ACDA71297}"/>
    <cellStyle name="Nuovo 41 3" xfId="927" xr:uid="{00000000-0005-0000-0000-000068070000}"/>
    <cellStyle name="Nuovo 41 3 2" xfId="928" xr:uid="{00000000-0005-0000-0000-000069070000}"/>
    <cellStyle name="Nuovo 41 3 2 2" xfId="2221" xr:uid="{00000000-0005-0000-0000-00006A070000}"/>
    <cellStyle name="Nuovo 41 3 2 2 2" xfId="27422" xr:uid="{7558402F-C6CE-4208-B5BA-ECD6C3710531}"/>
    <cellStyle name="Nuovo 41 3 2 3" xfId="8106" xr:uid="{83451AEA-E4DF-42FE-A94D-6384AD85904E}"/>
    <cellStyle name="Nuovo 41 3 2 3 2" xfId="14107" xr:uid="{B64C4CB0-0400-420C-9B54-A93F342A56DE}"/>
    <cellStyle name="Nuovo 41 3 2 3 3" xfId="27423" xr:uid="{E80C1A22-523C-4140-A688-F7A1A2591BF8}"/>
    <cellStyle name="Nuovo 41 3 2 4" xfId="27421" xr:uid="{71C95623-FD24-41F0-9FAE-922F7F96C690}"/>
    <cellStyle name="Nuovo 41 3 3" xfId="4232" xr:uid="{D662131F-5360-44BD-B5DA-E1DC1C354A71}"/>
    <cellStyle name="Nuovo 41 3 3 2" xfId="9355" xr:uid="{3F0CA7AE-4E26-4519-86CA-4E031824DA2E}"/>
    <cellStyle name="Nuovo 41 3 3 2 2" xfId="27425" xr:uid="{A287A994-3655-4DB6-9DA4-B4D9B8A417F1}"/>
    <cellStyle name="Nuovo 41 3 3 3" xfId="27426" xr:uid="{B6C5576F-91A0-46DA-8F9F-1BE4F0BC3616}"/>
    <cellStyle name="Nuovo 41 3 3 3 2" xfId="49033" xr:uid="{108EB885-3008-4337-8259-4C733523E210}"/>
    <cellStyle name="Nuovo 41 3 3 4" xfId="27424" xr:uid="{A85B5BB7-D7E7-45DE-A65B-1E96919D69D4}"/>
    <cellStyle name="Nuovo 41 3 4" xfId="4233" xr:uid="{1E350850-1D2C-4188-B57A-68067EDA607A}"/>
    <cellStyle name="Nuovo 41 3 4 2" xfId="13767" xr:uid="{8E41E019-9F09-471C-B24A-C02E5CDAB0B9}"/>
    <cellStyle name="Nuovo 41 3 4 3" xfId="27427" xr:uid="{BD3EBB48-6D61-449B-97F8-E7F61E0C36F0}"/>
    <cellStyle name="Nuovo 41 3 5" xfId="12259" xr:uid="{AF51816D-BCAD-4706-AB37-AE7F62B3BABB}"/>
    <cellStyle name="Nuovo 41 3 5 2" xfId="27428" xr:uid="{C0774907-4B5E-4F93-B1A9-D2E8D0A89140}"/>
    <cellStyle name="Nuovo 41 3 6" xfId="27429" xr:uid="{AEC9A3EE-8FC4-4859-B4D0-66FC035F9075}"/>
    <cellStyle name="Nuovo 41 3 7" xfId="27420" xr:uid="{3115FF8C-6E3F-4FB1-8C12-622D7322BBBB}"/>
    <cellStyle name="Nuovo 41 4" xfId="2222" xr:uid="{00000000-0005-0000-0000-00006B070000}"/>
    <cellStyle name="Nuovo 41 4 2" xfId="2223" xr:uid="{00000000-0005-0000-0000-00006C070000}"/>
    <cellStyle name="Nuovo 41 4 2 2" xfId="9356" xr:uid="{DED4A323-089D-4B33-B4E7-A02702D99FD7}"/>
    <cellStyle name="Nuovo 41 4 2 2 2" xfId="27432" xr:uid="{6B3DE1F5-D48A-4D24-A242-642FD0F0ED58}"/>
    <cellStyle name="Nuovo 41 4 2 3" xfId="17887" xr:uid="{092DDAD1-6223-4EF5-BAA7-54DFEA312294}"/>
    <cellStyle name="Nuovo 41 4 2 3 2" xfId="27433" xr:uid="{6EE94C29-5CE0-4F12-96D0-BC813A193CE3}"/>
    <cellStyle name="Nuovo 41 4 2 4" xfId="27431" xr:uid="{B3497F9D-A00E-42DA-9A0F-5518A19E4C4B}"/>
    <cellStyle name="Nuovo 41 4 2 5" xfId="17500" xr:uid="{BB1E8136-4D04-4D3A-8440-DDAD05081416}"/>
    <cellStyle name="Nuovo 41 4 3" xfId="9357" xr:uid="{293282FC-7E3B-4ECB-89E3-4996658B321D}"/>
    <cellStyle name="Nuovo 41 4 3 2" xfId="27434" xr:uid="{59191DD1-00D8-4DCC-B918-FA5F70E6AEAB}"/>
    <cellStyle name="Nuovo 41 4 4" xfId="27435" xr:uid="{FD40547F-8ADE-4387-AA57-6AF2688B8FB3}"/>
    <cellStyle name="Nuovo 41 4 4 2" xfId="49034" xr:uid="{A2D7B7AD-5A02-499E-8D91-01815BBA87CC}"/>
    <cellStyle name="Nuovo 41 4 5" xfId="27436" xr:uid="{531EF71D-DB82-423B-8B0A-FDA9F459E812}"/>
    <cellStyle name="Nuovo 41 4 6" xfId="27430" xr:uid="{1384EB83-3199-4EFD-B00D-2E17C6683525}"/>
    <cellStyle name="Nuovo 41 5" xfId="2224" xr:uid="{00000000-0005-0000-0000-00006D070000}"/>
    <cellStyle name="Nuovo 41 5 2" xfId="27438" xr:uid="{A45ADB5F-127F-428A-B6FE-0DABB271D3F9}"/>
    <cellStyle name="Nuovo 41 5 2 2" xfId="49035" xr:uid="{91A8A6AB-8A82-4258-B425-4871409502F7}"/>
    <cellStyle name="Nuovo 41 5 3" xfId="27439" xr:uid="{BCDC39B3-26E9-4F54-8C0B-572A220FB3B5}"/>
    <cellStyle name="Nuovo 41 5 4" xfId="27437" xr:uid="{8CD44681-4113-44AD-95A6-8596B702E830}"/>
    <cellStyle name="Nuovo 41 6" xfId="4234" xr:uid="{B50168E3-ED89-4D6F-9970-96210F30D562}"/>
    <cellStyle name="Nuovo 41 6 2" xfId="9803" xr:uid="{BBFF2EE1-771F-4D13-B9A4-DFE19BE6E679}"/>
    <cellStyle name="Nuovo 41 6 3" xfId="27440" xr:uid="{C70DF693-3DD2-4425-9B04-1C51AD129502}"/>
    <cellStyle name="Nuovo 41 7" xfId="27415" xr:uid="{0D903C38-07C1-496D-A1DC-30B5ADB231F9}"/>
    <cellStyle name="Nuovo 42" xfId="929" xr:uid="{00000000-0005-0000-0000-00006E070000}"/>
    <cellStyle name="Nuovo 42 2" xfId="930" xr:uid="{00000000-0005-0000-0000-00006F070000}"/>
    <cellStyle name="Nuovo 42 2 2" xfId="4235" xr:uid="{E983E35F-B760-4232-8485-B35E3A0B314F}"/>
    <cellStyle name="Nuovo 42 2 2 2" xfId="13554" xr:uid="{7D5FB86A-512E-4769-B527-EFB032311013}"/>
    <cellStyle name="Nuovo 42 2 2 3" xfId="27443" xr:uid="{0E167F37-5FA6-4503-B1B9-F47188600826}"/>
    <cellStyle name="Nuovo 42 2 3" xfId="13290" xr:uid="{4F39CCC8-1BDE-4B7F-BEC0-5269851E6453}"/>
    <cellStyle name="Nuovo 42 2 3 2" xfId="27444" xr:uid="{2D8D6DAC-27C5-4215-BD16-F292D9D60821}"/>
    <cellStyle name="Nuovo 42 2 4" xfId="27445" xr:uid="{DC2B5CF4-35B3-4AFC-BC14-1CD3BCAA2748}"/>
    <cellStyle name="Nuovo 42 2 5" xfId="27442" xr:uid="{70898D5D-92DD-475D-BC35-FDDDCC391511}"/>
    <cellStyle name="Nuovo 42 3" xfId="931" xr:uid="{00000000-0005-0000-0000-000070070000}"/>
    <cellStyle name="Nuovo 42 3 2" xfId="932" xr:uid="{00000000-0005-0000-0000-000071070000}"/>
    <cellStyle name="Nuovo 42 3 2 2" xfId="2225" xr:uid="{00000000-0005-0000-0000-000072070000}"/>
    <cellStyle name="Nuovo 42 3 2 2 2" xfId="27448" xr:uid="{166BE200-0829-4491-99B0-7EAA7C12E89C}"/>
    <cellStyle name="Nuovo 42 3 2 3" xfId="8107" xr:uid="{DE62A838-4C33-498D-951E-0584D374EF0E}"/>
    <cellStyle name="Nuovo 42 3 2 3 2" xfId="14108" xr:uid="{F4079A6B-6753-4F70-A1D7-77BE75BC1125}"/>
    <cellStyle name="Nuovo 42 3 2 3 3" xfId="27449" xr:uid="{E64296F4-42DB-4669-9FAD-40EF731B3E09}"/>
    <cellStyle name="Nuovo 42 3 2 4" xfId="27447" xr:uid="{C3A22AFE-FDED-4764-A68A-E58717D1E294}"/>
    <cellStyle name="Nuovo 42 3 3" xfId="4236" xr:uid="{E383CD04-E6AC-4A24-9C9C-944607354ADF}"/>
    <cellStyle name="Nuovo 42 3 3 2" xfId="9358" xr:uid="{2FC40068-3828-41E1-8A22-0727CCF89246}"/>
    <cellStyle name="Nuovo 42 3 3 2 2" xfId="27451" xr:uid="{584815B8-90B2-486D-81A7-4CEFB6EED023}"/>
    <cellStyle name="Nuovo 42 3 3 3" xfId="27452" xr:uid="{F33E1D25-32B5-4626-BBB3-E57EC0BB8AA0}"/>
    <cellStyle name="Nuovo 42 3 3 3 2" xfId="49036" xr:uid="{92024D4F-A20A-48BB-B0EE-2C0A70995B6C}"/>
    <cellStyle name="Nuovo 42 3 3 4" xfId="27450" xr:uid="{B9344DC7-251B-42C7-841D-270E725150ED}"/>
    <cellStyle name="Nuovo 42 3 4" xfId="4237" xr:uid="{186D1FFC-3361-4697-A5B2-B054656489ED}"/>
    <cellStyle name="Nuovo 42 3 4 2" xfId="13768" xr:uid="{16CD5B62-2A82-4175-87D0-F5BB843F7DB6}"/>
    <cellStyle name="Nuovo 42 3 4 3" xfId="27453" xr:uid="{74E12FAE-732F-4A39-BBC9-D8FEA56119ED}"/>
    <cellStyle name="Nuovo 42 3 5" xfId="12295" xr:uid="{4D92CF54-9553-4EAA-B5A3-229EDA109AE5}"/>
    <cellStyle name="Nuovo 42 3 5 2" xfId="27454" xr:uid="{163B304D-2A8D-4532-AB94-9D3C41B4CC77}"/>
    <cellStyle name="Nuovo 42 3 6" xfId="27455" xr:uid="{EBC7E1F8-2226-4936-95A2-B2ACC902C589}"/>
    <cellStyle name="Nuovo 42 3 7" xfId="27446" xr:uid="{D08BB18F-0A3C-4D21-8C82-C531FBA99409}"/>
    <cellStyle name="Nuovo 42 4" xfId="2226" xr:uid="{00000000-0005-0000-0000-000073070000}"/>
    <cellStyle name="Nuovo 42 4 2" xfId="2227" xr:uid="{00000000-0005-0000-0000-000074070000}"/>
    <cellStyle name="Nuovo 42 4 2 2" xfId="9359" xr:uid="{FDC3C202-C10A-4AF3-AA96-C93485D76368}"/>
    <cellStyle name="Nuovo 42 4 2 2 2" xfId="27458" xr:uid="{4587DE43-42FE-44AB-9F4D-04AAFA48FB01}"/>
    <cellStyle name="Nuovo 42 4 2 3" xfId="17888" xr:uid="{690F8A2A-C076-4CE7-BE1A-114AC6E80BF5}"/>
    <cellStyle name="Nuovo 42 4 2 3 2" xfId="27459" xr:uid="{09ACE294-5C24-4A51-A1BE-E330A8BB9853}"/>
    <cellStyle name="Nuovo 42 4 2 4" xfId="27457" xr:uid="{76542AD5-FD54-44E5-93EC-F1F109AF0A7C}"/>
    <cellStyle name="Nuovo 42 4 2 5" xfId="17501" xr:uid="{BACBB7F8-6190-4D9E-AC05-47EC0F298641}"/>
    <cellStyle name="Nuovo 42 4 3" xfId="9360" xr:uid="{1F345309-C5AD-4BFE-9C77-3DE7BFA50E1D}"/>
    <cellStyle name="Nuovo 42 4 3 2" xfId="27460" xr:uid="{DD775CE3-2930-4400-989F-7CFC588EEC25}"/>
    <cellStyle name="Nuovo 42 4 4" xfId="27461" xr:uid="{A68B0A32-DA95-4E28-9602-C0AE7F45B093}"/>
    <cellStyle name="Nuovo 42 4 4 2" xfId="49037" xr:uid="{A5B2E487-1A5D-4158-9F04-31125035D89F}"/>
    <cellStyle name="Nuovo 42 4 5" xfId="27462" xr:uid="{B57D27D0-06BA-4E39-B7A4-8D50AFB9DA7B}"/>
    <cellStyle name="Nuovo 42 4 6" xfId="27456" xr:uid="{41C583D3-0CAE-491A-9ACB-0BA232A6C116}"/>
    <cellStyle name="Nuovo 42 5" xfId="2228" xr:uid="{00000000-0005-0000-0000-000075070000}"/>
    <cellStyle name="Nuovo 42 5 2" xfId="27464" xr:uid="{0989BFB6-44F7-4848-8055-BB2C93223E69}"/>
    <cellStyle name="Nuovo 42 5 2 2" xfId="49038" xr:uid="{20376ECA-4A80-4DC7-A9C7-0797BD873803}"/>
    <cellStyle name="Nuovo 42 5 3" xfId="27465" xr:uid="{3F37C983-EE1F-4B3B-80EE-53C91CA136CB}"/>
    <cellStyle name="Nuovo 42 5 4" xfId="27463" xr:uid="{41209F0C-58BE-42B9-A504-B4DBAEEA1888}"/>
    <cellStyle name="Nuovo 42 6" xfId="4238" xr:uid="{FD1B599A-9539-4DB2-96AA-B6E53B61EDBD}"/>
    <cellStyle name="Nuovo 42 6 2" xfId="9804" xr:uid="{E9CCB6CE-3D9D-4310-AEAA-2AD8BFBFC8F6}"/>
    <cellStyle name="Nuovo 42 6 3" xfId="27466" xr:uid="{81096BD0-2126-41F9-9C6F-20D81E28B10C}"/>
    <cellStyle name="Nuovo 42 7" xfId="27441" xr:uid="{82D8D53F-3477-45D2-8830-83BF5BA80788}"/>
    <cellStyle name="Nuovo 43" xfId="933" xr:uid="{00000000-0005-0000-0000-000076070000}"/>
    <cellStyle name="Nuovo 43 2" xfId="934" xr:uid="{00000000-0005-0000-0000-000077070000}"/>
    <cellStyle name="Nuovo 43 2 2" xfId="4239" xr:uid="{F58D121A-CAED-4167-B93F-F720212665F9}"/>
    <cellStyle name="Nuovo 43 2 2 2" xfId="13555" xr:uid="{AE490368-1864-4FE1-A75B-5DF315B3FD1B}"/>
    <cellStyle name="Nuovo 43 2 2 3" xfId="27469" xr:uid="{753E1CA8-507E-4AE8-B15B-C437F5B78490}"/>
    <cellStyle name="Nuovo 43 2 3" xfId="13291" xr:uid="{20B09CE2-78A3-47E7-829C-2C683CF4B4B7}"/>
    <cellStyle name="Nuovo 43 2 3 2" xfId="27470" xr:uid="{997ADE05-B6C7-451A-A2F2-E88D4A6BA76F}"/>
    <cellStyle name="Nuovo 43 2 4" xfId="27471" xr:uid="{4E86F120-EF84-410E-A5C6-AFE7C026F52B}"/>
    <cellStyle name="Nuovo 43 2 5" xfId="27468" xr:uid="{D9E08842-55F3-4093-9F7A-A152EC940D1E}"/>
    <cellStyle name="Nuovo 43 3" xfId="935" xr:uid="{00000000-0005-0000-0000-000078070000}"/>
    <cellStyle name="Nuovo 43 3 2" xfId="936" xr:uid="{00000000-0005-0000-0000-000079070000}"/>
    <cellStyle name="Nuovo 43 3 2 2" xfId="2229" xr:uid="{00000000-0005-0000-0000-00007A070000}"/>
    <cellStyle name="Nuovo 43 3 2 2 2" xfId="27474" xr:uid="{D8F0E5BA-7B1C-4153-B675-42582EA8B63C}"/>
    <cellStyle name="Nuovo 43 3 2 3" xfId="8108" xr:uid="{70D9CF10-C145-4085-803E-B6C61C04C305}"/>
    <cellStyle name="Nuovo 43 3 2 3 2" xfId="14109" xr:uid="{CBD3043A-0F64-4B85-AE33-5A59EFD0D461}"/>
    <cellStyle name="Nuovo 43 3 2 3 3" xfId="27475" xr:uid="{52FEC4AE-B9B0-4035-9B46-055BB6CB1CA1}"/>
    <cellStyle name="Nuovo 43 3 2 4" xfId="27473" xr:uid="{76405459-541F-4576-BD39-48467ACF7F73}"/>
    <cellStyle name="Nuovo 43 3 3" xfId="4240" xr:uid="{60C1BE02-10F5-414A-AD7C-02D87E30FDC6}"/>
    <cellStyle name="Nuovo 43 3 3 2" xfId="9361" xr:uid="{E61EAD8B-F1B1-45E7-A3D4-DBF92215A21B}"/>
    <cellStyle name="Nuovo 43 3 3 2 2" xfId="27477" xr:uid="{3E5C25D7-EB4B-481E-B0A9-CD601CD63361}"/>
    <cellStyle name="Nuovo 43 3 3 3" xfId="27478" xr:uid="{AB37D76D-15AE-404A-A62B-10241409871A}"/>
    <cellStyle name="Nuovo 43 3 3 3 2" xfId="49039" xr:uid="{8B6955BA-C69D-4FC4-8E1A-1165A17C1F68}"/>
    <cellStyle name="Nuovo 43 3 3 4" xfId="27476" xr:uid="{40CDC631-9A4A-4DBD-9516-5424E64BEDC9}"/>
    <cellStyle name="Nuovo 43 3 4" xfId="4241" xr:uid="{1395E531-5F25-4717-A8AD-37407DC09562}"/>
    <cellStyle name="Nuovo 43 3 4 2" xfId="13769" xr:uid="{456DD57F-3372-4B60-89EA-CDB74AB33E92}"/>
    <cellStyle name="Nuovo 43 3 4 3" xfId="27479" xr:uid="{EA997B1F-3059-4E81-8A0F-C40C3FD12895}"/>
    <cellStyle name="Nuovo 43 3 5" xfId="11102" xr:uid="{4677E653-CBA2-4807-A6BB-5FFC1C40B254}"/>
    <cellStyle name="Nuovo 43 3 5 2" xfId="27480" xr:uid="{71DF3EDE-1EA1-45B4-BC7E-EBA8855FFAE7}"/>
    <cellStyle name="Nuovo 43 3 6" xfId="27481" xr:uid="{36A95138-AB1B-4F86-A82F-EE2458636E43}"/>
    <cellStyle name="Nuovo 43 3 7" xfId="27472" xr:uid="{6E9F1C09-9E1E-4C16-A763-80A6929935CF}"/>
    <cellStyle name="Nuovo 43 4" xfId="2230" xr:uid="{00000000-0005-0000-0000-00007B070000}"/>
    <cellStyle name="Nuovo 43 4 2" xfId="2231" xr:uid="{00000000-0005-0000-0000-00007C070000}"/>
    <cellStyle name="Nuovo 43 4 2 2" xfId="9362" xr:uid="{52A84AF0-F21D-4902-ADA8-567321904766}"/>
    <cellStyle name="Nuovo 43 4 2 2 2" xfId="27484" xr:uid="{95268933-A2F7-47DD-AA21-177304E04F69}"/>
    <cellStyle name="Nuovo 43 4 2 3" xfId="17889" xr:uid="{C2F85690-C1F6-420C-AAD7-66A56CDF39E2}"/>
    <cellStyle name="Nuovo 43 4 2 3 2" xfId="27485" xr:uid="{2B007F46-C06B-403F-89C4-D37A7110C8A2}"/>
    <cellStyle name="Nuovo 43 4 2 4" xfId="27483" xr:uid="{D8B44857-973D-4E98-86D4-B1114F75D989}"/>
    <cellStyle name="Nuovo 43 4 2 5" xfId="17502" xr:uid="{E57068BC-9B90-45E1-A2A8-53E76B0BBD25}"/>
    <cellStyle name="Nuovo 43 4 3" xfId="9363" xr:uid="{079E685D-D719-49FC-A122-6B2EC6F39E73}"/>
    <cellStyle name="Nuovo 43 4 3 2" xfId="27486" xr:uid="{0486B805-D3ED-42EE-B4BD-FF671908D776}"/>
    <cellStyle name="Nuovo 43 4 4" xfId="27487" xr:uid="{1988EF15-A932-4972-AE82-21BD77DBA9D7}"/>
    <cellStyle name="Nuovo 43 4 4 2" xfId="49040" xr:uid="{CEA64891-8B8F-4353-94D0-C0874E78D418}"/>
    <cellStyle name="Nuovo 43 4 5" xfId="27488" xr:uid="{73FBC8E5-A076-4840-82C5-4986C959D394}"/>
    <cellStyle name="Nuovo 43 4 6" xfId="27482" xr:uid="{32C7E86C-7F0E-4CC3-BF9F-6E6BC8954FCA}"/>
    <cellStyle name="Nuovo 43 5" xfId="2232" xr:uid="{00000000-0005-0000-0000-00007D070000}"/>
    <cellStyle name="Nuovo 43 5 2" xfId="27490" xr:uid="{83762256-9B0E-4844-90AE-D850B69048FF}"/>
    <cellStyle name="Nuovo 43 5 2 2" xfId="49041" xr:uid="{F991EBFD-B9CC-4A87-BB5B-810D8D0E568E}"/>
    <cellStyle name="Nuovo 43 5 3" xfId="27491" xr:uid="{ED17ECA7-03BD-4012-98F1-372B41AFB70F}"/>
    <cellStyle name="Nuovo 43 5 4" xfId="27489" xr:uid="{19470A84-63C3-44FF-AE60-B62A00E9E3AF}"/>
    <cellStyle name="Nuovo 43 6" xfId="4242" xr:uid="{E49E4BD8-4582-4D5D-8EC1-8DC7BA72CDD2}"/>
    <cellStyle name="Nuovo 43 6 2" xfId="9805" xr:uid="{60896836-9774-4628-9542-BB11C2F82338}"/>
    <cellStyle name="Nuovo 43 6 3" xfId="27492" xr:uid="{40A439D6-BA56-462C-9F19-D5583D9912AE}"/>
    <cellStyle name="Nuovo 43 7" xfId="27467" xr:uid="{A491DA48-F8DB-46D6-8CB3-5BC12CDFE1D9}"/>
    <cellStyle name="Nuovo 44" xfId="937" xr:uid="{00000000-0005-0000-0000-00007E070000}"/>
    <cellStyle name="Nuovo 44 2" xfId="938" xr:uid="{00000000-0005-0000-0000-00007F070000}"/>
    <cellStyle name="Nuovo 44 2 2" xfId="4243" xr:uid="{725E2A75-4E69-4022-A8F2-DC2F4886D07F}"/>
    <cellStyle name="Nuovo 44 2 2 2" xfId="13556" xr:uid="{A6BB7DD5-39E8-4AE6-9D9D-BF650C178D12}"/>
    <cellStyle name="Nuovo 44 2 2 3" xfId="27495" xr:uid="{0C8E9BF5-7336-417A-BCE0-6D5829D89E56}"/>
    <cellStyle name="Nuovo 44 2 3" xfId="13292" xr:uid="{83F2D722-8ACF-4D9B-8DD9-C7795F429F91}"/>
    <cellStyle name="Nuovo 44 2 3 2" xfId="27496" xr:uid="{36C6DD71-BA58-406B-9B86-5DA32789CB1D}"/>
    <cellStyle name="Nuovo 44 2 4" xfId="27497" xr:uid="{D720A89A-A338-424F-8B85-655424650389}"/>
    <cellStyle name="Nuovo 44 2 5" xfId="27494" xr:uid="{488D46FA-B7D6-4974-8BC7-2B14393E5B77}"/>
    <cellStyle name="Nuovo 44 3" xfId="939" xr:uid="{00000000-0005-0000-0000-000080070000}"/>
    <cellStyle name="Nuovo 44 3 2" xfId="940" xr:uid="{00000000-0005-0000-0000-000081070000}"/>
    <cellStyle name="Nuovo 44 3 2 2" xfId="2233" xr:uid="{00000000-0005-0000-0000-000082070000}"/>
    <cellStyle name="Nuovo 44 3 2 2 2" xfId="27500" xr:uid="{5D781ACC-66FF-4AF1-8FB3-76009FD0EC3A}"/>
    <cellStyle name="Nuovo 44 3 2 3" xfId="8109" xr:uid="{35BF3E47-869C-404F-8404-0116363EB7EF}"/>
    <cellStyle name="Nuovo 44 3 2 3 2" xfId="14110" xr:uid="{0957E4E4-6E90-4067-B4A1-2EFB5207A47B}"/>
    <cellStyle name="Nuovo 44 3 2 3 3" xfId="27501" xr:uid="{15D72809-3C6F-4129-BDC2-5A93A2345DDB}"/>
    <cellStyle name="Nuovo 44 3 2 4" xfId="27499" xr:uid="{7461EFC0-A5F0-4B67-BF9A-17012898673D}"/>
    <cellStyle name="Nuovo 44 3 3" xfId="4244" xr:uid="{1442BC76-35CB-4B68-9136-1160ABA90BE2}"/>
    <cellStyle name="Nuovo 44 3 3 2" xfId="9364" xr:uid="{2DC2299A-AD06-474E-985E-271F8E80C913}"/>
    <cellStyle name="Nuovo 44 3 3 2 2" xfId="27503" xr:uid="{0C3DF488-331D-44DB-96AE-14F05D39E6FB}"/>
    <cellStyle name="Nuovo 44 3 3 3" xfId="27504" xr:uid="{0427BE10-E3F6-45E2-9097-AEA59E9C56EA}"/>
    <cellStyle name="Nuovo 44 3 3 3 2" xfId="49042" xr:uid="{9D1985B6-4810-4789-B80D-7F907FFD1594}"/>
    <cellStyle name="Nuovo 44 3 3 4" xfId="27502" xr:uid="{70B8E45E-5644-483D-8479-889566833D64}"/>
    <cellStyle name="Nuovo 44 3 4" xfId="4245" xr:uid="{C416F728-FC04-462E-98EE-9FF7C36164B7}"/>
    <cellStyle name="Nuovo 44 3 4 2" xfId="13770" xr:uid="{B7032E34-3B1A-435F-AFE7-9C37B330F641}"/>
    <cellStyle name="Nuovo 44 3 4 3" xfId="27505" xr:uid="{6A0264AA-F385-4E38-91D8-AE1416820352}"/>
    <cellStyle name="Nuovo 44 3 5" xfId="11210" xr:uid="{E6EB8D2C-5F30-43FC-9F72-B4AF445824F5}"/>
    <cellStyle name="Nuovo 44 3 5 2" xfId="27506" xr:uid="{A771024C-CF25-4449-9930-2583F4812185}"/>
    <cellStyle name="Nuovo 44 3 6" xfId="27507" xr:uid="{53E95EC2-5022-430B-A6EB-1D3E1B89D5DC}"/>
    <cellStyle name="Nuovo 44 3 7" xfId="27498" xr:uid="{64771E2D-E491-4D33-A3E8-4CF8A73B1E20}"/>
    <cellStyle name="Nuovo 44 4" xfId="2234" xr:uid="{00000000-0005-0000-0000-000083070000}"/>
    <cellStyle name="Nuovo 44 4 2" xfId="2235" xr:uid="{00000000-0005-0000-0000-000084070000}"/>
    <cellStyle name="Nuovo 44 4 2 2" xfId="9365" xr:uid="{3F002460-1D34-489E-9018-0BB1E51167FF}"/>
    <cellStyle name="Nuovo 44 4 2 2 2" xfId="27510" xr:uid="{1F85B9E7-13A4-4D2A-9478-FC3E3554266D}"/>
    <cellStyle name="Nuovo 44 4 2 3" xfId="17890" xr:uid="{17FE5F1A-F071-45AD-B66C-1BF6440ED857}"/>
    <cellStyle name="Nuovo 44 4 2 3 2" xfId="27511" xr:uid="{ADAEA5C9-124F-4221-9BC2-446C376D1F04}"/>
    <cellStyle name="Nuovo 44 4 2 4" xfId="27509" xr:uid="{A4655556-0198-48E4-9FD1-4E3917D418A0}"/>
    <cellStyle name="Nuovo 44 4 2 5" xfId="17503" xr:uid="{6E9B35F0-AF9B-41BD-B34C-E1A3A6E021FC}"/>
    <cellStyle name="Nuovo 44 4 3" xfId="9366" xr:uid="{EECE90A9-8685-4C89-A76B-48AD110A9AD4}"/>
    <cellStyle name="Nuovo 44 4 3 2" xfId="27512" xr:uid="{800C5257-B624-43C7-B1D3-9F8B7340FDF8}"/>
    <cellStyle name="Nuovo 44 4 4" xfId="27513" xr:uid="{BE68038C-C321-4593-9177-9394D85DED7F}"/>
    <cellStyle name="Nuovo 44 4 4 2" xfId="49043" xr:uid="{23958D2F-D4A7-41C7-B693-0BDF260DEAD8}"/>
    <cellStyle name="Nuovo 44 4 5" xfId="27514" xr:uid="{CFFD085B-6621-4EB4-94D4-FF4DC79F459E}"/>
    <cellStyle name="Nuovo 44 4 6" xfId="27508" xr:uid="{57CFE911-90DE-4D47-A8C9-A047A0CC3210}"/>
    <cellStyle name="Nuovo 44 5" xfId="2236" xr:uid="{00000000-0005-0000-0000-000085070000}"/>
    <cellStyle name="Nuovo 44 5 2" xfId="27516" xr:uid="{3B20BCF9-C663-4EE9-B156-3C47A87EBBDA}"/>
    <cellStyle name="Nuovo 44 5 2 2" xfId="49044" xr:uid="{756A358E-D020-45C3-9944-5FA7968BF8E9}"/>
    <cellStyle name="Nuovo 44 5 3" xfId="27517" xr:uid="{EAB32B0D-3618-4592-A356-A70BE7B6AF5B}"/>
    <cellStyle name="Nuovo 44 5 4" xfId="27515" xr:uid="{090F1EA8-95C5-4A5B-908B-899A9A855FF5}"/>
    <cellStyle name="Nuovo 44 6" xfId="4246" xr:uid="{551B11CE-2F5D-4A4E-85E5-B9BA6FA0AD87}"/>
    <cellStyle name="Nuovo 44 6 2" xfId="9806" xr:uid="{A13A3F3D-4C4E-4EBA-B3D5-18AE4643C5FA}"/>
    <cellStyle name="Nuovo 44 6 3" xfId="27518" xr:uid="{17D4B1E0-9401-4EBD-855B-CDF7F07CA469}"/>
    <cellStyle name="Nuovo 44 7" xfId="27493" xr:uid="{36314486-03D7-40B0-B1E2-EBCB72420120}"/>
    <cellStyle name="Nuovo 45" xfId="941" xr:uid="{00000000-0005-0000-0000-000086070000}"/>
    <cellStyle name="Nuovo 45 2" xfId="4247" xr:uid="{51B4E3DC-427A-4DD9-8464-9980F714BA31}"/>
    <cellStyle name="Nuovo 45 2 2" xfId="13557" xr:uid="{7BE65B03-CB10-41D8-B07D-33F0E606DF61}"/>
    <cellStyle name="Nuovo 45 2 3" xfId="27520" xr:uid="{668C6937-6AFF-43C3-ADC0-2FF2D7062BB4}"/>
    <cellStyle name="Nuovo 45 3" xfId="13293" xr:uid="{AE0FD160-5D37-486E-A623-3B942587BCE9}"/>
    <cellStyle name="Nuovo 45 3 2" xfId="27521" xr:uid="{BAF08B12-8837-4EA4-AFEA-67A0736A20CE}"/>
    <cellStyle name="Nuovo 45 4" xfId="27522" xr:uid="{89D81CE0-10A5-4376-9465-1A57E982F507}"/>
    <cellStyle name="Nuovo 45 5" xfId="27519" xr:uid="{EF8878F4-8720-478A-813A-313BC825D93D}"/>
    <cellStyle name="Nuovo 46" xfId="942" xr:uid="{00000000-0005-0000-0000-000087070000}"/>
    <cellStyle name="Nuovo 46 2" xfId="943" xr:uid="{00000000-0005-0000-0000-000088070000}"/>
    <cellStyle name="Nuovo 46 2 2" xfId="2237" xr:uid="{00000000-0005-0000-0000-000089070000}"/>
    <cellStyle name="Nuovo 46 2 2 2" xfId="27525" xr:uid="{9BC0BE86-6414-40E3-AA1E-F9486CF569B4}"/>
    <cellStyle name="Nuovo 46 2 3" xfId="8110" xr:uid="{A5DE3B68-B3E9-4B97-9E35-911C22E0F2A4}"/>
    <cellStyle name="Nuovo 46 2 3 2" xfId="14111" xr:uid="{29C7520E-6E27-4968-8AB3-E24163B1A435}"/>
    <cellStyle name="Nuovo 46 2 3 3" xfId="27526" xr:uid="{DBC272F3-EAFD-43B3-B43B-9347E1859E6E}"/>
    <cellStyle name="Nuovo 46 2 4" xfId="27524" xr:uid="{2E47C198-8FBA-43E3-BB96-6DCF9ADF6F7D}"/>
    <cellStyle name="Nuovo 46 3" xfId="4248" xr:uid="{A95D3D39-4DC9-4775-81EB-EDF330EE94AC}"/>
    <cellStyle name="Nuovo 46 3 2" xfId="9367" xr:uid="{BF05284E-C478-49D7-8C50-7DE500BC6DBF}"/>
    <cellStyle name="Nuovo 46 3 2 2" xfId="27528" xr:uid="{93BD987E-974A-407E-8896-A4E96C8770CD}"/>
    <cellStyle name="Nuovo 46 3 3" xfId="27529" xr:uid="{6AB144F1-583A-4FE7-9101-D17CA0129A4C}"/>
    <cellStyle name="Nuovo 46 3 3 2" xfId="49045" xr:uid="{0E3DC7C1-A0C4-4362-B0CE-BA72F6A4D401}"/>
    <cellStyle name="Nuovo 46 3 4" xfId="27527" xr:uid="{64C224F3-B78B-4888-ADC7-BC5A37D1C1D0}"/>
    <cellStyle name="Nuovo 46 4" xfId="4249" xr:uid="{74D4AFBE-8B66-454D-B78A-7016B6B581AA}"/>
    <cellStyle name="Nuovo 46 4 2" xfId="13771" xr:uid="{207D6CFE-BCBA-4919-890F-A4B709774235}"/>
    <cellStyle name="Nuovo 46 4 3" xfId="27530" xr:uid="{694702D6-2718-4518-9EEA-0AE3024C8FE5}"/>
    <cellStyle name="Nuovo 46 5" xfId="11431" xr:uid="{961D22AD-51FB-4DD0-A569-915EEE7E9BB0}"/>
    <cellStyle name="Nuovo 46 5 2" xfId="27531" xr:uid="{DEBC53D1-7B51-4213-BFFF-AAB925634188}"/>
    <cellStyle name="Nuovo 46 6" xfId="27532" xr:uid="{8F764D14-68C7-4BEC-A5A4-AD53CB0454D5}"/>
    <cellStyle name="Nuovo 46 7" xfId="27523" xr:uid="{905E0ECE-9E70-434B-B31B-DEE8E2AFA90F}"/>
    <cellStyle name="Nuovo 47" xfId="2238" xr:uid="{00000000-0005-0000-0000-00008A070000}"/>
    <cellStyle name="Nuovo 47 2" xfId="2239" xr:uid="{00000000-0005-0000-0000-00008B070000}"/>
    <cellStyle name="Nuovo 47 2 2" xfId="9368" xr:uid="{B96EE238-344F-4A65-B40B-E8D42606D229}"/>
    <cellStyle name="Nuovo 47 2 2 2" xfId="27535" xr:uid="{59A34169-96D2-4D9D-8924-161558F550C1}"/>
    <cellStyle name="Nuovo 47 2 3" xfId="17891" xr:uid="{EFE66F63-18B6-49A9-8678-4E465ABECFDF}"/>
    <cellStyle name="Nuovo 47 2 3 2" xfId="27536" xr:uid="{BC2AA4FA-3A20-4996-853A-E4497C08DE3C}"/>
    <cellStyle name="Nuovo 47 2 4" xfId="27534" xr:uid="{791387FF-EB1E-4C7C-9DFD-91A068CE979A}"/>
    <cellStyle name="Nuovo 47 2 5" xfId="17504" xr:uid="{0BDAB4A5-EEBB-4534-B20A-C2EA1516B5FB}"/>
    <cellStyle name="Nuovo 47 3" xfId="9369" xr:uid="{E90871A8-9ADD-49AE-A286-E4B696A3899A}"/>
    <cellStyle name="Nuovo 47 3 2" xfId="27537" xr:uid="{DCC9C453-95ED-4C4F-9DBE-9E8B42F23EAB}"/>
    <cellStyle name="Nuovo 47 4" xfId="27538" xr:uid="{A853EE9D-E419-4BFA-8908-18350E111D90}"/>
    <cellStyle name="Nuovo 47 4 2" xfId="49046" xr:uid="{9A701349-1F3C-494F-BA04-879F1B7E88DE}"/>
    <cellStyle name="Nuovo 47 5" xfId="27539" xr:uid="{81596562-53DB-471D-AE0A-38391DF2CC39}"/>
    <cellStyle name="Nuovo 47 6" xfId="27533" xr:uid="{09535227-7D5F-4378-B243-9D3CADD702DF}"/>
    <cellStyle name="Nuovo 48" xfId="2240" xr:uid="{00000000-0005-0000-0000-00008C070000}"/>
    <cellStyle name="Nuovo 48 2" xfId="27541" xr:uid="{E014B888-6D01-4CFA-A18E-E755BADFE3BF}"/>
    <cellStyle name="Nuovo 48 2 2" xfId="49047" xr:uid="{470BFD08-BFF1-42C8-A7CB-6C9E77459DD3}"/>
    <cellStyle name="Nuovo 48 3" xfId="27542" xr:uid="{8A7BFBE8-F7D6-4718-A20E-5D93CF4EC811}"/>
    <cellStyle name="Nuovo 48 4" xfId="27540" xr:uid="{C206980C-508E-4055-89D1-D3FC8AAC8645}"/>
    <cellStyle name="Nuovo 49" xfId="4250" xr:uid="{D584F898-B09F-4EE0-BA51-80009E1C7D50}"/>
    <cellStyle name="Nuovo 49 2" xfId="9768" xr:uid="{B65EBE59-533F-49E7-BB12-002DB451CF4A}"/>
    <cellStyle name="Nuovo 5" xfId="944" xr:uid="{00000000-0005-0000-0000-00008D070000}"/>
    <cellStyle name="Nuovo 5 2" xfId="945" xr:uid="{00000000-0005-0000-0000-00008E070000}"/>
    <cellStyle name="Nuovo 5 2 2" xfId="4251" xr:uid="{C9D2D1BE-103A-4ABA-BD46-8DB596B4AEBC}"/>
    <cellStyle name="Nuovo 5 2 2 2" xfId="13558" xr:uid="{CE61E862-8304-4592-9CE1-FE857DE7BB11}"/>
    <cellStyle name="Nuovo 5 2 2 3" xfId="27545" xr:uid="{0F128794-D2B9-46A7-86D3-EFF2D1799161}"/>
    <cellStyle name="Nuovo 5 2 3" xfId="13294" xr:uid="{0B9C6A03-6883-4F7E-9ADA-DCC40FC3E9A2}"/>
    <cellStyle name="Nuovo 5 2 3 2" xfId="27546" xr:uid="{CD23A9CA-8195-4841-BD85-55A0394C5907}"/>
    <cellStyle name="Nuovo 5 2 4" xfId="27547" xr:uid="{FB81FE35-E253-47C9-B8EA-242EC3B4C11D}"/>
    <cellStyle name="Nuovo 5 2 5" xfId="27544" xr:uid="{76973505-648B-46A3-8678-D5CB17F2308D}"/>
    <cellStyle name="Nuovo 5 3" xfId="946" xr:uid="{00000000-0005-0000-0000-00008F070000}"/>
    <cellStyle name="Nuovo 5 3 2" xfId="947" xr:uid="{00000000-0005-0000-0000-000090070000}"/>
    <cellStyle name="Nuovo 5 3 2 2" xfId="2241" xr:uid="{00000000-0005-0000-0000-000091070000}"/>
    <cellStyle name="Nuovo 5 3 2 2 2" xfId="27550" xr:uid="{79B27388-C558-4C2A-86D8-A52EB8314802}"/>
    <cellStyle name="Nuovo 5 3 2 3" xfId="8111" xr:uid="{A89EFCB1-7A63-4EC4-B790-B24CB4ECC627}"/>
    <cellStyle name="Nuovo 5 3 2 3 2" xfId="14112" xr:uid="{16D2DB01-703C-4BAA-81A8-A1E48CEB35B8}"/>
    <cellStyle name="Nuovo 5 3 2 3 3" xfId="27551" xr:uid="{446FDB79-98DA-4CD8-A921-51A535A9FD1C}"/>
    <cellStyle name="Nuovo 5 3 2 4" xfId="27549" xr:uid="{2E2D8E5A-3323-4CBD-9CB6-6DF2351AB903}"/>
    <cellStyle name="Nuovo 5 3 3" xfId="4252" xr:uid="{1EBC5A5F-FCDC-4CEA-BC01-804D469B4A94}"/>
    <cellStyle name="Nuovo 5 3 3 2" xfId="9370" xr:uid="{A85F899E-BB67-4AA1-8048-AD18AD0B5206}"/>
    <cellStyle name="Nuovo 5 3 3 2 2" xfId="27553" xr:uid="{36FBD4CB-FE7E-4985-BE3B-AA15B7B7AEDB}"/>
    <cellStyle name="Nuovo 5 3 3 3" xfId="27554" xr:uid="{D72F6C4A-DB62-4E0D-98E0-9EE95D45BD38}"/>
    <cellStyle name="Nuovo 5 3 3 3 2" xfId="49048" xr:uid="{DEAF9AB6-D58B-4191-8B2A-0B0CD969506D}"/>
    <cellStyle name="Nuovo 5 3 3 4" xfId="27552" xr:uid="{31CCA164-4B1F-485D-B541-986D3890710C}"/>
    <cellStyle name="Nuovo 5 3 4" xfId="4253" xr:uid="{646838B4-BA06-47DF-8AA6-417C13BD827C}"/>
    <cellStyle name="Nuovo 5 3 4 2" xfId="13772" xr:uid="{A410DAD1-E9C5-49A6-BFBE-20696A78F8D5}"/>
    <cellStyle name="Nuovo 5 3 4 3" xfId="27555" xr:uid="{08D6F9F0-4F2C-43D7-A41A-5FB9B2ADB667}"/>
    <cellStyle name="Nuovo 5 3 5" xfId="11209" xr:uid="{03E14634-5CC8-4CC5-9304-74D812FFC581}"/>
    <cellStyle name="Nuovo 5 3 5 2" xfId="27556" xr:uid="{8CA150FA-301C-4A73-8BC2-D004F798135D}"/>
    <cellStyle name="Nuovo 5 3 6" xfId="27557" xr:uid="{4C4AF041-9E0B-4956-91A9-6F28404D2E6A}"/>
    <cellStyle name="Nuovo 5 3 7" xfId="27548" xr:uid="{902422A1-6D7E-4674-BD4F-2B3C930D625D}"/>
    <cellStyle name="Nuovo 5 4" xfId="2242" xr:uid="{00000000-0005-0000-0000-000092070000}"/>
    <cellStyle name="Nuovo 5 4 2" xfId="2243" xr:uid="{00000000-0005-0000-0000-000093070000}"/>
    <cellStyle name="Nuovo 5 4 2 2" xfId="9371" xr:uid="{4B4093E6-5E13-43CB-A682-CAE0AC0E9126}"/>
    <cellStyle name="Nuovo 5 4 2 2 2" xfId="27560" xr:uid="{4EBAFC53-2C29-4052-A1F9-3BB1C7D5EA60}"/>
    <cellStyle name="Nuovo 5 4 2 3" xfId="17892" xr:uid="{356E20D0-C182-4B3B-B188-A32CE38C7149}"/>
    <cellStyle name="Nuovo 5 4 2 3 2" xfId="27561" xr:uid="{2C7F3790-7198-43AE-A118-B7B64BAD8D97}"/>
    <cellStyle name="Nuovo 5 4 2 4" xfId="27559" xr:uid="{86DDCC4C-4A33-4F33-A2EF-62C1D1720431}"/>
    <cellStyle name="Nuovo 5 4 2 5" xfId="17505" xr:uid="{323838BC-A503-469D-A9EA-4287B9036DC3}"/>
    <cellStyle name="Nuovo 5 4 3" xfId="9372" xr:uid="{F1928F7E-C99E-4A50-8A63-42D0C846ACA7}"/>
    <cellStyle name="Nuovo 5 4 3 2" xfId="27562" xr:uid="{70B3854A-5020-4F7E-B5A5-A8BB9A094CBC}"/>
    <cellStyle name="Nuovo 5 4 4" xfId="27563" xr:uid="{7ABE1074-434D-4295-8185-C25DD23EBAFD}"/>
    <cellStyle name="Nuovo 5 4 4 2" xfId="49049" xr:uid="{E3C902FE-D9A3-463C-990A-C673BE9B01D7}"/>
    <cellStyle name="Nuovo 5 4 5" xfId="27564" xr:uid="{A4718FF0-FF86-4C4E-BBF2-39C47F5FD496}"/>
    <cellStyle name="Nuovo 5 4 6" xfId="27558" xr:uid="{D2F77BAD-821F-4604-8D6C-C1A26A5ADE37}"/>
    <cellStyle name="Nuovo 5 5" xfId="2244" xr:uid="{00000000-0005-0000-0000-000094070000}"/>
    <cellStyle name="Nuovo 5 5 2" xfId="27566" xr:uid="{2D62E0E2-83FF-4ED4-8263-1F71FE0DA7B6}"/>
    <cellStyle name="Nuovo 5 5 2 2" xfId="49050" xr:uid="{3FBB0A4B-5EEC-498D-8228-B3DE53A8663D}"/>
    <cellStyle name="Nuovo 5 5 3" xfId="27567" xr:uid="{C0E9EFB5-EE3B-4958-9C3E-0594D85E9FD3}"/>
    <cellStyle name="Nuovo 5 5 4" xfId="27565" xr:uid="{F5C3DBCC-A883-4307-BF65-6AADF5B5A5A0}"/>
    <cellStyle name="Nuovo 5 6" xfId="4254" xr:uid="{2B6B3E87-CB89-4B76-A64C-941635A9A278}"/>
    <cellStyle name="Nuovo 5 6 2" xfId="9807" xr:uid="{91F5DE2D-7263-4144-A2EC-FB8976CC0A42}"/>
    <cellStyle name="Nuovo 5 6 3" xfId="27568" xr:uid="{ADF3C345-A0D9-4A9C-8598-BA3569DE914A}"/>
    <cellStyle name="Nuovo 5 7" xfId="27543" xr:uid="{6D72D656-E0F2-4255-A6F9-FF5460C0594D}"/>
    <cellStyle name="Nuovo 50" xfId="26739" xr:uid="{BF661738-37B7-4F6E-80CB-34F8716D60AD}"/>
    <cellStyle name="Nuovo 6" xfId="948" xr:uid="{00000000-0005-0000-0000-000095070000}"/>
    <cellStyle name="Nuovo 6 2" xfId="949" xr:uid="{00000000-0005-0000-0000-000096070000}"/>
    <cellStyle name="Nuovo 6 2 2" xfId="4255" xr:uid="{A16280CF-C1D4-4D43-9678-4CB49D308F39}"/>
    <cellStyle name="Nuovo 6 2 2 2" xfId="13559" xr:uid="{4A00C849-6038-4B7F-9E09-0A6551EEA2AB}"/>
    <cellStyle name="Nuovo 6 2 2 3" xfId="27571" xr:uid="{F1480303-89E6-4431-92E6-CAB859ACF801}"/>
    <cellStyle name="Nuovo 6 2 3" xfId="13295" xr:uid="{23706738-B054-489B-944A-DEE078A9FAD1}"/>
    <cellStyle name="Nuovo 6 2 3 2" xfId="27572" xr:uid="{37EDE959-D3AE-4770-BD4D-61763B15C338}"/>
    <cellStyle name="Nuovo 6 2 4" xfId="27573" xr:uid="{5F54A842-6950-4DD0-B85F-E0B1EFA0E364}"/>
    <cellStyle name="Nuovo 6 2 5" xfId="27570" xr:uid="{D799C99B-98EB-4BD7-8AF8-22D875B16F44}"/>
    <cellStyle name="Nuovo 6 3" xfId="950" xr:uid="{00000000-0005-0000-0000-000097070000}"/>
    <cellStyle name="Nuovo 6 3 2" xfId="951" xr:uid="{00000000-0005-0000-0000-000098070000}"/>
    <cellStyle name="Nuovo 6 3 2 2" xfId="2245" xr:uid="{00000000-0005-0000-0000-000099070000}"/>
    <cellStyle name="Nuovo 6 3 2 2 2" xfId="27576" xr:uid="{BE01D72C-1DF8-4F5D-AB3B-364D90824056}"/>
    <cellStyle name="Nuovo 6 3 2 3" xfId="8112" xr:uid="{D2FB17E4-2953-4130-9C91-49279761E671}"/>
    <cellStyle name="Nuovo 6 3 2 3 2" xfId="14113" xr:uid="{60EB3245-2713-4508-B855-B5A48B120EC6}"/>
    <cellStyle name="Nuovo 6 3 2 3 3" xfId="27577" xr:uid="{C3737989-E023-4DF7-B19A-EE34B37A34AF}"/>
    <cellStyle name="Nuovo 6 3 2 4" xfId="27575" xr:uid="{A1A21810-73C4-4CB3-B1D8-77A6A20EBD47}"/>
    <cellStyle name="Nuovo 6 3 3" xfId="4256" xr:uid="{7EB22C18-A38E-4F93-B665-29C8D5D77733}"/>
    <cellStyle name="Nuovo 6 3 3 2" xfId="9373" xr:uid="{0E0E96BF-EDCC-4D35-B70F-A15490C00BDC}"/>
    <cellStyle name="Nuovo 6 3 3 2 2" xfId="27579" xr:uid="{EA7B6230-6C1A-4336-8A84-8F2009BD0FC2}"/>
    <cellStyle name="Nuovo 6 3 3 3" xfId="27580" xr:uid="{3CE787CF-15F9-42B3-A755-7E11A9B3141A}"/>
    <cellStyle name="Nuovo 6 3 3 3 2" xfId="49051" xr:uid="{C1000D78-746C-4CE2-8D69-64B9E06BEB50}"/>
    <cellStyle name="Nuovo 6 3 3 4" xfId="27578" xr:uid="{A2AF7156-53C5-450C-98A2-02921E6F24D3}"/>
    <cellStyle name="Nuovo 6 3 4" xfId="4257" xr:uid="{9B83DCD6-2BEA-429B-AAED-A8F73C5D282E}"/>
    <cellStyle name="Nuovo 6 3 4 2" xfId="13773" xr:uid="{2CB50CA4-6DE3-4593-A247-0C44269B3054}"/>
    <cellStyle name="Nuovo 6 3 4 3" xfId="27581" xr:uid="{94AF759C-F3B3-433A-9004-D73EDD85DEBD}"/>
    <cellStyle name="Nuovo 6 3 5" xfId="12442" xr:uid="{56F268BC-BCD2-4973-AD13-4DB732345241}"/>
    <cellStyle name="Nuovo 6 3 5 2" xfId="27582" xr:uid="{9443FFE6-0884-4006-9304-72661BA86B56}"/>
    <cellStyle name="Nuovo 6 3 6" xfId="27583" xr:uid="{C6EB6DD6-78CB-4A7C-B1D6-5CB15D5DC333}"/>
    <cellStyle name="Nuovo 6 3 7" xfId="27574" xr:uid="{8A79E714-7705-4B36-B968-25FB34DFBDF2}"/>
    <cellStyle name="Nuovo 6 4" xfId="2246" xr:uid="{00000000-0005-0000-0000-00009A070000}"/>
    <cellStyle name="Nuovo 6 4 2" xfId="2247" xr:uid="{00000000-0005-0000-0000-00009B070000}"/>
    <cellStyle name="Nuovo 6 4 2 2" xfId="9374" xr:uid="{9D913E4B-5449-44E1-926B-7B85A2854643}"/>
    <cellStyle name="Nuovo 6 4 2 2 2" xfId="27586" xr:uid="{1757BCB3-F4A8-4A00-B017-751740FF1994}"/>
    <cellStyle name="Nuovo 6 4 2 3" xfId="17893" xr:uid="{E92D80BC-3FCA-4D8B-AA8E-043E49BA7046}"/>
    <cellStyle name="Nuovo 6 4 2 3 2" xfId="27587" xr:uid="{B31C68BC-9AA7-45F3-B248-9F5DDB51148F}"/>
    <cellStyle name="Nuovo 6 4 2 4" xfId="27585" xr:uid="{042854FC-52C4-49F7-8993-2ACB824AF721}"/>
    <cellStyle name="Nuovo 6 4 2 5" xfId="17506" xr:uid="{9BCF03F5-0F68-4871-8F57-465D91A41CB7}"/>
    <cellStyle name="Nuovo 6 4 3" xfId="9375" xr:uid="{8FF10DC9-B327-4724-901E-3F84F76C50D9}"/>
    <cellStyle name="Nuovo 6 4 3 2" xfId="27588" xr:uid="{9E2494F0-472F-441D-8AAB-623E5F4C1F18}"/>
    <cellStyle name="Nuovo 6 4 4" xfId="27589" xr:uid="{FCF5028C-1E1E-4391-95DD-580F8336F59D}"/>
    <cellStyle name="Nuovo 6 4 4 2" xfId="49052" xr:uid="{AC28C146-BD48-4663-B645-A8733776BDDE}"/>
    <cellStyle name="Nuovo 6 4 5" xfId="27590" xr:uid="{32892D99-8159-4539-96F4-5BAAE760F38B}"/>
    <cellStyle name="Nuovo 6 4 6" xfId="27584" xr:uid="{ADF6FBE8-3220-4F13-8321-7588FD50F2F8}"/>
    <cellStyle name="Nuovo 6 5" xfId="2248" xr:uid="{00000000-0005-0000-0000-00009C070000}"/>
    <cellStyle name="Nuovo 6 5 2" xfId="27592" xr:uid="{71B4BE97-B8AF-4C9E-A807-939883E67F92}"/>
    <cellStyle name="Nuovo 6 5 2 2" xfId="49053" xr:uid="{C313C4D4-B5D6-40AE-BE78-3829ADAD1B1C}"/>
    <cellStyle name="Nuovo 6 5 3" xfId="27593" xr:uid="{0291F871-C95A-4EC6-A87A-47DC88EC83F7}"/>
    <cellStyle name="Nuovo 6 5 4" xfId="27591" xr:uid="{4FA73DF4-8EBA-4A5E-8F58-A035783C2196}"/>
    <cellStyle name="Nuovo 6 6" xfId="4258" xr:uid="{4BFB4BF1-0EB4-4082-BB69-B8A50C280552}"/>
    <cellStyle name="Nuovo 6 6 2" xfId="9808" xr:uid="{C0540513-5A79-4FFB-AA2B-420F95AA1B1D}"/>
    <cellStyle name="Nuovo 6 6 3" xfId="27594" xr:uid="{6E87283A-C77D-4941-B340-425CB749DF4B}"/>
    <cellStyle name="Nuovo 6 7" xfId="27569" xr:uid="{7961D58B-BC39-4C54-BC0D-81632641286C}"/>
    <cellStyle name="Nuovo 7" xfId="952" xr:uid="{00000000-0005-0000-0000-00009D070000}"/>
    <cellStyle name="Nuovo 7 2" xfId="953" xr:uid="{00000000-0005-0000-0000-00009E070000}"/>
    <cellStyle name="Nuovo 7 2 2" xfId="4259" xr:uid="{A18CFF9B-3E30-408B-8959-FC08DDCCC841}"/>
    <cellStyle name="Nuovo 7 2 2 2" xfId="13560" xr:uid="{CE37D472-842E-4D49-9F43-F6383E1E7636}"/>
    <cellStyle name="Nuovo 7 2 2 3" xfId="27597" xr:uid="{F8F9AF36-5458-46F0-8BE2-115707CAD1AB}"/>
    <cellStyle name="Nuovo 7 2 3" xfId="13296" xr:uid="{190A8EDE-694D-4615-AED9-5715B7FAC940}"/>
    <cellStyle name="Nuovo 7 2 3 2" xfId="27598" xr:uid="{FE9785CE-9DC4-490E-948E-C4887A6D6CA1}"/>
    <cellStyle name="Nuovo 7 2 4" xfId="27599" xr:uid="{9E01B1E3-66FF-4F8E-BEAD-3C92684A5AB0}"/>
    <cellStyle name="Nuovo 7 2 5" xfId="27596" xr:uid="{DE8D7E79-9E26-4943-ACB2-5379BFF24196}"/>
    <cellStyle name="Nuovo 7 3" xfId="954" xr:uid="{00000000-0005-0000-0000-00009F070000}"/>
    <cellStyle name="Nuovo 7 3 2" xfId="955" xr:uid="{00000000-0005-0000-0000-0000A0070000}"/>
    <cellStyle name="Nuovo 7 3 2 2" xfId="2249" xr:uid="{00000000-0005-0000-0000-0000A1070000}"/>
    <cellStyle name="Nuovo 7 3 2 2 2" xfId="27602" xr:uid="{3903CC4B-9E9B-4B2D-838F-BA98D49BD944}"/>
    <cellStyle name="Nuovo 7 3 2 3" xfId="8113" xr:uid="{2ADF2B46-3C1A-4235-80CF-A18CEC54E694}"/>
    <cellStyle name="Nuovo 7 3 2 3 2" xfId="14114" xr:uid="{81EE0085-A5D2-496F-92B9-2ECD12F14D43}"/>
    <cellStyle name="Nuovo 7 3 2 3 3" xfId="27603" xr:uid="{A7C54183-0785-4425-8AD9-E3CB64D5BA6B}"/>
    <cellStyle name="Nuovo 7 3 2 4" xfId="27601" xr:uid="{574A491E-6013-46D0-B0A8-0F56C96FA3C0}"/>
    <cellStyle name="Nuovo 7 3 3" xfId="4260" xr:uid="{1D8F7DD5-D19C-49C4-B565-7EA6012AF29A}"/>
    <cellStyle name="Nuovo 7 3 3 2" xfId="9376" xr:uid="{0F719FC5-DFCB-403F-ACC6-30F371E918BF}"/>
    <cellStyle name="Nuovo 7 3 3 2 2" xfId="27605" xr:uid="{46B2AA90-1DBA-482A-AA0F-B03CDE50D476}"/>
    <cellStyle name="Nuovo 7 3 3 3" xfId="27606" xr:uid="{3EFD14C5-0966-40A9-894E-46B67FE61DA8}"/>
    <cellStyle name="Nuovo 7 3 3 3 2" xfId="49054" xr:uid="{9DC0B190-2983-4AC6-912F-38CEFDF0A94D}"/>
    <cellStyle name="Nuovo 7 3 3 4" xfId="27604" xr:uid="{09D6BF25-946C-443D-8677-1CB9BCD61490}"/>
    <cellStyle name="Nuovo 7 3 4" xfId="4261" xr:uid="{BB9B5E1E-25C1-41E7-8460-057039421166}"/>
    <cellStyle name="Nuovo 7 3 4 2" xfId="13774" xr:uid="{40E6B499-74E9-41AF-8885-C128631FD87D}"/>
    <cellStyle name="Nuovo 7 3 4 3" xfId="27607" xr:uid="{F1B191F0-C12F-46A3-B4AF-15A6436F01B4}"/>
    <cellStyle name="Nuovo 7 3 5" xfId="12428" xr:uid="{527CFAD6-F901-405A-8BE0-A0653D78BEE6}"/>
    <cellStyle name="Nuovo 7 3 5 2" xfId="27608" xr:uid="{D5C76E45-89F5-46C3-A0A3-6EC9B75D673E}"/>
    <cellStyle name="Nuovo 7 3 6" xfId="27609" xr:uid="{B88810D6-8374-4B92-BDB8-933BD27BFE51}"/>
    <cellStyle name="Nuovo 7 3 7" xfId="27600" xr:uid="{57658E27-7B81-4151-B2E2-210BE1DF179B}"/>
    <cellStyle name="Nuovo 7 4" xfId="2250" xr:uid="{00000000-0005-0000-0000-0000A2070000}"/>
    <cellStyle name="Nuovo 7 4 2" xfId="2251" xr:uid="{00000000-0005-0000-0000-0000A3070000}"/>
    <cellStyle name="Nuovo 7 4 2 2" xfId="9377" xr:uid="{EF1AD18B-B843-4AC1-95B3-185C4245E187}"/>
    <cellStyle name="Nuovo 7 4 2 2 2" xfId="27612" xr:uid="{DFB3D34B-E155-4D1F-97FB-F11257BBFCBE}"/>
    <cellStyle name="Nuovo 7 4 2 3" xfId="17894" xr:uid="{481E5048-3806-47F0-9BCA-B9C86B5E6317}"/>
    <cellStyle name="Nuovo 7 4 2 3 2" xfId="27613" xr:uid="{EC620163-D22D-48B2-A609-9437B8CA5F55}"/>
    <cellStyle name="Nuovo 7 4 2 4" xfId="27611" xr:uid="{7F1E14BE-F274-414F-80C7-B10BD9A9522B}"/>
    <cellStyle name="Nuovo 7 4 2 5" xfId="17507" xr:uid="{A1C3090C-3298-4FE4-819B-2BE1D4DD0C70}"/>
    <cellStyle name="Nuovo 7 4 3" xfId="9378" xr:uid="{73EEFB6A-7DB4-47DD-AC2B-287B571906F2}"/>
    <cellStyle name="Nuovo 7 4 3 2" xfId="27614" xr:uid="{3C676558-E417-4383-9664-8ABCA747A2A1}"/>
    <cellStyle name="Nuovo 7 4 4" xfId="27615" xr:uid="{190BFF21-3C37-4132-8439-3E335E63175B}"/>
    <cellStyle name="Nuovo 7 4 4 2" xfId="49055" xr:uid="{FB38B2E7-106A-49AA-BC62-4C79FA862269}"/>
    <cellStyle name="Nuovo 7 4 5" xfId="27616" xr:uid="{1E6B95A7-8604-4CE6-8DCF-2A4A6DAF58CF}"/>
    <cellStyle name="Nuovo 7 4 6" xfId="27610" xr:uid="{E5AC8D7C-3DD3-4D8E-9BF7-0EDD0E3BDADC}"/>
    <cellStyle name="Nuovo 7 5" xfId="2252" xr:uid="{00000000-0005-0000-0000-0000A4070000}"/>
    <cellStyle name="Nuovo 7 5 2" xfId="27618" xr:uid="{6B286BF6-E7C8-43BC-83F2-2255C7C019B2}"/>
    <cellStyle name="Nuovo 7 5 2 2" xfId="49056" xr:uid="{4506C8E6-4B4B-453B-BD62-AF6B9CAB055B}"/>
    <cellStyle name="Nuovo 7 5 3" xfId="27619" xr:uid="{BE67BA52-B7F2-4F45-AD7F-B340E0F9A95A}"/>
    <cellStyle name="Nuovo 7 5 4" xfId="27617" xr:uid="{1EADB06A-FB7C-4977-8233-4F4097C11EEC}"/>
    <cellStyle name="Nuovo 7 6" xfId="4262" xr:uid="{48B2D8B1-6E01-43EF-9F92-21446BD5348B}"/>
    <cellStyle name="Nuovo 7 6 2" xfId="9809" xr:uid="{AD0B34CD-5E3F-493F-B5DF-3C719FDF39FD}"/>
    <cellStyle name="Nuovo 7 6 3" xfId="27620" xr:uid="{FE14D476-5B3F-4270-B9A0-835FDB2282D3}"/>
    <cellStyle name="Nuovo 7 7" xfId="27595" xr:uid="{DF00AC14-F2E1-488D-8C1D-97F9E0EDDB59}"/>
    <cellStyle name="Nuovo 8" xfId="956" xr:uid="{00000000-0005-0000-0000-0000A5070000}"/>
    <cellStyle name="Nuovo 8 2" xfId="957" xr:uid="{00000000-0005-0000-0000-0000A6070000}"/>
    <cellStyle name="Nuovo 8 2 2" xfId="4263" xr:uid="{0557C983-A97E-48DB-82E8-9889A9AE4B81}"/>
    <cellStyle name="Nuovo 8 2 2 2" xfId="13561" xr:uid="{82B08641-460A-4130-AEE2-AEBC3CE2523B}"/>
    <cellStyle name="Nuovo 8 2 2 3" xfId="27623" xr:uid="{594391A0-97BC-42F0-9704-873D49F5E31C}"/>
    <cellStyle name="Nuovo 8 2 3" xfId="13297" xr:uid="{74121BB4-D63D-4BA1-8683-7642CEF20E20}"/>
    <cellStyle name="Nuovo 8 2 3 2" xfId="27624" xr:uid="{28EDC50B-CA3A-43B3-93D0-7C415A02194A}"/>
    <cellStyle name="Nuovo 8 2 4" xfId="27625" xr:uid="{15740138-3280-47EE-A937-47D52A1F35E6}"/>
    <cellStyle name="Nuovo 8 2 5" xfId="27622" xr:uid="{4604EC1A-A606-4803-A84B-A5EAD9DF1DC6}"/>
    <cellStyle name="Nuovo 8 3" xfId="958" xr:uid="{00000000-0005-0000-0000-0000A7070000}"/>
    <cellStyle name="Nuovo 8 3 2" xfId="959" xr:uid="{00000000-0005-0000-0000-0000A8070000}"/>
    <cellStyle name="Nuovo 8 3 2 2" xfId="2253" xr:uid="{00000000-0005-0000-0000-0000A9070000}"/>
    <cellStyle name="Nuovo 8 3 2 2 2" xfId="27628" xr:uid="{675D14BC-83F8-4852-B9F8-36864CFAFAAC}"/>
    <cellStyle name="Nuovo 8 3 2 3" xfId="8114" xr:uid="{8ABBE721-0C0E-47D4-AA39-1B585C3350BF}"/>
    <cellStyle name="Nuovo 8 3 2 3 2" xfId="14115" xr:uid="{EE2B4075-85BE-411A-A63F-2D59B2AE0925}"/>
    <cellStyle name="Nuovo 8 3 2 3 3" xfId="27629" xr:uid="{9A270E35-5BFD-4836-B184-F34990E1459C}"/>
    <cellStyle name="Nuovo 8 3 2 4" xfId="27627" xr:uid="{908270EC-49AD-4205-9412-17D1B52B2B48}"/>
    <cellStyle name="Nuovo 8 3 3" xfId="4264" xr:uid="{98EB0646-F80A-4B37-ACE4-F8CA8FD2ABD0}"/>
    <cellStyle name="Nuovo 8 3 3 2" xfId="9379" xr:uid="{156E2F9B-9CBF-413C-BFC1-F64AE6B0B41C}"/>
    <cellStyle name="Nuovo 8 3 3 2 2" xfId="27631" xr:uid="{CB779E07-CBDF-42AE-A88C-511C8709890D}"/>
    <cellStyle name="Nuovo 8 3 3 3" xfId="27632" xr:uid="{8F8D2037-471F-489C-A182-222F894076BD}"/>
    <cellStyle name="Nuovo 8 3 3 3 2" xfId="49057" xr:uid="{ABD93CEB-D32F-4FDB-A39C-4C00E18AD1BA}"/>
    <cellStyle name="Nuovo 8 3 3 4" xfId="27630" xr:uid="{7C04087F-D12F-4952-ACB1-133683F4736E}"/>
    <cellStyle name="Nuovo 8 3 4" xfId="4265" xr:uid="{C6D261C3-4162-4C07-BBEA-2E0CBAEC3DAE}"/>
    <cellStyle name="Nuovo 8 3 4 2" xfId="13775" xr:uid="{FE856675-6991-43F3-9140-8B8A5304545D}"/>
    <cellStyle name="Nuovo 8 3 4 3" xfId="27633" xr:uid="{4CB7D5A3-E502-42CF-AF16-D693143B65D9}"/>
    <cellStyle name="Nuovo 8 3 5" xfId="12426" xr:uid="{9CA6F147-CCF0-4CE4-AEFB-D383642EAACF}"/>
    <cellStyle name="Nuovo 8 3 5 2" xfId="27634" xr:uid="{E7C660EB-D3CA-4BA9-AAB0-B328E54E2A22}"/>
    <cellStyle name="Nuovo 8 3 6" xfId="27635" xr:uid="{0CFCDAEA-CC9D-4D8B-8166-721785ED46E6}"/>
    <cellStyle name="Nuovo 8 3 7" xfId="27626" xr:uid="{F47A47B2-F280-4343-A0F7-527D9285345E}"/>
    <cellStyle name="Nuovo 8 4" xfId="2254" xr:uid="{00000000-0005-0000-0000-0000AA070000}"/>
    <cellStyle name="Nuovo 8 4 2" xfId="2255" xr:uid="{00000000-0005-0000-0000-0000AB070000}"/>
    <cellStyle name="Nuovo 8 4 2 2" xfId="9380" xr:uid="{D5B864CC-95B3-42E6-A838-403A31E46EA5}"/>
    <cellStyle name="Nuovo 8 4 2 2 2" xfId="27638" xr:uid="{1C5CA88A-18B2-40D8-B483-352EF06094C5}"/>
    <cellStyle name="Nuovo 8 4 2 3" xfId="17895" xr:uid="{9073A59E-F619-4168-81AA-B7C844424274}"/>
    <cellStyle name="Nuovo 8 4 2 3 2" xfId="27639" xr:uid="{5055B333-A4ED-4E9D-B169-F2BDA9F10EFE}"/>
    <cellStyle name="Nuovo 8 4 2 4" xfId="27637" xr:uid="{136B2064-87C4-4D87-B6E2-CC894F3D7E3B}"/>
    <cellStyle name="Nuovo 8 4 2 5" xfId="17508" xr:uid="{292F2B7E-4BDF-4857-BBE1-1B2BACF623A6}"/>
    <cellStyle name="Nuovo 8 4 3" xfId="9381" xr:uid="{29199976-D891-4E09-866E-132FBEBD4A9C}"/>
    <cellStyle name="Nuovo 8 4 3 2" xfId="27640" xr:uid="{994FE372-49FE-49E2-B9CC-CBDF6E6151CA}"/>
    <cellStyle name="Nuovo 8 4 4" xfId="27641" xr:uid="{722C908E-8B10-462C-90F2-7A973E20CCE6}"/>
    <cellStyle name="Nuovo 8 4 4 2" xfId="49058" xr:uid="{B152B089-C567-4A30-9378-F34CACF91CDE}"/>
    <cellStyle name="Nuovo 8 4 5" xfId="27642" xr:uid="{E9563F0D-44AD-4428-B9A1-E279C9A5CBE0}"/>
    <cellStyle name="Nuovo 8 4 6" xfId="27636" xr:uid="{1C5A8550-474A-4D53-B642-B67BFFCFBFD2}"/>
    <cellStyle name="Nuovo 8 5" xfId="2256" xr:uid="{00000000-0005-0000-0000-0000AC070000}"/>
    <cellStyle name="Nuovo 8 5 2" xfId="27644" xr:uid="{D2217FDA-D525-458D-BD8D-94F4309FA879}"/>
    <cellStyle name="Nuovo 8 5 2 2" xfId="49059" xr:uid="{C378EE7A-9A5F-41D2-B722-A19DC29F91C5}"/>
    <cellStyle name="Nuovo 8 5 3" xfId="27645" xr:uid="{E52A0A00-799C-408E-AEB8-9C22580D9279}"/>
    <cellStyle name="Nuovo 8 5 4" xfId="27643" xr:uid="{1E664E34-1713-41B1-B4F2-610CA3AED1CE}"/>
    <cellStyle name="Nuovo 8 6" xfId="4266" xr:uid="{62832EDB-E12B-49BA-A4E4-AC88F202EDC6}"/>
    <cellStyle name="Nuovo 8 6 2" xfId="9810" xr:uid="{ACCD1074-D364-478E-B5D4-E261A48081EB}"/>
    <cellStyle name="Nuovo 8 6 3" xfId="27646" xr:uid="{42116B00-A7B7-432F-8903-93E04BE55620}"/>
    <cellStyle name="Nuovo 8 7" xfId="27621" xr:uid="{7F50FF96-19AE-404F-ABAD-0452F5B67D04}"/>
    <cellStyle name="Nuovo 9" xfId="960" xr:uid="{00000000-0005-0000-0000-0000AD070000}"/>
    <cellStyle name="Nuovo 9 2" xfId="961" xr:uid="{00000000-0005-0000-0000-0000AE070000}"/>
    <cellStyle name="Nuovo 9 2 2" xfId="4267" xr:uid="{0515F40D-5790-4E64-9041-F42946477797}"/>
    <cellStyle name="Nuovo 9 2 2 2" xfId="13562" xr:uid="{877393F3-EB5D-4ED0-9062-8F3E9B797E83}"/>
    <cellStyle name="Nuovo 9 2 2 3" xfId="27649" xr:uid="{8C57D5EB-27E5-4BB3-947C-76C174A4B6D1}"/>
    <cellStyle name="Nuovo 9 2 3" xfId="13298" xr:uid="{974524CD-3A10-4DE6-928B-35A0F98074D3}"/>
    <cellStyle name="Nuovo 9 2 3 2" xfId="27650" xr:uid="{CAFFE88B-C50A-4D2D-A7B2-01C3B4F51ABA}"/>
    <cellStyle name="Nuovo 9 2 4" xfId="27651" xr:uid="{27074224-8027-4A65-9BD6-38ABC342D6EA}"/>
    <cellStyle name="Nuovo 9 2 5" xfId="27648" xr:uid="{4D332229-29E8-4D28-86D9-E306CA9151F3}"/>
    <cellStyle name="Nuovo 9 3" xfId="962" xr:uid="{00000000-0005-0000-0000-0000AF070000}"/>
    <cellStyle name="Nuovo 9 3 2" xfId="963" xr:uid="{00000000-0005-0000-0000-0000B0070000}"/>
    <cellStyle name="Nuovo 9 3 2 2" xfId="2257" xr:uid="{00000000-0005-0000-0000-0000B1070000}"/>
    <cellStyle name="Nuovo 9 3 2 2 2" xfId="27654" xr:uid="{395D2E4F-427D-4104-A782-C7DC614881F4}"/>
    <cellStyle name="Nuovo 9 3 2 3" xfId="8115" xr:uid="{BEB9FBE9-1601-4BB3-81D9-FD59494AD35F}"/>
    <cellStyle name="Nuovo 9 3 2 3 2" xfId="14116" xr:uid="{197CA9DF-5291-49F2-8D67-D7D99A880D2D}"/>
    <cellStyle name="Nuovo 9 3 2 3 3" xfId="27655" xr:uid="{76B6B87D-7630-47FC-AEC3-252296397064}"/>
    <cellStyle name="Nuovo 9 3 2 4" xfId="27653" xr:uid="{DC723FC5-0B1B-48BA-B7C8-7069F4ADDA00}"/>
    <cellStyle name="Nuovo 9 3 3" xfId="4268" xr:uid="{07640148-ECD8-4142-8CC5-28D875F382CD}"/>
    <cellStyle name="Nuovo 9 3 3 2" xfId="9382" xr:uid="{75D230FF-D387-4E14-8373-69A9B5B40844}"/>
    <cellStyle name="Nuovo 9 3 3 2 2" xfId="27657" xr:uid="{1F43C410-E7B7-4131-BBF5-11EB05E31656}"/>
    <cellStyle name="Nuovo 9 3 3 3" xfId="27658" xr:uid="{0D125005-F70E-4CD2-84FC-5E8DCB7568D7}"/>
    <cellStyle name="Nuovo 9 3 3 3 2" xfId="49060" xr:uid="{4E60C56C-15F1-4323-B1B5-A05216C14704}"/>
    <cellStyle name="Nuovo 9 3 3 4" xfId="27656" xr:uid="{DD3564F0-DE2D-41CA-BD45-6E2877229CC9}"/>
    <cellStyle name="Nuovo 9 3 4" xfId="4269" xr:uid="{F7A607BC-E8A0-40E4-9A85-0C1205978F47}"/>
    <cellStyle name="Nuovo 9 3 4 2" xfId="13776" xr:uid="{1800BF06-CA0A-4CC3-9E5B-3AF35E3BACCE}"/>
    <cellStyle name="Nuovo 9 3 4 3" xfId="27659" xr:uid="{E4224A23-E464-478C-83AF-9302450CBE66}"/>
    <cellStyle name="Nuovo 9 3 5" xfId="11704" xr:uid="{6A2DF135-10B9-4C7E-B521-C4F25878417F}"/>
    <cellStyle name="Nuovo 9 3 5 2" xfId="27660" xr:uid="{41F0DE39-051D-4F2D-9592-916EC3D6AEAB}"/>
    <cellStyle name="Nuovo 9 3 6" xfId="27661" xr:uid="{4619559F-4414-4921-B469-FDB2C0BFAE27}"/>
    <cellStyle name="Nuovo 9 3 7" xfId="27652" xr:uid="{13F545F3-3DF7-465A-9A30-64A7470C855F}"/>
    <cellStyle name="Nuovo 9 4" xfId="2258" xr:uid="{00000000-0005-0000-0000-0000B2070000}"/>
    <cellStyle name="Nuovo 9 4 2" xfId="2259" xr:uid="{00000000-0005-0000-0000-0000B3070000}"/>
    <cellStyle name="Nuovo 9 4 2 2" xfId="9383" xr:uid="{CA96A9D5-1AB5-4AD7-8DDF-50344E3BAB25}"/>
    <cellStyle name="Nuovo 9 4 2 2 2" xfId="27664" xr:uid="{70BF94BA-6177-4FC6-A1A1-18E5420F8173}"/>
    <cellStyle name="Nuovo 9 4 2 3" xfId="17896" xr:uid="{9D600810-C463-4833-8A30-C3E2A347FB9C}"/>
    <cellStyle name="Nuovo 9 4 2 3 2" xfId="27665" xr:uid="{88F02450-13C5-443C-886D-0B2E250CE01C}"/>
    <cellStyle name="Nuovo 9 4 2 4" xfId="27663" xr:uid="{C42E2B64-03BD-493C-86A5-CD8DB418E1C7}"/>
    <cellStyle name="Nuovo 9 4 2 5" xfId="17509" xr:uid="{85D6197A-3BA3-4D3A-86CC-B530BEE83963}"/>
    <cellStyle name="Nuovo 9 4 3" xfId="9384" xr:uid="{17FC93E2-4433-4334-9790-C955BCC810C8}"/>
    <cellStyle name="Nuovo 9 4 3 2" xfId="27666" xr:uid="{3D53BE0F-D5FF-42CA-8278-94B9156A03CC}"/>
    <cellStyle name="Nuovo 9 4 4" xfId="27667" xr:uid="{BE903DDF-62F1-4DD7-A054-63B493DE1DEE}"/>
    <cellStyle name="Nuovo 9 4 4 2" xfId="49061" xr:uid="{33B61CA9-8F6B-4A2B-A4F4-4803E98CDCF9}"/>
    <cellStyle name="Nuovo 9 4 5" xfId="27668" xr:uid="{BF49F749-5D1E-4DA6-86EB-328CF26A5022}"/>
    <cellStyle name="Nuovo 9 4 6" xfId="27662" xr:uid="{AD935007-C134-4FD9-8755-3434C6CE5DC3}"/>
    <cellStyle name="Nuovo 9 5" xfId="2260" xr:uid="{00000000-0005-0000-0000-0000B4070000}"/>
    <cellStyle name="Nuovo 9 5 2" xfId="27670" xr:uid="{91BF9980-D6B4-47D5-A321-75D480AC808E}"/>
    <cellStyle name="Nuovo 9 5 2 2" xfId="49062" xr:uid="{81376A95-7C74-4FE2-8640-40CF9C5CEEA9}"/>
    <cellStyle name="Nuovo 9 5 3" xfId="27671" xr:uid="{A830C85D-512E-421A-BF11-9F4774ADA09D}"/>
    <cellStyle name="Nuovo 9 5 4" xfId="27669" xr:uid="{920107EA-0EE6-49E4-9401-3140AEC71AC1}"/>
    <cellStyle name="Nuovo 9 6" xfId="4270" xr:uid="{B2F955AB-3A64-4B07-8A37-6CF034E9843C}"/>
    <cellStyle name="Nuovo 9 6 2" xfId="9811" xr:uid="{EEE5CDE6-A5DE-429F-825B-B4F354BFDCCE}"/>
    <cellStyle name="Nuovo 9 6 3" xfId="27672" xr:uid="{092F3D07-5B78-4191-8DF9-662064F7D1F6}"/>
    <cellStyle name="Nuovo 9 7" xfId="27647" xr:uid="{F7A94C74-9947-4B9F-A905-B91477150F94}"/>
    <cellStyle name="Output 2" xfId="964" xr:uid="{00000000-0005-0000-0000-0000B5070000}"/>
    <cellStyle name="Output 2 10" xfId="27673" xr:uid="{B4A5316C-B8EB-4555-8164-0C571BD9D3CC}"/>
    <cellStyle name="Output 2 2" xfId="965" xr:uid="{00000000-0005-0000-0000-0000B6070000}"/>
    <cellStyle name="Output 2 2 2" xfId="2261" xr:uid="{00000000-0005-0000-0000-0000B7070000}"/>
    <cellStyle name="Output 2 2 2 2" xfId="17897" xr:uid="{8B739055-1A53-4099-8163-05127313A930}"/>
    <cellStyle name="Output 2 2 2 3" xfId="27675" xr:uid="{1C1699B2-9D86-42F6-A0C3-508BB537B879}"/>
    <cellStyle name="Output 2 2 3" xfId="17448" xr:uid="{F2069EA7-C603-4499-9D6E-1109C7C7D57A}"/>
    <cellStyle name="Output 2 2 3 2" xfId="27676" xr:uid="{B572F549-F7FC-4988-AD68-D73C030A31B1}"/>
    <cellStyle name="Output 2 2 4" xfId="30246" xr:uid="{00004B08-8F46-4781-B56E-A00A19C09688}"/>
    <cellStyle name="Output 2 2 5" xfId="30247" xr:uid="{712ED15F-3A5F-452D-9181-6E50544F9D6F}"/>
    <cellStyle name="Output 2 2 6" xfId="27674" xr:uid="{D891F4B0-4A13-4E33-AB39-8F16EA9BC7B2}"/>
    <cellStyle name="Output 2 3" xfId="2262" xr:uid="{00000000-0005-0000-0000-0000B8070000}"/>
    <cellStyle name="Output 2 3 2" xfId="17531" xr:uid="{A9AE6497-74AC-4E1A-8C21-EEA68DFEBFFB}"/>
    <cellStyle name="Output 2 3 2 2" xfId="32643" xr:uid="{3B36A3DA-CB4F-4BEE-8112-3308E681B105}"/>
    <cellStyle name="Output 2 3 2 3" xfId="27678" xr:uid="{F03567FE-8D0B-4661-B01E-DEBC713D44BB}"/>
    <cellStyle name="Output 2 3 3" xfId="27679" xr:uid="{A83EA6B0-1456-4F8F-A1CA-DA1B65019619}"/>
    <cellStyle name="Output 2 3 4" xfId="27677" xr:uid="{44825A9C-29C0-4E9C-A166-DB148AE716BC}"/>
    <cellStyle name="Output 2 4" xfId="9385" xr:uid="{93EC471C-D1E6-45C1-A877-D91F4D1625DE}"/>
    <cellStyle name="Output 2 4 2" xfId="27681" xr:uid="{936208DD-2CA2-446B-8EC7-CB8D83440463}"/>
    <cellStyle name="Output 2 4 2 2" xfId="32644" xr:uid="{EE697442-DD93-4789-8A44-B23C1F27BA45}"/>
    <cellStyle name="Output 2 4 3" xfId="27680" xr:uid="{73ED2361-509E-4732-95BF-700A253FB0BF}"/>
    <cellStyle name="Output 2 5" xfId="9386" xr:uid="{3C4B26D0-7F87-45FB-9284-8EC2608F8305}"/>
    <cellStyle name="Output 2 5 2" xfId="27683" xr:uid="{0096DA27-A6E2-4DE9-9E70-3E0EF5149ACA}"/>
    <cellStyle name="Output 2 5 2 2" xfId="32645" xr:uid="{5C6452EB-846E-4130-A77E-2BF50B4173AA}"/>
    <cellStyle name="Output 2 5 3" xfId="27682" xr:uid="{EE5AE400-8C26-492F-9AAC-B09E1F95D8D1}"/>
    <cellStyle name="Output 2 6" xfId="9387" xr:uid="{353B0602-91F9-487E-8DC5-00CBBF45D2B2}"/>
    <cellStyle name="Output 2 6 2" xfId="27685" xr:uid="{76043F6D-7772-40D2-A908-6015FECD941D}"/>
    <cellStyle name="Output 2 6 2 2" xfId="32646" xr:uid="{1F8E50A2-F75F-4D76-801B-7F0D0BE8A497}"/>
    <cellStyle name="Output 2 6 3" xfId="27684" xr:uid="{6B616EA1-5B64-4372-BD0B-07E044C8E332}"/>
    <cellStyle name="Output 2 7" xfId="27686" xr:uid="{EFF44250-009D-488E-871E-33F09165868A}"/>
    <cellStyle name="Output 2 7 2" xfId="27687" xr:uid="{A4F0A6B5-6968-4C95-B51C-6A1979144748}"/>
    <cellStyle name="Output 2 7 2 2" xfId="32647" xr:uid="{45E3FF1E-3389-4FEE-A9B2-5AD3F27BCE59}"/>
    <cellStyle name="Output 2 8" xfId="27688" xr:uid="{6D0E2724-BED5-49D0-90CA-72D597374122}"/>
    <cellStyle name="Output 2 8 2" xfId="32648" xr:uid="{15EFAEC3-15CE-42CF-85DE-E3A092D98E9E}"/>
    <cellStyle name="Output 2 9" xfId="32649" xr:uid="{A17C5775-8FBA-424E-BEF1-925FCC4C2C80}"/>
    <cellStyle name="Output 3" xfId="966" xr:uid="{00000000-0005-0000-0000-0000B9070000}"/>
    <cellStyle name="Output 3 2" xfId="2263" xr:uid="{00000000-0005-0000-0000-0000BA070000}"/>
    <cellStyle name="Output 3 2 2" xfId="4271" xr:uid="{842EFEF2-FB51-42F1-A44C-0AB70BAEADAB}"/>
    <cellStyle name="Output 3 2 2 2" xfId="32650" xr:uid="{C7BF2AC1-11E5-43D2-B1CB-0EC8AFD0C80D}"/>
    <cellStyle name="Output 3 2 2 3" xfId="27691" xr:uid="{BF331789-F34F-4BA1-80CC-3445F1B039C9}"/>
    <cellStyle name="Output 3 2 3" xfId="11084" xr:uid="{F00034A8-0E78-4058-8416-7AF9904162AE}"/>
    <cellStyle name="Output 3 2 3 2" xfId="27692" xr:uid="{778A2C24-1F45-4DF9-BF49-D629A5B494CB}"/>
    <cellStyle name="Output 3 2 4" xfId="27690" xr:uid="{3AF647A0-D093-4CE2-91FD-2732EED7BC7E}"/>
    <cellStyle name="Output 3 3" xfId="8116" xr:uid="{57F1F0CC-4A2D-41D5-8A21-37614D720B26}"/>
    <cellStyle name="Output 3 3 2" xfId="12218" xr:uid="{233153E0-5F2B-4C2B-9E02-B360191477C3}"/>
    <cellStyle name="Output 3 3 2 2" xfId="32651" xr:uid="{AF1AD509-A920-4534-B544-E8628DC50651}"/>
    <cellStyle name="Output 3 3 2 3" xfId="27694" xr:uid="{8050CA66-FEE7-4A38-90E6-0F77201CB0F4}"/>
    <cellStyle name="Output 3 3 3" xfId="12158" xr:uid="{4682F8A9-DEDA-4D2F-8866-694B70FC2959}"/>
    <cellStyle name="Output 3 3 4" xfId="27693" xr:uid="{551981C8-C85F-4F35-B5B4-D0BD992ECB0E}"/>
    <cellStyle name="Output 3 4" xfId="9388" xr:uid="{5393C435-8BFF-495A-B226-0FB8B7AF15BC}"/>
    <cellStyle name="Output 3 4 2" xfId="12446" xr:uid="{11F25D11-02CE-4D4E-8597-1CCFA75CB2CC}"/>
    <cellStyle name="Output 3 4 2 2" xfId="32652" xr:uid="{92F23124-C8A3-4BDB-AEAE-2D158B29937D}"/>
    <cellStyle name="Output 3 4 2 3" xfId="27696" xr:uid="{BE578DF5-6962-4705-BCE4-EF539D01E175}"/>
    <cellStyle name="Output 3 4 3" xfId="11509" xr:uid="{2A2C9D5F-37FB-44B3-B3A9-FB1A54004C1F}"/>
    <cellStyle name="Output 3 4 4" xfId="27695" xr:uid="{89CA48BB-CF99-4724-9534-BE4E71A2ADB8}"/>
    <cellStyle name="Output 3 5" xfId="9389" xr:uid="{615CD562-E0B7-435C-A0F4-14EF804D9A73}"/>
    <cellStyle name="Output 3 5 2" xfId="27698" xr:uid="{B0B0C377-48F1-4EF7-95DB-F269B7997BDB}"/>
    <cellStyle name="Output 3 5 2 2" xfId="32653" xr:uid="{A0D8290C-5F85-486C-B5FA-722B77F933F0}"/>
    <cellStyle name="Output 3 5 3" xfId="27697" xr:uid="{67EA8871-BE16-40BC-BADA-CCBECAA52F73}"/>
    <cellStyle name="Output 3 6" xfId="27699" xr:uid="{C0658130-C138-46C0-B3A0-75EED3963CFC}"/>
    <cellStyle name="Output 3 7" xfId="27700" xr:uid="{478E3B01-99B7-4494-95F6-880D80792769}"/>
    <cellStyle name="Output 3 7 2" xfId="32654" xr:uid="{758893E5-9FBF-48FF-B07A-3C16215768E4}"/>
    <cellStyle name="Output 3 8" xfId="27701" xr:uid="{8EA39E7F-772C-447F-9623-56DA02912085}"/>
    <cellStyle name="Output 3 9" xfId="27689" xr:uid="{DD9CC1DF-EDE7-443E-848E-D2E3760C5F28}"/>
    <cellStyle name="Output 4" xfId="9390" xr:uid="{5098947B-98F9-44DE-8C48-C5F55E8B1A97}"/>
    <cellStyle name="Output 4 2" xfId="18732" xr:uid="{5E17EEC6-B30C-444C-B2E5-88AE9BC758FC}"/>
    <cellStyle name="Output 4 2 2" xfId="32655" xr:uid="{C29B8731-CF5F-49CC-9763-634C50409C1D}"/>
    <cellStyle name="Output 4 2 3" xfId="27703" xr:uid="{01EA4F8F-98BF-4CA3-B485-08C22321CE73}"/>
    <cellStyle name="Output 4 3" xfId="27702" xr:uid="{E8EE22FA-1AAD-4E64-B35E-7B3A097899E0}"/>
    <cellStyle name="Output 5" xfId="27704" xr:uid="{CA9A6EF3-7B7A-48A9-B683-28211D03A5EE}"/>
    <cellStyle name="Output 5 2" xfId="49063" xr:uid="{E3E55C92-4A18-441C-824A-A68587FDBD99}"/>
    <cellStyle name="Overskrift 1 2" xfId="9391" xr:uid="{C4BBF00A-D411-42DF-BECD-E1327E44B242}"/>
    <cellStyle name="Overskrift 1 2 2" xfId="27706" xr:uid="{19B7844E-082F-4954-AA14-6AA0AE3659D2}"/>
    <cellStyle name="Overskrift 1 2 3" xfId="27705" xr:uid="{EB54D256-CA3A-417D-9669-F4F46E0A4335}"/>
    <cellStyle name="Overskrift 2 2" xfId="9392" xr:uid="{7DA990DA-6C0E-47E3-A237-BC989F0E6A4C}"/>
    <cellStyle name="Overskrift 2 2 2" xfId="27708" xr:uid="{1736D9B5-9E89-49D6-A34A-E48FEBDA5512}"/>
    <cellStyle name="Overskrift 2 2 3" xfId="27707" xr:uid="{77FCEB6C-1824-4FFF-97FF-85E4E29F8423}"/>
    <cellStyle name="Overskrift 3 2" xfId="9393" xr:uid="{BCE90DA4-E206-49B4-A21D-A16109281610}"/>
    <cellStyle name="Overskrift 3 2 2" xfId="27710" xr:uid="{42B8B2B4-B36F-47D0-BE4A-4615D3C64FD9}"/>
    <cellStyle name="Overskrift 3 2 3" xfId="27709" xr:uid="{E5882801-6A35-4D01-B2F0-FB355B97EF2F}"/>
    <cellStyle name="Overskrift 4 2" xfId="9394" xr:uid="{6FA85FD2-9FBF-4EA7-ACA8-08920D1C3D4C}"/>
    <cellStyle name="Overskrift 4 2 2" xfId="27712" xr:uid="{64F5D576-0B92-4D6A-9D23-FFE5721ADADA}"/>
    <cellStyle name="Overskrift 4 2 3" xfId="27711" xr:uid="{AD1BAD4F-5A14-4FBA-88FC-ED6FE60CC825}"/>
    <cellStyle name="Percen - Type1" xfId="967" xr:uid="{00000000-0005-0000-0000-0000BB070000}"/>
    <cellStyle name="Percen - Type1 2" xfId="27714" xr:uid="{6D25CB2B-FCC8-411E-833A-AAE1828CE1DE}"/>
    <cellStyle name="Percen - Type1 2 2" xfId="49064" xr:uid="{AB1B82B0-3C6C-4DA4-BFD6-86CC55482383}"/>
    <cellStyle name="Percen - Type1 3" xfId="27713" xr:uid="{470742B4-FE34-4A85-89AE-CDEEB7B912BE}"/>
    <cellStyle name="Percen - Typografi2" xfId="32539" xr:uid="{F9551D31-5599-4D32-B332-931A3D7D29CB}"/>
    <cellStyle name="Percent" xfId="968" builtinId="5"/>
    <cellStyle name="Percent 2" xfId="969" xr:uid="{00000000-0005-0000-0000-0000BD070000}"/>
    <cellStyle name="Percent 2 2" xfId="970" xr:uid="{00000000-0005-0000-0000-0000BE070000}"/>
    <cellStyle name="Percent 2 2 2" xfId="2264" xr:uid="{00000000-0005-0000-0000-0000BF070000}"/>
    <cellStyle name="Percent 2 2 2 2" xfId="27718" xr:uid="{1603782C-3A2A-4BDC-9247-822380EE49F3}"/>
    <cellStyle name="Percent 2 2 2 3" xfId="27717" xr:uid="{47F91B45-7E3E-497F-8101-7D5EC2AFD255}"/>
    <cellStyle name="Percent 2 2 3" xfId="2265" xr:uid="{00000000-0005-0000-0000-0000C0070000}"/>
    <cellStyle name="Percent 2 2 3 2" xfId="2266" xr:uid="{00000000-0005-0000-0000-0000C1070000}"/>
    <cellStyle name="Percent 2 2 3 2 2" xfId="27720" xr:uid="{1D0AF836-6350-45E7-9504-2F6CCA957E6B}"/>
    <cellStyle name="Percent 2 2 3 2 3" xfId="17899" xr:uid="{AB8F17CA-6C93-4042-9B25-84BF339D0A48}"/>
    <cellStyle name="Percent 2 2 3 3" xfId="27721" xr:uid="{363B71D2-693F-4EB6-AFF0-C6C623B18C63}"/>
    <cellStyle name="Percent 2 2 3 4" xfId="27719" xr:uid="{F65E0A3F-242C-479C-8D53-907A457F5961}"/>
    <cellStyle name="Percent 2 2 3 5" xfId="17898" xr:uid="{ED85BF77-1EF0-48E3-93C6-C1E5F957B7CF}"/>
    <cellStyle name="Percent 2 2 4" xfId="2267" xr:uid="{00000000-0005-0000-0000-0000C2070000}"/>
    <cellStyle name="Percent 2 2 4 2" xfId="27723" xr:uid="{7BCD6E89-0CDB-4738-801B-3C3D5596A8B6}"/>
    <cellStyle name="Percent 2 2 4 3" xfId="27722" xr:uid="{9D7A693B-BCE6-4D88-81DE-A2E9618C4422}"/>
    <cellStyle name="Percent 2 2 4 4" xfId="49065" xr:uid="{6F08C67A-66B3-4ED9-83D8-EA32DF848898}"/>
    <cellStyle name="Percent 2 2 4 5" xfId="17900" xr:uid="{C3911246-535A-431A-B406-CFC1A49C56F7}"/>
    <cellStyle name="Percent 2 2 5" xfId="27724" xr:uid="{B2500E94-12C0-4716-B4DF-D8265B8B6E57}"/>
    <cellStyle name="Percent 2 2 6" xfId="27716" xr:uid="{FE653C7B-A903-4CB0-B6BC-12E6BF311AD4}"/>
    <cellStyle name="Percent 2 3" xfId="2268" xr:uid="{00000000-0005-0000-0000-0000C3070000}"/>
    <cellStyle name="Percent 2 3 2" xfId="2269" xr:uid="{00000000-0005-0000-0000-0000C4070000}"/>
    <cellStyle name="Percent 2 3 2 2" xfId="27726" xr:uid="{34CAABEF-675B-45AA-8191-9E1BFDA2B092}"/>
    <cellStyle name="Percent 2 3 2 3" xfId="17902" xr:uid="{42FB0373-5061-4501-9F48-EE764AE13328}"/>
    <cellStyle name="Percent 2 3 3" xfId="13300" xr:uid="{65B07532-9395-4F7D-945E-6591EE0A9D31}"/>
    <cellStyle name="Percent 2 3 3 2" xfId="27727" xr:uid="{4D818168-A6F0-4CE5-BD15-0EE73731EB77}"/>
    <cellStyle name="Percent 2 3 4" xfId="27725" xr:uid="{B630BECD-28D0-4674-B5E5-71DA6C04E1D9}"/>
    <cellStyle name="Percent 2 3 5" xfId="17901" xr:uid="{F3A6FA86-62F0-4C11-8942-5381ED1EF21C}"/>
    <cellStyle name="Percent 2 4" xfId="30248" xr:uid="{046C8E6F-2BB8-4BBD-BBA6-DA88F1C783C1}"/>
    <cellStyle name="Percent 2 5" xfId="27715" xr:uid="{95AFFCEA-9892-4812-B259-CBD52E258C41}"/>
    <cellStyle name="Percent 3" xfId="971" xr:uid="{00000000-0005-0000-0000-0000C5070000}"/>
    <cellStyle name="Percent 3 2" xfId="972" xr:uid="{00000000-0005-0000-0000-0000C6070000}"/>
    <cellStyle name="Percent 3 2 2" xfId="11511" xr:uid="{4E9B57C0-16BA-4FA7-8132-95426D7FD093}"/>
    <cellStyle name="Percent 3 2 2 2" xfId="27730" xr:uid="{B1948FE0-5276-4EFD-9171-6EE1BEC3BFB4}"/>
    <cellStyle name="Percent 3 2 3" xfId="12159" xr:uid="{539880DB-BE06-44B8-801E-695F28F0A134}"/>
    <cellStyle name="Percent 3 2 3 2" xfId="27731" xr:uid="{2565C4BC-F51D-430A-96D1-F261F3966EEB}"/>
    <cellStyle name="Percent 3 2 4" xfId="11164" xr:uid="{883B2242-0597-4AA0-B142-754870636910}"/>
    <cellStyle name="Percent 3 2 5" xfId="27729" xr:uid="{4CED21B9-5A5B-4AB2-9077-CC6E61F9C534}"/>
    <cellStyle name="Percent 3 3" xfId="973" xr:uid="{00000000-0005-0000-0000-0000C7070000}"/>
    <cellStyle name="Percent 3 3 2" xfId="2270" xr:uid="{00000000-0005-0000-0000-0000C8070000}"/>
    <cellStyle name="Percent 3 3 2 2" xfId="2271" xr:uid="{00000000-0005-0000-0000-0000C9070000}"/>
    <cellStyle name="Percent 3 3 2 2 2" xfId="27734" xr:uid="{ADE7378E-B594-42F2-AE54-0C8DDD18A289}"/>
    <cellStyle name="Percent 3 3 2 3" xfId="11085" xr:uid="{31D7D7C9-D507-46AC-86D3-A6147F4F5889}"/>
    <cellStyle name="Percent 3 3 2 3 2" xfId="27735" xr:uid="{C314EF37-7FF5-437B-8508-C51C9CB3F7DC}"/>
    <cellStyle name="Percent 3 3 2 4" xfId="27733" xr:uid="{696D3D40-ECA0-4575-AF90-9533A8D773A5}"/>
    <cellStyle name="Percent 3 3 3" xfId="4272" xr:uid="{D1A584F2-1BB1-4950-830C-9E5C2F5A2B90}"/>
    <cellStyle name="Percent 3 3 3 2" xfId="9395" xr:uid="{D3F580B4-CDD2-49DA-98E2-FA0A441E70CA}"/>
    <cellStyle name="Percent 3 3 3 2 2" xfId="27737" xr:uid="{A6D1DCB7-DB36-4C46-960D-3D02D8E2FFF3}"/>
    <cellStyle name="Percent 3 3 3 3" xfId="27738" xr:uid="{D86D92BF-7EAA-42F4-8FC5-12303AB5B6A6}"/>
    <cellStyle name="Percent 3 3 3 3 2" xfId="49066" xr:uid="{6AE06097-0F67-45AA-B5AA-45D17C0253D9}"/>
    <cellStyle name="Percent 3 3 3 4" xfId="27736" xr:uid="{1FF697A4-4959-44DC-A598-52B8B7FFB1C2}"/>
    <cellStyle name="Percent 3 3 4" xfId="4273" xr:uid="{768DAE1E-6339-4415-87C6-0250EB247B4A}"/>
    <cellStyle name="Percent 3 3 4 2" xfId="13777" xr:uid="{505F4A30-5098-487D-A1EA-8B7255EB0CE6}"/>
    <cellStyle name="Percent 3 3 4 3" xfId="27739" xr:uid="{B051AFB5-A97E-459B-B47B-19E6FB374641}"/>
    <cellStyle name="Percent 3 3 5" xfId="12427" xr:uid="{D13256ED-B215-48E0-BA2C-483C88C2087D}"/>
    <cellStyle name="Percent 3 3 5 2" xfId="27740" xr:uid="{A31D0947-E8BA-4296-A642-A20CCFDA3981}"/>
    <cellStyle name="Percent 3 3 6" xfId="27741" xr:uid="{8EE74358-F664-42BF-9E39-0C38A25B589E}"/>
    <cellStyle name="Percent 3 3 7" xfId="27732" xr:uid="{058D2107-610E-40C7-8F33-DE1F4C1C0313}"/>
    <cellStyle name="Percent 3 4" xfId="2272" xr:uid="{00000000-0005-0000-0000-0000CA070000}"/>
    <cellStyle name="Percent 3 4 2" xfId="2273" xr:uid="{00000000-0005-0000-0000-0000CB070000}"/>
    <cellStyle name="Percent 3 4 2 2" xfId="27743" xr:uid="{A57A18F9-E482-4DFD-B31E-AECB54A39F57}"/>
    <cellStyle name="Percent 3 4 3" xfId="11086" xr:uid="{982F4ADC-D14D-4340-B517-3AF191C029E2}"/>
    <cellStyle name="Percent 3 4 3 2" xfId="27744" xr:uid="{9D023BB5-3EB5-4FCF-A1C4-CCE682CCE2C0}"/>
    <cellStyle name="Percent 3 4 4" xfId="27742" xr:uid="{F5A84958-C06B-4E4F-91CE-A56A7D8C0D32}"/>
    <cellStyle name="Percent 3 5" xfId="9396" xr:uid="{DA934755-0C2A-491D-B492-24B3653942A7}"/>
    <cellStyle name="Percent 3 5 2" xfId="9397" xr:uid="{CE8EDD5D-396F-4C4F-AD6B-16E9C9B0B4D2}"/>
    <cellStyle name="Percent 3 5 2 2" xfId="27746" xr:uid="{D9850FB3-C168-4FAA-B746-99BFE0B9A60E}"/>
    <cellStyle name="Percent 3 5 3" xfId="27745" xr:uid="{5C93AD72-B6E4-4530-9123-2BD16BB263FE}"/>
    <cellStyle name="Percent 3 6" xfId="11510" xr:uid="{1CDA535E-C17E-42AB-BE54-E5D9B9A1019E}"/>
    <cellStyle name="Percent 3 6 2" xfId="27747" xr:uid="{2C500EF3-5FC4-4E1F-8D91-709A64B7E931}"/>
    <cellStyle name="Percent 3 7" xfId="27748" xr:uid="{26C928AB-A142-48C7-82AC-244CD1463365}"/>
    <cellStyle name="Percent 3 8" xfId="27728" xr:uid="{E8E9277F-4DB3-4FA3-808E-2FF0AC4CFD11}"/>
    <cellStyle name="Percent 4" xfId="2274" xr:uid="{00000000-0005-0000-0000-0000CC070000}"/>
    <cellStyle name="Percent 4 2" xfId="9398" xr:uid="{AC448A16-85D5-4B00-B34A-6DE7680CCDC9}"/>
    <cellStyle name="Percent 4 2 2" xfId="9399" xr:uid="{8764FDF8-B970-4560-B4E6-2E6BDC3853F1}"/>
    <cellStyle name="Percent 4 2 2 2" xfId="27751" xr:uid="{0286771D-AB30-4E55-B69A-628C885A5716}"/>
    <cellStyle name="Percent 4 2 3" xfId="27750" xr:uid="{A72CE676-4BE1-4653-BE25-C108E98EC376}"/>
    <cellStyle name="Percent 4 3" xfId="9400" xr:uid="{051E3665-9480-43D9-8A64-289BB58FAE1E}"/>
    <cellStyle name="Percent 4 3 2" xfId="27752" xr:uid="{A4AB53DD-6078-4ADC-9983-CA5C8563BA31}"/>
    <cellStyle name="Percent 4 4" xfId="27753" xr:uid="{8EE0306C-542C-4DE5-9990-570A90999077}"/>
    <cellStyle name="Percent 4 4 2" xfId="49067" xr:uid="{92F09C57-2BD4-46F7-B8D4-CE76FA663F51}"/>
    <cellStyle name="Percent 4 5" xfId="27754" xr:uid="{ADCA7C95-D29F-4606-8389-B16FFF61026D}"/>
    <cellStyle name="Percent 4 6" xfId="27749" xr:uid="{7FF4F6BD-6A2D-499A-AB45-EE5FE64E02E7}"/>
    <cellStyle name="Percent 5" xfId="2275" xr:uid="{00000000-0005-0000-0000-0000CD070000}"/>
    <cellStyle name="Percent 5 2" xfId="27756" xr:uid="{7D72901B-5DF5-4584-9C67-D8066E95518E}"/>
    <cellStyle name="Percent 5 3" xfId="27757" xr:uid="{2454F303-D07A-4223-82BA-6133B189707C}"/>
    <cellStyle name="Percent 5 3 2" xfId="49068" xr:uid="{C61693DD-5BBE-49AB-97E4-E56B94C8557A}"/>
    <cellStyle name="Percent 5 4" xfId="27758" xr:uid="{E4B903F6-2811-434D-B410-08EEEAED0DD6}"/>
    <cellStyle name="Percent 5 5" xfId="27755" xr:uid="{1B308EFA-64B1-4C40-A6C4-44B40FC67E77}"/>
    <cellStyle name="Percent 6" xfId="8117" xr:uid="{C8511529-987B-4BFF-BC10-6510C43BA0D9}"/>
    <cellStyle name="Percent 6 2" xfId="9880" xr:uid="{B37F5C39-5884-452B-A311-1E1899001022}"/>
    <cellStyle name="Percent 6 2 2" xfId="10306" xr:uid="{20321F0F-7AD6-4D34-8F27-D332033E9246}"/>
    <cellStyle name="Percent 6 2 2 2" xfId="12759" xr:uid="{BF31CA1E-55B4-4DBF-886C-247BAFFC7CA9}"/>
    <cellStyle name="Percent 6 2 2 2 2" xfId="47618" xr:uid="{7D2B9A00-1C8A-4B07-A863-CDB044CF4D5B}"/>
    <cellStyle name="Percent 6 2 2 3" xfId="18889" xr:uid="{98C29231-2ED8-4C95-8D14-CAA36A1ED621}"/>
    <cellStyle name="Percent 6 2 3" xfId="12458" xr:uid="{AEB4ED12-B7C4-4FEF-8BC7-94CF52B52238}"/>
    <cellStyle name="Percent 6 2 3 2" xfId="24754" xr:uid="{C7C9A1DE-20A4-40B0-90A1-41A4E84B6082}"/>
    <cellStyle name="Percent 6 2 3 3" xfId="27760" xr:uid="{E9BEC8EE-23B7-4DE6-9396-90D88F7BDD7A}"/>
    <cellStyle name="Percent 6 2 4" xfId="49069" xr:uid="{D5D0D132-E203-4EAA-856A-5DD66E7EC11C}"/>
    <cellStyle name="Percent 6 2 5" xfId="18740" xr:uid="{4B7F6932-A8E8-4531-BFD6-A47D887713E7}"/>
    <cellStyle name="Percent 6 3" xfId="10073" xr:uid="{5DB07C07-C9E6-4DB7-8F66-FD0D93CFCCE1}"/>
    <cellStyle name="Percent 6 3 2" xfId="10385" xr:uid="{847BC0C2-7BDB-4308-99B4-215E89D47194}"/>
    <cellStyle name="Percent 6 3 2 2" xfId="12838" xr:uid="{9E7B7015-5FEC-499E-A56A-9CB816660DF9}"/>
    <cellStyle name="Percent 6 3 2 2 2" xfId="32534" xr:uid="{2BA08635-588B-468A-833F-704DF1981205}"/>
    <cellStyle name="Percent 6 3 2 3" xfId="18930" xr:uid="{F21C418C-760F-4DF2-8CC9-5B3848B0E3E1}"/>
    <cellStyle name="Percent 6 3 3" xfId="12530" xr:uid="{8EAC079D-82F3-4A67-8B96-69B32112514B}"/>
    <cellStyle name="Percent 6 3 3 2" xfId="25085" xr:uid="{DA8130F5-F759-4799-B4CD-F0E99586F0AA}"/>
    <cellStyle name="Percent 6 3 4" xfId="18774" xr:uid="{70809FAF-CDE9-4133-B723-7A973A357202}"/>
    <cellStyle name="Percent 6 4" xfId="10151" xr:uid="{E6208570-B0C8-4687-8EBD-1E44C56C5152}"/>
    <cellStyle name="Percent 6 4 2" xfId="10465" xr:uid="{C4EA1FDD-F7AC-44CD-9DE1-6338AAA0B23F}"/>
    <cellStyle name="Percent 6 4 2 2" xfId="12918" xr:uid="{FADD32D9-8E87-4A5E-91A0-2AF3F5092F97}"/>
    <cellStyle name="Percent 6 4 2 2 2" xfId="47475" xr:uid="{C560D79F-FC40-4411-B15B-048F76C22759}"/>
    <cellStyle name="Percent 6 4 2 3" xfId="18972" xr:uid="{8FE19DE2-DB20-4812-B4AD-16DD9421C3D1}"/>
    <cellStyle name="Percent 6 4 3" xfId="12605" xr:uid="{6D74C599-BBA3-4836-A294-2A5A7E1CADB6}"/>
    <cellStyle name="Percent 6 4 3 2" xfId="48395" xr:uid="{9621765A-1CA3-4087-82F6-7B4BB3F25F1E}"/>
    <cellStyle name="Percent 6 4 4" xfId="18811" xr:uid="{6B020573-BAE7-414E-BDBA-7FADD98A7BAD}"/>
    <cellStyle name="Percent 6 5" xfId="10231" xr:uid="{A0316D6C-EF89-43FE-8110-D49011F8B244}"/>
    <cellStyle name="Percent 6 5 2" xfId="12684" xr:uid="{E78F6429-25DC-47E1-92C1-ADA04D1B6C88}"/>
    <cellStyle name="Percent 6 5 2 2" xfId="48532" xr:uid="{AD1DFC25-B815-4D9C-A76F-2910A9353336}"/>
    <cellStyle name="Percent 6 5 3" xfId="18852" xr:uid="{3CCC7CCB-CC94-4A77-B789-E6909A279C23}"/>
    <cellStyle name="Percent 6 6" xfId="10545" xr:uid="{B324368E-AEF1-4447-AB80-7DC6B6A388E1}"/>
    <cellStyle name="Percent 6 6 2" xfId="12998" xr:uid="{25760ADC-135B-4C85-BB25-537812358825}"/>
    <cellStyle name="Percent 6 6 2 2" xfId="25034" xr:uid="{5D66B2DB-776C-4F46-B03C-2CA44DFBCA25}"/>
    <cellStyle name="Percent 6 6 3" xfId="19014" xr:uid="{6C0649D8-4467-48D2-BD3D-AFB820CE2C46}"/>
    <cellStyle name="Percent 6 7" xfId="12160" xr:uid="{FA0222FA-67A3-4FD1-9C8B-C861F019A9CC}"/>
    <cellStyle name="Percent 6 7 2" xfId="24488" xr:uid="{50FDB580-64B8-4266-8906-4BC4818F2137}"/>
    <cellStyle name="Percent 6 7 3" xfId="27759" xr:uid="{DDB723CB-82C3-4949-A289-22008D35DDDF}"/>
    <cellStyle name="Percent 6 8" xfId="16991" xr:uid="{EFC59F28-4B92-4B62-BE59-F88FBEA9E43F}"/>
    <cellStyle name="Percent 7" xfId="6975" xr:uid="{6E87AF34-1957-459C-884F-8CA50C9A08F1}"/>
    <cellStyle name="Percent 7 2" xfId="27762" xr:uid="{594FDE7B-9537-43D8-B2E5-04AB0EC9D1C3}"/>
    <cellStyle name="Percent 7 2 2" xfId="49070" xr:uid="{567F5ED4-063E-43C9-9391-B0023118E512}"/>
    <cellStyle name="Percent 7 3" xfId="27761" xr:uid="{6863A40A-B750-4A11-92D2-AA52646CE72A}"/>
    <cellStyle name="Percent 7 4" xfId="47706" xr:uid="{BBCB8D8A-AA0E-4352-8A32-F1178074CC8C}"/>
    <cellStyle name="Percent 7 5" xfId="16992" xr:uid="{83157398-91C7-4628-8A39-C0FB60C838EC}"/>
    <cellStyle name="Percent 7 6" xfId="10613" xr:uid="{A0603173-128F-454B-A33A-82A81955209E}"/>
    <cellStyle name="Percent 8" xfId="30230" xr:uid="{FB5291AC-6B2E-475F-A1FF-AFCE66F8721A}"/>
    <cellStyle name="Percent 9" xfId="55820" xr:uid="{36A7D34F-281D-4F5E-8C96-C4B4766581E8}"/>
    <cellStyle name="Percentuale 10" xfId="974" xr:uid="{00000000-0005-0000-0000-0000CE070000}"/>
    <cellStyle name="Percentuale 10 2" xfId="975" xr:uid="{00000000-0005-0000-0000-0000CF070000}"/>
    <cellStyle name="Percentuale 10 2 2" xfId="4274" xr:uid="{39BCB8B2-FCB9-4C82-9A5D-BE1D03B8E592}"/>
    <cellStyle name="Percentuale 10 2 2 2" xfId="13563" xr:uid="{30C8BCBD-A8B1-4179-B95A-1D56504746F4}"/>
    <cellStyle name="Percentuale 10 2 2 3" xfId="27765" xr:uid="{D426330B-20C3-48F1-BDB3-EC44CAF43DB8}"/>
    <cellStyle name="Percentuale 10 2 3" xfId="13301" xr:uid="{494E0E9A-C0E7-48E6-94D7-616CC49FC8E0}"/>
    <cellStyle name="Percentuale 10 2 3 2" xfId="27766" xr:uid="{2ECE37D3-B997-4DA4-A7C4-4BF918A7E61A}"/>
    <cellStyle name="Percentuale 10 2 4" xfId="27767" xr:uid="{4F1D431C-D708-4775-B8BE-E96E43C6A812}"/>
    <cellStyle name="Percentuale 10 2 5" xfId="27764" xr:uid="{1E7C4B00-ADA3-4A5D-890D-64388A005D05}"/>
    <cellStyle name="Percentuale 10 3" xfId="976" xr:uid="{00000000-0005-0000-0000-0000D0070000}"/>
    <cellStyle name="Percentuale 10 3 2" xfId="977" xr:uid="{00000000-0005-0000-0000-0000D1070000}"/>
    <cellStyle name="Percentuale 10 3 2 2" xfId="2276" xr:uid="{00000000-0005-0000-0000-0000D2070000}"/>
    <cellStyle name="Percentuale 10 3 2 2 2" xfId="27770" xr:uid="{E4833DAB-807A-4F52-AA9B-68C2FD56AD72}"/>
    <cellStyle name="Percentuale 10 3 2 3" xfId="8118" xr:uid="{D3715449-5CD2-4B88-A968-735858F9E45A}"/>
    <cellStyle name="Percentuale 10 3 2 3 2" xfId="14117" xr:uid="{920C0097-3945-4921-ACF9-ED1AEA3DEE22}"/>
    <cellStyle name="Percentuale 10 3 2 3 3" xfId="27771" xr:uid="{B786D9E4-A95D-4CC4-9D48-BB3CB7B86897}"/>
    <cellStyle name="Percentuale 10 3 2 4" xfId="27769" xr:uid="{27768C39-304F-4925-A895-A77F1EE768A9}"/>
    <cellStyle name="Percentuale 10 3 3" xfId="4275" xr:uid="{56DC984E-2C46-4C9E-B3FC-C485EF4F5400}"/>
    <cellStyle name="Percentuale 10 3 3 2" xfId="9401" xr:uid="{4F6588F9-5D31-44A3-B5B4-1018422CF6A8}"/>
    <cellStyle name="Percentuale 10 3 3 2 2" xfId="27773" xr:uid="{08459EA5-2D02-47E2-AED3-E73700F2FEF0}"/>
    <cellStyle name="Percentuale 10 3 3 3" xfId="27774" xr:uid="{2F5CAA90-1FA8-431E-9CEA-0BA8C67A34A1}"/>
    <cellStyle name="Percentuale 10 3 3 3 2" xfId="49071" xr:uid="{B088AEA8-6752-40A7-B2EE-B235F41191EE}"/>
    <cellStyle name="Percentuale 10 3 3 4" xfId="27772" xr:uid="{6C54B00A-673D-4915-B16E-B602AD494DAB}"/>
    <cellStyle name="Percentuale 10 3 4" xfId="4276" xr:uid="{764F49AA-8220-4A6F-A3C9-EDBB7EE07980}"/>
    <cellStyle name="Percentuale 10 3 4 2" xfId="13778" xr:uid="{2A69BC9B-57E6-4C7B-9AA9-7575EA413578}"/>
    <cellStyle name="Percentuale 10 3 4 3" xfId="27775" xr:uid="{B2D95A10-3112-4CDD-B318-8EB6046E8901}"/>
    <cellStyle name="Percentuale 10 3 5" xfId="12297" xr:uid="{F6AD2B49-5702-47DB-A7ED-0A061215D432}"/>
    <cellStyle name="Percentuale 10 3 5 2" xfId="27776" xr:uid="{CDE44E16-08CE-4883-AB17-0914A04DF1A0}"/>
    <cellStyle name="Percentuale 10 3 6" xfId="27777" xr:uid="{F2891348-3956-4AAF-8CA2-F1077522A56B}"/>
    <cellStyle name="Percentuale 10 3 7" xfId="27768" xr:uid="{B01ADFD8-D88F-469B-B88E-0B841F31001E}"/>
    <cellStyle name="Percentuale 10 4" xfId="2277" xr:uid="{00000000-0005-0000-0000-0000D3070000}"/>
    <cellStyle name="Percentuale 10 4 2" xfId="2278" xr:uid="{00000000-0005-0000-0000-0000D4070000}"/>
    <cellStyle name="Percentuale 10 4 2 2" xfId="9402" xr:uid="{95AD5EB7-9C57-4DA7-8098-3D575DF2E9C7}"/>
    <cellStyle name="Percentuale 10 4 2 2 2" xfId="27780" xr:uid="{ED4643C2-08C1-4031-AA9E-368E13CE1753}"/>
    <cellStyle name="Percentuale 10 4 2 3" xfId="17903" xr:uid="{06862291-ECF4-4069-8668-898B32947290}"/>
    <cellStyle name="Percentuale 10 4 2 3 2" xfId="27781" xr:uid="{EAA924AB-DBBE-4CC5-B492-96B88B3E3C7A}"/>
    <cellStyle name="Percentuale 10 4 2 4" xfId="27779" xr:uid="{6DDEC687-DB32-4342-AD2A-914BA96523AE}"/>
    <cellStyle name="Percentuale 10 4 2 5" xfId="17510" xr:uid="{8CD40204-7339-4D71-BB6D-87F2709FEBF1}"/>
    <cellStyle name="Percentuale 10 4 3" xfId="9403" xr:uid="{4A1D72D5-3EFF-435D-BC74-60890B719131}"/>
    <cellStyle name="Percentuale 10 4 3 2" xfId="27782" xr:uid="{FF1D2F33-3BEC-4592-BD8E-9B0E96B8FD94}"/>
    <cellStyle name="Percentuale 10 4 4" xfId="27783" xr:uid="{5C91D820-B8A9-4E13-830B-F88B7DBFAE86}"/>
    <cellStyle name="Percentuale 10 4 4 2" xfId="49072" xr:uid="{6A54C59C-EA2C-434F-8B5B-1E2746877D25}"/>
    <cellStyle name="Percentuale 10 4 5" xfId="27784" xr:uid="{D19B35E2-0A4F-47CE-BF08-ABB6DC121294}"/>
    <cellStyle name="Percentuale 10 4 6" xfId="27778" xr:uid="{25BCF4DD-544B-4367-94B9-FBF424ACF5E7}"/>
    <cellStyle name="Percentuale 10 5" xfId="2279" xr:uid="{00000000-0005-0000-0000-0000D5070000}"/>
    <cellStyle name="Percentuale 10 5 2" xfId="27786" xr:uid="{5BF58E12-34C8-475E-A971-60DE3F520D14}"/>
    <cellStyle name="Percentuale 10 5 2 2" xfId="49073" xr:uid="{8F71E999-930D-41E9-A592-4CB02EC9E859}"/>
    <cellStyle name="Percentuale 10 5 3" xfId="27787" xr:uid="{1D25A9C6-5154-4DAC-8EE9-1E30ED2F133B}"/>
    <cellStyle name="Percentuale 10 5 4" xfId="27785" xr:uid="{C6DBF7A6-005D-4760-89F4-E20987738ED9}"/>
    <cellStyle name="Percentuale 10 6" xfId="4277" xr:uid="{A028B1D7-AA1A-466E-9AE8-1E4FB82CCB4B}"/>
    <cellStyle name="Percentuale 10 6 2" xfId="9812" xr:uid="{F31AFCBA-2AE5-45AF-A625-88757E8DDF9B}"/>
    <cellStyle name="Percentuale 10 6 3" xfId="27788" xr:uid="{3C52B29F-3382-4F30-936F-94E7610C2463}"/>
    <cellStyle name="Percentuale 10 7" xfId="27763" xr:uid="{E8B2DD8B-B6BA-40B2-ACE7-70AA8DD77936}"/>
    <cellStyle name="Percentuale 11" xfId="978" xr:uid="{00000000-0005-0000-0000-0000D6070000}"/>
    <cellStyle name="Percentuale 11 2" xfId="979" xr:uid="{00000000-0005-0000-0000-0000D7070000}"/>
    <cellStyle name="Percentuale 11 2 2" xfId="4278" xr:uid="{5D1BD082-A620-4A4A-9176-08B178CC8C13}"/>
    <cellStyle name="Percentuale 11 2 2 2" xfId="13564" xr:uid="{24494623-2C94-491B-AE4C-86BE1913DA26}"/>
    <cellStyle name="Percentuale 11 2 2 3" xfId="27791" xr:uid="{DDCB89CC-0786-4A3E-88A0-45D785488493}"/>
    <cellStyle name="Percentuale 11 2 3" xfId="13302" xr:uid="{B8746BD9-8B84-4C22-AA4A-1602CD1271C6}"/>
    <cellStyle name="Percentuale 11 2 3 2" xfId="27792" xr:uid="{A6F36DB9-58F7-44F4-8D7B-9F9B67942C10}"/>
    <cellStyle name="Percentuale 11 2 4" xfId="27793" xr:uid="{6072DEE9-F840-4F2A-8433-92CE3C6DDA3C}"/>
    <cellStyle name="Percentuale 11 2 5" xfId="27790" xr:uid="{27E1F50A-9AE9-4EFF-ADD6-319287485879}"/>
    <cellStyle name="Percentuale 11 3" xfId="980" xr:uid="{00000000-0005-0000-0000-0000D8070000}"/>
    <cellStyle name="Percentuale 11 3 2" xfId="981" xr:uid="{00000000-0005-0000-0000-0000D9070000}"/>
    <cellStyle name="Percentuale 11 3 2 2" xfId="2280" xr:uid="{00000000-0005-0000-0000-0000DA070000}"/>
    <cellStyle name="Percentuale 11 3 2 2 2" xfId="27796" xr:uid="{25456894-FE2E-4CB2-89F7-C3B9982FED7D}"/>
    <cellStyle name="Percentuale 11 3 2 3" xfId="8119" xr:uid="{533672B1-94FD-4BA3-8347-91518E8C2502}"/>
    <cellStyle name="Percentuale 11 3 2 3 2" xfId="14118" xr:uid="{EEAFEFB5-AA5D-4F7C-A7DA-7B9CED0C7992}"/>
    <cellStyle name="Percentuale 11 3 2 3 3" xfId="27797" xr:uid="{E63A7CD0-5D4C-4D34-A2D3-EA981B95E10F}"/>
    <cellStyle name="Percentuale 11 3 2 4" xfId="27795" xr:uid="{131A634B-7567-4F9D-BFFA-753F80A6F839}"/>
    <cellStyle name="Percentuale 11 3 3" xfId="4279" xr:uid="{6C65DE3F-381D-444B-86BC-9FA9F8266DA0}"/>
    <cellStyle name="Percentuale 11 3 3 2" xfId="9404" xr:uid="{70E5C9B0-F266-4826-B65E-C4B8ABE75FD9}"/>
    <cellStyle name="Percentuale 11 3 3 2 2" xfId="27799" xr:uid="{27F5DB34-2EF4-4310-8269-580FF9AD09F5}"/>
    <cellStyle name="Percentuale 11 3 3 3" xfId="27800" xr:uid="{E39CA28C-9358-4E67-9EB8-83D49D721A03}"/>
    <cellStyle name="Percentuale 11 3 3 3 2" xfId="49074" xr:uid="{94A11AAC-77F1-4D98-B2F7-C0E2AC0C551C}"/>
    <cellStyle name="Percentuale 11 3 3 4" xfId="27798" xr:uid="{BE31B869-FC7A-4CE9-9FF7-456E76A7069B}"/>
    <cellStyle name="Percentuale 11 3 4" xfId="4280" xr:uid="{40615840-9947-4D02-8B04-B0A9B2DD6E0C}"/>
    <cellStyle name="Percentuale 11 3 4 2" xfId="13779" xr:uid="{6ABD97BC-8125-4D7C-A058-EA975B93C5B7}"/>
    <cellStyle name="Percentuale 11 3 4 3" xfId="27801" xr:uid="{E1092948-2B61-4E2B-A6E1-1F5989F765DD}"/>
    <cellStyle name="Percentuale 11 3 5" xfId="12296" xr:uid="{2049CD81-40CA-4947-BFC6-6DFEE0F5AA49}"/>
    <cellStyle name="Percentuale 11 3 5 2" xfId="27802" xr:uid="{24599897-5149-43CF-B969-E9EF039207FB}"/>
    <cellStyle name="Percentuale 11 3 6" xfId="27803" xr:uid="{77928F95-E76B-414A-A4D6-914F483449F9}"/>
    <cellStyle name="Percentuale 11 3 7" xfId="27794" xr:uid="{46D9E6CA-BFC5-4250-B186-A1B01FA92BDB}"/>
    <cellStyle name="Percentuale 11 4" xfId="2281" xr:uid="{00000000-0005-0000-0000-0000DB070000}"/>
    <cellStyle name="Percentuale 11 4 2" xfId="2282" xr:uid="{00000000-0005-0000-0000-0000DC070000}"/>
    <cellStyle name="Percentuale 11 4 2 2" xfId="9405" xr:uid="{C40DBA66-407C-4C30-9DFF-816516C41EC6}"/>
    <cellStyle name="Percentuale 11 4 2 2 2" xfId="27806" xr:uid="{6A45C564-CE19-43C6-9366-5ECAB8162F2E}"/>
    <cellStyle name="Percentuale 11 4 2 3" xfId="17904" xr:uid="{7E90B65C-EE84-4B61-9201-B654986DC171}"/>
    <cellStyle name="Percentuale 11 4 2 3 2" xfId="27807" xr:uid="{92F10991-92B2-410A-8AD1-5AA37CECF115}"/>
    <cellStyle name="Percentuale 11 4 2 4" xfId="27805" xr:uid="{3B1D9F61-4194-4F05-B879-032A30F08DE8}"/>
    <cellStyle name="Percentuale 11 4 2 5" xfId="17511" xr:uid="{DB9463D0-F71D-4128-A05D-B2EA505322A5}"/>
    <cellStyle name="Percentuale 11 4 3" xfId="9406" xr:uid="{E334CCC8-F2C1-4035-BF95-11CFCF77EA61}"/>
    <cellStyle name="Percentuale 11 4 3 2" xfId="27808" xr:uid="{227B8E52-50FD-4EB9-ADAB-D153F7DFBBB2}"/>
    <cellStyle name="Percentuale 11 4 4" xfId="27809" xr:uid="{516A494A-14B6-4912-8FCF-7C52A39DF108}"/>
    <cellStyle name="Percentuale 11 4 4 2" xfId="49075" xr:uid="{9E25C0A5-E9C8-45AC-82F4-5829EAD57D59}"/>
    <cellStyle name="Percentuale 11 4 5" xfId="27810" xr:uid="{6EFF4EA8-EE53-4003-89AA-B7985A4A0C72}"/>
    <cellStyle name="Percentuale 11 4 6" xfId="27804" xr:uid="{2241438B-F924-4714-B250-FE26DDAB0A30}"/>
    <cellStyle name="Percentuale 11 5" xfId="2283" xr:uid="{00000000-0005-0000-0000-0000DD070000}"/>
    <cellStyle name="Percentuale 11 5 2" xfId="27812" xr:uid="{7F1B9469-A053-4566-B508-123BD82C784B}"/>
    <cellStyle name="Percentuale 11 5 2 2" xfId="49076" xr:uid="{9F5FC815-B2CE-405E-97CC-BF71C7F38F2C}"/>
    <cellStyle name="Percentuale 11 5 3" xfId="27813" xr:uid="{D2C7D3A9-8A9A-4B2C-8119-C425705F3173}"/>
    <cellStyle name="Percentuale 11 5 4" xfId="27811" xr:uid="{4C549969-A79A-4BFD-830A-CF7F4A8A20BF}"/>
    <cellStyle name="Percentuale 11 6" xfId="4281" xr:uid="{E4A69DDD-E4A7-47EC-8803-46270AE48339}"/>
    <cellStyle name="Percentuale 11 6 2" xfId="9813" xr:uid="{2334840E-9E35-46EA-A0AC-0AD9625BC37E}"/>
    <cellStyle name="Percentuale 11 6 3" xfId="27814" xr:uid="{1809B92D-CC8C-4CA1-A4C6-E2EFBD9C3095}"/>
    <cellStyle name="Percentuale 11 7" xfId="27789" xr:uid="{7A8DEAC7-C5E0-4463-9534-FF2929412833}"/>
    <cellStyle name="Percentuale 12" xfId="982" xr:uid="{00000000-0005-0000-0000-0000DE070000}"/>
    <cellStyle name="Percentuale 12 2" xfId="983" xr:uid="{00000000-0005-0000-0000-0000DF070000}"/>
    <cellStyle name="Percentuale 12 2 2" xfId="4282" xr:uid="{BE677AFB-96FF-43CD-A658-A16D1E66D8A4}"/>
    <cellStyle name="Percentuale 12 2 2 2" xfId="13565" xr:uid="{FB8E6425-90E6-45C1-A3AC-05CE1AB5554C}"/>
    <cellStyle name="Percentuale 12 2 2 3" xfId="27817" xr:uid="{BA3F9795-F30B-44DA-9951-AE382F0E3FCB}"/>
    <cellStyle name="Percentuale 12 2 3" xfId="13303" xr:uid="{13F6591F-CD04-4466-B684-55930C4D1790}"/>
    <cellStyle name="Percentuale 12 2 3 2" xfId="27818" xr:uid="{D174916F-1671-4520-A58C-560EA2919D6A}"/>
    <cellStyle name="Percentuale 12 2 4" xfId="27819" xr:uid="{D2224E00-74B4-4E5E-B578-35E1719AE94C}"/>
    <cellStyle name="Percentuale 12 2 5" xfId="27816" xr:uid="{DDE6F937-1EA6-448E-BB7A-14BB7A815F0A}"/>
    <cellStyle name="Percentuale 12 3" xfId="984" xr:uid="{00000000-0005-0000-0000-0000E0070000}"/>
    <cellStyle name="Percentuale 12 3 2" xfId="985" xr:uid="{00000000-0005-0000-0000-0000E1070000}"/>
    <cellStyle name="Percentuale 12 3 2 2" xfId="2284" xr:uid="{00000000-0005-0000-0000-0000E2070000}"/>
    <cellStyle name="Percentuale 12 3 2 2 2" xfId="27822" xr:uid="{CE4E6ACB-37E8-47A8-AEAE-1D903E7B0056}"/>
    <cellStyle name="Percentuale 12 3 2 3" xfId="8120" xr:uid="{4C653185-BAC4-4287-B35F-91AD43254D48}"/>
    <cellStyle name="Percentuale 12 3 2 3 2" xfId="14119" xr:uid="{47FF0BED-E3B1-4A69-BF3D-BF698EF004B4}"/>
    <cellStyle name="Percentuale 12 3 2 3 3" xfId="27823" xr:uid="{F306D521-46B5-47C3-8E28-DE38D89B7C89}"/>
    <cellStyle name="Percentuale 12 3 2 4" xfId="27821" xr:uid="{FA8F058E-B6A8-4B39-9D06-C52EEB5D7977}"/>
    <cellStyle name="Percentuale 12 3 3" xfId="4283" xr:uid="{25C4BBA1-F3D0-4E18-B2D8-ACA6D3DED9FF}"/>
    <cellStyle name="Percentuale 12 3 3 2" xfId="9407" xr:uid="{E1B4A489-50CD-49F2-B87E-9202B7655464}"/>
    <cellStyle name="Percentuale 12 3 3 2 2" xfId="27825" xr:uid="{5B88CCE5-D677-43FD-A58C-53F0A49C1855}"/>
    <cellStyle name="Percentuale 12 3 3 3" xfId="27826" xr:uid="{CBEB3298-8523-4EEC-B721-D8DB1A2D2B44}"/>
    <cellStyle name="Percentuale 12 3 3 3 2" xfId="49077" xr:uid="{2113950C-2ED6-43AF-BD41-CC41E83BB70E}"/>
    <cellStyle name="Percentuale 12 3 3 4" xfId="27824" xr:uid="{ABE3C971-8AA4-4BAB-8694-B0A92BC40533}"/>
    <cellStyle name="Percentuale 12 3 4" xfId="4284" xr:uid="{9D075CE4-5150-48DD-846E-109A88DFB1EE}"/>
    <cellStyle name="Percentuale 12 3 4 2" xfId="13780" xr:uid="{ABF28354-D5B9-415A-AC94-63CF92AB1DA1}"/>
    <cellStyle name="Percentuale 12 3 4 3" xfId="27827" xr:uid="{B535F59B-202E-43A1-9A12-8E93769C73F9}"/>
    <cellStyle name="Percentuale 12 3 5" xfId="11158" xr:uid="{06EDD25E-CB6F-47FC-B1DA-A16478C79D54}"/>
    <cellStyle name="Percentuale 12 3 5 2" xfId="27828" xr:uid="{C8E9D625-8F07-473A-B098-41C61A4590CA}"/>
    <cellStyle name="Percentuale 12 3 6" xfId="27829" xr:uid="{BE5E5641-877A-451E-97F3-E8CCACED0592}"/>
    <cellStyle name="Percentuale 12 3 7" xfId="27820" xr:uid="{926E5DF4-CB02-455D-8169-248F752C243B}"/>
    <cellStyle name="Percentuale 12 4" xfId="2285" xr:uid="{00000000-0005-0000-0000-0000E3070000}"/>
    <cellStyle name="Percentuale 12 4 2" xfId="2286" xr:uid="{00000000-0005-0000-0000-0000E4070000}"/>
    <cellStyle name="Percentuale 12 4 2 2" xfId="9408" xr:uid="{626BA2E8-89B5-46D1-BA80-6D3BBC3F7F0E}"/>
    <cellStyle name="Percentuale 12 4 2 2 2" xfId="27832" xr:uid="{869A2B09-44C7-4E1F-9C9D-D294D2A61BF0}"/>
    <cellStyle name="Percentuale 12 4 2 3" xfId="17905" xr:uid="{26F84748-5959-40CC-AFB0-4D485400539C}"/>
    <cellStyle name="Percentuale 12 4 2 3 2" xfId="27833" xr:uid="{BBE06885-655A-4D97-8F63-9493FEA8B069}"/>
    <cellStyle name="Percentuale 12 4 2 4" xfId="27831" xr:uid="{A6E4221C-4E64-4560-AA5C-61AEBBC95718}"/>
    <cellStyle name="Percentuale 12 4 2 5" xfId="17512" xr:uid="{CA927180-1EB7-4194-91D3-4D3E8D8DE46D}"/>
    <cellStyle name="Percentuale 12 4 3" xfId="9409" xr:uid="{10C15755-BD15-4B39-B08C-06F62829AA27}"/>
    <cellStyle name="Percentuale 12 4 3 2" xfId="27834" xr:uid="{9A87954F-F41E-49D8-99B4-2712A592C090}"/>
    <cellStyle name="Percentuale 12 4 4" xfId="27835" xr:uid="{E3ACEDE0-A2D4-41FF-A8A1-C9C48B97DC20}"/>
    <cellStyle name="Percentuale 12 4 4 2" xfId="49078" xr:uid="{12654516-375E-43FE-938F-526339381FF4}"/>
    <cellStyle name="Percentuale 12 4 5" xfId="27836" xr:uid="{3142D3D6-4818-4E18-B1CD-B6C751D24671}"/>
    <cellStyle name="Percentuale 12 4 6" xfId="27830" xr:uid="{E3424B99-5128-423A-910E-56121276BDAE}"/>
    <cellStyle name="Percentuale 12 5" xfId="2287" xr:uid="{00000000-0005-0000-0000-0000E5070000}"/>
    <cellStyle name="Percentuale 12 5 2" xfId="27838" xr:uid="{9017B362-9DCC-49F6-A20F-27C2D5E69E87}"/>
    <cellStyle name="Percentuale 12 5 2 2" xfId="49079" xr:uid="{00E0AAC4-7B75-46A1-A4FD-3E82DA01A657}"/>
    <cellStyle name="Percentuale 12 5 3" xfId="27839" xr:uid="{71CF15F7-2A8B-4D97-9A1F-001820DE6686}"/>
    <cellStyle name="Percentuale 12 5 4" xfId="27837" xr:uid="{A248E922-C066-4980-BF2C-D54CFA8FB02C}"/>
    <cellStyle name="Percentuale 12 6" xfId="4285" xr:uid="{1B474F75-1463-429B-8B6C-3B104A6FF5C8}"/>
    <cellStyle name="Percentuale 12 6 2" xfId="9814" xr:uid="{0307EC3C-527E-4F43-9D14-C745FBF040AE}"/>
    <cellStyle name="Percentuale 12 6 3" xfId="27840" xr:uid="{8E5B82D7-93A5-45B7-A9DC-7DE912A1FC66}"/>
    <cellStyle name="Percentuale 12 7" xfId="27815" xr:uid="{8F20DF87-1B32-4755-9432-7E065A100C21}"/>
    <cellStyle name="Percentuale 13" xfId="986" xr:uid="{00000000-0005-0000-0000-0000E6070000}"/>
    <cellStyle name="Percentuale 13 2" xfId="987" xr:uid="{00000000-0005-0000-0000-0000E7070000}"/>
    <cellStyle name="Percentuale 13 2 2" xfId="4286" xr:uid="{3E81DE9F-9A5D-45BE-A009-1D72EFA31886}"/>
    <cellStyle name="Percentuale 13 2 2 2" xfId="13566" xr:uid="{906FA22C-1597-4C64-B48F-994217FAC562}"/>
    <cellStyle name="Percentuale 13 2 2 3" xfId="27843" xr:uid="{FD3E8396-8B77-4755-AD5B-2459E7B4A9E8}"/>
    <cellStyle name="Percentuale 13 2 3" xfId="13304" xr:uid="{E65FAE8A-CD28-4EB1-BD96-34C99F1DE2DB}"/>
    <cellStyle name="Percentuale 13 2 3 2" xfId="27844" xr:uid="{905AD600-B879-48AA-87D1-2DDF0D8A159E}"/>
    <cellStyle name="Percentuale 13 2 4" xfId="27845" xr:uid="{1C78C61A-47DE-4344-B66A-3608D28B50DF}"/>
    <cellStyle name="Percentuale 13 2 5" xfId="27842" xr:uid="{E1FA0EBE-D4CF-4588-8F72-14D090AEC86E}"/>
    <cellStyle name="Percentuale 13 3" xfId="988" xr:uid="{00000000-0005-0000-0000-0000E8070000}"/>
    <cellStyle name="Percentuale 13 3 2" xfId="989" xr:uid="{00000000-0005-0000-0000-0000E9070000}"/>
    <cellStyle name="Percentuale 13 3 2 2" xfId="2288" xr:uid="{00000000-0005-0000-0000-0000EA070000}"/>
    <cellStyle name="Percentuale 13 3 2 2 2" xfId="27848" xr:uid="{4EEF0090-3B31-405A-84A4-D7231F446FBF}"/>
    <cellStyle name="Percentuale 13 3 2 3" xfId="8121" xr:uid="{E92BF5D8-5F22-4E9B-87BB-6036DCAB0D69}"/>
    <cellStyle name="Percentuale 13 3 2 3 2" xfId="14120" xr:uid="{74A2B885-4DBC-4DD7-97AC-47C12ABF8CA3}"/>
    <cellStyle name="Percentuale 13 3 2 3 3" xfId="27849" xr:uid="{8D39E220-8FD5-4F52-8096-04D4C0CCBF32}"/>
    <cellStyle name="Percentuale 13 3 2 4" xfId="27847" xr:uid="{9CC677A7-0481-4407-B945-316CAFBE14B7}"/>
    <cellStyle name="Percentuale 13 3 3" xfId="4287" xr:uid="{A17B56E9-5C5C-4951-818E-CB71D7811CEB}"/>
    <cellStyle name="Percentuale 13 3 3 2" xfId="9410" xr:uid="{27412237-859C-4637-8E78-8CA22DA4E75D}"/>
    <cellStyle name="Percentuale 13 3 3 2 2" xfId="27851" xr:uid="{839579D1-5E70-4F18-9A03-D607AACB8C74}"/>
    <cellStyle name="Percentuale 13 3 3 3" xfId="27852" xr:uid="{402935D6-E8CF-4AA6-8C17-8BDFFEE5B394}"/>
    <cellStyle name="Percentuale 13 3 3 3 2" xfId="49080" xr:uid="{8D643932-4BE9-4820-A9C6-53D417CC0654}"/>
    <cellStyle name="Percentuale 13 3 3 4" xfId="27850" xr:uid="{6B05FEB0-F8A7-4B6A-B272-111997D1DEF5}"/>
    <cellStyle name="Percentuale 13 3 4" xfId="4288" xr:uid="{AE2DE5A2-130F-4C8F-9F41-64265A15728F}"/>
    <cellStyle name="Percentuale 13 3 4 2" xfId="13781" xr:uid="{7B02A431-4A38-4B4A-B36E-5E07982BCE6B}"/>
    <cellStyle name="Percentuale 13 3 4 3" xfId="27853" xr:uid="{932703DA-C43D-4FAE-B602-7DA6B2EBCD48}"/>
    <cellStyle name="Percentuale 13 3 5" xfId="11208" xr:uid="{78083FCB-DD77-4E95-BA5A-8D4F9FB6103B}"/>
    <cellStyle name="Percentuale 13 3 5 2" xfId="27854" xr:uid="{013F1DC8-1365-43A2-9CA7-95396D358FDE}"/>
    <cellStyle name="Percentuale 13 3 6" xfId="27855" xr:uid="{4CB1E9AD-E349-4CBA-8E90-FDCD411A9851}"/>
    <cellStyle name="Percentuale 13 3 7" xfId="27846" xr:uid="{6544E3CF-1A74-4A23-BCDF-FD3D8CBE8CDF}"/>
    <cellStyle name="Percentuale 13 4" xfId="2289" xr:uid="{00000000-0005-0000-0000-0000EB070000}"/>
    <cellStyle name="Percentuale 13 4 2" xfId="2290" xr:uid="{00000000-0005-0000-0000-0000EC070000}"/>
    <cellStyle name="Percentuale 13 4 2 2" xfId="9411" xr:uid="{B055FC4C-C98F-48EB-BAA8-34F890772D1A}"/>
    <cellStyle name="Percentuale 13 4 2 2 2" xfId="27858" xr:uid="{B14486DD-68A9-4F7C-B11F-0E1E67A1FFA1}"/>
    <cellStyle name="Percentuale 13 4 2 3" xfId="17906" xr:uid="{816CC5A9-FDEC-4759-861C-D34FF6571908}"/>
    <cellStyle name="Percentuale 13 4 2 3 2" xfId="27859" xr:uid="{37786C7B-0371-4BE3-B2A2-9AF180B7BCBB}"/>
    <cellStyle name="Percentuale 13 4 2 4" xfId="27857" xr:uid="{C960B1AA-1C20-460E-8140-C59A4EE95D4B}"/>
    <cellStyle name="Percentuale 13 4 2 5" xfId="17513" xr:uid="{9AC3F0B1-9746-46E7-8275-03CB179EE89B}"/>
    <cellStyle name="Percentuale 13 4 3" xfId="9412" xr:uid="{278C88FA-F27E-42BD-9FEF-CFE76ED14A8B}"/>
    <cellStyle name="Percentuale 13 4 3 2" xfId="27860" xr:uid="{556B4C61-31E1-4D09-897B-F6F3E382C197}"/>
    <cellStyle name="Percentuale 13 4 4" xfId="27861" xr:uid="{175815FA-2868-4AA3-94C5-3E605FE03C56}"/>
    <cellStyle name="Percentuale 13 4 4 2" xfId="49081" xr:uid="{53978606-ABCA-41F2-A409-FAE2786C8DF0}"/>
    <cellStyle name="Percentuale 13 4 5" xfId="27862" xr:uid="{F6BC008A-8A08-4DFA-B626-53E0E6234986}"/>
    <cellStyle name="Percentuale 13 4 6" xfId="27856" xr:uid="{86C56C80-33F3-4D7C-9861-850E307D5AAA}"/>
    <cellStyle name="Percentuale 13 5" xfId="2291" xr:uid="{00000000-0005-0000-0000-0000ED070000}"/>
    <cellStyle name="Percentuale 13 5 2" xfId="27864" xr:uid="{CDDCE284-99E7-47AD-94C0-0F297EAB55D3}"/>
    <cellStyle name="Percentuale 13 5 2 2" xfId="49082" xr:uid="{BA97F691-0DAB-4D85-AC34-3ABBFC7B269D}"/>
    <cellStyle name="Percentuale 13 5 3" xfId="27865" xr:uid="{08705EBB-0317-4C93-9D35-74ADBD43A2F0}"/>
    <cellStyle name="Percentuale 13 5 4" xfId="27863" xr:uid="{90B8FC69-A637-4C21-8EED-80C7C037AAEC}"/>
    <cellStyle name="Percentuale 13 6" xfId="4289" xr:uid="{FE2019E6-7996-4B4D-A9AC-843051272977}"/>
    <cellStyle name="Percentuale 13 6 2" xfId="9815" xr:uid="{5517DBA1-CF48-416E-B267-8F05480B6190}"/>
    <cellStyle name="Percentuale 13 6 3" xfId="27866" xr:uid="{6184B0F8-8E16-4C19-ABF6-FB0EA746D3DC}"/>
    <cellStyle name="Percentuale 13 7" xfId="27841" xr:uid="{7358CF7B-9CC0-46F6-BA64-59C5BB0E649C}"/>
    <cellStyle name="Percentuale 14" xfId="990" xr:uid="{00000000-0005-0000-0000-0000EE070000}"/>
    <cellStyle name="Percentuale 14 2" xfId="991" xr:uid="{00000000-0005-0000-0000-0000EF070000}"/>
    <cellStyle name="Percentuale 14 2 2" xfId="4290" xr:uid="{A24B67C0-A369-45C9-A12B-6B7C0CC4D7B0}"/>
    <cellStyle name="Percentuale 14 2 2 2" xfId="13567" xr:uid="{EDCA675E-30F7-4452-9D1F-43959A454CDB}"/>
    <cellStyle name="Percentuale 14 2 2 3" xfId="27869" xr:uid="{8EE5F8BB-338B-4F71-8F88-96AFEF36F519}"/>
    <cellStyle name="Percentuale 14 2 3" xfId="13305" xr:uid="{550BB53D-8750-4C18-83E7-E7A41392512C}"/>
    <cellStyle name="Percentuale 14 2 3 2" xfId="27870" xr:uid="{4BB6C43C-B0A4-4F4B-9936-7AB7D65B1871}"/>
    <cellStyle name="Percentuale 14 2 4" xfId="27871" xr:uid="{F0BA5B10-0C58-4633-88C9-787854812825}"/>
    <cellStyle name="Percentuale 14 2 5" xfId="27868" xr:uid="{ED3F036E-818A-4C3F-8DB3-7F4A0F7BA29E}"/>
    <cellStyle name="Percentuale 14 3" xfId="992" xr:uid="{00000000-0005-0000-0000-0000F0070000}"/>
    <cellStyle name="Percentuale 14 3 2" xfId="993" xr:uid="{00000000-0005-0000-0000-0000F1070000}"/>
    <cellStyle name="Percentuale 14 3 2 2" xfId="2292" xr:uid="{00000000-0005-0000-0000-0000F2070000}"/>
    <cellStyle name="Percentuale 14 3 2 2 2" xfId="27874" xr:uid="{D26A11F3-AB1C-4196-9158-0D7F6B85FF32}"/>
    <cellStyle name="Percentuale 14 3 2 3" xfId="8122" xr:uid="{FDEEFECC-375B-4775-B668-6DD33D4DC4E1}"/>
    <cellStyle name="Percentuale 14 3 2 3 2" xfId="14121" xr:uid="{11A61642-911C-4345-B9FA-03AB963BC3BF}"/>
    <cellStyle name="Percentuale 14 3 2 3 3" xfId="27875" xr:uid="{DCB65693-02F5-4960-9E8A-28ABB8FC6AC3}"/>
    <cellStyle name="Percentuale 14 3 2 4" xfId="27873" xr:uid="{D8FB3D19-6C14-4F04-B497-99A5D1D86F50}"/>
    <cellStyle name="Percentuale 14 3 3" xfId="4291" xr:uid="{D14B0D05-D337-47D6-8ECE-359B3FC7840F}"/>
    <cellStyle name="Percentuale 14 3 3 2" xfId="9413" xr:uid="{D527A978-A9AB-4368-A26C-63306C57E38C}"/>
    <cellStyle name="Percentuale 14 3 3 2 2" xfId="27877" xr:uid="{CF3B0390-80B6-4A32-8C8F-AFC35F44C7BC}"/>
    <cellStyle name="Percentuale 14 3 3 3" xfId="27878" xr:uid="{22331FAC-AB72-4FB1-83FA-6888682424B4}"/>
    <cellStyle name="Percentuale 14 3 3 3 2" xfId="49083" xr:uid="{8F83E162-9B4C-44BA-BF1B-39DB9E4E7EF7}"/>
    <cellStyle name="Percentuale 14 3 3 4" xfId="27876" xr:uid="{B0D9C1F8-BEB6-4F1C-A98C-E0909B1C6C78}"/>
    <cellStyle name="Percentuale 14 3 4" xfId="4292" xr:uid="{D98BC1E2-DE09-41DC-8329-E29219727C8E}"/>
    <cellStyle name="Percentuale 14 3 4 2" xfId="13782" xr:uid="{82962FD4-0C75-43E0-8906-B485B2F7AB6F}"/>
    <cellStyle name="Percentuale 14 3 4 3" xfId="27879" xr:uid="{7AE490B7-0C7C-4B1E-AEE4-3828FAE1D75D}"/>
    <cellStyle name="Percentuale 14 3 5" xfId="12261" xr:uid="{1D196484-FACD-446A-B91B-0C94A9021F27}"/>
    <cellStyle name="Percentuale 14 3 5 2" xfId="27880" xr:uid="{DCA7DE82-05EB-42A1-A729-2F624954C525}"/>
    <cellStyle name="Percentuale 14 3 6" xfId="27881" xr:uid="{396729D6-15AC-487A-997F-452B333D93C1}"/>
    <cellStyle name="Percentuale 14 3 7" xfId="27872" xr:uid="{7C7E2189-4161-4024-B6F3-6FD68CA46209}"/>
    <cellStyle name="Percentuale 14 4" xfId="2293" xr:uid="{00000000-0005-0000-0000-0000F3070000}"/>
    <cellStyle name="Percentuale 14 4 2" xfId="2294" xr:uid="{00000000-0005-0000-0000-0000F4070000}"/>
    <cellStyle name="Percentuale 14 4 2 2" xfId="9414" xr:uid="{693F9A3D-C8D7-4A29-9120-4ACB9508AC94}"/>
    <cellStyle name="Percentuale 14 4 2 2 2" xfId="27884" xr:uid="{126EF5BE-2FAE-4238-8C3F-89A753CA672D}"/>
    <cellStyle name="Percentuale 14 4 2 3" xfId="17907" xr:uid="{2F8C8D17-E0F0-4B11-A47F-8AA66BB0B7DD}"/>
    <cellStyle name="Percentuale 14 4 2 3 2" xfId="27885" xr:uid="{16D8DCCF-A3AC-4BF7-8E40-DC18D3BE8CB1}"/>
    <cellStyle name="Percentuale 14 4 2 4" xfId="27883" xr:uid="{26134C13-B2D7-414A-A186-CC65E55A6A88}"/>
    <cellStyle name="Percentuale 14 4 2 5" xfId="17514" xr:uid="{F2B445C2-D6EC-46DA-A556-1EDAB2CC1B17}"/>
    <cellStyle name="Percentuale 14 4 3" xfId="9415" xr:uid="{0C004CB8-FA8C-491E-8A87-DEDFEC5AD819}"/>
    <cellStyle name="Percentuale 14 4 3 2" xfId="27886" xr:uid="{B63404EF-2B07-49C7-A2A4-FAD03C1343EF}"/>
    <cellStyle name="Percentuale 14 4 4" xfId="27887" xr:uid="{CB3C6E39-04A9-4505-9415-32C7D9DB0A34}"/>
    <cellStyle name="Percentuale 14 4 4 2" xfId="49084" xr:uid="{E84A9E77-B622-42B8-9624-00D830C05445}"/>
    <cellStyle name="Percentuale 14 4 5" xfId="27888" xr:uid="{A42E41BA-7507-4FCA-B1D4-1D7B7AC365CD}"/>
    <cellStyle name="Percentuale 14 4 6" xfId="27882" xr:uid="{9211B14E-FF8E-434D-936F-2799A1DB3724}"/>
    <cellStyle name="Percentuale 14 5" xfId="2295" xr:uid="{00000000-0005-0000-0000-0000F5070000}"/>
    <cellStyle name="Percentuale 14 5 2" xfId="27890" xr:uid="{16154D8C-697F-43A7-B6FE-68CDB20D77B6}"/>
    <cellStyle name="Percentuale 14 5 2 2" xfId="49085" xr:uid="{2CEF21A7-940E-4539-95EE-5CD604E300A3}"/>
    <cellStyle name="Percentuale 14 5 3" xfId="27891" xr:uid="{2D9D8266-8FBB-4074-B2FB-D80A0F93FF33}"/>
    <cellStyle name="Percentuale 14 5 4" xfId="27889" xr:uid="{0DDABAE0-0605-4830-9B52-7646003DFF12}"/>
    <cellStyle name="Percentuale 14 6" xfId="4293" xr:uid="{9B05C7E9-5E19-4FFA-B096-3EC00D6FD146}"/>
    <cellStyle name="Percentuale 14 6 2" xfId="9816" xr:uid="{DD1295F3-E3B9-4A75-8541-35B676AB5E2B}"/>
    <cellStyle name="Percentuale 14 6 3" xfId="27892" xr:uid="{D2478084-A068-4A8D-ACCC-F2556A61FAB3}"/>
    <cellStyle name="Percentuale 14 7" xfId="27867" xr:uid="{615B0A61-E544-4BA0-9725-A7116D91F60C}"/>
    <cellStyle name="Percentuale 15" xfId="994" xr:uid="{00000000-0005-0000-0000-0000F6070000}"/>
    <cellStyle name="Percentuale 15 2" xfId="995" xr:uid="{00000000-0005-0000-0000-0000F7070000}"/>
    <cellStyle name="Percentuale 15 2 2" xfId="4294" xr:uid="{43242DA0-D136-4308-90A8-F1B031FCC2CC}"/>
    <cellStyle name="Percentuale 15 2 2 2" xfId="13568" xr:uid="{D94A58BD-D7D5-4DEA-85EB-E16CD9E8ABEE}"/>
    <cellStyle name="Percentuale 15 2 2 3" xfId="27895" xr:uid="{15C4912D-0314-4865-B45C-9E07730AB9D2}"/>
    <cellStyle name="Percentuale 15 2 3" xfId="13306" xr:uid="{23D1E852-8830-425E-A13E-66F2C82D0191}"/>
    <cellStyle name="Percentuale 15 2 3 2" xfId="27896" xr:uid="{940B14EE-4C33-431C-A28A-C2A2341235CE}"/>
    <cellStyle name="Percentuale 15 2 4" xfId="27897" xr:uid="{32B3A5EF-F781-4B88-93E6-519AE3D00DAA}"/>
    <cellStyle name="Percentuale 15 2 5" xfId="27894" xr:uid="{441E2077-D3B2-440B-954E-36643B35FB0F}"/>
    <cellStyle name="Percentuale 15 3" xfId="996" xr:uid="{00000000-0005-0000-0000-0000F8070000}"/>
    <cellStyle name="Percentuale 15 3 2" xfId="997" xr:uid="{00000000-0005-0000-0000-0000F9070000}"/>
    <cellStyle name="Percentuale 15 3 2 2" xfId="2296" xr:uid="{00000000-0005-0000-0000-0000FA070000}"/>
    <cellStyle name="Percentuale 15 3 2 2 2" xfId="27900" xr:uid="{CC2BB05B-35F7-41B2-B5DF-0C3986470B92}"/>
    <cellStyle name="Percentuale 15 3 2 3" xfId="8123" xr:uid="{010AE81B-A758-4B44-98C6-43DE3FA10FF7}"/>
    <cellStyle name="Percentuale 15 3 2 3 2" xfId="14122" xr:uid="{C7CF4A22-CDD6-45D2-8D78-005ECBE703AF}"/>
    <cellStyle name="Percentuale 15 3 2 3 3" xfId="27901" xr:uid="{5B88FB07-7AC5-4633-A5D6-7E8AAA63AF34}"/>
    <cellStyle name="Percentuale 15 3 2 4" xfId="27899" xr:uid="{73EE35C8-5B59-4A8F-A4C1-8FDC1EDC9AB1}"/>
    <cellStyle name="Percentuale 15 3 3" xfId="4295" xr:uid="{73C5C2B4-D700-4F4F-A83F-90D827BA0BD0}"/>
    <cellStyle name="Percentuale 15 3 3 2" xfId="9416" xr:uid="{914E8727-485E-4239-97FB-86A281DA9F0D}"/>
    <cellStyle name="Percentuale 15 3 3 2 2" xfId="27903" xr:uid="{DE3259AF-AEC4-4B87-87A1-6E574545EB1E}"/>
    <cellStyle name="Percentuale 15 3 3 3" xfId="27904" xr:uid="{C61DEA6B-A7EE-4828-8C1B-BE284B66B65C}"/>
    <cellStyle name="Percentuale 15 3 3 3 2" xfId="49086" xr:uid="{DC63B69F-2D1B-4CA9-A258-E9FFB1E7F67B}"/>
    <cellStyle name="Percentuale 15 3 3 4" xfId="27902" xr:uid="{9AC80883-F83F-4037-BF00-277C12002A61}"/>
    <cellStyle name="Percentuale 15 3 4" xfId="4296" xr:uid="{7CF19E3B-2E55-4257-BDD1-5D458B11A8BE}"/>
    <cellStyle name="Percentuale 15 3 4 2" xfId="13783" xr:uid="{383850FE-4AF4-4C0F-8BFA-7366624C533E}"/>
    <cellStyle name="Percentuale 15 3 4 3" xfId="27905" xr:uid="{DD743258-AF3A-4700-A040-71D317AF73E6}"/>
    <cellStyle name="Percentuale 15 3 5" xfId="11207" xr:uid="{85BEC888-DFCC-4585-9330-D3F653CDFE54}"/>
    <cellStyle name="Percentuale 15 3 5 2" xfId="27906" xr:uid="{B9FD97C9-2646-4686-B2F7-4B3C4176EC51}"/>
    <cellStyle name="Percentuale 15 3 6" xfId="27907" xr:uid="{AE4A7898-455C-43A7-9098-82CB838D5147}"/>
    <cellStyle name="Percentuale 15 3 7" xfId="27898" xr:uid="{EDFFCA1C-9F64-4888-B886-C80AED2F20BE}"/>
    <cellStyle name="Percentuale 15 4" xfId="2297" xr:uid="{00000000-0005-0000-0000-0000FB070000}"/>
    <cellStyle name="Percentuale 15 4 2" xfId="2298" xr:uid="{00000000-0005-0000-0000-0000FC070000}"/>
    <cellStyle name="Percentuale 15 4 2 2" xfId="9417" xr:uid="{58D8EE9D-E0B8-47E1-AA0D-35CD0F3DEC20}"/>
    <cellStyle name="Percentuale 15 4 2 2 2" xfId="27910" xr:uid="{55EDDF93-6592-495D-9AE9-C00B2C835D05}"/>
    <cellStyle name="Percentuale 15 4 2 3" xfId="17908" xr:uid="{B6AD8E1D-8D45-4ED7-A054-5F4410B1E9AE}"/>
    <cellStyle name="Percentuale 15 4 2 3 2" xfId="27911" xr:uid="{8D911172-589C-417A-8638-7B66A49C3577}"/>
    <cellStyle name="Percentuale 15 4 2 4" xfId="27909" xr:uid="{ED23E0D4-4F87-48F7-A5C3-23C928E807C8}"/>
    <cellStyle name="Percentuale 15 4 2 5" xfId="17516" xr:uid="{5E6C6579-B0E3-493D-966C-F3E79C884AED}"/>
    <cellStyle name="Percentuale 15 4 3" xfId="9418" xr:uid="{6EFFF600-6F5C-485B-90F4-BBECC5A5B360}"/>
    <cellStyle name="Percentuale 15 4 3 2" xfId="27912" xr:uid="{19756776-546C-43DE-8A80-339C9546FC9F}"/>
    <cellStyle name="Percentuale 15 4 4" xfId="27913" xr:uid="{7A6B2E71-6763-467C-A814-7F3012B1672F}"/>
    <cellStyle name="Percentuale 15 4 4 2" xfId="49087" xr:uid="{239EFBF6-1152-44AA-9197-49773DAA0B18}"/>
    <cellStyle name="Percentuale 15 4 5" xfId="27914" xr:uid="{AB184BB0-0B97-456A-99AA-4A4B96BE4771}"/>
    <cellStyle name="Percentuale 15 4 6" xfId="27908" xr:uid="{C4467387-C4CC-4D25-AD88-3D6076F62BD0}"/>
    <cellStyle name="Percentuale 15 5" xfId="2299" xr:uid="{00000000-0005-0000-0000-0000FD070000}"/>
    <cellStyle name="Percentuale 15 5 2" xfId="27916" xr:uid="{106F0B8D-D90B-439F-B9FE-B7EA8FCE3D45}"/>
    <cellStyle name="Percentuale 15 5 2 2" xfId="49088" xr:uid="{A0C681AC-1767-4C05-91DC-6C4187EC200D}"/>
    <cellStyle name="Percentuale 15 5 3" xfId="27917" xr:uid="{F62EB612-A6DC-4225-B037-43F1AE5EF273}"/>
    <cellStyle name="Percentuale 15 5 4" xfId="27915" xr:uid="{7D4B7AD5-FD12-4993-8B61-70727C12188B}"/>
    <cellStyle name="Percentuale 15 6" xfId="4297" xr:uid="{4002C3B1-580B-4A98-B30C-2043FCD3CEF9}"/>
    <cellStyle name="Percentuale 15 6 2" xfId="9817" xr:uid="{3E2D577A-C910-4161-87C6-89A9E9605375}"/>
    <cellStyle name="Percentuale 15 6 3" xfId="27918" xr:uid="{C435E55B-222D-4D05-8577-8DFD2B7DCEF4}"/>
    <cellStyle name="Percentuale 15 7" xfId="27893" xr:uid="{B6414C00-AD53-438D-BEB2-C68DEC1F6706}"/>
    <cellStyle name="Percentuale 16" xfId="998" xr:uid="{00000000-0005-0000-0000-0000FE070000}"/>
    <cellStyle name="Percentuale 16 2" xfId="999" xr:uid="{00000000-0005-0000-0000-0000FF070000}"/>
    <cellStyle name="Percentuale 16 2 2" xfId="4298" xr:uid="{B5746CE2-CE53-4D9B-8202-5892DDA81895}"/>
    <cellStyle name="Percentuale 16 2 2 2" xfId="13569" xr:uid="{5BEEE41E-0BE9-4E45-807E-1BD7246A7211}"/>
    <cellStyle name="Percentuale 16 2 2 3" xfId="27921" xr:uid="{572F78C3-7210-427D-9CE7-5DEB34D14621}"/>
    <cellStyle name="Percentuale 16 2 3" xfId="13307" xr:uid="{23B9B506-6078-4842-90A7-BFD4074C7290}"/>
    <cellStyle name="Percentuale 16 2 3 2" xfId="27922" xr:uid="{3879E7FB-A47F-4344-A3BB-647421F0CA87}"/>
    <cellStyle name="Percentuale 16 2 4" xfId="27923" xr:uid="{0D4ABFF2-6BAE-4673-A918-F5987C4226FF}"/>
    <cellStyle name="Percentuale 16 2 5" xfId="27920" xr:uid="{9946BF0E-90C8-493F-99B4-12E4C9FD5583}"/>
    <cellStyle name="Percentuale 16 3" xfId="1000" xr:uid="{00000000-0005-0000-0000-000000080000}"/>
    <cellStyle name="Percentuale 16 3 2" xfId="1001" xr:uid="{00000000-0005-0000-0000-000001080000}"/>
    <cellStyle name="Percentuale 16 3 2 2" xfId="2300" xr:uid="{00000000-0005-0000-0000-000002080000}"/>
    <cellStyle name="Percentuale 16 3 2 2 2" xfId="27926" xr:uid="{D3B25C55-E626-47DB-B853-F5086AF62713}"/>
    <cellStyle name="Percentuale 16 3 2 3" xfId="8124" xr:uid="{9A97BD65-94D2-492C-8003-6443C82C0A40}"/>
    <cellStyle name="Percentuale 16 3 2 3 2" xfId="14123" xr:uid="{60CC32F6-4573-4FC0-962D-0C5A79636538}"/>
    <cellStyle name="Percentuale 16 3 2 3 3" xfId="27927" xr:uid="{8585FF37-DF64-402A-B688-7FF55C10AE73}"/>
    <cellStyle name="Percentuale 16 3 2 4" xfId="27925" xr:uid="{2600E5EE-744B-406F-BDDB-BF70984E13B8}"/>
    <cellStyle name="Percentuale 16 3 3" xfId="4299" xr:uid="{56F89B6D-57DA-48F9-96E6-0CE47180B1E4}"/>
    <cellStyle name="Percentuale 16 3 3 2" xfId="9419" xr:uid="{95486B42-9245-48D9-B8AB-CF49DC776983}"/>
    <cellStyle name="Percentuale 16 3 3 2 2" xfId="27929" xr:uid="{DC043CC7-3EE5-4F09-90CF-DA507420073A}"/>
    <cellStyle name="Percentuale 16 3 3 3" xfId="27930" xr:uid="{A53BDA6C-FF48-4333-A55F-2A982820F617}"/>
    <cellStyle name="Percentuale 16 3 3 3 2" xfId="49089" xr:uid="{B150DCD3-3ADB-4E33-BE90-EF62AF1CAD95}"/>
    <cellStyle name="Percentuale 16 3 3 4" xfId="27928" xr:uid="{90325A72-D1C9-4088-9894-2AE330ED7A3C}"/>
    <cellStyle name="Percentuale 16 3 4" xfId="4300" xr:uid="{E49952B0-787F-4084-8F94-27158F8BBB59}"/>
    <cellStyle name="Percentuale 16 3 4 2" xfId="13784" xr:uid="{1F3E7F1E-1DD7-40AD-97B4-8EA3A99CA958}"/>
    <cellStyle name="Percentuale 16 3 4 3" xfId="27931" xr:uid="{23F607AC-488F-4BAB-9B3E-1A6C5AD16D63}"/>
    <cellStyle name="Percentuale 16 3 5" xfId="12260" xr:uid="{32011903-216F-40DD-A079-80BC5B649C22}"/>
    <cellStyle name="Percentuale 16 3 5 2" xfId="27932" xr:uid="{11E1578A-0D87-4F61-820F-41CD7DB1F49B}"/>
    <cellStyle name="Percentuale 16 3 6" xfId="27933" xr:uid="{4496BA32-6BAD-4855-9F58-C24158C7759C}"/>
    <cellStyle name="Percentuale 16 3 7" xfId="27924" xr:uid="{F69E1E70-CC86-4375-8064-9453A0EC6C5A}"/>
    <cellStyle name="Percentuale 16 4" xfId="2301" xr:uid="{00000000-0005-0000-0000-000003080000}"/>
    <cellStyle name="Percentuale 16 4 2" xfId="2302" xr:uid="{00000000-0005-0000-0000-000004080000}"/>
    <cellStyle name="Percentuale 16 4 2 2" xfId="9420" xr:uid="{0D580D8B-ED9B-4C5C-B8AE-FECBCD2F0945}"/>
    <cellStyle name="Percentuale 16 4 2 2 2" xfId="27936" xr:uid="{BA0101D5-1FC7-42CE-BB00-6C89BE6BF93E}"/>
    <cellStyle name="Percentuale 16 4 2 3" xfId="17909" xr:uid="{1161CE93-7083-4131-9620-B2F3741C98DA}"/>
    <cellStyle name="Percentuale 16 4 2 3 2" xfId="27937" xr:uid="{AC891104-D2C3-48EC-AAB7-AD0832E82EF0}"/>
    <cellStyle name="Percentuale 16 4 2 4" xfId="27935" xr:uid="{F4830C0F-4ADD-46AA-881A-FDC7628CEB1B}"/>
    <cellStyle name="Percentuale 16 4 2 5" xfId="17517" xr:uid="{D631F44E-2C38-4A61-BD93-71A46683C2C7}"/>
    <cellStyle name="Percentuale 16 4 3" xfId="9421" xr:uid="{F6ED99DE-927C-411C-B0CE-FF91D0FA72EF}"/>
    <cellStyle name="Percentuale 16 4 3 2" xfId="27938" xr:uid="{4A8FAB72-60D2-4EF7-9B16-59EF75D6BF88}"/>
    <cellStyle name="Percentuale 16 4 4" xfId="27939" xr:uid="{FD859A97-A93A-480D-8702-D20104552419}"/>
    <cellStyle name="Percentuale 16 4 4 2" xfId="49090" xr:uid="{D17EE295-59BD-491A-84FF-505601C45EFB}"/>
    <cellStyle name="Percentuale 16 4 5" xfId="27940" xr:uid="{D4EF1AFE-F327-421F-B49A-CD56D6281BB2}"/>
    <cellStyle name="Percentuale 16 4 6" xfId="27934" xr:uid="{2C968BA2-45DE-49AE-BC1C-8747666F0F7D}"/>
    <cellStyle name="Percentuale 16 5" xfId="2303" xr:uid="{00000000-0005-0000-0000-000005080000}"/>
    <cellStyle name="Percentuale 16 5 2" xfId="27942" xr:uid="{9C50C987-A50B-48E7-95E3-CD115069518A}"/>
    <cellStyle name="Percentuale 16 5 2 2" xfId="49091" xr:uid="{2B8773C9-A721-443C-A90D-373D4B74F261}"/>
    <cellStyle name="Percentuale 16 5 3" xfId="27943" xr:uid="{ED1AD29B-5BB8-4D0D-9BD1-9185CB2AED08}"/>
    <cellStyle name="Percentuale 16 5 4" xfId="27941" xr:uid="{A7F2B694-7734-4671-9D26-0294F3A37362}"/>
    <cellStyle name="Percentuale 16 6" xfId="4301" xr:uid="{D91E1423-E155-4228-9F4E-E18DC6732DEC}"/>
    <cellStyle name="Percentuale 16 6 2" xfId="9818" xr:uid="{05276BEC-C2FE-4907-ADE1-BDD11D3D7590}"/>
    <cellStyle name="Percentuale 16 6 3" xfId="27944" xr:uid="{F542F694-A7D0-49F0-9AFD-6019F04E4B6F}"/>
    <cellStyle name="Percentuale 16 7" xfId="27919" xr:uid="{8AA04DB8-0E58-4838-B065-14B35B493FEE}"/>
    <cellStyle name="Percentuale 17" xfId="1002" xr:uid="{00000000-0005-0000-0000-000006080000}"/>
    <cellStyle name="Percentuale 17 2" xfId="1003" xr:uid="{00000000-0005-0000-0000-000007080000}"/>
    <cellStyle name="Percentuale 17 2 2" xfId="4302" xr:uid="{3A37A5AB-7F0C-44EC-8E58-74B5AC118992}"/>
    <cellStyle name="Percentuale 17 2 2 2" xfId="13570" xr:uid="{D46FE7DF-3B75-49C6-BA04-6FF338B4EA18}"/>
    <cellStyle name="Percentuale 17 2 2 3" xfId="27947" xr:uid="{C145E701-F701-4598-9D4D-508583C4090A}"/>
    <cellStyle name="Percentuale 17 2 3" xfId="13308" xr:uid="{3C93D5E6-3900-4A5F-BF76-5E12E0C1B704}"/>
    <cellStyle name="Percentuale 17 2 3 2" xfId="27948" xr:uid="{37606765-DEC1-459C-B39A-FF4CB3E5E79F}"/>
    <cellStyle name="Percentuale 17 2 4" xfId="27949" xr:uid="{2AA8799D-F591-48A3-BACA-65101BDC1538}"/>
    <cellStyle name="Percentuale 17 2 5" xfId="27946" xr:uid="{95E62E4A-05C2-486C-9821-7CDFEB9C5035}"/>
    <cellStyle name="Percentuale 17 3" xfId="1004" xr:uid="{00000000-0005-0000-0000-000008080000}"/>
    <cellStyle name="Percentuale 17 3 2" xfId="1005" xr:uid="{00000000-0005-0000-0000-000009080000}"/>
    <cellStyle name="Percentuale 17 3 2 2" xfId="2304" xr:uid="{00000000-0005-0000-0000-00000A080000}"/>
    <cellStyle name="Percentuale 17 3 2 2 2" xfId="27952" xr:uid="{0FAB59E2-0EE2-43DB-8E40-600552D2D9E8}"/>
    <cellStyle name="Percentuale 17 3 2 3" xfId="8125" xr:uid="{3B7575F9-2BDA-42BC-8D60-D66E4D4684E4}"/>
    <cellStyle name="Percentuale 17 3 2 3 2" xfId="14124" xr:uid="{43EDC218-23AC-4E7F-BDC8-25F9AA09A0B4}"/>
    <cellStyle name="Percentuale 17 3 2 3 3" xfId="27953" xr:uid="{D007932C-8FC2-4864-8BA4-75A40952F713}"/>
    <cellStyle name="Percentuale 17 3 2 4" xfId="27951" xr:uid="{00F97F12-B223-40D4-A645-9060A885EC3E}"/>
    <cellStyle name="Percentuale 17 3 3" xfId="4303" xr:uid="{50C6E437-C6D1-488B-A064-64FAA92F4946}"/>
    <cellStyle name="Percentuale 17 3 3 2" xfId="9422" xr:uid="{A5A7C82E-A567-4866-A970-F4563652D5B9}"/>
    <cellStyle name="Percentuale 17 3 3 2 2" xfId="27955" xr:uid="{2CA8F7AC-C3B0-422E-9E11-022D984E0C63}"/>
    <cellStyle name="Percentuale 17 3 3 3" xfId="27956" xr:uid="{7C40C532-41F1-466A-8CF4-EA1552442377}"/>
    <cellStyle name="Percentuale 17 3 3 3 2" xfId="49092" xr:uid="{91568A42-07D9-40A1-B772-3C9057D5C396}"/>
    <cellStyle name="Percentuale 17 3 3 4" xfId="27954" xr:uid="{E17EF6A1-DF71-4261-8073-A681885EC0FA}"/>
    <cellStyle name="Percentuale 17 3 4" xfId="4304" xr:uid="{FF0A1BD1-E9C3-412F-9B1B-427E542BAAA3}"/>
    <cellStyle name="Percentuale 17 3 4 2" xfId="13785" xr:uid="{503B1966-DF4D-41A0-8CA4-ED2FA8C94EF6}"/>
    <cellStyle name="Percentuale 17 3 4 3" xfId="27957" xr:uid="{D16097F8-4A07-4E27-AA84-FB3D5407BF09}"/>
    <cellStyle name="Percentuale 17 3 5" xfId="12299" xr:uid="{CC09DE40-0403-40C5-AF59-6FB0353E8AE9}"/>
    <cellStyle name="Percentuale 17 3 5 2" xfId="27958" xr:uid="{BBE91F7B-56FA-4A76-ABD1-8F07A28D70A7}"/>
    <cellStyle name="Percentuale 17 3 6" xfId="27959" xr:uid="{DD44BB6F-5297-42A5-AF84-7D0F773FB114}"/>
    <cellStyle name="Percentuale 17 3 7" xfId="27950" xr:uid="{5BC57FEE-B5E0-40B1-9EA1-50DB19B240B6}"/>
    <cellStyle name="Percentuale 17 4" xfId="2305" xr:uid="{00000000-0005-0000-0000-00000B080000}"/>
    <cellStyle name="Percentuale 17 4 2" xfId="2306" xr:uid="{00000000-0005-0000-0000-00000C080000}"/>
    <cellStyle name="Percentuale 17 4 2 2" xfId="9423" xr:uid="{DF9F8067-170A-496C-AA8C-1ACE77866176}"/>
    <cellStyle name="Percentuale 17 4 2 2 2" xfId="27962" xr:uid="{AFB89EC3-9B32-4F96-9AD2-190B2633ED01}"/>
    <cellStyle name="Percentuale 17 4 2 3" xfId="17910" xr:uid="{E4CA6A11-B58A-4F41-9DAD-0DCCA52F86F6}"/>
    <cellStyle name="Percentuale 17 4 2 3 2" xfId="27963" xr:uid="{D0F20E4A-BC31-4281-B157-EF2D51EDCF5B}"/>
    <cellStyle name="Percentuale 17 4 2 4" xfId="27961" xr:uid="{FFDD52A6-61C3-4CE9-96C3-303759CA8C6B}"/>
    <cellStyle name="Percentuale 17 4 2 5" xfId="17518" xr:uid="{8F07C88F-C989-4E32-958A-2E46D824399D}"/>
    <cellStyle name="Percentuale 17 4 3" xfId="9424" xr:uid="{F6884BE3-E4B3-46A7-BA7D-980DA92EFA20}"/>
    <cellStyle name="Percentuale 17 4 3 2" xfId="27964" xr:uid="{F2A19517-5100-400B-928D-AFA8876F1444}"/>
    <cellStyle name="Percentuale 17 4 4" xfId="27965" xr:uid="{1872964E-1E05-4C8C-AF9D-4972C7FF6EC0}"/>
    <cellStyle name="Percentuale 17 4 5" xfId="27966" xr:uid="{EF5C9561-8544-4313-8BC5-ABF86F59B2D8}"/>
    <cellStyle name="Percentuale 17 4 5 2" xfId="49093" xr:uid="{B8566430-7DA2-43FB-84E5-78F11B3B6929}"/>
    <cellStyle name="Percentuale 17 4 6" xfId="27967" xr:uid="{90E14F7A-2C2B-4547-8D2E-D6277EFE3FC7}"/>
    <cellStyle name="Percentuale 17 4 7" xfId="27960" xr:uid="{D77E69C0-E9BF-42EC-B81D-78543062896A}"/>
    <cellStyle name="Percentuale 17 5" xfId="2307" xr:uid="{00000000-0005-0000-0000-00000D080000}"/>
    <cellStyle name="Percentuale 17 5 2" xfId="27969" xr:uid="{3B761011-8FA1-4B9E-AD4B-0DF554102BF2}"/>
    <cellStyle name="Percentuale 17 5 3" xfId="27970" xr:uid="{CB29401C-CD6D-4D8E-980B-26BEA0F5820E}"/>
    <cellStyle name="Percentuale 17 5 3 2" xfId="49094" xr:uid="{E627001E-C431-4787-9C1B-6BDD6C85A7C2}"/>
    <cellStyle name="Percentuale 17 5 4" xfId="27971" xr:uid="{D44F1E9E-A700-439F-ADDA-FD9EAA646037}"/>
    <cellStyle name="Percentuale 17 5 5" xfId="27968" xr:uid="{1979A724-5532-41CD-B6EF-C4C427C15D1B}"/>
    <cellStyle name="Percentuale 17 6" xfId="4305" xr:uid="{27178EE9-8489-4826-9C90-E8DA6D9B7D3D}"/>
    <cellStyle name="Percentuale 17 6 2" xfId="9819" xr:uid="{55604129-56C1-4CDD-8A50-2DD6BD733884}"/>
    <cellStyle name="Percentuale 17 6 3" xfId="27972" xr:uid="{F94D4250-328E-4AF5-A512-9D6494E53263}"/>
    <cellStyle name="Percentuale 17 7" xfId="27945" xr:uid="{21705239-4F54-46E2-A49C-10E2A9B79CE7}"/>
    <cellStyle name="Percentuale 18" xfId="1006" xr:uid="{00000000-0005-0000-0000-00000E080000}"/>
    <cellStyle name="Percentuale 18 2" xfId="1007" xr:uid="{00000000-0005-0000-0000-00000F080000}"/>
    <cellStyle name="Percentuale 18 2 2" xfId="4306" xr:uid="{A8658E94-A5F4-4F98-835C-AA0F367502F2}"/>
    <cellStyle name="Percentuale 18 2 2 2" xfId="13571" xr:uid="{F29C9E61-0789-4EBB-B0CF-97869DEB7A62}"/>
    <cellStyle name="Percentuale 18 2 2 3" xfId="27975" xr:uid="{BE524B72-2E0B-4CEC-B011-3B081BE1D852}"/>
    <cellStyle name="Percentuale 18 2 3" xfId="13309" xr:uid="{B780561A-F0FF-4288-B597-A7E5EB307643}"/>
    <cellStyle name="Percentuale 18 2 3 2" xfId="27976" xr:uid="{E576D8F9-A0E2-40E3-8950-F3EF9F925C08}"/>
    <cellStyle name="Percentuale 18 2 4" xfId="27977" xr:uid="{DA87BBE2-E0FB-41B1-8912-55C7ACDF845F}"/>
    <cellStyle name="Percentuale 18 2 4 2" xfId="49095" xr:uid="{32DFD350-0816-4B1D-A32D-7D54B2C4152F}"/>
    <cellStyle name="Percentuale 18 2 5" xfId="27978" xr:uid="{C3EC857B-7A61-4633-B2B4-A26F39793A40}"/>
    <cellStyle name="Percentuale 18 2 6" xfId="27974" xr:uid="{BC2ED648-05D1-46E9-8553-86C875FD7A49}"/>
    <cellStyle name="Percentuale 18 3" xfId="1008" xr:uid="{00000000-0005-0000-0000-000010080000}"/>
    <cellStyle name="Percentuale 18 3 2" xfId="1009" xr:uid="{00000000-0005-0000-0000-000011080000}"/>
    <cellStyle name="Percentuale 18 3 2 2" xfId="2308" xr:uid="{00000000-0005-0000-0000-000012080000}"/>
    <cellStyle name="Percentuale 18 3 2 2 2" xfId="27982" xr:uid="{67AA7979-9D1A-4504-A580-82A4032EE1C2}"/>
    <cellStyle name="Percentuale 18 3 2 2 3" xfId="27981" xr:uid="{F77D10E1-2804-4645-820A-F3077862B365}"/>
    <cellStyle name="Percentuale 18 3 2 3" xfId="8126" xr:uid="{9F7D25DD-08DE-4921-A405-7E33E435D5D7}"/>
    <cellStyle name="Percentuale 18 3 2 3 2" xfId="14125" xr:uid="{51D41FCB-3C49-42D4-9ACF-772A1714AF56}"/>
    <cellStyle name="Percentuale 18 3 2 3 3" xfId="27983" xr:uid="{99F849D6-BE80-44A6-8B54-017B2CB5A0EB}"/>
    <cellStyle name="Percentuale 18 3 2 3 4" xfId="49096" xr:uid="{FAA63CD0-F812-4F16-8B26-AD90B6B61E9C}"/>
    <cellStyle name="Percentuale 18 3 2 4" xfId="27984" xr:uid="{B39AB08F-7579-4A4D-98BE-59C1CD099864}"/>
    <cellStyle name="Percentuale 18 3 2 5" xfId="27980" xr:uid="{016FEF7E-DBE9-49F2-B8DA-21A5E718C525}"/>
    <cellStyle name="Percentuale 18 3 3" xfId="4307" xr:uid="{7EEA995A-CC7D-4ADF-B806-9FE64361B0AA}"/>
    <cellStyle name="Percentuale 18 3 3 2" xfId="9425" xr:uid="{24A7B3B2-BCE0-4C4F-A80B-F75A1445F5E6}"/>
    <cellStyle name="Percentuale 18 3 3 2 2" xfId="27986" xr:uid="{8FB8DFEA-5B34-4209-A2BE-1062320D4B18}"/>
    <cellStyle name="Percentuale 18 3 3 3" xfId="27987" xr:uid="{4CBE36DD-B9DC-4E72-BEE1-A395E14FD657}"/>
    <cellStyle name="Percentuale 18 3 3 4" xfId="27988" xr:uid="{F976AB8A-7E53-40C7-9B76-AFE3A6907D4E}"/>
    <cellStyle name="Percentuale 18 3 3 4 2" xfId="49097" xr:uid="{4DB80551-C3DE-47FD-9303-E8D3E6950B4D}"/>
    <cellStyle name="Percentuale 18 3 3 5" xfId="27985" xr:uid="{189ED5B6-7754-4C68-A36E-B5DA0F4CCC32}"/>
    <cellStyle name="Percentuale 18 3 4" xfId="4308" xr:uid="{64C40F14-9F40-45ED-A191-7869D8C182BD}"/>
    <cellStyle name="Percentuale 18 3 4 2" xfId="13786" xr:uid="{E38A7B8A-7881-43BE-A244-E0ED9143F5D7}"/>
    <cellStyle name="Percentuale 18 3 4 3" xfId="27989" xr:uid="{7B85A6BF-38A4-487C-B21E-049FD6391B25}"/>
    <cellStyle name="Percentuale 18 3 5" xfId="11101" xr:uid="{B3C531C2-F504-4346-9120-99BB7E3F65A3}"/>
    <cellStyle name="Percentuale 18 3 5 2" xfId="27990" xr:uid="{F8DE770E-D640-41FE-A443-2A35868E3E4D}"/>
    <cellStyle name="Percentuale 18 3 6" xfId="27991" xr:uid="{E1E8A192-68BD-4215-8254-AFB7B3200A02}"/>
    <cellStyle name="Percentuale 18 3 6 2" xfId="49098" xr:uid="{CB91DC7F-33D0-4493-A318-03F4BC2BF950}"/>
    <cellStyle name="Percentuale 18 3 7" xfId="27992" xr:uid="{A79E5A99-E79D-4099-91D6-1A9772D34452}"/>
    <cellStyle name="Percentuale 18 3 8" xfId="27979" xr:uid="{3C0D8DED-2EBC-4A82-9AD4-F6CB58B52E88}"/>
    <cellStyle name="Percentuale 18 4" xfId="2309" xr:uid="{00000000-0005-0000-0000-000013080000}"/>
    <cellStyle name="Percentuale 18 4 2" xfId="2310" xr:uid="{00000000-0005-0000-0000-000014080000}"/>
    <cellStyle name="Percentuale 18 4 2 2" xfId="9426" xr:uid="{C4CFCF7B-8A4D-4F0B-B60E-5D560673175E}"/>
    <cellStyle name="Percentuale 18 4 2 2 2" xfId="27995" xr:uid="{A1C38068-895D-4E16-AC1E-9E066BC16B46}"/>
    <cellStyle name="Percentuale 18 4 2 3" xfId="17911" xr:uid="{EC84373E-9C71-42F2-A60D-8BC8B6FBD209}"/>
    <cellStyle name="Percentuale 18 4 2 3 2" xfId="27996" xr:uid="{98F084FC-E157-4B34-8317-D650DF891B40}"/>
    <cellStyle name="Percentuale 18 4 2 4" xfId="27994" xr:uid="{A30E7A9E-B7E6-4F41-8570-3BE84EF31BCC}"/>
    <cellStyle name="Percentuale 18 4 2 5" xfId="17519" xr:uid="{E536DDF1-1CF0-478B-9F3B-A6602CB86D80}"/>
    <cellStyle name="Percentuale 18 4 3" xfId="9427" xr:uid="{C1544B3C-E6A0-4EC1-94BF-7401D829B939}"/>
    <cellStyle name="Percentuale 18 4 3 2" xfId="27997" xr:uid="{EE4C0FC4-8F62-4889-900C-0292D7B8CAE3}"/>
    <cellStyle name="Percentuale 18 4 4" xfId="27998" xr:uid="{33A5B565-049E-423C-B583-78870AE92A95}"/>
    <cellStyle name="Percentuale 18 4 5" xfId="27999" xr:uid="{B3F6BE89-7947-43D0-9B00-54CEA95FCEA2}"/>
    <cellStyle name="Percentuale 18 4 5 2" xfId="49099" xr:uid="{62DEA3E8-6D28-4802-9EB4-81ADDA4B272C}"/>
    <cellStyle name="Percentuale 18 4 6" xfId="28000" xr:uid="{A9AD8A0C-17C6-4702-B300-E1F014327095}"/>
    <cellStyle name="Percentuale 18 4 7" xfId="27993" xr:uid="{1699D636-D153-41CF-820A-1ED23D404909}"/>
    <cellStyle name="Percentuale 18 5" xfId="2311" xr:uid="{00000000-0005-0000-0000-000015080000}"/>
    <cellStyle name="Percentuale 18 5 2" xfId="28002" xr:uid="{EE86BED3-4718-4C4A-8321-24090C18B211}"/>
    <cellStyle name="Percentuale 18 5 3" xfId="28003" xr:uid="{630D21DB-7E43-4EE4-9A69-0E8FFBAAFDE6}"/>
    <cellStyle name="Percentuale 18 5 3 2" xfId="49100" xr:uid="{3C1B9011-260C-45C9-B124-D2F850EF2F1D}"/>
    <cellStyle name="Percentuale 18 5 4" xfId="28004" xr:uid="{EB0F9B63-EE60-4730-8EB8-F7AEE017C0C2}"/>
    <cellStyle name="Percentuale 18 5 5" xfId="28001" xr:uid="{F685E6CE-B828-497C-A54E-46BA66B90934}"/>
    <cellStyle name="Percentuale 18 6" xfId="4309" xr:uid="{87F10369-CB61-4986-95AF-149A6D0610C4}"/>
    <cellStyle name="Percentuale 18 6 2" xfId="9820" xr:uid="{813F539D-601B-42B6-B63B-2FB0B66F2D21}"/>
    <cellStyle name="Percentuale 18 6 3" xfId="28005" xr:uid="{FEB3CE7A-AF3C-4DDE-A309-A1F35E940954}"/>
    <cellStyle name="Percentuale 18 7" xfId="28006" xr:uid="{F637FD17-9446-4E29-A2AD-C23331E63576}"/>
    <cellStyle name="Percentuale 18 7 2" xfId="49101" xr:uid="{A79B415C-EBB4-42EB-A579-FAAB8C6DBACC}"/>
    <cellStyle name="Percentuale 18 8" xfId="27973" xr:uid="{B73549F2-29B5-4F3C-A387-2161A94EC752}"/>
    <cellStyle name="Percentuale 19" xfId="1010" xr:uid="{00000000-0005-0000-0000-000016080000}"/>
    <cellStyle name="Percentuale 19 2" xfId="1011" xr:uid="{00000000-0005-0000-0000-000017080000}"/>
    <cellStyle name="Percentuale 19 2 2" xfId="4310" xr:uid="{BA9D46D7-7A0C-42F2-B2D2-8010FC9DD4AB}"/>
    <cellStyle name="Percentuale 19 2 2 2" xfId="13572" xr:uid="{E4BC1A85-6CC7-4514-977B-0195494C36B8}"/>
    <cellStyle name="Percentuale 19 2 2 3" xfId="28009" xr:uid="{54BFB8B7-4809-4F5D-999F-1BA3D0115C15}"/>
    <cellStyle name="Percentuale 19 2 3" xfId="13310" xr:uid="{0B7F5D34-F3DB-4209-A72A-7404D633071A}"/>
    <cellStyle name="Percentuale 19 2 3 2" xfId="28010" xr:uid="{5F500C4C-3582-440A-9E0E-D69A1EA83B20}"/>
    <cellStyle name="Percentuale 19 2 4" xfId="28011" xr:uid="{438212C7-90E4-483C-AF8B-50AA9332F5E6}"/>
    <cellStyle name="Percentuale 19 2 4 2" xfId="49102" xr:uid="{F1779898-130C-4CA7-83F0-73B8FD67FE46}"/>
    <cellStyle name="Percentuale 19 2 5" xfId="28012" xr:uid="{80E18BDA-EFAF-4257-8078-24BB5BA11DC2}"/>
    <cellStyle name="Percentuale 19 2 6" xfId="28008" xr:uid="{78BB4BF1-DAF2-47FD-AE79-A20F583DA0EF}"/>
    <cellStyle name="Percentuale 19 3" xfId="1012" xr:uid="{00000000-0005-0000-0000-000018080000}"/>
    <cellStyle name="Percentuale 19 3 2" xfId="1013" xr:uid="{00000000-0005-0000-0000-000019080000}"/>
    <cellStyle name="Percentuale 19 3 2 2" xfId="2312" xr:uid="{00000000-0005-0000-0000-00001A080000}"/>
    <cellStyle name="Percentuale 19 3 2 2 2" xfId="28016" xr:uid="{76BA7D03-7AF3-4A5F-93B2-10A2BDC306DB}"/>
    <cellStyle name="Percentuale 19 3 2 2 3" xfId="28015" xr:uid="{2147D432-9136-40FD-9376-33C18739F351}"/>
    <cellStyle name="Percentuale 19 3 2 3" xfId="8127" xr:uid="{81DFE220-EF80-46CB-B2D1-33D23F6479BC}"/>
    <cellStyle name="Percentuale 19 3 2 3 2" xfId="14126" xr:uid="{BC4234CD-1756-46A4-934A-56283795E220}"/>
    <cellStyle name="Percentuale 19 3 2 3 3" xfId="28017" xr:uid="{D8E8B71B-ADE4-43C3-817E-A23861970CA3}"/>
    <cellStyle name="Percentuale 19 3 2 3 4" xfId="49103" xr:uid="{8F8F6F00-FE5E-4201-B6F7-6A3F262A493B}"/>
    <cellStyle name="Percentuale 19 3 2 4" xfId="28018" xr:uid="{F621DB0A-8B58-4DF2-AAFB-32B31335ABE8}"/>
    <cellStyle name="Percentuale 19 3 2 5" xfId="28014" xr:uid="{1ACEA159-B7BA-466E-BD5C-49F1D1285C8E}"/>
    <cellStyle name="Percentuale 19 3 3" xfId="4311" xr:uid="{6F703134-6C21-4517-A20B-161786AA7ABC}"/>
    <cellStyle name="Percentuale 19 3 3 2" xfId="9428" xr:uid="{EA1476FF-6ABE-4157-A586-C8A32F95EBFB}"/>
    <cellStyle name="Percentuale 19 3 3 2 2" xfId="28020" xr:uid="{ECC83FEC-7C40-4722-BAD4-6D7768CAD009}"/>
    <cellStyle name="Percentuale 19 3 3 3" xfId="28021" xr:uid="{D3EF2BB8-BD77-41CF-8ECE-EA34BCD45D4A}"/>
    <cellStyle name="Percentuale 19 3 3 4" xfId="28022" xr:uid="{2A136EB4-C9CB-4E7F-A26B-983429B5953F}"/>
    <cellStyle name="Percentuale 19 3 3 4 2" xfId="49104" xr:uid="{3E81832C-6FFD-49D5-A3B0-F231D7195490}"/>
    <cellStyle name="Percentuale 19 3 3 5" xfId="28019" xr:uid="{F519020F-8BCF-4FC9-94F3-7FEE91C5E9FC}"/>
    <cellStyle name="Percentuale 19 3 4" xfId="4312" xr:uid="{A8FDC91B-88E8-47D5-9884-E5A60997680F}"/>
    <cellStyle name="Percentuale 19 3 4 2" xfId="13787" xr:uid="{B84E236E-C73E-4698-A1C8-7929793DB863}"/>
    <cellStyle name="Percentuale 19 3 4 3" xfId="28023" xr:uid="{F7933117-E6DF-4A55-8D3A-429479AA2F62}"/>
    <cellStyle name="Percentuale 19 3 5" xfId="12298" xr:uid="{F1249EB1-4645-4872-9DD4-EE9EBCED3CF9}"/>
    <cellStyle name="Percentuale 19 3 5 2" xfId="28024" xr:uid="{7C27B8C1-61CF-478F-8E45-4EA0BB7144D5}"/>
    <cellStyle name="Percentuale 19 3 6" xfId="28025" xr:uid="{A5FBE952-C0CB-4FFA-B4CF-4EF012B82F39}"/>
    <cellStyle name="Percentuale 19 3 6 2" xfId="49105" xr:uid="{5FA9D709-6CF4-42CE-ADA3-E3371B370397}"/>
    <cellStyle name="Percentuale 19 3 7" xfId="28026" xr:uid="{7EFFDC18-0211-4789-AEF3-22CC386AF628}"/>
    <cellStyle name="Percentuale 19 3 8" xfId="28013" xr:uid="{418CC356-F714-4965-85C0-F0FB9B7A3A8F}"/>
    <cellStyle name="Percentuale 19 4" xfId="2313" xr:uid="{00000000-0005-0000-0000-00001B080000}"/>
    <cellStyle name="Percentuale 19 4 2" xfId="2314" xr:uid="{00000000-0005-0000-0000-00001C080000}"/>
    <cellStyle name="Percentuale 19 4 2 2" xfId="9429" xr:uid="{2421E4C1-A5C9-41E3-86ED-012ABE6D44D2}"/>
    <cellStyle name="Percentuale 19 4 2 2 2" xfId="28029" xr:uid="{B5BA1BB5-C547-438B-889A-1E971D021458}"/>
    <cellStyle name="Percentuale 19 4 2 3" xfId="17912" xr:uid="{BD46F863-5452-4A63-9476-FE65B62EB3B4}"/>
    <cellStyle name="Percentuale 19 4 2 3 2" xfId="28030" xr:uid="{D6DB4561-9679-48A7-B608-91E19CF1BBE9}"/>
    <cellStyle name="Percentuale 19 4 2 4" xfId="28028" xr:uid="{920D53BD-A4A2-4231-BCD6-CFFCF59CA580}"/>
    <cellStyle name="Percentuale 19 4 2 5" xfId="17520" xr:uid="{2F4F1288-B7E9-4758-8CFD-C9A4CEBEEC81}"/>
    <cellStyle name="Percentuale 19 4 3" xfId="9430" xr:uid="{25597BD5-F75A-40E0-965B-76B61BD1E4B7}"/>
    <cellStyle name="Percentuale 19 4 3 2" xfId="28031" xr:uid="{FD1EDAD1-8DA8-4601-AB2D-D73C336FEF47}"/>
    <cellStyle name="Percentuale 19 4 4" xfId="28032" xr:uid="{212ACC38-DA0A-4DAE-8D0D-9DA4DEBBBE58}"/>
    <cellStyle name="Percentuale 19 4 5" xfId="28033" xr:uid="{370F5CD4-6BBC-4289-B180-9C70FFCB972B}"/>
    <cellStyle name="Percentuale 19 4 5 2" xfId="49106" xr:uid="{BE6EC96E-5C14-4BC4-B865-D37167C6A27C}"/>
    <cellStyle name="Percentuale 19 4 6" xfId="28034" xr:uid="{7B02E7F8-08EF-424A-8AF6-BD88FD26ACFB}"/>
    <cellStyle name="Percentuale 19 4 7" xfId="28027" xr:uid="{FFC0D691-6546-4DB3-AD9F-BF431463EE7A}"/>
    <cellStyle name="Percentuale 19 5" xfId="2315" xr:uid="{00000000-0005-0000-0000-00001D080000}"/>
    <cellStyle name="Percentuale 19 5 2" xfId="28036" xr:uid="{0C110F0F-D796-4D1E-A858-6D751807DB70}"/>
    <cellStyle name="Percentuale 19 5 3" xfId="28037" xr:uid="{20DFAB30-6197-44A8-904F-F7938227D561}"/>
    <cellStyle name="Percentuale 19 5 3 2" xfId="49107" xr:uid="{372AF272-568D-4721-99E1-B9905105853A}"/>
    <cellStyle name="Percentuale 19 5 4" xfId="28038" xr:uid="{8A89E720-8F41-4516-8847-61C3194FF382}"/>
    <cellStyle name="Percentuale 19 5 5" xfId="28035" xr:uid="{D5258FD6-FF2E-493A-A06C-20DF10926BFB}"/>
    <cellStyle name="Percentuale 19 6" xfId="4313" xr:uid="{52CEBB85-B015-4CAF-A5B6-B5BDE12EA177}"/>
    <cellStyle name="Percentuale 19 6 2" xfId="9821" xr:uid="{6BA8B178-0BA8-4F60-A30D-C4645B8D9E40}"/>
    <cellStyle name="Percentuale 19 6 3" xfId="28039" xr:uid="{DF4566A7-3ACC-4612-9A4F-F1719DC20950}"/>
    <cellStyle name="Percentuale 19 7" xfId="28040" xr:uid="{3343C255-5D13-4A16-A4F4-D3ADA8899F8C}"/>
    <cellStyle name="Percentuale 19 7 2" xfId="49108" xr:uid="{78D5DE14-A967-499B-8261-C1201CE967A2}"/>
    <cellStyle name="Percentuale 19 8" xfId="28007" xr:uid="{01EECB37-6B65-4268-BDCC-5E53E58A11F4}"/>
    <cellStyle name="Percentuale 2" xfId="1014" xr:uid="{00000000-0005-0000-0000-00001E080000}"/>
    <cellStyle name="Percentuale 2 2" xfId="1015" xr:uid="{00000000-0005-0000-0000-00001F080000}"/>
    <cellStyle name="Percentuale 2 2 2" xfId="4314" xr:uid="{9C7650BE-CB76-4641-B9C2-ABEA3134E183}"/>
    <cellStyle name="Percentuale 2 2 2 2" xfId="13573" xr:uid="{75061E15-B3F8-4FFE-9466-EBFC7EF6523D}"/>
    <cellStyle name="Percentuale 2 2 2 3" xfId="28043" xr:uid="{AA9CE906-AB34-4062-B86B-1A14FCD7B4B9}"/>
    <cellStyle name="Percentuale 2 2 3" xfId="13311" xr:uid="{E9C6B907-FAE7-4161-A722-5D78F53E9929}"/>
    <cellStyle name="Percentuale 2 2 3 2" xfId="28044" xr:uid="{5A952F5E-B678-4E70-A724-F20896DADCA0}"/>
    <cellStyle name="Percentuale 2 2 4" xfId="28045" xr:uid="{A51095C2-3C19-42C0-9949-AF5AA90FF4C4}"/>
    <cellStyle name="Percentuale 2 2 4 2" xfId="49109" xr:uid="{53DFD6F2-28D1-41E6-AB79-4BA079C0B3BD}"/>
    <cellStyle name="Percentuale 2 2 5" xfId="28046" xr:uid="{B53B1C44-CDF0-46F6-BE3F-34947AC356D6}"/>
    <cellStyle name="Percentuale 2 2 6" xfId="28042" xr:uid="{8099FBE1-6120-42A5-A3F2-80FA72980827}"/>
    <cellStyle name="Percentuale 2 3" xfId="1016" xr:uid="{00000000-0005-0000-0000-000020080000}"/>
    <cellStyle name="Percentuale 2 3 2" xfId="1017" xr:uid="{00000000-0005-0000-0000-000021080000}"/>
    <cellStyle name="Percentuale 2 3 2 2" xfId="2316" xr:uid="{00000000-0005-0000-0000-000022080000}"/>
    <cellStyle name="Percentuale 2 3 2 2 2" xfId="28050" xr:uid="{89591D8A-2BB2-4928-BBB7-E56A11900C72}"/>
    <cellStyle name="Percentuale 2 3 2 2 3" xfId="28049" xr:uid="{24962862-A2FD-4EF5-A004-C67D7D965DE3}"/>
    <cellStyle name="Percentuale 2 3 2 3" xfId="8128" xr:uid="{7DD8146C-EF56-473A-A933-29A46AD32197}"/>
    <cellStyle name="Percentuale 2 3 2 3 2" xfId="14127" xr:uid="{191A4B67-EB60-4B55-AFE6-B9D5BAD72902}"/>
    <cellStyle name="Percentuale 2 3 2 3 3" xfId="28051" xr:uid="{42532835-70FE-480B-AEFF-63E9627A414C}"/>
    <cellStyle name="Percentuale 2 3 2 3 4" xfId="49110" xr:uid="{9633BC9E-5CDE-461C-90E0-262EC8EDA131}"/>
    <cellStyle name="Percentuale 2 3 2 4" xfId="28052" xr:uid="{3FB0D159-EE5A-48C4-B050-2926C757899C}"/>
    <cellStyle name="Percentuale 2 3 2 5" xfId="28048" xr:uid="{FD6FD634-CD44-45F8-A8EC-29E04CFDCBEE}"/>
    <cellStyle name="Percentuale 2 3 3" xfId="4315" xr:uid="{F3BF4111-45C3-4091-A992-0CE1048F3883}"/>
    <cellStyle name="Percentuale 2 3 3 2" xfId="9431" xr:uid="{226E7F96-B62C-4A35-8949-1BFB05D8F9BD}"/>
    <cellStyle name="Percentuale 2 3 3 2 2" xfId="28054" xr:uid="{4138AE03-0E0F-4ED9-BEAB-D12DCBB3BC78}"/>
    <cellStyle name="Percentuale 2 3 3 3" xfId="28055" xr:uid="{F57056E5-0B07-413C-A79F-EF0AE8E525CF}"/>
    <cellStyle name="Percentuale 2 3 3 4" xfId="28056" xr:uid="{7ED95358-7AD2-494D-9AF1-7A23A62FCEA9}"/>
    <cellStyle name="Percentuale 2 3 3 4 2" xfId="49111" xr:uid="{87802AC8-6E5C-42A8-9A1D-CBAA37A88BCB}"/>
    <cellStyle name="Percentuale 2 3 3 5" xfId="28053" xr:uid="{4FBD2FC6-C75B-4161-ACE1-8CA2CD3F5380}"/>
    <cellStyle name="Percentuale 2 3 4" xfId="4316" xr:uid="{940DADBD-F47C-48C6-893B-1055CEF95CF5}"/>
    <cellStyle name="Percentuale 2 3 4 2" xfId="13788" xr:uid="{BE6674CA-739B-4A1C-8057-F58EC49D1A2F}"/>
    <cellStyle name="Percentuale 2 3 4 3" xfId="28057" xr:uid="{85A52A3D-859B-472F-A327-5F8674F5DC6D}"/>
    <cellStyle name="Percentuale 2 3 5" xfId="11426" xr:uid="{AB61224F-6535-4AC4-8011-DAAB6E44CB09}"/>
    <cellStyle name="Percentuale 2 3 5 2" xfId="28058" xr:uid="{929A1CCD-78A2-42EB-B935-7FD504C42CF8}"/>
    <cellStyle name="Percentuale 2 3 6" xfId="28059" xr:uid="{767C8944-A0C1-4084-8511-EEF164E3B6E8}"/>
    <cellStyle name="Percentuale 2 3 6 2" xfId="49112" xr:uid="{412254D5-2331-42CA-927D-6B43BB36B60D}"/>
    <cellStyle name="Percentuale 2 3 7" xfId="28060" xr:uid="{81439764-B00E-4908-A7B0-747D36581F52}"/>
    <cellStyle name="Percentuale 2 3 8" xfId="28047" xr:uid="{3BE11D91-BC9C-4BEA-A3EC-8646EB434F20}"/>
    <cellStyle name="Percentuale 2 4" xfId="2317" xr:uid="{00000000-0005-0000-0000-000023080000}"/>
    <cellStyle name="Percentuale 2 4 2" xfId="2318" xr:uid="{00000000-0005-0000-0000-000024080000}"/>
    <cellStyle name="Percentuale 2 4 2 2" xfId="9432" xr:uid="{7E03A4EF-8748-4E76-90C6-871C8D37B6A4}"/>
    <cellStyle name="Percentuale 2 4 2 2 2" xfId="28063" xr:uid="{7AF0ABEE-A3BD-4343-AAC2-0F73A39F0735}"/>
    <cellStyle name="Percentuale 2 4 2 3" xfId="17913" xr:uid="{CA166B83-61C9-4C0C-BC2D-B23581A57197}"/>
    <cellStyle name="Percentuale 2 4 2 3 2" xfId="28064" xr:uid="{0E04BB00-C95F-44F7-B632-7D781E43D92A}"/>
    <cellStyle name="Percentuale 2 4 2 4" xfId="28062" xr:uid="{7B1B30F3-3351-4707-A310-9545BEB9B827}"/>
    <cellStyle name="Percentuale 2 4 2 5" xfId="17521" xr:uid="{171C3AEB-9E45-4C06-87D9-74EB41196A81}"/>
    <cellStyle name="Percentuale 2 4 3" xfId="9433" xr:uid="{540A69B8-3794-46D5-990E-C258C434A610}"/>
    <cellStyle name="Percentuale 2 4 3 2" xfId="28065" xr:uid="{1C6100E6-C597-49D3-99D3-EFEF970F51EC}"/>
    <cellStyle name="Percentuale 2 4 4" xfId="28066" xr:uid="{2D05D0AC-3660-4354-8272-A952DE0F6F5C}"/>
    <cellStyle name="Percentuale 2 4 5" xfId="28067" xr:uid="{1BE1181F-568E-4B62-B07D-3031E27CF3B1}"/>
    <cellStyle name="Percentuale 2 4 5 2" xfId="49113" xr:uid="{600019EC-5B6A-4433-BAB9-61854C6367AE}"/>
    <cellStyle name="Percentuale 2 4 6" xfId="28068" xr:uid="{0D749EB6-49D5-4ADC-94FA-D0595374AB82}"/>
    <cellStyle name="Percentuale 2 4 7" xfId="28061" xr:uid="{45E7BBB7-2CF4-43D0-99A8-C5F4D681BF87}"/>
    <cellStyle name="Percentuale 2 5" xfId="2319" xr:uid="{00000000-0005-0000-0000-000025080000}"/>
    <cellStyle name="Percentuale 2 5 2" xfId="28070" xr:uid="{EA13FEE2-A245-4204-AA95-BA503797C898}"/>
    <cellStyle name="Percentuale 2 5 3" xfId="28071" xr:uid="{61C8DA5C-FC7C-4571-8AB1-00215A770289}"/>
    <cellStyle name="Percentuale 2 5 3 2" xfId="49114" xr:uid="{58AE756F-B69A-4717-98CE-4F0F12B89938}"/>
    <cellStyle name="Percentuale 2 5 4" xfId="28072" xr:uid="{2E74DC0F-AD52-4C4E-BFC8-977958883107}"/>
    <cellStyle name="Percentuale 2 5 5" xfId="28069" xr:uid="{9C8D4202-762D-4001-81EB-11A6ABCDF7FC}"/>
    <cellStyle name="Percentuale 2 6" xfId="4317" xr:uid="{9DDDDF3B-A0B4-46A9-9634-0A29D3852675}"/>
    <cellStyle name="Percentuale 2 6 2" xfId="9822" xr:uid="{F6EDAAB9-D5A6-4CAA-B5FF-BDD6CF884DB1}"/>
    <cellStyle name="Percentuale 2 6 3" xfId="28073" xr:uid="{708E9CAE-5A77-4671-8D90-91E38BA38E31}"/>
    <cellStyle name="Percentuale 2 7" xfId="28074" xr:uid="{4C78CA0D-9E41-4571-A6C3-8B858AC948AD}"/>
    <cellStyle name="Percentuale 2 7 2" xfId="49115" xr:uid="{F6C415E3-0FF8-4EDF-8EEA-F15860BC86AF}"/>
    <cellStyle name="Percentuale 2 8" xfId="28041" xr:uid="{F127F1DF-057F-4E37-84FE-A490ED631073}"/>
    <cellStyle name="Percentuale 20" xfId="1018" xr:uid="{00000000-0005-0000-0000-000026080000}"/>
    <cellStyle name="Percentuale 20 2" xfId="1019" xr:uid="{00000000-0005-0000-0000-000027080000}"/>
    <cellStyle name="Percentuale 20 2 2" xfId="4318" xr:uid="{303484B0-2F85-447D-B322-6BEBD1E44FE3}"/>
    <cellStyle name="Percentuale 20 2 2 2" xfId="13574" xr:uid="{D926B681-0FC2-4DD7-AEFB-86CA826F2EB7}"/>
    <cellStyle name="Percentuale 20 2 2 3" xfId="28077" xr:uid="{42A2D0EF-FA17-4DEA-A12E-7F98CF2A116A}"/>
    <cellStyle name="Percentuale 20 2 3" xfId="13312" xr:uid="{0EBEC46E-4BCF-4D46-973E-7454892F1ACD}"/>
    <cellStyle name="Percentuale 20 2 3 2" xfId="28078" xr:uid="{B9B5DA13-5F27-4D48-B656-C99F1892E1DA}"/>
    <cellStyle name="Percentuale 20 2 4" xfId="28079" xr:uid="{D4B33205-A44C-4FCD-91BF-ACDDA0734B95}"/>
    <cellStyle name="Percentuale 20 2 4 2" xfId="49116" xr:uid="{6BF3B86B-B69F-4A94-945A-8C05CF92F006}"/>
    <cellStyle name="Percentuale 20 2 5" xfId="28080" xr:uid="{9E2858EA-2D65-4EB2-8499-59C7C35B07F0}"/>
    <cellStyle name="Percentuale 20 2 6" xfId="28076" xr:uid="{AAEFC67B-52D5-434A-957B-5FB6DC71B188}"/>
    <cellStyle name="Percentuale 20 3" xfId="1020" xr:uid="{00000000-0005-0000-0000-000028080000}"/>
    <cellStyle name="Percentuale 20 3 2" xfId="1021" xr:uid="{00000000-0005-0000-0000-000029080000}"/>
    <cellStyle name="Percentuale 20 3 2 2" xfId="2320" xr:uid="{00000000-0005-0000-0000-00002A080000}"/>
    <cellStyle name="Percentuale 20 3 2 2 2" xfId="28084" xr:uid="{1CAD9C0C-E7B2-432A-B5B7-E6BB8CE361CE}"/>
    <cellStyle name="Percentuale 20 3 2 2 3" xfId="28083" xr:uid="{7994D69E-5DB9-48F0-A440-0E09CCC52460}"/>
    <cellStyle name="Percentuale 20 3 2 3" xfId="8129" xr:uid="{62F50A8A-0C63-49F6-AD96-C0C3DDCC4002}"/>
    <cellStyle name="Percentuale 20 3 2 3 2" xfId="14128" xr:uid="{D14FE29F-EFED-4A07-B3C5-57F13036C971}"/>
    <cellStyle name="Percentuale 20 3 2 3 3" xfId="28085" xr:uid="{2B94C0C4-7D57-4017-ADF8-2899B80C58F4}"/>
    <cellStyle name="Percentuale 20 3 2 3 4" xfId="49117" xr:uid="{2CB1162C-2511-4E86-B7CE-2FEC8803F7A2}"/>
    <cellStyle name="Percentuale 20 3 2 4" xfId="28086" xr:uid="{3F88D219-636E-4DB5-8D4F-57611A6F75F2}"/>
    <cellStyle name="Percentuale 20 3 2 5" xfId="28082" xr:uid="{E9287065-2320-41D7-943D-6947BCDBB44E}"/>
    <cellStyle name="Percentuale 20 3 3" xfId="4319" xr:uid="{8A14543A-0246-477E-8897-44A04252041F}"/>
    <cellStyle name="Percentuale 20 3 3 2" xfId="9434" xr:uid="{BBF76138-0A79-4F9E-B3AE-13C1FB94EEE2}"/>
    <cellStyle name="Percentuale 20 3 3 2 2" xfId="28088" xr:uid="{CF62CF09-8946-49C9-8923-352C18C7A16B}"/>
    <cellStyle name="Percentuale 20 3 3 3" xfId="28089" xr:uid="{009DBBF9-C501-477C-AADF-BCBADCAA2E7D}"/>
    <cellStyle name="Percentuale 20 3 3 4" xfId="28090" xr:uid="{C1E6D718-4410-4A6C-91DC-7051C22B1ED6}"/>
    <cellStyle name="Percentuale 20 3 3 4 2" xfId="49118" xr:uid="{99294D1E-D1D0-4FE4-9201-F031B1DDEBCC}"/>
    <cellStyle name="Percentuale 20 3 3 5" xfId="28087" xr:uid="{A530B74D-7384-40B5-B173-699D8F39421D}"/>
    <cellStyle name="Percentuale 20 3 4" xfId="4320" xr:uid="{69A0211B-5FA7-40B5-A334-5A4B9BD7DEB8}"/>
    <cellStyle name="Percentuale 20 3 4 2" xfId="13789" xr:uid="{CC19D1C6-D69B-45CA-8E02-AAED141FB30F}"/>
    <cellStyle name="Percentuale 20 3 4 3" xfId="28091" xr:uid="{BF652347-B5F6-441C-91D5-4743E668237A}"/>
    <cellStyle name="Percentuale 20 3 5" xfId="11150" xr:uid="{C53CA60F-263C-44AD-9A80-F1B4E093D6EE}"/>
    <cellStyle name="Percentuale 20 3 5 2" xfId="28092" xr:uid="{E53019F6-FC13-4DC2-A1C0-19235EA59C1B}"/>
    <cellStyle name="Percentuale 20 3 6" xfId="28093" xr:uid="{3DEDBC5B-6F48-4ADD-955D-4987D8F4041F}"/>
    <cellStyle name="Percentuale 20 3 6 2" xfId="49119" xr:uid="{D36CBAA4-082A-4A6B-84FE-9F0C5B1ABBD2}"/>
    <cellStyle name="Percentuale 20 3 7" xfId="28094" xr:uid="{64FA8498-D14A-4B0E-B821-94EBCF5E5448}"/>
    <cellStyle name="Percentuale 20 3 8" xfId="28081" xr:uid="{0437E3C4-7B5E-4AFC-9436-E45CA9F51C91}"/>
    <cellStyle name="Percentuale 20 4" xfId="2321" xr:uid="{00000000-0005-0000-0000-00002B080000}"/>
    <cellStyle name="Percentuale 20 4 2" xfId="2322" xr:uid="{00000000-0005-0000-0000-00002C080000}"/>
    <cellStyle name="Percentuale 20 4 2 2" xfId="9435" xr:uid="{F12F8D56-75B5-4E4E-9C45-B2462A47C12E}"/>
    <cellStyle name="Percentuale 20 4 2 2 2" xfId="28097" xr:uid="{821819BB-4262-442A-BBA2-4D2E0C775E58}"/>
    <cellStyle name="Percentuale 20 4 2 3" xfId="17914" xr:uid="{0A0B9040-BAD8-414F-B17C-EBEAC7E1A299}"/>
    <cellStyle name="Percentuale 20 4 2 3 2" xfId="28098" xr:uid="{F4606ABA-438E-4A3C-9BCA-C6B9954AFC7A}"/>
    <cellStyle name="Percentuale 20 4 2 4" xfId="28096" xr:uid="{C86FD435-FFDF-4D0A-A03B-EBE461D65891}"/>
    <cellStyle name="Percentuale 20 4 2 5" xfId="17522" xr:uid="{7B0BA764-0F5A-4CCA-9964-0A43993773D9}"/>
    <cellStyle name="Percentuale 20 4 3" xfId="9436" xr:uid="{DFE06711-2CAD-40FE-8656-08CE0F7DC7E0}"/>
    <cellStyle name="Percentuale 20 4 3 2" xfId="28099" xr:uid="{596D5B4D-A097-47CC-825F-46A6B1A4B789}"/>
    <cellStyle name="Percentuale 20 4 4" xfId="28100" xr:uid="{8F5920B6-EEC3-467E-87DA-822FE071362B}"/>
    <cellStyle name="Percentuale 20 4 5" xfId="28101" xr:uid="{F9284474-3AC4-429A-B6C4-85D05A1708D9}"/>
    <cellStyle name="Percentuale 20 4 5 2" xfId="49120" xr:uid="{3136A3CD-E707-43F7-8792-FD3D7A6DD4DD}"/>
    <cellStyle name="Percentuale 20 4 6" xfId="28102" xr:uid="{3CB7EFE9-9251-4FE1-93B3-B3472F4620C4}"/>
    <cellStyle name="Percentuale 20 4 7" xfId="28095" xr:uid="{029B9BAC-034C-4B78-9451-1960482B8D7E}"/>
    <cellStyle name="Percentuale 20 5" xfId="2323" xr:uid="{00000000-0005-0000-0000-00002D080000}"/>
    <cellStyle name="Percentuale 20 5 2" xfId="28104" xr:uid="{D800A957-5A7C-4DBA-9D98-852B19C007D8}"/>
    <cellStyle name="Percentuale 20 5 3" xfId="28105" xr:uid="{B1F6E0F9-13C3-464D-8FF2-18A649116EBE}"/>
    <cellStyle name="Percentuale 20 5 3 2" xfId="49121" xr:uid="{2F93C9D8-7454-48AC-B0A7-F5686FB5D0A0}"/>
    <cellStyle name="Percentuale 20 5 4" xfId="28106" xr:uid="{DF4EC12B-E1BD-4735-B52B-ACDCC7FDC34F}"/>
    <cellStyle name="Percentuale 20 5 5" xfId="28103" xr:uid="{B513E957-DB15-4ACE-A746-ADC3901C9F7E}"/>
    <cellStyle name="Percentuale 20 6" xfId="4321" xr:uid="{95A6154F-01F0-4BAB-BEE1-FF3F97AA0F46}"/>
    <cellStyle name="Percentuale 20 6 2" xfId="9823" xr:uid="{BB8B17D9-C8A9-4E81-9EE2-D7F3A8536D98}"/>
    <cellStyle name="Percentuale 20 6 3" xfId="28107" xr:uid="{F27F4A61-9927-4176-83BF-2DC2EA21E195}"/>
    <cellStyle name="Percentuale 20 7" xfId="28108" xr:uid="{CC894AE4-9567-41BC-92FA-533D694F40D4}"/>
    <cellStyle name="Percentuale 20 7 2" xfId="49122" xr:uid="{262E03B8-677F-46F7-A4D4-AA82CDBCF1CC}"/>
    <cellStyle name="Percentuale 20 8" xfId="28075" xr:uid="{2F1B69BC-45A1-4A54-B646-9F48E109D17B}"/>
    <cellStyle name="Percentuale 21" xfId="1022" xr:uid="{00000000-0005-0000-0000-00002E080000}"/>
    <cellStyle name="Percentuale 21 2" xfId="1023" xr:uid="{00000000-0005-0000-0000-00002F080000}"/>
    <cellStyle name="Percentuale 21 2 2" xfId="4322" xr:uid="{411AFDE7-1BA9-453D-997F-735EBF12A0E7}"/>
    <cellStyle name="Percentuale 21 2 2 2" xfId="13575" xr:uid="{A88AF90B-67C5-4627-9588-469015399B43}"/>
    <cellStyle name="Percentuale 21 2 2 3" xfId="28111" xr:uid="{D95B935B-9DFD-4C83-B9CE-78F62CDB6EDE}"/>
    <cellStyle name="Percentuale 21 2 3" xfId="13313" xr:uid="{A073935D-5F24-4333-97B5-2F69151A21DE}"/>
    <cellStyle name="Percentuale 21 2 3 2" xfId="28112" xr:uid="{F88785C1-FEDB-42CA-B4A5-784ED64CA250}"/>
    <cellStyle name="Percentuale 21 2 4" xfId="28113" xr:uid="{86C3CAB9-2C13-4EE0-A43A-80C025CC5664}"/>
    <cellStyle name="Percentuale 21 2 4 2" xfId="49123" xr:uid="{A4AE4592-7C75-42AB-82DA-337C81DFDB06}"/>
    <cellStyle name="Percentuale 21 2 5" xfId="28114" xr:uid="{1A0506B4-F057-45C3-93A9-3A7BB9B7B7D0}"/>
    <cellStyle name="Percentuale 21 2 6" xfId="28110" xr:uid="{40F69E0A-4E97-4886-AAC9-3EBB1198669A}"/>
    <cellStyle name="Percentuale 21 3" xfId="1024" xr:uid="{00000000-0005-0000-0000-000030080000}"/>
    <cellStyle name="Percentuale 21 3 2" xfId="1025" xr:uid="{00000000-0005-0000-0000-000031080000}"/>
    <cellStyle name="Percentuale 21 3 2 2" xfId="2324" xr:uid="{00000000-0005-0000-0000-000032080000}"/>
    <cellStyle name="Percentuale 21 3 2 2 2" xfId="28118" xr:uid="{71687389-46F3-4EB7-BAC4-E1E30C84D2CD}"/>
    <cellStyle name="Percentuale 21 3 2 2 3" xfId="28117" xr:uid="{16B737DC-E0CA-4DF5-AE9D-6C89DC9DF07C}"/>
    <cellStyle name="Percentuale 21 3 2 3" xfId="8130" xr:uid="{3E21A8B9-7CF8-43EB-861F-9A7FE22A6399}"/>
    <cellStyle name="Percentuale 21 3 2 3 2" xfId="14129" xr:uid="{B02EBE45-1255-41B2-AFB6-4D65CBC2682C}"/>
    <cellStyle name="Percentuale 21 3 2 3 3" xfId="28119" xr:uid="{D2469135-6F82-44EF-99F1-9AB0E7820919}"/>
    <cellStyle name="Percentuale 21 3 2 3 4" xfId="49124" xr:uid="{02488529-BBBE-4BC5-9D73-7AFA82BC366F}"/>
    <cellStyle name="Percentuale 21 3 2 4" xfId="28120" xr:uid="{9F2F897C-B872-4491-8272-E363D8651BE5}"/>
    <cellStyle name="Percentuale 21 3 2 5" xfId="28116" xr:uid="{6031EE95-C9D9-41A5-B3BA-7D7DA649AA85}"/>
    <cellStyle name="Percentuale 21 3 3" xfId="4323" xr:uid="{B19CC735-7D8F-4506-857A-79A19285F46E}"/>
    <cellStyle name="Percentuale 21 3 3 2" xfId="9437" xr:uid="{D557741A-EBDF-4C31-8305-B06AB111A0EA}"/>
    <cellStyle name="Percentuale 21 3 3 2 2" xfId="28122" xr:uid="{2FD14E47-C268-4FE3-9670-8EA06DFD420C}"/>
    <cellStyle name="Percentuale 21 3 3 3" xfId="28123" xr:uid="{2CE9E813-683F-49DF-AE89-CE3B6E50E2AA}"/>
    <cellStyle name="Percentuale 21 3 3 4" xfId="28124" xr:uid="{F886866C-80C2-4EC0-AAEB-994C975CB638}"/>
    <cellStyle name="Percentuale 21 3 3 4 2" xfId="49125" xr:uid="{E809BD45-8EF2-4015-88AC-72AA6FFFFB66}"/>
    <cellStyle name="Percentuale 21 3 3 5" xfId="28121" xr:uid="{9D85911F-C8DE-40C8-B21D-BA74FC218AFC}"/>
    <cellStyle name="Percentuale 21 3 4" xfId="4324" xr:uid="{266EAE50-6CB0-4462-A3BC-909FF3B48C3E}"/>
    <cellStyle name="Percentuale 21 3 4 2" xfId="13790" xr:uid="{BAF7263B-F8A8-4A7C-92A2-6958DA67BB38}"/>
    <cellStyle name="Percentuale 21 3 4 3" xfId="28125" xr:uid="{218CDCA3-AE81-4345-B877-7C1CF8678034}"/>
    <cellStyle name="Percentuale 21 3 5" xfId="12263" xr:uid="{5D917B83-9C8C-4D82-91EE-32332865765B}"/>
    <cellStyle name="Percentuale 21 3 5 2" xfId="28126" xr:uid="{3D466229-EE06-4F2B-8FA1-9B6B00B500F1}"/>
    <cellStyle name="Percentuale 21 3 6" xfId="28127" xr:uid="{FAB1AE93-16D4-4612-8EED-4AB78AD5F7A6}"/>
    <cellStyle name="Percentuale 21 3 6 2" xfId="49126" xr:uid="{A6E74978-59B3-4645-9C83-4DC50354D62E}"/>
    <cellStyle name="Percentuale 21 3 7" xfId="28128" xr:uid="{4BA15E97-70D5-43D6-B77E-0560F2A31135}"/>
    <cellStyle name="Percentuale 21 3 8" xfId="28115" xr:uid="{AB38FEC5-9551-4E8E-9847-E74C94B215AD}"/>
    <cellStyle name="Percentuale 21 4" xfId="2325" xr:uid="{00000000-0005-0000-0000-000033080000}"/>
    <cellStyle name="Percentuale 21 4 2" xfId="2326" xr:uid="{00000000-0005-0000-0000-000034080000}"/>
    <cellStyle name="Percentuale 21 4 2 2" xfId="9438" xr:uid="{09598009-819E-4DB3-8397-9A54CD1959BC}"/>
    <cellStyle name="Percentuale 21 4 2 2 2" xfId="28131" xr:uid="{70A39651-66F2-4E9D-A972-DB85993B80C5}"/>
    <cellStyle name="Percentuale 21 4 2 3" xfId="17915" xr:uid="{2C6DE4E3-D2CF-408D-BD91-1F41DA19D8E6}"/>
    <cellStyle name="Percentuale 21 4 2 3 2" xfId="28132" xr:uid="{73DD17FD-671D-4932-888D-63ADFB3CFB5A}"/>
    <cellStyle name="Percentuale 21 4 2 4" xfId="28130" xr:uid="{C4DCF052-D07E-4A9A-B66F-43BE62D29847}"/>
    <cellStyle name="Percentuale 21 4 2 5" xfId="17523" xr:uid="{12C2BD33-84A7-41B0-AAC0-F613143B2210}"/>
    <cellStyle name="Percentuale 21 4 3" xfId="9439" xr:uid="{068C0136-8802-481E-BD68-11B1885C9486}"/>
    <cellStyle name="Percentuale 21 4 3 2" xfId="28133" xr:uid="{C861F004-B448-4EB9-B660-F44C832A3CC1}"/>
    <cellStyle name="Percentuale 21 4 4" xfId="28134" xr:uid="{4C2A28EF-71CE-43E2-B739-794D3D643228}"/>
    <cellStyle name="Percentuale 21 4 5" xfId="28135" xr:uid="{32C70316-CE8E-4278-AB84-5601F406EDDE}"/>
    <cellStyle name="Percentuale 21 4 5 2" xfId="49127" xr:uid="{FDD8F6B1-C366-43A9-9898-99F73D9AFBB2}"/>
    <cellStyle name="Percentuale 21 4 6" xfId="28136" xr:uid="{F0FA6F69-F0C0-4612-9A42-168A3B017958}"/>
    <cellStyle name="Percentuale 21 4 7" xfId="28129" xr:uid="{A4EA570D-4C80-40F9-B68B-5719D66A3398}"/>
    <cellStyle name="Percentuale 21 5" xfId="2327" xr:uid="{00000000-0005-0000-0000-000035080000}"/>
    <cellStyle name="Percentuale 21 5 2" xfId="28138" xr:uid="{39AC9682-E3C8-4DB6-B01C-E8DDE908B019}"/>
    <cellStyle name="Percentuale 21 5 3" xfId="28139" xr:uid="{F21D404E-1494-4FA9-88F4-966C63765C0A}"/>
    <cellStyle name="Percentuale 21 5 3 2" xfId="49128" xr:uid="{558B5B7F-2717-4DB8-9C86-7964A1B85125}"/>
    <cellStyle name="Percentuale 21 5 4" xfId="28140" xr:uid="{2C5A38EC-3398-4474-BC59-816180C6FFDB}"/>
    <cellStyle name="Percentuale 21 5 5" xfId="28137" xr:uid="{2D5D7465-DB3F-44AC-99EA-B651CD72EF97}"/>
    <cellStyle name="Percentuale 21 6" xfId="4325" xr:uid="{535C5308-7322-421C-B59C-EF8D14E1D787}"/>
    <cellStyle name="Percentuale 21 6 2" xfId="9824" xr:uid="{8919C317-2AEB-40C6-AD5B-C876BF8F23ED}"/>
    <cellStyle name="Percentuale 21 6 3" xfId="28141" xr:uid="{7E51460B-2A50-4793-A52A-398045124583}"/>
    <cellStyle name="Percentuale 21 7" xfId="28142" xr:uid="{DD0A43E8-1C9D-41CB-B9F6-2530FF862B7F}"/>
    <cellStyle name="Percentuale 21 7 2" xfId="49129" xr:uid="{395F0237-9B2A-44CD-9F85-1AA57B26B3EA}"/>
    <cellStyle name="Percentuale 21 8" xfId="28109" xr:uid="{EE409AFC-3564-4C52-BF4D-8318E7001354}"/>
    <cellStyle name="Percentuale 22" xfId="1026" xr:uid="{00000000-0005-0000-0000-000036080000}"/>
    <cellStyle name="Percentuale 22 2" xfId="1027" xr:uid="{00000000-0005-0000-0000-000037080000}"/>
    <cellStyle name="Percentuale 22 2 2" xfId="4326" xr:uid="{E2E6DF2D-0955-4ACC-A969-83E6192D94A8}"/>
    <cellStyle name="Percentuale 22 2 2 2" xfId="13576" xr:uid="{5F78CB34-B90D-4855-B482-A514F8D4FABD}"/>
    <cellStyle name="Percentuale 22 2 2 3" xfId="28145" xr:uid="{F543EC8B-275B-4BDB-972A-05CF14DD8987}"/>
    <cellStyle name="Percentuale 22 2 3" xfId="13314" xr:uid="{2F337C45-C3EA-4DE2-81BB-E31A3DC23BF5}"/>
    <cellStyle name="Percentuale 22 2 3 2" xfId="28146" xr:uid="{11409267-B125-4D8B-9F33-0DD79CBC5C54}"/>
    <cellStyle name="Percentuale 22 2 4" xfId="28147" xr:uid="{F9FBD0E2-C007-4A23-8411-CC84D7374A41}"/>
    <cellStyle name="Percentuale 22 2 4 2" xfId="49130" xr:uid="{8F54D939-6B7B-4632-AD36-E98C49063F55}"/>
    <cellStyle name="Percentuale 22 2 5" xfId="28148" xr:uid="{FD168486-EF71-48AA-97D0-3BECF8E5397A}"/>
    <cellStyle name="Percentuale 22 2 6" xfId="28144" xr:uid="{3FC38FF0-DF15-487D-A78E-558EF68EC30D}"/>
    <cellStyle name="Percentuale 22 3" xfId="1028" xr:uid="{00000000-0005-0000-0000-000038080000}"/>
    <cellStyle name="Percentuale 22 3 2" xfId="1029" xr:uid="{00000000-0005-0000-0000-000039080000}"/>
    <cellStyle name="Percentuale 22 3 2 2" xfId="2328" xr:uid="{00000000-0005-0000-0000-00003A080000}"/>
    <cellStyle name="Percentuale 22 3 2 2 2" xfId="28152" xr:uid="{C8F320A5-B0AB-4DFC-9388-65A49F2780AB}"/>
    <cellStyle name="Percentuale 22 3 2 2 3" xfId="28151" xr:uid="{8F9DF8E6-8BAE-4E44-BB6C-6EC7B1DEAB1D}"/>
    <cellStyle name="Percentuale 22 3 2 3" xfId="8131" xr:uid="{77E6D6E6-D98C-4889-A66F-586F96D6C4C3}"/>
    <cellStyle name="Percentuale 22 3 2 3 2" xfId="14130" xr:uid="{F1E2A7F5-74B3-4C98-9C37-A07CA3E93AE6}"/>
    <cellStyle name="Percentuale 22 3 2 3 3" xfId="28153" xr:uid="{DEF90223-E55B-48ED-BF8F-57250E61E46B}"/>
    <cellStyle name="Percentuale 22 3 2 3 4" xfId="49131" xr:uid="{4DC5C756-7B50-494C-8E70-2C1764A40599}"/>
    <cellStyle name="Percentuale 22 3 2 4" xfId="28154" xr:uid="{DACFADAB-F472-4298-BAEA-241F529101A0}"/>
    <cellStyle name="Percentuale 22 3 2 5" xfId="28150" xr:uid="{0011F9DB-29A9-4C2E-8633-001DD7F81099}"/>
    <cellStyle name="Percentuale 22 3 3" xfId="4327" xr:uid="{9FB22EE6-38EC-4DBE-B920-91B04C4AB4C4}"/>
    <cellStyle name="Percentuale 22 3 3 2" xfId="9440" xr:uid="{94306DC1-5E32-4BC0-88E5-F20D0CEFDD62}"/>
    <cellStyle name="Percentuale 22 3 3 2 2" xfId="28156" xr:uid="{6CEDF8FE-67D7-43A9-9EC0-9A44FFEE31CB}"/>
    <cellStyle name="Percentuale 22 3 3 3" xfId="28157" xr:uid="{FE1E96FE-A552-431E-84D5-A74C0C70A76C}"/>
    <cellStyle name="Percentuale 22 3 3 4" xfId="28158" xr:uid="{A406A0FF-9A93-470F-AF62-A287B7908C1E}"/>
    <cellStyle name="Percentuale 22 3 3 4 2" xfId="49132" xr:uid="{5D8B1F47-A570-4A0C-93C4-16139853CDC0}"/>
    <cellStyle name="Percentuale 22 3 3 5" xfId="28155" xr:uid="{8B496A40-9888-4C8A-B1CC-0AC46F5527BB}"/>
    <cellStyle name="Percentuale 22 3 4" xfId="4328" xr:uid="{B2E6B3A1-F0E1-460E-B1A4-8FF717DF202E}"/>
    <cellStyle name="Percentuale 22 3 4 2" xfId="13791" xr:uid="{A66A060D-2F15-4CC4-A0B7-262788E738CC}"/>
    <cellStyle name="Percentuale 22 3 4 3" xfId="28159" xr:uid="{A75EA63C-0DA5-4F7B-8026-880507732C6A}"/>
    <cellStyle name="Percentuale 22 3 5" xfId="11516" xr:uid="{280E1328-83AC-43C0-A191-9CE9E30E2E1D}"/>
    <cellStyle name="Percentuale 22 3 5 2" xfId="28160" xr:uid="{89577E0B-DC9A-4FCC-BFC0-33F0E6C5EC6B}"/>
    <cellStyle name="Percentuale 22 3 6" xfId="28161" xr:uid="{415F02EF-EFB1-4E63-B763-840C074D9734}"/>
    <cellStyle name="Percentuale 22 3 6 2" xfId="49133" xr:uid="{773CC908-C63F-4400-B891-CF8F676B961A}"/>
    <cellStyle name="Percentuale 22 3 7" xfId="28162" xr:uid="{73A67F42-626E-470B-AEB0-44C8B5E1023F}"/>
    <cellStyle name="Percentuale 22 3 8" xfId="28149" xr:uid="{161A51DF-3409-4B3E-A3A7-60E5BA7E57D7}"/>
    <cellStyle name="Percentuale 22 4" xfId="2329" xr:uid="{00000000-0005-0000-0000-00003B080000}"/>
    <cellStyle name="Percentuale 22 4 2" xfId="2330" xr:uid="{00000000-0005-0000-0000-00003C080000}"/>
    <cellStyle name="Percentuale 22 4 2 2" xfId="9441" xr:uid="{F4C57FDC-923A-4BA7-B518-40F522E45AC3}"/>
    <cellStyle name="Percentuale 22 4 2 2 2" xfId="28165" xr:uid="{8D4CC688-5784-425C-8829-7AD884C1B5F6}"/>
    <cellStyle name="Percentuale 22 4 2 3" xfId="17916" xr:uid="{4373C240-6185-4CB0-8A17-0986681003B4}"/>
    <cellStyle name="Percentuale 22 4 2 3 2" xfId="28166" xr:uid="{80266299-8F82-4E6A-8ECD-5CCDD85F65D5}"/>
    <cellStyle name="Percentuale 22 4 2 4" xfId="28164" xr:uid="{1080E63E-6762-43C1-9BE5-FFC00084BF4B}"/>
    <cellStyle name="Percentuale 22 4 2 5" xfId="17524" xr:uid="{4CBE5612-ECBC-4C5D-8C7F-A3FAA90876DE}"/>
    <cellStyle name="Percentuale 22 4 3" xfId="9442" xr:uid="{4322666D-4BE7-4219-B42A-D16C4376FB07}"/>
    <cellStyle name="Percentuale 22 4 3 2" xfId="28167" xr:uid="{23167533-F408-4865-9981-0BE263A1741B}"/>
    <cellStyle name="Percentuale 22 4 4" xfId="28168" xr:uid="{AB441F3E-7483-4F90-90BE-99731BB0D9C7}"/>
    <cellStyle name="Percentuale 22 4 5" xfId="28169" xr:uid="{188FDC48-CA11-4139-A8EB-144C00F73DED}"/>
    <cellStyle name="Percentuale 22 4 5 2" xfId="49134" xr:uid="{39CA5008-B4CA-4CB7-B617-D5ACE2789584}"/>
    <cellStyle name="Percentuale 22 4 6" xfId="28170" xr:uid="{0650B38F-F28C-4CC6-AD73-5DDBA2680AA9}"/>
    <cellStyle name="Percentuale 22 4 7" xfId="28163" xr:uid="{7768FD3B-8701-4DB6-92A3-6C6EAF188145}"/>
    <cellStyle name="Percentuale 22 5" xfId="2331" xr:uid="{00000000-0005-0000-0000-00003D080000}"/>
    <cellStyle name="Percentuale 22 5 2" xfId="28172" xr:uid="{0E65833C-955B-4974-85FA-25D65482F561}"/>
    <cellStyle name="Percentuale 22 5 3" xfId="28173" xr:uid="{89678A7D-84DD-49A8-A94B-8ED9345B932F}"/>
    <cellStyle name="Percentuale 22 5 3 2" xfId="49135" xr:uid="{E0D4BEDF-D9DE-4580-A19D-729CE44C3E7B}"/>
    <cellStyle name="Percentuale 22 5 4" xfId="28174" xr:uid="{99696CEA-8EC0-4333-850B-917390EB7790}"/>
    <cellStyle name="Percentuale 22 5 5" xfId="28171" xr:uid="{95F0E64C-CFA7-40DF-BA41-2A5377327311}"/>
    <cellStyle name="Percentuale 22 6" xfId="4329" xr:uid="{15AD8ACB-4DAF-4765-A05B-25FF1B4F81E2}"/>
    <cellStyle name="Percentuale 22 6 2" xfId="9825" xr:uid="{BB339665-A2C3-452A-B85B-42D73A0A18DE}"/>
    <cellStyle name="Percentuale 22 6 3" xfId="28175" xr:uid="{8DDA53E0-C056-4725-B79F-13376BCBBADA}"/>
    <cellStyle name="Percentuale 22 7" xfId="28176" xr:uid="{0EBC0583-D1AC-4229-9CA6-030D417AE072}"/>
    <cellStyle name="Percentuale 22 7 2" xfId="49136" xr:uid="{8FB4369C-177E-46F8-9EEA-15C1B190BA13}"/>
    <cellStyle name="Percentuale 22 8" xfId="28143" xr:uid="{3499C497-9431-4462-B973-5F56085E0B52}"/>
    <cellStyle name="Percentuale 23" xfId="1030" xr:uid="{00000000-0005-0000-0000-00003E080000}"/>
    <cellStyle name="Percentuale 23 2" xfId="1031" xr:uid="{00000000-0005-0000-0000-00003F080000}"/>
    <cellStyle name="Percentuale 23 2 2" xfId="4330" xr:uid="{EA5C1A5B-C5FB-4876-AE9E-A13BB4F6FCAC}"/>
    <cellStyle name="Percentuale 23 2 2 2" xfId="13577" xr:uid="{4BE59AA6-881A-460D-81D8-D75535655C6D}"/>
    <cellStyle name="Percentuale 23 2 2 3" xfId="28179" xr:uid="{EAE1C925-468C-473F-9816-4FDBD635368B}"/>
    <cellStyle name="Percentuale 23 2 3" xfId="13315" xr:uid="{23E80BC0-9EC2-4B9C-85DB-330EBFE1CDE6}"/>
    <cellStyle name="Percentuale 23 2 3 2" xfId="28180" xr:uid="{77500DCC-56D6-4E93-8451-540494FF84C6}"/>
    <cellStyle name="Percentuale 23 2 4" xfId="28181" xr:uid="{D43533CA-BDA3-49EB-A55E-24BE2476112C}"/>
    <cellStyle name="Percentuale 23 2 4 2" xfId="49137" xr:uid="{FE604292-7A26-4188-A730-AE319714F55A}"/>
    <cellStyle name="Percentuale 23 2 5" xfId="28182" xr:uid="{2C9F372B-2190-476E-BF92-0B0391AD0954}"/>
    <cellStyle name="Percentuale 23 2 6" xfId="28178" xr:uid="{7BC71D7F-6C1E-44D3-ABB4-005579BD96B7}"/>
    <cellStyle name="Percentuale 23 3" xfId="1032" xr:uid="{00000000-0005-0000-0000-000040080000}"/>
    <cellStyle name="Percentuale 23 3 2" xfId="1033" xr:uid="{00000000-0005-0000-0000-000041080000}"/>
    <cellStyle name="Percentuale 23 3 2 2" xfId="2332" xr:uid="{00000000-0005-0000-0000-000042080000}"/>
    <cellStyle name="Percentuale 23 3 2 2 2" xfId="28186" xr:uid="{D67084E3-775E-4ED4-A6F2-48A1FC9C5DBE}"/>
    <cellStyle name="Percentuale 23 3 2 2 3" xfId="28185" xr:uid="{7F98FFA8-3B59-48D1-9946-0FE8C57BAC96}"/>
    <cellStyle name="Percentuale 23 3 2 3" xfId="8132" xr:uid="{204CFE57-3661-4CBA-9181-61A38421C1B8}"/>
    <cellStyle name="Percentuale 23 3 2 3 2" xfId="14131" xr:uid="{38714B34-A8E2-4B73-B872-A62C7CD97E34}"/>
    <cellStyle name="Percentuale 23 3 2 3 3" xfId="28187" xr:uid="{9E2A95C5-446C-4F57-805C-634B6F24DE3D}"/>
    <cellStyle name="Percentuale 23 3 2 3 4" xfId="49138" xr:uid="{67CC730D-5403-43BB-AC85-4EAA4F0F110B}"/>
    <cellStyle name="Percentuale 23 3 2 4" xfId="28188" xr:uid="{1822639E-4427-4507-9E16-91CF1D1EF480}"/>
    <cellStyle name="Percentuale 23 3 2 5" xfId="28184" xr:uid="{1BBB3162-2E16-431F-B949-5DA375871D35}"/>
    <cellStyle name="Percentuale 23 3 3" xfId="4331" xr:uid="{F874927C-7A57-4E01-BC96-C52FB8260D43}"/>
    <cellStyle name="Percentuale 23 3 3 2" xfId="9443" xr:uid="{CF381FBD-8D45-4340-8506-22101A44F71A}"/>
    <cellStyle name="Percentuale 23 3 3 2 2" xfId="28190" xr:uid="{61E58FBC-66EA-4EC4-A265-256C2670B564}"/>
    <cellStyle name="Percentuale 23 3 3 3" xfId="28191" xr:uid="{AAF6E8FC-C6FD-43DD-8235-FF0ADA77E445}"/>
    <cellStyle name="Percentuale 23 3 3 4" xfId="28192" xr:uid="{5ED6613D-51CB-4CBE-A6AA-07949F9214FC}"/>
    <cellStyle name="Percentuale 23 3 3 4 2" xfId="49139" xr:uid="{235D511E-9B9C-4B8B-BCEF-F4F71564DF70}"/>
    <cellStyle name="Percentuale 23 3 3 5" xfId="28189" xr:uid="{D570D591-5CF4-48AB-A7F1-D40F80BE10F6}"/>
    <cellStyle name="Percentuale 23 3 4" xfId="4332" xr:uid="{B11250AF-04B5-4181-B427-3D0D2B26089F}"/>
    <cellStyle name="Percentuale 23 3 4 2" xfId="13792" xr:uid="{C4DDEEFA-AE12-48FF-9590-D3EE9C9E3C1E}"/>
    <cellStyle name="Percentuale 23 3 4 3" xfId="28193" xr:uid="{193ACD70-4E49-4D83-9A95-8DB6B1DFE296}"/>
    <cellStyle name="Percentuale 23 3 5" xfId="12262" xr:uid="{3E3C8F2E-303F-4269-9B0D-95C21F150A79}"/>
    <cellStyle name="Percentuale 23 3 5 2" xfId="28194" xr:uid="{5D30DC28-08E0-4A50-8E9D-8F7E92861DBF}"/>
    <cellStyle name="Percentuale 23 3 6" xfId="28195" xr:uid="{3428D626-4DD8-4433-9C26-19BFC76497A8}"/>
    <cellStyle name="Percentuale 23 3 6 2" xfId="49140" xr:uid="{DD9E044C-4239-4F27-9AF7-5B7EE8723F98}"/>
    <cellStyle name="Percentuale 23 3 7" xfId="28196" xr:uid="{052EBDA8-B2EC-4F99-918E-633E2F2F217D}"/>
    <cellStyle name="Percentuale 23 3 8" xfId="28183" xr:uid="{68574E7D-FCE6-4B85-A01D-BB54188422FF}"/>
    <cellStyle name="Percentuale 23 4" xfId="2333" xr:uid="{00000000-0005-0000-0000-000043080000}"/>
    <cellStyle name="Percentuale 23 4 2" xfId="2334" xr:uid="{00000000-0005-0000-0000-000044080000}"/>
    <cellStyle name="Percentuale 23 4 2 2" xfId="9444" xr:uid="{969738AF-1394-4BCC-A0C5-6C10BF0B96EE}"/>
    <cellStyle name="Percentuale 23 4 2 2 2" xfId="28199" xr:uid="{1896899C-5D99-4C9C-B973-D36551AF25EF}"/>
    <cellStyle name="Percentuale 23 4 2 3" xfId="17917" xr:uid="{CAC90337-3538-4E28-9398-D633DA727565}"/>
    <cellStyle name="Percentuale 23 4 2 3 2" xfId="28200" xr:uid="{912BF4A1-8F24-4117-95DF-C61902213A09}"/>
    <cellStyle name="Percentuale 23 4 2 4" xfId="28198" xr:uid="{5F1974FE-414D-4A51-90E3-2CD22AD88FA7}"/>
    <cellStyle name="Percentuale 23 4 2 5" xfId="17525" xr:uid="{FDCFAEF1-3D08-4026-B6AA-08C5896CE284}"/>
    <cellStyle name="Percentuale 23 4 3" xfId="9445" xr:uid="{E85D7431-571F-4E3A-B612-0AF29D660AEE}"/>
    <cellStyle name="Percentuale 23 4 3 2" xfId="28201" xr:uid="{4C988DFA-6EEA-4161-9236-FC0FCBB41680}"/>
    <cellStyle name="Percentuale 23 4 4" xfId="28202" xr:uid="{8FFA43BD-2BD5-4A49-ABF9-628C86D8D48D}"/>
    <cellStyle name="Percentuale 23 4 5" xfId="28203" xr:uid="{3A5E972A-EC01-4629-B911-2D39D58B29C3}"/>
    <cellStyle name="Percentuale 23 4 5 2" xfId="49141" xr:uid="{0E046957-465F-4B46-9210-34FF0731D7A6}"/>
    <cellStyle name="Percentuale 23 4 6" xfId="28204" xr:uid="{D19551D6-B83D-40AA-9644-6A6D85151F63}"/>
    <cellStyle name="Percentuale 23 4 7" xfId="28197" xr:uid="{A7EC0BFF-A204-4EBB-8F5D-250AE9CC815B}"/>
    <cellStyle name="Percentuale 23 5" xfId="2335" xr:uid="{00000000-0005-0000-0000-000045080000}"/>
    <cellStyle name="Percentuale 23 5 2" xfId="28206" xr:uid="{AFB34C3C-1908-4928-9F5C-99B7EF2C02A5}"/>
    <cellStyle name="Percentuale 23 5 3" xfId="28207" xr:uid="{B72283BB-99C6-4E4A-A346-1AF78A3FC9C3}"/>
    <cellStyle name="Percentuale 23 5 3 2" xfId="49142" xr:uid="{52D5CC27-53CE-491D-9DFF-432E74CBBA2F}"/>
    <cellStyle name="Percentuale 23 5 4" xfId="28208" xr:uid="{B3593DCD-BB0F-4C14-85D2-CE93FFF246FA}"/>
    <cellStyle name="Percentuale 23 5 5" xfId="28205" xr:uid="{902E0989-EA93-4E09-8074-53953CEE865D}"/>
    <cellStyle name="Percentuale 23 6" xfId="4333" xr:uid="{8B582DA5-B09C-49DD-9BDF-C33F5690D056}"/>
    <cellStyle name="Percentuale 23 6 2" xfId="9826" xr:uid="{C6C1537B-745E-4E67-A3BF-2F9FA799A101}"/>
    <cellStyle name="Percentuale 23 6 3" xfId="28209" xr:uid="{2FDA0A08-0C98-46F3-B508-7AF7CCA4D2A9}"/>
    <cellStyle name="Percentuale 23 7" xfId="28210" xr:uid="{27DE0A60-5445-4AAD-AA70-737C17F86A41}"/>
    <cellStyle name="Percentuale 23 7 2" xfId="49143" xr:uid="{1C270B1E-4F57-436F-A88A-8B7404C90D96}"/>
    <cellStyle name="Percentuale 23 8" xfId="28177" xr:uid="{8266EF75-BFBD-4843-9AE2-4E13035D4F76}"/>
    <cellStyle name="Percentuale 24" xfId="1034" xr:uid="{00000000-0005-0000-0000-000046080000}"/>
    <cellStyle name="Percentuale 24 2" xfId="1035" xr:uid="{00000000-0005-0000-0000-000047080000}"/>
    <cellStyle name="Percentuale 24 2 2" xfId="4334" xr:uid="{80AB36F7-E95B-42F2-9E36-2D8AE21EE450}"/>
    <cellStyle name="Percentuale 24 2 2 2" xfId="13578" xr:uid="{D638F76F-4644-4CED-BE8D-83F5D59253CF}"/>
    <cellStyle name="Percentuale 24 2 2 3" xfId="28213" xr:uid="{EF6DAACD-270F-40E8-AEE8-E170E1E814FC}"/>
    <cellStyle name="Percentuale 24 2 3" xfId="13316" xr:uid="{656E87A9-DCA1-42E1-93AC-4B71668E7293}"/>
    <cellStyle name="Percentuale 24 2 3 2" xfId="28214" xr:uid="{FE014AC8-154F-48E2-ABA4-C26A2604F3F0}"/>
    <cellStyle name="Percentuale 24 2 4" xfId="28215" xr:uid="{DA437C29-ED3A-48AA-A38A-F96E26447739}"/>
    <cellStyle name="Percentuale 24 2 4 2" xfId="49144" xr:uid="{D6B76C1C-B127-4B36-B5E0-A3B20C2BA14A}"/>
    <cellStyle name="Percentuale 24 2 5" xfId="28216" xr:uid="{F004E12B-7E8D-4F49-B9AB-71A952030CF8}"/>
    <cellStyle name="Percentuale 24 2 6" xfId="28212" xr:uid="{0BF218AC-9E68-4B93-8416-19707AE8C35F}"/>
    <cellStyle name="Percentuale 24 3" xfId="1036" xr:uid="{00000000-0005-0000-0000-000048080000}"/>
    <cellStyle name="Percentuale 24 3 2" xfId="1037" xr:uid="{00000000-0005-0000-0000-000049080000}"/>
    <cellStyle name="Percentuale 24 3 2 2" xfId="2336" xr:uid="{00000000-0005-0000-0000-00004A080000}"/>
    <cellStyle name="Percentuale 24 3 2 2 2" xfId="28220" xr:uid="{561EFE2C-9221-44DF-BC61-062D612C0022}"/>
    <cellStyle name="Percentuale 24 3 2 2 3" xfId="28219" xr:uid="{3B0948C1-3134-48B5-8FCD-439063271888}"/>
    <cellStyle name="Percentuale 24 3 2 3" xfId="8133" xr:uid="{B0C51059-F573-4D86-9374-769F8CBCADF1}"/>
    <cellStyle name="Percentuale 24 3 2 3 2" xfId="14132" xr:uid="{03DCFBB9-8042-4762-893C-325B48E9F919}"/>
    <cellStyle name="Percentuale 24 3 2 3 3" xfId="28221" xr:uid="{1FCC2CDD-91D2-4E0D-91FA-E3D4FC2FDF4E}"/>
    <cellStyle name="Percentuale 24 3 2 3 4" xfId="49145" xr:uid="{C924F7AB-CF65-4CEB-9CA7-8964D36E5CC2}"/>
    <cellStyle name="Percentuale 24 3 2 4" xfId="28222" xr:uid="{07A9D1E0-50F6-4040-B86D-BA57D77038A5}"/>
    <cellStyle name="Percentuale 24 3 2 5" xfId="28218" xr:uid="{8D5B1645-5A4A-4B2C-A10B-7D0EBBD1DA8E}"/>
    <cellStyle name="Percentuale 24 3 3" xfId="4335" xr:uid="{68423A94-4291-4BC1-98E6-2B168F91C377}"/>
    <cellStyle name="Percentuale 24 3 3 2" xfId="9446" xr:uid="{8E9EC9C0-2594-4509-AB95-30527AF17498}"/>
    <cellStyle name="Percentuale 24 3 3 2 2" xfId="28224" xr:uid="{F73E2FD9-CFEA-4956-836E-34DF8F592CE3}"/>
    <cellStyle name="Percentuale 24 3 3 3" xfId="28225" xr:uid="{B5581BD4-EA8A-4865-BC59-976B89D08FF8}"/>
    <cellStyle name="Percentuale 24 3 3 4" xfId="28226" xr:uid="{59D5A832-6CFD-42C2-B3D1-4CA7B34DA491}"/>
    <cellStyle name="Percentuale 24 3 3 4 2" xfId="49146" xr:uid="{76A2BB13-DE03-4A76-B684-96E6696275D2}"/>
    <cellStyle name="Percentuale 24 3 3 5" xfId="28223" xr:uid="{243D85BA-A70B-4448-B542-783A85F4A550}"/>
    <cellStyle name="Percentuale 24 3 4" xfId="4336" xr:uid="{E4E5BED4-62EA-4707-B05B-82F24A38A5D8}"/>
    <cellStyle name="Percentuale 24 3 4 2" xfId="13793" xr:uid="{4E7BB2D4-D3AF-4C00-961D-A97E910C1079}"/>
    <cellStyle name="Percentuale 24 3 4 3" xfId="28227" xr:uid="{ECF0C729-4D97-46EC-A322-ED3405855E7A}"/>
    <cellStyle name="Percentuale 24 3 5" xfId="11505" xr:uid="{2722335A-9697-4984-BC1C-5D6160840B08}"/>
    <cellStyle name="Percentuale 24 3 5 2" xfId="28228" xr:uid="{1174ED91-84F6-4CD5-B3C1-223F6248D8A5}"/>
    <cellStyle name="Percentuale 24 3 6" xfId="28229" xr:uid="{0D940E5B-B4A4-4341-8CCB-B2014D307C0D}"/>
    <cellStyle name="Percentuale 24 3 6 2" xfId="49147" xr:uid="{D605857B-4C8E-48AF-B127-00CA3AA0D65B}"/>
    <cellStyle name="Percentuale 24 3 7" xfId="28230" xr:uid="{37052193-8ECB-4AF3-9A89-9738F4EDB522}"/>
    <cellStyle name="Percentuale 24 3 8" xfId="28217" xr:uid="{7D4ED1A7-DDAD-4FBC-A1AE-F6EB67C1BFAA}"/>
    <cellStyle name="Percentuale 24 4" xfId="2337" xr:uid="{00000000-0005-0000-0000-00004B080000}"/>
    <cellStyle name="Percentuale 24 4 2" xfId="2338" xr:uid="{00000000-0005-0000-0000-00004C080000}"/>
    <cellStyle name="Percentuale 24 4 2 2" xfId="9447" xr:uid="{B03C79A9-331F-4C56-BB54-9A8A8415EBFE}"/>
    <cellStyle name="Percentuale 24 4 2 2 2" xfId="28233" xr:uid="{90058BAA-8E7A-4EFD-87A1-097BFF70664D}"/>
    <cellStyle name="Percentuale 24 4 2 3" xfId="17918" xr:uid="{D1385522-BBBD-4AF5-B009-02710FF5EEB1}"/>
    <cellStyle name="Percentuale 24 4 2 3 2" xfId="28234" xr:uid="{50B04F3D-7255-47E5-90D7-965E7369EC36}"/>
    <cellStyle name="Percentuale 24 4 2 4" xfId="28232" xr:uid="{B337AEB3-3102-48E3-BD56-111E199B9F97}"/>
    <cellStyle name="Percentuale 24 4 2 5" xfId="17526" xr:uid="{E5BDFAFD-4B8E-4EE1-A41F-DEABE91240FC}"/>
    <cellStyle name="Percentuale 24 4 3" xfId="9448" xr:uid="{CB1DC3EB-759F-4334-8957-AAE9BC590DE4}"/>
    <cellStyle name="Percentuale 24 4 3 2" xfId="28235" xr:uid="{07C3E89A-6DE5-400A-AF18-54DFCA4947C2}"/>
    <cellStyle name="Percentuale 24 4 4" xfId="28236" xr:uid="{B2E11980-F757-4605-92BC-4865A76383D9}"/>
    <cellStyle name="Percentuale 24 4 5" xfId="28237" xr:uid="{0612DF7E-AA7F-45F5-987E-DB9007EAA22F}"/>
    <cellStyle name="Percentuale 24 4 5 2" xfId="49148" xr:uid="{4B3145A2-3D33-4548-B820-D8285D8980DB}"/>
    <cellStyle name="Percentuale 24 4 6" xfId="28238" xr:uid="{5E8DFFEE-F91E-4A6E-ADD9-5CDB49C3D824}"/>
    <cellStyle name="Percentuale 24 4 7" xfId="28231" xr:uid="{CC492767-5778-4EDE-AF2C-C38763DEE1FC}"/>
    <cellStyle name="Percentuale 24 5" xfId="2339" xr:uid="{00000000-0005-0000-0000-00004D080000}"/>
    <cellStyle name="Percentuale 24 5 2" xfId="28240" xr:uid="{26A0AD9E-7F6D-4CF7-BF54-38270E6236AD}"/>
    <cellStyle name="Percentuale 24 5 3" xfId="28241" xr:uid="{4222C95E-33A6-427F-AB0B-D4F7485251E0}"/>
    <cellStyle name="Percentuale 24 5 3 2" xfId="49149" xr:uid="{45E072E9-5D9D-4093-B6CE-78201D101351}"/>
    <cellStyle name="Percentuale 24 5 4" xfId="28242" xr:uid="{D055763F-EF1F-4534-BC69-65C00B1B0205}"/>
    <cellStyle name="Percentuale 24 5 5" xfId="28239" xr:uid="{E7AF6D3F-28AA-4A2D-BB9D-3197554F4819}"/>
    <cellStyle name="Percentuale 24 6" xfId="4337" xr:uid="{DE1861B5-E275-4951-AE40-99028ED65DE1}"/>
    <cellStyle name="Percentuale 24 6 2" xfId="9827" xr:uid="{A1F7006F-41E0-47C2-8EBA-82261F162BDF}"/>
    <cellStyle name="Percentuale 24 6 3" xfId="28243" xr:uid="{A7DCF847-2284-46F3-8616-E08388F432D8}"/>
    <cellStyle name="Percentuale 24 7" xfId="28244" xr:uid="{24B89000-DCE3-414F-9570-F681BD579B7A}"/>
    <cellStyle name="Percentuale 24 7 2" xfId="49150" xr:uid="{8DD823C4-03DB-450E-BFF3-57FD77B093DF}"/>
    <cellStyle name="Percentuale 24 8" xfId="28211" xr:uid="{51A8E7EF-E32A-4A1F-8EDF-EEE407E89F8D}"/>
    <cellStyle name="Percentuale 25" xfId="1038" xr:uid="{00000000-0005-0000-0000-00004E080000}"/>
    <cellStyle name="Percentuale 25 2" xfId="1039" xr:uid="{00000000-0005-0000-0000-00004F080000}"/>
    <cellStyle name="Percentuale 25 2 2" xfId="4338" xr:uid="{D75FEB61-2635-4A05-BC35-447C92348384}"/>
    <cellStyle name="Percentuale 25 2 2 2" xfId="13579" xr:uid="{A63306F5-643F-4C7E-873F-CED18AE6DAB5}"/>
    <cellStyle name="Percentuale 25 2 2 3" xfId="28247" xr:uid="{6ADAD562-DC3B-41E0-9B5A-0BEC8B516F8D}"/>
    <cellStyle name="Percentuale 25 2 3" xfId="13317" xr:uid="{B4B72E71-9A88-402B-A57C-2498ADD8B67D}"/>
    <cellStyle name="Percentuale 25 2 3 2" xfId="28248" xr:uid="{C854D29C-EBC3-4218-B0B3-D17DBEC6CA38}"/>
    <cellStyle name="Percentuale 25 2 4" xfId="28249" xr:uid="{51C29859-3D7D-491D-86B6-29BDE27183E0}"/>
    <cellStyle name="Percentuale 25 2 4 2" xfId="49151" xr:uid="{6D6A9877-D4FC-4620-9853-CEBD4A462FFC}"/>
    <cellStyle name="Percentuale 25 2 5" xfId="28250" xr:uid="{E3809499-D2B6-4643-9574-7392972A5933}"/>
    <cellStyle name="Percentuale 25 2 6" xfId="28246" xr:uid="{5678BEF6-9DA5-4E90-AE50-103A96F0FAFF}"/>
    <cellStyle name="Percentuale 25 3" xfId="1040" xr:uid="{00000000-0005-0000-0000-000050080000}"/>
    <cellStyle name="Percentuale 25 3 2" xfId="1041" xr:uid="{00000000-0005-0000-0000-000051080000}"/>
    <cellStyle name="Percentuale 25 3 2 2" xfId="2340" xr:uid="{00000000-0005-0000-0000-000052080000}"/>
    <cellStyle name="Percentuale 25 3 2 2 2" xfId="28254" xr:uid="{3F8A2843-B579-4083-B3EA-1E8C2521B108}"/>
    <cellStyle name="Percentuale 25 3 2 2 3" xfId="28253" xr:uid="{81269624-4104-48DD-A395-42004139E274}"/>
    <cellStyle name="Percentuale 25 3 2 3" xfId="8134" xr:uid="{35F5E39F-8085-4DB6-9E4E-D601130487B4}"/>
    <cellStyle name="Percentuale 25 3 2 3 2" xfId="14133" xr:uid="{4249E8C2-583F-439C-A7B8-C264606DC473}"/>
    <cellStyle name="Percentuale 25 3 2 3 3" xfId="28255" xr:uid="{C56E7916-903F-4215-A929-2666F0C86609}"/>
    <cellStyle name="Percentuale 25 3 2 3 4" xfId="49152" xr:uid="{4B5B892D-1AC7-4064-A5BA-60B9A02EE5C0}"/>
    <cellStyle name="Percentuale 25 3 2 4" xfId="28256" xr:uid="{C53D9EF9-2FB4-4240-97FF-8B37FB1AEF6B}"/>
    <cellStyle name="Percentuale 25 3 2 5" xfId="28252" xr:uid="{8BE031BB-3C61-47BB-9DA5-D82D0CD1C905}"/>
    <cellStyle name="Percentuale 25 3 3" xfId="4339" xr:uid="{C6C9AA98-5DA7-4219-AFB3-CE9712F908C6}"/>
    <cellStyle name="Percentuale 25 3 3 2" xfId="9449" xr:uid="{92EFB05F-E0C1-46F7-80AB-7565850C3C92}"/>
    <cellStyle name="Percentuale 25 3 3 2 2" xfId="28258" xr:uid="{02F52DD2-02C9-48D7-8158-FCCFE98EBB7A}"/>
    <cellStyle name="Percentuale 25 3 3 3" xfId="28259" xr:uid="{FDC9BB7F-2E01-47A8-BF3C-161051199935}"/>
    <cellStyle name="Percentuale 25 3 3 4" xfId="28260" xr:uid="{80A31559-6EAE-4C06-A61C-9644A6607008}"/>
    <cellStyle name="Percentuale 25 3 3 4 2" xfId="49153" xr:uid="{B7F55B5D-416F-44AC-8F7D-F653FCF870AD}"/>
    <cellStyle name="Percentuale 25 3 3 5" xfId="28257" xr:uid="{20B72442-886F-4D14-9EEA-C4A28A63E8E3}"/>
    <cellStyle name="Percentuale 25 3 4" xfId="4340" xr:uid="{401DD4ED-D35E-4359-95C5-4B760AFA836C}"/>
    <cellStyle name="Percentuale 25 3 4 2" xfId="13794" xr:uid="{5C8C3C77-A454-442D-8660-C0C33AFC2D84}"/>
    <cellStyle name="Percentuale 25 3 4 3" xfId="28261" xr:uid="{3F21B45A-ABA8-4844-A89D-301732429EF1}"/>
    <cellStyle name="Percentuale 25 3 5" xfId="11157" xr:uid="{B17B76E7-149F-44E6-8F1D-01B9E01C3C43}"/>
    <cellStyle name="Percentuale 25 3 5 2" xfId="28262" xr:uid="{88DB0F42-CA52-49F9-9867-3598180EC251}"/>
    <cellStyle name="Percentuale 25 3 6" xfId="28263" xr:uid="{945653AF-9897-49BA-B264-FA3D0B212836}"/>
    <cellStyle name="Percentuale 25 3 6 2" xfId="49154" xr:uid="{23183EC2-F336-46D2-8AB7-55A61AC5E418}"/>
    <cellStyle name="Percentuale 25 3 7" xfId="28264" xr:uid="{36131222-3FD6-41BB-B410-2831ADA3F693}"/>
    <cellStyle name="Percentuale 25 3 8" xfId="28251" xr:uid="{810C9322-12DF-469C-A86C-07C608D3B5BE}"/>
    <cellStyle name="Percentuale 25 4" xfId="2341" xr:uid="{00000000-0005-0000-0000-000053080000}"/>
    <cellStyle name="Percentuale 25 4 2" xfId="2342" xr:uid="{00000000-0005-0000-0000-000054080000}"/>
    <cellStyle name="Percentuale 25 4 2 2" xfId="9450" xr:uid="{5D978EBD-52ED-433C-BCF3-FBF8B7AAFDA5}"/>
    <cellStyle name="Percentuale 25 4 2 2 2" xfId="28267" xr:uid="{2CE101CC-77BC-46EC-A4FD-7F7BF013205E}"/>
    <cellStyle name="Percentuale 25 4 2 3" xfId="17919" xr:uid="{D9E81688-9D36-4A3B-A3FD-4EA362306D49}"/>
    <cellStyle name="Percentuale 25 4 2 3 2" xfId="28268" xr:uid="{E4D65040-58FC-440F-89F9-DFB601508374}"/>
    <cellStyle name="Percentuale 25 4 2 4" xfId="28266" xr:uid="{FFEF3116-432E-4AE0-BAD6-7FB414FE33F6}"/>
    <cellStyle name="Percentuale 25 4 2 5" xfId="17527" xr:uid="{51EA9CF5-AFEB-4E4E-AEA5-F2A6C3BF1FE7}"/>
    <cellStyle name="Percentuale 25 4 3" xfId="9451" xr:uid="{7FC96DF9-64D8-4104-A418-DACB57AD4A9B}"/>
    <cellStyle name="Percentuale 25 4 3 2" xfId="28269" xr:uid="{E7E4667B-3164-49B1-911A-D224F1ABB537}"/>
    <cellStyle name="Percentuale 25 4 4" xfId="28270" xr:uid="{7E0C3122-48B3-4F3C-B179-4CA08B2F60E6}"/>
    <cellStyle name="Percentuale 25 4 5" xfId="28271" xr:uid="{B0228B8B-70B1-42EF-83DA-E473FA59EFC6}"/>
    <cellStyle name="Percentuale 25 4 5 2" xfId="49155" xr:uid="{BE92AE46-4C30-432D-810A-FCF6BD01F750}"/>
    <cellStyle name="Percentuale 25 4 6" xfId="28272" xr:uid="{54FE9224-ECEB-459B-B1E0-02B1F0CD5118}"/>
    <cellStyle name="Percentuale 25 4 7" xfId="28265" xr:uid="{C719E1B5-862D-408F-98D3-B91EA317322A}"/>
    <cellStyle name="Percentuale 25 5" xfId="2343" xr:uid="{00000000-0005-0000-0000-000055080000}"/>
    <cellStyle name="Percentuale 25 5 2" xfId="28274" xr:uid="{A9AE43C2-833B-4187-BDB6-D4651A0D7DE0}"/>
    <cellStyle name="Percentuale 25 5 3" xfId="28275" xr:uid="{67349E4D-0277-4152-86D2-249FB999649F}"/>
    <cellStyle name="Percentuale 25 5 3 2" xfId="49156" xr:uid="{A4568716-0390-4349-A984-950C5995B685}"/>
    <cellStyle name="Percentuale 25 5 4" xfId="28276" xr:uid="{4C2BBF6D-B72C-4724-8298-DE1DD063B916}"/>
    <cellStyle name="Percentuale 25 5 5" xfId="28273" xr:uid="{9BF7B80E-41C5-4605-B746-126BFEE9C645}"/>
    <cellStyle name="Percentuale 25 6" xfId="4341" xr:uid="{0344AB72-D7EE-4F5C-A1DA-12D7E804C5E1}"/>
    <cellStyle name="Percentuale 25 6 2" xfId="9828" xr:uid="{F506BF5E-88C7-412E-A578-6931A594C5CB}"/>
    <cellStyle name="Percentuale 25 6 3" xfId="28277" xr:uid="{7F6BF741-8A5C-4172-A62F-77FF85DB2C11}"/>
    <cellStyle name="Percentuale 25 7" xfId="28278" xr:uid="{298A0BFD-B4D0-462B-88F4-A8A72C450DB8}"/>
    <cellStyle name="Percentuale 25 7 2" xfId="49157" xr:uid="{324A49B0-5BB1-4303-9AF2-68B737C4A2D7}"/>
    <cellStyle name="Percentuale 25 8" xfId="28245" xr:uid="{976C9B23-57B2-4269-80D4-D006FF3756BF}"/>
    <cellStyle name="Percentuale 26" xfId="1042" xr:uid="{00000000-0005-0000-0000-000056080000}"/>
    <cellStyle name="Percentuale 26 2" xfId="1043" xr:uid="{00000000-0005-0000-0000-000057080000}"/>
    <cellStyle name="Percentuale 26 2 2" xfId="4342" xr:uid="{72C4A156-A104-4DFD-A6AC-816EAE1B456F}"/>
    <cellStyle name="Percentuale 26 2 2 2" xfId="13580" xr:uid="{4C83D47E-7B38-4C52-AB1D-BCC4C33967FF}"/>
    <cellStyle name="Percentuale 26 2 2 3" xfId="28281" xr:uid="{9D56AE67-88EB-4EC1-94FD-0FD76C46C70B}"/>
    <cellStyle name="Percentuale 26 2 3" xfId="13318" xr:uid="{9CC43FB0-6D4D-4366-9129-B13ADF097B19}"/>
    <cellStyle name="Percentuale 26 2 3 2" xfId="28282" xr:uid="{3DE94C26-84C4-4929-A28B-5DA7FE363461}"/>
    <cellStyle name="Percentuale 26 2 4" xfId="28283" xr:uid="{760EE331-9BE6-462C-8E56-0C7AF1535A10}"/>
    <cellStyle name="Percentuale 26 2 4 2" xfId="49158" xr:uid="{8510B83F-E044-4D42-A275-965D7C384F2A}"/>
    <cellStyle name="Percentuale 26 2 5" xfId="28284" xr:uid="{C83E61F6-CCE4-43C8-8D7E-187DC9C3EC13}"/>
    <cellStyle name="Percentuale 26 2 6" xfId="28280" xr:uid="{422E93DF-1B3F-4378-ACCB-5259D11C1EFC}"/>
    <cellStyle name="Percentuale 26 3" xfId="1044" xr:uid="{00000000-0005-0000-0000-000058080000}"/>
    <cellStyle name="Percentuale 26 3 2" xfId="1045" xr:uid="{00000000-0005-0000-0000-000059080000}"/>
    <cellStyle name="Percentuale 26 3 2 2" xfId="2344" xr:uid="{00000000-0005-0000-0000-00005A080000}"/>
    <cellStyle name="Percentuale 26 3 2 2 2" xfId="28288" xr:uid="{FA09C231-0A61-418B-9EE0-A1FCEEAEAB40}"/>
    <cellStyle name="Percentuale 26 3 2 2 3" xfId="28287" xr:uid="{AECA11FD-8629-428D-826D-D89E9DA85441}"/>
    <cellStyle name="Percentuale 26 3 2 3" xfId="8135" xr:uid="{7BA32D7E-3F6E-4E1F-90C7-AB95FDBC0965}"/>
    <cellStyle name="Percentuale 26 3 2 3 2" xfId="14134" xr:uid="{E7507010-BA48-4133-82CD-E31AC9353C33}"/>
    <cellStyle name="Percentuale 26 3 2 3 3" xfId="28289" xr:uid="{B6C1127A-DA7C-4A6D-A7E8-E0C2B217690A}"/>
    <cellStyle name="Percentuale 26 3 2 3 4" xfId="49159" xr:uid="{98510169-8CDD-495C-AFEF-F69533906F7B}"/>
    <cellStyle name="Percentuale 26 3 2 4" xfId="28290" xr:uid="{77160C9B-2A52-4BFA-8EC5-6DA2778B3F6B}"/>
    <cellStyle name="Percentuale 26 3 2 5" xfId="28286" xr:uid="{7DC3CFC7-9830-4515-8053-A7A93110E789}"/>
    <cellStyle name="Percentuale 26 3 3" xfId="4343" xr:uid="{20F20252-975D-46B3-9784-EFF3FCF71703}"/>
    <cellStyle name="Percentuale 26 3 3 2" xfId="9452" xr:uid="{9729CCF8-03E5-4C42-AD10-43824C2F8355}"/>
    <cellStyle name="Percentuale 26 3 3 2 2" xfId="28292" xr:uid="{AE44E28C-011A-480B-A48E-21232EDF88C0}"/>
    <cellStyle name="Percentuale 26 3 3 3" xfId="28293" xr:uid="{DA572942-CC3C-490A-ACC0-27E3EF1AB4A0}"/>
    <cellStyle name="Percentuale 26 3 3 4" xfId="28294" xr:uid="{A76D4244-EAEB-4A3F-9C03-3BDE6B511CAC}"/>
    <cellStyle name="Percentuale 26 3 3 4 2" xfId="49160" xr:uid="{41291A6F-0451-4B28-B5DB-D58D47742913}"/>
    <cellStyle name="Percentuale 26 3 3 5" xfId="28291" xr:uid="{4994514C-B373-4E36-9FFA-BB547E63AE65}"/>
    <cellStyle name="Percentuale 26 3 4" xfId="4344" xr:uid="{42E27C82-5218-408B-9D6F-B44AC517E865}"/>
    <cellStyle name="Percentuale 26 3 4 2" xfId="13795" xr:uid="{A45911F0-E2E8-44AE-A5DE-3653C56C52D5}"/>
    <cellStyle name="Percentuale 26 3 4 3" xfId="28295" xr:uid="{188AAB2C-9C9C-48D8-9DC9-3940CD5D82E9}"/>
    <cellStyle name="Percentuale 26 3 5" xfId="12300" xr:uid="{B7C65E33-81C6-43CC-9A44-B8DFBE905A0D}"/>
    <cellStyle name="Percentuale 26 3 5 2" xfId="28296" xr:uid="{F0BA092B-9F65-4108-B2ED-474EA59CC5B7}"/>
    <cellStyle name="Percentuale 26 3 6" xfId="28297" xr:uid="{84B35071-07A2-4FFA-BABE-9E495B2A80BF}"/>
    <cellStyle name="Percentuale 26 3 6 2" xfId="49161" xr:uid="{06338D2E-6FBB-4B50-B4A0-C3C8938DC4B1}"/>
    <cellStyle name="Percentuale 26 3 7" xfId="28298" xr:uid="{75D08562-149D-47E5-8FDB-A8E4A4E52257}"/>
    <cellStyle name="Percentuale 26 3 8" xfId="28285" xr:uid="{D3675C67-B4CF-41A1-8CD6-D4703F3F37A2}"/>
    <cellStyle name="Percentuale 26 4" xfId="2345" xr:uid="{00000000-0005-0000-0000-00005B080000}"/>
    <cellStyle name="Percentuale 26 4 2" xfId="2346" xr:uid="{00000000-0005-0000-0000-00005C080000}"/>
    <cellStyle name="Percentuale 26 4 2 2" xfId="9453" xr:uid="{F9743091-8262-45D2-8E0A-35B65D130A71}"/>
    <cellStyle name="Percentuale 26 4 2 2 2" xfId="28301" xr:uid="{E1299068-72CE-44E4-ADEC-9D3693FB5F25}"/>
    <cellStyle name="Percentuale 26 4 2 3" xfId="17920" xr:uid="{012AF79C-CA19-47E2-849C-37C5CFEDB81C}"/>
    <cellStyle name="Percentuale 26 4 2 3 2" xfId="28302" xr:uid="{284D240A-99F2-47EB-960C-CF8178C31CE2}"/>
    <cellStyle name="Percentuale 26 4 2 4" xfId="28300" xr:uid="{C2CB640E-D934-41A6-861B-6B2216B7B8C5}"/>
    <cellStyle name="Percentuale 26 4 2 5" xfId="17528" xr:uid="{60811ABF-5B96-4AC7-9834-96AD28341419}"/>
    <cellStyle name="Percentuale 26 4 3" xfId="9454" xr:uid="{7790E3EA-21ED-439D-BA1F-C79A65E2CEDF}"/>
    <cellStyle name="Percentuale 26 4 3 2" xfId="28303" xr:uid="{205A1363-0BF8-4D86-B098-E5FE3C0FA823}"/>
    <cellStyle name="Percentuale 26 4 4" xfId="28304" xr:uid="{B17C1F72-3DEB-427B-B74C-C0CBA35A2CEB}"/>
    <cellStyle name="Percentuale 26 4 5" xfId="28305" xr:uid="{BA5FB993-CE12-44A7-9FF8-F9E792B8D107}"/>
    <cellStyle name="Percentuale 26 4 5 2" xfId="49162" xr:uid="{171305EE-939B-49E3-B383-FBC7FE2800EB}"/>
    <cellStyle name="Percentuale 26 4 6" xfId="28306" xr:uid="{FEE3F6C1-37A7-45B5-8E76-3866E6F45BA8}"/>
    <cellStyle name="Percentuale 26 4 7" xfId="28299" xr:uid="{72AC5CC6-F2FC-4D70-AD81-A98A7BEB8DCB}"/>
    <cellStyle name="Percentuale 26 5" xfId="2347" xr:uid="{00000000-0005-0000-0000-00005D080000}"/>
    <cellStyle name="Percentuale 26 5 2" xfId="28308" xr:uid="{E629D19A-19E5-436A-ACAF-5447B59F4DCC}"/>
    <cellStyle name="Percentuale 26 5 3" xfId="28309" xr:uid="{4317D436-A704-417F-986A-9EC583843B07}"/>
    <cellStyle name="Percentuale 26 5 3 2" xfId="49163" xr:uid="{57B1B5A5-A1BF-4302-B099-B95251FE89F2}"/>
    <cellStyle name="Percentuale 26 5 4" xfId="28310" xr:uid="{B9328A7B-A758-4194-BD4C-3A0C970F6682}"/>
    <cellStyle name="Percentuale 26 5 5" xfId="28307" xr:uid="{3D3717AE-3EEE-4E72-ABF8-ADE58285E7AD}"/>
    <cellStyle name="Percentuale 26 6" xfId="4345" xr:uid="{6F3222A7-5539-4DA3-B5ED-41D2B52F9043}"/>
    <cellStyle name="Percentuale 26 6 2" xfId="9829" xr:uid="{564A19B8-79BF-424C-87D1-DC84BF15FEF0}"/>
    <cellStyle name="Percentuale 26 6 3" xfId="28311" xr:uid="{118DEE2D-AFEA-434A-9784-CA0B47E1D6D2}"/>
    <cellStyle name="Percentuale 26 7" xfId="28312" xr:uid="{10998950-E9BC-4DC4-9E26-86C5FB1C28E4}"/>
    <cellStyle name="Percentuale 26 7 2" xfId="49164" xr:uid="{C5176A30-C07D-4702-8F73-520E7BBEAD39}"/>
    <cellStyle name="Percentuale 26 8" xfId="28279" xr:uid="{F74818D0-B19C-4F52-A516-B5A9C31F6B72}"/>
    <cellStyle name="Percentuale 27" xfId="1046" xr:uid="{00000000-0005-0000-0000-00005E080000}"/>
    <cellStyle name="Percentuale 27 2" xfId="1047" xr:uid="{00000000-0005-0000-0000-00005F080000}"/>
    <cellStyle name="Percentuale 27 2 2" xfId="4346" xr:uid="{A9465755-FDE7-48E6-BA08-A512809C0D88}"/>
    <cellStyle name="Percentuale 27 2 2 2" xfId="13581" xr:uid="{29FE7C62-EC2F-4AA9-B721-85B5C4F37140}"/>
    <cellStyle name="Percentuale 27 2 2 3" xfId="28315" xr:uid="{9B6921FE-6882-4E3F-B14E-E3E207D11E54}"/>
    <cellStyle name="Percentuale 27 2 3" xfId="13319" xr:uid="{3895229F-4786-4E7C-883B-A5C4B763EB12}"/>
    <cellStyle name="Percentuale 27 2 3 2" xfId="28316" xr:uid="{08866C81-11BC-45BF-8D3B-B267C8588AFB}"/>
    <cellStyle name="Percentuale 27 2 4" xfId="28317" xr:uid="{E77E47F0-0A90-43DD-B73F-6372BBAE916E}"/>
    <cellStyle name="Percentuale 27 2 4 2" xfId="49165" xr:uid="{F970F641-4EDF-4174-A370-D7623A8E4135}"/>
    <cellStyle name="Percentuale 27 2 5" xfId="28318" xr:uid="{7BB7FC41-E847-4CBB-AE39-C60D5EC6CF78}"/>
    <cellStyle name="Percentuale 27 2 6" xfId="28314" xr:uid="{F04AC45A-7888-43CB-A74D-09B230DE43D2}"/>
    <cellStyle name="Percentuale 27 3" xfId="1048" xr:uid="{00000000-0005-0000-0000-000060080000}"/>
    <cellStyle name="Percentuale 27 3 2" xfId="1049" xr:uid="{00000000-0005-0000-0000-000061080000}"/>
    <cellStyle name="Percentuale 27 3 2 2" xfId="2348" xr:uid="{00000000-0005-0000-0000-000062080000}"/>
    <cellStyle name="Percentuale 27 3 2 2 2" xfId="28322" xr:uid="{9B26FEF2-9CDF-4ADD-BE15-521D3C1C59D8}"/>
    <cellStyle name="Percentuale 27 3 2 2 3" xfId="28321" xr:uid="{AD737A98-08D1-4B32-B13A-5E7181B333B6}"/>
    <cellStyle name="Percentuale 27 3 2 3" xfId="8136" xr:uid="{64C55CE8-A450-427D-957C-60AC3EEDCE14}"/>
    <cellStyle name="Percentuale 27 3 2 3 2" xfId="14135" xr:uid="{D6BB2A91-4363-4B6B-98E8-B9DD71CE0EC6}"/>
    <cellStyle name="Percentuale 27 3 2 3 3" xfId="28323" xr:uid="{716A2B5E-EE3B-43EB-BE4C-45AAD8FF09FB}"/>
    <cellStyle name="Percentuale 27 3 2 3 4" xfId="49166" xr:uid="{6F1D2001-8FB4-4C01-B200-5636676F8C82}"/>
    <cellStyle name="Percentuale 27 3 2 4" xfId="28324" xr:uid="{79547A01-4A50-4FD3-8AFE-B6CA6EC31B9C}"/>
    <cellStyle name="Percentuale 27 3 2 5" xfId="28320" xr:uid="{35348ABA-9E01-4006-9240-212B7FB1656E}"/>
    <cellStyle name="Percentuale 27 3 3" xfId="4347" xr:uid="{8CF57C26-C15C-424F-9D5E-CD265DC0E123}"/>
    <cellStyle name="Percentuale 27 3 3 2" xfId="9455" xr:uid="{884B199F-DE7C-44B6-867C-56AD9771E456}"/>
    <cellStyle name="Percentuale 27 3 3 2 2" xfId="28326" xr:uid="{D63645B6-2F94-41AD-B545-346ACB9EE06F}"/>
    <cellStyle name="Percentuale 27 3 3 3" xfId="28327" xr:uid="{7FF6ACB8-591D-4C01-8173-6F4509CEC177}"/>
    <cellStyle name="Percentuale 27 3 3 4" xfId="28328" xr:uid="{DF9C4CE2-0F4D-4748-BC29-3B18873DADD4}"/>
    <cellStyle name="Percentuale 27 3 3 4 2" xfId="49167" xr:uid="{DBEC013A-2EE4-4532-A7BB-E0AEE4B66F83}"/>
    <cellStyle name="Percentuale 27 3 3 5" xfId="28325" xr:uid="{792FABE0-0A30-4C3B-A4A4-5A3454B0A0C1}"/>
    <cellStyle name="Percentuale 27 3 4" xfId="4348" xr:uid="{204A3C27-331E-4B02-A048-0679E2E2A764}"/>
    <cellStyle name="Percentuale 27 3 4 2" xfId="13796" xr:uid="{4253A2D8-AD11-43E9-8D6D-8BAF1F76BD50}"/>
    <cellStyle name="Percentuale 27 3 4 3" xfId="28329" xr:uid="{52D49CF1-F4FA-4C91-89E6-654918FBD26B}"/>
    <cellStyle name="Percentuale 27 3 5" xfId="12429" xr:uid="{9938AD14-A639-4674-886B-5EC5D059C5CD}"/>
    <cellStyle name="Percentuale 27 3 5 2" xfId="28330" xr:uid="{C487F888-2BE8-416D-93F2-417977456FB5}"/>
    <cellStyle name="Percentuale 27 3 6" xfId="28331" xr:uid="{84BF66A2-F418-4EF0-B5EF-5AC0D9185A86}"/>
    <cellStyle name="Percentuale 27 3 6 2" xfId="49168" xr:uid="{7B90BCE4-2AE6-4C57-985F-18B8905AA27A}"/>
    <cellStyle name="Percentuale 27 3 7" xfId="28332" xr:uid="{F269F8E1-13EF-4942-940E-882DF6640864}"/>
    <cellStyle name="Percentuale 27 3 8" xfId="28319" xr:uid="{0DD19C0B-DA39-49B7-BBC1-2496D31CA280}"/>
    <cellStyle name="Percentuale 27 4" xfId="2349" xr:uid="{00000000-0005-0000-0000-000063080000}"/>
    <cellStyle name="Percentuale 27 4 2" xfId="2350" xr:uid="{00000000-0005-0000-0000-000064080000}"/>
    <cellStyle name="Percentuale 27 4 2 2" xfId="9456" xr:uid="{6D901602-467C-4A52-AB13-2987C441027A}"/>
    <cellStyle name="Percentuale 27 4 2 2 2" xfId="28335" xr:uid="{D308CD35-0C57-4F58-BB3D-9D3B375CF161}"/>
    <cellStyle name="Percentuale 27 4 2 3" xfId="17921" xr:uid="{A0AB9D83-ACFA-4513-B0FE-A9FD8BC3FDDD}"/>
    <cellStyle name="Percentuale 27 4 2 3 2" xfId="28336" xr:uid="{D7453957-EBF9-45C6-BE8D-0610413F52D2}"/>
    <cellStyle name="Percentuale 27 4 2 4" xfId="28334" xr:uid="{9A7CDF75-C991-4942-B892-07ED486250E7}"/>
    <cellStyle name="Percentuale 27 4 2 5" xfId="17529" xr:uid="{4DFEAA94-A4B8-4710-91DF-B4E9A579AB7D}"/>
    <cellStyle name="Percentuale 27 4 3" xfId="9457" xr:uid="{C1DAC2DE-C59B-42FA-8A7E-5F91DFEFE711}"/>
    <cellStyle name="Percentuale 27 4 3 2" xfId="28337" xr:uid="{AC9E0967-BA00-400A-BA53-053CFDACB85B}"/>
    <cellStyle name="Percentuale 27 4 4" xfId="28338" xr:uid="{C3305EEC-7A90-4B66-A329-0B2D8A7CDEBE}"/>
    <cellStyle name="Percentuale 27 4 5" xfId="28339" xr:uid="{B48D87B3-5B24-4F61-8BEC-0CCD64AADE06}"/>
    <cellStyle name="Percentuale 27 4 5 2" xfId="49169" xr:uid="{F5D2A31C-15BE-46A0-8C34-1B3F34E7A569}"/>
    <cellStyle name="Percentuale 27 4 6" xfId="28340" xr:uid="{9D4CAE02-3F7B-4FFF-B0C7-CC6070810197}"/>
    <cellStyle name="Percentuale 27 4 7" xfId="28333" xr:uid="{B4B77B15-744C-4057-8A43-6AE110990154}"/>
    <cellStyle name="Percentuale 27 5" xfId="2351" xr:uid="{00000000-0005-0000-0000-000065080000}"/>
    <cellStyle name="Percentuale 27 5 2" xfId="28342" xr:uid="{D8E500C1-2A59-44F6-A2D1-6481378E1A4C}"/>
    <cellStyle name="Percentuale 27 5 3" xfId="28343" xr:uid="{721303AA-92FD-4343-BEF0-AC4AEB6A83AD}"/>
    <cellStyle name="Percentuale 27 5 3 2" xfId="49170" xr:uid="{0267DEDD-75C9-413D-829F-3C76B07F8E85}"/>
    <cellStyle name="Percentuale 27 5 4" xfId="28344" xr:uid="{4A8623FD-A612-49D1-8D40-DF1E09E24024}"/>
    <cellStyle name="Percentuale 27 5 5" xfId="28341" xr:uid="{7BF93991-0C6E-400C-B274-0A013DAD940F}"/>
    <cellStyle name="Percentuale 27 6" xfId="4349" xr:uid="{A15516B8-342A-443C-8DD4-67589E27CD21}"/>
    <cellStyle name="Percentuale 27 6 2" xfId="9830" xr:uid="{A53EEBE5-F1AC-4232-BD57-47967AEF756E}"/>
    <cellStyle name="Percentuale 27 6 3" xfId="28345" xr:uid="{1D7A8A1B-6384-45C8-8C21-7EE77E7DF3BF}"/>
    <cellStyle name="Percentuale 27 7" xfId="28346" xr:uid="{30D778A0-AED3-4ACA-96CF-4A9787E3D825}"/>
    <cellStyle name="Percentuale 27 7 2" xfId="49171" xr:uid="{4FAC363B-C581-416A-8089-9B7AA309166A}"/>
    <cellStyle name="Percentuale 27 8" xfId="28313" xr:uid="{092853D5-FAC9-448D-93F2-6EECB4BE8546}"/>
    <cellStyle name="Percentuale 28" xfId="1050" xr:uid="{00000000-0005-0000-0000-000066080000}"/>
    <cellStyle name="Percentuale 28 2" xfId="1051" xr:uid="{00000000-0005-0000-0000-000067080000}"/>
    <cellStyle name="Percentuale 28 2 2" xfId="4350" xr:uid="{E94A0CCE-3B7B-4A45-B100-91C9C783C72B}"/>
    <cellStyle name="Percentuale 28 2 2 2" xfId="13582" xr:uid="{CA04B7DF-627A-4A7E-851F-52D5BCD8F40E}"/>
    <cellStyle name="Percentuale 28 2 2 3" xfId="28349" xr:uid="{18B06009-D2D1-4340-9929-D35C39BC7403}"/>
    <cellStyle name="Percentuale 28 2 3" xfId="13320" xr:uid="{5915AED0-A125-4068-A033-3F9FD62285DD}"/>
    <cellStyle name="Percentuale 28 2 3 2" xfId="28350" xr:uid="{DE1F674F-B0FF-4234-97DB-9B79F27DD03F}"/>
    <cellStyle name="Percentuale 28 2 4" xfId="28351" xr:uid="{F5968861-6E35-4858-ABDB-00DB1ACB55B7}"/>
    <cellStyle name="Percentuale 28 2 4 2" xfId="49172" xr:uid="{F30A1AD1-2CD8-4383-A310-637060E1DAAA}"/>
    <cellStyle name="Percentuale 28 2 5" xfId="28352" xr:uid="{71588ADA-49FB-4930-887D-FBDA2A40CC56}"/>
    <cellStyle name="Percentuale 28 2 6" xfId="28348" xr:uid="{C4CF9FF0-1530-461B-B7C2-741A8115ED2F}"/>
    <cellStyle name="Percentuale 28 3" xfId="1052" xr:uid="{00000000-0005-0000-0000-000068080000}"/>
    <cellStyle name="Percentuale 28 3 2" xfId="1053" xr:uid="{00000000-0005-0000-0000-000069080000}"/>
    <cellStyle name="Percentuale 28 3 2 2" xfId="2352" xr:uid="{00000000-0005-0000-0000-00006A080000}"/>
    <cellStyle name="Percentuale 28 3 2 2 2" xfId="28356" xr:uid="{8A5537EB-916C-40BE-BAC4-BBFE008C851B}"/>
    <cellStyle name="Percentuale 28 3 2 2 3" xfId="28355" xr:uid="{B2EBD44D-ED2A-4F62-AF02-E66B5F27DC1C}"/>
    <cellStyle name="Percentuale 28 3 2 3" xfId="8137" xr:uid="{0B12ADF7-8DA2-4DA0-8B53-CA19578C9459}"/>
    <cellStyle name="Percentuale 28 3 2 3 2" xfId="14136" xr:uid="{30FFF422-E9B6-4849-942A-1C347CBEAED2}"/>
    <cellStyle name="Percentuale 28 3 2 3 3" xfId="28357" xr:uid="{AF477C69-C573-463F-A0E0-B27E0CA631B6}"/>
    <cellStyle name="Percentuale 28 3 2 3 4" xfId="49173" xr:uid="{E9E7D993-0DB4-4CA9-BCF4-A4970E1F5040}"/>
    <cellStyle name="Percentuale 28 3 2 4" xfId="28358" xr:uid="{61993FE1-807E-46D9-AD68-4AF27C941485}"/>
    <cellStyle name="Percentuale 28 3 2 5" xfId="28354" xr:uid="{B7BD8434-C952-4531-BA52-9F199B4F36C4}"/>
    <cellStyle name="Percentuale 28 3 3" xfId="4351" xr:uid="{48C8B1D7-D9C3-4C76-A0E1-46B7433FA24F}"/>
    <cellStyle name="Percentuale 28 3 3 2" xfId="9458" xr:uid="{4A875647-5D63-4EB0-90D9-97BF4BDB4AD6}"/>
    <cellStyle name="Percentuale 28 3 3 2 2" xfId="28360" xr:uid="{50031FBC-FEBB-4917-846D-18F60095B1CA}"/>
    <cellStyle name="Percentuale 28 3 3 3" xfId="28361" xr:uid="{4B9643D1-8DF0-4B48-A837-81E7AA70BA48}"/>
    <cellStyle name="Percentuale 28 3 3 4" xfId="28362" xr:uid="{60CE397E-62C5-4FD6-B036-4E3AD06E697D}"/>
    <cellStyle name="Percentuale 28 3 3 4 2" xfId="49174" xr:uid="{864A2D28-0EA6-4516-8319-C2B42436B3CB}"/>
    <cellStyle name="Percentuale 28 3 3 5" xfId="28359" xr:uid="{613F72A3-8283-4700-88DE-66108B8DA263}"/>
    <cellStyle name="Percentuale 28 3 4" xfId="4352" xr:uid="{40E4C095-936D-4B7D-BB59-6B14F94B1C52}"/>
    <cellStyle name="Percentuale 28 3 4 2" xfId="13797" xr:uid="{3E419890-AC10-4453-8571-8CDDCB228721}"/>
    <cellStyle name="Percentuale 28 3 4 3" xfId="28363" xr:uid="{80D70D61-438E-4A9D-83B4-E7D4B4E6E5AA}"/>
    <cellStyle name="Percentuale 28 3 5" xfId="11092" xr:uid="{C855FDC7-C2C8-44C8-BB01-36518306D702}"/>
    <cellStyle name="Percentuale 28 3 5 2" xfId="28364" xr:uid="{7345A311-EBEC-4B51-9576-A145221F527E}"/>
    <cellStyle name="Percentuale 28 3 6" xfId="28365" xr:uid="{51A403C2-68F7-4F10-B284-97B1F70D6493}"/>
    <cellStyle name="Percentuale 28 3 6 2" xfId="49175" xr:uid="{A816C038-1B00-4B8F-BABC-C64D4ED9535F}"/>
    <cellStyle name="Percentuale 28 3 7" xfId="28366" xr:uid="{E27B7E93-37ED-481E-A43B-1E5EA7FDD601}"/>
    <cellStyle name="Percentuale 28 3 8" xfId="28353" xr:uid="{15B15530-C20F-4E56-82D4-9C52B5C1F223}"/>
    <cellStyle name="Percentuale 28 4" xfId="2353" xr:uid="{00000000-0005-0000-0000-00006B080000}"/>
    <cellStyle name="Percentuale 28 4 2" xfId="2354" xr:uid="{00000000-0005-0000-0000-00006C080000}"/>
    <cellStyle name="Percentuale 28 4 2 2" xfId="9459" xr:uid="{76FD393F-828F-4C3F-8F5A-274CBA6F556B}"/>
    <cellStyle name="Percentuale 28 4 2 2 2" xfId="28369" xr:uid="{96606CE5-6FE1-400B-999C-8D86FD38FAD7}"/>
    <cellStyle name="Percentuale 28 4 2 3" xfId="17922" xr:uid="{0915A73D-2B76-4E56-BEA2-594628EDB46B}"/>
    <cellStyle name="Percentuale 28 4 2 3 2" xfId="28370" xr:uid="{D63601EA-E5A7-4B8B-9D0E-698BBFE0DAF8}"/>
    <cellStyle name="Percentuale 28 4 2 4" xfId="28368" xr:uid="{870A6FB8-FC52-42A6-8AC4-ECF89447C957}"/>
    <cellStyle name="Percentuale 28 4 2 5" xfId="17530" xr:uid="{C77B49D4-F3D2-43E9-81F8-261E7DCC424B}"/>
    <cellStyle name="Percentuale 28 4 3" xfId="9460" xr:uid="{3853C105-7917-4EAC-9D59-46FED15F158E}"/>
    <cellStyle name="Percentuale 28 4 3 2" xfId="28371" xr:uid="{5E16BC05-DEC5-44D7-95EF-CE737272071F}"/>
    <cellStyle name="Percentuale 28 4 4" xfId="28372" xr:uid="{D507E37A-8A1E-4E61-B3C3-097564EA9A49}"/>
    <cellStyle name="Percentuale 28 4 5" xfId="28373" xr:uid="{B3BF45ED-2D93-42B3-9726-DFE9757D8571}"/>
    <cellStyle name="Percentuale 28 4 5 2" xfId="49176" xr:uid="{E1A8DB1B-5C99-4335-AD2D-E0C75B0BE27A}"/>
    <cellStyle name="Percentuale 28 4 6" xfId="28374" xr:uid="{A2FF8232-5252-4B10-BC76-09822F6D01AC}"/>
    <cellStyle name="Percentuale 28 4 7" xfId="28367" xr:uid="{A2B77EAD-AAEE-417D-B841-5EA6420EEC6D}"/>
    <cellStyle name="Percentuale 28 5" xfId="2355" xr:uid="{00000000-0005-0000-0000-00006D080000}"/>
    <cellStyle name="Percentuale 28 5 2" xfId="28376" xr:uid="{38A6A527-258A-459F-8E55-772F91BCE981}"/>
    <cellStyle name="Percentuale 28 5 3" xfId="28377" xr:uid="{B8DE6767-720C-4172-8258-F10F281BACCA}"/>
    <cellStyle name="Percentuale 28 5 3 2" xfId="49177" xr:uid="{CD50C7DC-963B-4B04-9142-CDBDB2576D11}"/>
    <cellStyle name="Percentuale 28 5 4" xfId="28378" xr:uid="{BBA3EBE8-5387-4085-9551-CE280A02C3AC}"/>
    <cellStyle name="Percentuale 28 5 5" xfId="28375" xr:uid="{A8F49C53-7124-4E5B-ADBC-4A002482AB42}"/>
    <cellStyle name="Percentuale 28 6" xfId="4353" xr:uid="{C095D96B-78CF-44E2-99C3-707D738A998B}"/>
    <cellStyle name="Percentuale 28 6 2" xfId="9831" xr:uid="{0011BEBC-4127-4A26-AA69-DEACD507DD3C}"/>
    <cellStyle name="Percentuale 28 6 3" xfId="28379" xr:uid="{145CDEF4-8A5E-44C3-BAEE-C7D8A43156E7}"/>
    <cellStyle name="Percentuale 28 7" xfId="28380" xr:uid="{5123A414-5323-44B3-84C8-35D5BE93B4D5}"/>
    <cellStyle name="Percentuale 28 7 2" xfId="49178" xr:uid="{B444D3A4-7516-44B0-8A86-7C4B3A0D3151}"/>
    <cellStyle name="Percentuale 28 8" xfId="28347" xr:uid="{CA930227-CF90-4F10-B56C-C3F74BB31DC8}"/>
    <cellStyle name="Percentuale 29" xfId="1054" xr:uid="{00000000-0005-0000-0000-00006E080000}"/>
    <cellStyle name="Percentuale 29 2" xfId="1055" xr:uid="{00000000-0005-0000-0000-00006F080000}"/>
    <cellStyle name="Percentuale 29 2 2" xfId="4354" xr:uid="{9A96BE77-A48A-48C9-8028-6B0698D48C4E}"/>
    <cellStyle name="Percentuale 29 2 2 2" xfId="13583" xr:uid="{5D5097C3-3D9E-42F7-B8C7-349D33F6B36C}"/>
    <cellStyle name="Percentuale 29 2 2 3" xfId="28383" xr:uid="{EE62C665-540B-4003-9950-39784B670B58}"/>
    <cellStyle name="Percentuale 29 2 3" xfId="13321" xr:uid="{4CA6D476-7D0D-41D9-9E73-C67D28A427B1}"/>
    <cellStyle name="Percentuale 29 2 3 2" xfId="28384" xr:uid="{75C0DBFA-C924-4687-AA82-FB39BC088224}"/>
    <cellStyle name="Percentuale 29 2 4" xfId="28385" xr:uid="{BCD8A403-65E9-4B72-8B96-79C2113C7D3F}"/>
    <cellStyle name="Percentuale 29 2 4 2" xfId="49179" xr:uid="{DC0F79A6-9F70-43CF-AE8E-811378C82A0B}"/>
    <cellStyle name="Percentuale 29 2 5" xfId="28386" xr:uid="{7552268B-4E73-443A-88F3-E09B93C36BF9}"/>
    <cellStyle name="Percentuale 29 2 6" xfId="28382" xr:uid="{9F3FD18A-14F7-468B-A4F2-91D4C8178BB5}"/>
    <cellStyle name="Percentuale 29 3" xfId="1056" xr:uid="{00000000-0005-0000-0000-000070080000}"/>
    <cellStyle name="Percentuale 29 3 2" xfId="1057" xr:uid="{00000000-0005-0000-0000-000071080000}"/>
    <cellStyle name="Percentuale 29 3 2 2" xfId="2356" xr:uid="{00000000-0005-0000-0000-000072080000}"/>
    <cellStyle name="Percentuale 29 3 2 2 2" xfId="28390" xr:uid="{8860DBBA-AF6C-4B4F-AE59-DFDD998601FA}"/>
    <cellStyle name="Percentuale 29 3 2 2 3" xfId="28389" xr:uid="{907618F4-D087-42F1-985A-30D51E9013D8}"/>
    <cellStyle name="Percentuale 29 3 2 3" xfId="8138" xr:uid="{4EF64AAB-0053-44C1-8832-CDC06F4313A5}"/>
    <cellStyle name="Percentuale 29 3 2 3 2" xfId="14137" xr:uid="{9E4D6999-0F21-41CD-B7DC-45E905E8C124}"/>
    <cellStyle name="Percentuale 29 3 2 3 3" xfId="28391" xr:uid="{A0C8DC62-FBC7-4F1B-A3BC-0427D54426C1}"/>
    <cellStyle name="Percentuale 29 3 2 3 4" xfId="49180" xr:uid="{A909562E-B788-4976-9A8C-FFDEECD47E0C}"/>
    <cellStyle name="Percentuale 29 3 2 4" xfId="28392" xr:uid="{27262882-F3B9-4CD3-9E9E-BED659329EC3}"/>
    <cellStyle name="Percentuale 29 3 2 5" xfId="28388" xr:uid="{DC1D7CF4-5CDD-46A6-9293-180EE192861A}"/>
    <cellStyle name="Percentuale 29 3 3" xfId="4355" xr:uid="{7D1B6FC9-B054-4450-B3D9-7BE1A94D78C9}"/>
    <cellStyle name="Percentuale 29 3 3 2" xfId="9461" xr:uid="{1E1E4A10-DC7A-4EBE-8B19-05D2DA288BE5}"/>
    <cellStyle name="Percentuale 29 3 3 2 2" xfId="28394" xr:uid="{F0F9904A-D66D-40A2-BB3C-F8C24FCFDDF6}"/>
    <cellStyle name="Percentuale 29 3 3 3" xfId="28395" xr:uid="{5C65EA2A-A633-47AF-A47C-E15B83595DD1}"/>
    <cellStyle name="Percentuale 29 3 3 4" xfId="28396" xr:uid="{A16A8EAE-BCB3-405F-A04A-7EA88CE18B96}"/>
    <cellStyle name="Percentuale 29 3 3 4 2" xfId="49181" xr:uid="{90BFAA27-9B1C-4808-B632-BBDA7D5A899F}"/>
    <cellStyle name="Percentuale 29 3 3 5" xfId="28393" xr:uid="{0E9DF70C-E591-4B03-BE2C-533E3DEE807C}"/>
    <cellStyle name="Percentuale 29 3 4" xfId="4356" xr:uid="{D98C8AEB-4BDA-4712-AFCE-5BA535BF5B9E}"/>
    <cellStyle name="Percentuale 29 3 4 2" xfId="13798" xr:uid="{FF6EB5DD-742E-4256-910A-5CDC191BA71F}"/>
    <cellStyle name="Percentuale 29 3 4 3" xfId="28397" xr:uid="{EF98D55C-05D6-4502-B74A-0DB28330B65F}"/>
    <cellStyle name="Percentuale 29 3 5" xfId="12430" xr:uid="{C4206510-1BED-4903-8332-775CAA027F38}"/>
    <cellStyle name="Percentuale 29 3 5 2" xfId="28398" xr:uid="{5C5EA155-C3E4-43F4-8942-FB55998D0E57}"/>
    <cellStyle name="Percentuale 29 3 6" xfId="28399" xr:uid="{AE0FA5A0-22D2-4A8F-A97A-42138F4039C5}"/>
    <cellStyle name="Percentuale 29 3 6 2" xfId="49182" xr:uid="{241C9DB1-9B3B-4980-B71C-0591B0FDC6D9}"/>
    <cellStyle name="Percentuale 29 3 7" xfId="28400" xr:uid="{FBB758E0-0841-4A2D-8749-41C1D47306BD}"/>
    <cellStyle name="Percentuale 29 3 8" xfId="28387" xr:uid="{272D7617-660E-488C-ADAF-3C3826C82246}"/>
    <cellStyle name="Percentuale 29 4" xfId="2357" xr:uid="{00000000-0005-0000-0000-000073080000}"/>
    <cellStyle name="Percentuale 29 4 2" xfId="2358" xr:uid="{00000000-0005-0000-0000-000074080000}"/>
    <cellStyle name="Percentuale 29 4 2 2" xfId="9462" xr:uid="{E6DF9381-086B-4C93-9E49-ADEE0D8F3655}"/>
    <cellStyle name="Percentuale 29 4 2 2 2" xfId="28403" xr:uid="{0A25CC21-1BC5-47F9-BAFC-35DCA6CCF889}"/>
    <cellStyle name="Percentuale 29 4 2 3" xfId="17923" xr:uid="{1C80BBB5-2EAA-4B09-8EEB-51D5D220AB9B}"/>
    <cellStyle name="Percentuale 29 4 2 3 2" xfId="28404" xr:uid="{A06D0962-7BA2-4C90-BD94-54DD88D7C1F2}"/>
    <cellStyle name="Percentuale 29 4 2 4" xfId="28402" xr:uid="{9A3E4761-5D28-4FF9-B308-1E76A1E9BAC0}"/>
    <cellStyle name="Percentuale 29 4 2 5" xfId="17532" xr:uid="{937A0A37-D9BA-470E-A8F1-B8B0572B1ACF}"/>
    <cellStyle name="Percentuale 29 4 3" xfId="9463" xr:uid="{AFA6BD5C-FC50-475F-8D71-B62BFB6851C8}"/>
    <cellStyle name="Percentuale 29 4 3 2" xfId="28405" xr:uid="{F3EEEF2D-ACA3-4033-A15A-0BCA280F1E36}"/>
    <cellStyle name="Percentuale 29 4 4" xfId="28406" xr:uid="{8200527C-9563-4C4D-8F5F-E51970D8A709}"/>
    <cellStyle name="Percentuale 29 4 5" xfId="28407" xr:uid="{052373D8-2E17-4E92-BE8A-4DB5B13B71D7}"/>
    <cellStyle name="Percentuale 29 4 5 2" xfId="49183" xr:uid="{1BE1F76D-7309-40CB-B944-B148C3DFB7EA}"/>
    <cellStyle name="Percentuale 29 4 6" xfId="28408" xr:uid="{D021D2FA-A7C5-42A2-8E6E-72DDFBD1D3B7}"/>
    <cellStyle name="Percentuale 29 4 7" xfId="28401" xr:uid="{BA5FA66E-1A74-43AC-AF6B-9EC79F3D5478}"/>
    <cellStyle name="Percentuale 29 5" xfId="2359" xr:uid="{00000000-0005-0000-0000-000075080000}"/>
    <cellStyle name="Percentuale 29 5 2" xfId="28410" xr:uid="{9315E354-A1B0-4C8C-BB12-05350241521F}"/>
    <cellStyle name="Percentuale 29 5 3" xfId="28411" xr:uid="{2FFFD2DE-F0F3-45C8-AF33-0CC8244327F2}"/>
    <cellStyle name="Percentuale 29 5 3 2" xfId="49184" xr:uid="{01B3C1E9-8070-4FD5-8A76-4470440FBE8A}"/>
    <cellStyle name="Percentuale 29 5 4" xfId="28412" xr:uid="{84FBAB15-91A7-4826-8DA8-D4601EB1BA49}"/>
    <cellStyle name="Percentuale 29 5 5" xfId="28409" xr:uid="{FA62B526-4A07-4D98-BB67-4DF252E99ACF}"/>
    <cellStyle name="Percentuale 29 6" xfId="4357" xr:uid="{F2E99350-E75A-40DA-839E-15F890049C73}"/>
    <cellStyle name="Percentuale 29 6 2" xfId="9832" xr:uid="{A5F20FA6-7E9D-471C-9D89-63C211B5FD8F}"/>
    <cellStyle name="Percentuale 29 6 3" xfId="28413" xr:uid="{D081052B-F036-4989-B0B9-C22F45E8C120}"/>
    <cellStyle name="Percentuale 29 7" xfId="28414" xr:uid="{7A35FA39-1173-4196-9EAB-27DDBFBB9726}"/>
    <cellStyle name="Percentuale 29 7 2" xfId="49185" xr:uid="{159C0947-19E5-4369-A4C0-1B9C589790DD}"/>
    <cellStyle name="Percentuale 29 8" xfId="28381" xr:uid="{2765B8AF-BBB5-4531-A1EE-EA071F874577}"/>
    <cellStyle name="Percentuale 3" xfId="1058" xr:uid="{00000000-0005-0000-0000-000076080000}"/>
    <cellStyle name="Percentuale 3 2" xfId="1059" xr:uid="{00000000-0005-0000-0000-000077080000}"/>
    <cellStyle name="Percentuale 3 2 2" xfId="4358" xr:uid="{87BDB526-EE27-4DE7-B4EF-30473D1AFE44}"/>
    <cellStyle name="Percentuale 3 2 2 2" xfId="13584" xr:uid="{A18A0702-200F-469E-9D7B-F13A04C3176D}"/>
    <cellStyle name="Percentuale 3 2 2 3" xfId="28417" xr:uid="{D5E2751D-614F-4405-8DF0-A288422233A4}"/>
    <cellStyle name="Percentuale 3 2 3" xfId="13322" xr:uid="{FA16D052-19F2-4CFD-886F-8ADE831CB521}"/>
    <cellStyle name="Percentuale 3 2 3 2" xfId="28418" xr:uid="{0FCC5574-A464-4328-87C1-19BF424EEC58}"/>
    <cellStyle name="Percentuale 3 2 4" xfId="28419" xr:uid="{3FD252CC-3401-413E-BB55-CCE61B41509D}"/>
    <cellStyle name="Percentuale 3 2 4 2" xfId="49186" xr:uid="{ED343F10-3F22-4DD1-8CB7-4DF4242327C2}"/>
    <cellStyle name="Percentuale 3 2 5" xfId="28420" xr:uid="{71D426AF-C851-4CC4-8E9A-DDF9C27F29AC}"/>
    <cellStyle name="Percentuale 3 2 6" xfId="28416" xr:uid="{13B1B260-A265-4D74-ADD5-9DE878EB09D6}"/>
    <cellStyle name="Percentuale 3 3" xfId="1060" xr:uid="{00000000-0005-0000-0000-000078080000}"/>
    <cellStyle name="Percentuale 3 3 2" xfId="1061" xr:uid="{00000000-0005-0000-0000-000079080000}"/>
    <cellStyle name="Percentuale 3 3 2 2" xfId="2360" xr:uid="{00000000-0005-0000-0000-00007A080000}"/>
    <cellStyle name="Percentuale 3 3 2 2 2" xfId="28424" xr:uid="{B992DE43-DF69-4A70-90E5-63BC87FEB870}"/>
    <cellStyle name="Percentuale 3 3 2 2 3" xfId="28423" xr:uid="{46581F1E-4594-4102-A400-B1F5DDD8092F}"/>
    <cellStyle name="Percentuale 3 3 2 3" xfId="8139" xr:uid="{A10DD045-9EAB-4845-BB31-C8E0F097C41F}"/>
    <cellStyle name="Percentuale 3 3 2 3 2" xfId="14138" xr:uid="{8961EAE7-2F07-4CDB-AF74-E9E0E24CEE4F}"/>
    <cellStyle name="Percentuale 3 3 2 3 3" xfId="28425" xr:uid="{6542B85D-8022-4183-93B8-B93FF7167B5A}"/>
    <cellStyle name="Percentuale 3 3 2 3 4" xfId="49187" xr:uid="{C3AF26A9-0E03-42D2-91E3-18B1B3C9D64C}"/>
    <cellStyle name="Percentuale 3 3 2 4" xfId="28426" xr:uid="{71E62007-7C97-493C-A7FC-40670B44D464}"/>
    <cellStyle name="Percentuale 3 3 2 5" xfId="28422" xr:uid="{2ABD0A78-A2E3-40EA-BFB3-D874CFB9C838}"/>
    <cellStyle name="Percentuale 3 3 3" xfId="4359" xr:uid="{52A21AE1-C3B1-46C1-8C0E-C8C3A3AB28B6}"/>
    <cellStyle name="Percentuale 3 3 3 2" xfId="9464" xr:uid="{5959963D-F6EE-4B76-AFA5-4F7E69C134BF}"/>
    <cellStyle name="Percentuale 3 3 3 2 2" xfId="28428" xr:uid="{7BC8303F-7336-4FF6-A77A-EE773F894918}"/>
    <cellStyle name="Percentuale 3 3 3 3" xfId="28429" xr:uid="{6E325C07-EBA9-4FF6-8B43-7B7BEA219489}"/>
    <cellStyle name="Percentuale 3 3 3 4" xfId="28430" xr:uid="{1598D521-57A8-40D6-8FB9-8BC67115CF0A}"/>
    <cellStyle name="Percentuale 3 3 3 4 2" xfId="49188" xr:uid="{8ED2C694-C59F-485A-9B36-2A6EB599A011}"/>
    <cellStyle name="Percentuale 3 3 3 5" xfId="28427" xr:uid="{DBF3156F-29DC-48A9-BCD5-7FDBEE9F34E3}"/>
    <cellStyle name="Percentuale 3 3 4" xfId="4360" xr:uid="{F7B45F65-47C9-4AFF-A02D-8DC3F9659A02}"/>
    <cellStyle name="Percentuale 3 3 4 2" xfId="13799" xr:uid="{CC2C71C3-4D8E-4440-AA37-301077F1A591}"/>
    <cellStyle name="Percentuale 3 3 4 3" xfId="28431" xr:uid="{8BC0A7FD-FFF5-462E-AB34-CFCAA28D50ED}"/>
    <cellStyle name="Percentuale 3 3 5" xfId="11206" xr:uid="{A7B4154C-C7C3-481D-8BFD-3738BFED400B}"/>
    <cellStyle name="Percentuale 3 3 5 2" xfId="28432" xr:uid="{C5D49874-F8F5-4466-BCBA-F15A0DE28BC5}"/>
    <cellStyle name="Percentuale 3 3 6" xfId="28433" xr:uid="{FFABE8D8-170E-447F-B34D-D80CBF43C156}"/>
    <cellStyle name="Percentuale 3 3 6 2" xfId="49189" xr:uid="{50971D53-A615-4362-8BC8-E1F1043D2897}"/>
    <cellStyle name="Percentuale 3 3 7" xfId="28434" xr:uid="{A01A3BB6-93E0-4E48-AFC3-C7DDFE4AB881}"/>
    <cellStyle name="Percentuale 3 3 8" xfId="28421" xr:uid="{8C9D3DDF-FA48-40CF-B200-8F085702850F}"/>
    <cellStyle name="Percentuale 3 4" xfId="2361" xr:uid="{00000000-0005-0000-0000-00007B080000}"/>
    <cellStyle name="Percentuale 3 4 2" xfId="2362" xr:uid="{00000000-0005-0000-0000-00007C080000}"/>
    <cellStyle name="Percentuale 3 4 2 2" xfId="9465" xr:uid="{AA616DD9-4A2F-4CF7-A64E-F2183CE917B8}"/>
    <cellStyle name="Percentuale 3 4 2 2 2" xfId="28437" xr:uid="{22339BC0-C78E-4B8E-8675-89E6328A63CB}"/>
    <cellStyle name="Percentuale 3 4 2 3" xfId="17924" xr:uid="{C53DD244-448E-4B57-A335-6957FF9BB250}"/>
    <cellStyle name="Percentuale 3 4 2 3 2" xfId="28438" xr:uid="{7AE3A7CB-856B-42D3-9BCD-30E6C60E20A6}"/>
    <cellStyle name="Percentuale 3 4 2 4" xfId="28436" xr:uid="{DB7B25A4-9262-4461-BAF8-9C3056BC3D37}"/>
    <cellStyle name="Percentuale 3 4 2 5" xfId="17533" xr:uid="{366EFA3B-F82F-4B02-9C4B-8A347347F762}"/>
    <cellStyle name="Percentuale 3 4 3" xfId="9466" xr:uid="{E5CE59C3-143B-4834-A944-BC368B430130}"/>
    <cellStyle name="Percentuale 3 4 3 2" xfId="28439" xr:uid="{D61BE6C9-5A89-4547-9D48-F1FF9716765A}"/>
    <cellStyle name="Percentuale 3 4 4" xfId="28440" xr:uid="{95CB501A-9971-4AC1-8A49-39A1E7F9558B}"/>
    <cellStyle name="Percentuale 3 4 5" xfId="28441" xr:uid="{0B4A545A-1E16-477C-85F2-2CF03D83B016}"/>
    <cellStyle name="Percentuale 3 4 5 2" xfId="49190" xr:uid="{EEF106EF-799F-4480-945D-4C2E7F3E5382}"/>
    <cellStyle name="Percentuale 3 4 6" xfId="28442" xr:uid="{3E880D0F-A19B-4CC5-B7DF-D41CD061EEBE}"/>
    <cellStyle name="Percentuale 3 4 7" xfId="28435" xr:uid="{8671213B-44E0-4208-BAB6-C1A13B25BCF3}"/>
    <cellStyle name="Percentuale 3 5" xfId="2363" xr:uid="{00000000-0005-0000-0000-00007D080000}"/>
    <cellStyle name="Percentuale 3 5 2" xfId="28444" xr:uid="{720B7FB5-80C6-4542-B7A4-3DC2713CCD92}"/>
    <cellStyle name="Percentuale 3 5 3" xfId="28445" xr:uid="{B7BE7A4D-7344-4CD7-A0C9-928427AC718E}"/>
    <cellStyle name="Percentuale 3 5 3 2" xfId="49191" xr:uid="{D3CCCE0B-20B3-4981-97C9-A6AB5CEC735D}"/>
    <cellStyle name="Percentuale 3 5 4" xfId="28446" xr:uid="{B0879786-A3E1-4451-BF3C-4A83010ABCF1}"/>
    <cellStyle name="Percentuale 3 5 5" xfId="28443" xr:uid="{2A76A1FA-3A54-40F9-B70D-15430EA40CB0}"/>
    <cellStyle name="Percentuale 3 6" xfId="4361" xr:uid="{147E2013-FEE0-4908-9E35-1410EBD24C68}"/>
    <cellStyle name="Percentuale 3 6 2" xfId="9833" xr:uid="{E7628B54-A40E-42BD-BE2A-758AB09539F5}"/>
    <cellStyle name="Percentuale 3 6 3" xfId="28447" xr:uid="{CF6AA166-38B7-44F0-B43F-7B1191BF1C9F}"/>
    <cellStyle name="Percentuale 3 7" xfId="28448" xr:uid="{387D7D84-E207-46CA-9EB1-9FA72F74660E}"/>
    <cellStyle name="Percentuale 3 7 2" xfId="49192" xr:uid="{937CA04E-A20C-4F8B-BCA5-D18AF0D02F3C}"/>
    <cellStyle name="Percentuale 3 8" xfId="28415" xr:uid="{E545B892-EC16-47D0-97E4-FB05037F53D6}"/>
    <cellStyle name="Percentuale 30" xfId="1062" xr:uid="{00000000-0005-0000-0000-00007E080000}"/>
    <cellStyle name="Percentuale 30 2" xfId="1063" xr:uid="{00000000-0005-0000-0000-00007F080000}"/>
    <cellStyle name="Percentuale 30 2 2" xfId="4362" xr:uid="{4A96FD9D-B74A-41B9-9AEB-40865818B422}"/>
    <cellStyle name="Percentuale 30 2 2 2" xfId="13585" xr:uid="{8777D320-4B1C-4F22-88C8-F30008975E1E}"/>
    <cellStyle name="Percentuale 30 2 2 3" xfId="28451" xr:uid="{756FA0F3-B7CE-44E8-9ACF-D0FB8B1559A0}"/>
    <cellStyle name="Percentuale 30 2 3" xfId="13323" xr:uid="{F99E142A-47CE-4DCE-9E41-964EE795C562}"/>
    <cellStyle name="Percentuale 30 2 3 2" xfId="28452" xr:uid="{7E6F9366-5260-4DEF-80D3-6A5B14A5AC57}"/>
    <cellStyle name="Percentuale 30 2 4" xfId="28453" xr:uid="{F7EDCB0D-23DF-46D3-9A2D-931E1FA3DA40}"/>
    <cellStyle name="Percentuale 30 2 4 2" xfId="49193" xr:uid="{D40B6E60-7724-49DA-85CF-5D5B41718187}"/>
    <cellStyle name="Percentuale 30 2 5" xfId="28454" xr:uid="{0EC4204B-9CF9-41AD-B2C3-20ED5702CD04}"/>
    <cellStyle name="Percentuale 30 2 6" xfId="28450" xr:uid="{9125CDCB-7F18-4E13-A952-76B296615AB7}"/>
    <cellStyle name="Percentuale 30 3" xfId="1064" xr:uid="{00000000-0005-0000-0000-000080080000}"/>
    <cellStyle name="Percentuale 30 3 2" xfId="1065" xr:uid="{00000000-0005-0000-0000-000081080000}"/>
    <cellStyle name="Percentuale 30 3 2 2" xfId="2364" xr:uid="{00000000-0005-0000-0000-000082080000}"/>
    <cellStyle name="Percentuale 30 3 2 2 2" xfId="28458" xr:uid="{B121723B-A11F-41E6-BD6E-48DCAFC6EE20}"/>
    <cellStyle name="Percentuale 30 3 2 2 3" xfId="28457" xr:uid="{0544130E-DD81-45A3-9EF0-30EA9B869588}"/>
    <cellStyle name="Percentuale 30 3 2 3" xfId="8140" xr:uid="{AA460686-5655-471D-9FFF-4D138506F31D}"/>
    <cellStyle name="Percentuale 30 3 2 3 2" xfId="14139" xr:uid="{407DCD9D-5E9A-4458-9E1B-3A49E24A12A0}"/>
    <cellStyle name="Percentuale 30 3 2 3 3" xfId="28459" xr:uid="{35103A39-0976-49CE-9DF8-0D0AF0F94F7E}"/>
    <cellStyle name="Percentuale 30 3 2 3 4" xfId="49194" xr:uid="{A79ED3BA-CC8F-4C76-8431-82ED4A551131}"/>
    <cellStyle name="Percentuale 30 3 2 4" xfId="28460" xr:uid="{524D2C2A-A999-4505-80AE-BDB7C8293154}"/>
    <cellStyle name="Percentuale 30 3 2 5" xfId="28456" xr:uid="{4B7FA7D6-6348-451A-95C8-FA7D41465FB3}"/>
    <cellStyle name="Percentuale 30 3 3" xfId="4363" xr:uid="{41731041-6718-47B5-8C1E-3F4C4C8EBE75}"/>
    <cellStyle name="Percentuale 30 3 3 2" xfId="9467" xr:uid="{86FBEBC7-95B0-46EC-9295-3CC7B8AFC5BD}"/>
    <cellStyle name="Percentuale 30 3 3 2 2" xfId="28462" xr:uid="{1E5927BC-117E-4931-B928-B0445F2C6E01}"/>
    <cellStyle name="Percentuale 30 3 3 3" xfId="28463" xr:uid="{BF6C3095-A576-4213-88FB-73CB6922C583}"/>
    <cellStyle name="Percentuale 30 3 3 4" xfId="28464" xr:uid="{F89AC475-2652-4BF1-AEA3-77A07F59AAE4}"/>
    <cellStyle name="Percentuale 30 3 3 4 2" xfId="49195" xr:uid="{ECC38077-6D81-45D8-8674-4669EF3B1B4C}"/>
    <cellStyle name="Percentuale 30 3 3 5" xfId="28461" xr:uid="{88D334C2-2829-43AC-86DB-9D1EC189DC43}"/>
    <cellStyle name="Percentuale 30 3 4" xfId="4364" xr:uid="{B8B1D075-DD58-44DE-8C89-260F994EEE8B}"/>
    <cellStyle name="Percentuale 30 3 4 2" xfId="13800" xr:uid="{5253F940-E7B0-4448-81A7-78961C9A9416}"/>
    <cellStyle name="Percentuale 30 3 4 3" xfId="28465" xr:uid="{0D7952D9-1F94-4C83-B1B1-C8E1AB2DB7CD}"/>
    <cellStyle name="Percentuale 30 3 5" xfId="12443" xr:uid="{6DA72288-1CBE-4058-B1EB-B17B0BC58861}"/>
    <cellStyle name="Percentuale 30 3 5 2" xfId="28466" xr:uid="{FA9F26BE-A260-4249-BBD5-FFFD6530F44A}"/>
    <cellStyle name="Percentuale 30 3 6" xfId="28467" xr:uid="{BFF1498F-6353-49FD-B5EB-C6B4EAA45B8E}"/>
    <cellStyle name="Percentuale 30 3 6 2" xfId="49196" xr:uid="{0D5099C5-C7CE-448B-87FD-8089FE8F3E40}"/>
    <cellStyle name="Percentuale 30 3 7" xfId="28468" xr:uid="{36B5E956-BA70-4B95-975B-7C2F08B4E2CD}"/>
    <cellStyle name="Percentuale 30 3 8" xfId="28455" xr:uid="{222610AA-08E8-49A9-8BF8-942ABD37A2AF}"/>
    <cellStyle name="Percentuale 30 4" xfId="2365" xr:uid="{00000000-0005-0000-0000-000083080000}"/>
    <cellStyle name="Percentuale 30 4 2" xfId="2366" xr:uid="{00000000-0005-0000-0000-000084080000}"/>
    <cellStyle name="Percentuale 30 4 2 2" xfId="9468" xr:uid="{6A43E807-1D2E-4CC1-81A4-BA3EC77B63CD}"/>
    <cellStyle name="Percentuale 30 4 2 2 2" xfId="28471" xr:uid="{0DA90EA7-E31A-4D3F-BA2D-BE61E27002B4}"/>
    <cellStyle name="Percentuale 30 4 2 3" xfId="17925" xr:uid="{8C2A9178-D02A-48B7-B652-11B3602308AC}"/>
    <cellStyle name="Percentuale 30 4 2 3 2" xfId="28472" xr:uid="{CA40C3CB-F8CB-4B49-991C-DA7DD6A493BA}"/>
    <cellStyle name="Percentuale 30 4 2 4" xfId="28470" xr:uid="{78EBC4C0-E1C3-4D24-BE81-FE50D206F0BF}"/>
    <cellStyle name="Percentuale 30 4 2 5" xfId="17534" xr:uid="{75EEAE6F-B428-4B5E-BA35-608D0D4E2829}"/>
    <cellStyle name="Percentuale 30 4 3" xfId="9469" xr:uid="{F690F64F-F02B-4E60-B30A-8FC198D8D1EE}"/>
    <cellStyle name="Percentuale 30 4 3 2" xfId="28473" xr:uid="{DBACE614-1069-4039-8BFE-9B2608C0EA0B}"/>
    <cellStyle name="Percentuale 30 4 4" xfId="28474" xr:uid="{4330DC60-25A0-4208-A995-533FBD727A42}"/>
    <cellStyle name="Percentuale 30 4 5" xfId="28475" xr:uid="{D4B731A9-2224-4ED5-88E9-C70EF657AF39}"/>
    <cellStyle name="Percentuale 30 4 5 2" xfId="49197" xr:uid="{C29DFAEA-86C5-4783-8604-FFCBE766CC8A}"/>
    <cellStyle name="Percentuale 30 4 6" xfId="28476" xr:uid="{26E781F2-6B1F-4054-A515-4255C1A8AC79}"/>
    <cellStyle name="Percentuale 30 4 7" xfId="28469" xr:uid="{66215A68-CA39-417E-B539-277FB5F74BB1}"/>
    <cellStyle name="Percentuale 30 5" xfId="2367" xr:uid="{00000000-0005-0000-0000-000085080000}"/>
    <cellStyle name="Percentuale 30 5 2" xfId="28478" xr:uid="{14FBBF4F-2B48-436D-A409-53712E46CF3C}"/>
    <cellStyle name="Percentuale 30 5 3" xfId="28479" xr:uid="{2B0020FB-192E-4EA5-A902-A40AB2BAD3F4}"/>
    <cellStyle name="Percentuale 30 5 3 2" xfId="49198" xr:uid="{260BC417-17F4-4970-9281-801619C66E8F}"/>
    <cellStyle name="Percentuale 30 5 4" xfId="28480" xr:uid="{C6CC0E5F-710F-42AC-AF62-DA1958DA4C1E}"/>
    <cellStyle name="Percentuale 30 5 5" xfId="28477" xr:uid="{8B32C6F3-FF2D-404C-9056-CF01D7015D23}"/>
    <cellStyle name="Percentuale 30 6" xfId="4365" xr:uid="{032C8BCC-3DE9-47EE-86BD-DDE5EE211E75}"/>
    <cellStyle name="Percentuale 30 6 2" xfId="9834" xr:uid="{BB6F2C5E-8FC2-4ABA-8B07-57900C8AF53F}"/>
    <cellStyle name="Percentuale 30 6 3" xfId="28481" xr:uid="{2713AB62-0B99-4147-BD29-9A238891F3C5}"/>
    <cellStyle name="Percentuale 30 7" xfId="28482" xr:uid="{5237BE92-402F-4570-B2FF-5C45FC5DE9AA}"/>
    <cellStyle name="Percentuale 30 7 2" xfId="49199" xr:uid="{47181011-D8BA-44FF-81FE-B8ECD732B7B8}"/>
    <cellStyle name="Percentuale 30 8" xfId="28449" xr:uid="{6EFEE047-11F4-4669-9D14-B81F29AF5BAD}"/>
    <cellStyle name="Percentuale 31" xfId="1066" xr:uid="{00000000-0005-0000-0000-000086080000}"/>
    <cellStyle name="Percentuale 31 2" xfId="1067" xr:uid="{00000000-0005-0000-0000-000087080000}"/>
    <cellStyle name="Percentuale 31 2 2" xfId="4366" xr:uid="{E757F239-085D-4419-91ED-7E8211346AFA}"/>
    <cellStyle name="Percentuale 31 2 2 2" xfId="13586" xr:uid="{75B0A0AC-1D2E-455B-8CF7-A13A9FF0B6B1}"/>
    <cellStyle name="Percentuale 31 2 2 3" xfId="28485" xr:uid="{2E8D353C-408C-43C2-8C0E-9BBEF3805A3A}"/>
    <cellStyle name="Percentuale 31 2 3" xfId="13324" xr:uid="{B420D7C3-8EC8-4992-94E4-6255A85E6632}"/>
    <cellStyle name="Percentuale 31 2 3 2" xfId="28486" xr:uid="{BEE8F009-CE4C-41B3-8B0D-5B1B1885982F}"/>
    <cellStyle name="Percentuale 31 2 4" xfId="28487" xr:uid="{2670ACBA-3C42-4213-907E-C8F71A55FD77}"/>
    <cellStyle name="Percentuale 31 2 4 2" xfId="49200" xr:uid="{4B374EC0-9942-4361-B78D-21CAFD208105}"/>
    <cellStyle name="Percentuale 31 2 5" xfId="28488" xr:uid="{B90AB0A9-55EB-4F93-99D6-3043BF0F2859}"/>
    <cellStyle name="Percentuale 31 2 6" xfId="28484" xr:uid="{234FB8A3-DCB4-4F8E-9B23-D4A7E270F058}"/>
    <cellStyle name="Percentuale 31 3" xfId="1068" xr:uid="{00000000-0005-0000-0000-000088080000}"/>
    <cellStyle name="Percentuale 31 3 2" xfId="1069" xr:uid="{00000000-0005-0000-0000-000089080000}"/>
    <cellStyle name="Percentuale 31 3 2 2" xfId="2368" xr:uid="{00000000-0005-0000-0000-00008A080000}"/>
    <cellStyle name="Percentuale 31 3 2 2 2" xfId="28492" xr:uid="{A9280E05-A18F-4EE6-88D0-CF4A4DA183AC}"/>
    <cellStyle name="Percentuale 31 3 2 2 3" xfId="28491" xr:uid="{4AEA9059-6DBB-4AB4-8B6B-19627C3B31D3}"/>
    <cellStyle name="Percentuale 31 3 2 3" xfId="8141" xr:uid="{5A997076-4E50-4FF6-B31B-76D2C846A62C}"/>
    <cellStyle name="Percentuale 31 3 2 3 2" xfId="14140" xr:uid="{0D8BC4F2-46A3-451C-9114-5B4756D87E38}"/>
    <cellStyle name="Percentuale 31 3 2 3 3" xfId="28493" xr:uid="{FFDA757D-334D-4A27-A1C6-2D3E3BC81106}"/>
    <cellStyle name="Percentuale 31 3 2 3 4" xfId="49201" xr:uid="{EA25C183-3EC7-41EC-8FF0-C3C12DCE422F}"/>
    <cellStyle name="Percentuale 31 3 2 4" xfId="28494" xr:uid="{23DC14DE-6F34-4D03-BF1E-70B908999CB1}"/>
    <cellStyle name="Percentuale 31 3 2 5" xfId="28490" xr:uid="{92B71160-AE95-4E12-A7A4-3078FC72BBD4}"/>
    <cellStyle name="Percentuale 31 3 3" xfId="4367" xr:uid="{3152029B-4C06-48B6-8DDF-E41516C1377F}"/>
    <cellStyle name="Percentuale 31 3 3 2" xfId="9470" xr:uid="{3732F0CA-DE27-4020-A2AC-42E778F8F597}"/>
    <cellStyle name="Percentuale 31 3 3 2 2" xfId="28496" xr:uid="{3A2C7260-C398-4FB4-9DF1-425F035A3358}"/>
    <cellStyle name="Percentuale 31 3 3 3" xfId="28497" xr:uid="{312FFB1E-F7EB-4379-81E5-26ED3182D3D2}"/>
    <cellStyle name="Percentuale 31 3 3 4" xfId="28498" xr:uid="{31B6240B-333B-46AB-944C-0B09C7B61378}"/>
    <cellStyle name="Percentuale 31 3 3 4 2" xfId="49202" xr:uid="{CB1C5044-BD75-479D-BF93-1DA949151EDC}"/>
    <cellStyle name="Percentuale 31 3 3 5" xfId="28495" xr:uid="{DC4F37FE-D509-4411-9104-7CDA77DEF050}"/>
    <cellStyle name="Percentuale 31 3 4" xfId="4368" xr:uid="{1683807F-A0FF-494B-8420-1877978F524A}"/>
    <cellStyle name="Percentuale 31 3 4 2" xfId="13801" xr:uid="{B2D80B2E-9371-406F-A1C4-700C4AB64AF5}"/>
    <cellStyle name="Percentuale 31 3 4 3" xfId="28499" xr:uid="{B781D674-0A32-4E90-91CE-08E84B52229D}"/>
    <cellStyle name="Percentuale 31 3 5" xfId="12432" xr:uid="{36F20430-27BD-4CAC-B30D-7295E9B6633E}"/>
    <cellStyle name="Percentuale 31 3 5 2" xfId="28500" xr:uid="{57EA8155-72AD-41DA-BB0B-E268A4C561B7}"/>
    <cellStyle name="Percentuale 31 3 6" xfId="28501" xr:uid="{AA3DA431-F733-48D5-8E82-14F98C0BD57F}"/>
    <cellStyle name="Percentuale 31 3 6 2" xfId="49203" xr:uid="{501809D9-68CC-4D25-9808-BD8AE18710AB}"/>
    <cellStyle name="Percentuale 31 3 7" xfId="28502" xr:uid="{2D35B636-6237-423D-B67D-DB77462A78D9}"/>
    <cellStyle name="Percentuale 31 3 8" xfId="28489" xr:uid="{85D6F2DB-DBBF-422B-A17E-50CD1F95C136}"/>
    <cellStyle name="Percentuale 31 4" xfId="2369" xr:uid="{00000000-0005-0000-0000-00008B080000}"/>
    <cellStyle name="Percentuale 31 4 2" xfId="2370" xr:uid="{00000000-0005-0000-0000-00008C080000}"/>
    <cellStyle name="Percentuale 31 4 2 2" xfId="9471" xr:uid="{06FEC9D7-1A07-4DD1-B4EA-6CCCA5B3DD9C}"/>
    <cellStyle name="Percentuale 31 4 2 2 2" xfId="28505" xr:uid="{62671135-3AB5-49D8-8202-CBCACA983A39}"/>
    <cellStyle name="Percentuale 31 4 2 3" xfId="17926" xr:uid="{42DFBFC1-59F6-443E-9AED-2715684B3EE6}"/>
    <cellStyle name="Percentuale 31 4 2 3 2" xfId="28506" xr:uid="{E571FA0F-151B-48D8-93F4-65B5E36EE27F}"/>
    <cellStyle name="Percentuale 31 4 2 4" xfId="28504" xr:uid="{87EA133A-DD3D-4F39-9A89-4FD61179EA30}"/>
    <cellStyle name="Percentuale 31 4 2 5" xfId="17535" xr:uid="{CD4D7499-49ED-4A0E-BC4D-760BD22B500C}"/>
    <cellStyle name="Percentuale 31 4 3" xfId="9472" xr:uid="{6F4E3031-35EF-453D-82D5-0465141DD13E}"/>
    <cellStyle name="Percentuale 31 4 3 2" xfId="28507" xr:uid="{9AB4FDD9-DEFB-4CD9-B03B-F2C3149B445A}"/>
    <cellStyle name="Percentuale 31 4 4" xfId="28508" xr:uid="{90C90684-FD28-4383-B8C1-854213539178}"/>
    <cellStyle name="Percentuale 31 4 5" xfId="28509" xr:uid="{B233013F-64A3-4EA2-96C7-A735860CBA4E}"/>
    <cellStyle name="Percentuale 31 4 5 2" xfId="49204" xr:uid="{76B18284-72BF-4205-B055-0DAD850351DC}"/>
    <cellStyle name="Percentuale 31 4 6" xfId="28510" xr:uid="{88F4417D-ECF1-4E85-B0B3-D8D2D2FD509E}"/>
    <cellStyle name="Percentuale 31 4 7" xfId="28503" xr:uid="{1D508CD1-52E2-4550-B0BB-CDEA215694F2}"/>
    <cellStyle name="Percentuale 31 5" xfId="2371" xr:uid="{00000000-0005-0000-0000-00008D080000}"/>
    <cellStyle name="Percentuale 31 5 2" xfId="28512" xr:uid="{185FD8A8-A20F-49CC-83CE-4D6203CB0299}"/>
    <cellStyle name="Percentuale 31 5 3" xfId="28513" xr:uid="{F3849FA1-5681-4815-B99E-87459BF840E2}"/>
    <cellStyle name="Percentuale 31 5 3 2" xfId="49205" xr:uid="{34064754-7F2D-4081-866B-7141C6C63EC2}"/>
    <cellStyle name="Percentuale 31 5 4" xfId="28514" xr:uid="{878EE23C-1A16-40CA-BE6C-AA16B7518C40}"/>
    <cellStyle name="Percentuale 31 5 5" xfId="28511" xr:uid="{1A7B5AC5-E28D-4850-91B6-04496CF0E6A0}"/>
    <cellStyle name="Percentuale 31 6" xfId="4369" xr:uid="{B3CAEE8F-14AA-446C-83B0-6B094B9A3273}"/>
    <cellStyle name="Percentuale 31 6 2" xfId="9835" xr:uid="{A4F589F7-542A-466E-836D-E49BF906E177}"/>
    <cellStyle name="Percentuale 31 6 3" xfId="28515" xr:uid="{194F410E-B87F-4F86-8D7A-FD8AD41EAA59}"/>
    <cellStyle name="Percentuale 31 7" xfId="28516" xr:uid="{E94449D4-5557-42E1-AA99-FB77CDA34565}"/>
    <cellStyle name="Percentuale 31 7 2" xfId="49206" xr:uid="{CACA949D-5F17-4A06-90EF-66EF387E4934}"/>
    <cellStyle name="Percentuale 31 8" xfId="28483" xr:uid="{F0278063-FD03-4F02-B3C7-45B7F82B0B71}"/>
    <cellStyle name="Percentuale 32" xfId="1070" xr:uid="{00000000-0005-0000-0000-00008E080000}"/>
    <cellStyle name="Percentuale 32 2" xfId="1071" xr:uid="{00000000-0005-0000-0000-00008F080000}"/>
    <cellStyle name="Percentuale 32 2 2" xfId="4370" xr:uid="{A3B7BC30-FAF3-4192-9677-C4BEB14DC741}"/>
    <cellStyle name="Percentuale 32 2 2 2" xfId="13587" xr:uid="{1A293DB4-A0D9-4F18-83C8-07EFB3F637CF}"/>
    <cellStyle name="Percentuale 32 2 2 3" xfId="28519" xr:uid="{62DE4ADB-3E3F-4AE3-9360-B01E1CE2B550}"/>
    <cellStyle name="Percentuale 32 2 3" xfId="13325" xr:uid="{C4A8AE53-9FBC-484D-90DB-97410CDC02BB}"/>
    <cellStyle name="Percentuale 32 2 3 2" xfId="28520" xr:uid="{E829DCC3-55FA-41B4-86C8-2813A5E7A985}"/>
    <cellStyle name="Percentuale 32 2 4" xfId="28521" xr:uid="{BBE0F5FD-828A-41F3-9220-BC2C07B1CC59}"/>
    <cellStyle name="Percentuale 32 2 4 2" xfId="49207" xr:uid="{7B534FD5-F755-4F08-B9B6-8CD1710CB4D0}"/>
    <cellStyle name="Percentuale 32 2 5" xfId="28522" xr:uid="{2901B34B-73E0-464B-8328-CE6A96614DFC}"/>
    <cellStyle name="Percentuale 32 2 6" xfId="28518" xr:uid="{A5FAC709-469D-443D-B730-4FBEF7A278B5}"/>
    <cellStyle name="Percentuale 32 3" xfId="1072" xr:uid="{00000000-0005-0000-0000-000090080000}"/>
    <cellStyle name="Percentuale 32 3 2" xfId="1073" xr:uid="{00000000-0005-0000-0000-000091080000}"/>
    <cellStyle name="Percentuale 32 3 2 2" xfId="2372" xr:uid="{00000000-0005-0000-0000-000092080000}"/>
    <cellStyle name="Percentuale 32 3 2 2 2" xfId="28526" xr:uid="{9457FE37-6966-4350-95F5-FFD593951117}"/>
    <cellStyle name="Percentuale 32 3 2 2 3" xfId="28525" xr:uid="{CD281002-EEE1-4B95-99EA-FB0AD0842339}"/>
    <cellStyle name="Percentuale 32 3 2 3" xfId="8142" xr:uid="{B3A19F76-B997-4666-8B3E-C648B105ACB1}"/>
    <cellStyle name="Percentuale 32 3 2 3 2" xfId="14141" xr:uid="{626B6A30-139A-49C8-AA6B-3F1DCA0C6D14}"/>
    <cellStyle name="Percentuale 32 3 2 3 3" xfId="28527" xr:uid="{A5AC3BA2-0A2F-45BD-8BCB-61C41B8A9875}"/>
    <cellStyle name="Percentuale 32 3 2 3 4" xfId="49208" xr:uid="{3CBEEECF-600F-4137-A4FC-C813676063FA}"/>
    <cellStyle name="Percentuale 32 3 2 4" xfId="28528" xr:uid="{482985C2-DE8F-4D22-A48D-4CE9B0EF11CA}"/>
    <cellStyle name="Percentuale 32 3 2 5" xfId="28524" xr:uid="{8D110953-1647-4743-A68E-6901000A4012}"/>
    <cellStyle name="Percentuale 32 3 3" xfId="4371" xr:uid="{A9575134-9B60-458E-931C-C09BB7570058}"/>
    <cellStyle name="Percentuale 32 3 3 2" xfId="9473" xr:uid="{1A4D99EA-C580-4545-8D4F-45A33AFDFB31}"/>
    <cellStyle name="Percentuale 32 3 3 2 2" xfId="28530" xr:uid="{687A7CAF-2DB8-454F-A432-80DED7ED4679}"/>
    <cellStyle name="Percentuale 32 3 3 3" xfId="28531" xr:uid="{EB95F3EB-C34A-4B04-94ED-1CFE16ADCBA5}"/>
    <cellStyle name="Percentuale 32 3 3 4" xfId="28532" xr:uid="{97BBA399-EF39-4FF1-B2E4-99B7EAC9A936}"/>
    <cellStyle name="Percentuale 32 3 3 4 2" xfId="49209" xr:uid="{8FD8053F-CC50-44A6-AEA4-B34B8F60026A}"/>
    <cellStyle name="Percentuale 32 3 3 5" xfId="28529" xr:uid="{578F7D6E-1D35-477B-AA40-6CFA4AF3622A}"/>
    <cellStyle name="Percentuale 32 3 4" xfId="4372" xr:uid="{638DC675-51EF-4741-B5BE-1BBE38623FDA}"/>
    <cellStyle name="Percentuale 32 3 4 2" xfId="13802" xr:uid="{EDC77161-0BBB-4873-B6C5-8ECF2136C457}"/>
    <cellStyle name="Percentuale 32 3 4 3" xfId="28533" xr:uid="{2EA77BB5-372D-4168-B7A6-FFEBE50576FF}"/>
    <cellStyle name="Percentuale 32 3 5" xfId="12431" xr:uid="{518A4988-2AB9-4E43-BBC8-D2A0F60B953E}"/>
    <cellStyle name="Percentuale 32 3 5 2" xfId="28534" xr:uid="{A6C5C22C-62DF-4CEE-AD3B-04F0D924245E}"/>
    <cellStyle name="Percentuale 32 3 6" xfId="28535" xr:uid="{DA109570-04A1-4DF4-93E9-9F79791F0D1E}"/>
    <cellStyle name="Percentuale 32 3 6 2" xfId="49210" xr:uid="{7DB87D78-AE6E-46C7-865E-F1282ED0099B}"/>
    <cellStyle name="Percentuale 32 3 7" xfId="28536" xr:uid="{E47B12C4-4780-4ED5-A3E5-2009B66C43EF}"/>
    <cellStyle name="Percentuale 32 3 8" xfId="28523" xr:uid="{964866DC-B620-4DFE-AD82-245371D4B9F0}"/>
    <cellStyle name="Percentuale 32 4" xfId="2373" xr:uid="{00000000-0005-0000-0000-000093080000}"/>
    <cellStyle name="Percentuale 32 4 2" xfId="2374" xr:uid="{00000000-0005-0000-0000-000094080000}"/>
    <cellStyle name="Percentuale 32 4 2 2" xfId="9474" xr:uid="{CC3244C0-FFAE-4B8C-94DC-5926FB9C68DF}"/>
    <cellStyle name="Percentuale 32 4 2 2 2" xfId="28539" xr:uid="{3D40F173-9146-4FA1-A0AA-CE84F1EB0D64}"/>
    <cellStyle name="Percentuale 32 4 2 3" xfId="17927" xr:uid="{21968A04-54CB-449C-9722-611B90DE6D46}"/>
    <cellStyle name="Percentuale 32 4 2 3 2" xfId="28540" xr:uid="{3130894B-8864-4EBE-B578-F72443B55AF1}"/>
    <cellStyle name="Percentuale 32 4 2 4" xfId="28538" xr:uid="{2940634E-8B40-4DB4-A9EF-DB2A3BC8EA14}"/>
    <cellStyle name="Percentuale 32 4 2 5" xfId="17536" xr:uid="{F405B1F2-9B2A-481F-8D3F-B573CE6F603C}"/>
    <cellStyle name="Percentuale 32 4 3" xfId="9475" xr:uid="{8AEB4808-5CE7-4EBC-A37A-C8B3DD7155A1}"/>
    <cellStyle name="Percentuale 32 4 3 2" xfId="28541" xr:uid="{AC188B6B-18FF-4BFF-827C-F362AE7CC978}"/>
    <cellStyle name="Percentuale 32 4 4" xfId="28542" xr:uid="{3BD72678-B0A2-4938-8743-7FDB796B0057}"/>
    <cellStyle name="Percentuale 32 4 5" xfId="28543" xr:uid="{0F4BCF7A-D754-42D8-9349-F3A4C0487649}"/>
    <cellStyle name="Percentuale 32 4 5 2" xfId="49211" xr:uid="{4C36AD7B-5FB4-4654-95A7-409B77DCEED1}"/>
    <cellStyle name="Percentuale 32 4 6" xfId="28544" xr:uid="{7DA64982-7C09-405B-8093-F26038DCAC92}"/>
    <cellStyle name="Percentuale 32 4 7" xfId="28537" xr:uid="{000C5C1F-1DDE-4E17-B276-6B0C8622D822}"/>
    <cellStyle name="Percentuale 32 5" xfId="2375" xr:uid="{00000000-0005-0000-0000-000095080000}"/>
    <cellStyle name="Percentuale 32 5 2" xfId="28546" xr:uid="{5F32F78D-5F53-4E56-BB7D-1AB05838AEA4}"/>
    <cellStyle name="Percentuale 32 5 3" xfId="28547" xr:uid="{AD1FFABF-15A5-477C-A088-DDD152B381C6}"/>
    <cellStyle name="Percentuale 32 5 3 2" xfId="49212" xr:uid="{6E94894B-7804-4A36-82E7-4C1D56B35466}"/>
    <cellStyle name="Percentuale 32 5 4" xfId="28548" xr:uid="{5EEA66B3-1511-4DC8-A8E3-F6A2C2252C5F}"/>
    <cellStyle name="Percentuale 32 5 5" xfId="28545" xr:uid="{1F0C7A0C-0CDD-4D98-BB01-E430D1661B8A}"/>
    <cellStyle name="Percentuale 32 6" xfId="4373" xr:uid="{8E742EB3-A264-4367-B1FA-35E31BE2DDBD}"/>
    <cellStyle name="Percentuale 32 6 2" xfId="9836" xr:uid="{78BA5EBA-DB8B-4EE7-8515-8ACDD29F4C9D}"/>
    <cellStyle name="Percentuale 32 6 3" xfId="28549" xr:uid="{058EB5F3-7503-49C0-9E91-0EB6C1701CC2}"/>
    <cellStyle name="Percentuale 32 7" xfId="28550" xr:uid="{D97E9649-891B-4C7D-BFDB-9E616CDD05A7}"/>
    <cellStyle name="Percentuale 32 7 2" xfId="49213" xr:uid="{0D98DA83-D3A3-4EDA-B4EC-EBE6A9729619}"/>
    <cellStyle name="Percentuale 32 8" xfId="28517" xr:uid="{8CE41B56-5DE8-4EA1-9F14-35B5A11F9E42}"/>
    <cellStyle name="Percentuale 33" xfId="1074" xr:uid="{00000000-0005-0000-0000-000096080000}"/>
    <cellStyle name="Percentuale 33 2" xfId="1075" xr:uid="{00000000-0005-0000-0000-000097080000}"/>
    <cellStyle name="Percentuale 33 2 2" xfId="4374" xr:uid="{8A000B55-869B-4A48-B19D-EF0A407A85A7}"/>
    <cellStyle name="Percentuale 33 2 2 2" xfId="13588" xr:uid="{38FEAEE3-2E21-40E7-B532-68DC9CCAD1F7}"/>
    <cellStyle name="Percentuale 33 2 2 3" xfId="28553" xr:uid="{9CE2F20E-A19D-4E5E-8DA4-200DE61F7DEB}"/>
    <cellStyle name="Percentuale 33 2 3" xfId="13326" xr:uid="{77DE3075-FC5A-41F5-8351-FD290226F375}"/>
    <cellStyle name="Percentuale 33 2 3 2" xfId="28554" xr:uid="{F0214C5B-F857-4B0C-A7D8-F28201E16D7B}"/>
    <cellStyle name="Percentuale 33 2 4" xfId="28555" xr:uid="{EE262FAE-498A-4D12-96E2-2DCA6B0EDFB7}"/>
    <cellStyle name="Percentuale 33 2 4 2" xfId="49214" xr:uid="{186C77EB-E10F-4309-B655-4B798FCC26D7}"/>
    <cellStyle name="Percentuale 33 2 5" xfId="28556" xr:uid="{A0272890-9847-41DE-8C72-212EAED1B624}"/>
    <cellStyle name="Percentuale 33 2 6" xfId="28552" xr:uid="{89DB08E3-4EE3-4EAA-9AA8-E4999AE4B4BE}"/>
    <cellStyle name="Percentuale 33 3" xfId="1076" xr:uid="{00000000-0005-0000-0000-000098080000}"/>
    <cellStyle name="Percentuale 33 3 2" xfId="1077" xr:uid="{00000000-0005-0000-0000-000099080000}"/>
    <cellStyle name="Percentuale 33 3 2 2" xfId="2376" xr:uid="{00000000-0005-0000-0000-00009A080000}"/>
    <cellStyle name="Percentuale 33 3 2 2 2" xfId="28560" xr:uid="{F6484C19-D604-46B9-A1E1-D159CAEA2101}"/>
    <cellStyle name="Percentuale 33 3 2 2 3" xfId="28559" xr:uid="{D20C4289-A5EE-4083-A2B0-9A9AC75EB78B}"/>
    <cellStyle name="Percentuale 33 3 2 3" xfId="8143" xr:uid="{5550EA0C-CE76-4770-92CA-0F6B8AC57845}"/>
    <cellStyle name="Percentuale 33 3 2 3 2" xfId="14142" xr:uid="{AAB7A54E-B76C-4916-9773-3AF652F47E30}"/>
    <cellStyle name="Percentuale 33 3 2 3 3" xfId="28561" xr:uid="{D4886C4B-22A1-479F-91D9-D559973506D5}"/>
    <cellStyle name="Percentuale 33 3 2 3 4" xfId="49215" xr:uid="{496FD652-9C90-40C9-BC92-09D5F24BF28C}"/>
    <cellStyle name="Percentuale 33 3 2 4" xfId="28562" xr:uid="{274ADF67-2D07-4F2C-AB9C-07B960CD224A}"/>
    <cellStyle name="Percentuale 33 3 2 5" xfId="28558" xr:uid="{8416138D-9233-440F-BB1B-F9F254E23327}"/>
    <cellStyle name="Percentuale 33 3 3" xfId="4375" xr:uid="{E54E9F58-1394-4090-8EAE-F1A446B846BB}"/>
    <cellStyle name="Percentuale 33 3 3 2" xfId="9476" xr:uid="{F332C4E9-0517-4755-A1AF-A287F534916A}"/>
    <cellStyle name="Percentuale 33 3 3 2 2" xfId="28564" xr:uid="{206E81D0-122B-4EF2-B528-85DCEC38BE2C}"/>
    <cellStyle name="Percentuale 33 3 3 3" xfId="28565" xr:uid="{03862684-3487-47B5-88CE-FF0B0FFB869B}"/>
    <cellStyle name="Percentuale 33 3 3 4" xfId="28566" xr:uid="{CA58A0EC-0420-4352-9E5D-6D28E339718B}"/>
    <cellStyle name="Percentuale 33 3 3 4 2" xfId="49216" xr:uid="{E3B75447-46E4-43E6-B92D-DED78B62CC9B}"/>
    <cellStyle name="Percentuale 33 3 3 5" xfId="28563" xr:uid="{63999568-8298-462A-8559-234893EE4E80}"/>
    <cellStyle name="Percentuale 33 3 4" xfId="4376" xr:uid="{C5469DA0-5670-4F86-AECC-813651A7E08C}"/>
    <cellStyle name="Percentuale 33 3 4 2" xfId="13803" xr:uid="{F5746824-B166-4F2D-948A-49E29CBF9A55}"/>
    <cellStyle name="Percentuale 33 3 4 3" xfId="28567" xr:uid="{535EE6EF-D466-41C8-B1B4-046E492212C6}"/>
    <cellStyle name="Percentuale 33 3 5" xfId="11205" xr:uid="{051F5578-333C-4106-BA80-881E059D41D8}"/>
    <cellStyle name="Percentuale 33 3 5 2" xfId="28568" xr:uid="{FB17569D-796A-4529-B7A5-8E37B52736A7}"/>
    <cellStyle name="Percentuale 33 3 6" xfId="28569" xr:uid="{24A8F4CB-72BA-4811-B4B0-1AFB63E8FFE3}"/>
    <cellStyle name="Percentuale 33 3 6 2" xfId="49217" xr:uid="{CF795A40-C067-4674-9F03-8C19E9FB6E05}"/>
    <cellStyle name="Percentuale 33 3 7" xfId="28570" xr:uid="{3BFF3968-9CB0-4AAE-AFB9-742BD2930958}"/>
    <cellStyle name="Percentuale 33 3 8" xfId="28557" xr:uid="{F1B415E0-0BFE-4068-994A-8DF8B3ED0AC8}"/>
    <cellStyle name="Percentuale 33 4" xfId="2377" xr:uid="{00000000-0005-0000-0000-00009B080000}"/>
    <cellStyle name="Percentuale 33 4 2" xfId="2378" xr:uid="{00000000-0005-0000-0000-00009C080000}"/>
    <cellStyle name="Percentuale 33 4 2 2" xfId="9477" xr:uid="{24A5A99E-275E-4E8F-8E21-FF2D6B067634}"/>
    <cellStyle name="Percentuale 33 4 2 2 2" xfId="28573" xr:uid="{C51EFF9D-A49C-4855-8C82-46DCA4C8CA93}"/>
    <cellStyle name="Percentuale 33 4 2 3" xfId="17928" xr:uid="{69CD175A-41D1-49EA-A68E-8AFD1E22C6E2}"/>
    <cellStyle name="Percentuale 33 4 2 3 2" xfId="28574" xr:uid="{C85DF904-E2CF-4ACA-BDF7-4EFC230A8ECB}"/>
    <cellStyle name="Percentuale 33 4 2 4" xfId="28572" xr:uid="{73A0E386-8DE9-4F48-9842-9DBE3A0865A2}"/>
    <cellStyle name="Percentuale 33 4 2 5" xfId="17537" xr:uid="{619A73B1-7FDC-4314-BD54-59948EF054D4}"/>
    <cellStyle name="Percentuale 33 4 3" xfId="9478" xr:uid="{EC6F129C-B1E1-4F8B-BBCE-9C300CFFD685}"/>
    <cellStyle name="Percentuale 33 4 3 2" xfId="28575" xr:uid="{3D3EC22C-82CF-4E83-8279-9EF9A0877277}"/>
    <cellStyle name="Percentuale 33 4 4" xfId="28576" xr:uid="{241462F8-DB74-4E27-B3D6-E44A295C9B27}"/>
    <cellStyle name="Percentuale 33 4 5" xfId="28577" xr:uid="{1A133D7A-6A25-41AB-9282-28911D0C3015}"/>
    <cellStyle name="Percentuale 33 4 5 2" xfId="49218" xr:uid="{0B95435E-A758-4B66-81A6-DE242F276BF4}"/>
    <cellStyle name="Percentuale 33 4 6" xfId="28578" xr:uid="{1EC6FFF9-4C3A-4E83-B216-0266340B722F}"/>
    <cellStyle name="Percentuale 33 4 7" xfId="28571" xr:uid="{623F4F23-810F-42CF-9731-732B2C1E3AA1}"/>
    <cellStyle name="Percentuale 33 5" xfId="2379" xr:uid="{00000000-0005-0000-0000-00009D080000}"/>
    <cellStyle name="Percentuale 33 5 2" xfId="28580" xr:uid="{8029B63D-FF06-4567-B9D3-1BFF7B9D92A2}"/>
    <cellStyle name="Percentuale 33 5 3" xfId="28581" xr:uid="{B3490503-439F-49F1-92DD-EE5377A5A55D}"/>
    <cellStyle name="Percentuale 33 5 3 2" xfId="49219" xr:uid="{964236DB-1330-4051-BB95-1986418E5193}"/>
    <cellStyle name="Percentuale 33 5 4" xfId="28582" xr:uid="{2B61034E-3DE4-429F-9E63-D033C93014EB}"/>
    <cellStyle name="Percentuale 33 5 5" xfId="28579" xr:uid="{3F8365B9-914D-45C9-94B6-708058345F36}"/>
    <cellStyle name="Percentuale 33 6" xfId="4377" xr:uid="{A8E30811-84FF-4B67-BF4F-958F62A5100F}"/>
    <cellStyle name="Percentuale 33 6 2" xfId="9837" xr:uid="{6A4DDC0A-D626-44F5-A323-F902768273A3}"/>
    <cellStyle name="Percentuale 33 6 3" xfId="28583" xr:uid="{6FA2215E-75F1-4F6D-9703-ACD605EBB51F}"/>
    <cellStyle name="Percentuale 33 7" xfId="28584" xr:uid="{90561345-C8F3-47FC-922D-A3246ACD4478}"/>
    <cellStyle name="Percentuale 33 7 2" xfId="49220" xr:uid="{DC0EBAAC-FCC4-4EFF-A4BA-8BAF393526EC}"/>
    <cellStyle name="Percentuale 33 8" xfId="28551" xr:uid="{DB83C25E-F3C5-47D2-8932-7652BFD7BCC1}"/>
    <cellStyle name="Percentuale 34" xfId="1078" xr:uid="{00000000-0005-0000-0000-00009E080000}"/>
    <cellStyle name="Percentuale 34 2" xfId="1079" xr:uid="{00000000-0005-0000-0000-00009F080000}"/>
    <cellStyle name="Percentuale 34 2 2" xfId="4378" xr:uid="{3121E7CF-396E-4238-A79D-B12E07E631B2}"/>
    <cellStyle name="Percentuale 34 2 2 2" xfId="13589" xr:uid="{237F7B9E-6985-4D57-B4D5-31BBE83AC587}"/>
    <cellStyle name="Percentuale 34 2 2 3" xfId="28587" xr:uid="{52969D6B-385C-4804-AD1D-3BB2FD6E5EB8}"/>
    <cellStyle name="Percentuale 34 2 3" xfId="13327" xr:uid="{AB11343E-4045-4835-9A6A-DD57A393104D}"/>
    <cellStyle name="Percentuale 34 2 3 2" xfId="28588" xr:uid="{4D81B5E1-5CA1-4B3E-BC3D-E16EB078B143}"/>
    <cellStyle name="Percentuale 34 2 4" xfId="28589" xr:uid="{9C9F2344-446E-4F72-A77C-88A6B12BC683}"/>
    <cellStyle name="Percentuale 34 2 4 2" xfId="49221" xr:uid="{A23CA175-4A85-4FFE-BB34-F04DE6770270}"/>
    <cellStyle name="Percentuale 34 2 5" xfId="28590" xr:uid="{29D5E1CA-7284-46C5-8EE3-0A7A16F4EE86}"/>
    <cellStyle name="Percentuale 34 2 6" xfId="28586" xr:uid="{9B212636-39C3-4748-9B48-1154794ED4F3}"/>
    <cellStyle name="Percentuale 34 3" xfId="1080" xr:uid="{00000000-0005-0000-0000-0000A0080000}"/>
    <cellStyle name="Percentuale 34 3 2" xfId="1081" xr:uid="{00000000-0005-0000-0000-0000A1080000}"/>
    <cellStyle name="Percentuale 34 3 2 2" xfId="2380" xr:uid="{00000000-0005-0000-0000-0000A2080000}"/>
    <cellStyle name="Percentuale 34 3 2 2 2" xfId="28594" xr:uid="{F536C2A8-7F02-44DD-9AB1-0189807EAFCE}"/>
    <cellStyle name="Percentuale 34 3 2 2 3" xfId="28593" xr:uid="{54DBBE4A-B436-4647-B359-8F44F3756732}"/>
    <cellStyle name="Percentuale 34 3 2 3" xfId="8144" xr:uid="{561CF779-331A-418A-9769-5EF9FA6F7A47}"/>
    <cellStyle name="Percentuale 34 3 2 3 2" xfId="14143" xr:uid="{26569F8A-0026-43B9-99FE-01FE7D94FF7A}"/>
    <cellStyle name="Percentuale 34 3 2 3 3" xfId="28595" xr:uid="{812B0C69-A215-4602-BCD5-0EDC8D013F9C}"/>
    <cellStyle name="Percentuale 34 3 2 3 4" xfId="49222" xr:uid="{1E130AC6-8CD9-4C41-890F-5FB18E78E72F}"/>
    <cellStyle name="Percentuale 34 3 2 4" xfId="28596" xr:uid="{25BD47DB-E540-47BD-943B-7C53A8D94519}"/>
    <cellStyle name="Percentuale 34 3 2 5" xfId="28592" xr:uid="{431B9593-BE88-4985-A803-820D043BB7A4}"/>
    <cellStyle name="Percentuale 34 3 3" xfId="4379" xr:uid="{AEF09BDD-A55F-4918-B253-242BC10696FA}"/>
    <cellStyle name="Percentuale 34 3 3 2" xfId="9479" xr:uid="{B366B857-2C8F-4B17-9CAB-CA85E24E8797}"/>
    <cellStyle name="Percentuale 34 3 3 2 2" xfId="28598" xr:uid="{3031F969-14EA-4D52-A8BB-EA177B719B1A}"/>
    <cellStyle name="Percentuale 34 3 3 3" xfId="28599" xr:uid="{3D5D8281-9FFE-4C05-87BF-82565DE584E3}"/>
    <cellStyle name="Percentuale 34 3 3 4" xfId="28600" xr:uid="{6C20A512-A400-4A59-A66D-F793FDBE478E}"/>
    <cellStyle name="Percentuale 34 3 3 4 2" xfId="49223" xr:uid="{523D7013-1432-4D96-84D9-582A74B76C73}"/>
    <cellStyle name="Percentuale 34 3 3 5" xfId="28597" xr:uid="{EA9F6CF6-83DF-4A26-8EEE-4C95ECCDB97E}"/>
    <cellStyle name="Percentuale 34 3 4" xfId="4380" xr:uid="{F4EB1C1C-B38D-46BD-9C75-5A6EDAEB1E54}"/>
    <cellStyle name="Percentuale 34 3 4 2" xfId="13804" xr:uid="{CE44AF57-E597-4CD9-9DB9-08DFB7EED9A4}"/>
    <cellStyle name="Percentuale 34 3 4 3" xfId="28601" xr:uid="{978D63B2-BC4A-481A-8876-486D08FF9FFE}"/>
    <cellStyle name="Percentuale 34 3 5" xfId="12302" xr:uid="{EF9FFFEF-A3B0-47FD-A4B4-D041627F3AD4}"/>
    <cellStyle name="Percentuale 34 3 5 2" xfId="28602" xr:uid="{965AFC17-FCFE-4F29-AB64-2D704617A894}"/>
    <cellStyle name="Percentuale 34 3 6" xfId="28603" xr:uid="{4F1CF576-0FF5-4B5C-9513-3ABE68397CA6}"/>
    <cellStyle name="Percentuale 34 3 6 2" xfId="49224" xr:uid="{5A794771-9329-40A7-85E0-08D851BA0DF7}"/>
    <cellStyle name="Percentuale 34 3 7" xfId="28604" xr:uid="{82D088A9-A117-498A-9531-5EFC84A79123}"/>
    <cellStyle name="Percentuale 34 3 8" xfId="28591" xr:uid="{E61541D6-DAA8-498E-A674-292CBD55D2E5}"/>
    <cellStyle name="Percentuale 34 4" xfId="2381" xr:uid="{00000000-0005-0000-0000-0000A3080000}"/>
    <cellStyle name="Percentuale 34 4 2" xfId="2382" xr:uid="{00000000-0005-0000-0000-0000A4080000}"/>
    <cellStyle name="Percentuale 34 4 2 2" xfId="9480" xr:uid="{34474228-2327-469B-9D64-67721372C551}"/>
    <cellStyle name="Percentuale 34 4 2 2 2" xfId="28607" xr:uid="{43DDD0F4-9A08-461B-ADBC-02973635A0F2}"/>
    <cellStyle name="Percentuale 34 4 2 3" xfId="17929" xr:uid="{C3367A61-AC37-4C16-87C4-0B917184F67A}"/>
    <cellStyle name="Percentuale 34 4 2 3 2" xfId="28608" xr:uid="{28F4825F-DC29-43D1-A719-3A13C00321AF}"/>
    <cellStyle name="Percentuale 34 4 2 4" xfId="28606" xr:uid="{E808FCD3-068D-4295-B526-41DB9AECBBEB}"/>
    <cellStyle name="Percentuale 34 4 2 5" xfId="17538" xr:uid="{0A65941F-6277-4284-81A3-4F1E52C7B71F}"/>
    <cellStyle name="Percentuale 34 4 3" xfId="9481" xr:uid="{082112EC-7DB8-473C-87E6-613C80F24F9B}"/>
    <cellStyle name="Percentuale 34 4 3 2" xfId="28609" xr:uid="{73C6A51C-60BC-46A7-9598-5223C25FF9AE}"/>
    <cellStyle name="Percentuale 34 4 4" xfId="28610" xr:uid="{6E8B0C5C-DDFA-45A4-BE45-F603135F93BF}"/>
    <cellStyle name="Percentuale 34 4 5" xfId="28611" xr:uid="{8F102033-89B3-41DF-B670-C41CD3783ABF}"/>
    <cellStyle name="Percentuale 34 4 5 2" xfId="49225" xr:uid="{6D8C2D4E-6D8C-43A8-9AB2-034FB8E5E9AD}"/>
    <cellStyle name="Percentuale 34 4 6" xfId="28612" xr:uid="{2D597E02-E5C6-45A3-BEA1-AA3F50400B6B}"/>
    <cellStyle name="Percentuale 34 4 7" xfId="28605" xr:uid="{DB49AFD3-59B5-4B10-B225-1F0E0D6F5215}"/>
    <cellStyle name="Percentuale 34 5" xfId="2383" xr:uid="{00000000-0005-0000-0000-0000A5080000}"/>
    <cellStyle name="Percentuale 34 5 2" xfId="28614" xr:uid="{16B67B7F-CF4C-4545-8F16-9F38E4DAACE2}"/>
    <cellStyle name="Percentuale 34 5 3" xfId="28615" xr:uid="{3C9902F7-D3B4-46FE-A79C-00494883E018}"/>
    <cellStyle name="Percentuale 34 5 3 2" xfId="49226" xr:uid="{0443C101-54FB-4D9D-997C-1C11B3B7F4DA}"/>
    <cellStyle name="Percentuale 34 5 4" xfId="28616" xr:uid="{EEBF1ABB-9177-43C2-B5A6-FD28F0789457}"/>
    <cellStyle name="Percentuale 34 5 5" xfId="28613" xr:uid="{220E639F-D3DE-4DF0-925C-C9162EBB2A1F}"/>
    <cellStyle name="Percentuale 34 6" xfId="4381" xr:uid="{5767F785-9A81-4681-A86B-4D18C808E931}"/>
    <cellStyle name="Percentuale 34 6 2" xfId="9838" xr:uid="{79BF5150-979B-4AFE-B9D3-910F0C458962}"/>
    <cellStyle name="Percentuale 34 6 3" xfId="28617" xr:uid="{676C724A-E380-4266-8DAE-7482EC106564}"/>
    <cellStyle name="Percentuale 34 7" xfId="28618" xr:uid="{5585C969-BAFD-4B1E-8CE6-4BE4842FE9D3}"/>
    <cellStyle name="Percentuale 34 7 2" xfId="49227" xr:uid="{57BA924C-C535-4BD9-9CC6-A488889C5ECB}"/>
    <cellStyle name="Percentuale 34 8" xfId="28585" xr:uid="{699EFF69-78CA-4068-81D6-98A7E1089A63}"/>
    <cellStyle name="Percentuale 35" xfId="1082" xr:uid="{00000000-0005-0000-0000-0000A6080000}"/>
    <cellStyle name="Percentuale 35 2" xfId="1083" xr:uid="{00000000-0005-0000-0000-0000A7080000}"/>
    <cellStyle name="Percentuale 35 2 2" xfId="4382" xr:uid="{6AEFA0E4-83AF-4909-A181-7C011A9C6E7F}"/>
    <cellStyle name="Percentuale 35 2 2 2" xfId="13590" xr:uid="{CD4051F0-122F-499C-AB37-980A36D3388B}"/>
    <cellStyle name="Percentuale 35 2 2 3" xfId="28621" xr:uid="{CF740935-E43F-4D67-93CA-02850ED6E024}"/>
    <cellStyle name="Percentuale 35 2 3" xfId="13328" xr:uid="{8CBCC41A-3BDE-45FD-8781-F5408D9CFB08}"/>
    <cellStyle name="Percentuale 35 2 3 2" xfId="28622" xr:uid="{41E5413D-5ADE-4E4A-9655-E3391275E685}"/>
    <cellStyle name="Percentuale 35 2 4" xfId="28623" xr:uid="{0732BDC3-A473-4441-BAD4-E8418ED8469C}"/>
    <cellStyle name="Percentuale 35 2 4 2" xfId="49228" xr:uid="{7C31A25D-4A7E-4751-B8A7-33E9A08DC339}"/>
    <cellStyle name="Percentuale 35 2 5" xfId="28624" xr:uid="{A21E6A9F-8EF1-494E-8D0A-241E8FACA093}"/>
    <cellStyle name="Percentuale 35 2 6" xfId="28620" xr:uid="{613561C8-9176-4168-AEC9-3E69192210CE}"/>
    <cellStyle name="Percentuale 35 3" xfId="1084" xr:uid="{00000000-0005-0000-0000-0000A8080000}"/>
    <cellStyle name="Percentuale 35 3 2" xfId="1085" xr:uid="{00000000-0005-0000-0000-0000A9080000}"/>
    <cellStyle name="Percentuale 35 3 2 2" xfId="2384" xr:uid="{00000000-0005-0000-0000-0000AA080000}"/>
    <cellStyle name="Percentuale 35 3 2 2 2" xfId="28628" xr:uid="{9FB9EC0E-8E04-4367-AE35-E3B6C7AF06B4}"/>
    <cellStyle name="Percentuale 35 3 2 2 3" xfId="28627" xr:uid="{84BA3513-385E-453B-B087-43411666D7B5}"/>
    <cellStyle name="Percentuale 35 3 2 3" xfId="8145" xr:uid="{7F59F4AE-7D87-4379-B4A4-78AB84DA436B}"/>
    <cellStyle name="Percentuale 35 3 2 3 2" xfId="14144" xr:uid="{0172659F-3668-4455-8C0B-B7EC455FC1C1}"/>
    <cellStyle name="Percentuale 35 3 2 3 3" xfId="28629" xr:uid="{5DDC163B-76DC-4131-9B28-5B3CC23945DF}"/>
    <cellStyle name="Percentuale 35 3 2 3 4" xfId="49229" xr:uid="{3434FA9F-E25E-4D4D-986A-F3F0D238BBF7}"/>
    <cellStyle name="Percentuale 35 3 2 4" xfId="28630" xr:uid="{33B7030B-840E-4DD0-BEAD-D177CF65BB2A}"/>
    <cellStyle name="Percentuale 35 3 2 5" xfId="28626" xr:uid="{096D9F7A-68F2-4AC8-8237-EE9C31E9A505}"/>
    <cellStyle name="Percentuale 35 3 3" xfId="4383" xr:uid="{3510A725-8D8D-4ED8-B92A-60EEF437E04D}"/>
    <cellStyle name="Percentuale 35 3 3 2" xfId="9482" xr:uid="{19E2741A-28AF-437A-A5EE-0946ED1B0D53}"/>
    <cellStyle name="Percentuale 35 3 3 2 2" xfId="28632" xr:uid="{DAB204A5-CAE2-4CED-9E6E-9AB30D107091}"/>
    <cellStyle name="Percentuale 35 3 3 3" xfId="28633" xr:uid="{EF42A24D-5B38-4865-9384-62E0ADFB9BC0}"/>
    <cellStyle name="Percentuale 35 3 3 4" xfId="28634" xr:uid="{479D47A0-0682-477A-AF9E-C8AD3C8A4F71}"/>
    <cellStyle name="Percentuale 35 3 3 4 2" xfId="49230" xr:uid="{17AE63FB-2876-492B-BF6C-5390A95BD5BA}"/>
    <cellStyle name="Percentuale 35 3 3 5" xfId="28631" xr:uid="{ACFAEE69-C81C-4C0E-BBBA-A79DED6704AB}"/>
    <cellStyle name="Percentuale 35 3 4" xfId="4384" xr:uid="{810744D7-314D-4497-B8DE-492FBE42E039}"/>
    <cellStyle name="Percentuale 35 3 4 2" xfId="13805" xr:uid="{E17D456C-8B89-474F-A855-FC4FB8F64793}"/>
    <cellStyle name="Percentuale 35 3 4 3" xfId="28635" xr:uid="{1430A915-2B12-4EFB-82EF-02DD00CC8542}"/>
    <cellStyle name="Percentuale 35 3 5" xfId="12390" xr:uid="{C8B86605-BC9E-4AF8-AB8B-788F76559091}"/>
    <cellStyle name="Percentuale 35 3 5 2" xfId="28636" xr:uid="{2995287D-152E-4A86-A710-869E5C18732C}"/>
    <cellStyle name="Percentuale 35 3 6" xfId="28637" xr:uid="{BFAD2DA5-4206-4BC4-A77B-194DECDC46FB}"/>
    <cellStyle name="Percentuale 35 3 6 2" xfId="49231" xr:uid="{9F9ACF77-8C1B-41A5-8454-757C2CF7573D}"/>
    <cellStyle name="Percentuale 35 3 7" xfId="28638" xr:uid="{D97347C7-2F1E-42D5-8D01-1CD7AC67A4B1}"/>
    <cellStyle name="Percentuale 35 3 8" xfId="28625" xr:uid="{AE20671B-97C6-4810-93F0-547BFD027A19}"/>
    <cellStyle name="Percentuale 35 4" xfId="2385" xr:uid="{00000000-0005-0000-0000-0000AB080000}"/>
    <cellStyle name="Percentuale 35 4 2" xfId="2386" xr:uid="{00000000-0005-0000-0000-0000AC080000}"/>
    <cellStyle name="Percentuale 35 4 2 2" xfId="9483" xr:uid="{A3C96D3A-F43A-460C-92FC-F43D3E2A967B}"/>
    <cellStyle name="Percentuale 35 4 2 2 2" xfId="28641" xr:uid="{6C263A39-389A-4215-8971-878EA4B6BD5A}"/>
    <cellStyle name="Percentuale 35 4 2 3" xfId="17930" xr:uid="{974524C3-ED5F-4DE6-B1CC-F109C52DFC42}"/>
    <cellStyle name="Percentuale 35 4 2 3 2" xfId="28642" xr:uid="{8467C34A-68F2-42C0-8395-52A248CC4F88}"/>
    <cellStyle name="Percentuale 35 4 2 4" xfId="28640" xr:uid="{88BCBFC6-9883-450D-9DBE-ECBD67434B1B}"/>
    <cellStyle name="Percentuale 35 4 2 5" xfId="17539" xr:uid="{441B0A4B-153C-4F51-AA65-235091652865}"/>
    <cellStyle name="Percentuale 35 4 3" xfId="9484" xr:uid="{8EC07C2A-57FC-498B-B85F-9BC147E994E7}"/>
    <cellStyle name="Percentuale 35 4 3 2" xfId="28643" xr:uid="{FD7E3868-3F8B-416B-A1FA-BD598C097CBA}"/>
    <cellStyle name="Percentuale 35 4 4" xfId="28644" xr:uid="{1D245B2B-4DD4-4E37-881A-935043A8E116}"/>
    <cellStyle name="Percentuale 35 4 5" xfId="28645" xr:uid="{69E81F30-74C2-4FF7-B6D0-5C7E8D75AB96}"/>
    <cellStyle name="Percentuale 35 4 5 2" xfId="49232" xr:uid="{AFA72177-EEF4-44C7-A232-83A3B2475972}"/>
    <cellStyle name="Percentuale 35 4 6" xfId="28646" xr:uid="{83255081-276D-4841-8A2F-B5DE92E49130}"/>
    <cellStyle name="Percentuale 35 4 7" xfId="28639" xr:uid="{B2DF197B-6A9A-41C8-BC83-167207B6A3D8}"/>
    <cellStyle name="Percentuale 35 5" xfId="2387" xr:uid="{00000000-0005-0000-0000-0000AD080000}"/>
    <cellStyle name="Percentuale 35 5 2" xfId="28648" xr:uid="{4B8217CF-A3B4-458F-9E2E-C129258B5EC8}"/>
    <cellStyle name="Percentuale 35 5 3" xfId="28649" xr:uid="{320200E7-DD9F-485B-BF06-42F12E7DDB46}"/>
    <cellStyle name="Percentuale 35 5 3 2" xfId="49233" xr:uid="{796F0D29-103A-44C9-A3E6-76FEF03BC057}"/>
    <cellStyle name="Percentuale 35 5 4" xfId="28650" xr:uid="{D38D19D0-BD31-40E6-BF47-AA39A7CA1077}"/>
    <cellStyle name="Percentuale 35 5 5" xfId="28647" xr:uid="{1227110E-CAC3-40FF-B24C-C8765F17B86A}"/>
    <cellStyle name="Percentuale 35 6" xfId="4385" xr:uid="{A9FADC21-0FCC-4BF3-93F6-BF612F134C5D}"/>
    <cellStyle name="Percentuale 35 6 2" xfId="9839" xr:uid="{C98EB045-C156-4536-AACF-47A7620B2982}"/>
    <cellStyle name="Percentuale 35 6 3" xfId="28651" xr:uid="{8B507DEB-537B-4DC8-9513-47C657608234}"/>
    <cellStyle name="Percentuale 35 7" xfId="28652" xr:uid="{B84A25B3-A59D-4DED-B298-1DDEF06A96C5}"/>
    <cellStyle name="Percentuale 35 7 2" xfId="49234" xr:uid="{693787C1-C3E4-493F-90BF-AE3ADFFA171C}"/>
    <cellStyle name="Percentuale 35 8" xfId="28619" xr:uid="{FD4C12D4-E49A-4B96-86A0-712A5FB14FD9}"/>
    <cellStyle name="Percentuale 36" xfId="1086" xr:uid="{00000000-0005-0000-0000-0000AE080000}"/>
    <cellStyle name="Percentuale 36 2" xfId="1087" xr:uid="{00000000-0005-0000-0000-0000AF080000}"/>
    <cellStyle name="Percentuale 36 2 2" xfId="4386" xr:uid="{70B91778-C724-43C7-84B1-3F1841C8145C}"/>
    <cellStyle name="Percentuale 36 2 2 2" xfId="13591" xr:uid="{C5C04A67-1934-4355-8633-63CB34406B62}"/>
    <cellStyle name="Percentuale 36 2 2 3" xfId="28655" xr:uid="{9FC855B5-75F4-4C14-B550-E226DA728104}"/>
    <cellStyle name="Percentuale 36 2 3" xfId="13329" xr:uid="{23FA2C59-B27B-43D2-B711-50C7BB9FA2E7}"/>
    <cellStyle name="Percentuale 36 2 3 2" xfId="28656" xr:uid="{529D4FC9-B350-4103-86B4-6DF4362A5D96}"/>
    <cellStyle name="Percentuale 36 2 4" xfId="28657" xr:uid="{9036021E-4ECB-4AF7-B8C7-60CA6B278F36}"/>
    <cellStyle name="Percentuale 36 2 4 2" xfId="49235" xr:uid="{F5F52AA5-A100-45EE-89F5-0192F5F3C4C9}"/>
    <cellStyle name="Percentuale 36 2 5" xfId="28658" xr:uid="{DA376AA3-C16D-4153-8326-B40152941BFA}"/>
    <cellStyle name="Percentuale 36 2 6" xfId="28654" xr:uid="{163E961C-556E-49F3-8677-08CD449D50C7}"/>
    <cellStyle name="Percentuale 36 3" xfId="1088" xr:uid="{00000000-0005-0000-0000-0000B0080000}"/>
    <cellStyle name="Percentuale 36 3 2" xfId="1089" xr:uid="{00000000-0005-0000-0000-0000B1080000}"/>
    <cellStyle name="Percentuale 36 3 2 2" xfId="2388" xr:uid="{00000000-0005-0000-0000-0000B2080000}"/>
    <cellStyle name="Percentuale 36 3 2 2 2" xfId="28662" xr:uid="{DFA64128-F648-4562-9CF4-E549B7FA7CF8}"/>
    <cellStyle name="Percentuale 36 3 2 2 3" xfId="28661" xr:uid="{E010F192-EE44-4018-8AC4-F9FBD121E3A8}"/>
    <cellStyle name="Percentuale 36 3 2 3" xfId="8146" xr:uid="{96543D2B-9C1C-4EA4-99B6-4DEFEC2DFEC0}"/>
    <cellStyle name="Percentuale 36 3 2 3 2" xfId="14145" xr:uid="{8419F6DB-754C-49D3-A2ED-C3DC1B110E5B}"/>
    <cellStyle name="Percentuale 36 3 2 3 3" xfId="28663" xr:uid="{8F41F102-7B0F-4DE6-A5D0-F852EEAAF3D7}"/>
    <cellStyle name="Percentuale 36 3 2 3 4" xfId="49236" xr:uid="{393D87A9-2CE7-4A28-BF29-832134A77EAC}"/>
    <cellStyle name="Percentuale 36 3 2 4" xfId="28664" xr:uid="{A3AD8063-7858-4E8E-8808-EDC90D66C76C}"/>
    <cellStyle name="Percentuale 36 3 2 5" xfId="28660" xr:uid="{C1864954-6DE7-4986-9569-12A306009040}"/>
    <cellStyle name="Percentuale 36 3 3" xfId="4387" xr:uid="{6D50C532-C90E-4914-8CE4-EE8708174B29}"/>
    <cellStyle name="Percentuale 36 3 3 2" xfId="9485" xr:uid="{27C7C0CF-1B01-46E7-B877-934563B164F2}"/>
    <cellStyle name="Percentuale 36 3 3 2 2" xfId="28666" xr:uid="{97F9E625-7614-43C6-A466-EE9570A3A17F}"/>
    <cellStyle name="Percentuale 36 3 3 3" xfId="28667" xr:uid="{30AD6A42-C78A-42C8-A58A-A8D16A9B6A8E}"/>
    <cellStyle name="Percentuale 36 3 3 4" xfId="28668" xr:uid="{6FBC0C96-359C-45AF-84E6-8062B52BB4A9}"/>
    <cellStyle name="Percentuale 36 3 3 4 2" xfId="49237" xr:uid="{9F6D5A92-525B-400C-AEBC-098EA7EAE1AA}"/>
    <cellStyle name="Percentuale 36 3 3 5" xfId="28665" xr:uid="{FD7714EF-6C56-44FE-82FB-B1B198B708A8}"/>
    <cellStyle name="Percentuale 36 3 4" xfId="4388" xr:uid="{5D8C4EF4-BA4C-457B-8A87-D0B4761765C9}"/>
    <cellStyle name="Percentuale 36 3 4 2" xfId="13806" xr:uid="{468F3F50-CE09-4750-9677-233E1FF29312}"/>
    <cellStyle name="Percentuale 36 3 4 3" xfId="28669" xr:uid="{6AE88B64-5E24-4392-9D2E-5B525BDFFB9E}"/>
    <cellStyle name="Percentuale 36 3 5" xfId="12301" xr:uid="{87029902-0BAF-4C72-A09D-AA6C3B1F6F59}"/>
    <cellStyle name="Percentuale 36 3 5 2" xfId="28670" xr:uid="{1DD6466A-1EDB-479B-9796-CBD3EC81C3FA}"/>
    <cellStyle name="Percentuale 36 3 6" xfId="28671" xr:uid="{0264D0EC-555C-48C6-8770-13A86EEDB8B8}"/>
    <cellStyle name="Percentuale 36 3 6 2" xfId="49238" xr:uid="{2B04AF2F-29D9-4667-ACB5-649343022C78}"/>
    <cellStyle name="Percentuale 36 3 7" xfId="28672" xr:uid="{14352CBD-0FDA-4FE3-8C11-2B7F27A4D639}"/>
    <cellStyle name="Percentuale 36 3 8" xfId="28659" xr:uid="{EE2B66D1-E5DC-4112-B549-844B4F293546}"/>
    <cellStyle name="Percentuale 36 4" xfId="2389" xr:uid="{00000000-0005-0000-0000-0000B3080000}"/>
    <cellStyle name="Percentuale 36 4 2" xfId="2390" xr:uid="{00000000-0005-0000-0000-0000B4080000}"/>
    <cellStyle name="Percentuale 36 4 2 2" xfId="9486" xr:uid="{183723CB-2E3E-46B5-B24B-FA59F905421F}"/>
    <cellStyle name="Percentuale 36 4 2 2 2" xfId="28675" xr:uid="{07F1D85A-D833-45DF-BFB1-F6EB866DBB71}"/>
    <cellStyle name="Percentuale 36 4 2 3" xfId="17931" xr:uid="{20DB63A9-8D83-42B9-A96D-83D9225ABB4D}"/>
    <cellStyle name="Percentuale 36 4 2 3 2" xfId="28676" xr:uid="{8D8B0F85-373C-4C2C-AE7E-5FACA1071BA9}"/>
    <cellStyle name="Percentuale 36 4 2 4" xfId="28674" xr:uid="{14EC9530-214B-419F-9FFD-9445E95EE1BA}"/>
    <cellStyle name="Percentuale 36 4 2 5" xfId="17540" xr:uid="{0175F529-B833-4402-97A3-E937D87AFEEB}"/>
    <cellStyle name="Percentuale 36 4 3" xfId="9487" xr:uid="{2532429B-0884-42EE-845A-1567F0B10C51}"/>
    <cellStyle name="Percentuale 36 4 3 2" xfId="28677" xr:uid="{3B575079-1A2A-4AB2-B3BD-0632681C08A6}"/>
    <cellStyle name="Percentuale 36 4 4" xfId="28678" xr:uid="{5EDBC131-C383-47B3-8C80-7673B9CB10A4}"/>
    <cellStyle name="Percentuale 36 4 5" xfId="28679" xr:uid="{A8D64B41-0854-45C4-B08D-71000D287402}"/>
    <cellStyle name="Percentuale 36 4 5 2" xfId="49239" xr:uid="{4B6FACBC-DEE9-4274-9146-F531ABF3E77F}"/>
    <cellStyle name="Percentuale 36 4 6" xfId="28680" xr:uid="{C055E48B-53ED-4941-84D9-6BD372ECFC3D}"/>
    <cellStyle name="Percentuale 36 4 7" xfId="28673" xr:uid="{7B3CEF99-2AFF-4D1C-A803-39018A577769}"/>
    <cellStyle name="Percentuale 36 5" xfId="2391" xr:uid="{00000000-0005-0000-0000-0000B5080000}"/>
    <cellStyle name="Percentuale 36 5 2" xfId="28682" xr:uid="{60F384B0-29AD-4EBD-B9ED-F857148E6A3A}"/>
    <cellStyle name="Percentuale 36 5 3" xfId="28683" xr:uid="{CFD609B2-6D94-470A-95BB-0CB27156FE5D}"/>
    <cellStyle name="Percentuale 36 5 3 2" xfId="49240" xr:uid="{819BEE71-1401-41B3-B50C-B5263372854C}"/>
    <cellStyle name="Percentuale 36 5 4" xfId="28684" xr:uid="{EC959AD2-3C95-4A2F-B04C-1DB43352FF91}"/>
    <cellStyle name="Percentuale 36 5 5" xfId="28681" xr:uid="{F6027F70-CC85-42F5-B7A1-542B8279346E}"/>
    <cellStyle name="Percentuale 36 6" xfId="4389" xr:uid="{E4506130-EDE4-4ECD-BABF-66DC99F01C22}"/>
    <cellStyle name="Percentuale 36 6 2" xfId="9840" xr:uid="{CBC32C35-0A32-4F83-B421-5B3546DCA389}"/>
    <cellStyle name="Percentuale 36 6 3" xfId="28685" xr:uid="{8D24BAB1-672A-4DCF-A1A2-A45474CA6F55}"/>
    <cellStyle name="Percentuale 36 7" xfId="28686" xr:uid="{A1CAEFB8-A711-4361-91E9-2E88C949443D}"/>
    <cellStyle name="Percentuale 36 7 2" xfId="49241" xr:uid="{451B1573-F692-420B-95F1-907F00DA0A4A}"/>
    <cellStyle name="Percentuale 36 8" xfId="28653" xr:uid="{D246E601-6CB4-4C4D-917D-961E764AE7D8}"/>
    <cellStyle name="Percentuale 37" xfId="1090" xr:uid="{00000000-0005-0000-0000-0000B6080000}"/>
    <cellStyle name="Percentuale 37 2" xfId="1091" xr:uid="{00000000-0005-0000-0000-0000B7080000}"/>
    <cellStyle name="Percentuale 37 2 2" xfId="4390" xr:uid="{D2267C83-6C59-46FC-8EDD-24D78926DA0D}"/>
    <cellStyle name="Percentuale 37 2 2 2" xfId="13592" xr:uid="{D2DD8A1D-9856-4C9F-A54E-2CEF1CFC0BAF}"/>
    <cellStyle name="Percentuale 37 2 2 3" xfId="28689" xr:uid="{BFED7749-E0C7-4ED1-B139-337BFC83FEF2}"/>
    <cellStyle name="Percentuale 37 2 3" xfId="13330" xr:uid="{3AF23834-04DC-464B-9E30-2924D9A0E502}"/>
    <cellStyle name="Percentuale 37 2 3 2" xfId="28690" xr:uid="{DF848955-7BEA-4973-95B0-5AFDBBF4A9BA}"/>
    <cellStyle name="Percentuale 37 2 4" xfId="28691" xr:uid="{5C470377-9F8C-49F8-9A41-89A99CE16F5C}"/>
    <cellStyle name="Percentuale 37 2 4 2" xfId="49242" xr:uid="{B98E9E79-FAAF-4C61-AC52-06FD5FB8AA88}"/>
    <cellStyle name="Percentuale 37 2 5" xfId="28692" xr:uid="{3A1EA14E-CA84-45EC-9732-0EB3DBE4BAF4}"/>
    <cellStyle name="Percentuale 37 2 6" xfId="28688" xr:uid="{93C48F0D-F57B-4A54-86D1-786E227D4316}"/>
    <cellStyle name="Percentuale 37 3" xfId="1092" xr:uid="{00000000-0005-0000-0000-0000B8080000}"/>
    <cellStyle name="Percentuale 37 3 2" xfId="1093" xr:uid="{00000000-0005-0000-0000-0000B9080000}"/>
    <cellStyle name="Percentuale 37 3 2 2" xfId="2392" xr:uid="{00000000-0005-0000-0000-0000BA080000}"/>
    <cellStyle name="Percentuale 37 3 2 2 2" xfId="28696" xr:uid="{8CC15F55-15E6-4ED3-8EAF-C52F3B23873C}"/>
    <cellStyle name="Percentuale 37 3 2 2 3" xfId="28695" xr:uid="{845E5923-F377-4AE4-8238-FC63693311EB}"/>
    <cellStyle name="Percentuale 37 3 2 3" xfId="8147" xr:uid="{5775F767-4F5C-4DC1-B3C1-B5C4DB043C51}"/>
    <cellStyle name="Percentuale 37 3 2 3 2" xfId="14146" xr:uid="{D7ACD550-080D-4A9C-BC08-C7A5078C2AFC}"/>
    <cellStyle name="Percentuale 37 3 2 3 3" xfId="28697" xr:uid="{3A21471E-AF2E-44B0-B870-1B4CEFEC55FC}"/>
    <cellStyle name="Percentuale 37 3 2 3 4" xfId="49243" xr:uid="{5D99679D-551D-4B7B-8EC3-76AD8606F946}"/>
    <cellStyle name="Percentuale 37 3 2 4" xfId="28698" xr:uid="{3547862A-6B67-4FD0-93BA-97D3B9AEF251}"/>
    <cellStyle name="Percentuale 37 3 2 5" xfId="28694" xr:uid="{D4DCD519-4BFC-4580-8483-ED9DC67A4968}"/>
    <cellStyle name="Percentuale 37 3 3" xfId="4391" xr:uid="{2D2207B3-3FBC-471C-BBD0-428E7C0B37F4}"/>
    <cellStyle name="Percentuale 37 3 3 2" xfId="9488" xr:uid="{902E5A06-FC08-4FEF-B0BC-14C3453E4EC2}"/>
    <cellStyle name="Percentuale 37 3 3 2 2" xfId="28700" xr:uid="{46D4FC8A-790B-4DF2-8074-C4C7D5023592}"/>
    <cellStyle name="Percentuale 37 3 3 3" xfId="28701" xr:uid="{56436AA5-FCE7-4365-A6D0-B7DDC21AAB9B}"/>
    <cellStyle name="Percentuale 37 3 3 4" xfId="28702" xr:uid="{CAE2E32B-82C6-410E-A4B9-2395DDACA1B9}"/>
    <cellStyle name="Percentuale 37 3 3 4 2" xfId="49244" xr:uid="{E3E74F52-5B22-4A01-AEBC-04D564960F7F}"/>
    <cellStyle name="Percentuale 37 3 3 5" xfId="28699" xr:uid="{2E63D680-BB87-482D-AD43-6B63349F11E5}"/>
    <cellStyle name="Percentuale 37 3 4" xfId="4392" xr:uid="{74EBADBB-ACA1-4334-AD14-9FED7F524FB1}"/>
    <cellStyle name="Percentuale 37 3 4 2" xfId="13807" xr:uid="{8CD66FFA-D131-430C-B1DF-169DB3C2DA96}"/>
    <cellStyle name="Percentuale 37 3 4 3" xfId="28703" xr:uid="{29A0D958-F834-4A5E-9E73-ACF7120F4CAE}"/>
    <cellStyle name="Percentuale 37 3 5" xfId="12391" xr:uid="{AE15D2E6-15D2-4A10-9E5B-0C2CA7C372A1}"/>
    <cellStyle name="Percentuale 37 3 5 2" xfId="28704" xr:uid="{10BE9C03-1473-4E13-A743-DA1A594FB198}"/>
    <cellStyle name="Percentuale 37 3 6" xfId="28705" xr:uid="{259671BC-85FF-471F-A622-957DA353CDF1}"/>
    <cellStyle name="Percentuale 37 3 6 2" xfId="49245" xr:uid="{29982EEF-6AB1-4407-89AB-80807B528E42}"/>
    <cellStyle name="Percentuale 37 3 7" xfId="28706" xr:uid="{048BA87C-A5D3-4917-9BAF-7E262D3491DC}"/>
    <cellStyle name="Percentuale 37 3 8" xfId="28693" xr:uid="{D5C5AC46-4744-4DDE-BA4D-AB92311D4183}"/>
    <cellStyle name="Percentuale 37 4" xfId="2393" xr:uid="{00000000-0005-0000-0000-0000BB080000}"/>
    <cellStyle name="Percentuale 37 4 2" xfId="2394" xr:uid="{00000000-0005-0000-0000-0000BC080000}"/>
    <cellStyle name="Percentuale 37 4 2 2" xfId="9489" xr:uid="{F6119C40-CA0C-4BFE-A3ED-08EAB9085C0A}"/>
    <cellStyle name="Percentuale 37 4 2 2 2" xfId="28709" xr:uid="{707EAEB4-4248-4810-8B9F-DFF7AF9A9252}"/>
    <cellStyle name="Percentuale 37 4 2 3" xfId="17932" xr:uid="{BF99D205-9B58-483F-94C9-63D272392B40}"/>
    <cellStyle name="Percentuale 37 4 2 3 2" xfId="28710" xr:uid="{0CED5C15-CD9B-4104-A1B7-7B0DF5F86884}"/>
    <cellStyle name="Percentuale 37 4 2 4" xfId="28708" xr:uid="{E3C1ADEE-F43B-457E-832F-1EF89340DD8E}"/>
    <cellStyle name="Percentuale 37 4 2 5" xfId="17541" xr:uid="{6058BD4A-3CC0-4318-A88D-83F141AC2E54}"/>
    <cellStyle name="Percentuale 37 4 3" xfId="9490" xr:uid="{B22BEDFC-487C-4702-BD85-8B168B3A23D7}"/>
    <cellStyle name="Percentuale 37 4 3 2" xfId="28711" xr:uid="{ABF420BE-874D-4FE1-B35C-7E9561B54B9D}"/>
    <cellStyle name="Percentuale 37 4 4" xfId="28712" xr:uid="{A12E911B-45A8-4548-A8A4-C88AE7DE7102}"/>
    <cellStyle name="Percentuale 37 4 5" xfId="28713" xr:uid="{11114118-60D7-4F58-B641-192687FE9156}"/>
    <cellStyle name="Percentuale 37 4 5 2" xfId="49246" xr:uid="{7CEA2689-1CC8-46DD-A481-F1EE119E08C0}"/>
    <cellStyle name="Percentuale 37 4 6" xfId="28714" xr:uid="{206E4EE4-37A3-4BF6-9312-C4C532170F92}"/>
    <cellStyle name="Percentuale 37 4 7" xfId="28707" xr:uid="{F48B5009-8883-4928-974B-73CE9E13A388}"/>
    <cellStyle name="Percentuale 37 5" xfId="2395" xr:uid="{00000000-0005-0000-0000-0000BD080000}"/>
    <cellStyle name="Percentuale 37 5 2" xfId="28716" xr:uid="{A4BF28B5-AB1A-4F01-AFC1-A6418432004B}"/>
    <cellStyle name="Percentuale 37 5 3" xfId="28717" xr:uid="{E9174347-CA45-432E-B816-18B45ADB5405}"/>
    <cellStyle name="Percentuale 37 5 3 2" xfId="49247" xr:uid="{CE92E188-6B50-4009-8B5D-35100BC7318F}"/>
    <cellStyle name="Percentuale 37 5 4" xfId="28718" xr:uid="{88AF35EC-485D-47BD-9506-6A58FF97FD7A}"/>
    <cellStyle name="Percentuale 37 5 5" xfId="28715" xr:uid="{1074D8BA-E13E-4A73-96A2-F2A7F01FF5D0}"/>
    <cellStyle name="Percentuale 37 6" xfId="4393" xr:uid="{8F855EFA-EFE3-420F-B98A-7BEC1498299F}"/>
    <cellStyle name="Percentuale 37 6 2" xfId="9841" xr:uid="{FBF2934E-F299-4687-900B-9096C85B1E70}"/>
    <cellStyle name="Percentuale 37 6 3" xfId="28719" xr:uid="{DBCA755F-7864-4AC6-9B6A-8668775FF932}"/>
    <cellStyle name="Percentuale 37 7" xfId="28720" xr:uid="{CF805D68-C87B-485A-9B3C-45CB001C970C}"/>
    <cellStyle name="Percentuale 37 7 2" xfId="49248" xr:uid="{D3E93A81-6A8A-410C-AA9B-2AE913D53D55}"/>
    <cellStyle name="Percentuale 37 8" xfId="28687" xr:uid="{14AD145D-3590-4AF8-B330-20E401E81299}"/>
    <cellStyle name="Percentuale 38" xfId="1094" xr:uid="{00000000-0005-0000-0000-0000BE080000}"/>
    <cellStyle name="Percentuale 38 2" xfId="1095" xr:uid="{00000000-0005-0000-0000-0000BF080000}"/>
    <cellStyle name="Percentuale 38 2 2" xfId="4394" xr:uid="{396F2188-4485-43D0-B02F-F2911C9FD288}"/>
    <cellStyle name="Percentuale 38 2 2 2" xfId="13593" xr:uid="{3385AFB0-3590-4F77-8C49-A96D0A9C5E1C}"/>
    <cellStyle name="Percentuale 38 2 2 3" xfId="28723" xr:uid="{89EAD6F7-5860-4C57-B765-B87E85B93658}"/>
    <cellStyle name="Percentuale 38 2 3" xfId="13331" xr:uid="{DF115ED1-0CAA-48D7-AFCA-DFAC549DCBFB}"/>
    <cellStyle name="Percentuale 38 2 3 2" xfId="28724" xr:uid="{E4F6042E-3CBC-45E2-B835-859C63D3056D}"/>
    <cellStyle name="Percentuale 38 2 4" xfId="28725" xr:uid="{F7152403-4857-4149-84E7-68A41D602239}"/>
    <cellStyle name="Percentuale 38 2 4 2" xfId="49249" xr:uid="{DB2BFF8C-E0BF-45C3-8525-A14A2829F39A}"/>
    <cellStyle name="Percentuale 38 2 5" xfId="28726" xr:uid="{436E9B7B-B069-45EF-848C-9FDB95448A30}"/>
    <cellStyle name="Percentuale 38 2 6" xfId="28722" xr:uid="{E2EBC870-9090-46D9-A5B3-07E42D5D7615}"/>
    <cellStyle name="Percentuale 38 3" xfId="1096" xr:uid="{00000000-0005-0000-0000-0000C0080000}"/>
    <cellStyle name="Percentuale 38 3 2" xfId="1097" xr:uid="{00000000-0005-0000-0000-0000C1080000}"/>
    <cellStyle name="Percentuale 38 3 2 2" xfId="2396" xr:uid="{00000000-0005-0000-0000-0000C2080000}"/>
    <cellStyle name="Percentuale 38 3 2 2 2" xfId="28730" xr:uid="{7D5BF675-9937-4869-AB53-74466D61757A}"/>
    <cellStyle name="Percentuale 38 3 2 2 3" xfId="28729" xr:uid="{FBE45390-9F2A-4891-BEAC-EC762EA48D66}"/>
    <cellStyle name="Percentuale 38 3 2 3" xfId="8148" xr:uid="{FD6AF449-C81A-4B5E-A57F-CAFF40080312}"/>
    <cellStyle name="Percentuale 38 3 2 3 2" xfId="14147" xr:uid="{2F7A633E-A646-4B63-9A29-0CA9F6D22113}"/>
    <cellStyle name="Percentuale 38 3 2 3 3" xfId="28731" xr:uid="{12916314-DD91-412E-B632-4E2B599C336C}"/>
    <cellStyle name="Percentuale 38 3 2 3 4" xfId="49250" xr:uid="{1037E07C-61FB-45EB-86C2-3F09F5D88986}"/>
    <cellStyle name="Percentuale 38 3 2 4" xfId="28732" xr:uid="{5318FA1D-094B-4FAA-B900-B7760415B7E7}"/>
    <cellStyle name="Percentuale 38 3 2 5" xfId="28728" xr:uid="{415E0AA5-FB3F-48F9-9A95-A1F505C0DD43}"/>
    <cellStyle name="Percentuale 38 3 3" xfId="4395" xr:uid="{B5AF9D39-FE22-4ADE-9AFF-F1B22B221539}"/>
    <cellStyle name="Percentuale 38 3 3 2" xfId="9491" xr:uid="{89130B1D-15B7-4433-AE5A-3E9514EA1A82}"/>
    <cellStyle name="Percentuale 38 3 3 2 2" xfId="28734" xr:uid="{8CFB044B-371F-4C7F-9DD1-4B8EF454D8AB}"/>
    <cellStyle name="Percentuale 38 3 3 3" xfId="28735" xr:uid="{8A085F29-99D1-43A5-87EA-297C5CC0F8D5}"/>
    <cellStyle name="Percentuale 38 3 3 4" xfId="28736" xr:uid="{49296E34-3A89-40F5-A9C3-E13225A196FC}"/>
    <cellStyle name="Percentuale 38 3 3 4 2" xfId="49251" xr:uid="{501E84FC-E706-4CED-8DD1-95C3C6823AF2}"/>
    <cellStyle name="Percentuale 38 3 3 5" xfId="28733" xr:uid="{2A66A915-CF67-4F07-B131-D9A8BA59D235}"/>
    <cellStyle name="Percentuale 38 3 4" xfId="4396" xr:uid="{ACE69057-A42C-41D3-A999-C6A09B03E23D}"/>
    <cellStyle name="Percentuale 38 3 4 2" xfId="13808" xr:uid="{0BCBD749-2B16-41F3-9591-DBC16C531B5A}"/>
    <cellStyle name="Percentuale 38 3 4 3" xfId="28737" xr:uid="{0BFC5ABA-5231-4CE1-B666-955A0EA9B416}"/>
    <cellStyle name="Percentuale 38 3 5" xfId="11204" xr:uid="{98363CF9-A539-43AE-B0E1-E3A4320116BA}"/>
    <cellStyle name="Percentuale 38 3 5 2" xfId="28738" xr:uid="{E2D19006-7D9C-489C-9801-AD7123276FDA}"/>
    <cellStyle name="Percentuale 38 3 6" xfId="28739" xr:uid="{B75ADAAB-7E8E-4C73-BDD0-8A41FFE54AEA}"/>
    <cellStyle name="Percentuale 38 3 6 2" xfId="49252" xr:uid="{58865933-5678-4651-8A87-8D087542CF19}"/>
    <cellStyle name="Percentuale 38 3 7" xfId="28740" xr:uid="{2288B168-F4E4-49F7-8EEE-96C195F2868B}"/>
    <cellStyle name="Percentuale 38 3 8" xfId="28727" xr:uid="{B8C92A9C-0520-4E3B-A1A5-EACCEB316ABF}"/>
    <cellStyle name="Percentuale 38 4" xfId="2397" xr:uid="{00000000-0005-0000-0000-0000C3080000}"/>
    <cellStyle name="Percentuale 38 4 2" xfId="2398" xr:uid="{00000000-0005-0000-0000-0000C4080000}"/>
    <cellStyle name="Percentuale 38 4 2 2" xfId="9492" xr:uid="{AE2EBC64-C209-4F8D-870F-EEAAAEFBF8D2}"/>
    <cellStyle name="Percentuale 38 4 2 2 2" xfId="28743" xr:uid="{1CE6844B-D655-4A83-9FE4-9A2632F6A01C}"/>
    <cellStyle name="Percentuale 38 4 2 3" xfId="17933" xr:uid="{24062E93-3F27-4F92-93D6-0A4EF1DB7839}"/>
    <cellStyle name="Percentuale 38 4 2 3 2" xfId="28744" xr:uid="{30F2E1F1-0D87-4625-A0BC-8E8AB07ABC4B}"/>
    <cellStyle name="Percentuale 38 4 2 4" xfId="28742" xr:uid="{2819C042-BB1B-4D3C-A8B8-633E5D6AB68C}"/>
    <cellStyle name="Percentuale 38 4 2 5" xfId="17543" xr:uid="{169BAE21-5D70-4A89-8F94-7E953977A7DB}"/>
    <cellStyle name="Percentuale 38 4 3" xfId="9493" xr:uid="{C55E8FC6-89D4-4A0C-AB99-286018FCEC29}"/>
    <cellStyle name="Percentuale 38 4 3 2" xfId="28745" xr:uid="{05154D22-F71F-415B-A148-4B2A89F59DDA}"/>
    <cellStyle name="Percentuale 38 4 4" xfId="28746" xr:uid="{E5F45AD1-5716-46FD-AFFC-35169D67A368}"/>
    <cellStyle name="Percentuale 38 4 5" xfId="28747" xr:uid="{2C3FDFAC-2BE9-4A65-BF37-9E188A6165CE}"/>
    <cellStyle name="Percentuale 38 4 5 2" xfId="49253" xr:uid="{EA82AE21-9707-4E76-9D9B-FCEC0F27D6E5}"/>
    <cellStyle name="Percentuale 38 4 6" xfId="28748" xr:uid="{59733EE4-7999-42F1-8BD9-F74F12DE29AA}"/>
    <cellStyle name="Percentuale 38 4 7" xfId="28741" xr:uid="{7561FE7B-8A46-4337-9EF2-06D9DCAFA7BF}"/>
    <cellStyle name="Percentuale 38 5" xfId="2399" xr:uid="{00000000-0005-0000-0000-0000C5080000}"/>
    <cellStyle name="Percentuale 38 5 2" xfId="28750" xr:uid="{578A58B3-ED86-41D8-B471-A69E016EC077}"/>
    <cellStyle name="Percentuale 38 5 3" xfId="28751" xr:uid="{E90A75D6-BC54-4CCF-96A5-53B9E8A9412B}"/>
    <cellStyle name="Percentuale 38 5 3 2" xfId="49254" xr:uid="{3ED1A4DF-FC4D-4E03-A4E7-2455D750FA06}"/>
    <cellStyle name="Percentuale 38 5 4" xfId="28752" xr:uid="{3C7D3512-8BD1-4A80-96B2-14BE4A346FBF}"/>
    <cellStyle name="Percentuale 38 5 5" xfId="28749" xr:uid="{4B3E4567-552F-4206-B199-4B79998D33E9}"/>
    <cellStyle name="Percentuale 38 6" xfId="4397" xr:uid="{F4023244-3A9B-407E-88F5-7AB5EC288220}"/>
    <cellStyle name="Percentuale 38 6 2" xfId="9842" xr:uid="{EDCDC74C-6194-4CF7-B13E-61AF66A7F8EE}"/>
    <cellStyle name="Percentuale 38 6 3" xfId="28753" xr:uid="{BAF8B407-7E9C-495D-8ED3-DF3FE756A751}"/>
    <cellStyle name="Percentuale 38 7" xfId="28754" xr:uid="{76397DCF-EC38-4A33-A1AD-D9F83B96284D}"/>
    <cellStyle name="Percentuale 38 7 2" xfId="49255" xr:uid="{976FE87F-D5BF-459A-8665-4B9F88E318FA}"/>
    <cellStyle name="Percentuale 38 8" xfId="28721" xr:uid="{581B0834-495F-46E4-A29E-290736A0CC13}"/>
    <cellStyle name="Percentuale 39" xfId="1098" xr:uid="{00000000-0005-0000-0000-0000C6080000}"/>
    <cellStyle name="Percentuale 39 2" xfId="1099" xr:uid="{00000000-0005-0000-0000-0000C7080000}"/>
    <cellStyle name="Percentuale 39 2 2" xfId="4398" xr:uid="{D35F51B9-941B-4266-9744-C731D95920A7}"/>
    <cellStyle name="Percentuale 39 2 2 2" xfId="13594" xr:uid="{1B14E001-DDDB-4254-AF9A-21DD97E74F86}"/>
    <cellStyle name="Percentuale 39 2 2 3" xfId="28757" xr:uid="{1E7B5874-F00C-4FB5-8C7B-877D7D840E3F}"/>
    <cellStyle name="Percentuale 39 2 3" xfId="13332" xr:uid="{775D4D8F-6B2D-4E7C-B4FB-33F03D01A243}"/>
    <cellStyle name="Percentuale 39 2 3 2" xfId="28758" xr:uid="{BAF0817B-A0E1-4AF1-9C4C-7096DF2BFB8B}"/>
    <cellStyle name="Percentuale 39 2 4" xfId="28759" xr:uid="{AE13D45A-D0A0-4688-88F1-FDACF2E64019}"/>
    <cellStyle name="Percentuale 39 2 4 2" xfId="49256" xr:uid="{1280F50F-C9EA-4DDE-A5DF-512B7B35FD25}"/>
    <cellStyle name="Percentuale 39 2 5" xfId="28760" xr:uid="{262A21D7-584E-4D91-8AA7-6DA10D5ECA8D}"/>
    <cellStyle name="Percentuale 39 2 6" xfId="28756" xr:uid="{88D40A12-B620-40B1-ABB3-8AE05FCF07EF}"/>
    <cellStyle name="Percentuale 39 3" xfId="1100" xr:uid="{00000000-0005-0000-0000-0000C8080000}"/>
    <cellStyle name="Percentuale 39 3 2" xfId="1101" xr:uid="{00000000-0005-0000-0000-0000C9080000}"/>
    <cellStyle name="Percentuale 39 3 2 2" xfId="2400" xr:uid="{00000000-0005-0000-0000-0000CA080000}"/>
    <cellStyle name="Percentuale 39 3 2 2 2" xfId="28764" xr:uid="{777651EF-C960-431C-B024-96F0C6BE058B}"/>
    <cellStyle name="Percentuale 39 3 2 2 3" xfId="28763" xr:uid="{F1C9EFBE-2E0D-4B32-AC3A-2FF9AC449357}"/>
    <cellStyle name="Percentuale 39 3 2 3" xfId="8149" xr:uid="{4E7C838D-2758-4D12-AF8D-E0755F652044}"/>
    <cellStyle name="Percentuale 39 3 2 3 2" xfId="14148" xr:uid="{C6FEC9DE-3CA9-4F6E-8D6C-D326D69789AA}"/>
    <cellStyle name="Percentuale 39 3 2 3 3" xfId="28765" xr:uid="{3D7B7699-0C55-4DB7-807A-B989F8F601C0}"/>
    <cellStyle name="Percentuale 39 3 2 3 4" xfId="49257" xr:uid="{BBA1E785-95AF-4C5A-9590-0DA9535E0D20}"/>
    <cellStyle name="Percentuale 39 3 2 4" xfId="28766" xr:uid="{E86D4305-7FAE-479C-AD90-4DEEAA41CBCB}"/>
    <cellStyle name="Percentuale 39 3 2 5" xfId="28762" xr:uid="{3BEE58ED-E477-4327-8A7C-F685812DDCD7}"/>
    <cellStyle name="Percentuale 39 3 3" xfId="4399" xr:uid="{B5140186-3D85-4826-B4F4-35A67F833FFE}"/>
    <cellStyle name="Percentuale 39 3 3 2" xfId="9494" xr:uid="{63F74407-E34E-4CC1-AF3B-B63012A0BD15}"/>
    <cellStyle name="Percentuale 39 3 3 2 2" xfId="28768" xr:uid="{AB476376-1407-4F40-B68E-80B7EE8DC4EC}"/>
    <cellStyle name="Percentuale 39 3 3 3" xfId="28769" xr:uid="{7786C774-0CEF-4548-99B5-3A1AD3DA4469}"/>
    <cellStyle name="Percentuale 39 3 3 4" xfId="28770" xr:uid="{6F1BDDB2-257A-4623-B8E4-67162353BAB9}"/>
    <cellStyle name="Percentuale 39 3 3 4 2" xfId="49258" xr:uid="{5D55F883-6538-4A9F-B801-8C0AA036999E}"/>
    <cellStyle name="Percentuale 39 3 3 5" xfId="28767" xr:uid="{32EEAE2B-BE68-4539-98D6-E9936001003A}"/>
    <cellStyle name="Percentuale 39 3 4" xfId="4400" xr:uid="{8B72E063-125E-4F2D-9EB1-531FBD5A20C3}"/>
    <cellStyle name="Percentuale 39 3 4 2" xfId="13809" xr:uid="{30829EE3-AD4B-4CBE-B959-0ED83A79785C}"/>
    <cellStyle name="Percentuale 39 3 4 3" xfId="28771" xr:uid="{1DF6F76E-DCE4-454C-804A-C6970A40BE47}"/>
    <cellStyle name="Percentuale 39 3 5" xfId="12433" xr:uid="{C99C912F-7713-4C58-9436-F037B99915BE}"/>
    <cellStyle name="Percentuale 39 3 5 2" xfId="28772" xr:uid="{F7DBD896-C485-45D2-81BC-FAF3CF44B9E1}"/>
    <cellStyle name="Percentuale 39 3 6" xfId="28773" xr:uid="{9EBD619A-5049-4403-A145-F8CD307427A3}"/>
    <cellStyle name="Percentuale 39 3 6 2" xfId="49259" xr:uid="{AF12A750-D192-47B6-8786-2C8AB59FD86B}"/>
    <cellStyle name="Percentuale 39 3 7" xfId="28774" xr:uid="{A0C87269-6F5E-4B8E-A8E0-DDB3F88C3046}"/>
    <cellStyle name="Percentuale 39 3 8" xfId="28761" xr:uid="{E1BC27CC-8DA5-4AE1-A11A-15DB6CF25BAE}"/>
    <cellStyle name="Percentuale 39 4" xfId="2401" xr:uid="{00000000-0005-0000-0000-0000CB080000}"/>
    <cellStyle name="Percentuale 39 4 2" xfId="2402" xr:uid="{00000000-0005-0000-0000-0000CC080000}"/>
    <cellStyle name="Percentuale 39 4 2 2" xfId="9495" xr:uid="{65DD5DE5-DEED-440E-932A-D1E6F841C198}"/>
    <cellStyle name="Percentuale 39 4 2 2 2" xfId="28777" xr:uid="{8F97A9CF-259C-40DF-BE20-A6FECADA1A2A}"/>
    <cellStyle name="Percentuale 39 4 2 3" xfId="17934" xr:uid="{1753A463-D503-47F2-BB35-D0B2CE58296D}"/>
    <cellStyle name="Percentuale 39 4 2 3 2" xfId="28778" xr:uid="{5EA49B10-ED2B-408C-B4F6-C2F9DEE753F9}"/>
    <cellStyle name="Percentuale 39 4 2 4" xfId="28776" xr:uid="{FBE2C75E-305D-409F-9332-4FEAB104FF44}"/>
    <cellStyle name="Percentuale 39 4 2 5" xfId="17544" xr:uid="{13B0C22E-9576-456A-AA63-6C25CA4E12B9}"/>
    <cellStyle name="Percentuale 39 4 3" xfId="9496" xr:uid="{E41AA6C2-59D7-4C18-AA93-FF8B54F25360}"/>
    <cellStyle name="Percentuale 39 4 3 2" xfId="28779" xr:uid="{1127492F-2FF7-4A61-A3D5-41B283AB4FDD}"/>
    <cellStyle name="Percentuale 39 4 4" xfId="28780" xr:uid="{B7B682FD-7766-44AB-A01C-EB5DFBF3DE21}"/>
    <cellStyle name="Percentuale 39 4 5" xfId="28781" xr:uid="{556148C1-1C2D-4F5B-BB8D-7ADC8B5D1506}"/>
    <cellStyle name="Percentuale 39 4 5 2" xfId="49260" xr:uid="{3D779C51-7228-4150-8696-9BC0168E7541}"/>
    <cellStyle name="Percentuale 39 4 6" xfId="28782" xr:uid="{EB73A92C-7FE6-4F98-977C-E15DC38FF75E}"/>
    <cellStyle name="Percentuale 39 4 7" xfId="28775" xr:uid="{7986C69B-0CDD-4899-9FA1-7716DEF07580}"/>
    <cellStyle name="Percentuale 39 5" xfId="2403" xr:uid="{00000000-0005-0000-0000-0000CD080000}"/>
    <cellStyle name="Percentuale 39 5 2" xfId="28784" xr:uid="{83BF12A2-CF67-4A37-9A8E-5980EDD6C73B}"/>
    <cellStyle name="Percentuale 39 5 3" xfId="28785" xr:uid="{353A4882-804B-4EEE-AAE4-00759EB1EA37}"/>
    <cellStyle name="Percentuale 39 5 3 2" xfId="49261" xr:uid="{1993E08D-B0D9-4A4A-B03D-AE5F66310BB7}"/>
    <cellStyle name="Percentuale 39 5 4" xfId="28786" xr:uid="{AFDFFA8C-CF04-4479-B435-E226218874F0}"/>
    <cellStyle name="Percentuale 39 5 5" xfId="28783" xr:uid="{59D035EA-CB28-4340-919F-4F4950BBA50D}"/>
    <cellStyle name="Percentuale 39 6" xfId="4401" xr:uid="{96EA2831-37F3-4B29-A5F1-8E29208E2D28}"/>
    <cellStyle name="Percentuale 39 6 2" xfId="9843" xr:uid="{3B09D1AF-52E8-465C-9BAE-AFA8CD52FD62}"/>
    <cellStyle name="Percentuale 39 6 3" xfId="28787" xr:uid="{3570BBF5-C997-4476-9C4D-E5BD37FBD5EE}"/>
    <cellStyle name="Percentuale 39 7" xfId="28788" xr:uid="{E2894312-92CE-4F38-9A75-C06F9BD2ED73}"/>
    <cellStyle name="Percentuale 39 7 2" xfId="49262" xr:uid="{B4F3394E-8EFA-4E5A-A4BA-8710B7B9B12A}"/>
    <cellStyle name="Percentuale 39 8" xfId="28755" xr:uid="{3CF8B39A-987A-4556-B894-3617D00F725C}"/>
    <cellStyle name="Percentuale 4" xfId="1102" xr:uid="{00000000-0005-0000-0000-0000CE080000}"/>
    <cellStyle name="Percentuale 4 2" xfId="1103" xr:uid="{00000000-0005-0000-0000-0000CF080000}"/>
    <cellStyle name="Percentuale 4 2 2" xfId="4402" xr:uid="{C607B04C-5B02-4D4B-851B-047F76622570}"/>
    <cellStyle name="Percentuale 4 2 2 2" xfId="13595" xr:uid="{8373CFE5-B930-4AE3-BA93-1B71163846AC}"/>
    <cellStyle name="Percentuale 4 2 2 3" xfId="28791" xr:uid="{AFB92D0F-DB57-4E65-8AD4-25C0092DB110}"/>
    <cellStyle name="Percentuale 4 2 3" xfId="13333" xr:uid="{9770E0A0-B468-4772-8735-3FB4D4CCE8E4}"/>
    <cellStyle name="Percentuale 4 2 3 2" xfId="28792" xr:uid="{1AEAF7DF-5936-4444-81C6-6D5C773981FE}"/>
    <cellStyle name="Percentuale 4 2 4" xfId="28793" xr:uid="{D8DF2088-5F47-4361-B555-8B2D982A0B12}"/>
    <cellStyle name="Percentuale 4 2 4 2" xfId="49263" xr:uid="{4A8F1D2D-515C-4F85-A47A-9EDBCC2A313A}"/>
    <cellStyle name="Percentuale 4 2 5" xfId="28794" xr:uid="{BEA62FAB-F0E4-4C39-B121-F8058CF0439B}"/>
    <cellStyle name="Percentuale 4 2 6" xfId="28790" xr:uid="{F4BF30DB-35AD-4937-8FC6-E4270AA015DC}"/>
    <cellStyle name="Percentuale 4 3" xfId="1104" xr:uid="{00000000-0005-0000-0000-0000D0080000}"/>
    <cellStyle name="Percentuale 4 3 2" xfId="1105" xr:uid="{00000000-0005-0000-0000-0000D1080000}"/>
    <cellStyle name="Percentuale 4 3 2 2" xfId="2404" xr:uid="{00000000-0005-0000-0000-0000D2080000}"/>
    <cellStyle name="Percentuale 4 3 2 2 2" xfId="28798" xr:uid="{51862E6B-9D8F-44DB-AADD-89FA3952865A}"/>
    <cellStyle name="Percentuale 4 3 2 2 3" xfId="28797" xr:uid="{D5FC8060-CCA0-4B1C-9052-DC13807C6619}"/>
    <cellStyle name="Percentuale 4 3 2 3" xfId="8150" xr:uid="{196E6918-633C-40CB-A9A5-20BBEA3AE2F7}"/>
    <cellStyle name="Percentuale 4 3 2 3 2" xfId="14149" xr:uid="{38BD7456-68BF-4E8B-A0F4-59C6A0AFE55B}"/>
    <cellStyle name="Percentuale 4 3 2 3 3" xfId="28799" xr:uid="{4E30D36C-64CA-4CAD-A635-6B71E09619E2}"/>
    <cellStyle name="Percentuale 4 3 2 3 4" xfId="49264" xr:uid="{542BB48B-809A-4E50-A907-108C3FF1F475}"/>
    <cellStyle name="Percentuale 4 3 2 4" xfId="28800" xr:uid="{68F47378-5AF4-4E9B-B9CE-429B2D0481F4}"/>
    <cellStyle name="Percentuale 4 3 2 5" xfId="28796" xr:uid="{D3DF91CC-F66C-47FD-9B96-E061994B4841}"/>
    <cellStyle name="Percentuale 4 3 3" xfId="4403" xr:uid="{40187590-EDE3-4AA4-838B-9ED785322267}"/>
    <cellStyle name="Percentuale 4 3 3 2" xfId="9497" xr:uid="{A2530E75-C1B5-4B2C-B6CA-E70753A8E5DD}"/>
    <cellStyle name="Percentuale 4 3 3 2 2" xfId="28802" xr:uid="{EDDD6C0E-9DAD-437E-9959-83F2AB0324FF}"/>
    <cellStyle name="Percentuale 4 3 3 3" xfId="28803" xr:uid="{C9BDA37E-08C0-4806-AD25-033CB871EF02}"/>
    <cellStyle name="Percentuale 4 3 3 4" xfId="28804" xr:uid="{FB0C7F7E-F1B7-4A42-BAC2-B94447676ABE}"/>
    <cellStyle name="Percentuale 4 3 3 4 2" xfId="49265" xr:uid="{DFF0CC06-46CC-4FEC-B9EB-99D328380D11}"/>
    <cellStyle name="Percentuale 4 3 3 5" xfId="28801" xr:uid="{D6BC7CD7-BC57-480D-B4DE-95D2A1F3A20B}"/>
    <cellStyle name="Percentuale 4 3 4" xfId="4404" xr:uid="{2B91E132-9674-47F5-9B27-128BD0C1FA24}"/>
    <cellStyle name="Percentuale 4 3 4 2" xfId="13810" xr:uid="{798DA3F7-6D97-45A2-96AD-BE71B8A45DFC}"/>
    <cellStyle name="Percentuale 4 3 4 3" xfId="28805" xr:uid="{315A1659-C61B-4450-BA34-81A6625DB3E2}"/>
    <cellStyle name="Percentuale 4 3 5" xfId="11703" xr:uid="{7B63BB3B-4B7D-4452-9C1E-3579D7E2D481}"/>
    <cellStyle name="Percentuale 4 3 5 2" xfId="28806" xr:uid="{43E55E42-425A-49D4-977E-0142F3D09DC9}"/>
    <cellStyle name="Percentuale 4 3 6" xfId="28807" xr:uid="{A6491587-EDBE-4A24-84A5-53E9ACD9187A}"/>
    <cellStyle name="Percentuale 4 3 6 2" xfId="49266" xr:uid="{A8F4124A-7464-42A4-A943-A7436ACEFB60}"/>
    <cellStyle name="Percentuale 4 3 7" xfId="28808" xr:uid="{566A22A6-4B6E-464B-826E-0DE2E97F4207}"/>
    <cellStyle name="Percentuale 4 3 8" xfId="28795" xr:uid="{146D3AAD-4AF4-4B85-88B9-89E66338B3EB}"/>
    <cellStyle name="Percentuale 4 4" xfId="2405" xr:uid="{00000000-0005-0000-0000-0000D3080000}"/>
    <cellStyle name="Percentuale 4 4 2" xfId="2406" xr:uid="{00000000-0005-0000-0000-0000D4080000}"/>
    <cellStyle name="Percentuale 4 4 2 2" xfId="9498" xr:uid="{F7019CA6-CAC8-4492-8BE4-453D5CFB2991}"/>
    <cellStyle name="Percentuale 4 4 2 2 2" xfId="28811" xr:uid="{B53AE789-B32A-4C65-BC91-BBD33FAB6F40}"/>
    <cellStyle name="Percentuale 4 4 2 3" xfId="17935" xr:uid="{2C09E2B4-F61B-4BDE-AAAA-E5AE332BDBE6}"/>
    <cellStyle name="Percentuale 4 4 2 3 2" xfId="28812" xr:uid="{24A19859-14AC-4BBF-A2F7-ABEFEFEB5894}"/>
    <cellStyle name="Percentuale 4 4 2 4" xfId="28810" xr:uid="{5357A6D3-EEE4-4B0E-B00F-B60382D555A8}"/>
    <cellStyle name="Percentuale 4 4 2 5" xfId="17545" xr:uid="{AD0D0AFC-D7C7-4610-9863-4AB09153A1EF}"/>
    <cellStyle name="Percentuale 4 4 3" xfId="9499" xr:uid="{66DC708A-0EE8-4779-ACA7-3DA27E3368CF}"/>
    <cellStyle name="Percentuale 4 4 3 2" xfId="28813" xr:uid="{CE56F648-42A1-4419-8214-98C1330BA90C}"/>
    <cellStyle name="Percentuale 4 4 4" xfId="28814" xr:uid="{B1570ADD-2047-4968-A9B9-9C975D1BDDF1}"/>
    <cellStyle name="Percentuale 4 4 5" xfId="28815" xr:uid="{86BBECA4-A79D-4378-9FB4-735202A55A36}"/>
    <cellStyle name="Percentuale 4 4 5 2" xfId="49267" xr:uid="{60FE14DA-0FCA-4F26-A131-9029565C7FA6}"/>
    <cellStyle name="Percentuale 4 4 6" xfId="28816" xr:uid="{78F72AAB-5D8D-4363-A340-D1D90779E3B1}"/>
    <cellStyle name="Percentuale 4 4 7" xfId="28809" xr:uid="{885FA4DE-F6E8-4326-97DD-4F092F4BFF07}"/>
    <cellStyle name="Percentuale 4 5" xfId="2407" xr:uid="{00000000-0005-0000-0000-0000D5080000}"/>
    <cellStyle name="Percentuale 4 5 2" xfId="28818" xr:uid="{EC077968-5FB7-4BE7-8018-2A5FC6F70C57}"/>
    <cellStyle name="Percentuale 4 5 3" xfId="28819" xr:uid="{FCC26F79-1A54-40A9-A02A-287B26485B2D}"/>
    <cellStyle name="Percentuale 4 5 3 2" xfId="49268" xr:uid="{9E892B8F-2497-4B85-88E5-169FF5172D29}"/>
    <cellStyle name="Percentuale 4 5 4" xfId="28820" xr:uid="{F656240F-44AC-4F7E-BCE8-7B5130C4589A}"/>
    <cellStyle name="Percentuale 4 5 5" xfId="28817" xr:uid="{02E7C1A7-3D27-4468-8B2E-191C693FCECA}"/>
    <cellStyle name="Percentuale 4 6" xfId="4405" xr:uid="{4D3EA76B-CFB6-4FC9-B12D-5E9C4B52F92B}"/>
    <cellStyle name="Percentuale 4 6 2" xfId="9844" xr:uid="{1F25C5A2-AD93-436A-B07E-81A9956CDD9F}"/>
    <cellStyle name="Percentuale 4 6 3" xfId="28821" xr:uid="{7A10C6D5-77F6-4EB7-94FD-78FBBC7E934D}"/>
    <cellStyle name="Percentuale 4 7" xfId="28822" xr:uid="{322A11BD-4D90-4750-9869-6892739AAB55}"/>
    <cellStyle name="Percentuale 4 7 2" xfId="49269" xr:uid="{F174A50A-7362-4555-B755-E927554AB2C3}"/>
    <cellStyle name="Percentuale 4 8" xfId="28789" xr:uid="{17C47274-FEDD-4E65-A892-CF20312AE1FC}"/>
    <cellStyle name="Percentuale 40" xfId="1106" xr:uid="{00000000-0005-0000-0000-0000D6080000}"/>
    <cellStyle name="Percentuale 40 2" xfId="1107" xr:uid="{00000000-0005-0000-0000-0000D7080000}"/>
    <cellStyle name="Percentuale 40 2 2" xfId="4406" xr:uid="{23833A70-AD97-41B9-9877-FAAC31951EBE}"/>
    <cellStyle name="Percentuale 40 2 2 2" xfId="13596" xr:uid="{43D8EF1C-80D7-4F73-88A2-BD80A72BCB4B}"/>
    <cellStyle name="Percentuale 40 2 2 3" xfId="28825" xr:uid="{9318E7B4-0E42-4539-B089-25893E1771B6}"/>
    <cellStyle name="Percentuale 40 2 3" xfId="13334" xr:uid="{8E88C1AB-8125-4658-AA8D-D94AC1FEE9CB}"/>
    <cellStyle name="Percentuale 40 2 3 2" xfId="28826" xr:uid="{CB009E44-70CD-49A5-AEA5-AB32ADC66995}"/>
    <cellStyle name="Percentuale 40 2 4" xfId="28827" xr:uid="{C88723B1-8B15-4370-84FE-7F31422DB014}"/>
    <cellStyle name="Percentuale 40 2 4 2" xfId="49270" xr:uid="{950152DD-6613-4D16-B4C6-3955926D23C2}"/>
    <cellStyle name="Percentuale 40 2 5" xfId="28828" xr:uid="{EBF8F8A7-8673-4245-A025-4B879C1EE10C}"/>
    <cellStyle name="Percentuale 40 2 6" xfId="28824" xr:uid="{C314AEBC-9AC5-4898-8F38-4E99A5014C8B}"/>
    <cellStyle name="Percentuale 40 3" xfId="1108" xr:uid="{00000000-0005-0000-0000-0000D8080000}"/>
    <cellStyle name="Percentuale 40 3 2" xfId="1109" xr:uid="{00000000-0005-0000-0000-0000D9080000}"/>
    <cellStyle name="Percentuale 40 3 2 2" xfId="2408" xr:uid="{00000000-0005-0000-0000-0000DA080000}"/>
    <cellStyle name="Percentuale 40 3 2 2 2" xfId="28832" xr:uid="{F87A96F1-DB33-459D-BB30-728EF46BB283}"/>
    <cellStyle name="Percentuale 40 3 2 2 3" xfId="28831" xr:uid="{DDF4A0B6-6EF0-41C7-851D-6ACE0244EC75}"/>
    <cellStyle name="Percentuale 40 3 2 3" xfId="8151" xr:uid="{562BE235-09C2-4879-8550-C0BFD14C5E93}"/>
    <cellStyle name="Percentuale 40 3 2 3 2" xfId="14150" xr:uid="{8BF2C8AF-BA47-41C6-AEAD-215FC53AB050}"/>
    <cellStyle name="Percentuale 40 3 2 3 3" xfId="28833" xr:uid="{0349CD4B-3091-45C2-A6CC-624C1ABBE097}"/>
    <cellStyle name="Percentuale 40 3 2 3 4" xfId="49271" xr:uid="{C600190F-9862-4FE9-831E-95BF738CD19C}"/>
    <cellStyle name="Percentuale 40 3 2 4" xfId="28834" xr:uid="{19D4B624-39D2-43EB-8843-37A48ECC13ED}"/>
    <cellStyle name="Percentuale 40 3 2 5" xfId="28830" xr:uid="{C9B11019-F68D-402F-A2E1-96A3DA9E38C8}"/>
    <cellStyle name="Percentuale 40 3 3" xfId="4407" xr:uid="{2BC6CAB1-CE2C-4E5B-BC7F-8BD719E0A4EA}"/>
    <cellStyle name="Percentuale 40 3 3 2" xfId="9500" xr:uid="{6BC17B06-2414-4253-919C-005272DA1486}"/>
    <cellStyle name="Percentuale 40 3 3 2 2" xfId="28836" xr:uid="{12773B2D-A4FA-4455-A0E1-6B0D2A38194B}"/>
    <cellStyle name="Percentuale 40 3 3 3" xfId="28837" xr:uid="{3A715B9A-FA46-4554-8925-77E6220F6D93}"/>
    <cellStyle name="Percentuale 40 3 3 4" xfId="28838" xr:uid="{D0B99CDE-7F3D-4472-83D0-36762F016720}"/>
    <cellStyle name="Percentuale 40 3 3 4 2" xfId="49272" xr:uid="{6DAED6D7-E1D3-4445-BD64-0A60BD5BA1AE}"/>
    <cellStyle name="Percentuale 40 3 3 5" xfId="28835" xr:uid="{BD71539E-0FA8-49EA-8615-7C6B2DAD7460}"/>
    <cellStyle name="Percentuale 40 3 4" xfId="4408" xr:uid="{E9C044D8-0645-4A91-A4A4-B8FC934611D7}"/>
    <cellStyle name="Percentuale 40 3 4 2" xfId="13811" xr:uid="{5C9E06B3-74DE-4C91-BA34-CCFFA48A6E8C}"/>
    <cellStyle name="Percentuale 40 3 4 3" xfId="28839" xr:uid="{F5D1AB2C-23CE-4362-B292-C1BFB02B1800}"/>
    <cellStyle name="Percentuale 40 3 5" xfId="12434" xr:uid="{6F671AAB-F3C4-4E10-BD92-6B2C51260BF1}"/>
    <cellStyle name="Percentuale 40 3 5 2" xfId="28840" xr:uid="{77D5EF1B-9277-4C2A-9D97-3F6C8CD6ECD0}"/>
    <cellStyle name="Percentuale 40 3 6" xfId="28841" xr:uid="{B42D989A-C3DD-4534-8DC8-EF8776D2796D}"/>
    <cellStyle name="Percentuale 40 3 6 2" xfId="49273" xr:uid="{6C316DD2-03EE-4342-87F2-785C08F212BC}"/>
    <cellStyle name="Percentuale 40 3 7" xfId="28842" xr:uid="{56682ECA-AAB4-4988-BE9B-0ACA8F73915F}"/>
    <cellStyle name="Percentuale 40 3 8" xfId="28829" xr:uid="{2D444386-CD3B-4058-9987-B8A96E10C321}"/>
    <cellStyle name="Percentuale 40 4" xfId="2409" xr:uid="{00000000-0005-0000-0000-0000DB080000}"/>
    <cellStyle name="Percentuale 40 4 2" xfId="2410" xr:uid="{00000000-0005-0000-0000-0000DC080000}"/>
    <cellStyle name="Percentuale 40 4 2 2" xfId="9501" xr:uid="{2E96CAE3-50A5-42B0-8219-7C0AD3790B33}"/>
    <cellStyle name="Percentuale 40 4 2 2 2" xfId="28845" xr:uid="{02958D22-5E5E-4BFA-84CB-7CA4A24AE341}"/>
    <cellStyle name="Percentuale 40 4 2 3" xfId="17936" xr:uid="{BA2CA698-3961-487A-B24C-63557D8226FF}"/>
    <cellStyle name="Percentuale 40 4 2 3 2" xfId="28846" xr:uid="{C18EBE57-3088-441B-890C-88815997CC38}"/>
    <cellStyle name="Percentuale 40 4 2 4" xfId="28844" xr:uid="{96901600-83CB-4549-882E-8410996D21DA}"/>
    <cellStyle name="Percentuale 40 4 2 5" xfId="17546" xr:uid="{6D6908F3-B942-4529-8B2F-2BD505EB0463}"/>
    <cellStyle name="Percentuale 40 4 3" xfId="9502" xr:uid="{6B00A3E5-9467-4EFC-A366-8510AC184720}"/>
    <cellStyle name="Percentuale 40 4 3 2" xfId="28847" xr:uid="{68CF109F-CFA5-47C0-BF51-C33324DD8C71}"/>
    <cellStyle name="Percentuale 40 4 4" xfId="28848" xr:uid="{F34BF75D-DD6C-4208-8D4E-1DDF8EEDF445}"/>
    <cellStyle name="Percentuale 40 4 5" xfId="28849" xr:uid="{7EC6F0D8-28B5-455E-B6D0-A69EDC71188F}"/>
    <cellStyle name="Percentuale 40 4 5 2" xfId="49274" xr:uid="{2DB6F8D9-F249-4EB5-9980-38D2F06B8FBB}"/>
    <cellStyle name="Percentuale 40 4 6" xfId="28850" xr:uid="{4FC1BB37-C54E-4E6C-B39E-3EC2A1200524}"/>
    <cellStyle name="Percentuale 40 4 7" xfId="28843" xr:uid="{93FCF155-6892-4E43-9052-4F51BE9D5238}"/>
    <cellStyle name="Percentuale 40 5" xfId="2411" xr:uid="{00000000-0005-0000-0000-0000DD080000}"/>
    <cellStyle name="Percentuale 40 5 2" xfId="28852" xr:uid="{E1CD5EDA-AF6A-45D9-86EE-A7743180EF8B}"/>
    <cellStyle name="Percentuale 40 5 3" xfId="28853" xr:uid="{3141F272-4899-4207-BE37-E6438B2B65FA}"/>
    <cellStyle name="Percentuale 40 5 3 2" xfId="49275" xr:uid="{1F25D5C1-78C4-4DD6-9169-0F66A385B164}"/>
    <cellStyle name="Percentuale 40 5 4" xfId="28854" xr:uid="{C995F886-BE9A-40A7-ADDB-D3618AB24E67}"/>
    <cellStyle name="Percentuale 40 5 5" xfId="28851" xr:uid="{5D2A1CB0-1EBB-45D0-8FD0-BD429AD8AD6F}"/>
    <cellStyle name="Percentuale 40 6" xfId="4409" xr:uid="{7C828DBF-AD70-4BB6-8CBA-09163EE6D6E5}"/>
    <cellStyle name="Percentuale 40 6 2" xfId="9845" xr:uid="{AE9C298B-73B7-44A2-84ED-F7E79FDFF9E0}"/>
    <cellStyle name="Percentuale 40 6 3" xfId="28855" xr:uid="{BECEE62D-25FD-456D-9484-10A909CAC364}"/>
    <cellStyle name="Percentuale 40 7" xfId="28856" xr:uid="{7B8B1363-9799-49EC-8BBE-7C97A1C82665}"/>
    <cellStyle name="Percentuale 40 7 2" xfId="49276" xr:uid="{32206C4F-4FF4-4575-8B28-D4148519C442}"/>
    <cellStyle name="Percentuale 40 8" xfId="28823" xr:uid="{F0F3BA4F-6114-4751-AD55-F337614F5ECE}"/>
    <cellStyle name="Percentuale 41" xfId="1110" xr:uid="{00000000-0005-0000-0000-0000DE080000}"/>
    <cellStyle name="Percentuale 41 2" xfId="1111" xr:uid="{00000000-0005-0000-0000-0000DF080000}"/>
    <cellStyle name="Percentuale 41 2 2" xfId="4410" xr:uid="{3114E41D-E641-4194-B1D8-72F6F3BB5571}"/>
    <cellStyle name="Percentuale 41 2 2 2" xfId="13597" xr:uid="{8325907B-5138-4D1F-82AF-BC4C3F3AD139}"/>
    <cellStyle name="Percentuale 41 2 2 3" xfId="28859" xr:uid="{324D0E66-1F73-4D6E-811D-BBC0F48B835E}"/>
    <cellStyle name="Percentuale 41 2 3" xfId="13335" xr:uid="{B58EE913-A6A4-43C6-9CFA-910F347DBD41}"/>
    <cellStyle name="Percentuale 41 2 3 2" xfId="28860" xr:uid="{79083BAC-69B5-4D8F-AF50-82F8878DA9FC}"/>
    <cellStyle name="Percentuale 41 2 4" xfId="28861" xr:uid="{4EEE1E77-167C-4449-B5C1-CBB224657593}"/>
    <cellStyle name="Percentuale 41 2 4 2" xfId="49277" xr:uid="{85CCBEED-ED4F-4FE6-8C9A-C3FB855EDA27}"/>
    <cellStyle name="Percentuale 41 2 5" xfId="28862" xr:uid="{C63F3944-6300-406C-9DB6-6E2EC394214E}"/>
    <cellStyle name="Percentuale 41 2 6" xfId="28858" xr:uid="{29942605-6021-4BA5-8C28-4ED0B3DB9A76}"/>
    <cellStyle name="Percentuale 41 3" xfId="1112" xr:uid="{00000000-0005-0000-0000-0000E0080000}"/>
    <cellStyle name="Percentuale 41 3 2" xfId="1113" xr:uid="{00000000-0005-0000-0000-0000E1080000}"/>
    <cellStyle name="Percentuale 41 3 2 2" xfId="2412" xr:uid="{00000000-0005-0000-0000-0000E2080000}"/>
    <cellStyle name="Percentuale 41 3 2 2 2" xfId="28866" xr:uid="{2D8BD1FE-79B2-4960-804F-A625D45CFF4B}"/>
    <cellStyle name="Percentuale 41 3 2 2 3" xfId="28865" xr:uid="{4B868902-0CC8-44F7-AB54-3FA93428CFEB}"/>
    <cellStyle name="Percentuale 41 3 2 3" xfId="8152" xr:uid="{EE99BAD0-C582-48E9-B379-42DBA48D9CBB}"/>
    <cellStyle name="Percentuale 41 3 2 3 2" xfId="14151" xr:uid="{CFD50103-1424-4189-ABB1-E1994A5045FA}"/>
    <cellStyle name="Percentuale 41 3 2 3 3" xfId="28867" xr:uid="{5B9E07DA-E256-4358-9220-8B96AA60281D}"/>
    <cellStyle name="Percentuale 41 3 2 3 4" xfId="49278" xr:uid="{3D0AE855-6D1D-4071-B62A-4D0B849A303B}"/>
    <cellStyle name="Percentuale 41 3 2 4" xfId="28868" xr:uid="{6204A567-0CBE-4810-9A8C-7DA7D5D157FF}"/>
    <cellStyle name="Percentuale 41 3 2 5" xfId="28864" xr:uid="{0A418E6B-72B2-4DE7-BAF9-ECB55C81F29A}"/>
    <cellStyle name="Percentuale 41 3 3" xfId="4411" xr:uid="{2FBE0850-9EF0-4AA2-8791-F53CD3615AF5}"/>
    <cellStyle name="Percentuale 41 3 3 2" xfId="9503" xr:uid="{2F1EF8AB-587E-4176-A750-7F5D3C2DBA92}"/>
    <cellStyle name="Percentuale 41 3 3 2 2" xfId="28870" xr:uid="{392901ED-3DFF-400E-9540-347725DB27B7}"/>
    <cellStyle name="Percentuale 41 3 3 3" xfId="28871" xr:uid="{B7149A38-7124-4464-AC76-7963388A6C33}"/>
    <cellStyle name="Percentuale 41 3 3 4" xfId="28872" xr:uid="{A7FEF265-949E-452A-9576-B1EF3D3E6B5B}"/>
    <cellStyle name="Percentuale 41 3 3 4 2" xfId="49279" xr:uid="{2BE910B2-21DA-4595-B7CD-AB9A9A8C44EE}"/>
    <cellStyle name="Percentuale 41 3 3 5" xfId="28869" xr:uid="{CE85CCF3-42CA-478B-91F9-0A05ED86BB8E}"/>
    <cellStyle name="Percentuale 41 3 4" xfId="4412" xr:uid="{720CE512-E5B5-4C2F-8D01-E94FE21D5193}"/>
    <cellStyle name="Percentuale 41 3 4 2" xfId="13812" xr:uid="{7F860898-F84F-4CBF-9375-A093D0A6101C}"/>
    <cellStyle name="Percentuale 41 3 4 3" xfId="28873" xr:uid="{281D4B26-F415-4D68-969C-908D6DB75381}"/>
    <cellStyle name="Percentuale 41 3 5" xfId="12304" xr:uid="{895CB7E2-ADE3-4E47-BBCF-E0E7FC4561B0}"/>
    <cellStyle name="Percentuale 41 3 5 2" xfId="28874" xr:uid="{254BE4A0-E2B1-476B-AA54-2ADB58AFBE77}"/>
    <cellStyle name="Percentuale 41 3 6" xfId="28875" xr:uid="{63BEC473-1A1D-4C0C-A7C9-B4A1F7EE30E4}"/>
    <cellStyle name="Percentuale 41 3 6 2" xfId="49280" xr:uid="{80F69CF7-E82E-4AFC-9F02-BBE4EAF8B564}"/>
    <cellStyle name="Percentuale 41 3 7" xfId="28876" xr:uid="{A180F4C0-1CAF-4806-B429-1F9684D7D52A}"/>
    <cellStyle name="Percentuale 41 3 8" xfId="28863" xr:uid="{AAAEF4C0-DE3C-4A4F-B65F-3926437E16F3}"/>
    <cellStyle name="Percentuale 41 4" xfId="2413" xr:uid="{00000000-0005-0000-0000-0000E3080000}"/>
    <cellStyle name="Percentuale 41 4 2" xfId="2414" xr:uid="{00000000-0005-0000-0000-0000E4080000}"/>
    <cellStyle name="Percentuale 41 4 2 2" xfId="9504" xr:uid="{EC4DFDB7-3B95-4588-B4A3-2ECBC32A0F96}"/>
    <cellStyle name="Percentuale 41 4 2 2 2" xfId="28879" xr:uid="{641FE4B7-0C8F-4E57-9CED-73D64A9F55D4}"/>
    <cellStyle name="Percentuale 41 4 2 3" xfId="17937" xr:uid="{29FE37E3-7D97-4F2D-BEF6-22576EB0B203}"/>
    <cellStyle name="Percentuale 41 4 2 3 2" xfId="28880" xr:uid="{07277621-DE0B-4950-B30D-48DB8CA2E036}"/>
    <cellStyle name="Percentuale 41 4 2 4" xfId="28878" xr:uid="{C39E0E31-4CD3-4735-ADCE-90ABDE1D4F43}"/>
    <cellStyle name="Percentuale 41 4 2 5" xfId="17547" xr:uid="{0AF5B6F0-E909-430B-9747-2EF9CD989D69}"/>
    <cellStyle name="Percentuale 41 4 3" xfId="9505" xr:uid="{D04F2318-BC30-4631-BB6F-955E53074B64}"/>
    <cellStyle name="Percentuale 41 4 3 2" xfId="28881" xr:uid="{9AEBA52E-2B01-4972-91C9-72053D2202C5}"/>
    <cellStyle name="Percentuale 41 4 4" xfId="28882" xr:uid="{F5C73941-0B74-4337-9EE3-5D8A7166E429}"/>
    <cellStyle name="Percentuale 41 4 5" xfId="28883" xr:uid="{654D66D8-3D3D-4C23-8F8E-FA89DBD3C54B}"/>
    <cellStyle name="Percentuale 41 4 5 2" xfId="49281" xr:uid="{8005AAE4-CDB4-456F-9ED1-F60767934BA6}"/>
    <cellStyle name="Percentuale 41 4 6" xfId="28884" xr:uid="{190BE937-152C-45FF-8087-2F900C32E839}"/>
    <cellStyle name="Percentuale 41 4 7" xfId="28877" xr:uid="{28710CCC-95B6-414F-BC16-96CF647749A5}"/>
    <cellStyle name="Percentuale 41 5" xfId="2415" xr:uid="{00000000-0005-0000-0000-0000E5080000}"/>
    <cellStyle name="Percentuale 41 5 2" xfId="28886" xr:uid="{2E060179-78AC-40DE-A264-35A7A6A871AF}"/>
    <cellStyle name="Percentuale 41 5 3" xfId="28887" xr:uid="{34331B84-2EBF-4648-B46F-C81F6342A796}"/>
    <cellStyle name="Percentuale 41 5 3 2" xfId="49282" xr:uid="{8834EAD0-AA46-4E4D-A358-F91DD2FBF575}"/>
    <cellStyle name="Percentuale 41 5 4" xfId="28888" xr:uid="{EFBAE200-6A9F-484C-8A57-0DD168908EC2}"/>
    <cellStyle name="Percentuale 41 5 5" xfId="28885" xr:uid="{B66614B2-E5FF-4127-AE94-777BAAC95087}"/>
    <cellStyle name="Percentuale 41 6" xfId="4413" xr:uid="{643F4D44-58A0-45B5-A02E-711566CF5FC4}"/>
    <cellStyle name="Percentuale 41 6 2" xfId="9846" xr:uid="{0063B79C-786B-445A-897E-EE478A280579}"/>
    <cellStyle name="Percentuale 41 6 3" xfId="28889" xr:uid="{30497E1A-E9CC-4F65-9DC0-95C2D726494C}"/>
    <cellStyle name="Percentuale 41 7" xfId="28890" xr:uid="{A3389914-66B4-4C6C-BA82-C27793964E88}"/>
    <cellStyle name="Percentuale 41 7 2" xfId="49283" xr:uid="{706A41F6-CAF3-48EC-A184-0542B3785869}"/>
    <cellStyle name="Percentuale 41 8" xfId="28857" xr:uid="{F3FE1EAC-4E64-4A23-BC4F-FFC4C10C2B38}"/>
    <cellStyle name="Percentuale 42" xfId="1114" xr:uid="{00000000-0005-0000-0000-0000E6080000}"/>
    <cellStyle name="Percentuale 42 2" xfId="1115" xr:uid="{00000000-0005-0000-0000-0000E7080000}"/>
    <cellStyle name="Percentuale 42 2 2" xfId="4414" xr:uid="{0B3569E2-50FF-4260-8356-7E7731DC9E92}"/>
    <cellStyle name="Percentuale 42 2 2 2" xfId="13598" xr:uid="{E65840E6-7434-45D3-8DEC-4CFB08890574}"/>
    <cellStyle name="Percentuale 42 2 2 3" xfId="28893" xr:uid="{9DF0BEB2-78E9-43F2-BF76-174A5A65F563}"/>
    <cellStyle name="Percentuale 42 2 3" xfId="13336" xr:uid="{873B575C-7C9F-4085-943C-4D87152C41C1}"/>
    <cellStyle name="Percentuale 42 2 3 2" xfId="28894" xr:uid="{B1A4C2AD-AE09-4D29-92BE-710A1886D6C3}"/>
    <cellStyle name="Percentuale 42 2 4" xfId="28895" xr:uid="{3C63AC91-05A8-4841-9EDE-0B67C992B78B}"/>
    <cellStyle name="Percentuale 42 2 4 2" xfId="49284" xr:uid="{5D81109D-7F49-4157-AFCD-123C150672C7}"/>
    <cellStyle name="Percentuale 42 2 5" xfId="28896" xr:uid="{2378D31B-33EE-476B-B653-D4D6014CF3E7}"/>
    <cellStyle name="Percentuale 42 2 6" xfId="28892" xr:uid="{168BC98D-1431-482F-9198-1EF235913728}"/>
    <cellStyle name="Percentuale 42 3" xfId="1116" xr:uid="{00000000-0005-0000-0000-0000E8080000}"/>
    <cellStyle name="Percentuale 42 3 2" xfId="1117" xr:uid="{00000000-0005-0000-0000-0000E9080000}"/>
    <cellStyle name="Percentuale 42 3 2 2" xfId="2416" xr:uid="{00000000-0005-0000-0000-0000EA080000}"/>
    <cellStyle name="Percentuale 42 3 2 2 2" xfId="28900" xr:uid="{A4551491-492B-4AF7-BA6A-0FDA83A0D751}"/>
    <cellStyle name="Percentuale 42 3 2 2 3" xfId="28899" xr:uid="{F93F5D5B-052E-4241-A3ED-7C456C2A7DCF}"/>
    <cellStyle name="Percentuale 42 3 2 3" xfId="8153" xr:uid="{D9EC0FC6-B55F-474A-B3AF-36A732E78CC0}"/>
    <cellStyle name="Percentuale 42 3 2 3 2" xfId="14152" xr:uid="{E27F2C95-AD7B-41A3-9C31-3716596ACE95}"/>
    <cellStyle name="Percentuale 42 3 2 3 3" xfId="28901" xr:uid="{1917DDB3-BDD9-4AC2-8A4B-0C98176099A6}"/>
    <cellStyle name="Percentuale 42 3 2 3 4" xfId="49285" xr:uid="{F6F4EA4D-2789-488E-BF75-D6C65BD2FFC5}"/>
    <cellStyle name="Percentuale 42 3 2 4" xfId="28902" xr:uid="{1C3680BC-6079-42C1-A590-7B721CEF9814}"/>
    <cellStyle name="Percentuale 42 3 2 5" xfId="28898" xr:uid="{D0499526-D36E-457B-BE88-78F2A8869902}"/>
    <cellStyle name="Percentuale 42 3 3" xfId="4415" xr:uid="{5002C057-A0CB-46D9-881C-85A7CE11C29A}"/>
    <cellStyle name="Percentuale 42 3 3 2" xfId="9506" xr:uid="{3F2BD764-AC74-4044-A8B3-CA4F5E6BCB86}"/>
    <cellStyle name="Percentuale 42 3 3 2 2" xfId="28904" xr:uid="{C81AD576-3E0A-4F54-AD7B-275C99126DD4}"/>
    <cellStyle name="Percentuale 42 3 3 3" xfId="28905" xr:uid="{46ACABD6-FF71-4215-AEB5-D8F49594CF99}"/>
    <cellStyle name="Percentuale 42 3 3 4" xfId="28906" xr:uid="{BEC2220C-0110-4FAE-8684-762615EBCB45}"/>
    <cellStyle name="Percentuale 42 3 3 4 2" xfId="49286" xr:uid="{BEF3191A-4334-4DA7-B79D-864359EF790A}"/>
    <cellStyle name="Percentuale 42 3 3 5" xfId="28903" xr:uid="{AE1A0E3D-0E6D-4E14-96A4-9F1096FAB3E5}"/>
    <cellStyle name="Percentuale 42 3 4" xfId="4416" xr:uid="{7171AEE8-4800-453F-A8DC-DE6306711E7F}"/>
    <cellStyle name="Percentuale 42 3 4 2" xfId="13813" xr:uid="{130AC0B3-506B-47BD-BB7D-07EE50C0CFBC}"/>
    <cellStyle name="Percentuale 42 3 4 3" xfId="28907" xr:uid="{698B9E72-BD0C-46F9-A0C1-9458DC9E5AB4}"/>
    <cellStyle name="Percentuale 42 3 5" xfId="12303" xr:uid="{8C554162-6FA9-4D81-84A0-15C11278B521}"/>
    <cellStyle name="Percentuale 42 3 5 2" xfId="28908" xr:uid="{EB235AFC-95E1-49A1-8F7A-A695B9A11B96}"/>
    <cellStyle name="Percentuale 42 3 6" xfId="28909" xr:uid="{83C58CDF-CF14-4853-BAE2-A0283885DCE7}"/>
    <cellStyle name="Percentuale 42 3 6 2" xfId="49287" xr:uid="{DD6067EA-3100-4FE9-B618-30B605C79E06}"/>
    <cellStyle name="Percentuale 42 3 7" xfId="28910" xr:uid="{AB539897-F929-4225-8AE6-A6F632837A9B}"/>
    <cellStyle name="Percentuale 42 3 8" xfId="28897" xr:uid="{5D4A21CB-3F35-4015-ADF3-59E814CEC66A}"/>
    <cellStyle name="Percentuale 42 4" xfId="2417" xr:uid="{00000000-0005-0000-0000-0000EB080000}"/>
    <cellStyle name="Percentuale 42 4 2" xfId="2418" xr:uid="{00000000-0005-0000-0000-0000EC080000}"/>
    <cellStyle name="Percentuale 42 4 2 2" xfId="9507" xr:uid="{DDBB00D3-048B-44AC-A9F5-6DE80A914692}"/>
    <cellStyle name="Percentuale 42 4 2 2 2" xfId="28913" xr:uid="{2C45C8F6-2D33-479A-A334-D45CF8533CDC}"/>
    <cellStyle name="Percentuale 42 4 2 3" xfId="17938" xr:uid="{ABE52CC3-7C8A-4F74-89FB-1D143A097570}"/>
    <cellStyle name="Percentuale 42 4 2 3 2" xfId="28914" xr:uid="{CD31243A-D5A8-44C1-933B-6C5AD125EC18}"/>
    <cellStyle name="Percentuale 42 4 2 4" xfId="28912" xr:uid="{E30D3456-CECF-46DF-977D-0A6D6E1B960F}"/>
    <cellStyle name="Percentuale 42 4 2 5" xfId="17548" xr:uid="{95481EE6-E4B8-4D62-9DFA-1AD6EE29F352}"/>
    <cellStyle name="Percentuale 42 4 3" xfId="9508" xr:uid="{72081620-8389-46A7-B9E9-69FBF040D62F}"/>
    <cellStyle name="Percentuale 42 4 3 2" xfId="28915" xr:uid="{7C30B261-8C80-4101-8FA0-2D1AD661E8BB}"/>
    <cellStyle name="Percentuale 42 4 4" xfId="28916" xr:uid="{D9DD2A10-B8B4-4E41-8458-E2A08C196B12}"/>
    <cellStyle name="Percentuale 42 4 5" xfId="28917" xr:uid="{20333EEF-C965-45BC-9662-C1565DFF9756}"/>
    <cellStyle name="Percentuale 42 4 5 2" xfId="49288" xr:uid="{9DA0F969-F9D2-427A-ACA6-FE5EC35F21CD}"/>
    <cellStyle name="Percentuale 42 4 6" xfId="28918" xr:uid="{EEFC0D8E-6DCB-4C6F-B998-5D1B026227FE}"/>
    <cellStyle name="Percentuale 42 4 7" xfId="28911" xr:uid="{FC72F77C-58D3-4CE0-AE3A-A44045DFB597}"/>
    <cellStyle name="Percentuale 42 5" xfId="2419" xr:uid="{00000000-0005-0000-0000-0000ED080000}"/>
    <cellStyle name="Percentuale 42 5 2" xfId="28920" xr:uid="{ABEBB7FE-0A52-4D83-A25E-2347B0EF36A7}"/>
    <cellStyle name="Percentuale 42 5 3" xfId="28921" xr:uid="{5800EEAD-A00C-4E70-84C0-7723CD3EE61A}"/>
    <cellStyle name="Percentuale 42 5 3 2" xfId="49289" xr:uid="{EDDC95E3-C0A8-450A-B01F-DB211D2C935C}"/>
    <cellStyle name="Percentuale 42 5 4" xfId="28922" xr:uid="{A93B84BE-59CC-4E7C-BED2-32684C246EEC}"/>
    <cellStyle name="Percentuale 42 5 5" xfId="28919" xr:uid="{64AF3489-4813-4D27-A554-56B6195DC251}"/>
    <cellStyle name="Percentuale 42 6" xfId="4417" xr:uid="{C2621BD9-8E20-43F2-B067-DA5D10B051E6}"/>
    <cellStyle name="Percentuale 42 6 2" xfId="9847" xr:uid="{67352D9F-A46D-4EAF-B163-3EC2EF8785DB}"/>
    <cellStyle name="Percentuale 42 6 3" xfId="28923" xr:uid="{7039B583-4015-4F45-A5DE-F8346F99ED04}"/>
    <cellStyle name="Percentuale 42 7" xfId="28924" xr:uid="{332ECF76-8EE8-4B31-B35A-DDE9344C7DA8}"/>
    <cellStyle name="Percentuale 42 7 2" xfId="49290" xr:uid="{CB595B49-9A6F-41A1-BFD7-EBF5BD4865CC}"/>
    <cellStyle name="Percentuale 42 8" xfId="28891" xr:uid="{1D81276E-CB4D-4886-8F39-0725AB19090B}"/>
    <cellStyle name="Percentuale 43" xfId="1118" xr:uid="{00000000-0005-0000-0000-0000EE080000}"/>
    <cellStyle name="Percentuale 43 2" xfId="1119" xr:uid="{00000000-0005-0000-0000-0000EF080000}"/>
    <cellStyle name="Percentuale 43 2 2" xfId="4418" xr:uid="{EA3243B9-7EB8-4779-A147-0CEBC04E27DB}"/>
    <cellStyle name="Percentuale 43 2 2 2" xfId="13599" xr:uid="{11F6E1EA-8A06-43EC-BC01-BF6F3E5010C4}"/>
    <cellStyle name="Percentuale 43 2 2 3" xfId="28927" xr:uid="{2ADF6F55-6D26-47F5-BF2F-DF53BECD04FC}"/>
    <cellStyle name="Percentuale 43 2 3" xfId="13337" xr:uid="{A34335DD-D333-42DC-87C2-5ECBD8FE10C8}"/>
    <cellStyle name="Percentuale 43 2 3 2" xfId="28928" xr:uid="{FCC0E5C2-3C26-4590-9882-6DEF1A90B0AE}"/>
    <cellStyle name="Percentuale 43 2 4" xfId="28929" xr:uid="{670BC3D1-4763-42B2-8779-C974DAFF04B7}"/>
    <cellStyle name="Percentuale 43 2 4 2" xfId="49291" xr:uid="{D9649D57-2B50-49E1-8D33-5657E1F957F7}"/>
    <cellStyle name="Percentuale 43 2 5" xfId="28930" xr:uid="{F86BBE5C-5AFF-4CBC-A2D8-7E331BABF0BC}"/>
    <cellStyle name="Percentuale 43 2 6" xfId="28926" xr:uid="{19D166B8-4FCE-42C9-8429-BEEBB0743432}"/>
    <cellStyle name="Percentuale 43 3" xfId="1120" xr:uid="{00000000-0005-0000-0000-0000F0080000}"/>
    <cellStyle name="Percentuale 43 3 2" xfId="1121" xr:uid="{00000000-0005-0000-0000-0000F1080000}"/>
    <cellStyle name="Percentuale 43 3 2 2" xfId="2420" xr:uid="{00000000-0005-0000-0000-0000F2080000}"/>
    <cellStyle name="Percentuale 43 3 2 2 2" xfId="28934" xr:uid="{047BE313-5057-41CE-A8C4-4BC39DB13F7C}"/>
    <cellStyle name="Percentuale 43 3 2 2 3" xfId="28933" xr:uid="{1C4B4673-4114-4EB8-84BA-53A929AC87E0}"/>
    <cellStyle name="Percentuale 43 3 2 3" xfId="8154" xr:uid="{E475361C-3445-4591-8294-CD960BE1DA50}"/>
    <cellStyle name="Percentuale 43 3 2 3 2" xfId="14153" xr:uid="{276AEA8A-2FFE-4224-95A3-76830FAEDCAA}"/>
    <cellStyle name="Percentuale 43 3 2 3 3" xfId="28935" xr:uid="{BB570DEA-4874-4218-A3DD-124FAD8757F7}"/>
    <cellStyle name="Percentuale 43 3 2 3 4" xfId="49292" xr:uid="{01CAEE75-586F-4BEA-84B5-59665B515E66}"/>
    <cellStyle name="Percentuale 43 3 2 4" xfId="28936" xr:uid="{6AE4714B-04A9-4865-BC87-F8894505A900}"/>
    <cellStyle name="Percentuale 43 3 2 5" xfId="28932" xr:uid="{16C49E87-D78D-46F1-9765-D8CB29713FD0}"/>
    <cellStyle name="Percentuale 43 3 3" xfId="4419" xr:uid="{F80E7A3E-FFE7-44DE-8912-5936215840B0}"/>
    <cellStyle name="Percentuale 43 3 3 2" xfId="9509" xr:uid="{D78D7368-36E2-4C78-93C0-FEDED963D2F5}"/>
    <cellStyle name="Percentuale 43 3 3 2 2" xfId="28938" xr:uid="{572A0E3B-EE2A-4588-B3E3-6E559B7D3D95}"/>
    <cellStyle name="Percentuale 43 3 3 3" xfId="28939" xr:uid="{EC77502E-6202-4114-870E-17403A97BBF1}"/>
    <cellStyle name="Percentuale 43 3 3 4" xfId="28940" xr:uid="{FCEDA9F3-8F26-4823-B385-89D9A0443EC0}"/>
    <cellStyle name="Percentuale 43 3 3 4 2" xfId="49293" xr:uid="{A83559B9-3F91-48DA-86B3-41EC2DE0C614}"/>
    <cellStyle name="Percentuale 43 3 3 5" xfId="28937" xr:uid="{CE8BD287-AD54-4F0E-8772-8F28121DA892}"/>
    <cellStyle name="Percentuale 43 3 4" xfId="4420" xr:uid="{54FE9739-AFF9-4B86-A96B-C756B7509C57}"/>
    <cellStyle name="Percentuale 43 3 4 2" xfId="13814" xr:uid="{22099DE6-EF2C-4C92-9F92-BE83883B5980}"/>
    <cellStyle name="Percentuale 43 3 4 3" xfId="28941" xr:uid="{EBD18F05-4942-4111-BCEB-DB4D88546C50}"/>
    <cellStyle name="Percentuale 43 3 5" xfId="11512" xr:uid="{8D41443E-5F18-47AB-A8F0-8FAFE8A46C3D}"/>
    <cellStyle name="Percentuale 43 3 5 2" xfId="28942" xr:uid="{E9D55784-45AA-4670-B4D9-DC8AC4C2F47D}"/>
    <cellStyle name="Percentuale 43 3 6" xfId="28943" xr:uid="{180C2E6E-759E-4CF2-B6DE-BCFFF21E17A5}"/>
    <cellStyle name="Percentuale 43 3 6 2" xfId="49294" xr:uid="{03A4990B-0475-4097-AABB-D8F95605F668}"/>
    <cellStyle name="Percentuale 43 3 7" xfId="28944" xr:uid="{8FF5C8B8-68C3-40AE-B8AD-0416FCE7FC55}"/>
    <cellStyle name="Percentuale 43 3 8" xfId="28931" xr:uid="{1DE066C2-5D08-4EE7-A4BC-2551A95114CA}"/>
    <cellStyle name="Percentuale 43 4" xfId="2421" xr:uid="{00000000-0005-0000-0000-0000F3080000}"/>
    <cellStyle name="Percentuale 43 4 2" xfId="2422" xr:uid="{00000000-0005-0000-0000-0000F4080000}"/>
    <cellStyle name="Percentuale 43 4 2 2" xfId="9510" xr:uid="{C25D74B0-656F-4822-AA4D-D524AC648044}"/>
    <cellStyle name="Percentuale 43 4 2 2 2" xfId="28947" xr:uid="{3619F088-3A0C-4657-A070-539B197E7A8B}"/>
    <cellStyle name="Percentuale 43 4 2 3" xfId="17939" xr:uid="{7EC71244-E1BE-4569-B4FD-15525E6111D6}"/>
    <cellStyle name="Percentuale 43 4 2 3 2" xfId="28948" xr:uid="{A0AFF4B1-CEC0-4052-9A7F-9C42B51C4710}"/>
    <cellStyle name="Percentuale 43 4 2 4" xfId="28946" xr:uid="{AE997E4A-E93E-4276-9936-6D2661BECE62}"/>
    <cellStyle name="Percentuale 43 4 2 5" xfId="17549" xr:uid="{EB45C37B-07FA-4694-B3F2-4FCB2AE88B3D}"/>
    <cellStyle name="Percentuale 43 4 3" xfId="9511" xr:uid="{F21F420B-2993-4772-BAB7-0BE2F0946E33}"/>
    <cellStyle name="Percentuale 43 4 3 2" xfId="28949" xr:uid="{3C06E122-F58B-434F-BA8A-F87F1BBE34DF}"/>
    <cellStyle name="Percentuale 43 4 4" xfId="28950" xr:uid="{2B596D43-021B-4E54-BCB6-33F6C2A57C0F}"/>
    <cellStyle name="Percentuale 43 4 5" xfId="28951" xr:uid="{D0A9268A-630F-49D7-83FE-49CBCB014663}"/>
    <cellStyle name="Percentuale 43 4 5 2" xfId="49295" xr:uid="{C1570EDB-2A25-439E-AF41-3C5B6ADAE36B}"/>
    <cellStyle name="Percentuale 43 4 6" xfId="28952" xr:uid="{48339D6A-776A-4CD9-8ECE-DD1D5C24E416}"/>
    <cellStyle name="Percentuale 43 4 7" xfId="28945" xr:uid="{107E47EA-5CF6-4FB6-AD26-F105ABFC8A4A}"/>
    <cellStyle name="Percentuale 43 5" xfId="2423" xr:uid="{00000000-0005-0000-0000-0000F5080000}"/>
    <cellStyle name="Percentuale 43 5 2" xfId="28954" xr:uid="{F867D3E7-5961-4D5F-A8B8-336BB13A515B}"/>
    <cellStyle name="Percentuale 43 5 3" xfId="28955" xr:uid="{4F32DD1F-BBEF-42A7-AA7A-2D314DC72D87}"/>
    <cellStyle name="Percentuale 43 5 3 2" xfId="49296" xr:uid="{ADCD681C-DB6E-4E60-8C5D-175AB31EAEE9}"/>
    <cellStyle name="Percentuale 43 5 4" xfId="28956" xr:uid="{20FFD1D5-564A-4DA9-A5B2-4972BA86E717}"/>
    <cellStyle name="Percentuale 43 5 5" xfId="28953" xr:uid="{27EF5210-0355-4719-B42E-6CEA267942D2}"/>
    <cellStyle name="Percentuale 43 6" xfId="4421" xr:uid="{1AC9A355-302A-42B8-AD9B-00CCE092A1D8}"/>
    <cellStyle name="Percentuale 43 6 2" xfId="9848" xr:uid="{B6848323-F2EF-49E7-B81B-8B4F29CA4259}"/>
    <cellStyle name="Percentuale 43 6 3" xfId="28957" xr:uid="{98235501-5457-4AFB-944E-6700AF6DB657}"/>
    <cellStyle name="Percentuale 43 7" xfId="28958" xr:uid="{65A5471E-66F3-44C2-BE99-0913A88DA42F}"/>
    <cellStyle name="Percentuale 43 7 2" xfId="49297" xr:uid="{C8B6559E-EEBA-4F66-903F-157D53C75BD4}"/>
    <cellStyle name="Percentuale 43 8" xfId="28925" xr:uid="{9B3EE712-5270-4A8C-964B-5D569D90AE90}"/>
    <cellStyle name="Percentuale 44" xfId="1122" xr:uid="{00000000-0005-0000-0000-0000F6080000}"/>
    <cellStyle name="Percentuale 44 2" xfId="1123" xr:uid="{00000000-0005-0000-0000-0000F7080000}"/>
    <cellStyle name="Percentuale 44 2 2" xfId="4422" xr:uid="{FA9296BB-225F-4861-BCAB-C38637C1AF2B}"/>
    <cellStyle name="Percentuale 44 2 2 2" xfId="13600" xr:uid="{12566B8F-97F4-429D-B7C9-836A94197AAA}"/>
    <cellStyle name="Percentuale 44 2 2 3" xfId="28961" xr:uid="{F6FB0D4C-20AF-4034-9C24-A0FD16519800}"/>
    <cellStyle name="Percentuale 44 2 3" xfId="13338" xr:uid="{D2590FD4-C830-4F34-82F4-CF49C3D07B06}"/>
    <cellStyle name="Percentuale 44 2 3 2" xfId="28962" xr:uid="{77B9A58A-1ECF-469A-AF79-1C5242867538}"/>
    <cellStyle name="Percentuale 44 2 4" xfId="28963" xr:uid="{97AF2C12-032B-4B3F-AE80-9CDB00C9640C}"/>
    <cellStyle name="Percentuale 44 2 4 2" xfId="49298" xr:uid="{E2296528-9B07-4D36-8B8A-DB46308BC9A7}"/>
    <cellStyle name="Percentuale 44 2 5" xfId="28964" xr:uid="{5958D763-F502-47E6-8899-59D65C22D420}"/>
    <cellStyle name="Percentuale 44 2 6" xfId="28960" xr:uid="{A056B6E2-FFB5-434E-AEEC-A791D752A221}"/>
    <cellStyle name="Percentuale 44 3" xfId="1124" xr:uid="{00000000-0005-0000-0000-0000F8080000}"/>
    <cellStyle name="Percentuale 44 3 2" xfId="1125" xr:uid="{00000000-0005-0000-0000-0000F9080000}"/>
    <cellStyle name="Percentuale 44 3 2 2" xfId="2424" xr:uid="{00000000-0005-0000-0000-0000FA080000}"/>
    <cellStyle name="Percentuale 44 3 2 2 2" xfId="28968" xr:uid="{1F096643-775A-4484-B953-5C36312863DC}"/>
    <cellStyle name="Percentuale 44 3 2 2 3" xfId="28967" xr:uid="{7CECDDF6-71FF-4243-8D34-4CF61C388C3D}"/>
    <cellStyle name="Percentuale 44 3 2 3" xfId="8155" xr:uid="{A81729E4-D663-44D6-8211-4AB85A0A7D66}"/>
    <cellStyle name="Percentuale 44 3 2 3 2" xfId="14154" xr:uid="{A52435EA-D351-4086-A113-60A9A733D046}"/>
    <cellStyle name="Percentuale 44 3 2 3 3" xfId="28969" xr:uid="{162A1A41-6777-4F57-888C-70A6C7F8CA56}"/>
    <cellStyle name="Percentuale 44 3 2 3 4" xfId="49299" xr:uid="{2E20160C-7AA0-4BB7-8A29-9675C303E841}"/>
    <cellStyle name="Percentuale 44 3 2 4" xfId="28970" xr:uid="{5963C464-2C73-4A0C-99E6-BD4F2BD2C5B5}"/>
    <cellStyle name="Percentuale 44 3 2 5" xfId="28966" xr:uid="{CB55F155-7282-4A9E-81C3-6659A99E98DD}"/>
    <cellStyle name="Percentuale 44 3 3" xfId="4423" xr:uid="{573F4939-57B8-4001-9282-07477ADACEF1}"/>
    <cellStyle name="Percentuale 44 3 3 2" xfId="9512" xr:uid="{A36DD4B0-7718-4B91-A208-03FC97AD5FEC}"/>
    <cellStyle name="Percentuale 44 3 3 2 2" xfId="28972" xr:uid="{353712C6-903D-4DBA-97C7-110368BD1DC3}"/>
    <cellStyle name="Percentuale 44 3 3 3" xfId="28973" xr:uid="{C639D24E-8F6F-407F-AC81-A7479FCFE1EF}"/>
    <cellStyle name="Percentuale 44 3 3 4" xfId="28974" xr:uid="{AE7C28B3-3120-49D8-92AE-7828D214CA05}"/>
    <cellStyle name="Percentuale 44 3 3 4 2" xfId="49300" xr:uid="{4357D388-3F82-47CE-82F6-A63FCF726F48}"/>
    <cellStyle name="Percentuale 44 3 3 5" xfId="28971" xr:uid="{DD488115-107F-4B76-BEC9-22CCCDA2E1B3}"/>
    <cellStyle name="Percentuale 44 3 4" xfId="4424" xr:uid="{CFBD84A9-81FD-466A-A4BE-3721A000A152}"/>
    <cellStyle name="Percentuale 44 3 4 2" xfId="13815" xr:uid="{431F8579-CBB5-486F-90AA-D764B7CED63E}"/>
    <cellStyle name="Percentuale 44 3 4 3" xfId="28975" xr:uid="{050AB8C5-407E-4780-AF32-7E19749B49B3}"/>
    <cellStyle name="Percentuale 44 3 5" xfId="11522" xr:uid="{A9CFD35E-15C2-47B2-A2E2-D996AD336C71}"/>
    <cellStyle name="Percentuale 44 3 5 2" xfId="28976" xr:uid="{3FB9DCDB-4CD3-425C-A30C-B450F231A378}"/>
    <cellStyle name="Percentuale 44 3 6" xfId="28977" xr:uid="{82CF24F4-3948-47D4-AABA-2051B1126C14}"/>
    <cellStyle name="Percentuale 44 3 6 2" xfId="49301" xr:uid="{60246CD5-A7F3-40ED-883B-0E34300404A4}"/>
    <cellStyle name="Percentuale 44 3 7" xfId="28978" xr:uid="{420901C9-5EC4-4A5E-A754-B581E23C843C}"/>
    <cellStyle name="Percentuale 44 3 8" xfId="28965" xr:uid="{0BD1D143-CDB5-470E-A404-3BF743921CF9}"/>
    <cellStyle name="Percentuale 44 4" xfId="2425" xr:uid="{00000000-0005-0000-0000-0000FB080000}"/>
    <cellStyle name="Percentuale 44 4 2" xfId="2426" xr:uid="{00000000-0005-0000-0000-0000FC080000}"/>
    <cellStyle name="Percentuale 44 4 2 2" xfId="9513" xr:uid="{6E856DCE-DF4D-4E32-B3F1-F9F54D1B63AF}"/>
    <cellStyle name="Percentuale 44 4 2 2 2" xfId="28981" xr:uid="{10B7E762-C5C0-4B33-AD81-1B4672E616B9}"/>
    <cellStyle name="Percentuale 44 4 2 3" xfId="17940" xr:uid="{FBF63958-D438-4C18-AFCC-133F08531614}"/>
    <cellStyle name="Percentuale 44 4 2 3 2" xfId="28982" xr:uid="{1C3F75E7-806D-41C5-B599-8EB5C3FE97F6}"/>
    <cellStyle name="Percentuale 44 4 2 4" xfId="28980" xr:uid="{61E8D2BA-D332-4B9F-90FB-8788ADFDF109}"/>
    <cellStyle name="Percentuale 44 4 2 5" xfId="17550" xr:uid="{43EE4076-0646-4F03-BF4A-2DB77F3D01DC}"/>
    <cellStyle name="Percentuale 44 4 3" xfId="9514" xr:uid="{D367507E-742E-4B01-9662-CDD4A5AA4C8E}"/>
    <cellStyle name="Percentuale 44 4 3 2" xfId="28983" xr:uid="{EF9EC3F9-4444-4D24-84CA-E65B04871649}"/>
    <cellStyle name="Percentuale 44 4 4" xfId="28984" xr:uid="{374B702D-C618-404F-A1B8-53F6DA58A5ED}"/>
    <cellStyle name="Percentuale 44 4 5" xfId="28985" xr:uid="{9511A157-8424-4338-B520-2A6D26AE97A0}"/>
    <cellStyle name="Percentuale 44 4 5 2" xfId="49302" xr:uid="{A34B4B72-F5A6-470A-A854-39CE5B97072A}"/>
    <cellStyle name="Percentuale 44 4 6" xfId="28986" xr:uid="{114D7FCE-07D3-4D7E-99CC-6C5C578CEC53}"/>
    <cellStyle name="Percentuale 44 4 7" xfId="28979" xr:uid="{394A0CE2-6A9D-47F2-8652-958224F1CE66}"/>
    <cellStyle name="Percentuale 44 5" xfId="2427" xr:uid="{00000000-0005-0000-0000-0000FD080000}"/>
    <cellStyle name="Percentuale 44 5 2" xfId="28988" xr:uid="{7DFA4799-B55C-4015-B187-7C939673FCDF}"/>
    <cellStyle name="Percentuale 44 5 3" xfId="28989" xr:uid="{CD0EE146-68D4-4D63-97A1-C02B059B34E7}"/>
    <cellStyle name="Percentuale 44 5 3 2" xfId="49303" xr:uid="{5C140374-9083-4D2E-BBF8-2DA1A2EE5401}"/>
    <cellStyle name="Percentuale 44 5 4" xfId="28990" xr:uid="{BEC68C43-38E0-4634-AD94-7260402C2F0F}"/>
    <cellStyle name="Percentuale 44 5 5" xfId="28987" xr:uid="{369EB4B4-A92D-4409-8D53-67D8A5E9DB15}"/>
    <cellStyle name="Percentuale 44 6" xfId="4425" xr:uid="{A51BA692-0198-4FA5-AFCB-6830824D66CE}"/>
    <cellStyle name="Percentuale 44 6 2" xfId="9849" xr:uid="{1670640D-4AEA-426D-B22B-F5B060267BC2}"/>
    <cellStyle name="Percentuale 44 6 3" xfId="28991" xr:uid="{255098C2-2868-4391-81F4-60FD5BFE4771}"/>
    <cellStyle name="Percentuale 44 7" xfId="28992" xr:uid="{11C58B85-3D39-4183-A93A-9F698A4D4941}"/>
    <cellStyle name="Percentuale 44 7 2" xfId="49304" xr:uid="{DC743BFA-EDAF-426F-A9A0-F6628091185E}"/>
    <cellStyle name="Percentuale 44 8" xfId="28959" xr:uid="{D805AB9C-1D48-4264-B14C-95A8B86E89DC}"/>
    <cellStyle name="Percentuale 45" xfId="1126" xr:uid="{00000000-0005-0000-0000-0000FE080000}"/>
    <cellStyle name="Percentuale 45 2" xfId="1127" xr:uid="{00000000-0005-0000-0000-0000FF080000}"/>
    <cellStyle name="Percentuale 45 2 2" xfId="4426" xr:uid="{5EFB8B56-BEDA-4B2C-A9C1-11E8A56C8AE0}"/>
    <cellStyle name="Percentuale 45 2 2 2" xfId="13601" xr:uid="{BB9B500D-C14E-4A55-88CA-AE50D1ACB064}"/>
    <cellStyle name="Percentuale 45 2 2 3" xfId="28995" xr:uid="{4E22C047-F7DD-4534-8248-B8EDAB555F97}"/>
    <cellStyle name="Percentuale 45 2 3" xfId="13339" xr:uid="{E325635C-99F5-4E0F-9013-66462233C215}"/>
    <cellStyle name="Percentuale 45 2 3 2" xfId="28996" xr:uid="{F4D2D5CE-960E-42F5-A3BA-AC3BEA6FE4C3}"/>
    <cellStyle name="Percentuale 45 2 4" xfId="28997" xr:uid="{036DC35E-03CD-4DC8-8BEF-72278D33EA93}"/>
    <cellStyle name="Percentuale 45 2 4 2" xfId="49305" xr:uid="{6E83889C-2E20-49FD-9547-83481E978D16}"/>
    <cellStyle name="Percentuale 45 2 5" xfId="28998" xr:uid="{E1B4BCDF-4E36-4858-9E16-14C8CEBDD5AE}"/>
    <cellStyle name="Percentuale 45 2 6" xfId="28994" xr:uid="{461D1950-A9CF-41E1-894B-794ACEDB113F}"/>
    <cellStyle name="Percentuale 45 3" xfId="1128" xr:uid="{00000000-0005-0000-0000-000000090000}"/>
    <cellStyle name="Percentuale 45 3 2" xfId="1129" xr:uid="{00000000-0005-0000-0000-000001090000}"/>
    <cellStyle name="Percentuale 45 3 2 2" xfId="2428" xr:uid="{00000000-0005-0000-0000-000002090000}"/>
    <cellStyle name="Percentuale 45 3 2 2 2" xfId="29002" xr:uid="{8F19DE62-9470-4C13-84A8-3B4B9503F86F}"/>
    <cellStyle name="Percentuale 45 3 2 2 3" xfId="29001" xr:uid="{BED0749D-EEB2-49B4-AC2B-D27B088F20F3}"/>
    <cellStyle name="Percentuale 45 3 2 3" xfId="8156" xr:uid="{1BBC686A-6570-42E5-80E8-C385B807BB83}"/>
    <cellStyle name="Percentuale 45 3 2 3 2" xfId="14155" xr:uid="{8A5CCF74-F7C2-4B63-83CF-D69A8486B5E1}"/>
    <cellStyle name="Percentuale 45 3 2 3 3" xfId="29003" xr:uid="{F18897B7-95D5-4964-A394-FE9F3A06D9B7}"/>
    <cellStyle name="Percentuale 45 3 2 3 4" xfId="49306" xr:uid="{F3821A04-77E8-44E9-AF82-15285EEAB69E}"/>
    <cellStyle name="Percentuale 45 3 2 4" xfId="29004" xr:uid="{8DE56AAA-C4EF-4EE8-B239-29B6C177152C}"/>
    <cellStyle name="Percentuale 45 3 2 5" xfId="29000" xr:uid="{34975ACF-89B8-4E2E-886A-738008DCF635}"/>
    <cellStyle name="Percentuale 45 3 3" xfId="4427" xr:uid="{56321FF6-9BB8-4130-85CB-FF1C8C82BD83}"/>
    <cellStyle name="Percentuale 45 3 3 2" xfId="9515" xr:uid="{C3CF7021-149F-4518-A716-058329C0E0D5}"/>
    <cellStyle name="Percentuale 45 3 3 2 2" xfId="29006" xr:uid="{6E2BBCB6-D2CC-48D7-804C-CF87EF113421}"/>
    <cellStyle name="Percentuale 45 3 3 3" xfId="29007" xr:uid="{E5D40E77-A63A-41D0-B1B5-812DF12308EF}"/>
    <cellStyle name="Percentuale 45 3 3 4" xfId="29008" xr:uid="{A6C055E2-C5BD-4561-82BF-9B33468674F0}"/>
    <cellStyle name="Percentuale 45 3 3 4 2" xfId="49307" xr:uid="{5C576F15-E77F-49FD-B63C-0962767111C1}"/>
    <cellStyle name="Percentuale 45 3 3 5" xfId="29005" xr:uid="{7761B5F9-9C76-4465-B57C-F84B9D3C5BCB}"/>
    <cellStyle name="Percentuale 45 3 4" xfId="4428" xr:uid="{5BB8571F-E019-4ECA-84AB-DB50FD8C7ED6}"/>
    <cellStyle name="Percentuale 45 3 4 2" xfId="13816" xr:uid="{C76B0E1C-EBF3-4307-AE8A-F61EB2A4ADE4}"/>
    <cellStyle name="Percentuale 45 3 4 3" xfId="29009" xr:uid="{E14642B6-A061-45C5-848A-A008A22AB45A}"/>
    <cellStyle name="Percentuale 45 3 5" xfId="11203" xr:uid="{B0DE83D3-31FE-4280-AC6A-B86AEE7F302F}"/>
    <cellStyle name="Percentuale 45 3 5 2" xfId="29010" xr:uid="{49C57C73-0895-4703-A8B0-244B3CABD844}"/>
    <cellStyle name="Percentuale 45 3 6" xfId="29011" xr:uid="{AC79D013-F582-4D51-ADFB-952FF57E1A13}"/>
    <cellStyle name="Percentuale 45 3 6 2" xfId="49308" xr:uid="{F5F8B432-367E-432B-A6BD-E3EB241051CD}"/>
    <cellStyle name="Percentuale 45 3 7" xfId="29012" xr:uid="{60FB4CEA-1028-4E6B-9A5A-CB224EED81DF}"/>
    <cellStyle name="Percentuale 45 3 8" xfId="28999" xr:uid="{1E8F2668-4492-44DF-8F19-D3CE86E84FD0}"/>
    <cellStyle name="Percentuale 45 4" xfId="2429" xr:uid="{00000000-0005-0000-0000-000003090000}"/>
    <cellStyle name="Percentuale 45 4 2" xfId="2430" xr:uid="{00000000-0005-0000-0000-000004090000}"/>
    <cellStyle name="Percentuale 45 4 2 2" xfId="9516" xr:uid="{F6BF10AF-C135-47EF-8EA0-C9278AF09777}"/>
    <cellStyle name="Percentuale 45 4 2 2 2" xfId="29015" xr:uid="{846E4EC1-382B-4931-A732-3E1DDA4F82D2}"/>
    <cellStyle name="Percentuale 45 4 2 3" xfId="17941" xr:uid="{3BDFFACA-CFBB-486A-8301-A6BC2BAAE187}"/>
    <cellStyle name="Percentuale 45 4 2 3 2" xfId="29016" xr:uid="{148A0800-A217-465C-93AF-77C4F985589B}"/>
    <cellStyle name="Percentuale 45 4 2 4" xfId="29014" xr:uid="{CF9C8E53-32CF-4F21-A758-2E4266EA4A2F}"/>
    <cellStyle name="Percentuale 45 4 2 5" xfId="17551" xr:uid="{7DBAD6EC-E9D5-4EE1-BBD9-D76E215D4050}"/>
    <cellStyle name="Percentuale 45 4 3" xfId="9517" xr:uid="{E803BDBB-8E14-4956-9C10-C7059F2E4A0E}"/>
    <cellStyle name="Percentuale 45 4 3 2" xfId="29017" xr:uid="{B9F41D8E-4127-48DC-87F3-BB79D3751539}"/>
    <cellStyle name="Percentuale 45 4 4" xfId="29018" xr:uid="{3D5DAE6A-5BF5-41C5-AB21-78FF860D837B}"/>
    <cellStyle name="Percentuale 45 4 5" xfId="29019" xr:uid="{EE15FEAB-5212-4257-BD9A-C66EFD1142C9}"/>
    <cellStyle name="Percentuale 45 4 5 2" xfId="49309" xr:uid="{16BEAC75-5582-4BF9-8CB6-02A0375976EF}"/>
    <cellStyle name="Percentuale 45 4 6" xfId="29020" xr:uid="{DF6C19C7-06A7-4095-8C9C-C0E6DAE79E7B}"/>
    <cellStyle name="Percentuale 45 4 7" xfId="29013" xr:uid="{45961DFB-DE3C-4E9F-A981-05592D23C5E3}"/>
    <cellStyle name="Percentuale 45 5" xfId="2431" xr:uid="{00000000-0005-0000-0000-000005090000}"/>
    <cellStyle name="Percentuale 45 5 2" xfId="29022" xr:uid="{DA7C6D52-2E25-4141-9E9B-B162C0610722}"/>
    <cellStyle name="Percentuale 45 5 3" xfId="29023" xr:uid="{DA3F05DF-E2FB-45D0-93C2-B7B5297AEAC7}"/>
    <cellStyle name="Percentuale 45 5 3 2" xfId="49310" xr:uid="{C848FBD1-DAA3-4BE1-839B-DC799799784B}"/>
    <cellStyle name="Percentuale 45 5 4" xfId="29024" xr:uid="{DAE1852D-ABB9-4AAC-A398-DDBC1A1560CC}"/>
    <cellStyle name="Percentuale 45 5 5" xfId="29021" xr:uid="{24AE38BD-BF36-4D41-961E-073019DBE7FC}"/>
    <cellStyle name="Percentuale 45 6" xfId="4429" xr:uid="{6B6FC2EC-4E3B-4694-87EE-C57F7995C6E3}"/>
    <cellStyle name="Percentuale 45 6 2" xfId="9850" xr:uid="{99D2BCFC-76F7-47D2-A95F-73C0DD8DADF6}"/>
    <cellStyle name="Percentuale 45 6 3" xfId="29025" xr:uid="{1C96D005-3407-4A50-94DA-526004DAE926}"/>
    <cellStyle name="Percentuale 45 7" xfId="29026" xr:uid="{D259D6ED-AF11-43A1-8230-9482C7BDBBAB}"/>
    <cellStyle name="Percentuale 45 7 2" xfId="49311" xr:uid="{B110F94C-BA82-42E1-AE0D-9914318DD1B8}"/>
    <cellStyle name="Percentuale 45 8" xfId="28993" xr:uid="{C5E1126F-E41D-4DFE-8707-1FF0D0CE06BE}"/>
    <cellStyle name="Percentuale 46" xfId="1130" xr:uid="{00000000-0005-0000-0000-000006090000}"/>
    <cellStyle name="Percentuale 46 2" xfId="1131" xr:uid="{00000000-0005-0000-0000-000007090000}"/>
    <cellStyle name="Percentuale 46 2 2" xfId="4430" xr:uid="{760EA28B-5463-43A2-ABD6-FE37E8F0006C}"/>
    <cellStyle name="Percentuale 46 2 2 2" xfId="13602" xr:uid="{BF1F56AC-8CE0-46A7-8AD5-C7E8E8117D46}"/>
    <cellStyle name="Percentuale 46 2 2 3" xfId="29029" xr:uid="{3E2F591A-D073-4982-A436-34C1C425CD34}"/>
    <cellStyle name="Percentuale 46 2 3" xfId="13340" xr:uid="{9DC5A05E-769A-4B10-B161-06CB4D00E97D}"/>
    <cellStyle name="Percentuale 46 2 3 2" xfId="29030" xr:uid="{A8098211-73D8-45C8-90B5-0AE4E365AC5C}"/>
    <cellStyle name="Percentuale 46 2 4" xfId="29031" xr:uid="{681107C9-00FD-42AE-A584-690B426CF108}"/>
    <cellStyle name="Percentuale 46 2 4 2" xfId="49312" xr:uid="{5EDC36EA-F2DD-495E-BB6D-106475008167}"/>
    <cellStyle name="Percentuale 46 2 5" xfId="29032" xr:uid="{62CBD09D-F1F1-43CA-B90B-210381D0C8B0}"/>
    <cellStyle name="Percentuale 46 2 6" xfId="29028" xr:uid="{25B5B29B-D385-4F96-8160-57AA7A9F66C2}"/>
    <cellStyle name="Percentuale 46 3" xfId="1132" xr:uid="{00000000-0005-0000-0000-000008090000}"/>
    <cellStyle name="Percentuale 46 3 2" xfId="1133" xr:uid="{00000000-0005-0000-0000-000009090000}"/>
    <cellStyle name="Percentuale 46 3 2 2" xfId="2432" xr:uid="{00000000-0005-0000-0000-00000A090000}"/>
    <cellStyle name="Percentuale 46 3 2 2 2" xfId="29036" xr:uid="{6AC4E7E6-1D06-4D7D-943F-62081D02B527}"/>
    <cellStyle name="Percentuale 46 3 2 2 3" xfId="29035" xr:uid="{D0D798A3-EA80-4EF0-B096-DAECF6F5F75A}"/>
    <cellStyle name="Percentuale 46 3 2 3" xfId="8157" xr:uid="{5A07E548-3E99-4909-98BD-7FF2587D498A}"/>
    <cellStyle name="Percentuale 46 3 2 3 2" xfId="14156" xr:uid="{2DF274B7-FAAE-4EED-A404-86C35FB87A43}"/>
    <cellStyle name="Percentuale 46 3 2 3 3" xfId="29037" xr:uid="{A0F10008-F805-4BD7-90B1-84EDB04078B6}"/>
    <cellStyle name="Percentuale 46 3 2 3 4" xfId="49313" xr:uid="{73A8929A-72DF-4070-808E-645C7B278805}"/>
    <cellStyle name="Percentuale 46 3 2 4" xfId="29038" xr:uid="{B386BEC3-BC2E-4A87-BA01-9C08A4BEC02B}"/>
    <cellStyle name="Percentuale 46 3 2 5" xfId="29034" xr:uid="{A8A74470-BB61-4673-973E-85260001EA18}"/>
    <cellStyle name="Percentuale 46 3 3" xfId="4431" xr:uid="{DC23AB04-9F3F-424C-8D3E-403E4A7BB693}"/>
    <cellStyle name="Percentuale 46 3 3 2" xfId="9518" xr:uid="{E2FD4E03-6418-4B41-8B6F-FDFF02B1032A}"/>
    <cellStyle name="Percentuale 46 3 3 2 2" xfId="29040" xr:uid="{CF083F71-C218-477E-AC31-6A414D5C71EB}"/>
    <cellStyle name="Percentuale 46 3 3 3" xfId="29041" xr:uid="{B2135A4F-739F-4924-82E6-093A583EF4C4}"/>
    <cellStyle name="Percentuale 46 3 3 4" xfId="29042" xr:uid="{E979CFD3-8EF3-4979-9809-E9E8E90B562D}"/>
    <cellStyle name="Percentuale 46 3 3 4 2" xfId="49314" xr:uid="{B1091AB9-ACE2-44D6-8E12-85A9CC12720D}"/>
    <cellStyle name="Percentuale 46 3 3 5" xfId="29039" xr:uid="{BBA112A8-FA49-4573-88BE-672E0EDCF09A}"/>
    <cellStyle name="Percentuale 46 3 4" xfId="4432" xr:uid="{30F39DA6-2623-4291-8B3B-B27974246976}"/>
    <cellStyle name="Percentuale 46 3 4 2" xfId="13817" xr:uid="{88DE6C24-1A36-4F14-962B-E526A5BF97BC}"/>
    <cellStyle name="Percentuale 46 3 4 3" xfId="29043" xr:uid="{48C4CECC-E2ED-4529-8AB6-99D827863FAE}"/>
    <cellStyle name="Percentuale 46 3 5" xfId="11521" xr:uid="{F65B4C11-2E67-42AD-A96E-FB0ECACCC6A7}"/>
    <cellStyle name="Percentuale 46 3 5 2" xfId="29044" xr:uid="{E40B4FC0-AF3C-44D9-B87B-39791F9A83C5}"/>
    <cellStyle name="Percentuale 46 3 6" xfId="29045" xr:uid="{EB3C09A5-0EBA-4EC2-9AE0-3D0AC1FD7CC0}"/>
    <cellStyle name="Percentuale 46 3 6 2" xfId="49315" xr:uid="{6B6E5AF9-91CD-4E34-A2AE-3054A73679B0}"/>
    <cellStyle name="Percentuale 46 3 7" xfId="29046" xr:uid="{A39333CD-852D-439C-B8E7-2BFC9C036A73}"/>
    <cellStyle name="Percentuale 46 3 8" xfId="29033" xr:uid="{7A3A053E-136D-4491-8560-2E05D4BC8BD5}"/>
    <cellStyle name="Percentuale 46 4" xfId="2433" xr:uid="{00000000-0005-0000-0000-00000B090000}"/>
    <cellStyle name="Percentuale 46 4 2" xfId="2434" xr:uid="{00000000-0005-0000-0000-00000C090000}"/>
    <cellStyle name="Percentuale 46 4 2 2" xfId="9519" xr:uid="{526B5DA0-9640-43C2-A1F9-7352F94DF235}"/>
    <cellStyle name="Percentuale 46 4 2 2 2" xfId="29049" xr:uid="{AE91218C-528C-4480-A443-C742D7639698}"/>
    <cellStyle name="Percentuale 46 4 2 3" xfId="17942" xr:uid="{03750392-5220-4140-A2F7-8A64196508CF}"/>
    <cellStyle name="Percentuale 46 4 2 3 2" xfId="29050" xr:uid="{A5937DD5-A521-4DC2-95F2-711F6896B2CD}"/>
    <cellStyle name="Percentuale 46 4 2 4" xfId="29048" xr:uid="{EF981987-D5E0-46F2-AB07-41AAA7EFD94A}"/>
    <cellStyle name="Percentuale 46 4 2 5" xfId="17552" xr:uid="{96BF313B-E5BC-467E-A4DB-52FE10B3FBDC}"/>
    <cellStyle name="Percentuale 46 4 3" xfId="9520" xr:uid="{5B0D6300-BFA7-4731-A757-30B25F846725}"/>
    <cellStyle name="Percentuale 46 4 3 2" xfId="29051" xr:uid="{C6C8EE6E-48CD-46E7-A765-D2996C8C57FE}"/>
    <cellStyle name="Percentuale 46 4 4" xfId="29052" xr:uid="{269786D8-685A-42EA-A595-952800A9AC53}"/>
    <cellStyle name="Percentuale 46 4 5" xfId="29053" xr:uid="{01829D03-22FC-44CC-937B-79B0837CD475}"/>
    <cellStyle name="Percentuale 46 4 5 2" xfId="49316" xr:uid="{4F5FA041-DEA8-4C88-AC4E-21556210D982}"/>
    <cellStyle name="Percentuale 46 4 6" xfId="29054" xr:uid="{D6DBB4AB-9E75-425C-9DEA-24D2CA5E7FF2}"/>
    <cellStyle name="Percentuale 46 4 7" xfId="29047" xr:uid="{5632EDA8-CDBC-4E9B-A1FC-EEC0FE0A543A}"/>
    <cellStyle name="Percentuale 46 5" xfId="2435" xr:uid="{00000000-0005-0000-0000-00000D090000}"/>
    <cellStyle name="Percentuale 46 5 2" xfId="29056" xr:uid="{34F62755-4BA7-4ACF-A557-682D5423D5F8}"/>
    <cellStyle name="Percentuale 46 5 3" xfId="29057" xr:uid="{4D033A61-94AD-4E4B-8C06-08C775A2387B}"/>
    <cellStyle name="Percentuale 46 5 3 2" xfId="49317" xr:uid="{B4963436-A30D-44FD-885C-765E4211B55E}"/>
    <cellStyle name="Percentuale 46 5 4" xfId="29058" xr:uid="{1C1F6DE9-B9ED-4916-8408-FBEB49A8B411}"/>
    <cellStyle name="Percentuale 46 5 5" xfId="29055" xr:uid="{97CC3DE1-48B5-4CB7-8F22-12BB9E964919}"/>
    <cellStyle name="Percentuale 46 6" xfId="4433" xr:uid="{096CDA77-F88D-4010-9CF9-5C6A606516B0}"/>
    <cellStyle name="Percentuale 46 6 2" xfId="9851" xr:uid="{4BE1618F-8547-46F8-9C92-F5AC0D471D55}"/>
    <cellStyle name="Percentuale 46 6 3" xfId="29059" xr:uid="{F623EE93-D55E-46CB-9D5C-07A8A64BCDF0}"/>
    <cellStyle name="Percentuale 46 7" xfId="29060" xr:uid="{2FA2AD59-8910-4B43-9B05-AA19110A38D6}"/>
    <cellStyle name="Percentuale 46 7 2" xfId="49318" xr:uid="{20E2CCEC-7BB1-47B1-881E-D65C48E116E5}"/>
    <cellStyle name="Percentuale 46 8" xfId="29027" xr:uid="{81D86B5C-9D90-44D3-8678-E651DB07D3D8}"/>
    <cellStyle name="Percentuale 47" xfId="1134" xr:uid="{00000000-0005-0000-0000-00000E090000}"/>
    <cellStyle name="Percentuale 47 2" xfId="1135" xr:uid="{00000000-0005-0000-0000-00000F090000}"/>
    <cellStyle name="Percentuale 47 2 2" xfId="4434" xr:uid="{B094009C-E68A-4037-9076-C8AAAED39F30}"/>
    <cellStyle name="Percentuale 47 2 2 2" xfId="13603" xr:uid="{1C3FC2CA-6DE6-4DAB-BE0D-19CF6158B7EA}"/>
    <cellStyle name="Percentuale 47 2 2 3" xfId="29063" xr:uid="{3C85D6BB-0887-4EF3-A881-D411AB7DCC03}"/>
    <cellStyle name="Percentuale 47 2 3" xfId="13341" xr:uid="{DD27CBC5-33B6-445C-95EF-2A75C12F9EFF}"/>
    <cellStyle name="Percentuale 47 2 3 2" xfId="29064" xr:uid="{52933239-A5FD-4044-825C-1CF80F77329A}"/>
    <cellStyle name="Percentuale 47 2 4" xfId="29065" xr:uid="{F16A62D0-F35A-47C0-B8DD-8A391093359F}"/>
    <cellStyle name="Percentuale 47 2 4 2" xfId="49319" xr:uid="{74FBB63D-FE85-4644-8291-C3E83A5459F1}"/>
    <cellStyle name="Percentuale 47 2 5" xfId="29066" xr:uid="{AC211E2E-04D8-4521-8C50-7E31AF7C47FC}"/>
    <cellStyle name="Percentuale 47 2 6" xfId="29062" xr:uid="{ACE5EDAC-BCC1-42E8-9C09-66FF6F1F1986}"/>
    <cellStyle name="Percentuale 47 3" xfId="1136" xr:uid="{00000000-0005-0000-0000-000010090000}"/>
    <cellStyle name="Percentuale 47 3 2" xfId="1137" xr:uid="{00000000-0005-0000-0000-000011090000}"/>
    <cellStyle name="Percentuale 47 3 2 2" xfId="2436" xr:uid="{00000000-0005-0000-0000-000012090000}"/>
    <cellStyle name="Percentuale 47 3 2 2 2" xfId="29070" xr:uid="{F9928B33-E390-4946-8628-C87C3FD7E0D9}"/>
    <cellStyle name="Percentuale 47 3 2 2 3" xfId="29069" xr:uid="{F9EA3678-4580-4A87-8CF4-C22FD4C0876B}"/>
    <cellStyle name="Percentuale 47 3 2 3" xfId="8158" xr:uid="{9E8FE9F2-76D2-46BE-B712-5A32D68A0C2D}"/>
    <cellStyle name="Percentuale 47 3 2 3 2" xfId="14157" xr:uid="{F7EB08EF-D1AC-4981-9CC7-48D2DE3F6FA5}"/>
    <cellStyle name="Percentuale 47 3 2 3 3" xfId="29071" xr:uid="{CEBB26A3-680B-47CA-A9F5-D208D4B02274}"/>
    <cellStyle name="Percentuale 47 3 2 3 4" xfId="49320" xr:uid="{C73714B9-5219-41A5-9605-DF283308B470}"/>
    <cellStyle name="Percentuale 47 3 2 4" xfId="29072" xr:uid="{FDBCA576-FF31-42FD-81F3-BDB5C17E9F6B}"/>
    <cellStyle name="Percentuale 47 3 2 5" xfId="29068" xr:uid="{99CEC83B-BA01-4FA9-B386-900F02BCBA91}"/>
    <cellStyle name="Percentuale 47 3 3" xfId="4435" xr:uid="{F022C333-ADCA-425B-B780-900E1C5D78B0}"/>
    <cellStyle name="Percentuale 47 3 3 2" xfId="9521" xr:uid="{357FEDB5-7D90-45F3-8901-D1FAF27F7957}"/>
    <cellStyle name="Percentuale 47 3 3 2 2" xfId="29074" xr:uid="{AC4B5F5D-045A-4E0A-ADF9-3C9EE695A355}"/>
    <cellStyle name="Percentuale 47 3 3 3" xfId="29075" xr:uid="{0EB8A82E-60B0-4A96-BE0D-5DD97BED703B}"/>
    <cellStyle name="Percentuale 47 3 3 4" xfId="29076" xr:uid="{ABE74CED-2C51-4CD4-9592-22CAAF846D63}"/>
    <cellStyle name="Percentuale 47 3 3 4 2" xfId="49321" xr:uid="{543FB6DC-1E50-434D-B5EC-B238BEB8296B}"/>
    <cellStyle name="Percentuale 47 3 3 5" xfId="29073" xr:uid="{37BC65B4-2289-490A-9C9F-BF50B4F97272}"/>
    <cellStyle name="Percentuale 47 3 4" xfId="4436" xr:uid="{AF0E532D-853F-4522-A12D-E68A9EB97769}"/>
    <cellStyle name="Percentuale 47 3 4 2" xfId="13818" xr:uid="{5A10E945-E278-44E4-8F06-E79D1EA3E4C5}"/>
    <cellStyle name="Percentuale 47 3 4 3" xfId="29077" xr:uid="{B09703DC-63A0-4772-8489-4669EFC5BE81}"/>
    <cellStyle name="Percentuale 47 3 5" xfId="11166" xr:uid="{9D4A0221-A6EC-447F-B906-5384981FBE83}"/>
    <cellStyle name="Percentuale 47 3 5 2" xfId="29078" xr:uid="{D2AC110F-C783-452A-8C11-93E48F001491}"/>
    <cellStyle name="Percentuale 47 3 6" xfId="29079" xr:uid="{60C396E8-B0AB-48A9-B1F4-447ED68C8748}"/>
    <cellStyle name="Percentuale 47 3 6 2" xfId="49322" xr:uid="{5E17BD42-FAD2-4FB5-869A-60456C2B18F0}"/>
    <cellStyle name="Percentuale 47 3 7" xfId="29080" xr:uid="{1FAC1BBA-51BE-4CA8-AF5D-D1014C9E7463}"/>
    <cellStyle name="Percentuale 47 3 8" xfId="29067" xr:uid="{1982E6D7-634B-4AA2-8182-35449038C836}"/>
    <cellStyle name="Percentuale 47 4" xfId="2437" xr:uid="{00000000-0005-0000-0000-000013090000}"/>
    <cellStyle name="Percentuale 47 4 2" xfId="2438" xr:uid="{00000000-0005-0000-0000-000014090000}"/>
    <cellStyle name="Percentuale 47 4 2 2" xfId="9522" xr:uid="{AE46DECF-E2DE-4D22-B852-8B24F62A2310}"/>
    <cellStyle name="Percentuale 47 4 2 2 2" xfId="29083" xr:uid="{63855FA0-DB4B-47BB-9ADB-F23DB56D557B}"/>
    <cellStyle name="Percentuale 47 4 2 3" xfId="17943" xr:uid="{EF531589-7D34-48FD-96E0-032A630CAB25}"/>
    <cellStyle name="Percentuale 47 4 2 3 2" xfId="29084" xr:uid="{1CF2EC0A-FF12-4061-BD8D-46EC567001D4}"/>
    <cellStyle name="Percentuale 47 4 2 4" xfId="29082" xr:uid="{B3E584D4-64A4-41D8-A533-5DDD17E441CF}"/>
    <cellStyle name="Percentuale 47 4 2 5" xfId="17553" xr:uid="{41E0B2B7-C126-458E-8A21-D5CF8E67C878}"/>
    <cellStyle name="Percentuale 47 4 3" xfId="9523" xr:uid="{FE240EAD-E656-4CB2-87B5-5BBC10DA87A0}"/>
    <cellStyle name="Percentuale 47 4 3 2" xfId="29085" xr:uid="{D943FF66-B037-4E2E-BE04-3B8A28E926A4}"/>
    <cellStyle name="Percentuale 47 4 4" xfId="29086" xr:uid="{146D33A0-DDA3-4641-B6A6-7FB976865787}"/>
    <cellStyle name="Percentuale 47 4 5" xfId="29087" xr:uid="{9E79FB15-C55C-447A-A812-E577624313F4}"/>
    <cellStyle name="Percentuale 47 4 5 2" xfId="49323" xr:uid="{4399245C-455E-4AA7-BDDA-6649615F0BC6}"/>
    <cellStyle name="Percentuale 47 4 6" xfId="29088" xr:uid="{2EE92947-50EE-406D-BE59-3069B72CD373}"/>
    <cellStyle name="Percentuale 47 4 7" xfId="29081" xr:uid="{E4E119CB-1DDF-40DB-A91D-3ADD77C945BE}"/>
    <cellStyle name="Percentuale 47 5" xfId="2439" xr:uid="{00000000-0005-0000-0000-000015090000}"/>
    <cellStyle name="Percentuale 47 5 2" xfId="29090" xr:uid="{E864FCB7-A47A-47DD-868A-8C54ECE8ABA0}"/>
    <cellStyle name="Percentuale 47 5 3" xfId="29091" xr:uid="{A6DB08C9-D0E2-4172-B745-9CDD9BF3D8C5}"/>
    <cellStyle name="Percentuale 47 5 3 2" xfId="49324" xr:uid="{B3D1165D-F6EF-4D7D-8363-EFF13398C23F}"/>
    <cellStyle name="Percentuale 47 5 4" xfId="29092" xr:uid="{845B9A57-17A4-431E-A0CE-A5BC1188C790}"/>
    <cellStyle name="Percentuale 47 5 5" xfId="29089" xr:uid="{14DBDBFB-6AE9-47EC-B22F-9FFDFC928962}"/>
    <cellStyle name="Percentuale 47 6" xfId="4437" xr:uid="{7360B186-F4AA-4A6C-8487-02465BE41720}"/>
    <cellStyle name="Percentuale 47 6 2" xfId="9852" xr:uid="{A3D8DD0D-3D58-4DC8-B6B1-9A3FDF41F6BB}"/>
    <cellStyle name="Percentuale 47 6 3" xfId="29093" xr:uid="{D1553C20-E95E-4D65-B3D2-F77AB0A37F8C}"/>
    <cellStyle name="Percentuale 47 7" xfId="29094" xr:uid="{15342A06-60E1-42FB-9123-A1840F99A4C2}"/>
    <cellStyle name="Percentuale 47 7 2" xfId="49325" xr:uid="{73B8FAE9-FA4B-452E-95AB-0F9B6AD0AABD}"/>
    <cellStyle name="Percentuale 47 8" xfId="29061" xr:uid="{007B9302-4096-4FD3-ADE0-01B27497BB4F}"/>
    <cellStyle name="Percentuale 48" xfId="1138" xr:uid="{00000000-0005-0000-0000-000016090000}"/>
    <cellStyle name="Percentuale 48 2" xfId="1139" xr:uid="{00000000-0005-0000-0000-000017090000}"/>
    <cellStyle name="Percentuale 48 2 2" xfId="4438" xr:uid="{726D400F-8AAB-4727-B0FD-CED49B17E748}"/>
    <cellStyle name="Percentuale 48 2 2 2" xfId="13604" xr:uid="{0E4DC948-3A13-4F5B-9498-550B18DE8645}"/>
    <cellStyle name="Percentuale 48 2 2 3" xfId="29097" xr:uid="{135728F5-3571-4902-87BE-C1F17C2EB57B}"/>
    <cellStyle name="Percentuale 48 2 3" xfId="13342" xr:uid="{EAF70912-C57D-4DDE-88DB-AC817DDD1530}"/>
    <cellStyle name="Percentuale 48 2 3 2" xfId="29098" xr:uid="{92CFB495-A038-489C-BDBA-E9D4B92555F5}"/>
    <cellStyle name="Percentuale 48 2 4" xfId="29099" xr:uid="{7358E7FB-8A56-4B6D-B6C6-EBB78C4EEDB1}"/>
    <cellStyle name="Percentuale 48 2 4 2" xfId="49326" xr:uid="{FFA987D4-9DCD-4945-98AD-1E9D9CF52217}"/>
    <cellStyle name="Percentuale 48 2 5" xfId="29100" xr:uid="{947670E7-4ADA-4B40-AE1F-153A264EA1A1}"/>
    <cellStyle name="Percentuale 48 2 6" xfId="29096" xr:uid="{B021DD08-2419-4760-B92B-E8C4FF4EE66E}"/>
    <cellStyle name="Percentuale 48 3" xfId="1140" xr:uid="{00000000-0005-0000-0000-000018090000}"/>
    <cellStyle name="Percentuale 48 3 2" xfId="1141" xr:uid="{00000000-0005-0000-0000-000019090000}"/>
    <cellStyle name="Percentuale 48 3 2 2" xfId="2440" xr:uid="{00000000-0005-0000-0000-00001A090000}"/>
    <cellStyle name="Percentuale 48 3 2 2 2" xfId="29104" xr:uid="{6FF85950-8BE1-49DA-93E9-4DE3CB2F0EE5}"/>
    <cellStyle name="Percentuale 48 3 2 2 3" xfId="29103" xr:uid="{BFC1FC00-A207-44B8-8786-D795708C38E2}"/>
    <cellStyle name="Percentuale 48 3 2 3" xfId="8159" xr:uid="{5859D02E-5A21-47C3-AC7D-F036987EE756}"/>
    <cellStyle name="Percentuale 48 3 2 3 2" xfId="14158" xr:uid="{699CC89C-6E5A-40C2-929B-F4F8EFAE5C21}"/>
    <cellStyle name="Percentuale 48 3 2 3 3" xfId="29105" xr:uid="{420CA379-D040-4157-8EE7-56496B80E9E6}"/>
    <cellStyle name="Percentuale 48 3 2 3 4" xfId="49327" xr:uid="{7CB44C46-32CE-4F03-A07C-00C39E3521CD}"/>
    <cellStyle name="Percentuale 48 3 2 4" xfId="29106" xr:uid="{7A5BCB40-CB42-4EFE-8DBB-3779E1A6109F}"/>
    <cellStyle name="Percentuale 48 3 2 5" xfId="29102" xr:uid="{F8D1F09D-BFA5-4386-A788-A1B05ADBF42D}"/>
    <cellStyle name="Percentuale 48 3 3" xfId="4439" xr:uid="{A6436C44-8D95-41B5-9996-51064F542FE6}"/>
    <cellStyle name="Percentuale 48 3 3 2" xfId="9524" xr:uid="{E80F94CF-35EB-45AF-9383-7F42D086721E}"/>
    <cellStyle name="Percentuale 48 3 3 2 2" xfId="29108" xr:uid="{5DD562D3-626A-455F-B9E2-A4A2EEAFE5AD}"/>
    <cellStyle name="Percentuale 48 3 3 3" xfId="29109" xr:uid="{D8F2F02E-383E-41F3-A686-171A42FA2F64}"/>
    <cellStyle name="Percentuale 48 3 3 4" xfId="29110" xr:uid="{58B851DF-693E-4C1D-A012-2FBD57922233}"/>
    <cellStyle name="Percentuale 48 3 3 4 2" xfId="49328" xr:uid="{E2113F52-7573-48B4-AAC1-8157526C9110}"/>
    <cellStyle name="Percentuale 48 3 3 5" xfId="29107" xr:uid="{FB7F2A3C-0BA5-492E-AD24-10F17DDA5FD5}"/>
    <cellStyle name="Percentuale 48 3 4" xfId="4440" xr:uid="{C5EA6DBE-E426-499E-A3B3-1B7451E8C5FE}"/>
    <cellStyle name="Percentuale 48 3 4 2" xfId="13819" xr:uid="{B501E471-1319-4148-9A40-60B8F3D5EB2D}"/>
    <cellStyle name="Percentuale 48 3 4 3" xfId="29111" xr:uid="{3D54B192-D29B-4DF7-9CB6-BE15C58ACF5C}"/>
    <cellStyle name="Percentuale 48 3 5" xfId="11504" xr:uid="{44F0054C-0116-4DFD-8EC7-157DD7BF8CC4}"/>
    <cellStyle name="Percentuale 48 3 5 2" xfId="29112" xr:uid="{496D2114-2C12-4CCB-A845-929B05209968}"/>
    <cellStyle name="Percentuale 48 3 6" xfId="29113" xr:uid="{0B07FB00-15A0-4625-8A7C-BE5F80009FFF}"/>
    <cellStyle name="Percentuale 48 3 6 2" xfId="49329" xr:uid="{D1E31ADE-320E-4256-AE2D-0EB46CED943C}"/>
    <cellStyle name="Percentuale 48 3 7" xfId="29114" xr:uid="{EFC1671E-F030-4A42-BC32-6311B20409C7}"/>
    <cellStyle name="Percentuale 48 3 8" xfId="29101" xr:uid="{F82D2FDB-50B6-413C-8FF6-BC1BAC69D185}"/>
    <cellStyle name="Percentuale 48 4" xfId="2441" xr:uid="{00000000-0005-0000-0000-00001B090000}"/>
    <cellStyle name="Percentuale 48 4 2" xfId="2442" xr:uid="{00000000-0005-0000-0000-00001C090000}"/>
    <cellStyle name="Percentuale 48 4 2 2" xfId="9525" xr:uid="{D6C684F7-D6CE-45C3-A128-532EE0EBD194}"/>
    <cellStyle name="Percentuale 48 4 2 2 2" xfId="29117" xr:uid="{5BC23194-D933-471F-8C8E-FE92D5360426}"/>
    <cellStyle name="Percentuale 48 4 2 3" xfId="17944" xr:uid="{C52D1AE8-13A9-4D19-967B-9A34712EA080}"/>
    <cellStyle name="Percentuale 48 4 2 3 2" xfId="29118" xr:uid="{F1EFD1F9-EBB2-412E-A63A-CA1BBF0DC015}"/>
    <cellStyle name="Percentuale 48 4 2 4" xfId="29116" xr:uid="{83D4A21E-E58C-4A48-BEAB-9E1BFA2D38B9}"/>
    <cellStyle name="Percentuale 48 4 2 5" xfId="17554" xr:uid="{F3E38C3A-CBB8-4360-8C71-8704F5D59E12}"/>
    <cellStyle name="Percentuale 48 4 3" xfId="9526" xr:uid="{B020DC18-5186-4ADC-8122-CC85347266AC}"/>
    <cellStyle name="Percentuale 48 4 3 2" xfId="29119" xr:uid="{FADE11B4-42C8-4C8C-B645-196110A54155}"/>
    <cellStyle name="Percentuale 48 4 4" xfId="29120" xr:uid="{E493EE47-CDE8-4112-814D-3EC9DC3C34AE}"/>
    <cellStyle name="Percentuale 48 4 5" xfId="29121" xr:uid="{B5B44935-4C54-45DE-BE48-0FEACD8E6FAB}"/>
    <cellStyle name="Percentuale 48 4 5 2" xfId="49330" xr:uid="{DDF5FE1D-D418-4E71-895D-FFBA828B20D6}"/>
    <cellStyle name="Percentuale 48 4 6" xfId="29122" xr:uid="{9CDC4226-C30E-408F-AD7B-12229733FD98}"/>
    <cellStyle name="Percentuale 48 4 7" xfId="29115" xr:uid="{B848368D-EC58-47DE-BAE3-C914959B5EA8}"/>
    <cellStyle name="Percentuale 48 5" xfId="2443" xr:uid="{00000000-0005-0000-0000-00001D090000}"/>
    <cellStyle name="Percentuale 48 5 2" xfId="29124" xr:uid="{1AA28D7E-C1A8-45DF-AF32-F30EF0F7924B}"/>
    <cellStyle name="Percentuale 48 5 3" xfId="29125" xr:uid="{23C60DD3-741E-4A4F-B328-97EBE85D0F2C}"/>
    <cellStyle name="Percentuale 48 5 3 2" xfId="49331" xr:uid="{940DDA41-496A-49D2-BEB1-3A1799792183}"/>
    <cellStyle name="Percentuale 48 5 4" xfId="29126" xr:uid="{2A4313E8-B600-4C0E-A67C-E3B8A598C1E1}"/>
    <cellStyle name="Percentuale 48 5 5" xfId="29123" xr:uid="{8AF5E8B3-1B46-432A-9AD2-E3F991785AEA}"/>
    <cellStyle name="Percentuale 48 6" xfId="4441" xr:uid="{7267F761-77BB-4BE3-9ED5-46A589F9F548}"/>
    <cellStyle name="Percentuale 48 6 2" xfId="9853" xr:uid="{D86AED23-3DB2-420C-A064-DA753D7B1F8D}"/>
    <cellStyle name="Percentuale 48 6 3" xfId="29127" xr:uid="{8607C9ED-5269-4374-9AE7-659476188221}"/>
    <cellStyle name="Percentuale 48 7" xfId="29128" xr:uid="{A0C57FCB-0788-4D15-A91F-C987B80A4C54}"/>
    <cellStyle name="Percentuale 48 7 2" xfId="49332" xr:uid="{FF2FFC2C-914A-4D7D-B412-C9F4D123E2CB}"/>
    <cellStyle name="Percentuale 48 8" xfId="29095" xr:uid="{025FA5AC-8937-48F7-B8ED-C8AA218FCE5B}"/>
    <cellStyle name="Percentuale 49" xfId="1142" xr:uid="{00000000-0005-0000-0000-00001E090000}"/>
    <cellStyle name="Percentuale 49 2" xfId="1143" xr:uid="{00000000-0005-0000-0000-00001F090000}"/>
    <cellStyle name="Percentuale 49 2 2" xfId="4442" xr:uid="{56C6A778-CCEC-4924-96BD-BF5B699F9CBC}"/>
    <cellStyle name="Percentuale 49 2 2 2" xfId="13605" xr:uid="{5F90D7CF-AA64-403E-91A0-7E81BAB2168A}"/>
    <cellStyle name="Percentuale 49 2 2 3" xfId="29131" xr:uid="{5C1BAEDF-1C6A-4989-BC80-2F5EEA7DCDE9}"/>
    <cellStyle name="Percentuale 49 2 3" xfId="13343" xr:uid="{D4C6D712-E34C-4E87-9000-F6110E3F8624}"/>
    <cellStyle name="Percentuale 49 2 3 2" xfId="29132" xr:uid="{2C880F9B-D980-4A93-8C0D-274D4ED91D33}"/>
    <cellStyle name="Percentuale 49 2 4" xfId="29133" xr:uid="{55F10094-9666-477F-9C11-FE28EDBE96F5}"/>
    <cellStyle name="Percentuale 49 2 4 2" xfId="49333" xr:uid="{932E46F2-72A0-4195-93DD-7CE36EC39DD5}"/>
    <cellStyle name="Percentuale 49 2 5" xfId="29134" xr:uid="{FA555B64-6321-481C-ACD2-CBCBF2FE4571}"/>
    <cellStyle name="Percentuale 49 2 6" xfId="29130" xr:uid="{F15AFB78-05C8-44F7-902B-3F4CAE0B441E}"/>
    <cellStyle name="Percentuale 49 3" xfId="1144" xr:uid="{00000000-0005-0000-0000-000020090000}"/>
    <cellStyle name="Percentuale 49 3 2" xfId="1145" xr:uid="{00000000-0005-0000-0000-000021090000}"/>
    <cellStyle name="Percentuale 49 3 2 2" xfId="2444" xr:uid="{00000000-0005-0000-0000-000022090000}"/>
    <cellStyle name="Percentuale 49 3 2 2 2" xfId="29138" xr:uid="{862B8CF0-151E-4F47-87CE-4669ABC0BEAC}"/>
    <cellStyle name="Percentuale 49 3 2 2 3" xfId="29137" xr:uid="{DF55E67B-182F-4E9A-A17E-FD4D96100475}"/>
    <cellStyle name="Percentuale 49 3 2 3" xfId="8160" xr:uid="{E439E632-DE93-40CA-81DA-AAC77EC19ABE}"/>
    <cellStyle name="Percentuale 49 3 2 3 2" xfId="14159" xr:uid="{4A8F5A4B-E507-4C82-8EE3-344E6B3A5668}"/>
    <cellStyle name="Percentuale 49 3 2 3 3" xfId="29139" xr:uid="{90CACB0B-EB53-42D5-BFB9-E55F30DF864D}"/>
    <cellStyle name="Percentuale 49 3 2 3 4" xfId="49334" xr:uid="{F3DB2F15-4B9A-4FFF-883C-F20C2E43129A}"/>
    <cellStyle name="Percentuale 49 3 2 4" xfId="29140" xr:uid="{24CCF10A-5A5F-46C4-BFD4-6F74EC1FBB3C}"/>
    <cellStyle name="Percentuale 49 3 2 5" xfId="29136" xr:uid="{5FD14598-D111-40AB-A399-A06052EF91A7}"/>
    <cellStyle name="Percentuale 49 3 3" xfId="4443" xr:uid="{F01A5C83-2823-4E10-9E51-BB8C5677BE26}"/>
    <cellStyle name="Percentuale 49 3 3 2" xfId="9527" xr:uid="{1FC3A8E8-0524-43DE-92A9-01C0DD6D9600}"/>
    <cellStyle name="Percentuale 49 3 3 2 2" xfId="29142" xr:uid="{93D97388-1FCF-4851-BE62-FBD16C6BC1CD}"/>
    <cellStyle name="Percentuale 49 3 3 3" xfId="29143" xr:uid="{E0EBEE13-1680-4ECF-B934-EC4D0AC35725}"/>
    <cellStyle name="Percentuale 49 3 3 4" xfId="29144" xr:uid="{2EAD393C-331F-49F9-B734-8E08F706246A}"/>
    <cellStyle name="Percentuale 49 3 3 4 2" xfId="49335" xr:uid="{87580D06-EF0E-43C1-A53A-47632E7CF21B}"/>
    <cellStyle name="Percentuale 49 3 3 5" xfId="29141" xr:uid="{0D6FBFD7-D93E-43ED-877C-4F675CE1809E}"/>
    <cellStyle name="Percentuale 49 3 4" xfId="4444" xr:uid="{C104C444-6531-4253-BCD2-2567DDBDB7F9}"/>
    <cellStyle name="Percentuale 49 3 4 2" xfId="13820" xr:uid="{7DB9665F-E77A-41CC-B732-FE73A0414042}"/>
    <cellStyle name="Percentuale 49 3 4 3" xfId="29145" xr:uid="{EA09678F-A698-43D5-9275-3815FA635983}"/>
    <cellStyle name="Percentuale 49 3 5" xfId="12305" xr:uid="{29165F3D-AD2D-42DC-BED0-97ABC182E6C1}"/>
    <cellStyle name="Percentuale 49 3 5 2" xfId="29146" xr:uid="{A7CE7877-FF3A-4A76-BF17-88EA1CF6A957}"/>
    <cellStyle name="Percentuale 49 3 6" xfId="29147" xr:uid="{F935082A-9B34-425D-83E2-78ED119C15AE}"/>
    <cellStyle name="Percentuale 49 3 6 2" xfId="49336" xr:uid="{66673B42-C079-4BB6-977A-FC71D71F32C7}"/>
    <cellStyle name="Percentuale 49 3 7" xfId="29148" xr:uid="{36558D95-6A70-40C9-BC57-AD4AD8695047}"/>
    <cellStyle name="Percentuale 49 3 8" xfId="29135" xr:uid="{14EE3A23-7CDB-4EBB-87BD-CD18370EAA3F}"/>
    <cellStyle name="Percentuale 49 4" xfId="2445" xr:uid="{00000000-0005-0000-0000-000023090000}"/>
    <cellStyle name="Percentuale 49 4 2" xfId="2446" xr:uid="{00000000-0005-0000-0000-000024090000}"/>
    <cellStyle name="Percentuale 49 4 2 2" xfId="9528" xr:uid="{3696F445-0D24-4208-905A-DABBA11575A7}"/>
    <cellStyle name="Percentuale 49 4 2 2 2" xfId="29151" xr:uid="{9C634CB0-72C5-4C7D-90B8-5B3F95D0B7FE}"/>
    <cellStyle name="Percentuale 49 4 2 3" xfId="17945" xr:uid="{D26DF829-669B-4845-B2FB-9825A59B5A13}"/>
    <cellStyle name="Percentuale 49 4 2 3 2" xfId="29152" xr:uid="{72933ECF-3DBD-4594-BEE0-6B425BFC8059}"/>
    <cellStyle name="Percentuale 49 4 2 4" xfId="29150" xr:uid="{FAE3A960-401C-4A70-951F-8E829049353B}"/>
    <cellStyle name="Percentuale 49 4 2 5" xfId="17555" xr:uid="{0C6C82C7-7DD1-48D2-ADA7-CC4EA758EC8E}"/>
    <cellStyle name="Percentuale 49 4 3" xfId="9529" xr:uid="{1E8450C4-8333-4783-983F-90520A196A83}"/>
    <cellStyle name="Percentuale 49 4 3 2" xfId="29153" xr:uid="{9FAFCA4A-EFAD-45B2-A0D1-3DB63CFFEA56}"/>
    <cellStyle name="Percentuale 49 4 4" xfId="29154" xr:uid="{108C837D-F9B7-472F-A0FE-BF7489FE1D93}"/>
    <cellStyle name="Percentuale 49 4 5" xfId="29155" xr:uid="{B54F3FD3-F40B-4B2A-ACFF-DFCBCDB8B0A0}"/>
    <cellStyle name="Percentuale 49 4 5 2" xfId="49337" xr:uid="{65151EBA-5EBD-4C97-8ABA-8BE22E970863}"/>
    <cellStyle name="Percentuale 49 4 6" xfId="29156" xr:uid="{0B1464E8-BE29-457C-A565-57C5FE7D8044}"/>
    <cellStyle name="Percentuale 49 4 7" xfId="29149" xr:uid="{48CB4421-F135-4A9C-A006-A6DBC1B5F361}"/>
    <cellStyle name="Percentuale 49 5" xfId="2447" xr:uid="{00000000-0005-0000-0000-000025090000}"/>
    <cellStyle name="Percentuale 49 5 2" xfId="29158" xr:uid="{836E0550-F3A0-4616-A49C-90E9AFA5FCD9}"/>
    <cellStyle name="Percentuale 49 5 3" xfId="29159" xr:uid="{009F5C24-0AAE-4D26-AC0A-212386C60702}"/>
    <cellStyle name="Percentuale 49 5 3 2" xfId="49338" xr:uid="{FFD59075-539B-449B-B36E-EF2E0957D8B8}"/>
    <cellStyle name="Percentuale 49 5 4" xfId="29160" xr:uid="{3C3F1001-B4DA-4F06-A916-1CD615DEA2C9}"/>
    <cellStyle name="Percentuale 49 5 5" xfId="29157" xr:uid="{A16B1158-00AE-47AB-B4FF-2A4865BC96F3}"/>
    <cellStyle name="Percentuale 49 6" xfId="4445" xr:uid="{B0A69839-8799-4BB8-A746-D9337588C0BD}"/>
    <cellStyle name="Percentuale 49 6 2" xfId="9854" xr:uid="{5C29F8C3-0A7C-4A7C-803F-C28D177B3F27}"/>
    <cellStyle name="Percentuale 49 6 3" xfId="29161" xr:uid="{0F739F6A-E4C6-435A-B249-F70563B1A10D}"/>
    <cellStyle name="Percentuale 49 7" xfId="29162" xr:uid="{365E1AD9-934A-488A-8184-C74372D8402E}"/>
    <cellStyle name="Percentuale 49 7 2" xfId="49339" xr:uid="{86094AF6-1A8E-4C44-B35C-2189C2F5B8ED}"/>
    <cellStyle name="Percentuale 49 8" xfId="29129" xr:uid="{CF661492-88E1-4679-8CE2-EA1E047A37FE}"/>
    <cellStyle name="Percentuale 5" xfId="1146" xr:uid="{00000000-0005-0000-0000-000026090000}"/>
    <cellStyle name="Percentuale 5 2" xfId="1147" xr:uid="{00000000-0005-0000-0000-000027090000}"/>
    <cellStyle name="Percentuale 5 2 2" xfId="4446" xr:uid="{E251CB64-84D1-4EEB-B6F5-0C6611F4CDC3}"/>
    <cellStyle name="Percentuale 5 2 2 2" xfId="13606" xr:uid="{5C611B22-AC09-4B58-9363-C861422509B7}"/>
    <cellStyle name="Percentuale 5 2 2 3" xfId="29165" xr:uid="{4F77B343-0317-4E60-B211-6A0F0B21919E}"/>
    <cellStyle name="Percentuale 5 2 3" xfId="13344" xr:uid="{CEA522B1-E9F2-4D29-BF93-70F864D331C8}"/>
    <cellStyle name="Percentuale 5 2 3 2" xfId="29166" xr:uid="{79BCCA3F-6FA2-4CCD-9385-1F06258DC04A}"/>
    <cellStyle name="Percentuale 5 2 4" xfId="29167" xr:uid="{F7411113-035A-46EF-8E69-27FA1D22B275}"/>
    <cellStyle name="Percentuale 5 2 4 2" xfId="49340" xr:uid="{EFE731BB-8038-4B1A-A07E-9F968DC44495}"/>
    <cellStyle name="Percentuale 5 2 5" xfId="29168" xr:uid="{9EC972A8-66F7-43E3-B244-2AB3BB033D13}"/>
    <cellStyle name="Percentuale 5 2 6" xfId="29164" xr:uid="{CA31BE28-0B18-4249-BBAF-748403FDAA28}"/>
    <cellStyle name="Percentuale 5 3" xfId="1148" xr:uid="{00000000-0005-0000-0000-000028090000}"/>
    <cellStyle name="Percentuale 5 3 2" xfId="1149" xr:uid="{00000000-0005-0000-0000-000029090000}"/>
    <cellStyle name="Percentuale 5 3 2 2" xfId="2448" xr:uid="{00000000-0005-0000-0000-00002A090000}"/>
    <cellStyle name="Percentuale 5 3 2 2 2" xfId="29172" xr:uid="{83236413-342F-4DF1-8B28-55E8F5A7DB83}"/>
    <cellStyle name="Percentuale 5 3 2 2 3" xfId="29171" xr:uid="{930E55CC-BF42-4FF5-B122-30AC1C5A3370}"/>
    <cellStyle name="Percentuale 5 3 2 3" xfId="8161" xr:uid="{0A2FB4F4-0472-4EB1-A952-BDF2DFAA3D7C}"/>
    <cellStyle name="Percentuale 5 3 2 3 2" xfId="14160" xr:uid="{35785E49-37F5-4FCE-9E8F-48819FD7768C}"/>
    <cellStyle name="Percentuale 5 3 2 3 3" xfId="29173" xr:uid="{0A8F557A-2A4A-4E2C-A830-883A90F641F0}"/>
    <cellStyle name="Percentuale 5 3 2 3 4" xfId="49341" xr:uid="{1A9AF202-6515-4CF4-AC3B-AE6956113144}"/>
    <cellStyle name="Percentuale 5 3 2 4" xfId="29174" xr:uid="{F1CFD0DE-CD29-4698-9045-3F86719525EA}"/>
    <cellStyle name="Percentuale 5 3 2 5" xfId="29170" xr:uid="{C5106076-3700-412C-B950-B8076549F8F6}"/>
    <cellStyle name="Percentuale 5 3 3" xfId="4447" xr:uid="{1BCA16C4-B910-4012-B52F-6E5399E67E8A}"/>
    <cellStyle name="Percentuale 5 3 3 2" xfId="9530" xr:uid="{CBDC7943-0F14-4F40-8F22-2A222BDF8BE1}"/>
    <cellStyle name="Percentuale 5 3 3 2 2" xfId="29176" xr:uid="{DDF6B7DE-2481-4D6C-9586-C4DF0C72C5D4}"/>
    <cellStyle name="Percentuale 5 3 3 3" xfId="29177" xr:uid="{264D29E0-5796-4693-A1F5-43DEC95F9EA2}"/>
    <cellStyle name="Percentuale 5 3 3 4" xfId="29178" xr:uid="{FDEC0BD5-08C0-4B16-B459-8B161EE6B38E}"/>
    <cellStyle name="Percentuale 5 3 3 4 2" xfId="49342" xr:uid="{D15E6F08-FC81-47B5-822D-B4121E54BDEF}"/>
    <cellStyle name="Percentuale 5 3 3 5" xfId="29175" xr:uid="{81315776-02F5-487C-8180-F2038C4EBB4B}"/>
    <cellStyle name="Percentuale 5 3 4" xfId="4448" xr:uid="{4BD6F7BE-EB6A-4D14-878A-FE17DA0AEA50}"/>
    <cellStyle name="Percentuale 5 3 4 2" xfId="13821" xr:uid="{72A30908-E5F8-4828-80FE-AB6215CE4BD6}"/>
    <cellStyle name="Percentuale 5 3 4 3" xfId="29179" xr:uid="{55A03A92-0F2E-4550-828D-9D044DBCCBD9}"/>
    <cellStyle name="Percentuale 5 3 5" xfId="11421" xr:uid="{DA55A9FA-C511-4651-8D50-92974522CD75}"/>
    <cellStyle name="Percentuale 5 3 5 2" xfId="29180" xr:uid="{520A9119-DF08-4F55-B76D-05BA74B9F549}"/>
    <cellStyle name="Percentuale 5 3 6" xfId="29181" xr:uid="{078FAA4F-4FC1-4373-8C02-8E1268052A08}"/>
    <cellStyle name="Percentuale 5 3 6 2" xfId="49343" xr:uid="{8A855F35-AC76-482C-8AF4-ECEAC5A1BFF9}"/>
    <cellStyle name="Percentuale 5 3 7" xfId="29182" xr:uid="{165D73B8-43AF-42A4-ACB9-882E3808DFA5}"/>
    <cellStyle name="Percentuale 5 3 8" xfId="29169" xr:uid="{446B008A-3151-403A-AF67-69603CF05E47}"/>
    <cellStyle name="Percentuale 5 4" xfId="2449" xr:uid="{00000000-0005-0000-0000-00002B090000}"/>
    <cellStyle name="Percentuale 5 4 2" xfId="2450" xr:uid="{00000000-0005-0000-0000-00002C090000}"/>
    <cellStyle name="Percentuale 5 4 2 2" xfId="9531" xr:uid="{36D5706F-F1BC-4173-96CF-5AC3CE49F85F}"/>
    <cellStyle name="Percentuale 5 4 2 2 2" xfId="29185" xr:uid="{949ADE72-E530-46AD-8C00-9292EDC3116C}"/>
    <cellStyle name="Percentuale 5 4 2 3" xfId="17946" xr:uid="{226F19D7-8A7E-47B6-B8A8-517866132670}"/>
    <cellStyle name="Percentuale 5 4 2 3 2" xfId="29186" xr:uid="{90F5D510-62AD-432D-89F8-C6FCFA998C94}"/>
    <cellStyle name="Percentuale 5 4 2 4" xfId="29184" xr:uid="{D3AEC036-721A-4CBE-A854-9C2DD6544798}"/>
    <cellStyle name="Percentuale 5 4 2 5" xfId="17556" xr:uid="{1AB3CC85-92ED-4942-BBB4-C8A2E59C7379}"/>
    <cellStyle name="Percentuale 5 4 3" xfId="9532" xr:uid="{13BDD967-07F4-4E01-A9A4-797302EFA1CC}"/>
    <cellStyle name="Percentuale 5 4 3 2" xfId="29187" xr:uid="{7482DFA6-1096-43FB-A513-5CFC602058F8}"/>
    <cellStyle name="Percentuale 5 4 4" xfId="29188" xr:uid="{6C77FA7E-D6BB-48B3-9B19-54A56688F625}"/>
    <cellStyle name="Percentuale 5 4 5" xfId="29189" xr:uid="{14897904-467C-4AF8-83E0-101C0F43B2A1}"/>
    <cellStyle name="Percentuale 5 4 5 2" xfId="49344" xr:uid="{6971A219-0975-4BFA-9479-D0B4EF2F7682}"/>
    <cellStyle name="Percentuale 5 4 6" xfId="29190" xr:uid="{FC3587A4-EFDD-406E-8049-F1377E8D2A58}"/>
    <cellStyle name="Percentuale 5 4 7" xfId="29183" xr:uid="{36B2075B-545B-4496-BE07-FAF9FDB672BB}"/>
    <cellStyle name="Percentuale 5 5" xfId="2451" xr:uid="{00000000-0005-0000-0000-00002D090000}"/>
    <cellStyle name="Percentuale 5 5 2" xfId="29192" xr:uid="{B72C683F-FFE4-4D0A-A2EA-E9002C9D1B3F}"/>
    <cellStyle name="Percentuale 5 5 3" xfId="29193" xr:uid="{CA217BA6-9A44-4220-BFA6-2347D1D0090B}"/>
    <cellStyle name="Percentuale 5 5 3 2" xfId="49345" xr:uid="{127F66C1-592C-4F61-B298-E46197ABF1A2}"/>
    <cellStyle name="Percentuale 5 5 4" xfId="29194" xr:uid="{37F794F8-435A-4730-AD34-EBEC4364031B}"/>
    <cellStyle name="Percentuale 5 5 5" xfId="29191" xr:uid="{1B5358D7-D5EE-4C14-81E2-163526C37BED}"/>
    <cellStyle name="Percentuale 5 6" xfId="4449" xr:uid="{3C0AC27A-EDD8-4B94-BD8F-9A02C1C62850}"/>
    <cellStyle name="Percentuale 5 6 2" xfId="9855" xr:uid="{7E50CF31-D8E0-412D-AD2E-98D2094C1B3C}"/>
    <cellStyle name="Percentuale 5 6 3" xfId="29195" xr:uid="{B4D8D8E8-D10A-45EC-89D0-C25D2BDB49DC}"/>
    <cellStyle name="Percentuale 5 7" xfId="29196" xr:uid="{7E03BE7C-CB25-4E11-8DB2-DE7B6DCA943F}"/>
    <cellStyle name="Percentuale 5 7 2" xfId="49346" xr:uid="{5108DB88-F53F-4595-9525-23BAB8CC7A9E}"/>
    <cellStyle name="Percentuale 5 8" xfId="29163" xr:uid="{D311569D-EE38-448D-B6DA-A362A3D12C11}"/>
    <cellStyle name="Percentuale 50" xfId="1150" xr:uid="{00000000-0005-0000-0000-00002E090000}"/>
    <cellStyle name="Percentuale 50 2" xfId="1151" xr:uid="{00000000-0005-0000-0000-00002F090000}"/>
    <cellStyle name="Percentuale 50 2 2" xfId="4450" xr:uid="{4554B198-268A-4855-AE4B-5DD0D1F70F50}"/>
    <cellStyle name="Percentuale 50 2 2 2" xfId="13607" xr:uid="{50B0B995-7B8D-4643-BC58-A9C4497534C5}"/>
    <cellStyle name="Percentuale 50 2 2 3" xfId="29199" xr:uid="{48EEE034-A05D-4AB1-AE12-E4F095C23D2D}"/>
    <cellStyle name="Percentuale 50 2 3" xfId="13345" xr:uid="{634BE254-169D-4EC2-B207-BD66CDA4FD2D}"/>
    <cellStyle name="Percentuale 50 2 3 2" xfId="29200" xr:uid="{66D09104-D784-41DE-8BB7-8D91274B23CC}"/>
    <cellStyle name="Percentuale 50 2 4" xfId="29201" xr:uid="{B8BDCBE0-5817-4F42-A84F-C321F55F8B0D}"/>
    <cellStyle name="Percentuale 50 2 4 2" xfId="49347" xr:uid="{E15981AB-3E90-432D-A398-7ACD693938E1}"/>
    <cellStyle name="Percentuale 50 2 5" xfId="29202" xr:uid="{53522E4F-89A6-44D2-A5F4-20267B06AC3E}"/>
    <cellStyle name="Percentuale 50 2 6" xfId="29198" xr:uid="{01AA2D09-C153-4D22-AE6F-884C5AA34F8E}"/>
    <cellStyle name="Percentuale 50 3" xfId="1152" xr:uid="{00000000-0005-0000-0000-000030090000}"/>
    <cellStyle name="Percentuale 50 3 2" xfId="1153" xr:uid="{00000000-0005-0000-0000-000031090000}"/>
    <cellStyle name="Percentuale 50 3 2 2" xfId="2452" xr:uid="{00000000-0005-0000-0000-000032090000}"/>
    <cellStyle name="Percentuale 50 3 2 2 2" xfId="29206" xr:uid="{CD86761F-C27C-4A94-9F85-FAE6B9B7F19F}"/>
    <cellStyle name="Percentuale 50 3 2 2 3" xfId="29205" xr:uid="{AF1CD0A1-045B-4E4A-9582-B6F56D517A9D}"/>
    <cellStyle name="Percentuale 50 3 2 3" xfId="8162" xr:uid="{E6BFAA82-A2A8-4411-8DB9-A4A95B971566}"/>
    <cellStyle name="Percentuale 50 3 2 3 2" xfId="14161" xr:uid="{07B0A14C-3E06-49E7-8520-16CF631DC9D0}"/>
    <cellStyle name="Percentuale 50 3 2 3 3" xfId="29207" xr:uid="{CEE1D992-C44C-45E8-BFD9-3FD3999C14A8}"/>
    <cellStyle name="Percentuale 50 3 2 3 4" xfId="49348" xr:uid="{651895BF-430E-45B8-9D27-9B333DDC933A}"/>
    <cellStyle name="Percentuale 50 3 2 4" xfId="29208" xr:uid="{B7D08A10-0984-4280-9F05-486AAA151FBB}"/>
    <cellStyle name="Percentuale 50 3 2 5" xfId="29204" xr:uid="{A0A25031-260A-4D04-9FE9-D3AD90A2D14E}"/>
    <cellStyle name="Percentuale 50 3 3" xfId="4451" xr:uid="{F72B520B-BCB3-4CB2-865A-1E0C08D3EAA1}"/>
    <cellStyle name="Percentuale 50 3 3 2" xfId="9533" xr:uid="{554F25CE-B3FD-4D9E-A24D-A6030D2826F5}"/>
    <cellStyle name="Percentuale 50 3 3 2 2" xfId="29210" xr:uid="{7F0C0738-54D5-4E60-923B-D9E3E1BEC2EC}"/>
    <cellStyle name="Percentuale 50 3 3 3" xfId="29211" xr:uid="{A9AC4E65-DB70-4301-AB6B-80E1F21BC0BC}"/>
    <cellStyle name="Percentuale 50 3 3 4" xfId="29212" xr:uid="{2C813B4B-CA9B-403B-8D41-3E937ED11D71}"/>
    <cellStyle name="Percentuale 50 3 3 4 2" xfId="49349" xr:uid="{5066D7C8-FD68-48F5-ACF0-5D8188E73E2B}"/>
    <cellStyle name="Percentuale 50 3 3 5" xfId="29209" xr:uid="{7851075E-4B79-4489-B8A0-38DF1FB398AE}"/>
    <cellStyle name="Percentuale 50 3 4" xfId="4452" xr:uid="{6A44ADA6-E7FA-48ED-8020-30324C301F8E}"/>
    <cellStyle name="Percentuale 50 3 4 2" xfId="13822" xr:uid="{E98C446E-9D3D-4D04-8A93-D9353A0CBE93}"/>
    <cellStyle name="Percentuale 50 3 4 3" xfId="29213" xr:uid="{948013CF-EE88-4E83-9735-0BD413CE2CCB}"/>
    <cellStyle name="Percentuale 50 3 5" xfId="12264" xr:uid="{A46E00FC-2B1D-44D6-8F33-2E611A7E4E1F}"/>
    <cellStyle name="Percentuale 50 3 5 2" xfId="29214" xr:uid="{612F9021-42B3-466A-8FE4-BB0D0AF5EA55}"/>
    <cellStyle name="Percentuale 50 3 6" xfId="29215" xr:uid="{4D312695-F9A7-402C-B51D-FD0B942383C7}"/>
    <cellStyle name="Percentuale 50 3 6 2" xfId="49350" xr:uid="{63131792-0CF8-460D-B977-203A1D408EDB}"/>
    <cellStyle name="Percentuale 50 3 7" xfId="29216" xr:uid="{779CF5B7-E18C-44B5-8D0E-9E9562B344ED}"/>
    <cellStyle name="Percentuale 50 3 8" xfId="29203" xr:uid="{38EB5C10-FBA2-4181-9673-92E3EF670B14}"/>
    <cellStyle name="Percentuale 50 4" xfId="2453" xr:uid="{00000000-0005-0000-0000-000033090000}"/>
    <cellStyle name="Percentuale 50 4 2" xfId="2454" xr:uid="{00000000-0005-0000-0000-000034090000}"/>
    <cellStyle name="Percentuale 50 4 2 2" xfId="9534" xr:uid="{CFD5D5E8-8871-4C42-97F6-FCD2F5070EFB}"/>
    <cellStyle name="Percentuale 50 4 2 2 2" xfId="29219" xr:uid="{06FFE6A8-4A0A-4B4A-9711-BD5DE10BA7EE}"/>
    <cellStyle name="Percentuale 50 4 2 3" xfId="17947" xr:uid="{F4E3B563-4548-43B9-8F4C-0686C92277F7}"/>
    <cellStyle name="Percentuale 50 4 2 3 2" xfId="29220" xr:uid="{9F7621FB-2F46-486C-9CAA-171F02555DFB}"/>
    <cellStyle name="Percentuale 50 4 2 4" xfId="29218" xr:uid="{B0799143-30EA-4E59-8A2E-180B75130512}"/>
    <cellStyle name="Percentuale 50 4 2 5" xfId="17557" xr:uid="{D26166B3-64BA-4EA8-AFC8-F7BEAE5278FD}"/>
    <cellStyle name="Percentuale 50 4 3" xfId="9535" xr:uid="{9422620D-59F4-4953-835A-17BC3F842885}"/>
    <cellStyle name="Percentuale 50 4 3 2" xfId="29221" xr:uid="{CD60FD5A-CC65-4327-B94B-990EF20A1A6D}"/>
    <cellStyle name="Percentuale 50 4 4" xfId="29222" xr:uid="{4CB14E13-CDDF-45C8-BE5E-C8E70D9675D2}"/>
    <cellStyle name="Percentuale 50 4 5" xfId="29223" xr:uid="{C6A54CDA-9908-4994-99CA-3C03BD89F19B}"/>
    <cellStyle name="Percentuale 50 4 5 2" xfId="49351" xr:uid="{C2B5345E-BBDD-4D54-BCC4-F034139E6FB4}"/>
    <cellStyle name="Percentuale 50 4 6" xfId="29224" xr:uid="{9CF1B362-4594-4ABF-9309-042D474C03FB}"/>
    <cellStyle name="Percentuale 50 4 7" xfId="29217" xr:uid="{3A19D1EE-4FB9-466B-8F85-04FA1621778D}"/>
    <cellStyle name="Percentuale 50 5" xfId="2455" xr:uid="{00000000-0005-0000-0000-000035090000}"/>
    <cellStyle name="Percentuale 50 5 2" xfId="29226" xr:uid="{CDBEA1E1-4039-45DE-82BF-7DFC646453A1}"/>
    <cellStyle name="Percentuale 50 5 3" xfId="29227" xr:uid="{2622E111-0C70-4FCB-B27A-BF9ADF4439BD}"/>
    <cellStyle name="Percentuale 50 5 3 2" xfId="49352" xr:uid="{5963CF92-5227-41C0-BC74-D3EC0D68A1A9}"/>
    <cellStyle name="Percentuale 50 5 4" xfId="29228" xr:uid="{B28C8718-DD8A-4586-BB0A-1557A42AD1AE}"/>
    <cellStyle name="Percentuale 50 5 5" xfId="29225" xr:uid="{335C1545-26E6-41FD-95EE-EB05A78373F3}"/>
    <cellStyle name="Percentuale 50 6" xfId="4453" xr:uid="{C87B59BC-DD55-477C-9851-3F1DA0C48FF5}"/>
    <cellStyle name="Percentuale 50 6 2" xfId="9856" xr:uid="{9CD34476-2A5F-45FC-BAF2-3323618B77E8}"/>
    <cellStyle name="Percentuale 50 6 3" xfId="29229" xr:uid="{DAF99A25-F601-422C-BC22-A9BBA747DC3E}"/>
    <cellStyle name="Percentuale 50 7" xfId="29230" xr:uid="{FCBF5DBE-391E-4CA8-B621-052CB18050FD}"/>
    <cellStyle name="Percentuale 50 7 2" xfId="49353" xr:uid="{DE633855-103B-4B93-AEF3-FA4E6E477EE3}"/>
    <cellStyle name="Percentuale 50 8" xfId="29197" xr:uid="{D6FCAAD8-D245-4348-B7D4-A74386A1F1C0}"/>
    <cellStyle name="Percentuale 51" xfId="1154" xr:uid="{00000000-0005-0000-0000-000036090000}"/>
    <cellStyle name="Percentuale 51 2" xfId="1155" xr:uid="{00000000-0005-0000-0000-000037090000}"/>
    <cellStyle name="Percentuale 51 2 2" xfId="4454" xr:uid="{0161E5EC-29D0-4721-A1E9-A5036DEF8520}"/>
    <cellStyle name="Percentuale 51 2 2 2" xfId="13608" xr:uid="{28B8FB46-CAD3-45C4-AD9A-C968F316361A}"/>
    <cellStyle name="Percentuale 51 2 2 3" xfId="29233" xr:uid="{9962448A-7E88-4E69-90EB-34C87FA42854}"/>
    <cellStyle name="Percentuale 51 2 3" xfId="13346" xr:uid="{B783EE38-C0EA-4395-B9EE-AD3422C6E890}"/>
    <cellStyle name="Percentuale 51 2 3 2" xfId="29234" xr:uid="{C6F046EA-307F-4382-BF86-462B5216E047}"/>
    <cellStyle name="Percentuale 51 2 4" xfId="29235" xr:uid="{4CE1D7BE-74C9-45B4-99B0-CDBF3D5F59D1}"/>
    <cellStyle name="Percentuale 51 2 4 2" xfId="49354" xr:uid="{5560C2B0-2474-454E-8FAE-5FFD92C15CFF}"/>
    <cellStyle name="Percentuale 51 2 5" xfId="29236" xr:uid="{C309189B-0B2E-4049-B824-BA9832BDF3C1}"/>
    <cellStyle name="Percentuale 51 2 6" xfId="29232" xr:uid="{35B68524-9D7D-4691-804E-7348F44C040C}"/>
    <cellStyle name="Percentuale 51 3" xfId="1156" xr:uid="{00000000-0005-0000-0000-000038090000}"/>
    <cellStyle name="Percentuale 51 3 2" xfId="1157" xr:uid="{00000000-0005-0000-0000-000039090000}"/>
    <cellStyle name="Percentuale 51 3 2 2" xfId="2456" xr:uid="{00000000-0005-0000-0000-00003A090000}"/>
    <cellStyle name="Percentuale 51 3 2 2 2" xfId="29240" xr:uid="{A954B3DE-CA8F-4F44-ADDD-7422C153AEA0}"/>
    <cellStyle name="Percentuale 51 3 2 2 3" xfId="29239" xr:uid="{682D9B0B-E39F-4CD2-A5D9-C6B8A83DD9D3}"/>
    <cellStyle name="Percentuale 51 3 2 3" xfId="8163" xr:uid="{2FDF35E0-232C-4420-8E3D-E5D54858EDE0}"/>
    <cellStyle name="Percentuale 51 3 2 3 2" xfId="14162" xr:uid="{2FB542CF-DFC9-4988-83C2-3C460A66A503}"/>
    <cellStyle name="Percentuale 51 3 2 3 3" xfId="29241" xr:uid="{9D0490CF-D8E6-4261-BA03-0657945BEF35}"/>
    <cellStyle name="Percentuale 51 3 2 3 4" xfId="49355" xr:uid="{10B564F5-84EB-420A-B764-789FAEE5A962}"/>
    <cellStyle name="Percentuale 51 3 2 4" xfId="29242" xr:uid="{5681C81F-D9D9-4770-A746-8D080CB38B25}"/>
    <cellStyle name="Percentuale 51 3 2 5" xfId="29238" xr:uid="{CAA45650-ED26-4579-88A0-D40994CD9DA9}"/>
    <cellStyle name="Percentuale 51 3 3" xfId="4455" xr:uid="{EE04CF97-2153-42C9-8EF3-6B5C8D5A1591}"/>
    <cellStyle name="Percentuale 51 3 3 2" xfId="9536" xr:uid="{0AA10940-9ADB-4654-B9F9-60CB8A4620E6}"/>
    <cellStyle name="Percentuale 51 3 3 2 2" xfId="29244" xr:uid="{81E7C343-ED49-4139-93B4-1DD3D288B7C7}"/>
    <cellStyle name="Percentuale 51 3 3 3" xfId="29245" xr:uid="{E9466AD4-78FB-4617-9ED2-4BA6DC2C594B}"/>
    <cellStyle name="Percentuale 51 3 3 4" xfId="29246" xr:uid="{B8B358EE-8959-4AE9-9814-7B2FE94BE149}"/>
    <cellStyle name="Percentuale 51 3 3 4 2" xfId="49356" xr:uid="{7BD8BA9F-1E8A-4D48-B6D6-145FD0A26402}"/>
    <cellStyle name="Percentuale 51 3 3 5" xfId="29243" xr:uid="{A63DFEFA-070B-4101-B98E-56748584AAED}"/>
    <cellStyle name="Percentuale 51 3 4" xfId="4456" xr:uid="{D84EC765-5A93-415B-AEB7-4F5B04EBB4AA}"/>
    <cellStyle name="Percentuale 51 3 4 2" xfId="13823" xr:uid="{7EFF3BB6-4580-4405-87C4-3D4B8260C0EC}"/>
    <cellStyle name="Percentuale 51 3 4 3" xfId="29247" xr:uid="{0E83B20E-0FCE-4EFA-BC25-9D6241D0D74C}"/>
    <cellStyle name="Percentuale 51 3 5" xfId="11202" xr:uid="{BF03FAC3-682C-4C56-B918-1308C596BB4F}"/>
    <cellStyle name="Percentuale 51 3 5 2" xfId="29248" xr:uid="{F2704C35-ED9A-4D16-9B2E-3695AC3FA911}"/>
    <cellStyle name="Percentuale 51 3 6" xfId="29249" xr:uid="{191E8257-F22D-475C-865E-9F8847734310}"/>
    <cellStyle name="Percentuale 51 3 6 2" xfId="49357" xr:uid="{7E21F7DF-A2AC-47B1-A857-06101EA1DD77}"/>
    <cellStyle name="Percentuale 51 3 7" xfId="29250" xr:uid="{2DAACDD1-BD96-4F3B-835D-DA992F0B7BCF}"/>
    <cellStyle name="Percentuale 51 3 8" xfId="29237" xr:uid="{7ABAB820-B694-4757-B482-24FC78D0A757}"/>
    <cellStyle name="Percentuale 51 4" xfId="2457" xr:uid="{00000000-0005-0000-0000-00003B090000}"/>
    <cellStyle name="Percentuale 51 4 2" xfId="2458" xr:uid="{00000000-0005-0000-0000-00003C090000}"/>
    <cellStyle name="Percentuale 51 4 2 2" xfId="9537" xr:uid="{E34253E0-2AB8-4ECF-B373-945584911F68}"/>
    <cellStyle name="Percentuale 51 4 2 2 2" xfId="29253" xr:uid="{5E1AB884-2B47-4E5E-8E1B-2333D30C8433}"/>
    <cellStyle name="Percentuale 51 4 2 3" xfId="17948" xr:uid="{AFAF94D6-9307-4A3C-8947-354288944DEF}"/>
    <cellStyle name="Percentuale 51 4 2 3 2" xfId="29254" xr:uid="{26A46F6A-99DC-4D21-A24D-367B606BBC62}"/>
    <cellStyle name="Percentuale 51 4 2 4" xfId="29252" xr:uid="{3F1A9C14-DC04-45FD-B1E2-1ABE902A11D1}"/>
    <cellStyle name="Percentuale 51 4 2 5" xfId="17558" xr:uid="{7C661FA0-8A1C-4DCD-A1CD-E1BBD1043804}"/>
    <cellStyle name="Percentuale 51 4 3" xfId="9538" xr:uid="{522F633D-E377-4698-AEE3-60251B76C07A}"/>
    <cellStyle name="Percentuale 51 4 3 2" xfId="29255" xr:uid="{8DE9DF62-50C7-4938-AEBB-A5B2D5AFF9DA}"/>
    <cellStyle name="Percentuale 51 4 4" xfId="29256" xr:uid="{1CA08BD2-C1A2-4549-8749-6366F2E81F44}"/>
    <cellStyle name="Percentuale 51 4 5" xfId="29257" xr:uid="{B3A8ECC8-97E9-49F0-93D8-AB9F603BDFCF}"/>
    <cellStyle name="Percentuale 51 4 5 2" xfId="49358" xr:uid="{6912C0D9-4C69-4BA8-9847-4F71A68D8282}"/>
    <cellStyle name="Percentuale 51 4 6" xfId="29258" xr:uid="{5D6B90FC-910B-48CA-BD06-986B6B7CD59F}"/>
    <cellStyle name="Percentuale 51 4 7" xfId="29251" xr:uid="{F5D179CF-D84D-4E6F-8342-9AEA0A881F1C}"/>
    <cellStyle name="Percentuale 51 5" xfId="2459" xr:uid="{00000000-0005-0000-0000-00003D090000}"/>
    <cellStyle name="Percentuale 51 5 2" xfId="29260" xr:uid="{D0EB3C61-2FB6-4B43-BF19-151AB26AD87F}"/>
    <cellStyle name="Percentuale 51 5 3" xfId="29261" xr:uid="{FF431392-B991-4EBD-BC27-99CA3D42C1CC}"/>
    <cellStyle name="Percentuale 51 5 3 2" xfId="49359" xr:uid="{E9A5C8D0-DE5A-4482-8E28-E791D8B9EEB7}"/>
    <cellStyle name="Percentuale 51 5 4" xfId="29262" xr:uid="{2E0F1CD3-0C01-45C1-B956-4BFF4B60C98D}"/>
    <cellStyle name="Percentuale 51 5 5" xfId="29259" xr:uid="{C5D10629-4330-459F-88FD-D6667DFD9197}"/>
    <cellStyle name="Percentuale 51 6" xfId="4457" xr:uid="{5A1A967A-97F1-480D-9B37-7BE2A0CE0039}"/>
    <cellStyle name="Percentuale 51 6 2" xfId="9857" xr:uid="{056A130E-3D05-4496-B147-AC565DF949E9}"/>
    <cellStyle name="Percentuale 51 6 3" xfId="29263" xr:uid="{3AA84A3E-4397-48B3-B19C-593A225BECAC}"/>
    <cellStyle name="Percentuale 51 7" xfId="29264" xr:uid="{2783C303-BA59-4ADD-97F2-905F6EA9799C}"/>
    <cellStyle name="Percentuale 51 7 2" xfId="49360" xr:uid="{86E96D48-B144-479B-AECA-92F914DE0B11}"/>
    <cellStyle name="Percentuale 51 8" xfId="29231" xr:uid="{2D5DEBDF-DBD3-4353-BF68-29F2BF1FE197}"/>
    <cellStyle name="Percentuale 52" xfId="1158" xr:uid="{00000000-0005-0000-0000-00003E090000}"/>
    <cellStyle name="Percentuale 52 2" xfId="1159" xr:uid="{00000000-0005-0000-0000-00003F090000}"/>
    <cellStyle name="Percentuale 52 2 2" xfId="4458" xr:uid="{4BD7B718-94F2-4FC0-BA6A-D6626BD21034}"/>
    <cellStyle name="Percentuale 52 2 2 2" xfId="13609" xr:uid="{F999936B-E2C5-4AB2-8D9F-C425F52C6927}"/>
    <cellStyle name="Percentuale 52 2 2 3" xfId="29267" xr:uid="{0A08187B-1CC7-46A4-884F-08C75852320D}"/>
    <cellStyle name="Percentuale 52 2 3" xfId="13347" xr:uid="{34274DB2-79BA-436C-9ED6-BB77A158F840}"/>
    <cellStyle name="Percentuale 52 2 3 2" xfId="29268" xr:uid="{D54969E7-6AB6-44B1-BB44-2FA382F70E63}"/>
    <cellStyle name="Percentuale 52 2 4" xfId="29269" xr:uid="{2F4621A3-CA69-4B90-9DBB-90A91A5CB38B}"/>
    <cellStyle name="Percentuale 52 2 4 2" xfId="49361" xr:uid="{CD36F221-879A-4F4C-8B3C-61F9CB41F761}"/>
    <cellStyle name="Percentuale 52 2 5" xfId="29270" xr:uid="{9CF36773-323C-4102-B8D7-25C8915E8BE2}"/>
    <cellStyle name="Percentuale 52 2 6" xfId="29266" xr:uid="{C3159CE9-986E-46E9-AD6F-6A9584B76F8B}"/>
    <cellStyle name="Percentuale 52 3" xfId="1160" xr:uid="{00000000-0005-0000-0000-000040090000}"/>
    <cellStyle name="Percentuale 52 3 2" xfId="1161" xr:uid="{00000000-0005-0000-0000-000041090000}"/>
    <cellStyle name="Percentuale 52 3 2 2" xfId="2460" xr:uid="{00000000-0005-0000-0000-000042090000}"/>
    <cellStyle name="Percentuale 52 3 2 2 2" xfId="29274" xr:uid="{303AD431-A091-4E46-8FE2-8EE3008BF620}"/>
    <cellStyle name="Percentuale 52 3 2 2 3" xfId="29273" xr:uid="{19D321FC-B1E6-427C-B48D-C9CA9C51440C}"/>
    <cellStyle name="Percentuale 52 3 2 3" xfId="8164" xr:uid="{C3D9DBB3-31E4-478E-ACE6-A943261658A3}"/>
    <cellStyle name="Percentuale 52 3 2 3 2" xfId="14163" xr:uid="{E5D315DB-EF60-4079-8C41-219DC2D219BB}"/>
    <cellStyle name="Percentuale 52 3 2 3 3" xfId="29275" xr:uid="{5B93A273-4BDF-4EC3-8FC3-51421453817B}"/>
    <cellStyle name="Percentuale 52 3 2 3 4" xfId="49362" xr:uid="{6997AC09-8425-43CD-ADBE-DDC4C7715D36}"/>
    <cellStyle name="Percentuale 52 3 2 4" xfId="29276" xr:uid="{A5E04A6C-C067-4BBB-A87F-C1EDC141B13E}"/>
    <cellStyle name="Percentuale 52 3 2 5" xfId="29272" xr:uid="{2EA84B4E-C099-4577-9856-CE1CD5F299E4}"/>
    <cellStyle name="Percentuale 52 3 3" xfId="4459" xr:uid="{5AD33577-89EB-4739-85FA-A96EEE004D42}"/>
    <cellStyle name="Percentuale 52 3 3 2" xfId="9539" xr:uid="{385EC7ED-A36F-4BA9-A868-D25B1DA9435D}"/>
    <cellStyle name="Percentuale 52 3 3 2 2" xfId="29278" xr:uid="{6640D6DE-81BA-47EA-B41C-ED7B3664DCDC}"/>
    <cellStyle name="Percentuale 52 3 3 3" xfId="29279" xr:uid="{68650BC4-AF02-4F34-918B-FCAB916BE414}"/>
    <cellStyle name="Percentuale 52 3 3 4" xfId="29280" xr:uid="{23558092-9DD8-4581-A147-C097B8502C43}"/>
    <cellStyle name="Percentuale 52 3 3 4 2" xfId="49363" xr:uid="{2814B6C8-1144-40F6-BEE3-A280BCB38F54}"/>
    <cellStyle name="Percentuale 52 3 3 5" xfId="29277" xr:uid="{4F273A5F-BD8A-4220-9A33-705B8636986A}"/>
    <cellStyle name="Percentuale 52 3 4" xfId="4460" xr:uid="{610B74FE-D79D-4230-8123-00B0ED04DD83}"/>
    <cellStyle name="Percentuale 52 3 4 2" xfId="13824" xr:uid="{748B8452-B6A3-4910-ADBD-BFCA27A5E321}"/>
    <cellStyle name="Percentuale 52 3 4 3" xfId="29281" xr:uid="{82B77716-D280-4802-9025-26891B4D5346}"/>
    <cellStyle name="Percentuale 52 3 5" xfId="11100" xr:uid="{4BBFDD29-6A91-47F1-A333-D4A05333FE38}"/>
    <cellStyle name="Percentuale 52 3 5 2" xfId="29282" xr:uid="{77C31A92-25CA-4B6A-A035-86DDCC640790}"/>
    <cellStyle name="Percentuale 52 3 6" xfId="29283" xr:uid="{772E05CF-3FC5-4F9B-851C-A417FB1EDB37}"/>
    <cellStyle name="Percentuale 52 3 6 2" xfId="49364" xr:uid="{2EF2EBAF-B3DC-4751-A3B5-08743B5ECAB2}"/>
    <cellStyle name="Percentuale 52 3 7" xfId="29284" xr:uid="{DEDE028F-72E8-4536-AB42-D90A3053EE7D}"/>
    <cellStyle name="Percentuale 52 3 8" xfId="29271" xr:uid="{A7ACE4F5-4C60-458F-A8A6-D0556B50127E}"/>
    <cellStyle name="Percentuale 52 4" xfId="2461" xr:uid="{00000000-0005-0000-0000-000043090000}"/>
    <cellStyle name="Percentuale 52 4 2" xfId="2462" xr:uid="{00000000-0005-0000-0000-000044090000}"/>
    <cellStyle name="Percentuale 52 4 2 2" xfId="9540" xr:uid="{6D02BAAB-BE95-41D6-B223-8CB21BDABCC2}"/>
    <cellStyle name="Percentuale 52 4 2 2 2" xfId="29287" xr:uid="{DD65F352-8BDC-42FC-A14A-2425D69D4FF2}"/>
    <cellStyle name="Percentuale 52 4 2 3" xfId="17949" xr:uid="{58320E37-83CF-401F-BC65-2914930D4B51}"/>
    <cellStyle name="Percentuale 52 4 2 3 2" xfId="29288" xr:uid="{DFB81C71-0606-4082-8C36-C45EF219DC33}"/>
    <cellStyle name="Percentuale 52 4 2 4" xfId="29286" xr:uid="{5C08CF35-7685-4FB7-A91D-A102C6EE8DC6}"/>
    <cellStyle name="Percentuale 52 4 2 5" xfId="17559" xr:uid="{A6C0C789-3A3F-4AED-B751-18CCC2FEC4AA}"/>
    <cellStyle name="Percentuale 52 4 3" xfId="9541" xr:uid="{201155A2-5BE3-47FD-92DE-D53CA2348E97}"/>
    <cellStyle name="Percentuale 52 4 3 2" xfId="29289" xr:uid="{1F91F81B-7A03-4414-9A96-AA13526DD536}"/>
    <cellStyle name="Percentuale 52 4 4" xfId="29290" xr:uid="{0A80A0F7-65DF-4F89-B519-B3F03E8A2FF8}"/>
    <cellStyle name="Percentuale 52 4 5" xfId="29291" xr:uid="{460FCD85-4547-41A7-8A7D-D7014F63EAD4}"/>
    <cellStyle name="Percentuale 52 4 5 2" xfId="49365" xr:uid="{A8702845-7F35-4FDC-A4DE-AF3F6FDD6072}"/>
    <cellStyle name="Percentuale 52 4 6" xfId="29292" xr:uid="{113EC50D-789A-4D87-A746-B25CA3AEC795}"/>
    <cellStyle name="Percentuale 52 4 7" xfId="29285" xr:uid="{C531900C-CABA-4F6F-8F2D-F858A92B42B0}"/>
    <cellStyle name="Percentuale 52 5" xfId="2463" xr:uid="{00000000-0005-0000-0000-000045090000}"/>
    <cellStyle name="Percentuale 52 5 2" xfId="29294" xr:uid="{DE66C77F-4E8E-4554-9B9F-710343029361}"/>
    <cellStyle name="Percentuale 52 5 3" xfId="29295" xr:uid="{FC82C8BC-29C5-48EE-99CF-10B4D37B0EC7}"/>
    <cellStyle name="Percentuale 52 5 3 2" xfId="49366" xr:uid="{1213AA13-E244-41D9-8860-0091993BBEF2}"/>
    <cellStyle name="Percentuale 52 5 4" xfId="29296" xr:uid="{C3333CE4-4AFA-49BF-BA6C-6AD5752B9F75}"/>
    <cellStyle name="Percentuale 52 5 5" xfId="29293" xr:uid="{2DCDEB15-1311-4F16-AC00-D2B7FF8E46A2}"/>
    <cellStyle name="Percentuale 52 6" xfId="4461" xr:uid="{B246CC44-E1D8-4B9C-91CB-09C8BBEE464F}"/>
    <cellStyle name="Percentuale 52 6 2" xfId="9858" xr:uid="{2EB0B865-8A1C-48EA-AC30-307B12A37699}"/>
    <cellStyle name="Percentuale 52 6 3" xfId="29297" xr:uid="{6EA1956D-EAFB-4ED3-B03D-D2EAA3C54605}"/>
    <cellStyle name="Percentuale 52 7" xfId="29298" xr:uid="{624A3841-200A-4977-9D3D-78BCEBFAB543}"/>
    <cellStyle name="Percentuale 52 7 2" xfId="49367" xr:uid="{F3C1BFE4-AB95-486D-BCE8-D4BC1DA2F3BC}"/>
    <cellStyle name="Percentuale 52 8" xfId="29265" xr:uid="{792F089C-1C01-4258-B0A8-1D942CCFDD13}"/>
    <cellStyle name="Percentuale 53" xfId="1162" xr:uid="{00000000-0005-0000-0000-000046090000}"/>
    <cellStyle name="Percentuale 53 2" xfId="1163" xr:uid="{00000000-0005-0000-0000-000047090000}"/>
    <cellStyle name="Percentuale 53 2 2" xfId="4462" xr:uid="{61903179-40AF-436F-9F66-4D48965D5CE7}"/>
    <cellStyle name="Percentuale 53 2 2 2" xfId="13610" xr:uid="{52EF19C3-FB8C-4E7D-AA2D-E54C51AC3CD1}"/>
    <cellStyle name="Percentuale 53 2 2 3" xfId="29301" xr:uid="{775A31D8-F15E-45BC-939E-ACE45650B092}"/>
    <cellStyle name="Percentuale 53 2 3" xfId="13348" xr:uid="{05E3249C-1B39-4A47-9728-6720BD9A14FB}"/>
    <cellStyle name="Percentuale 53 2 3 2" xfId="29302" xr:uid="{F23DC505-DDF2-4C05-BCBC-61F5528C3886}"/>
    <cellStyle name="Percentuale 53 2 4" xfId="29303" xr:uid="{602F8E92-7AC0-4324-99C0-443C1D6FB4D4}"/>
    <cellStyle name="Percentuale 53 2 4 2" xfId="49368" xr:uid="{E23A53F8-6FCA-4CAD-B92E-FFBE6973AD96}"/>
    <cellStyle name="Percentuale 53 2 5" xfId="29304" xr:uid="{170A2D5A-8B4F-427F-ADC5-BA4D07D009A3}"/>
    <cellStyle name="Percentuale 53 2 6" xfId="29300" xr:uid="{A2EB01ED-B0A4-4D3F-AD76-B74C2B9CA7C0}"/>
    <cellStyle name="Percentuale 53 3" xfId="1164" xr:uid="{00000000-0005-0000-0000-000048090000}"/>
    <cellStyle name="Percentuale 53 3 2" xfId="1165" xr:uid="{00000000-0005-0000-0000-000049090000}"/>
    <cellStyle name="Percentuale 53 3 2 2" xfId="2464" xr:uid="{00000000-0005-0000-0000-00004A090000}"/>
    <cellStyle name="Percentuale 53 3 2 2 2" xfId="29308" xr:uid="{E999B711-07E9-44D4-99DA-2AC2E006DB74}"/>
    <cellStyle name="Percentuale 53 3 2 2 3" xfId="29307" xr:uid="{FEFA5A69-F6BD-430E-8470-040D515EAD39}"/>
    <cellStyle name="Percentuale 53 3 2 3" xfId="8165" xr:uid="{384A91A4-233B-4177-AABE-A97790E95910}"/>
    <cellStyle name="Percentuale 53 3 2 3 2" xfId="14164" xr:uid="{B939EFC4-91E5-417D-8C08-1B68C711FD7B}"/>
    <cellStyle name="Percentuale 53 3 2 3 3" xfId="29309" xr:uid="{7118D24E-9DE5-4265-97A6-A4E8A376F209}"/>
    <cellStyle name="Percentuale 53 3 2 3 4" xfId="49369" xr:uid="{F3CC97B5-400F-438A-B48F-E9C57752A4F7}"/>
    <cellStyle name="Percentuale 53 3 2 4" xfId="29310" xr:uid="{DD587B54-3BB7-47A4-8ADE-928425190C8A}"/>
    <cellStyle name="Percentuale 53 3 2 5" xfId="29306" xr:uid="{72228C5C-9F66-4962-A2C0-9FAC4E5CDFEC}"/>
    <cellStyle name="Percentuale 53 3 3" xfId="4463" xr:uid="{73EEBFFD-F94D-4600-A89A-9102246D6226}"/>
    <cellStyle name="Percentuale 53 3 3 2" xfId="9542" xr:uid="{509FE8C9-3551-4C60-9350-CE498AEA55E4}"/>
    <cellStyle name="Percentuale 53 3 3 2 2" xfId="29312" xr:uid="{C87E4BA9-1BF8-4A67-8947-EEA6C37ED918}"/>
    <cellStyle name="Percentuale 53 3 3 3" xfId="29313" xr:uid="{C5C06BA3-82D2-48A2-AB2F-4DE5F628AC66}"/>
    <cellStyle name="Percentuale 53 3 3 4" xfId="29314" xr:uid="{109067E0-C59F-4A40-8AF9-A9AEA41AA2D7}"/>
    <cellStyle name="Percentuale 53 3 3 4 2" xfId="49370" xr:uid="{599D0218-5871-43EA-B0EF-A12D05E0D71D}"/>
    <cellStyle name="Percentuale 53 3 3 5" xfId="29311" xr:uid="{3EF15F16-168E-4C72-810F-7431A3117EC3}"/>
    <cellStyle name="Percentuale 53 3 4" xfId="4464" xr:uid="{A480B3C7-376C-4DB9-9A33-2F857A572DAD}"/>
    <cellStyle name="Percentuale 53 3 4 2" xfId="13825" xr:uid="{6DD83D50-363E-4192-B65A-C145F0AF6106}"/>
    <cellStyle name="Percentuale 53 3 4 3" xfId="29315" xr:uid="{A32AEB8D-A7E9-4B24-ACB5-BBC2D680F89F}"/>
    <cellStyle name="Percentuale 53 3 5" xfId="11149" xr:uid="{46C6697D-CEBC-4AB8-9683-2FC64A1C8ACD}"/>
    <cellStyle name="Percentuale 53 3 5 2" xfId="29316" xr:uid="{5BF53576-E84F-44A0-B12C-1BD24FCD87CB}"/>
    <cellStyle name="Percentuale 53 3 6" xfId="29317" xr:uid="{908C3E74-8457-4D70-822F-190CC883D078}"/>
    <cellStyle name="Percentuale 53 3 6 2" xfId="49371" xr:uid="{F14D5CC6-B720-425F-9A9C-26FB8E8329FC}"/>
    <cellStyle name="Percentuale 53 3 7" xfId="29318" xr:uid="{BC498B31-2EBF-40A8-A49F-243D0B46EDAD}"/>
    <cellStyle name="Percentuale 53 3 8" xfId="29305" xr:uid="{CE7F98DC-3376-478E-9A6F-FFAE17E74FD2}"/>
    <cellStyle name="Percentuale 53 4" xfId="2465" xr:uid="{00000000-0005-0000-0000-00004B090000}"/>
    <cellStyle name="Percentuale 53 4 2" xfId="2466" xr:uid="{00000000-0005-0000-0000-00004C090000}"/>
    <cellStyle name="Percentuale 53 4 2 2" xfId="9543" xr:uid="{BABB92F4-5DDE-41E8-804F-E99322A9D42B}"/>
    <cellStyle name="Percentuale 53 4 2 2 2" xfId="29321" xr:uid="{82B86100-5CDE-4867-A7B9-0C713304ABDE}"/>
    <cellStyle name="Percentuale 53 4 2 3" xfId="17950" xr:uid="{28E98D15-783E-46F7-BC5B-C3FF655C30B2}"/>
    <cellStyle name="Percentuale 53 4 2 3 2" xfId="29322" xr:uid="{9CBC0E8E-985F-4F56-807B-6DAEDE55D5FF}"/>
    <cellStyle name="Percentuale 53 4 2 4" xfId="29320" xr:uid="{9C785E75-4F3D-4D70-BFCB-6EEC5B2C9056}"/>
    <cellStyle name="Percentuale 53 4 2 5" xfId="17560" xr:uid="{8CC2E5B4-D8FE-484D-85EE-0B132065B95E}"/>
    <cellStyle name="Percentuale 53 4 3" xfId="9544" xr:uid="{3A3BF43F-5922-4BB8-BD3A-263469CD3F71}"/>
    <cellStyle name="Percentuale 53 4 3 2" xfId="29323" xr:uid="{B6949EEA-282F-4A6B-980D-E9E40EEC34DD}"/>
    <cellStyle name="Percentuale 53 4 4" xfId="29324" xr:uid="{0066B84C-E92C-42E1-8059-490777D1191D}"/>
    <cellStyle name="Percentuale 53 4 5" xfId="29325" xr:uid="{FD4973C9-BABB-4609-97C1-B8A3E97FF3C1}"/>
    <cellStyle name="Percentuale 53 4 5 2" xfId="49372" xr:uid="{B46D378F-8FC7-4AE9-B2A9-7AC6728AD3FA}"/>
    <cellStyle name="Percentuale 53 4 6" xfId="29326" xr:uid="{C54EBCAB-D68C-4B26-B829-D90A0450AD39}"/>
    <cellStyle name="Percentuale 53 4 7" xfId="29319" xr:uid="{964A1254-0D91-4FB2-8B31-5A7618FB77FD}"/>
    <cellStyle name="Percentuale 53 5" xfId="2467" xr:uid="{00000000-0005-0000-0000-00004D090000}"/>
    <cellStyle name="Percentuale 53 5 2" xfId="29328" xr:uid="{E95F4CB1-16B2-47C4-8A36-BD4425623EA1}"/>
    <cellStyle name="Percentuale 53 5 3" xfId="29329" xr:uid="{5C394145-B4A0-42A8-9834-A3505DB1E814}"/>
    <cellStyle name="Percentuale 53 5 3 2" xfId="49373" xr:uid="{AAD55F5A-AD7E-4683-9538-61B88038FB28}"/>
    <cellStyle name="Percentuale 53 5 4" xfId="29330" xr:uid="{2E98C624-0EDE-4BD9-9548-00E4BEF6CD33}"/>
    <cellStyle name="Percentuale 53 5 5" xfId="29327" xr:uid="{1CC29F7A-E6BD-4EA2-9EB6-1CC4520EBF2A}"/>
    <cellStyle name="Percentuale 53 6" xfId="4465" xr:uid="{6BB39013-892E-48F3-BEE5-BB1EBF0493BD}"/>
    <cellStyle name="Percentuale 53 6 2" xfId="9859" xr:uid="{53E63DA0-45AC-429D-889C-3BB51BE977D5}"/>
    <cellStyle name="Percentuale 53 6 3" xfId="29331" xr:uid="{EB60F69F-1DD3-4F08-924F-37913E819322}"/>
    <cellStyle name="Percentuale 53 7" xfId="29332" xr:uid="{1763E743-BC81-4FF7-9E03-0EFAEB86283B}"/>
    <cellStyle name="Percentuale 53 7 2" xfId="49374" xr:uid="{42F12CBF-F43F-4666-BB83-83249C99F6E7}"/>
    <cellStyle name="Percentuale 53 8" xfId="29299" xr:uid="{0F78D449-E2A8-4B93-B949-3380479A847A}"/>
    <cellStyle name="Percentuale 54" xfId="1166" xr:uid="{00000000-0005-0000-0000-00004E090000}"/>
    <cellStyle name="Percentuale 54 2" xfId="1167" xr:uid="{00000000-0005-0000-0000-00004F090000}"/>
    <cellStyle name="Percentuale 54 2 2" xfId="4466" xr:uid="{9CB51E58-AE54-4921-B5AE-AD6820279209}"/>
    <cellStyle name="Percentuale 54 2 2 2" xfId="13611" xr:uid="{94433352-86B8-4F09-8D8E-C367CFDBEB76}"/>
    <cellStyle name="Percentuale 54 2 2 3" xfId="29335" xr:uid="{24AD89DA-287A-448E-9E98-8CA24D3BFFC6}"/>
    <cellStyle name="Percentuale 54 2 3" xfId="13349" xr:uid="{6E89F56E-C5E0-4762-BEE9-1B460F7714BC}"/>
    <cellStyle name="Percentuale 54 2 3 2" xfId="29336" xr:uid="{19E2275C-8CB8-45B5-8E93-F818F4D85FFC}"/>
    <cellStyle name="Percentuale 54 2 4" xfId="29337" xr:uid="{91AD2FC3-B4CF-4E0A-893F-0A45D37F8050}"/>
    <cellStyle name="Percentuale 54 2 4 2" xfId="49375" xr:uid="{CE21182A-DE12-4665-9962-173E069B99F3}"/>
    <cellStyle name="Percentuale 54 2 5" xfId="29338" xr:uid="{CD6BB20A-B9D2-4B19-A0A1-C13460704EB5}"/>
    <cellStyle name="Percentuale 54 2 6" xfId="29334" xr:uid="{EADF3066-9783-4265-A140-EC52458D650B}"/>
    <cellStyle name="Percentuale 54 3" xfId="1168" xr:uid="{00000000-0005-0000-0000-000050090000}"/>
    <cellStyle name="Percentuale 54 3 2" xfId="1169" xr:uid="{00000000-0005-0000-0000-000051090000}"/>
    <cellStyle name="Percentuale 54 3 2 2" xfId="2468" xr:uid="{00000000-0005-0000-0000-000052090000}"/>
    <cellStyle name="Percentuale 54 3 2 2 2" xfId="29342" xr:uid="{F7C60E93-84DE-45FD-8B32-7EC7778A5942}"/>
    <cellStyle name="Percentuale 54 3 2 2 3" xfId="29341" xr:uid="{9CD248D5-822F-4FFB-A2CC-B18A21EA96B6}"/>
    <cellStyle name="Percentuale 54 3 2 3" xfId="8166" xr:uid="{8A18DE06-8251-42CF-B7B4-F08F50D59A43}"/>
    <cellStyle name="Percentuale 54 3 2 3 2" xfId="14165" xr:uid="{1FB27557-972D-469B-A343-49B8BA578798}"/>
    <cellStyle name="Percentuale 54 3 2 3 3" xfId="29343" xr:uid="{460D7558-1022-4E1F-8661-FD64C8A301D3}"/>
    <cellStyle name="Percentuale 54 3 2 3 4" xfId="49376" xr:uid="{65B3961E-B305-4BE1-8845-B11B7B587342}"/>
    <cellStyle name="Percentuale 54 3 2 4" xfId="29344" xr:uid="{1DEBA949-EAEF-41BD-A164-D7881F8AAE76}"/>
    <cellStyle name="Percentuale 54 3 2 5" xfId="29340" xr:uid="{AC59A862-AEB5-4DA7-B726-B2A4B419A436}"/>
    <cellStyle name="Percentuale 54 3 3" xfId="4467" xr:uid="{1AFC0FB9-37D3-41E3-929E-2571C5F13EBD}"/>
    <cellStyle name="Percentuale 54 3 3 2" xfId="9545" xr:uid="{97861677-51E9-4313-8EC1-F3DA2EFEE9E2}"/>
    <cellStyle name="Percentuale 54 3 3 2 2" xfId="29346" xr:uid="{3CC56120-0C68-4EBC-BCF0-32F0284B5A72}"/>
    <cellStyle name="Percentuale 54 3 3 3" xfId="29347" xr:uid="{27F4D882-6042-4A8D-A488-6178A50774E8}"/>
    <cellStyle name="Percentuale 54 3 3 4" xfId="29348" xr:uid="{71A54F45-87F2-4A38-97A1-9E2B9BF53E5F}"/>
    <cellStyle name="Percentuale 54 3 3 4 2" xfId="49377" xr:uid="{3296F168-2962-4CA6-977F-5018703AE3C1}"/>
    <cellStyle name="Percentuale 54 3 3 5" xfId="29345" xr:uid="{5AE3C42F-9204-4749-871D-1ACDEB47C339}"/>
    <cellStyle name="Percentuale 54 3 4" xfId="4468" xr:uid="{93EA9C93-C781-475A-8DD1-937844A4F1CC}"/>
    <cellStyle name="Percentuale 54 3 4 2" xfId="13826" xr:uid="{7AEA055F-8D6F-40FC-B538-E2E4999CD42D}"/>
    <cellStyle name="Percentuale 54 3 4 3" xfId="29349" xr:uid="{05295746-8DED-4D2B-92FF-0B9B5214ACC2}"/>
    <cellStyle name="Percentuale 54 3 5" xfId="12444" xr:uid="{23B90E1A-125E-4A28-93A5-1E6EA6076233}"/>
    <cellStyle name="Percentuale 54 3 5 2" xfId="29350" xr:uid="{4D99B90F-4944-452D-8226-CC13B4C812E5}"/>
    <cellStyle name="Percentuale 54 3 6" xfId="29351" xr:uid="{9D09921A-5FA1-4BFF-A4BC-7E06606B9B71}"/>
    <cellStyle name="Percentuale 54 3 6 2" xfId="49378" xr:uid="{795290F1-047D-41D8-9550-BB8D50E41391}"/>
    <cellStyle name="Percentuale 54 3 7" xfId="29352" xr:uid="{B7295BA0-F8BB-49BC-9C5E-F469B7F30A58}"/>
    <cellStyle name="Percentuale 54 3 8" xfId="29339" xr:uid="{0239128C-402A-4454-97B0-97EEE89CBAAD}"/>
    <cellStyle name="Percentuale 54 4" xfId="2469" xr:uid="{00000000-0005-0000-0000-000053090000}"/>
    <cellStyle name="Percentuale 54 4 2" xfId="2470" xr:uid="{00000000-0005-0000-0000-000054090000}"/>
    <cellStyle name="Percentuale 54 4 2 2" xfId="9546" xr:uid="{C18F473C-BD26-4281-8777-0E64261946F2}"/>
    <cellStyle name="Percentuale 54 4 2 2 2" xfId="29355" xr:uid="{5E2C58B3-CC3E-4282-A9BE-793CB1582018}"/>
    <cellStyle name="Percentuale 54 4 2 3" xfId="17951" xr:uid="{03086B8F-E982-452F-9C73-49699B9D7F1D}"/>
    <cellStyle name="Percentuale 54 4 2 3 2" xfId="29356" xr:uid="{62539E07-30FA-4459-9B4E-7FA164F48D63}"/>
    <cellStyle name="Percentuale 54 4 2 4" xfId="29354" xr:uid="{E5569C75-0F62-4C59-8356-8D78B2AF9EB9}"/>
    <cellStyle name="Percentuale 54 4 2 5" xfId="17561" xr:uid="{F0C53031-B8C3-466F-BC6A-91D09E7710B8}"/>
    <cellStyle name="Percentuale 54 4 3" xfId="9547" xr:uid="{CF048925-CFCA-4A82-9087-E920207B0E60}"/>
    <cellStyle name="Percentuale 54 4 3 2" xfId="29357" xr:uid="{A203A486-FD4C-4DA1-827B-1191BC09E9B4}"/>
    <cellStyle name="Percentuale 54 4 4" xfId="29358" xr:uid="{00A54A84-2A84-418F-8A03-299F592C561D}"/>
    <cellStyle name="Percentuale 54 4 5" xfId="29359" xr:uid="{25D19E1A-531C-411D-BE42-CFE22AA09027}"/>
    <cellStyle name="Percentuale 54 4 5 2" xfId="49379" xr:uid="{66C3FE1F-B3C9-46B0-9499-A814E49EEA8C}"/>
    <cellStyle name="Percentuale 54 4 6" xfId="29360" xr:uid="{C3BDF8B7-A9EA-482E-A871-4B871E005C64}"/>
    <cellStyle name="Percentuale 54 4 7" xfId="29353" xr:uid="{6A40EBB1-4A42-46A8-A24A-9D19125F53DC}"/>
    <cellStyle name="Percentuale 54 5" xfId="2471" xr:uid="{00000000-0005-0000-0000-000055090000}"/>
    <cellStyle name="Percentuale 54 5 2" xfId="29362" xr:uid="{6EEF35B1-1302-480F-9B7C-2F33939B8F10}"/>
    <cellStyle name="Percentuale 54 5 3" xfId="29363" xr:uid="{E6B3BBAB-1D28-492A-B1FE-EADDBAF2A9DF}"/>
    <cellStyle name="Percentuale 54 5 3 2" xfId="49380" xr:uid="{8FE01A1C-DC8F-42E8-8C8C-14A3114FE397}"/>
    <cellStyle name="Percentuale 54 5 4" xfId="29364" xr:uid="{28433A82-C817-400C-A6B0-3EE6C0C42483}"/>
    <cellStyle name="Percentuale 54 5 5" xfId="29361" xr:uid="{65E57F4D-2243-440D-B70B-7F744EA5F226}"/>
    <cellStyle name="Percentuale 54 6" xfId="4469" xr:uid="{6CECE403-2B12-45D1-88B1-DFF6DD22191D}"/>
    <cellStyle name="Percentuale 54 6 2" xfId="9860" xr:uid="{01DAEAA4-E1E3-444E-AC12-DEF030E13631}"/>
    <cellStyle name="Percentuale 54 6 3" xfId="29365" xr:uid="{D1158EB6-7F34-4A92-BA48-6EB14AA8BC16}"/>
    <cellStyle name="Percentuale 54 7" xfId="29366" xr:uid="{EC99510C-FDDD-4524-BA42-2517CE395F55}"/>
    <cellStyle name="Percentuale 54 7 2" xfId="49381" xr:uid="{2F9D93D0-C257-4580-8989-966E8A9AA970}"/>
    <cellStyle name="Percentuale 54 8" xfId="29333" xr:uid="{3507E3D6-4EE9-4F57-9F5D-4F5BB40C6C59}"/>
    <cellStyle name="Percentuale 55" xfId="1170" xr:uid="{00000000-0005-0000-0000-000056090000}"/>
    <cellStyle name="Percentuale 55 2" xfId="1171" xr:uid="{00000000-0005-0000-0000-000057090000}"/>
    <cellStyle name="Percentuale 55 2 2" xfId="4470" xr:uid="{F977554A-A1E0-4371-A64D-8DFB23416A3E}"/>
    <cellStyle name="Percentuale 55 2 2 2" xfId="13612" xr:uid="{261B27C8-8A21-47D6-B39B-EE45CFF5B369}"/>
    <cellStyle name="Percentuale 55 2 2 3" xfId="29369" xr:uid="{00CD2697-4A54-47A5-A545-492143AD4283}"/>
    <cellStyle name="Percentuale 55 2 3" xfId="13350" xr:uid="{2E6CADAC-B32C-48C8-BD11-8A304F92F864}"/>
    <cellStyle name="Percentuale 55 2 3 2" xfId="29370" xr:uid="{7B6A6DE1-8E37-4B64-B4EA-D9027F6D8C91}"/>
    <cellStyle name="Percentuale 55 2 4" xfId="29371" xr:uid="{5A5E256A-27B8-46C2-8D3A-45C931EC4852}"/>
    <cellStyle name="Percentuale 55 2 4 2" xfId="49382" xr:uid="{9A42E6A7-E15B-46EF-8F42-B3FFCFC0CC75}"/>
    <cellStyle name="Percentuale 55 2 5" xfId="29372" xr:uid="{B1E4E81C-6249-4F77-9E5B-606C02118AD1}"/>
    <cellStyle name="Percentuale 55 2 6" xfId="29368" xr:uid="{161F9FB9-6F21-4882-900D-0EB9E3C3366A}"/>
    <cellStyle name="Percentuale 55 3" xfId="1172" xr:uid="{00000000-0005-0000-0000-000058090000}"/>
    <cellStyle name="Percentuale 55 3 2" xfId="1173" xr:uid="{00000000-0005-0000-0000-000059090000}"/>
    <cellStyle name="Percentuale 55 3 2 2" xfId="2472" xr:uid="{00000000-0005-0000-0000-00005A090000}"/>
    <cellStyle name="Percentuale 55 3 2 2 2" xfId="29376" xr:uid="{768CD86E-3D48-4C37-AFBA-44B680BBAFEA}"/>
    <cellStyle name="Percentuale 55 3 2 2 3" xfId="29375" xr:uid="{E62B20CE-EABD-47C3-9EC8-989EBA0AA855}"/>
    <cellStyle name="Percentuale 55 3 2 3" xfId="8167" xr:uid="{FB77503F-077B-4B86-8987-69FCE2FC54C3}"/>
    <cellStyle name="Percentuale 55 3 2 3 2" xfId="14166" xr:uid="{72E1973D-8FBA-4447-9319-4CC88AC67D21}"/>
    <cellStyle name="Percentuale 55 3 2 3 3" xfId="29377" xr:uid="{E691DAAC-29C6-4DE3-B18C-A2EACAB3A480}"/>
    <cellStyle name="Percentuale 55 3 2 3 4" xfId="49383" xr:uid="{9BFA03E0-882E-48AF-B43A-EA8245E6D92B}"/>
    <cellStyle name="Percentuale 55 3 2 4" xfId="29378" xr:uid="{021F088F-BA89-401E-B332-24C10C5F7C0F}"/>
    <cellStyle name="Percentuale 55 3 2 5" xfId="29374" xr:uid="{1CB7A934-1FCB-42CB-82CD-792858577D95}"/>
    <cellStyle name="Percentuale 55 3 3" xfId="4471" xr:uid="{C2FFB8A8-5D03-4ED2-BE07-006F14C9E749}"/>
    <cellStyle name="Percentuale 55 3 3 2" xfId="9548" xr:uid="{D2BE6383-12A6-40CD-BFA9-09FA1A02A912}"/>
    <cellStyle name="Percentuale 55 3 3 2 2" xfId="29380" xr:uid="{8E4400AA-D812-442D-9DBF-B0C97D00B52A}"/>
    <cellStyle name="Percentuale 55 3 3 3" xfId="29381" xr:uid="{13693C22-B3F7-4F29-943D-1D3E402A98A2}"/>
    <cellStyle name="Percentuale 55 3 3 4" xfId="29382" xr:uid="{5692E7B7-3433-42A6-87CA-8E1829CA4BCC}"/>
    <cellStyle name="Percentuale 55 3 3 4 2" xfId="49384" xr:uid="{B737618A-C51F-403B-A3CE-3867D36D9F0B}"/>
    <cellStyle name="Percentuale 55 3 3 5" xfId="29379" xr:uid="{69DFFAA7-A253-4173-9447-812039E0C9A1}"/>
    <cellStyle name="Percentuale 55 3 4" xfId="4472" xr:uid="{001A7FF7-02E7-4400-AC99-85F2DD4CE3F9}"/>
    <cellStyle name="Percentuale 55 3 4 2" xfId="13827" xr:uid="{0C7065DC-9937-4B5F-B47E-F9539290E51D}"/>
    <cellStyle name="Percentuale 55 3 4 3" xfId="29383" xr:uid="{4D632E55-618D-4D09-80CC-C0F69F6F7B37}"/>
    <cellStyle name="Percentuale 55 3 5" xfId="11091" xr:uid="{BDD772E3-D91E-4871-9968-8B8BD03DCD94}"/>
    <cellStyle name="Percentuale 55 3 5 2" xfId="29384" xr:uid="{17B8D922-63D8-4B89-9666-6CB2E705BEC8}"/>
    <cellStyle name="Percentuale 55 3 6" xfId="29385" xr:uid="{1775C313-FB47-475D-AFFC-BB7E40B799EB}"/>
    <cellStyle name="Percentuale 55 3 6 2" xfId="49385" xr:uid="{0DAC025D-7EF3-4DAD-8637-B576E9301373}"/>
    <cellStyle name="Percentuale 55 3 7" xfId="29386" xr:uid="{4B042283-080E-4477-A199-F04C3DCF8ED8}"/>
    <cellStyle name="Percentuale 55 3 8" xfId="29373" xr:uid="{3409EB22-7DE7-4AFF-BAB5-9D1A44CACA75}"/>
    <cellStyle name="Percentuale 55 4" xfId="2473" xr:uid="{00000000-0005-0000-0000-00005B090000}"/>
    <cellStyle name="Percentuale 55 4 2" xfId="2474" xr:uid="{00000000-0005-0000-0000-00005C090000}"/>
    <cellStyle name="Percentuale 55 4 2 2" xfId="9549" xr:uid="{53AC282B-D0C5-46D8-9016-99D47B8C70DA}"/>
    <cellStyle name="Percentuale 55 4 2 2 2" xfId="29389" xr:uid="{1D4D563B-D18A-4B99-8280-A972172BA04B}"/>
    <cellStyle name="Percentuale 55 4 2 3" xfId="17952" xr:uid="{2F0C6D83-D131-474F-BDBA-B4B438FF6D72}"/>
    <cellStyle name="Percentuale 55 4 2 3 2" xfId="29390" xr:uid="{D56ECE58-1476-442F-A191-FDA5BEEE52F5}"/>
    <cellStyle name="Percentuale 55 4 2 4" xfId="29388" xr:uid="{46E1E8D3-FB4C-4E58-9F44-AAC570C859D3}"/>
    <cellStyle name="Percentuale 55 4 2 5" xfId="17562" xr:uid="{075CAC2F-973D-4840-ACD4-0FB863C85BEA}"/>
    <cellStyle name="Percentuale 55 4 3" xfId="9550" xr:uid="{76A31C9A-6C3D-4A2D-B176-44676B2883B4}"/>
    <cellStyle name="Percentuale 55 4 3 2" xfId="29391" xr:uid="{48553474-AA16-4B8C-A6A0-64D4CCC71F24}"/>
    <cellStyle name="Percentuale 55 4 4" xfId="29392" xr:uid="{81C32C01-C1BA-4A86-BC3A-F03BDF2F97D9}"/>
    <cellStyle name="Percentuale 55 4 5" xfId="29393" xr:uid="{A771B145-0329-42C8-B99A-8C74D266F5FA}"/>
    <cellStyle name="Percentuale 55 4 5 2" xfId="49386" xr:uid="{DF33CAC7-48AD-4AD9-A5F8-4415AB6B410D}"/>
    <cellStyle name="Percentuale 55 4 6" xfId="29394" xr:uid="{85BBAF57-7211-475E-995D-4BBF6608B43C}"/>
    <cellStyle name="Percentuale 55 4 7" xfId="29387" xr:uid="{BC63B229-71AF-49E8-BAEE-9547D3F638F7}"/>
    <cellStyle name="Percentuale 55 5" xfId="2475" xr:uid="{00000000-0005-0000-0000-00005D090000}"/>
    <cellStyle name="Percentuale 55 5 2" xfId="29396" xr:uid="{FC0E9DE3-07F8-4104-B72D-12E979284010}"/>
    <cellStyle name="Percentuale 55 5 3" xfId="29397" xr:uid="{2BC90B33-F5AE-4B3E-BC32-1B1C10D20CBD}"/>
    <cellStyle name="Percentuale 55 5 3 2" xfId="49387" xr:uid="{E81B7267-8C60-465C-AA6D-95A16EB7941E}"/>
    <cellStyle name="Percentuale 55 5 4" xfId="29398" xr:uid="{E910BCD5-6186-495A-884F-BB7823126896}"/>
    <cellStyle name="Percentuale 55 5 5" xfId="29395" xr:uid="{FD72D246-B088-42A6-A716-3246C94A3790}"/>
    <cellStyle name="Percentuale 55 6" xfId="4473" xr:uid="{5CBE3484-BF68-442A-9E8D-E89ABD37FFB0}"/>
    <cellStyle name="Percentuale 55 6 2" xfId="9861" xr:uid="{42CA5658-E0E5-47A9-80B9-976237AACDB8}"/>
    <cellStyle name="Percentuale 55 6 3" xfId="29399" xr:uid="{B836F89D-CDFD-413C-A0CE-D51AE8BDC455}"/>
    <cellStyle name="Percentuale 55 7" xfId="29400" xr:uid="{BCE8AB7C-34F6-44D5-B677-49649BBB810B}"/>
    <cellStyle name="Percentuale 55 7 2" xfId="49388" xr:uid="{D0C03CD6-1308-4CC5-8603-B10B6BD5A0F0}"/>
    <cellStyle name="Percentuale 55 8" xfId="29367" xr:uid="{708D938C-ADC5-4202-8CB6-89EEF012D117}"/>
    <cellStyle name="Percentuale 56" xfId="1174" xr:uid="{00000000-0005-0000-0000-00005E090000}"/>
    <cellStyle name="Percentuale 56 2" xfId="1175" xr:uid="{00000000-0005-0000-0000-00005F090000}"/>
    <cellStyle name="Percentuale 56 2 2" xfId="4474" xr:uid="{F0A729FD-68FA-4960-B068-48806F9B3947}"/>
    <cellStyle name="Percentuale 56 2 2 2" xfId="13613" xr:uid="{4F39F6A1-4DEF-4AE7-9240-431B3528B9AF}"/>
    <cellStyle name="Percentuale 56 2 2 3" xfId="29403" xr:uid="{D1E3A082-6FEC-47D8-8FAE-A15B04DDCF19}"/>
    <cellStyle name="Percentuale 56 2 3" xfId="13351" xr:uid="{F7127C1F-CF0A-47DD-99B4-0AF4AFFB097C}"/>
    <cellStyle name="Percentuale 56 2 3 2" xfId="29404" xr:uid="{F461F4A5-5FE5-477A-958E-16CF087A2766}"/>
    <cellStyle name="Percentuale 56 2 4" xfId="29405" xr:uid="{997BF474-D49C-4B1A-80C2-C8EB4DECE804}"/>
    <cellStyle name="Percentuale 56 2 4 2" xfId="49389" xr:uid="{94287EE0-0FD4-4E37-A256-63A13FE8E02E}"/>
    <cellStyle name="Percentuale 56 2 5" xfId="29406" xr:uid="{FF018137-30BF-4DB6-AE0F-4F90E02FF699}"/>
    <cellStyle name="Percentuale 56 2 6" xfId="29402" xr:uid="{2793A5F4-ED55-4ECD-BBEB-533C73596ACD}"/>
    <cellStyle name="Percentuale 56 3" xfId="1176" xr:uid="{00000000-0005-0000-0000-000060090000}"/>
    <cellStyle name="Percentuale 56 3 2" xfId="1177" xr:uid="{00000000-0005-0000-0000-000061090000}"/>
    <cellStyle name="Percentuale 56 3 2 2" xfId="2476" xr:uid="{00000000-0005-0000-0000-000062090000}"/>
    <cellStyle name="Percentuale 56 3 2 2 2" xfId="29410" xr:uid="{0B71B231-D3C5-4748-B82D-74E2348B6560}"/>
    <cellStyle name="Percentuale 56 3 2 2 3" xfId="29409" xr:uid="{2A9CFA4C-CEA9-47E1-8A3D-D3B37A7B131A}"/>
    <cellStyle name="Percentuale 56 3 2 3" xfId="8168" xr:uid="{AFB2EDC4-7BD4-42A2-BE4C-DA747D87DE23}"/>
    <cellStyle name="Percentuale 56 3 2 3 2" xfId="14167" xr:uid="{8F1D520D-7E21-48FB-A0D4-AE44A417A98F}"/>
    <cellStyle name="Percentuale 56 3 2 3 3" xfId="29411" xr:uid="{46996D8B-B72A-4729-9DEB-B59D89F52EEC}"/>
    <cellStyle name="Percentuale 56 3 2 3 4" xfId="49390" xr:uid="{21A52B25-9514-4AC1-B780-92AE7CB1ABD0}"/>
    <cellStyle name="Percentuale 56 3 2 4" xfId="29412" xr:uid="{E840C89D-D585-44AC-8751-252CB6AE677F}"/>
    <cellStyle name="Percentuale 56 3 2 5" xfId="29408" xr:uid="{411F648F-8A51-40E2-809E-A86D39A16B4A}"/>
    <cellStyle name="Percentuale 56 3 3" xfId="4475" xr:uid="{15F86343-1FE0-4152-AC6A-79AD02705EF5}"/>
    <cellStyle name="Percentuale 56 3 3 2" xfId="9551" xr:uid="{B9E38259-E31F-4639-B598-01F21C3A4CA6}"/>
    <cellStyle name="Percentuale 56 3 3 2 2" xfId="29414" xr:uid="{6B83BA1A-9C16-4D32-B310-408F78A0F24E}"/>
    <cellStyle name="Percentuale 56 3 3 3" xfId="29415" xr:uid="{079BEC42-4D6D-4887-8894-63D8D996D686}"/>
    <cellStyle name="Percentuale 56 3 3 4" xfId="29416" xr:uid="{B1ECE60F-1917-46CA-BAA3-9D0219D906CD}"/>
    <cellStyle name="Percentuale 56 3 3 4 2" xfId="49391" xr:uid="{D79DF9A0-1F97-4CAC-AA0E-384F6636FC55}"/>
    <cellStyle name="Percentuale 56 3 3 5" xfId="29413" xr:uid="{EAB86EE6-58EF-4C3E-994C-095D59783724}"/>
    <cellStyle name="Percentuale 56 3 4" xfId="4476" xr:uid="{BCAEFA1A-ADA8-4152-89B9-840C6CC2BACA}"/>
    <cellStyle name="Percentuale 56 3 4 2" xfId="13828" xr:uid="{12F37C21-E68B-4EB7-90F0-3DBA906CC731}"/>
    <cellStyle name="Percentuale 56 3 4 3" xfId="29417" xr:uid="{CFDC63FE-1865-42C4-B035-980C069DCA1A}"/>
    <cellStyle name="Percentuale 56 3 5" xfId="12266" xr:uid="{C3F53CB6-1F98-4DBF-95C6-C469D4287C6A}"/>
    <cellStyle name="Percentuale 56 3 5 2" xfId="29418" xr:uid="{3AB5EEE4-10C8-4E76-8CF8-0EA47626413C}"/>
    <cellStyle name="Percentuale 56 3 6" xfId="29419" xr:uid="{C6B06292-01BC-48EB-8CCA-485CBA7A9DED}"/>
    <cellStyle name="Percentuale 56 3 6 2" xfId="49392" xr:uid="{3498A0B3-2BB7-46CE-8789-AE4DE980133E}"/>
    <cellStyle name="Percentuale 56 3 7" xfId="29420" xr:uid="{8E16837B-54EF-4613-9E10-964534EC723F}"/>
    <cellStyle name="Percentuale 56 3 8" xfId="29407" xr:uid="{B6F08AA6-7FF2-4771-93AD-F8FB8EE83200}"/>
    <cellStyle name="Percentuale 56 4" xfId="2477" xr:uid="{00000000-0005-0000-0000-000063090000}"/>
    <cellStyle name="Percentuale 56 4 2" xfId="2478" xr:uid="{00000000-0005-0000-0000-000064090000}"/>
    <cellStyle name="Percentuale 56 4 2 2" xfId="9552" xr:uid="{D78D3859-D983-4E1B-8301-7CCC31EF8552}"/>
    <cellStyle name="Percentuale 56 4 2 2 2" xfId="29423" xr:uid="{E01750D9-0080-4AFD-8E55-F3E0E2673B39}"/>
    <cellStyle name="Percentuale 56 4 2 3" xfId="17953" xr:uid="{B5D1EA6B-E0E9-4477-B127-9EA25A89A6B3}"/>
    <cellStyle name="Percentuale 56 4 2 3 2" xfId="29424" xr:uid="{BDE972DA-9C6C-4B50-A155-9F008F4AAA3C}"/>
    <cellStyle name="Percentuale 56 4 2 4" xfId="29422" xr:uid="{7DFB6CE1-11E3-4B25-8B4E-DC59B973C1F5}"/>
    <cellStyle name="Percentuale 56 4 2 5" xfId="17563" xr:uid="{508A86FB-0B0E-43A8-A098-5BD5A30619CA}"/>
    <cellStyle name="Percentuale 56 4 3" xfId="9553" xr:uid="{FA4A4B30-F5DE-44B0-B563-57195A53157C}"/>
    <cellStyle name="Percentuale 56 4 3 2" xfId="29425" xr:uid="{78CDB0E0-D36D-423D-95D5-CDEE4380EE6C}"/>
    <cellStyle name="Percentuale 56 4 4" xfId="29426" xr:uid="{ADFB3F5D-BA88-44B7-8CBF-3E40B66BB6A1}"/>
    <cellStyle name="Percentuale 56 4 5" xfId="29427" xr:uid="{51415184-6651-4654-97DF-2CB7387F3CF3}"/>
    <cellStyle name="Percentuale 56 4 5 2" xfId="49393" xr:uid="{E5FF16A7-440A-403A-9AF9-D15153BC6522}"/>
    <cellStyle name="Percentuale 56 4 6" xfId="29428" xr:uid="{A6B48742-4054-4DB8-AD5A-5B0B83893FE1}"/>
    <cellStyle name="Percentuale 56 4 7" xfId="29421" xr:uid="{F869B540-8162-4384-A87A-1F5A62571AFE}"/>
    <cellStyle name="Percentuale 56 5" xfId="2479" xr:uid="{00000000-0005-0000-0000-000065090000}"/>
    <cellStyle name="Percentuale 56 5 2" xfId="29430" xr:uid="{778C48FF-280B-4E9E-9FBF-09DD70A397D2}"/>
    <cellStyle name="Percentuale 56 5 3" xfId="29431" xr:uid="{676DEB36-0EE4-4723-B1D7-EF0E31DC2287}"/>
    <cellStyle name="Percentuale 56 5 3 2" xfId="49394" xr:uid="{CC76C6BB-E906-4588-B113-B6ABA31D5B2E}"/>
    <cellStyle name="Percentuale 56 5 4" xfId="29432" xr:uid="{AEC4EA85-9921-48E0-A760-A9E8EBA03293}"/>
    <cellStyle name="Percentuale 56 5 5" xfId="29429" xr:uid="{3C671BF2-4107-4DC7-9F9D-76F258B57676}"/>
    <cellStyle name="Percentuale 56 6" xfId="4477" xr:uid="{878B95F7-D7C0-476D-86EA-11C9A1EAF050}"/>
    <cellStyle name="Percentuale 56 6 2" xfId="9862" xr:uid="{E3EF8EB4-E02B-400C-BD6B-EDDAD7579E45}"/>
    <cellStyle name="Percentuale 56 6 3" xfId="29433" xr:uid="{235C3ED6-54E7-47F2-A055-A87503D4CA76}"/>
    <cellStyle name="Percentuale 56 7" xfId="29434" xr:uid="{689A9318-58EF-4AAC-892E-5EA2376A820E}"/>
    <cellStyle name="Percentuale 56 7 2" xfId="49395" xr:uid="{DBFEBB5A-60C5-486E-B50B-FE7987D040B4}"/>
    <cellStyle name="Percentuale 56 8" xfId="29401" xr:uid="{B09A75A6-0FBA-4A8D-9CBA-E4CFCB8A0912}"/>
    <cellStyle name="Percentuale 57" xfId="1178" xr:uid="{00000000-0005-0000-0000-000066090000}"/>
    <cellStyle name="Percentuale 57 2" xfId="1179" xr:uid="{00000000-0005-0000-0000-000067090000}"/>
    <cellStyle name="Percentuale 57 2 2" xfId="4478" xr:uid="{802071B6-1DB8-4E88-9284-268E36F95370}"/>
    <cellStyle name="Percentuale 57 2 2 2" xfId="13614" xr:uid="{38E60120-E654-4B94-A9CA-7FBF57659427}"/>
    <cellStyle name="Percentuale 57 2 2 3" xfId="29437" xr:uid="{8667B7A2-0575-42DD-986D-AF143E44649F}"/>
    <cellStyle name="Percentuale 57 2 3" xfId="13352" xr:uid="{E707B1B0-80B1-4433-BE43-657A693FFDBB}"/>
    <cellStyle name="Percentuale 57 2 3 2" xfId="29438" xr:uid="{B78762D8-29FC-4255-A9B2-089220860ADC}"/>
    <cellStyle name="Percentuale 57 2 4" xfId="29439" xr:uid="{C5263115-0005-422E-96B3-AFD6E1515F79}"/>
    <cellStyle name="Percentuale 57 2 4 2" xfId="49396" xr:uid="{3F319650-6300-4646-9857-A2701160DDCA}"/>
    <cellStyle name="Percentuale 57 2 5" xfId="29440" xr:uid="{CD8D946C-F1FD-4964-8EAD-1DB4592638C3}"/>
    <cellStyle name="Percentuale 57 2 6" xfId="29436" xr:uid="{AC73D82C-037B-4F1A-A32C-BB04855D0120}"/>
    <cellStyle name="Percentuale 57 3" xfId="1180" xr:uid="{00000000-0005-0000-0000-000068090000}"/>
    <cellStyle name="Percentuale 57 3 2" xfId="1181" xr:uid="{00000000-0005-0000-0000-000069090000}"/>
    <cellStyle name="Percentuale 57 3 2 2" xfId="2480" xr:uid="{00000000-0005-0000-0000-00006A090000}"/>
    <cellStyle name="Percentuale 57 3 2 2 2" xfId="29444" xr:uid="{132A0B16-ED0B-4E9E-89C4-067D446E9C5A}"/>
    <cellStyle name="Percentuale 57 3 2 2 3" xfId="29443" xr:uid="{D02453D5-8DEA-4587-9AB8-64637005001B}"/>
    <cellStyle name="Percentuale 57 3 2 3" xfId="8169" xr:uid="{97E1D6F7-7E0D-4734-B52E-616B2DB4EC86}"/>
    <cellStyle name="Percentuale 57 3 2 3 2" xfId="14168" xr:uid="{5157D379-FFC0-42D8-BFDF-CDD7284CE272}"/>
    <cellStyle name="Percentuale 57 3 2 3 3" xfId="29445" xr:uid="{551BC0EB-CFF6-4C01-91A9-BDA21B2DD44F}"/>
    <cellStyle name="Percentuale 57 3 2 3 4" xfId="49397" xr:uid="{1C741D8E-4C21-466D-AD01-CC5C401748BA}"/>
    <cellStyle name="Percentuale 57 3 2 4" xfId="29446" xr:uid="{14DB0F41-36E9-428C-B6EC-AEB9427A4F97}"/>
    <cellStyle name="Percentuale 57 3 2 5" xfId="29442" xr:uid="{314B5004-8257-4E74-84F3-1E16133C4DDC}"/>
    <cellStyle name="Percentuale 57 3 3" xfId="4479" xr:uid="{9A432AAB-FE07-49DF-A2EB-9027ACFACA74}"/>
    <cellStyle name="Percentuale 57 3 3 2" xfId="9554" xr:uid="{58DD033C-3DA4-47D4-9D52-63F36B621DC1}"/>
    <cellStyle name="Percentuale 57 3 3 2 2" xfId="29448" xr:uid="{0F54F854-B347-4932-B344-4BA7C00D8FF5}"/>
    <cellStyle name="Percentuale 57 3 3 3" xfId="29449" xr:uid="{7B5CEF22-C165-45AF-A7E3-3EE4B0B60D59}"/>
    <cellStyle name="Percentuale 57 3 3 4" xfId="29450" xr:uid="{C4724668-5806-4520-A92A-5EA8F78F17DF}"/>
    <cellStyle name="Percentuale 57 3 3 4 2" xfId="49398" xr:uid="{ADFC96D6-C45E-4CBD-9D77-90BC25B8A68A}"/>
    <cellStyle name="Percentuale 57 3 3 5" xfId="29447" xr:uid="{5DEF1111-5614-4D6E-818A-446429DA09BA}"/>
    <cellStyle name="Percentuale 57 3 4" xfId="4480" xr:uid="{2256E624-F931-48E6-B76A-6CB5BC4F81A5}"/>
    <cellStyle name="Percentuale 57 3 4 2" xfId="13829" xr:uid="{522EEE0C-ABDA-4F15-BE65-10090EC3D72F}"/>
    <cellStyle name="Percentuale 57 3 4 3" xfId="29451" xr:uid="{38E524F9-D94E-4619-8875-8718924B829D}"/>
    <cellStyle name="Percentuale 57 3 5" xfId="12435" xr:uid="{349FAFAA-71D5-4718-8E1A-72369C43ED5D}"/>
    <cellStyle name="Percentuale 57 3 5 2" xfId="29452" xr:uid="{DE87202E-EB54-446E-BD99-778962A8D03C}"/>
    <cellStyle name="Percentuale 57 3 6" xfId="29453" xr:uid="{293A1C16-DC06-41CA-8F29-8C6076187FC9}"/>
    <cellStyle name="Percentuale 57 3 6 2" xfId="49399" xr:uid="{A16586E0-6A88-40D8-B16A-08D40E6B506D}"/>
    <cellStyle name="Percentuale 57 3 7" xfId="29454" xr:uid="{B21E89B6-7A98-4C17-9806-8B490E2F3D2C}"/>
    <cellStyle name="Percentuale 57 3 8" xfId="29441" xr:uid="{EFEEB854-CDB3-4F21-A0AF-C4B993037E1A}"/>
    <cellStyle name="Percentuale 57 4" xfId="2481" xr:uid="{00000000-0005-0000-0000-00006B090000}"/>
    <cellStyle name="Percentuale 57 4 2" xfId="2482" xr:uid="{00000000-0005-0000-0000-00006C090000}"/>
    <cellStyle name="Percentuale 57 4 2 2" xfId="9555" xr:uid="{024483D0-4BE2-47BA-87FB-405F6F24F5DD}"/>
    <cellStyle name="Percentuale 57 4 2 2 2" xfId="29457" xr:uid="{26F0BD4A-4099-4818-BFD9-6971E15F96B5}"/>
    <cellStyle name="Percentuale 57 4 2 3" xfId="17954" xr:uid="{0934BBCB-8038-4D7C-AAE9-6EC4759F4907}"/>
    <cellStyle name="Percentuale 57 4 2 3 2" xfId="29458" xr:uid="{4B015CA6-2AD2-4F9B-B71F-6008056906A3}"/>
    <cellStyle name="Percentuale 57 4 2 4" xfId="29456" xr:uid="{CA1E8916-4B63-488E-B475-49A15F66FF41}"/>
    <cellStyle name="Percentuale 57 4 2 5" xfId="17565" xr:uid="{0C56BD17-8D9C-49E4-BCF8-AA0FB283222C}"/>
    <cellStyle name="Percentuale 57 4 3" xfId="9556" xr:uid="{AE6145FB-B82E-4B35-A6D5-9AB41C07C8AB}"/>
    <cellStyle name="Percentuale 57 4 3 2" xfId="29459" xr:uid="{A5DC4AB1-FD7F-4236-8935-384265D0A2DE}"/>
    <cellStyle name="Percentuale 57 4 4" xfId="29460" xr:uid="{3CAFF113-25A8-45C6-9A37-0685BAA55FE4}"/>
    <cellStyle name="Percentuale 57 4 5" xfId="29461" xr:uid="{81CE0329-98F1-49C1-94F8-21B2B54D1C59}"/>
    <cellStyle name="Percentuale 57 4 5 2" xfId="49400" xr:uid="{0AF111B1-DA05-4EBE-821B-48BA4682ABD1}"/>
    <cellStyle name="Percentuale 57 4 6" xfId="29462" xr:uid="{B50B20EA-F7ED-4D38-9DD6-0502F888D549}"/>
    <cellStyle name="Percentuale 57 4 7" xfId="29455" xr:uid="{9E49CDB9-4472-4157-B43C-FD898F07B80E}"/>
    <cellStyle name="Percentuale 57 5" xfId="2483" xr:uid="{00000000-0005-0000-0000-00006D090000}"/>
    <cellStyle name="Percentuale 57 5 2" xfId="29464" xr:uid="{B4C3FFAD-7057-488E-A0DA-92C290E3A958}"/>
    <cellStyle name="Percentuale 57 5 3" xfId="29465" xr:uid="{C97B4BCC-3013-4583-BF52-646AEF64F6B6}"/>
    <cellStyle name="Percentuale 57 5 3 2" xfId="49401" xr:uid="{ACB4EA64-3E0F-4E5D-A3AB-BCA1B0ADDFF1}"/>
    <cellStyle name="Percentuale 57 5 4" xfId="29466" xr:uid="{FA91A1DC-4003-4B36-8D80-E222B6F90897}"/>
    <cellStyle name="Percentuale 57 5 5" xfId="29463" xr:uid="{64B7DE61-C9AF-42B0-839C-03410577C438}"/>
    <cellStyle name="Percentuale 57 6" xfId="4481" xr:uid="{19668B3A-51C5-4C47-8D19-2C9C755482C7}"/>
    <cellStyle name="Percentuale 57 6 2" xfId="9863" xr:uid="{B4CD9163-441C-482D-B915-EFD174D686BC}"/>
    <cellStyle name="Percentuale 57 6 3" xfId="29467" xr:uid="{F4C014A1-6194-4909-93F6-C095CDB7200E}"/>
    <cellStyle name="Percentuale 57 7" xfId="29468" xr:uid="{0D8AD768-1A6C-4FD2-9D4B-19EA9198ADCD}"/>
    <cellStyle name="Percentuale 57 7 2" xfId="49402" xr:uid="{C6D0D067-8C45-4CFE-857F-3BB0AD8E982A}"/>
    <cellStyle name="Percentuale 57 8" xfId="29435" xr:uid="{D74C1165-67BE-49FF-873C-D886ED5330D1}"/>
    <cellStyle name="Percentuale 58" xfId="1182" xr:uid="{00000000-0005-0000-0000-00006E090000}"/>
    <cellStyle name="Percentuale 58 2" xfId="1183" xr:uid="{00000000-0005-0000-0000-00006F090000}"/>
    <cellStyle name="Percentuale 58 2 2" xfId="4482" xr:uid="{98E9A2AD-3D94-4ADC-BE39-60F20F81CE80}"/>
    <cellStyle name="Percentuale 58 2 2 2" xfId="13615" xr:uid="{78ACAD47-4BBA-4FE3-8A48-4E6960923C8B}"/>
    <cellStyle name="Percentuale 58 2 2 3" xfId="29471" xr:uid="{22BE11AF-0C2A-4AF9-965F-D012E27141AF}"/>
    <cellStyle name="Percentuale 58 2 3" xfId="13353" xr:uid="{BA46DF94-92BC-4090-9E4B-662EC0BFE965}"/>
    <cellStyle name="Percentuale 58 2 3 2" xfId="29472" xr:uid="{4C8B7F9B-44A1-46D6-BE8D-9EFEDC4380A5}"/>
    <cellStyle name="Percentuale 58 2 4" xfId="29473" xr:uid="{B10E802B-F542-42AE-B088-EAD971254923}"/>
    <cellStyle name="Percentuale 58 2 4 2" xfId="49403" xr:uid="{FCAA5C3D-F425-49C4-9251-65261033DAF9}"/>
    <cellStyle name="Percentuale 58 2 5" xfId="29474" xr:uid="{C059F73B-51A2-4C05-B213-0AFC7B2DCC19}"/>
    <cellStyle name="Percentuale 58 2 6" xfId="29470" xr:uid="{8967B917-6049-485F-8738-E0BC08A4C26B}"/>
    <cellStyle name="Percentuale 58 3" xfId="1184" xr:uid="{00000000-0005-0000-0000-000070090000}"/>
    <cellStyle name="Percentuale 58 3 2" xfId="1185" xr:uid="{00000000-0005-0000-0000-000071090000}"/>
    <cellStyle name="Percentuale 58 3 2 2" xfId="2484" xr:uid="{00000000-0005-0000-0000-000072090000}"/>
    <cellStyle name="Percentuale 58 3 2 2 2" xfId="29478" xr:uid="{90240B7A-7BEC-41C4-A377-2310EDCF9668}"/>
    <cellStyle name="Percentuale 58 3 2 2 3" xfId="29477" xr:uid="{3CB58DA3-E954-42CF-8993-E0FBF3427EB5}"/>
    <cellStyle name="Percentuale 58 3 2 3" xfId="8170" xr:uid="{1D2ABAAF-C697-454C-BEED-D8DECC76B9C8}"/>
    <cellStyle name="Percentuale 58 3 2 3 2" xfId="14169" xr:uid="{EF241D6D-62BB-4447-83E9-76C8E2F0B9D3}"/>
    <cellStyle name="Percentuale 58 3 2 3 3" xfId="29479" xr:uid="{48C2B72F-5171-4412-99FE-4E733FC05DEB}"/>
    <cellStyle name="Percentuale 58 3 2 3 4" xfId="49404" xr:uid="{B0987FFA-7332-42D8-80D6-97577E0E42FF}"/>
    <cellStyle name="Percentuale 58 3 2 4" xfId="29480" xr:uid="{D2B27480-C09B-4A49-AF32-F3E497D21CF7}"/>
    <cellStyle name="Percentuale 58 3 2 5" xfId="29476" xr:uid="{265F03A7-C1E6-4657-8291-60052E419449}"/>
    <cellStyle name="Percentuale 58 3 3" xfId="4483" xr:uid="{CD494641-1FDC-404E-98F8-9AB0E0C84F4E}"/>
    <cellStyle name="Percentuale 58 3 3 2" xfId="9557" xr:uid="{105DE025-EB2D-4E34-BF31-16ED4B6D9AC7}"/>
    <cellStyle name="Percentuale 58 3 3 2 2" xfId="29482" xr:uid="{E0A6BD29-AC99-4AD0-9152-A67FA5F5CB76}"/>
    <cellStyle name="Percentuale 58 3 3 3" xfId="29483" xr:uid="{99F64B6E-D55F-474C-8DC4-305B76975C21}"/>
    <cellStyle name="Percentuale 58 3 3 4" xfId="29484" xr:uid="{02E2AA24-4CF3-401A-A9BC-993560D0CECE}"/>
    <cellStyle name="Percentuale 58 3 3 4 2" xfId="49405" xr:uid="{B4E81864-4D7A-427F-A39D-D464C4208B11}"/>
    <cellStyle name="Percentuale 58 3 3 5" xfId="29481" xr:uid="{0AEA16E1-D3FE-4A2F-86C8-1286476B8703}"/>
    <cellStyle name="Percentuale 58 3 4" xfId="4484" xr:uid="{2219F934-EDFE-4E81-82CF-3B29C1C2BB26}"/>
    <cellStyle name="Percentuale 58 3 4 2" xfId="13830" xr:uid="{E9E6C437-3290-4231-B59F-55D2FB68A330}"/>
    <cellStyle name="Percentuale 58 3 4 3" xfId="29485" xr:uid="{952A4DB9-7B28-4447-9629-D2D4A96B225E}"/>
    <cellStyle name="Percentuale 58 3 5" xfId="12307" xr:uid="{D86A3C42-5F00-42D1-816B-3DF1F129C6C2}"/>
    <cellStyle name="Percentuale 58 3 5 2" xfId="29486" xr:uid="{3EF5D619-5C22-4E40-89AF-FE6186403139}"/>
    <cellStyle name="Percentuale 58 3 6" xfId="29487" xr:uid="{7C2EDC52-7046-41E0-82BB-3B64CAA398F3}"/>
    <cellStyle name="Percentuale 58 3 6 2" xfId="49406" xr:uid="{14AFEBA6-60FE-4C88-8FDD-91534D68C775}"/>
    <cellStyle name="Percentuale 58 3 7" xfId="29488" xr:uid="{203AC7C0-918B-40E2-A435-C0E082D35D9A}"/>
    <cellStyle name="Percentuale 58 3 8" xfId="29475" xr:uid="{C7ABAF49-3E95-4428-85C8-113E2DF14EA5}"/>
    <cellStyle name="Percentuale 58 4" xfId="2485" xr:uid="{00000000-0005-0000-0000-000073090000}"/>
    <cellStyle name="Percentuale 58 4 2" xfId="2486" xr:uid="{00000000-0005-0000-0000-000074090000}"/>
    <cellStyle name="Percentuale 58 4 2 2" xfId="9558" xr:uid="{98E83300-B6A9-4B77-B719-7B6826EF992F}"/>
    <cellStyle name="Percentuale 58 4 2 2 2" xfId="29491" xr:uid="{06554EAE-066E-4A0D-9F6F-68E6501F3F25}"/>
    <cellStyle name="Percentuale 58 4 2 3" xfId="17955" xr:uid="{5E482335-FA21-44BE-965C-21AF6E68DA7F}"/>
    <cellStyle name="Percentuale 58 4 2 3 2" xfId="29492" xr:uid="{A111C76A-166D-457B-8539-A21DD052428C}"/>
    <cellStyle name="Percentuale 58 4 2 4" xfId="29490" xr:uid="{803C3779-F0AE-41BF-984D-21825A24BC61}"/>
    <cellStyle name="Percentuale 58 4 2 5" xfId="17566" xr:uid="{E8108609-E85E-4519-BCC8-8B366099A734}"/>
    <cellStyle name="Percentuale 58 4 3" xfId="9559" xr:uid="{C384C623-5115-4E1F-B809-E5976E966722}"/>
    <cellStyle name="Percentuale 58 4 3 2" xfId="29493" xr:uid="{3171A4B2-0505-4C8D-822E-9B288824F94D}"/>
    <cellStyle name="Percentuale 58 4 4" xfId="29494" xr:uid="{67C2582A-400F-4BBC-9282-A5E2FF53CCDB}"/>
    <cellStyle name="Percentuale 58 4 5" xfId="29495" xr:uid="{C2C011AE-7085-4CAF-A363-7949ACFEC49F}"/>
    <cellStyle name="Percentuale 58 4 5 2" xfId="49407" xr:uid="{4DF060AF-8D3D-48F4-A998-2830DAEC300D}"/>
    <cellStyle name="Percentuale 58 4 6" xfId="29496" xr:uid="{9EEAC5CD-C269-4DC6-9AA3-6C87E4AE4BC5}"/>
    <cellStyle name="Percentuale 58 4 7" xfId="29489" xr:uid="{261B1A9E-9EBE-492E-B1CC-86A43891482B}"/>
    <cellStyle name="Percentuale 58 5" xfId="2487" xr:uid="{00000000-0005-0000-0000-000075090000}"/>
    <cellStyle name="Percentuale 58 5 2" xfId="29498" xr:uid="{56E360CD-FFD3-4C20-8E73-1BB353EFF530}"/>
    <cellStyle name="Percentuale 58 5 3" xfId="29499" xr:uid="{889B9B33-7ABD-4CD9-B41D-ED9DCCDBFB39}"/>
    <cellStyle name="Percentuale 58 5 3 2" xfId="49408" xr:uid="{0B5FF4DB-BBED-4915-B5C4-FEA563B88628}"/>
    <cellStyle name="Percentuale 58 5 4" xfId="29500" xr:uid="{F025825E-6EB8-48DE-905D-9BFE17B525D8}"/>
    <cellStyle name="Percentuale 58 5 5" xfId="29497" xr:uid="{BCA21D4D-E533-4FD7-869B-DFA5EA9FEF25}"/>
    <cellStyle name="Percentuale 58 6" xfId="4485" xr:uid="{56342253-28BE-493F-B0E0-DFA831CD7057}"/>
    <cellStyle name="Percentuale 58 6 2" xfId="9864" xr:uid="{2E2AF353-3E01-496B-9214-2B8E394E7840}"/>
    <cellStyle name="Percentuale 58 6 3" xfId="29501" xr:uid="{CC554910-5305-4469-8CBA-6896FF62D83F}"/>
    <cellStyle name="Percentuale 58 7" xfId="29502" xr:uid="{366D8DCA-1353-47B7-AA5B-C60CD19C6885}"/>
    <cellStyle name="Percentuale 58 7 2" xfId="49409" xr:uid="{A94BB069-181B-4819-B858-AA6C958F8082}"/>
    <cellStyle name="Percentuale 58 8" xfId="29469" xr:uid="{A3D8F179-2B6F-4536-B193-F0E1AE9D640E}"/>
    <cellStyle name="Percentuale 59" xfId="1186" xr:uid="{00000000-0005-0000-0000-000076090000}"/>
    <cellStyle name="Percentuale 59 2" xfId="1187" xr:uid="{00000000-0005-0000-0000-000077090000}"/>
    <cellStyle name="Percentuale 59 2 2" xfId="4486" xr:uid="{1B778C9F-89EA-440F-8B92-160FDE694F43}"/>
    <cellStyle name="Percentuale 59 2 2 2" xfId="13616" xr:uid="{59DF717F-A743-4D67-A83F-F89D2EE73FAA}"/>
    <cellStyle name="Percentuale 59 2 2 3" xfId="29505" xr:uid="{E39B83B9-AF63-49C9-B4CC-639FAFA338B7}"/>
    <cellStyle name="Percentuale 59 2 3" xfId="13354" xr:uid="{767362E7-8089-4C3A-9044-8CBD60E490A1}"/>
    <cellStyle name="Percentuale 59 2 3 2" xfId="29506" xr:uid="{8F147997-C3C9-440B-9D43-8C29452CB710}"/>
    <cellStyle name="Percentuale 59 2 4" xfId="29507" xr:uid="{093FE68A-54B7-403A-852F-6FE26337E8E5}"/>
    <cellStyle name="Percentuale 59 2 4 2" xfId="49410" xr:uid="{7A2B8A1A-87DC-4A07-972E-44411A4A5CEC}"/>
    <cellStyle name="Percentuale 59 2 5" xfId="29508" xr:uid="{32663165-0707-4551-BE52-605299EAD50B}"/>
    <cellStyle name="Percentuale 59 2 6" xfId="29504" xr:uid="{4C3E15AF-D34E-49C7-9FB5-FC7002E1AE61}"/>
    <cellStyle name="Percentuale 59 3" xfId="1188" xr:uid="{00000000-0005-0000-0000-000078090000}"/>
    <cellStyle name="Percentuale 59 3 2" xfId="1189" xr:uid="{00000000-0005-0000-0000-000079090000}"/>
    <cellStyle name="Percentuale 59 3 2 2" xfId="2488" xr:uid="{00000000-0005-0000-0000-00007A090000}"/>
    <cellStyle name="Percentuale 59 3 2 2 2" xfId="29512" xr:uid="{E3B4D286-63BE-4E59-A8B8-666C664EFBC6}"/>
    <cellStyle name="Percentuale 59 3 2 2 3" xfId="29511" xr:uid="{C35FDEEC-7EE5-4F8B-8B3A-9DFB982BA650}"/>
    <cellStyle name="Percentuale 59 3 2 3" xfId="8171" xr:uid="{4C649B33-C27F-487E-96FF-51A14BCB1084}"/>
    <cellStyle name="Percentuale 59 3 2 3 2" xfId="14170" xr:uid="{AE7125D1-EAE4-42A8-9BB3-1BE513DE7457}"/>
    <cellStyle name="Percentuale 59 3 2 3 3" xfId="29513" xr:uid="{A01F5A2C-2B98-4B22-90E2-38CDCC0E5E03}"/>
    <cellStyle name="Percentuale 59 3 2 3 4" xfId="49411" xr:uid="{EDCEB628-8334-4A4C-A9EE-AC03B8A598FF}"/>
    <cellStyle name="Percentuale 59 3 2 4" xfId="29514" xr:uid="{63091DF1-645F-4828-9A72-F8733AFB0D67}"/>
    <cellStyle name="Percentuale 59 3 2 5" xfId="29510" xr:uid="{E42E2A44-80A3-4AF6-A4B2-9C070FF754A4}"/>
    <cellStyle name="Percentuale 59 3 3" xfId="4487" xr:uid="{36B2E09D-236E-4D14-9F1E-1F19B8523443}"/>
    <cellStyle name="Percentuale 59 3 3 2" xfId="9560" xr:uid="{F27462D4-2EA9-474C-A27B-2D82E2A7425D}"/>
    <cellStyle name="Percentuale 59 3 3 2 2" xfId="29516" xr:uid="{6CF03201-B967-47B2-A353-DECE65D53738}"/>
    <cellStyle name="Percentuale 59 3 3 3" xfId="29517" xr:uid="{36239515-787C-44F4-A797-6EAEA6BA2141}"/>
    <cellStyle name="Percentuale 59 3 3 4" xfId="29518" xr:uid="{05EEE978-2509-43A9-88C0-687A3FE483DB}"/>
    <cellStyle name="Percentuale 59 3 3 4 2" xfId="49412" xr:uid="{647DE056-EB3F-4911-9205-AE23F9EC9E2F}"/>
    <cellStyle name="Percentuale 59 3 3 5" xfId="29515" xr:uid="{E6D0BBF5-0170-4F9D-A6CB-4955FE9E765F}"/>
    <cellStyle name="Percentuale 59 3 4" xfId="4488" xr:uid="{7FECFE92-472B-453A-BE80-D34BDCF4D2E0}"/>
    <cellStyle name="Percentuale 59 3 4 2" xfId="13831" xr:uid="{8D6C3BBE-E7DE-4A1F-ADE0-ED416458E532}"/>
    <cellStyle name="Percentuale 59 3 4 3" xfId="29519" xr:uid="{A4EF2253-1514-4D86-8400-30C922F1275C}"/>
    <cellStyle name="Percentuale 59 3 5" xfId="11156" xr:uid="{3B607646-2BFC-40B2-853C-CB7C5485D1B6}"/>
    <cellStyle name="Percentuale 59 3 5 2" xfId="29520" xr:uid="{FA391269-F158-4A60-A828-A4A0151C8FEF}"/>
    <cellStyle name="Percentuale 59 3 6" xfId="29521" xr:uid="{431C659B-54E6-491F-B925-6E1A0CBA039A}"/>
    <cellStyle name="Percentuale 59 3 6 2" xfId="49413" xr:uid="{745EA7DF-FEA8-416A-89B0-2A8962F187D1}"/>
    <cellStyle name="Percentuale 59 3 7" xfId="29522" xr:uid="{C30C6381-62C0-4136-8C44-88D1B5335EEC}"/>
    <cellStyle name="Percentuale 59 3 8" xfId="29509" xr:uid="{9D435D89-9780-4FCA-B7C1-357A0A7F666D}"/>
    <cellStyle name="Percentuale 59 4" xfId="2489" xr:uid="{00000000-0005-0000-0000-00007B090000}"/>
    <cellStyle name="Percentuale 59 4 2" xfId="2490" xr:uid="{00000000-0005-0000-0000-00007C090000}"/>
    <cellStyle name="Percentuale 59 4 2 2" xfId="9561" xr:uid="{5BBEAD1B-4811-4BB5-B2F9-492B0B2B083D}"/>
    <cellStyle name="Percentuale 59 4 2 2 2" xfId="29525" xr:uid="{077E17B1-512C-426F-B074-33C62D7B808B}"/>
    <cellStyle name="Percentuale 59 4 2 3" xfId="17956" xr:uid="{0A6097DA-BBD7-4F45-98C1-BF6F2121E998}"/>
    <cellStyle name="Percentuale 59 4 2 3 2" xfId="29526" xr:uid="{50C6BCD9-5C2E-456E-80DE-8B5663432192}"/>
    <cellStyle name="Percentuale 59 4 2 4" xfId="29524" xr:uid="{4BD3C4CA-503E-41C4-8283-DE5B39DA251E}"/>
    <cellStyle name="Percentuale 59 4 2 5" xfId="17567" xr:uid="{7CA3949F-784E-44E7-A533-B197ADD0BE5F}"/>
    <cellStyle name="Percentuale 59 4 3" xfId="9562" xr:uid="{A965D61C-B9B7-4F25-9885-0936BF06F59D}"/>
    <cellStyle name="Percentuale 59 4 3 2" xfId="29527" xr:uid="{1E3099FF-4542-43E7-8A8D-C213E5E5D6AC}"/>
    <cellStyle name="Percentuale 59 4 4" xfId="29528" xr:uid="{23E1E24D-951A-4209-99D0-7A00325EBE48}"/>
    <cellStyle name="Percentuale 59 4 5" xfId="29529" xr:uid="{C8277589-CA05-41A5-BBB1-03D47E7D1725}"/>
    <cellStyle name="Percentuale 59 4 5 2" xfId="49414" xr:uid="{CD45E1A9-E8CE-451F-B8EF-E890158BE3E5}"/>
    <cellStyle name="Percentuale 59 4 6" xfId="29530" xr:uid="{C91EDE95-0821-4D16-8A6F-3CCB537788DF}"/>
    <cellStyle name="Percentuale 59 4 7" xfId="29523" xr:uid="{9990A9CD-09AC-482C-8128-A42AC4721C5F}"/>
    <cellStyle name="Percentuale 59 5" xfId="2491" xr:uid="{00000000-0005-0000-0000-00007D090000}"/>
    <cellStyle name="Percentuale 59 5 2" xfId="29532" xr:uid="{807DC388-B8F7-41D2-A509-B4E6587CCEE1}"/>
    <cellStyle name="Percentuale 59 5 3" xfId="29533" xr:uid="{04816B69-4A76-42CB-9FED-753E39CA20F7}"/>
    <cellStyle name="Percentuale 59 5 3 2" xfId="49415" xr:uid="{0B2CF4A3-F8EE-4780-BAC8-0B5D2C9C3E00}"/>
    <cellStyle name="Percentuale 59 5 4" xfId="29534" xr:uid="{9BE1426E-0214-4248-BAED-A6244417E9ED}"/>
    <cellStyle name="Percentuale 59 5 5" xfId="29531" xr:uid="{73F03024-C40C-45D4-A6DA-1877EE170872}"/>
    <cellStyle name="Percentuale 59 6" xfId="4489" xr:uid="{D3DB3407-4102-4590-85A2-34C11F4AFE5C}"/>
    <cellStyle name="Percentuale 59 6 2" xfId="9865" xr:uid="{08C2F324-E91A-4B3A-882C-35D6FD783459}"/>
    <cellStyle name="Percentuale 59 6 3" xfId="29535" xr:uid="{45C1D375-62FE-4E54-8CC2-D45EA8F2426F}"/>
    <cellStyle name="Percentuale 59 7" xfId="29536" xr:uid="{E71DA602-39EE-47BA-B150-AD9F19673DA3}"/>
    <cellStyle name="Percentuale 59 7 2" xfId="49416" xr:uid="{49DF5E69-2089-4FE6-853B-431423034CE6}"/>
    <cellStyle name="Percentuale 59 8" xfId="29503" xr:uid="{D3E6934D-6EC2-4237-BD8F-19FC008D5766}"/>
    <cellStyle name="Percentuale 6" xfId="1190" xr:uid="{00000000-0005-0000-0000-00007E090000}"/>
    <cellStyle name="Percentuale 6 2" xfId="1191" xr:uid="{00000000-0005-0000-0000-00007F090000}"/>
    <cellStyle name="Percentuale 6 2 2" xfId="4490" xr:uid="{90E5CF0C-8429-4222-80BE-5FAD1F5A72F7}"/>
    <cellStyle name="Percentuale 6 2 2 2" xfId="13617" xr:uid="{6971110B-18A5-42CD-A45B-28F6ED04BC55}"/>
    <cellStyle name="Percentuale 6 2 2 3" xfId="29539" xr:uid="{602E5D5F-4F24-4BDB-973A-82A93399CD19}"/>
    <cellStyle name="Percentuale 6 2 3" xfId="13355" xr:uid="{CA660D2E-FB55-45FC-8C9A-1CB0D3A06340}"/>
    <cellStyle name="Percentuale 6 2 3 2" xfId="29540" xr:uid="{5A497AEA-E5F5-4592-92EA-E871182D5B13}"/>
    <cellStyle name="Percentuale 6 2 4" xfId="29541" xr:uid="{0F0E7CD2-0319-402F-B75F-710F78251844}"/>
    <cellStyle name="Percentuale 6 2 4 2" xfId="49417" xr:uid="{E4A22C5C-8D5E-4633-9FFE-E9C0D3637AF0}"/>
    <cellStyle name="Percentuale 6 2 5" xfId="29542" xr:uid="{180AEF14-AD7B-49FF-A964-B59FE678AFE3}"/>
    <cellStyle name="Percentuale 6 2 6" xfId="29538" xr:uid="{20BAEC08-2A0D-4796-BACE-95283FD55432}"/>
    <cellStyle name="Percentuale 6 3" xfId="1192" xr:uid="{00000000-0005-0000-0000-000080090000}"/>
    <cellStyle name="Percentuale 6 3 2" xfId="1193" xr:uid="{00000000-0005-0000-0000-000081090000}"/>
    <cellStyle name="Percentuale 6 3 2 2" xfId="2492" xr:uid="{00000000-0005-0000-0000-000082090000}"/>
    <cellStyle name="Percentuale 6 3 2 2 2" xfId="29546" xr:uid="{89C8DA2A-D025-4ACA-9CCC-C1C356AD8807}"/>
    <cellStyle name="Percentuale 6 3 2 2 3" xfId="29545" xr:uid="{C134F089-60EA-4BE0-A94A-5A993E080898}"/>
    <cellStyle name="Percentuale 6 3 2 3" xfId="8172" xr:uid="{22F971D9-3650-484C-BD10-B2B6068FD66D}"/>
    <cellStyle name="Percentuale 6 3 2 3 2" xfId="14171" xr:uid="{E7A84830-CD42-4061-B4A5-E0A0287685F3}"/>
    <cellStyle name="Percentuale 6 3 2 3 3" xfId="29547" xr:uid="{80B386FD-9A95-42D8-82DC-C18C32999342}"/>
    <cellStyle name="Percentuale 6 3 2 3 4" xfId="49418" xr:uid="{FA569B8D-561F-4762-BECF-2E71BE2958A2}"/>
    <cellStyle name="Percentuale 6 3 2 4" xfId="29548" xr:uid="{0E41D8B6-581D-43F3-A5C1-2DBDEF73226E}"/>
    <cellStyle name="Percentuale 6 3 2 5" xfId="29544" xr:uid="{45E669E6-06E4-4823-94B6-99BBBCDEBECD}"/>
    <cellStyle name="Percentuale 6 3 3" xfId="4491" xr:uid="{75300586-8009-43AB-A456-E2610EDA0574}"/>
    <cellStyle name="Percentuale 6 3 3 2" xfId="9563" xr:uid="{A8DCBDDE-D5E2-4011-8BA4-52D7AE597FE5}"/>
    <cellStyle name="Percentuale 6 3 3 2 2" xfId="29550" xr:uid="{A0CFA671-B004-40B4-BEB6-06BE6169DC1F}"/>
    <cellStyle name="Percentuale 6 3 3 3" xfId="29551" xr:uid="{39CD6771-147E-49E3-A6C3-CB8ED1C1A4E0}"/>
    <cellStyle name="Percentuale 6 3 3 4" xfId="29552" xr:uid="{011F19BD-EA84-4842-B97C-39956C089AB7}"/>
    <cellStyle name="Percentuale 6 3 3 4 2" xfId="49419" xr:uid="{40CB0356-6954-4110-AE6A-51AB942D7690}"/>
    <cellStyle name="Percentuale 6 3 3 5" xfId="29549" xr:uid="{72C1C685-373F-40EF-AF50-BBB8AD91C7B9}"/>
    <cellStyle name="Percentuale 6 3 4" xfId="4492" xr:uid="{CA0CD72A-87E1-426E-BF0F-8ECD92FC0FAC}"/>
    <cellStyle name="Percentuale 6 3 4 2" xfId="13832" xr:uid="{A6F9395A-44D2-4528-A23E-DD2B20163D9F}"/>
    <cellStyle name="Percentuale 6 3 4 3" xfId="29553" xr:uid="{BCF48B20-8E7F-47EF-99FD-12FAFE6E94C2}"/>
    <cellStyle name="Percentuale 6 3 5" xfId="12306" xr:uid="{935524E2-E2FA-4046-8719-7FBD8636BD00}"/>
    <cellStyle name="Percentuale 6 3 5 2" xfId="29554" xr:uid="{561B90FE-25A7-47AD-AF70-74E568C689C2}"/>
    <cellStyle name="Percentuale 6 3 6" xfId="29555" xr:uid="{9854123A-F9F4-4696-BA1D-478B50EFE81C}"/>
    <cellStyle name="Percentuale 6 3 6 2" xfId="49420" xr:uid="{8C88D49A-61DF-4C44-9B68-3AA5AE3EB2F7}"/>
    <cellStyle name="Percentuale 6 3 7" xfId="29556" xr:uid="{E6D754D2-1ACE-4D4C-8B7F-BA3348A8BD81}"/>
    <cellStyle name="Percentuale 6 3 8" xfId="29543" xr:uid="{74FD9059-B30B-4455-91AF-40A103D2F3E1}"/>
    <cellStyle name="Percentuale 6 4" xfId="2493" xr:uid="{00000000-0005-0000-0000-000083090000}"/>
    <cellStyle name="Percentuale 6 4 2" xfId="2494" xr:uid="{00000000-0005-0000-0000-000084090000}"/>
    <cellStyle name="Percentuale 6 4 2 2" xfId="9564" xr:uid="{134410D4-C6D9-4010-B034-E88989D129E6}"/>
    <cellStyle name="Percentuale 6 4 2 2 2" xfId="29559" xr:uid="{F93DCB82-47F2-4935-9D3F-9EF7150A0D38}"/>
    <cellStyle name="Percentuale 6 4 2 3" xfId="17957" xr:uid="{9D224A32-0BC1-4166-8826-4CE88D9059A2}"/>
    <cellStyle name="Percentuale 6 4 2 3 2" xfId="29560" xr:uid="{B29D9074-C3A8-4FB8-A33B-776674322EE2}"/>
    <cellStyle name="Percentuale 6 4 2 4" xfId="29558" xr:uid="{22D21771-D3F6-425F-BC91-D9A0C6AD9B0F}"/>
    <cellStyle name="Percentuale 6 4 2 5" xfId="17568" xr:uid="{9FCB25B0-FE4D-47B2-BB27-7EB6631810F4}"/>
    <cellStyle name="Percentuale 6 4 3" xfId="9565" xr:uid="{D7AE88A1-6F69-4B5D-BB08-BFFE1FAAE035}"/>
    <cellStyle name="Percentuale 6 4 3 2" xfId="29561" xr:uid="{FD443671-DF68-4895-B4B9-D54E8795D219}"/>
    <cellStyle name="Percentuale 6 4 4" xfId="29562" xr:uid="{90FFF4FD-2D82-4F4B-9E20-853DD9417A5B}"/>
    <cellStyle name="Percentuale 6 4 5" xfId="29563" xr:uid="{69D4B029-BAFB-45B5-819A-66CB40A0F90C}"/>
    <cellStyle name="Percentuale 6 4 5 2" xfId="49421" xr:uid="{E93E3C9C-9C82-443C-85D0-261EB8E58567}"/>
    <cellStyle name="Percentuale 6 4 6" xfId="29564" xr:uid="{C93D1717-F47B-4406-B25E-2647933BC4FE}"/>
    <cellStyle name="Percentuale 6 4 7" xfId="29557" xr:uid="{726673EE-7669-4FC6-A758-A02A54F76D47}"/>
    <cellStyle name="Percentuale 6 5" xfId="2495" xr:uid="{00000000-0005-0000-0000-000085090000}"/>
    <cellStyle name="Percentuale 6 5 2" xfId="29566" xr:uid="{D4BE9395-B95A-4BB0-9AA8-AF29A230CAB7}"/>
    <cellStyle name="Percentuale 6 5 3" xfId="29567" xr:uid="{D99A4B8C-0C07-440D-91EC-62F8103C03ED}"/>
    <cellStyle name="Percentuale 6 5 3 2" xfId="49422" xr:uid="{A06BA7B1-670B-466D-87E1-919C19D41310}"/>
    <cellStyle name="Percentuale 6 5 4" xfId="29568" xr:uid="{0C39738F-2CE2-40C6-AC5A-6F189E4CD063}"/>
    <cellStyle name="Percentuale 6 5 5" xfId="29565" xr:uid="{569337BB-72B4-48DF-B60B-C99F025A3AE9}"/>
    <cellStyle name="Percentuale 6 6" xfId="4493" xr:uid="{199D01E3-4552-44BA-8468-34581227733B}"/>
    <cellStyle name="Percentuale 6 6 2" xfId="9866" xr:uid="{1EB3FC8E-DA4E-4B54-8528-8F37E1992EE6}"/>
    <cellStyle name="Percentuale 6 6 3" xfId="29569" xr:uid="{6A661640-E069-4DD3-B650-B572F9F65EB2}"/>
    <cellStyle name="Percentuale 6 7" xfId="29570" xr:uid="{005E9F91-9A1F-48F9-AAAD-7E7573E12C26}"/>
    <cellStyle name="Percentuale 6 7 2" xfId="49423" xr:uid="{482FEDAB-DC14-471A-BA7B-E10D4209C5CA}"/>
    <cellStyle name="Percentuale 6 8" xfId="29537" xr:uid="{A9E4651E-D681-429A-AEA7-834E1CF6BDC4}"/>
    <cellStyle name="Percentuale 60" xfId="1194" xr:uid="{00000000-0005-0000-0000-000086090000}"/>
    <cellStyle name="Percentuale 60 2" xfId="1195" xr:uid="{00000000-0005-0000-0000-000087090000}"/>
    <cellStyle name="Percentuale 60 2 2" xfId="4494" xr:uid="{9881725C-C786-498F-9F95-96CF2C503E8E}"/>
    <cellStyle name="Percentuale 60 2 2 2" xfId="13618" xr:uid="{1C8ABEF2-A736-4AF8-BC0D-3DA825CD9214}"/>
    <cellStyle name="Percentuale 60 2 2 3" xfId="29573" xr:uid="{D065E1B0-4A46-4985-90FE-A424D49EEA20}"/>
    <cellStyle name="Percentuale 60 2 3" xfId="13356" xr:uid="{8A678A20-9799-4A85-8DC3-B16E8BD6CE24}"/>
    <cellStyle name="Percentuale 60 2 3 2" xfId="29574" xr:uid="{2A6519E6-F846-46D3-9C63-A7A8EE8F386B}"/>
    <cellStyle name="Percentuale 60 2 4" xfId="29575" xr:uid="{010C5DB9-F400-4DA0-B029-716DAC22E78E}"/>
    <cellStyle name="Percentuale 60 2 4 2" xfId="49424" xr:uid="{1C6B8A85-3C32-4DDE-BCAC-89B0E8AD01D8}"/>
    <cellStyle name="Percentuale 60 2 5" xfId="29576" xr:uid="{5EEAD8C1-5E87-4622-BADE-122FF714DB43}"/>
    <cellStyle name="Percentuale 60 2 6" xfId="29572" xr:uid="{23DAC62D-70A1-4C94-858A-BE32414B0975}"/>
    <cellStyle name="Percentuale 60 3" xfId="1196" xr:uid="{00000000-0005-0000-0000-000088090000}"/>
    <cellStyle name="Percentuale 60 3 2" xfId="1197" xr:uid="{00000000-0005-0000-0000-000089090000}"/>
    <cellStyle name="Percentuale 60 3 2 2" xfId="2496" xr:uid="{00000000-0005-0000-0000-00008A090000}"/>
    <cellStyle name="Percentuale 60 3 2 2 2" xfId="29580" xr:uid="{C3FF7AC2-2D85-4444-868C-588C274E2160}"/>
    <cellStyle name="Percentuale 60 3 2 2 3" xfId="29579" xr:uid="{A5D107D2-A963-4833-AAF3-A071FA2EE66A}"/>
    <cellStyle name="Percentuale 60 3 2 3" xfId="8173" xr:uid="{E6935222-48E9-403F-A57D-81F83C4AEBED}"/>
    <cellStyle name="Percentuale 60 3 2 3 2" xfId="14172" xr:uid="{75252928-09A0-4C39-A851-08A07D37ADAE}"/>
    <cellStyle name="Percentuale 60 3 2 3 3" xfId="29581" xr:uid="{14EFBF83-C9AE-453E-9A25-172C1A7C2426}"/>
    <cellStyle name="Percentuale 60 3 2 3 4" xfId="49425" xr:uid="{B5FCE6DF-341F-44A6-8DE0-00ADE9B1EE36}"/>
    <cellStyle name="Percentuale 60 3 2 4" xfId="29582" xr:uid="{53489A28-2831-4DEF-B9AE-2DA93C49D407}"/>
    <cellStyle name="Percentuale 60 3 2 5" xfId="29578" xr:uid="{DE95EC70-4775-4134-8960-68762FEC9027}"/>
    <cellStyle name="Percentuale 60 3 3" xfId="4495" xr:uid="{5A765B27-BD85-4EA1-B9A8-1ECA6E11B6AF}"/>
    <cellStyle name="Percentuale 60 3 3 2" xfId="9566" xr:uid="{1442CF33-93CC-4C96-BDA2-66BD62C213D8}"/>
    <cellStyle name="Percentuale 60 3 3 2 2" xfId="29584" xr:uid="{94519571-BF76-44CD-96BF-9331FCEC99F2}"/>
    <cellStyle name="Percentuale 60 3 3 3" xfId="29585" xr:uid="{D6C80843-2814-4EB2-8712-CA96FE6E5D54}"/>
    <cellStyle name="Percentuale 60 3 3 4" xfId="29586" xr:uid="{1F77BBB5-3B0D-4BAB-A625-2112A88AAC2C}"/>
    <cellStyle name="Percentuale 60 3 3 4 2" xfId="49426" xr:uid="{DCA01F5A-9498-45D9-911B-672C0F47A973}"/>
    <cellStyle name="Percentuale 60 3 3 5" xfId="29583" xr:uid="{01BD1572-F4D5-4261-803B-EAA4D02C9738}"/>
    <cellStyle name="Percentuale 60 3 4" xfId="4496" xr:uid="{2B767809-4FBE-4C42-ADB9-045DCC193EEC}"/>
    <cellStyle name="Percentuale 60 3 4 2" xfId="13833" xr:uid="{FACBD304-6D58-4696-B818-EC10D0315996}"/>
    <cellStyle name="Percentuale 60 3 4 3" xfId="29587" xr:uid="{4CF64615-DCC0-437D-ABCD-D5565A443232}"/>
    <cellStyle name="Percentuale 60 3 5" xfId="11201" xr:uid="{4BE9D2AE-FA1A-4297-8479-2A43632181C5}"/>
    <cellStyle name="Percentuale 60 3 5 2" xfId="29588" xr:uid="{9E9DA3F0-D9D8-4B27-B985-2A0C9E6546E0}"/>
    <cellStyle name="Percentuale 60 3 6" xfId="29589" xr:uid="{577277EF-809A-40DE-B68C-93D93728DDB5}"/>
    <cellStyle name="Percentuale 60 3 6 2" xfId="49427" xr:uid="{DAA71E75-5413-4914-B0E6-7A1CB4052524}"/>
    <cellStyle name="Percentuale 60 3 7" xfId="29590" xr:uid="{9DEDA464-F44B-417B-A8ED-8D14156F129B}"/>
    <cellStyle name="Percentuale 60 3 8" xfId="29577" xr:uid="{4B198F47-CCCF-4563-BD4E-15EAD96F82D1}"/>
    <cellStyle name="Percentuale 60 4" xfId="2497" xr:uid="{00000000-0005-0000-0000-00008B090000}"/>
    <cellStyle name="Percentuale 60 4 2" xfId="2498" xr:uid="{00000000-0005-0000-0000-00008C090000}"/>
    <cellStyle name="Percentuale 60 4 2 2" xfId="9567" xr:uid="{8886770D-4B34-4A6A-B1D1-E623D2A427A6}"/>
    <cellStyle name="Percentuale 60 4 2 2 2" xfId="29593" xr:uid="{78EA6ACB-6939-4AC9-98F1-AB3F11ED6E5C}"/>
    <cellStyle name="Percentuale 60 4 2 3" xfId="17958" xr:uid="{B35C73BB-AF81-452D-9D40-C4388F05EF36}"/>
    <cellStyle name="Percentuale 60 4 2 3 2" xfId="29594" xr:uid="{0828116D-A031-459D-8898-C5486C9D3DD2}"/>
    <cellStyle name="Percentuale 60 4 2 4" xfId="29592" xr:uid="{E1CFB317-A43B-4F74-AF7A-FE2360CBE2E2}"/>
    <cellStyle name="Percentuale 60 4 2 5" xfId="17569" xr:uid="{26340AD0-5964-45C0-92C5-B79556EA34B4}"/>
    <cellStyle name="Percentuale 60 4 3" xfId="9568" xr:uid="{FD207130-3C8F-43CD-861A-5E1F90B78429}"/>
    <cellStyle name="Percentuale 60 4 3 2" xfId="29595" xr:uid="{94CF5867-3482-4081-A35A-13F8BB75601B}"/>
    <cellStyle name="Percentuale 60 4 4" xfId="29596" xr:uid="{E6A40944-63DD-4F23-A39A-80DFBCC6A03D}"/>
    <cellStyle name="Percentuale 60 4 5" xfId="29597" xr:uid="{90BD6F4C-2915-41A0-8BBA-E8E610B21E91}"/>
    <cellStyle name="Percentuale 60 4 5 2" xfId="49428" xr:uid="{370D4144-02F6-427F-8470-CCA22B24ABD6}"/>
    <cellStyle name="Percentuale 60 4 6" xfId="29598" xr:uid="{307C196E-426C-4DF1-9BAF-FF75049FD60B}"/>
    <cellStyle name="Percentuale 60 4 7" xfId="29591" xr:uid="{C60C7040-AE6A-4E35-9455-F464D20D26E6}"/>
    <cellStyle name="Percentuale 60 5" xfId="2499" xr:uid="{00000000-0005-0000-0000-00008D090000}"/>
    <cellStyle name="Percentuale 60 5 2" xfId="29600" xr:uid="{53FA05A4-7171-425A-905C-32BAF5166A59}"/>
    <cellStyle name="Percentuale 60 5 3" xfId="29601" xr:uid="{02A26631-FE43-46B9-969E-8EE464A74638}"/>
    <cellStyle name="Percentuale 60 5 3 2" xfId="49429" xr:uid="{9A97B28A-C79C-411F-9432-37B05034C1B7}"/>
    <cellStyle name="Percentuale 60 5 4" xfId="29602" xr:uid="{CA7246CB-E1EF-4449-ADA3-C519EE96917D}"/>
    <cellStyle name="Percentuale 60 5 5" xfId="29599" xr:uid="{57700B57-D4CA-4D66-AF75-B1424DDE6BDC}"/>
    <cellStyle name="Percentuale 60 6" xfId="4497" xr:uid="{7DD6DA45-4593-45F1-9140-05DC713798E4}"/>
    <cellStyle name="Percentuale 60 6 2" xfId="9867" xr:uid="{5E1F2FD4-201B-44CC-B7A2-0D5D2A47C446}"/>
    <cellStyle name="Percentuale 60 6 3" xfId="29603" xr:uid="{11741D0A-24AF-4A21-99D5-B1D30B20B5F0}"/>
    <cellStyle name="Percentuale 60 7" xfId="29604" xr:uid="{5D092859-A663-4A59-8338-81C4CA2A1FD8}"/>
    <cellStyle name="Percentuale 60 7 2" xfId="49430" xr:uid="{41EFF7E0-B5BE-49D3-A966-6DB07CDB1734}"/>
    <cellStyle name="Percentuale 60 8" xfId="29571" xr:uid="{E10FBE44-A06B-4C7F-840F-14E82CFABB98}"/>
    <cellStyle name="Percentuale 61" xfId="1198" xr:uid="{00000000-0005-0000-0000-00008E090000}"/>
    <cellStyle name="Percentuale 61 2" xfId="1199" xr:uid="{00000000-0005-0000-0000-00008F090000}"/>
    <cellStyle name="Percentuale 61 2 2" xfId="4498" xr:uid="{1043D732-06C1-494A-8B64-0E79BE32EE23}"/>
    <cellStyle name="Percentuale 61 2 2 2" xfId="13619" xr:uid="{DBF84362-D028-48FB-84C4-B294BA3D57A0}"/>
    <cellStyle name="Percentuale 61 2 2 3" xfId="29607" xr:uid="{6C9ADC8A-067A-4AA7-88CD-BC6D42D9EA55}"/>
    <cellStyle name="Percentuale 61 2 3" xfId="13357" xr:uid="{8DF155A4-9DA6-4615-BBBC-E8A7F40ED5AF}"/>
    <cellStyle name="Percentuale 61 2 3 2" xfId="29608" xr:uid="{434F2489-D46A-4581-BB42-B21F9C25745F}"/>
    <cellStyle name="Percentuale 61 2 4" xfId="29609" xr:uid="{E0E49727-7CD1-4637-8361-0AA7CA611F12}"/>
    <cellStyle name="Percentuale 61 2 4 2" xfId="49431" xr:uid="{4710665F-0DE3-40B8-A6F1-3AC8E435481A}"/>
    <cellStyle name="Percentuale 61 2 5" xfId="29610" xr:uid="{866F663E-8A77-46D0-8D2D-63C4C50A2F3E}"/>
    <cellStyle name="Percentuale 61 2 6" xfId="29606" xr:uid="{74D48BAF-0571-4A47-A58C-2A076D29F03F}"/>
    <cellStyle name="Percentuale 61 3" xfId="1200" xr:uid="{00000000-0005-0000-0000-000090090000}"/>
    <cellStyle name="Percentuale 61 3 2" xfId="1201" xr:uid="{00000000-0005-0000-0000-000091090000}"/>
    <cellStyle name="Percentuale 61 3 2 2" xfId="2500" xr:uid="{00000000-0005-0000-0000-000092090000}"/>
    <cellStyle name="Percentuale 61 3 2 2 2" xfId="29614" xr:uid="{C0925ED9-1225-4C04-8F59-6060C2CE130E}"/>
    <cellStyle name="Percentuale 61 3 2 2 3" xfId="29613" xr:uid="{F7382C00-0E52-49DF-B854-0EACF658EF92}"/>
    <cellStyle name="Percentuale 61 3 2 3" xfId="8174" xr:uid="{31CADEB8-140B-4B83-83DC-26171A365832}"/>
    <cellStyle name="Percentuale 61 3 2 3 2" xfId="14173" xr:uid="{9E2FAE68-B5AF-4EE5-BD77-2948F13EDF84}"/>
    <cellStyle name="Percentuale 61 3 2 3 3" xfId="29615" xr:uid="{9AC674C8-AC74-4F38-BF76-E1BB276D6B7F}"/>
    <cellStyle name="Percentuale 61 3 2 3 4" xfId="49432" xr:uid="{5031FA35-7AD9-4C28-A896-FFA920C0F626}"/>
    <cellStyle name="Percentuale 61 3 2 4" xfId="29616" xr:uid="{883D0C5B-2AEF-43B8-ABF6-2825A2D6D8E4}"/>
    <cellStyle name="Percentuale 61 3 2 5" xfId="29612" xr:uid="{72BB8EDE-0684-40B7-BD84-EE6DDB83190C}"/>
    <cellStyle name="Percentuale 61 3 3" xfId="4499" xr:uid="{0B579BCD-FA2E-4E8B-A833-5BA539FBD773}"/>
    <cellStyle name="Percentuale 61 3 3 2" xfId="9569" xr:uid="{ED78678A-AFE8-4720-ADF5-7A3DB32F3DC3}"/>
    <cellStyle name="Percentuale 61 3 3 2 2" xfId="29618" xr:uid="{4E4BFC5C-F3C7-485F-B819-D31ACAD1B7B0}"/>
    <cellStyle name="Percentuale 61 3 3 3" xfId="29619" xr:uid="{9564D307-8C1C-4C6D-94B7-1EBDE3661879}"/>
    <cellStyle name="Percentuale 61 3 3 4" xfId="29620" xr:uid="{E183C71E-A1EF-444E-9F23-E2BE36567578}"/>
    <cellStyle name="Percentuale 61 3 3 4 2" xfId="49433" xr:uid="{8C9171A4-2BBF-465E-B005-AFE2FEA599A3}"/>
    <cellStyle name="Percentuale 61 3 3 5" xfId="29617" xr:uid="{BF45CBCC-9434-4793-B828-7618A05B311D}"/>
    <cellStyle name="Percentuale 61 3 4" xfId="4500" xr:uid="{58A199FC-403B-4D02-8716-D144488EF6B6}"/>
    <cellStyle name="Percentuale 61 3 4 2" xfId="13834" xr:uid="{FC3FD968-5322-43F0-A35C-670A2668B22C}"/>
    <cellStyle name="Percentuale 61 3 4 3" xfId="29621" xr:uid="{C93C15AE-2371-45AC-9E4C-6AB2AB0EE6B8}"/>
    <cellStyle name="Percentuale 61 3 5" xfId="11200" xr:uid="{33545A0D-1A7B-4536-A040-464FCC4B7A50}"/>
    <cellStyle name="Percentuale 61 3 5 2" xfId="29622" xr:uid="{8EF6FE3D-7D92-4C91-A628-4116DFBB9B69}"/>
    <cellStyle name="Percentuale 61 3 6" xfId="29623" xr:uid="{10B678F4-AB5F-4C6E-AD87-2287484F85C5}"/>
    <cellStyle name="Percentuale 61 3 6 2" xfId="49434" xr:uid="{5E6762A1-E4BE-424F-BD4B-3B00A2964AE6}"/>
    <cellStyle name="Percentuale 61 3 7" xfId="29624" xr:uid="{6F425E2D-474D-47F3-AC14-50256848605F}"/>
    <cellStyle name="Percentuale 61 3 8" xfId="29611" xr:uid="{3E28E5AC-02AD-4CCF-8D80-074CD4BD4AE8}"/>
    <cellStyle name="Percentuale 61 4" xfId="2501" xr:uid="{00000000-0005-0000-0000-000093090000}"/>
    <cellStyle name="Percentuale 61 4 2" xfId="2502" xr:uid="{00000000-0005-0000-0000-000094090000}"/>
    <cellStyle name="Percentuale 61 4 2 2" xfId="9570" xr:uid="{C285037E-2A4E-451B-8AB8-C62748642E68}"/>
    <cellStyle name="Percentuale 61 4 2 2 2" xfId="29627" xr:uid="{2416C7AB-DFB9-4484-8838-C0B9D1F18207}"/>
    <cellStyle name="Percentuale 61 4 2 3" xfId="17959" xr:uid="{E2CFFE59-ED1A-424B-A9EE-0F3545F7AD65}"/>
    <cellStyle name="Percentuale 61 4 2 3 2" xfId="29628" xr:uid="{DCEEFF1A-D28B-4163-BA63-B60A2C3CEC8E}"/>
    <cellStyle name="Percentuale 61 4 2 4" xfId="29626" xr:uid="{B599E7D0-9733-431C-BC91-E60015546E97}"/>
    <cellStyle name="Percentuale 61 4 2 5" xfId="17570" xr:uid="{28E798FF-B799-4B74-9E84-459544268DA6}"/>
    <cellStyle name="Percentuale 61 4 3" xfId="9571" xr:uid="{B2224D14-1EC2-4E19-A8BE-C07B9BDE4ADF}"/>
    <cellStyle name="Percentuale 61 4 3 2" xfId="29629" xr:uid="{E881BF24-E7BB-4731-8986-7EA9F92D0877}"/>
    <cellStyle name="Percentuale 61 4 4" xfId="29630" xr:uid="{CEDE2DAB-2B21-4A22-B69B-921030490F7D}"/>
    <cellStyle name="Percentuale 61 4 5" xfId="29631" xr:uid="{BAEBAE86-9CF9-4053-AEE2-470ADFC5F92D}"/>
    <cellStyle name="Percentuale 61 4 5 2" xfId="49435" xr:uid="{4EC29051-FE21-4A65-AC91-06D1B4E6F3FB}"/>
    <cellStyle name="Percentuale 61 4 6" xfId="29632" xr:uid="{45DB2FBF-C1B7-4B37-B46B-2A1505BA0B05}"/>
    <cellStyle name="Percentuale 61 4 7" xfId="29625" xr:uid="{29D3688D-DD27-482E-B02E-8FE519C9E3F1}"/>
    <cellStyle name="Percentuale 61 5" xfId="2503" xr:uid="{00000000-0005-0000-0000-000095090000}"/>
    <cellStyle name="Percentuale 61 5 2" xfId="29634" xr:uid="{81C9B318-190F-4AD7-AD72-CB712F78E45B}"/>
    <cellStyle name="Percentuale 61 5 3" xfId="29635" xr:uid="{772EF78A-E71A-4E6F-8210-D43FDBFD8F6B}"/>
    <cellStyle name="Percentuale 61 5 3 2" xfId="49436" xr:uid="{ABD29077-83C0-495B-BDB7-F527C099BD6A}"/>
    <cellStyle name="Percentuale 61 5 4" xfId="29636" xr:uid="{E6BC9C25-4E1C-4C67-AEB5-85E2637D10F0}"/>
    <cellStyle name="Percentuale 61 5 5" xfId="29633" xr:uid="{710A80B5-6ED4-4E7D-9F40-8CB5015BCD5A}"/>
    <cellStyle name="Percentuale 61 6" xfId="4501" xr:uid="{64048847-2465-466E-9465-CDED2EE68F49}"/>
    <cellStyle name="Percentuale 61 6 2" xfId="9868" xr:uid="{476BC4C3-C462-4B8D-B06D-ECAEB2756309}"/>
    <cellStyle name="Percentuale 61 6 3" xfId="29637" xr:uid="{7DDEC868-3D81-4E49-92C9-C99D919D85FB}"/>
    <cellStyle name="Percentuale 61 7" xfId="29638" xr:uid="{0078F36C-4ECD-44F8-9D41-7EB9E0B0F503}"/>
    <cellStyle name="Percentuale 61 7 2" xfId="49437" xr:uid="{F7F00D93-6978-4C3E-979A-D07A57762391}"/>
    <cellStyle name="Percentuale 61 8" xfId="29605" xr:uid="{C811F750-1208-4EB0-9E98-2FEA3E5527F2}"/>
    <cellStyle name="Percentuale 62" xfId="1202" xr:uid="{00000000-0005-0000-0000-000096090000}"/>
    <cellStyle name="Percentuale 62 2" xfId="1203" xr:uid="{00000000-0005-0000-0000-000097090000}"/>
    <cellStyle name="Percentuale 62 2 2" xfId="13620" xr:uid="{B009C8E2-DC92-43B3-AC61-46DBBFE4E2BE}"/>
    <cellStyle name="Percentuale 62 2 2 2" xfId="29641" xr:uid="{0BB268A8-030F-4FF1-AB0C-7AC0246FD55C}"/>
    <cellStyle name="Percentuale 62 2 3" xfId="29640" xr:uid="{13D33E6C-74C1-448D-BB32-EBAC193D48B4}"/>
    <cellStyle name="Percentuale 62 3" xfId="13358" xr:uid="{2110C1AD-A63E-4E21-BFFB-186A6588E00B}"/>
    <cellStyle name="Percentuale 62 3 2" xfId="29642" xr:uid="{170DB570-23CC-4B41-B5E3-88C335BEDD5A}"/>
    <cellStyle name="Percentuale 62 4" xfId="29643" xr:uid="{1754BC11-FD27-49DB-B2DD-D1B452160B76}"/>
    <cellStyle name="Percentuale 62 4 2" xfId="49438" xr:uid="{DF274661-D806-407F-9BBF-78FFB0F7C5AD}"/>
    <cellStyle name="Percentuale 62 5" xfId="29639" xr:uid="{AAF6B4C2-C3AD-442A-B12F-99F21A45B3C5}"/>
    <cellStyle name="Percentuale 63" xfId="1204" xr:uid="{00000000-0005-0000-0000-000098090000}"/>
    <cellStyle name="Percentuale 63 2" xfId="1205" xr:uid="{00000000-0005-0000-0000-000099090000}"/>
    <cellStyle name="Percentuale 63 2 2" xfId="13621" xr:uid="{713EDA75-C3E9-4CC2-BE80-67A0F8BE2E3F}"/>
    <cellStyle name="Percentuale 63 2 2 2" xfId="29646" xr:uid="{5FB946CF-7195-4869-9951-1345E990FA3F}"/>
    <cellStyle name="Percentuale 63 2 3" xfId="29645" xr:uid="{58DDF791-457C-4689-B939-00D97E98B67F}"/>
    <cellStyle name="Percentuale 63 3" xfId="13359" xr:uid="{66C0299A-903E-4F23-A993-B4819572011F}"/>
    <cellStyle name="Percentuale 63 3 2" xfId="29647" xr:uid="{AB211FC0-CF59-40DD-8733-206B08FA7786}"/>
    <cellStyle name="Percentuale 63 4" xfId="29648" xr:uid="{33ABD1E5-BE3A-4700-8755-2A05D11B7B36}"/>
    <cellStyle name="Percentuale 63 4 2" xfId="49439" xr:uid="{4AA914EC-1116-4E16-8B2E-7DD264F92BC5}"/>
    <cellStyle name="Percentuale 63 5" xfId="29644" xr:uid="{948E352A-1485-46BD-A153-7E4A6E26FCD2}"/>
    <cellStyle name="Percentuale 64" xfId="1206" xr:uid="{00000000-0005-0000-0000-00009A090000}"/>
    <cellStyle name="Percentuale 64 2" xfId="1207" xr:uid="{00000000-0005-0000-0000-00009B090000}"/>
    <cellStyle name="Percentuale 64 2 2" xfId="13622" xr:uid="{5943995F-DE8E-42B6-A7AA-300C8184F57B}"/>
    <cellStyle name="Percentuale 64 2 2 2" xfId="29651" xr:uid="{8995B203-316E-437A-9BD2-774EBECC4577}"/>
    <cellStyle name="Percentuale 64 2 3" xfId="29650" xr:uid="{8A70A783-E1DC-4159-93E9-8694719A8B14}"/>
    <cellStyle name="Percentuale 64 3" xfId="13360" xr:uid="{6EF1905D-D511-46F4-8071-A05327CC8F16}"/>
    <cellStyle name="Percentuale 64 3 2" xfId="29652" xr:uid="{86FB410E-2A79-42A6-BAD7-F947954553B5}"/>
    <cellStyle name="Percentuale 64 4" xfId="29653" xr:uid="{D38C508E-B708-4CE0-82D4-656C8AACAF67}"/>
    <cellStyle name="Percentuale 64 4 2" xfId="49440" xr:uid="{8AD71DDF-0784-40A1-A1B9-A254962B7651}"/>
    <cellStyle name="Percentuale 64 5" xfId="29649" xr:uid="{2EA9ECB2-09A9-47A8-9542-11E843EFFEB1}"/>
    <cellStyle name="Percentuale 65" xfId="1208" xr:uid="{00000000-0005-0000-0000-00009C090000}"/>
    <cellStyle name="Percentuale 65 2" xfId="1209" xr:uid="{00000000-0005-0000-0000-00009D090000}"/>
    <cellStyle name="Percentuale 65 2 2" xfId="13623" xr:uid="{F74DDE5E-B324-43A2-BE2D-8B785DDDD448}"/>
    <cellStyle name="Percentuale 65 2 2 2" xfId="29656" xr:uid="{62431624-1D59-4843-BD85-B142ADB0108E}"/>
    <cellStyle name="Percentuale 65 2 3" xfId="29655" xr:uid="{E26EA4DF-6B16-4868-BCC9-CEABDBF9EF1F}"/>
    <cellStyle name="Percentuale 65 3" xfId="13361" xr:uid="{96AADDBD-08A9-405E-820F-DFD11122B93E}"/>
    <cellStyle name="Percentuale 65 3 2" xfId="29657" xr:uid="{EB38AE11-5BEA-4FC2-BEBE-829E50E53A4A}"/>
    <cellStyle name="Percentuale 65 4" xfId="29658" xr:uid="{A1C24108-9AF5-4E15-A556-72294937A41E}"/>
    <cellStyle name="Percentuale 65 4 2" xfId="49441" xr:uid="{E1E940EF-ACCA-45C7-B16A-CD4C84755E58}"/>
    <cellStyle name="Percentuale 65 5" xfId="29654" xr:uid="{CB6B3F49-DB0A-4CA5-9E7B-7E7F6ABFA6A9}"/>
    <cellStyle name="Percentuale 66" xfId="1210" xr:uid="{00000000-0005-0000-0000-00009E090000}"/>
    <cellStyle name="Percentuale 66 2" xfId="1211" xr:uid="{00000000-0005-0000-0000-00009F090000}"/>
    <cellStyle name="Percentuale 66 2 2" xfId="13624" xr:uid="{FD98CB60-7D1F-47A7-B498-461C3D08C41C}"/>
    <cellStyle name="Percentuale 66 2 2 2" xfId="29661" xr:uid="{650051FC-5879-497B-9DE5-B73A0F0A55DB}"/>
    <cellStyle name="Percentuale 66 2 3" xfId="29660" xr:uid="{EB51E01F-727E-4CCA-AC0A-681A5347ABE0}"/>
    <cellStyle name="Percentuale 66 3" xfId="13362" xr:uid="{30812E57-307C-4CA3-ADC5-3A0042143815}"/>
    <cellStyle name="Percentuale 66 3 2" xfId="29662" xr:uid="{CE11AB59-0A8A-4CE3-AB2C-4D6E7EDCA983}"/>
    <cellStyle name="Percentuale 66 4" xfId="29663" xr:uid="{6E7750AA-FB98-4476-9E0B-91A2F6C135A3}"/>
    <cellStyle name="Percentuale 66 4 2" xfId="49442" xr:uid="{A2CE3BE0-332D-4850-97BC-B2D74DACF242}"/>
    <cellStyle name="Percentuale 66 5" xfId="29659" xr:uid="{85B48052-6E19-4AD1-ACC8-5B054D0A44D8}"/>
    <cellStyle name="Percentuale 67" xfId="1212" xr:uid="{00000000-0005-0000-0000-0000A0090000}"/>
    <cellStyle name="Percentuale 67 2" xfId="1213" xr:uid="{00000000-0005-0000-0000-0000A1090000}"/>
    <cellStyle name="Percentuale 67 2 2" xfId="13625" xr:uid="{3E102B55-0C59-4C8C-B6F2-60D27F4A8674}"/>
    <cellStyle name="Percentuale 67 2 2 2" xfId="29666" xr:uid="{04EF07E7-7530-426C-BF9C-8761C653E292}"/>
    <cellStyle name="Percentuale 67 2 3" xfId="29665" xr:uid="{D9D1F753-F61E-451B-BEC3-D3FB16AF5203}"/>
    <cellStyle name="Percentuale 67 3" xfId="13363" xr:uid="{485F0178-CE29-4CAD-BC75-C9096AD8ED41}"/>
    <cellStyle name="Percentuale 67 3 2" xfId="29667" xr:uid="{98572E6A-7834-4A69-8E70-C14E61D0559E}"/>
    <cellStyle name="Percentuale 67 4" xfId="29668" xr:uid="{1A01B8DE-CBBD-48B7-9116-3ED21D4D6469}"/>
    <cellStyle name="Percentuale 67 4 2" xfId="49443" xr:uid="{03623A3A-3331-4249-ACCB-DC38F707C704}"/>
    <cellStyle name="Percentuale 67 5" xfId="29664" xr:uid="{4BAA790C-F084-45D5-8EAC-C9E3CEDD2306}"/>
    <cellStyle name="Percentuale 68" xfId="1214" xr:uid="{00000000-0005-0000-0000-0000A2090000}"/>
    <cellStyle name="Percentuale 68 2" xfId="1215" xr:uid="{00000000-0005-0000-0000-0000A3090000}"/>
    <cellStyle name="Percentuale 68 2 2" xfId="4502" xr:uid="{BACC67DC-0D10-4A0C-8653-C032F3F4ECAE}"/>
    <cellStyle name="Percentuale 68 2 2 2" xfId="13626" xr:uid="{50DFAC7F-9D83-45EB-9395-D9E47EBF1984}"/>
    <cellStyle name="Percentuale 68 2 2 3" xfId="29671" xr:uid="{EF2D6559-6607-4A31-9033-247AB0E4604C}"/>
    <cellStyle name="Percentuale 68 2 3" xfId="13364" xr:uid="{DBCBE200-D3EF-412E-9BB4-25C9D753C073}"/>
    <cellStyle name="Percentuale 68 2 3 2" xfId="29672" xr:uid="{C3FF57A4-3EC8-4003-83DE-751F80A472FE}"/>
    <cellStyle name="Percentuale 68 2 4" xfId="29673" xr:uid="{99ACACE2-887B-46D4-A8E6-5362CD56595D}"/>
    <cellStyle name="Percentuale 68 2 4 2" xfId="49444" xr:uid="{D0C535EE-9BBD-45EE-B895-C0BCD23FD5E8}"/>
    <cellStyle name="Percentuale 68 2 5" xfId="29674" xr:uid="{174390A2-5CA2-41B8-9799-4A6282BF28A7}"/>
    <cellStyle name="Percentuale 68 2 6" xfId="29670" xr:uid="{B7870020-1ED5-47AD-82FE-7D3343913817}"/>
    <cellStyle name="Percentuale 68 3" xfId="1216" xr:uid="{00000000-0005-0000-0000-0000A4090000}"/>
    <cellStyle name="Percentuale 68 3 2" xfId="1217" xr:uid="{00000000-0005-0000-0000-0000A5090000}"/>
    <cellStyle name="Percentuale 68 3 2 2" xfId="2504" xr:uid="{00000000-0005-0000-0000-0000A6090000}"/>
    <cellStyle name="Percentuale 68 3 2 2 2" xfId="29678" xr:uid="{6F8E79E7-16AC-4255-9D42-6571A6761A14}"/>
    <cellStyle name="Percentuale 68 3 2 2 3" xfId="29677" xr:uid="{3BB3F52B-A8AD-4C5A-BB51-8194D23BCADE}"/>
    <cellStyle name="Percentuale 68 3 2 3" xfId="8175" xr:uid="{A3E57BD5-FBCE-46C2-8686-567DDE9B84B9}"/>
    <cellStyle name="Percentuale 68 3 2 3 2" xfId="14174" xr:uid="{8FD4E824-65E0-4FB0-8328-634DDAA7D5CC}"/>
    <cellStyle name="Percentuale 68 3 2 3 3" xfId="29679" xr:uid="{F401E9E4-813F-43FC-995A-C05094ED3F56}"/>
    <cellStyle name="Percentuale 68 3 2 3 4" xfId="49445" xr:uid="{A90426A4-5018-4890-B9D6-D6D32BF4CB36}"/>
    <cellStyle name="Percentuale 68 3 2 4" xfId="29680" xr:uid="{D1360AC5-FBC2-41F1-ADD5-46DC035AF53B}"/>
    <cellStyle name="Percentuale 68 3 2 5" xfId="29676" xr:uid="{AED2FD4E-FC3C-4D07-AF4A-BFBFCAD66111}"/>
    <cellStyle name="Percentuale 68 3 3" xfId="4503" xr:uid="{DC9ED9B7-0593-4684-B2BF-E5BDE9B5FE35}"/>
    <cellStyle name="Percentuale 68 3 3 2" xfId="9572" xr:uid="{11266A0B-3446-4B4D-AF00-25F0B0CD7F64}"/>
    <cellStyle name="Percentuale 68 3 3 2 2" xfId="29682" xr:uid="{95253A3E-87EA-4C50-80CA-4051F0CE33B6}"/>
    <cellStyle name="Percentuale 68 3 3 3" xfId="29683" xr:uid="{349E56F0-C68D-4788-9424-54FAE2BE865F}"/>
    <cellStyle name="Percentuale 68 3 3 4" xfId="29684" xr:uid="{29CD0E2E-B5B6-4A88-B414-6B7EDE154F25}"/>
    <cellStyle name="Percentuale 68 3 3 4 2" xfId="49446" xr:uid="{B32E4EDA-BA28-44A6-8FFB-C517D474A4B9}"/>
    <cellStyle name="Percentuale 68 3 3 5" xfId="29681" xr:uid="{2D711496-7380-4F5C-8D76-B7F6D13A4FA7}"/>
    <cellStyle name="Percentuale 68 3 4" xfId="4504" xr:uid="{476AD549-44A6-4B35-B9D7-2515E2929DA2}"/>
    <cellStyle name="Percentuale 68 3 4 2" xfId="13835" xr:uid="{7312BD12-A52D-4B01-B256-6B55D4F5B808}"/>
    <cellStyle name="Percentuale 68 3 4 3" xfId="29685" xr:uid="{101803FC-FF32-4654-B106-CC175944C89F}"/>
    <cellStyle name="Percentuale 68 3 5" xfId="11416" xr:uid="{32380FDD-24A6-4A39-B415-68FD78C71773}"/>
    <cellStyle name="Percentuale 68 3 5 2" xfId="29686" xr:uid="{310F06A9-0432-4BF7-8313-DD8D72F9F698}"/>
    <cellStyle name="Percentuale 68 3 6" xfId="29687" xr:uid="{BB1D4C39-47EC-473C-953E-BEFBFD3955C8}"/>
    <cellStyle name="Percentuale 68 3 6 2" xfId="49447" xr:uid="{DDAAA16E-BCD0-46F1-9179-AE740580DBB3}"/>
    <cellStyle name="Percentuale 68 3 7" xfId="29688" xr:uid="{3841E96E-E503-48D8-B18A-0A726E9D3899}"/>
    <cellStyle name="Percentuale 68 3 8" xfId="29675" xr:uid="{86337EF2-B695-4B2B-B108-D0442BB0C6CD}"/>
    <cellStyle name="Percentuale 68 4" xfId="2505" xr:uid="{00000000-0005-0000-0000-0000A7090000}"/>
    <cellStyle name="Percentuale 68 4 2" xfId="2506" xr:uid="{00000000-0005-0000-0000-0000A8090000}"/>
    <cellStyle name="Percentuale 68 4 2 2" xfId="9573" xr:uid="{372D155D-A027-46E0-BF9B-9A2479B33DEB}"/>
    <cellStyle name="Percentuale 68 4 2 2 2" xfId="29691" xr:uid="{787FB55A-7DD1-4B0C-8506-E49E16467649}"/>
    <cellStyle name="Percentuale 68 4 2 3" xfId="17960" xr:uid="{582C9826-11A6-4F16-B482-F95B35827E48}"/>
    <cellStyle name="Percentuale 68 4 2 3 2" xfId="29692" xr:uid="{EFFA5904-D127-4BE3-834E-9D14F834CC71}"/>
    <cellStyle name="Percentuale 68 4 2 4" xfId="29690" xr:uid="{C7C63B6C-224B-466B-8F49-4CA6729D3B8A}"/>
    <cellStyle name="Percentuale 68 4 2 5" xfId="17571" xr:uid="{2DF643DB-E390-4F2B-807C-912E7F551F37}"/>
    <cellStyle name="Percentuale 68 4 3" xfId="9574" xr:uid="{9E73BB35-45DF-4F18-99F9-9C959CBC764C}"/>
    <cellStyle name="Percentuale 68 4 3 2" xfId="29693" xr:uid="{E312A389-CF63-4BCA-8D2E-1F759A9F2748}"/>
    <cellStyle name="Percentuale 68 4 4" xfId="29694" xr:uid="{D4792DE0-20BD-49FF-9B0E-842D3793DCFF}"/>
    <cellStyle name="Percentuale 68 4 5" xfId="29695" xr:uid="{B3B1DF29-272C-4AC0-A612-CFCB49146CAD}"/>
    <cellStyle name="Percentuale 68 4 5 2" xfId="49448" xr:uid="{377E0D85-F796-4155-B877-5EFE21E7F0A9}"/>
    <cellStyle name="Percentuale 68 4 6" xfId="29696" xr:uid="{E5657AE4-8388-4A2F-96FD-F7A59A4F100A}"/>
    <cellStyle name="Percentuale 68 4 7" xfId="29689" xr:uid="{9DF5FA44-C743-4123-B300-ED30B23996FA}"/>
    <cellStyle name="Percentuale 68 5" xfId="2507" xr:uid="{00000000-0005-0000-0000-0000A9090000}"/>
    <cellStyle name="Percentuale 68 5 2" xfId="29698" xr:uid="{A5E7DFCF-B815-49EB-821E-90880CCA1858}"/>
    <cellStyle name="Percentuale 68 5 3" xfId="29699" xr:uid="{59DD4645-F9FC-4D64-AB38-96C7456B650C}"/>
    <cellStyle name="Percentuale 68 5 3 2" xfId="49449" xr:uid="{BDE339CA-587D-4654-8C38-B97BBDED6E06}"/>
    <cellStyle name="Percentuale 68 5 4" xfId="29700" xr:uid="{7D3CCFBB-EAB0-420C-B583-7C62AB030143}"/>
    <cellStyle name="Percentuale 68 5 5" xfId="29697" xr:uid="{A63FB806-16C8-41DB-B77C-C0F4A471648D}"/>
    <cellStyle name="Percentuale 68 6" xfId="4505" xr:uid="{B04B8D4B-5750-4393-9BCE-86DA715AD844}"/>
    <cellStyle name="Percentuale 68 6 2" xfId="9869" xr:uid="{B75E802B-4634-4519-8B31-4A102F9D9837}"/>
    <cellStyle name="Percentuale 68 6 3" xfId="29701" xr:uid="{E10EAE6E-E77F-40B2-A848-5082CB2450CF}"/>
    <cellStyle name="Percentuale 68 7" xfId="29702" xr:uid="{E1862F86-9CB4-404C-BCAF-A211C044B33F}"/>
    <cellStyle name="Percentuale 68 7 2" xfId="49450" xr:uid="{8A7BFE73-D795-496F-8B8E-7FE26F200BB1}"/>
    <cellStyle name="Percentuale 68 8" xfId="29669" xr:uid="{8024F8B8-D632-48C1-8FBA-268E9D9819BA}"/>
    <cellStyle name="Percentuale 69" xfId="1218" xr:uid="{00000000-0005-0000-0000-0000AA090000}"/>
    <cellStyle name="Percentuale 69 2" xfId="1219" xr:uid="{00000000-0005-0000-0000-0000AB090000}"/>
    <cellStyle name="Percentuale 69 2 2" xfId="4506" xr:uid="{23DB9E88-DEBE-4954-BEC1-3C3828A60C5B}"/>
    <cellStyle name="Percentuale 69 2 2 2" xfId="13627" xr:uid="{A201E9D4-A9D3-434F-A7F3-D461508CE602}"/>
    <cellStyle name="Percentuale 69 2 2 3" xfId="29705" xr:uid="{D70D9252-85EC-436B-90C8-037A0975409B}"/>
    <cellStyle name="Percentuale 69 2 3" xfId="13365" xr:uid="{70D6AD91-3AC1-414D-BB7D-929C9F846997}"/>
    <cellStyle name="Percentuale 69 2 3 2" xfId="29706" xr:uid="{D9A313D6-F993-425D-866C-037D3BBC77BF}"/>
    <cellStyle name="Percentuale 69 2 4" xfId="29707" xr:uid="{B55CD023-7D4A-4340-8795-1963D55977D2}"/>
    <cellStyle name="Percentuale 69 2 4 2" xfId="49451" xr:uid="{00AA4B84-514C-43A2-AB52-5F382A091F4E}"/>
    <cellStyle name="Percentuale 69 2 5" xfId="29708" xr:uid="{28A0CEF0-A81B-4938-A4D2-AF1D768F8521}"/>
    <cellStyle name="Percentuale 69 2 6" xfId="29704" xr:uid="{F8103D3E-D78B-4730-86D2-546D6D3E3F7D}"/>
    <cellStyle name="Percentuale 69 3" xfId="1220" xr:uid="{00000000-0005-0000-0000-0000AC090000}"/>
    <cellStyle name="Percentuale 69 3 2" xfId="1221" xr:uid="{00000000-0005-0000-0000-0000AD090000}"/>
    <cellStyle name="Percentuale 69 3 2 2" xfId="2508" xr:uid="{00000000-0005-0000-0000-0000AE090000}"/>
    <cellStyle name="Percentuale 69 3 2 2 2" xfId="29712" xr:uid="{A38213E7-880F-454C-ABEA-9025914A4988}"/>
    <cellStyle name="Percentuale 69 3 2 2 3" xfId="29711" xr:uid="{1E1B78BC-AEF5-41D0-AC6E-9AC516A000B8}"/>
    <cellStyle name="Percentuale 69 3 2 3" xfId="8176" xr:uid="{2B7BCEAE-E72F-4215-B4DA-10CC74242FAE}"/>
    <cellStyle name="Percentuale 69 3 2 3 2" xfId="14175" xr:uid="{179C5A7D-8C83-4C6B-90CA-375DDA0FE06A}"/>
    <cellStyle name="Percentuale 69 3 2 3 3" xfId="29713" xr:uid="{DEA49ADE-7C24-4E82-BBBE-8623E273B0AF}"/>
    <cellStyle name="Percentuale 69 3 2 3 4" xfId="49452" xr:uid="{56F43024-0CEF-4316-ABF6-FA05DBB76E4A}"/>
    <cellStyle name="Percentuale 69 3 2 4" xfId="29714" xr:uid="{8E04E9E5-E00C-4AC1-9BE1-A8A7CF17836D}"/>
    <cellStyle name="Percentuale 69 3 2 5" xfId="29710" xr:uid="{A8A25314-7C6A-4309-B586-667442050917}"/>
    <cellStyle name="Percentuale 69 3 3" xfId="4507" xr:uid="{F23C2736-47A1-4534-B738-9D35C0CD0C5F}"/>
    <cellStyle name="Percentuale 69 3 3 2" xfId="9575" xr:uid="{3A90F4BB-B014-4C6A-B006-145E479D9B69}"/>
    <cellStyle name="Percentuale 69 3 3 2 2" xfId="29716" xr:uid="{585717FF-C566-461B-940B-34019324C441}"/>
    <cellStyle name="Percentuale 69 3 3 3" xfId="29717" xr:uid="{F7511932-61B1-43D4-B3B5-339AB99A2433}"/>
    <cellStyle name="Percentuale 69 3 3 4" xfId="29718" xr:uid="{C1F96DD4-02DF-4051-8ED4-00A18F745463}"/>
    <cellStyle name="Percentuale 69 3 3 4 2" xfId="49453" xr:uid="{7ECD832B-8CC9-43D1-B3BA-9C052E9AC58D}"/>
    <cellStyle name="Percentuale 69 3 3 5" xfId="29715" xr:uid="{8619D1AB-AF37-4A8E-BCAB-41015124FE59}"/>
    <cellStyle name="Percentuale 69 3 4" xfId="4508" xr:uid="{6EB096BA-F89C-46F3-B69D-C62A77C9EFB4}"/>
    <cellStyle name="Percentuale 69 3 4 2" xfId="13836" xr:uid="{17D464DC-D844-46E6-A9F2-69E222E94E06}"/>
    <cellStyle name="Percentuale 69 3 4 3" xfId="29719" xr:uid="{8D2F8E31-0C53-446C-97CC-356EB7395C57}"/>
    <cellStyle name="Percentuale 69 3 5" xfId="12265" xr:uid="{AC8B01EC-6BDE-461D-A84D-DFC27DB35E28}"/>
    <cellStyle name="Percentuale 69 3 5 2" xfId="29720" xr:uid="{B2E203E7-9D01-4D7B-A524-3FD38AF6BE72}"/>
    <cellStyle name="Percentuale 69 3 6" xfId="29721" xr:uid="{224A2D02-C496-4489-AFF5-28F0D17C5590}"/>
    <cellStyle name="Percentuale 69 3 6 2" xfId="49454" xr:uid="{41E1702F-0A9D-4CCA-885E-F1E82234A44F}"/>
    <cellStyle name="Percentuale 69 3 7" xfId="29722" xr:uid="{B6162627-0882-4322-BD0D-24E4E9E53F73}"/>
    <cellStyle name="Percentuale 69 3 8" xfId="29709" xr:uid="{5FB2A9E2-1985-46A1-A767-D5C8E2CF938C}"/>
    <cellStyle name="Percentuale 69 4" xfId="2509" xr:uid="{00000000-0005-0000-0000-0000AF090000}"/>
    <cellStyle name="Percentuale 69 4 2" xfId="2510" xr:uid="{00000000-0005-0000-0000-0000B0090000}"/>
    <cellStyle name="Percentuale 69 4 2 2" xfId="9576" xr:uid="{462B7440-E9BE-45F6-AE90-EE24293D2E4B}"/>
    <cellStyle name="Percentuale 69 4 2 2 2" xfId="29725" xr:uid="{5715EEF2-F903-4EFC-894A-71B5925E2AA7}"/>
    <cellStyle name="Percentuale 69 4 2 3" xfId="17961" xr:uid="{960BEB16-F4B8-4595-A34A-1281B699146B}"/>
    <cellStyle name="Percentuale 69 4 2 3 2" xfId="29726" xr:uid="{370EA6C5-AE21-4BD4-AD45-276E2D7C84A9}"/>
    <cellStyle name="Percentuale 69 4 2 4" xfId="29724" xr:uid="{77666EFB-3727-4142-8E63-8811ABE93624}"/>
    <cellStyle name="Percentuale 69 4 2 5" xfId="17572" xr:uid="{49C27E0D-686D-4380-8431-632365435A64}"/>
    <cellStyle name="Percentuale 69 4 3" xfId="9577" xr:uid="{DE018F60-F659-45E6-A5DB-BD7389E48637}"/>
    <cellStyle name="Percentuale 69 4 3 2" xfId="29727" xr:uid="{3689782A-C7DE-4217-A066-81C02ADB37CB}"/>
    <cellStyle name="Percentuale 69 4 4" xfId="29728" xr:uid="{7C01973A-9106-4CAC-991B-C22980B54620}"/>
    <cellStyle name="Percentuale 69 4 5" xfId="29729" xr:uid="{5E97FFD7-00DB-46D1-A0F1-A8516D59DBEE}"/>
    <cellStyle name="Percentuale 69 4 5 2" xfId="49455" xr:uid="{FCBF385C-8D9B-466A-9C74-3DFD3E7FD4C5}"/>
    <cellStyle name="Percentuale 69 4 6" xfId="29730" xr:uid="{A42210AD-EEBB-40A6-AEB0-FA0AAF146DBF}"/>
    <cellStyle name="Percentuale 69 4 7" xfId="29723" xr:uid="{CB8A69F9-720D-4217-99DA-B6D05D1834EC}"/>
    <cellStyle name="Percentuale 69 5" xfId="2511" xr:uid="{00000000-0005-0000-0000-0000B1090000}"/>
    <cellStyle name="Percentuale 69 5 2" xfId="29732" xr:uid="{1514B402-379D-42C5-BCB7-D3FFC8214345}"/>
    <cellStyle name="Percentuale 69 5 3" xfId="29733" xr:uid="{01D56C62-D2B0-499B-8A4B-A36257173BEB}"/>
    <cellStyle name="Percentuale 69 5 3 2" xfId="49456" xr:uid="{D7A1CCD4-7417-4109-8E54-5058896F5513}"/>
    <cellStyle name="Percentuale 69 5 4" xfId="29734" xr:uid="{D5801A93-C0C9-470C-9BFE-C8EA59AA2A6F}"/>
    <cellStyle name="Percentuale 69 5 5" xfId="29731" xr:uid="{D29EC11F-7746-4703-8459-5E44A5C6FFF9}"/>
    <cellStyle name="Percentuale 69 6" xfId="4509" xr:uid="{ECB2712E-6612-44FE-8D01-07451168264D}"/>
    <cellStyle name="Percentuale 69 6 2" xfId="9870" xr:uid="{24494CE5-B9EF-4FC9-B0B3-7C2AB47D0DAC}"/>
    <cellStyle name="Percentuale 69 6 3" xfId="29735" xr:uid="{34862452-9E16-484D-8718-846D5C760832}"/>
    <cellStyle name="Percentuale 69 7" xfId="29736" xr:uid="{A7088E89-E0FF-44E6-A0EC-6A30A051B649}"/>
    <cellStyle name="Percentuale 69 7 2" xfId="49457" xr:uid="{32D64A7F-EED9-4DAF-9183-735BDFE360B4}"/>
    <cellStyle name="Percentuale 69 8" xfId="29703" xr:uid="{421D0A01-97EF-42DD-B2C7-F942D5E032E2}"/>
    <cellStyle name="Percentuale 7" xfId="1222" xr:uid="{00000000-0005-0000-0000-0000B2090000}"/>
    <cellStyle name="Percentuale 7 2" xfId="1223" xr:uid="{00000000-0005-0000-0000-0000B3090000}"/>
    <cellStyle name="Percentuale 7 2 2" xfId="4510" xr:uid="{39A505AE-B8B8-42CF-92B4-06C819A4CA23}"/>
    <cellStyle name="Percentuale 7 2 2 2" xfId="13628" xr:uid="{B72BF523-8580-4CDA-9FDC-B2D947C5B586}"/>
    <cellStyle name="Percentuale 7 2 2 3" xfId="29739" xr:uid="{4108496C-8024-41ED-AE75-212190C8075F}"/>
    <cellStyle name="Percentuale 7 2 3" xfId="13366" xr:uid="{11EF22DD-847B-484D-9FCF-92A5DBCF0BAF}"/>
    <cellStyle name="Percentuale 7 2 3 2" xfId="29740" xr:uid="{B7A0C48C-207E-4C17-8557-6E7712D9FBF4}"/>
    <cellStyle name="Percentuale 7 2 4" xfId="29741" xr:uid="{C05BF64C-DF33-4C0F-82CD-D2E195C165D8}"/>
    <cellStyle name="Percentuale 7 2 4 2" xfId="49458" xr:uid="{1E4BD022-1994-4446-B7EF-BADA18F6D38E}"/>
    <cellStyle name="Percentuale 7 2 5" xfId="29742" xr:uid="{15CCB295-486B-4373-891B-0D86C926A265}"/>
    <cellStyle name="Percentuale 7 2 6" xfId="29738" xr:uid="{4F8A9201-8D60-4449-A401-B3C250070249}"/>
    <cellStyle name="Percentuale 7 3" xfId="1224" xr:uid="{00000000-0005-0000-0000-0000B4090000}"/>
    <cellStyle name="Percentuale 7 3 2" xfId="1225" xr:uid="{00000000-0005-0000-0000-0000B5090000}"/>
    <cellStyle name="Percentuale 7 3 2 2" xfId="2512" xr:uid="{00000000-0005-0000-0000-0000B6090000}"/>
    <cellStyle name="Percentuale 7 3 2 2 2" xfId="29746" xr:uid="{E2D70682-816D-4FEA-BD40-B3EBDC5D86F1}"/>
    <cellStyle name="Percentuale 7 3 2 2 3" xfId="29745" xr:uid="{9D762693-DEE8-46D0-A9B0-2E604710ADBD}"/>
    <cellStyle name="Percentuale 7 3 2 3" xfId="8177" xr:uid="{FA44C778-86F8-4A87-8940-94F0D007B673}"/>
    <cellStyle name="Percentuale 7 3 2 3 2" xfId="14176" xr:uid="{BEB32516-71A0-4713-9C9C-9614577B5660}"/>
    <cellStyle name="Percentuale 7 3 2 3 3" xfId="29747" xr:uid="{6DE2EF9A-59F0-47F9-BB8D-28D06365B8D3}"/>
    <cellStyle name="Percentuale 7 3 2 3 4" xfId="49459" xr:uid="{ACBFFBF0-6211-4957-8E6B-07AA9DBE3592}"/>
    <cellStyle name="Percentuale 7 3 2 4" xfId="29748" xr:uid="{E1940956-F467-4B2D-97C3-6ED6BCFBA415}"/>
    <cellStyle name="Percentuale 7 3 2 5" xfId="29744" xr:uid="{CF04CB01-EDB4-413A-ADEC-480E8209D73C}"/>
    <cellStyle name="Percentuale 7 3 3" xfId="4511" xr:uid="{27C4F1D5-4DF4-44E2-AE15-B3E5F9C2936B}"/>
    <cellStyle name="Percentuale 7 3 3 2" xfId="9578" xr:uid="{4DFA3194-2D85-4C9D-83AF-BA8941C2E2CC}"/>
    <cellStyle name="Percentuale 7 3 3 2 2" xfId="29750" xr:uid="{201E62E0-F1B4-4DC9-9483-22EF7EE113B4}"/>
    <cellStyle name="Percentuale 7 3 3 3" xfId="29751" xr:uid="{6DE49EF6-9F49-4B9E-AFB3-13B918A00F67}"/>
    <cellStyle name="Percentuale 7 3 3 4" xfId="29752" xr:uid="{624D56D6-BD3D-4B8A-9401-7F180D7A972E}"/>
    <cellStyle name="Percentuale 7 3 3 4 2" xfId="49460" xr:uid="{7EFFD53D-6C29-4B25-AE5C-B2D6E89C3BF2}"/>
    <cellStyle name="Percentuale 7 3 3 5" xfId="29749" xr:uid="{299D65AF-EA41-4ED0-9FB0-F70F270B1AE6}"/>
    <cellStyle name="Percentuale 7 3 4" xfId="4512" xr:uid="{23D630BB-0139-496F-A9FA-0C19BCD36DAF}"/>
    <cellStyle name="Percentuale 7 3 4 2" xfId="13837" xr:uid="{6DFB65CB-8B10-49A2-B8FB-185468333919}"/>
    <cellStyle name="Percentuale 7 3 4 3" xfId="29753" xr:uid="{1370AB65-CCDF-4C56-BD4D-C20FE16A9A55}"/>
    <cellStyle name="Percentuale 7 3 5" xfId="12309" xr:uid="{EF5CDE3F-1C31-4F2B-8C4A-2A2F4DA63557}"/>
    <cellStyle name="Percentuale 7 3 5 2" xfId="29754" xr:uid="{5EAA7CFD-2650-4033-AE8B-0914CBC1D76E}"/>
    <cellStyle name="Percentuale 7 3 6" xfId="29755" xr:uid="{E421C74C-6DB7-4A63-BD64-60FF2FFC0C0E}"/>
    <cellStyle name="Percentuale 7 3 6 2" xfId="49461" xr:uid="{B9C2975B-EDEF-4B49-9779-FF47D7C5762E}"/>
    <cellStyle name="Percentuale 7 3 7" xfId="29756" xr:uid="{4BB7E45F-686E-4EB8-8389-10FCFE4D7556}"/>
    <cellStyle name="Percentuale 7 3 8" xfId="29743" xr:uid="{025559ED-C61B-451C-8933-2DEB2699A0B0}"/>
    <cellStyle name="Percentuale 7 4" xfId="2513" xr:uid="{00000000-0005-0000-0000-0000B7090000}"/>
    <cellStyle name="Percentuale 7 4 2" xfId="2514" xr:uid="{00000000-0005-0000-0000-0000B8090000}"/>
    <cellStyle name="Percentuale 7 4 2 2" xfId="9579" xr:uid="{960E4BA6-81F0-4BE4-BD7D-74DEF41985E4}"/>
    <cellStyle name="Percentuale 7 4 2 2 2" xfId="29759" xr:uid="{B881F8B3-DF7A-42CB-BE5E-5EE826D93CAD}"/>
    <cellStyle name="Percentuale 7 4 2 3" xfId="17962" xr:uid="{EE54DB30-2F2C-4634-A6FC-51BE64CD29CF}"/>
    <cellStyle name="Percentuale 7 4 2 3 2" xfId="29760" xr:uid="{1C054C4A-5981-4BEE-9776-9AC19490C1BB}"/>
    <cellStyle name="Percentuale 7 4 2 4" xfId="29758" xr:uid="{8B2691C9-069B-4B43-A9CD-0E6C20C92EDC}"/>
    <cellStyle name="Percentuale 7 4 2 5" xfId="17573" xr:uid="{6DF2CBD4-276C-410C-9E8B-27938F2DE8B1}"/>
    <cellStyle name="Percentuale 7 4 3" xfId="9580" xr:uid="{1DB166E3-0BA1-4E43-885A-57A16CA5A8D8}"/>
    <cellStyle name="Percentuale 7 4 3 2" xfId="29761" xr:uid="{C8614544-E23D-4EC6-917F-98AA6426D674}"/>
    <cellStyle name="Percentuale 7 4 4" xfId="29762" xr:uid="{E434E99D-51DB-4F60-A307-B2A3AC9F12A6}"/>
    <cellStyle name="Percentuale 7 4 5" xfId="29763" xr:uid="{38512B9F-1666-4162-BA1E-B5FF9A45772D}"/>
    <cellStyle name="Percentuale 7 4 5 2" xfId="49462" xr:uid="{40D11E4E-9354-4009-A88F-9CF6B7EC306D}"/>
    <cellStyle name="Percentuale 7 4 6" xfId="29764" xr:uid="{E50E9562-7B12-45AA-8232-EC888BADA1D1}"/>
    <cellStyle name="Percentuale 7 4 7" xfId="29757" xr:uid="{73591064-D211-41F2-8F78-B165179F132D}"/>
    <cellStyle name="Percentuale 7 5" xfId="2515" xr:uid="{00000000-0005-0000-0000-0000B9090000}"/>
    <cellStyle name="Percentuale 7 5 2" xfId="29766" xr:uid="{E6239141-4297-4883-BA1F-DB9C49B53F3D}"/>
    <cellStyle name="Percentuale 7 5 3" xfId="29767" xr:uid="{D158A64F-00FC-4F0E-818B-AE23EBA55B6A}"/>
    <cellStyle name="Percentuale 7 5 3 2" xfId="49463" xr:uid="{CED6D653-176D-49EE-BD28-684FFDE42F38}"/>
    <cellStyle name="Percentuale 7 5 4" xfId="29768" xr:uid="{BEB940A2-C29E-46C3-B74B-F4CA2C7F66EB}"/>
    <cellStyle name="Percentuale 7 5 5" xfId="29765" xr:uid="{3C0638FC-4665-4BC4-9DB4-BF169BFDD120}"/>
    <cellStyle name="Percentuale 7 6" xfId="4513" xr:uid="{B971EC7F-33B1-45D2-99AE-E8B1207E15BA}"/>
    <cellStyle name="Percentuale 7 6 2" xfId="9871" xr:uid="{ED951B82-A113-4E73-8BE2-4BE27D687D55}"/>
    <cellStyle name="Percentuale 7 6 3" xfId="29769" xr:uid="{A2406443-8BC7-4090-922B-BAD25E7D126D}"/>
    <cellStyle name="Percentuale 7 7" xfId="29770" xr:uid="{B8FC451D-0A2C-4E95-9C2F-6A5975140587}"/>
    <cellStyle name="Percentuale 7 7 2" xfId="49464" xr:uid="{4227558A-FC49-4F5D-B586-7148F85845F2}"/>
    <cellStyle name="Percentuale 7 8" xfId="29737" xr:uid="{A7F4CACB-D919-4EDA-9A5A-ADAB6A3A6E1D}"/>
    <cellStyle name="Percentuale 8" xfId="1226" xr:uid="{00000000-0005-0000-0000-0000BA090000}"/>
    <cellStyle name="Percentuale 8 2" xfId="1227" xr:uid="{00000000-0005-0000-0000-0000BB090000}"/>
    <cellStyle name="Percentuale 8 2 2" xfId="4514" xr:uid="{EC87832A-4D3F-42EC-84F1-A7153A9C2B19}"/>
    <cellStyle name="Percentuale 8 2 2 2" xfId="13629" xr:uid="{A311B62E-1A29-4A21-A331-19FAE84A2E1B}"/>
    <cellStyle name="Percentuale 8 2 2 3" xfId="29773" xr:uid="{6FB7183D-993A-4513-B1B6-3248FEA0039F}"/>
    <cellStyle name="Percentuale 8 2 3" xfId="13367" xr:uid="{F362C5C0-3077-4EE0-94B4-6E43435D2BD5}"/>
    <cellStyle name="Percentuale 8 2 3 2" xfId="29774" xr:uid="{16F8233B-C96C-4FBF-9ECA-6976728AB64B}"/>
    <cellStyle name="Percentuale 8 2 4" xfId="29775" xr:uid="{DDBA8576-A9D7-4471-9F54-EAE408BEDD6A}"/>
    <cellStyle name="Percentuale 8 2 4 2" xfId="49465" xr:uid="{95A21139-D208-4002-A600-0B229E282C18}"/>
    <cellStyle name="Percentuale 8 2 5" xfId="29776" xr:uid="{117619A8-BCF2-41B7-A019-D954D62300DB}"/>
    <cellStyle name="Percentuale 8 2 6" xfId="29772" xr:uid="{62C2D65F-111F-4327-BE64-31BDD38E5528}"/>
    <cellStyle name="Percentuale 8 3" xfId="1228" xr:uid="{00000000-0005-0000-0000-0000BC090000}"/>
    <cellStyle name="Percentuale 8 3 2" xfId="1229" xr:uid="{00000000-0005-0000-0000-0000BD090000}"/>
    <cellStyle name="Percentuale 8 3 2 2" xfId="2516" xr:uid="{00000000-0005-0000-0000-0000BE090000}"/>
    <cellStyle name="Percentuale 8 3 2 2 2" xfId="29780" xr:uid="{9397EFA3-C252-4F33-8483-A823383F9B64}"/>
    <cellStyle name="Percentuale 8 3 2 2 3" xfId="29779" xr:uid="{551C732E-ED08-4B63-81FE-6213C6097F3A}"/>
    <cellStyle name="Percentuale 8 3 2 3" xfId="8178" xr:uid="{05A5D91A-C308-4BF1-85EC-57EC3C44231B}"/>
    <cellStyle name="Percentuale 8 3 2 3 2" xfId="14177" xr:uid="{1F81AF74-E46E-4DC8-8FCA-A82D255C5C37}"/>
    <cellStyle name="Percentuale 8 3 2 3 3" xfId="29781" xr:uid="{B3FE2CAB-0C2F-49EE-9D82-2FA3A7B73E42}"/>
    <cellStyle name="Percentuale 8 3 2 3 4" xfId="49466" xr:uid="{5216DEB2-F97A-4362-8E58-C44930D03A64}"/>
    <cellStyle name="Percentuale 8 3 2 4" xfId="29782" xr:uid="{74B16089-E343-4589-A881-A67531BC315B}"/>
    <cellStyle name="Percentuale 8 3 2 5" xfId="29778" xr:uid="{03C02FF2-3A48-4CDD-85E6-B6A23378F757}"/>
    <cellStyle name="Percentuale 8 3 3" xfId="4515" xr:uid="{741C152F-232A-4B81-B58A-36B8BFCCE056}"/>
    <cellStyle name="Percentuale 8 3 3 2" xfId="9581" xr:uid="{94E6BC9F-B415-4026-98D7-2D3BF16F6E0D}"/>
    <cellStyle name="Percentuale 8 3 3 2 2" xfId="29784" xr:uid="{239B7991-55C4-468F-8050-74D05B051FEA}"/>
    <cellStyle name="Percentuale 8 3 3 3" xfId="29785" xr:uid="{4996453A-00EF-442D-8897-472E7537F6E9}"/>
    <cellStyle name="Percentuale 8 3 3 4" xfId="29786" xr:uid="{B3B38620-690A-4D72-B403-B4FBC17DFB67}"/>
    <cellStyle name="Percentuale 8 3 3 4 2" xfId="49467" xr:uid="{F10C3300-2DE3-4B25-B036-63961F216D0E}"/>
    <cellStyle name="Percentuale 8 3 3 5" xfId="29783" xr:uid="{FE988E8B-F6FE-4B76-BEE3-051D9CF51EB6}"/>
    <cellStyle name="Percentuale 8 3 4" xfId="4516" xr:uid="{4CFB019E-7393-468B-81F1-1169D28536A4}"/>
    <cellStyle name="Percentuale 8 3 4 2" xfId="13838" xr:uid="{541F2A31-C89E-4D48-B525-25E974D977A3}"/>
    <cellStyle name="Percentuale 8 3 4 3" xfId="29787" xr:uid="{1F4479C6-2F22-46F7-BD25-7EBDEA471CA6}"/>
    <cellStyle name="Percentuale 8 3 5" xfId="11099" xr:uid="{B9D3AAEC-F4F7-4A6A-AA70-70B9A907B5A8}"/>
    <cellStyle name="Percentuale 8 3 5 2" xfId="29788" xr:uid="{138E194C-3FCE-4B59-BC17-2C521E4795C1}"/>
    <cellStyle name="Percentuale 8 3 6" xfId="29789" xr:uid="{9CBA0166-9497-4877-AA56-8053C6EC8FDB}"/>
    <cellStyle name="Percentuale 8 3 6 2" xfId="49468" xr:uid="{0F1E3E4B-E020-4F7F-AF45-F27854CCA076}"/>
    <cellStyle name="Percentuale 8 3 7" xfId="29790" xr:uid="{D28676AE-EE6F-4C38-A9EC-72E8BD795D14}"/>
    <cellStyle name="Percentuale 8 3 8" xfId="29777" xr:uid="{EA516FAE-89EA-4383-A84F-D6CDA95A001C}"/>
    <cellStyle name="Percentuale 8 4" xfId="2517" xr:uid="{00000000-0005-0000-0000-0000BF090000}"/>
    <cellStyle name="Percentuale 8 4 2" xfId="2518" xr:uid="{00000000-0005-0000-0000-0000C0090000}"/>
    <cellStyle name="Percentuale 8 4 2 2" xfId="9582" xr:uid="{7FD04F0F-D60F-40F1-9B44-020872BB7353}"/>
    <cellStyle name="Percentuale 8 4 2 2 2" xfId="29793" xr:uid="{BC6D05CE-BD60-4A4E-9039-EA7049A8206A}"/>
    <cellStyle name="Percentuale 8 4 2 3" xfId="17963" xr:uid="{A18D4165-8286-4C81-A045-51224A475E42}"/>
    <cellStyle name="Percentuale 8 4 2 3 2" xfId="29794" xr:uid="{68659735-4870-4010-9FD0-0A6A83E367FF}"/>
    <cellStyle name="Percentuale 8 4 2 4" xfId="29792" xr:uid="{FF9A3D8E-9203-4440-85F7-EF5117A8AA63}"/>
    <cellStyle name="Percentuale 8 4 2 5" xfId="17574" xr:uid="{5ABC84AE-8606-490B-B48D-25C99A8A7BB2}"/>
    <cellStyle name="Percentuale 8 4 3" xfId="9583" xr:uid="{402E7759-3712-4EFF-BC56-251045256F61}"/>
    <cellStyle name="Percentuale 8 4 3 2" xfId="29795" xr:uid="{1E12EE0C-5949-43D0-B93E-BA770B66042C}"/>
    <cellStyle name="Percentuale 8 4 4" xfId="29796" xr:uid="{8312B17E-B857-42EE-A84D-2127C7F4685A}"/>
    <cellStyle name="Percentuale 8 4 5" xfId="29797" xr:uid="{D38F1A5A-2585-4FA2-8C46-AE822C979E84}"/>
    <cellStyle name="Percentuale 8 4 5 2" xfId="49469" xr:uid="{99AB7700-C403-4684-ABD4-7BD5169600AA}"/>
    <cellStyle name="Percentuale 8 4 6" xfId="29798" xr:uid="{78CBBAA2-41C3-4D47-B572-C4CBF3A1071C}"/>
    <cellStyle name="Percentuale 8 4 7" xfId="29791" xr:uid="{DF34FEEA-34D4-40D2-ABC1-13940CDD9B22}"/>
    <cellStyle name="Percentuale 8 5" xfId="2519" xr:uid="{00000000-0005-0000-0000-0000C1090000}"/>
    <cellStyle name="Percentuale 8 5 2" xfId="29800" xr:uid="{E8C21438-3176-4F9C-B010-2F3702107787}"/>
    <cellStyle name="Percentuale 8 5 3" xfId="29801" xr:uid="{FB1786D1-C830-4F7D-A307-AC91E1CB38C9}"/>
    <cellStyle name="Percentuale 8 5 3 2" xfId="49470" xr:uid="{BC51B76B-FDBD-4F5B-82A6-42F915BA291A}"/>
    <cellStyle name="Percentuale 8 5 4" xfId="29802" xr:uid="{3E1AB7D7-BDCC-4B13-8D12-9F326A1EB684}"/>
    <cellStyle name="Percentuale 8 5 5" xfId="29799" xr:uid="{60274E02-B5DC-4120-8D83-208D308E6898}"/>
    <cellStyle name="Percentuale 8 6" xfId="4517" xr:uid="{3B0E0195-3231-418E-81FD-1D9A483AA130}"/>
    <cellStyle name="Percentuale 8 6 2" xfId="9872" xr:uid="{BE37DC54-006F-48FA-A026-2ABA1F1407E0}"/>
    <cellStyle name="Percentuale 8 6 3" xfId="29803" xr:uid="{531601C8-0E8D-4C8B-B318-6CB9A2DB852E}"/>
    <cellStyle name="Percentuale 8 7" xfId="29804" xr:uid="{A89B53E3-4643-461C-ADBF-256C12DC1E7F}"/>
    <cellStyle name="Percentuale 8 7 2" xfId="49471" xr:uid="{3AE71714-250C-47A1-89C8-621E577D8DCA}"/>
    <cellStyle name="Percentuale 8 8" xfId="29771" xr:uid="{FAAA3E9C-A184-46E9-9968-C2509ADB605F}"/>
    <cellStyle name="Percentuale 9" xfId="1230" xr:uid="{00000000-0005-0000-0000-0000C2090000}"/>
    <cellStyle name="Percentuale 9 2" xfId="1231" xr:uid="{00000000-0005-0000-0000-0000C3090000}"/>
    <cellStyle name="Percentuale 9 2 2" xfId="4518" xr:uid="{7C19F368-3FB0-4038-A5D5-3D8B341AAC7A}"/>
    <cellStyle name="Percentuale 9 2 2 2" xfId="13630" xr:uid="{66DDD46D-2A9E-48C1-9867-A0B9481C8B17}"/>
    <cellStyle name="Percentuale 9 2 2 3" xfId="29807" xr:uid="{53D0A370-BC00-4560-A39D-555174D67E99}"/>
    <cellStyle name="Percentuale 9 2 3" xfId="13368" xr:uid="{A65DFDB5-6FD5-45BA-8586-8103B245F967}"/>
    <cellStyle name="Percentuale 9 2 3 2" xfId="29808" xr:uid="{4ACAF53B-61B0-4EE9-A016-D732EFE457F0}"/>
    <cellStyle name="Percentuale 9 2 4" xfId="29809" xr:uid="{968830A9-0474-460C-920D-4AD6FDDD4E7E}"/>
    <cellStyle name="Percentuale 9 2 4 2" xfId="49472" xr:uid="{3A5EE5BC-C753-49E6-9653-4EF72B29810C}"/>
    <cellStyle name="Percentuale 9 2 5" xfId="29810" xr:uid="{F0920C92-29CE-46D5-906E-060BFACFF139}"/>
    <cellStyle name="Percentuale 9 2 6" xfId="29806" xr:uid="{AE55AB7F-7D29-41D8-9E51-52B424580236}"/>
    <cellStyle name="Percentuale 9 3" xfId="1232" xr:uid="{00000000-0005-0000-0000-0000C4090000}"/>
    <cellStyle name="Percentuale 9 3 2" xfId="1233" xr:uid="{00000000-0005-0000-0000-0000C5090000}"/>
    <cellStyle name="Percentuale 9 3 2 2" xfId="2520" xr:uid="{00000000-0005-0000-0000-0000C6090000}"/>
    <cellStyle name="Percentuale 9 3 2 2 2" xfId="29814" xr:uid="{AA138531-9728-499E-B6FE-8BC8135FE7C8}"/>
    <cellStyle name="Percentuale 9 3 2 2 3" xfId="29813" xr:uid="{AC5071D6-6FA5-41ED-8C2B-9F8E7E0260C2}"/>
    <cellStyle name="Percentuale 9 3 2 3" xfId="8179" xr:uid="{89FC78C2-F01C-4D37-BEC0-C940BBBBD90A}"/>
    <cellStyle name="Percentuale 9 3 2 3 2" xfId="14178" xr:uid="{BD1101B2-B5F4-4EE6-89F7-A008D8A4C64D}"/>
    <cellStyle name="Percentuale 9 3 2 3 3" xfId="29815" xr:uid="{6B8F3802-BF71-4E0B-A946-C199FF994EE2}"/>
    <cellStyle name="Percentuale 9 3 2 3 4" xfId="49473" xr:uid="{9581BEC5-C7F6-4CFA-98A0-1F44061701B4}"/>
    <cellStyle name="Percentuale 9 3 2 4" xfId="29816" xr:uid="{CA336636-C9CA-4B0C-81B3-6CE0377CF6C5}"/>
    <cellStyle name="Percentuale 9 3 2 5" xfId="29812" xr:uid="{A00C78F6-AE19-4C60-B4CF-2C355988C2CB}"/>
    <cellStyle name="Percentuale 9 3 3" xfId="4519" xr:uid="{09BEE86E-5621-4A2E-9E12-DEB898ADB992}"/>
    <cellStyle name="Percentuale 9 3 3 2" xfId="9584" xr:uid="{55097D5A-59FC-4E05-9D3A-4632F1DC6852}"/>
    <cellStyle name="Percentuale 9 3 3 2 2" xfId="29818" xr:uid="{A62A7999-933B-4FC6-A960-2FF8E1D4EFB4}"/>
    <cellStyle name="Percentuale 9 3 3 3" xfId="29819" xr:uid="{6388B8A1-200D-42FD-9871-56098C101581}"/>
    <cellStyle name="Percentuale 9 3 3 4" xfId="29820" xr:uid="{5D5175AE-44CD-4A8E-884C-795465D47E96}"/>
    <cellStyle name="Percentuale 9 3 3 4 2" xfId="49474" xr:uid="{7594BA59-F8E2-41A4-A1BA-4A416EA2815E}"/>
    <cellStyle name="Percentuale 9 3 3 5" xfId="29817" xr:uid="{D78F31BF-C503-41F2-A808-91B5AFB02119}"/>
    <cellStyle name="Percentuale 9 3 4" xfId="4520" xr:uid="{9895FC97-83C2-4E5D-BA95-411E3648771D}"/>
    <cellStyle name="Percentuale 9 3 4 2" xfId="13839" xr:uid="{7C52B4A8-51F0-43C9-BA58-E7D4DBEB5089}"/>
    <cellStyle name="Percentuale 9 3 4 3" xfId="29821" xr:uid="{74398970-6B9C-439B-B8CE-3538C380F51D}"/>
    <cellStyle name="Percentuale 9 3 5" xfId="12308" xr:uid="{A81BFBE4-48C9-46C4-9ECA-881C4585F1A0}"/>
    <cellStyle name="Percentuale 9 3 5 2" xfId="29822" xr:uid="{0F148DE8-F911-47F1-B9F1-44F1A116A47F}"/>
    <cellStyle name="Percentuale 9 3 6" xfId="29823" xr:uid="{718B9326-AF4B-44E0-8E36-9DA010AE557D}"/>
    <cellStyle name="Percentuale 9 3 6 2" xfId="49475" xr:uid="{5DEC9CC4-A645-4038-8B45-2E484F7CC80B}"/>
    <cellStyle name="Percentuale 9 3 7" xfId="29824" xr:uid="{0232E3B5-DFB3-4220-A9DC-29992B4E126F}"/>
    <cellStyle name="Percentuale 9 3 8" xfId="29811" xr:uid="{C719C677-7CB5-4868-87A8-81F0E6BDE8BB}"/>
    <cellStyle name="Percentuale 9 4" xfId="2521" xr:uid="{00000000-0005-0000-0000-0000C7090000}"/>
    <cellStyle name="Percentuale 9 4 2" xfId="2522" xr:uid="{00000000-0005-0000-0000-0000C8090000}"/>
    <cellStyle name="Percentuale 9 4 2 2" xfId="9585" xr:uid="{40EE58AA-7F54-4BE6-B476-EE3D26F2028A}"/>
    <cellStyle name="Percentuale 9 4 2 2 2" xfId="29827" xr:uid="{3F9094EE-E262-4C78-A37D-61B1228F2F77}"/>
    <cellStyle name="Percentuale 9 4 2 3" xfId="17964" xr:uid="{43B2728F-50EF-4EC3-A134-02E083344CB0}"/>
    <cellStyle name="Percentuale 9 4 2 3 2" xfId="29828" xr:uid="{7463C766-1070-4088-B719-6355A6179E18}"/>
    <cellStyle name="Percentuale 9 4 2 4" xfId="29826" xr:uid="{D235227A-C3E0-4087-AE19-42AC3078BFF5}"/>
    <cellStyle name="Percentuale 9 4 2 5" xfId="17575" xr:uid="{365943D1-01E7-4A50-BDBE-EB0324477D9C}"/>
    <cellStyle name="Percentuale 9 4 3" xfId="9586" xr:uid="{08862ABF-50EE-404F-883A-F516E15F97ED}"/>
    <cellStyle name="Percentuale 9 4 3 2" xfId="29829" xr:uid="{A288CE31-F3BA-4E5E-AF4B-1E01AD840C08}"/>
    <cellStyle name="Percentuale 9 4 4" xfId="29830" xr:uid="{26DF11EA-D640-4FAA-8EBE-E474A2981E3D}"/>
    <cellStyle name="Percentuale 9 4 5" xfId="29831" xr:uid="{9C7E4DA7-EB6B-4D97-82BB-3BAD0B5EEE08}"/>
    <cellStyle name="Percentuale 9 4 5 2" xfId="49476" xr:uid="{91B08A6A-A80C-44BA-9FA2-29E1DA119882}"/>
    <cellStyle name="Percentuale 9 4 6" xfId="29832" xr:uid="{132338A9-D668-4433-9D7F-3B6E079E76F4}"/>
    <cellStyle name="Percentuale 9 4 7" xfId="29825" xr:uid="{476316C0-8D24-41B1-AC3F-DAC36F9E9FF4}"/>
    <cellStyle name="Percentuale 9 5" xfId="2523" xr:uid="{00000000-0005-0000-0000-0000C9090000}"/>
    <cellStyle name="Percentuale 9 5 2" xfId="29834" xr:uid="{8ADB53D1-884B-4187-A216-B2B62AB23D0D}"/>
    <cellStyle name="Percentuale 9 5 3" xfId="29835" xr:uid="{1E01166F-5F98-44B9-82E0-F5BCB8724E61}"/>
    <cellStyle name="Percentuale 9 5 3 2" xfId="49477" xr:uid="{AACB4563-32E2-4065-8C0F-79EC787025F1}"/>
    <cellStyle name="Percentuale 9 5 4" xfId="29836" xr:uid="{4691D31F-464D-40DC-A446-EF4C092F705A}"/>
    <cellStyle name="Percentuale 9 5 5" xfId="29833" xr:uid="{A151E693-07BA-4060-AC30-0BC55A6588CF}"/>
    <cellStyle name="Percentuale 9 6" xfId="4521" xr:uid="{467D75F9-414A-4C6D-9D8C-A93815D42E74}"/>
    <cellStyle name="Percentuale 9 6 2" xfId="9873" xr:uid="{3E63BCF0-91ED-4614-9259-ACA0FBF6A0AA}"/>
    <cellStyle name="Percentuale 9 6 3" xfId="29837" xr:uid="{602A6BD3-18AC-4C80-BC59-09F2B81C0D57}"/>
    <cellStyle name="Percentuale 9 7" xfId="29838" xr:uid="{B564D6F6-C996-490B-9A25-E50DB40BF381}"/>
    <cellStyle name="Percentuale 9 7 2" xfId="49478" xr:uid="{97E89891-94C0-421C-995C-605CF6E06B3D}"/>
    <cellStyle name="Percentuale 9 8" xfId="29805" xr:uid="{68B1CA9E-2C66-46A7-BA51-F4F7C356B35F}"/>
    <cellStyle name="Procent 10" xfId="29839" xr:uid="{A4C4BAB4-7564-49D6-9FAE-B58CBA76BA6C}"/>
    <cellStyle name="Procent 10 2" xfId="29840" xr:uid="{78DE6DB8-79C7-4278-9C4A-895AC84D6BCD}"/>
    <cellStyle name="Procent 10 2 2" xfId="29841" xr:uid="{27AF09BD-023C-4E4A-BEDC-0A0A60019D91}"/>
    <cellStyle name="Procent 10 3" xfId="29842" xr:uid="{B05BBDF6-119D-4448-BDEF-5C30853542B2}"/>
    <cellStyle name="Procent 10 3 2" xfId="29843" xr:uid="{159A9848-2AB5-4847-9A45-42D785702385}"/>
    <cellStyle name="Procent 10 4" xfId="29844" xr:uid="{B4E0B82F-3179-45AE-94F3-1151CC7E3359}"/>
    <cellStyle name="Procent 10 4 2" xfId="29845" xr:uid="{8FB42284-203C-4681-A9E0-7D9D5B2F60A1}"/>
    <cellStyle name="Procent 10 5" xfId="29846" xr:uid="{99B94354-9F9A-4C6F-AB15-BF168AE50FAC}"/>
    <cellStyle name="Procent 11" xfId="29847" xr:uid="{E1AD09B3-AE6F-4C5E-9FE0-D8ECB2B7AA7C}"/>
    <cellStyle name="Procent 11 2" xfId="29848" xr:uid="{BC70E89F-5EA2-409A-AC83-DBE6B79BF071}"/>
    <cellStyle name="Procent 12" xfId="29849" xr:uid="{92B01A9F-E238-42BB-9AF1-E8B3F33BE231}"/>
    <cellStyle name="Procent 12 2" xfId="29850" xr:uid="{36EE800E-F458-4326-936A-29DB84C3508A}"/>
    <cellStyle name="Procent 13" xfId="29851" xr:uid="{91CC0D06-7709-4B73-B2B7-4484B1175D9E}"/>
    <cellStyle name="Procent 2" xfId="1234" xr:uid="{00000000-0005-0000-0000-0000CA090000}"/>
    <cellStyle name="Procent 2 10" xfId="29853" xr:uid="{2252A731-8899-4839-A2B9-0575FC34E472}"/>
    <cellStyle name="Procent 2 10 2" xfId="29854" xr:uid="{19E8C668-B20D-4098-9054-6F9429F3C9D1}"/>
    <cellStyle name="Procent 2 10 2 2" xfId="29855" xr:uid="{E9E25560-44BB-4A7C-BF00-06968C05084E}"/>
    <cellStyle name="Procent 2 10 3" xfId="29856" xr:uid="{E8D41AB2-2D8A-46F3-A23B-3D1837648B8A}"/>
    <cellStyle name="Procent 2 11" xfId="29857" xr:uid="{EA5805A6-A9AD-4DEF-B303-C5C7D7C12885}"/>
    <cellStyle name="Procent 2 11 2" xfId="29858" xr:uid="{9EB6F81B-4BC8-4994-A98F-2B5A0065BA63}"/>
    <cellStyle name="Procent 2 12" xfId="29859" xr:uid="{5CF57BE3-E907-4B41-BF8B-DD571FC22EDC}"/>
    <cellStyle name="Procent 2 12 2" xfId="29860" xr:uid="{65240CC2-B614-4592-ABF3-6E92816545E4}"/>
    <cellStyle name="Procent 2 13" xfId="29861" xr:uid="{B25A4C8B-9F94-4F81-98FA-F294467758EB}"/>
    <cellStyle name="Procent 2 13 2" xfId="29862" xr:uid="{B1CBFB9C-CFAF-4F20-8946-A52CE6216478}"/>
    <cellStyle name="Procent 2 14" xfId="29863" xr:uid="{4BFC3EFD-5F7C-42CE-AA60-90B5D0B13D8F}"/>
    <cellStyle name="Procent 2 14 2" xfId="29864" xr:uid="{744DDD46-E036-4865-9807-001A5D68E809}"/>
    <cellStyle name="Procent 2 15" xfId="29865" xr:uid="{D81BAF31-72D9-4055-AB7F-F968BE71B453}"/>
    <cellStyle name="Procent 2 16" xfId="29866" xr:uid="{7B208804-FF6A-4154-83A0-6106628A6D93}"/>
    <cellStyle name="Procent 2 17" xfId="29867" xr:uid="{C6414366-FCAD-412F-924C-7B6C6E3FC049}"/>
    <cellStyle name="Procent 2 18" xfId="29868" xr:uid="{8CE663CC-A833-4916-9FCD-275B104C7F49}"/>
    <cellStyle name="Procent 2 18 2" xfId="49479" xr:uid="{41261E33-85F4-4F47-A93A-705E6D1FF937}"/>
    <cellStyle name="Procent 2 19" xfId="29869" xr:uid="{D8C7FD23-A23B-42DE-8FC0-C822CACFE201}"/>
    <cellStyle name="Procent 2 2" xfId="2524" xr:uid="{00000000-0005-0000-0000-0000CB090000}"/>
    <cellStyle name="Procent 2 2 10" xfId="29871" xr:uid="{1481B149-8C65-4AAB-8B7A-4948E50C2D1F}"/>
    <cellStyle name="Procent 2 2 11" xfId="29872" xr:uid="{54D8540D-569B-4659-9006-4166CEA7CFF6}"/>
    <cellStyle name="Procent 2 2 12" xfId="29873" xr:uid="{D766AEEB-06D2-42FD-891E-3ADAAA30DA50}"/>
    <cellStyle name="Procent 2 2 12 2" xfId="49480" xr:uid="{AC6B5AA1-7494-487C-816B-CE32ED9CEB3C}"/>
    <cellStyle name="Procent 2 2 13" xfId="29874" xr:uid="{58C4C4CB-81D5-469F-A1AF-534310D641DD}"/>
    <cellStyle name="Procent 2 2 14" xfId="29870" xr:uid="{61C265BC-742D-462D-ACE1-28BD35100090}"/>
    <cellStyle name="Procent 2 2 15" xfId="17965" xr:uid="{AA164700-9C10-40AB-BFB8-35879E3FE244}"/>
    <cellStyle name="Procent 2 2 16" xfId="9587" xr:uid="{440DD380-CE8D-4375-95FF-06F341ED5262}"/>
    <cellStyle name="Procent 2 2 2" xfId="2525" xr:uid="{00000000-0005-0000-0000-0000CC090000}"/>
    <cellStyle name="Procent 2 2 2 2" xfId="29876" xr:uid="{0E704E36-F72D-4CDD-99E9-B7391663F238}"/>
    <cellStyle name="Procent 2 2 2 2 2" xfId="29877" xr:uid="{308DE267-DA45-4C7D-A1CE-8519F2E8D31F}"/>
    <cellStyle name="Procent 2 2 2 3" xfId="29878" xr:uid="{19F06B37-BF12-4126-9761-3476D01029EA}"/>
    <cellStyle name="Procent 2 2 2 3 2" xfId="29879" xr:uid="{379E953F-C72B-4A14-89DF-0876AFC59E10}"/>
    <cellStyle name="Procent 2 2 2 4" xfId="29880" xr:uid="{1BBA6CB7-B90E-47E3-85F0-C1194AEFC66C}"/>
    <cellStyle name="Procent 2 2 2 4 2" xfId="29881" xr:uid="{E336D984-8E28-4A09-B0A3-7B8351EE1FB9}"/>
    <cellStyle name="Procent 2 2 2 5" xfId="29882" xr:uid="{61D7A40B-8437-4B30-AA4B-0F9F64D64CCE}"/>
    <cellStyle name="Procent 2 2 2 5 2" xfId="29883" xr:uid="{8C160F1C-0627-4D35-9E6B-7CA3AF03E90C}"/>
    <cellStyle name="Procent 2 2 2 6" xfId="29884" xr:uid="{7C647561-9FAD-4696-BC0D-C6BC330E0922}"/>
    <cellStyle name="Procent 2 2 2 7" xfId="29885" xr:uid="{724F1EC9-3A0E-41DE-9EE9-80D7A2C85938}"/>
    <cellStyle name="Procent 2 2 2 8" xfId="29875" xr:uid="{6EB9CFDA-A501-4744-BA65-DE0117D21C07}"/>
    <cellStyle name="Procent 2 2 2 9" xfId="17966" xr:uid="{1EA02A18-C62D-45A9-ADA5-F908D84644DE}"/>
    <cellStyle name="Procent 2 2 3" xfId="12175" xr:uid="{0BEC1357-366E-40B8-A02E-FCDB9847AF1C}"/>
    <cellStyle name="Procent 2 2 3 2" xfId="29887" xr:uid="{1DB9B92A-1107-4295-AE0D-4E5E9979629A}"/>
    <cellStyle name="Procent 2 2 3 2 2" xfId="29888" xr:uid="{CE53EC53-4149-4613-B701-8487F2C6834E}"/>
    <cellStyle name="Procent 2 2 3 3" xfId="29889" xr:uid="{34AFA039-A996-4C39-A355-4CFFD666924D}"/>
    <cellStyle name="Procent 2 2 3 4" xfId="29886" xr:uid="{8139F7C5-B128-4FF8-B8EC-0D9DE7936DA9}"/>
    <cellStyle name="Procent 2 2 4" xfId="11674" xr:uid="{1F881088-7F6E-47C6-BDC1-AC5409A022AC}"/>
    <cellStyle name="Procent 2 2 4 2" xfId="29891" xr:uid="{E2AE0CB0-1B2E-4E9A-83E2-494E82448470}"/>
    <cellStyle name="Procent 2 2 4 3" xfId="29890" xr:uid="{7BAC3600-7163-4A9E-B090-EA05DCC81CCD}"/>
    <cellStyle name="Procent 2 2 5" xfId="11087" xr:uid="{C2799105-18C3-4311-82AD-37F955D8A2AE}"/>
    <cellStyle name="Procent 2 2 5 2" xfId="29893" xr:uid="{47E741A3-3BBE-410B-B8E6-275E7F99BC42}"/>
    <cellStyle name="Procent 2 2 5 3" xfId="46721" xr:uid="{488AF45A-F382-4B10-8E6B-C0CC36BD660E}"/>
    <cellStyle name="Procent 2 2 5 4" xfId="29892" xr:uid="{F7B8D7B0-2031-4C2A-9099-8578A540483E}"/>
    <cellStyle name="Procent 2 2 6" xfId="29894" xr:uid="{39691D03-6B57-4229-8EBD-C548B48A96C3}"/>
    <cellStyle name="Procent 2 2 6 2" xfId="29895" xr:uid="{8B32E218-BAE7-48E5-B4A2-C9162D8524FF}"/>
    <cellStyle name="Procent 2 2 7" xfId="29896" xr:uid="{D85ED352-3585-440A-86E1-0EFBC1ECA652}"/>
    <cellStyle name="Procent 2 2 7 2" xfId="29897" xr:uid="{C8077DB3-D81F-4614-96F7-5663735A310B}"/>
    <cellStyle name="Procent 2 2 8" xfId="29898" xr:uid="{60A3B897-0E17-49BA-AFF7-7C019E185A87}"/>
    <cellStyle name="Procent 2 2 9" xfId="29899" xr:uid="{0A997C7C-0C25-492A-8A66-5A038DE40F52}"/>
    <cellStyle name="Procent 2 20" xfId="29852" xr:uid="{7047463A-543B-48A9-A049-FE13A9E23D6D}"/>
    <cellStyle name="Procent 2 3" xfId="29900" xr:uid="{0C880F08-78CB-41F5-A279-64863A4D6A2E}"/>
    <cellStyle name="Procent 2 3 2" xfId="29901" xr:uid="{F13E1BD4-F375-409A-ACEB-91B698D94AAF}"/>
    <cellStyle name="Procent 2 3 2 2" xfId="29902" xr:uid="{C481DD41-CDD5-48B5-ACD6-CEA8B957B716}"/>
    <cellStyle name="Procent 2 3 2 2 2" xfId="29903" xr:uid="{EBF4D41A-98B8-40F1-8091-A510C362E4AD}"/>
    <cellStyle name="Procent 2 3 2 3" xfId="29904" xr:uid="{BD330549-3331-4446-ABC4-E29B26BF6A5E}"/>
    <cellStyle name="Procent 2 3 2 3 2" xfId="29905" xr:uid="{4CC8F38F-0299-42B7-837D-89D54A385820}"/>
    <cellStyle name="Procent 2 3 2 4" xfId="29906" xr:uid="{3A890444-810A-4F7F-BB78-095D2CF2941C}"/>
    <cellStyle name="Procent 2 3 3" xfId="29907" xr:uid="{61F16D9B-C0E9-4073-AD35-79E2A999D62B}"/>
    <cellStyle name="Procent 2 3 3 2" xfId="29908" xr:uid="{AAC9A153-08A0-4436-8FE0-821302B64633}"/>
    <cellStyle name="Procent 2 3 4" xfId="29909" xr:uid="{75D4ECF0-1DB0-40BD-8D89-A4D85A28E49B}"/>
    <cellStyle name="Procent 2 3 4 2" xfId="29910" xr:uid="{54D60A28-F18E-44BF-99D2-DB8A446EE5C9}"/>
    <cellStyle name="Procent 2 3 5" xfId="29911" xr:uid="{72BE72AA-2780-4A7F-B260-90A6D0E0CE2B}"/>
    <cellStyle name="Procent 2 3 5 2" xfId="29912" xr:uid="{B74060B9-1C3D-4125-BE71-B850BEDF36FE}"/>
    <cellStyle name="Procent 2 3 6" xfId="29913" xr:uid="{D93A9A16-F082-4B12-8A97-51A2F35E893E}"/>
    <cellStyle name="Procent 2 3 6 2" xfId="29914" xr:uid="{DFC801CC-D568-490A-92CE-58C569AB2676}"/>
    <cellStyle name="Procent 2 3 7" xfId="29915" xr:uid="{02DA18A9-A510-488E-942B-F60DB0472D10}"/>
    <cellStyle name="Procent 2 3 7 2" xfId="29916" xr:uid="{58D25ED0-8620-4B48-A5E1-5005D8AD30BC}"/>
    <cellStyle name="Procent 2 3 8" xfId="29917" xr:uid="{5C7BD47B-B15F-4BCA-9F8E-604BC29CEBB7}"/>
    <cellStyle name="Procent 2 4" xfId="29918" xr:uid="{AAE249C8-51D0-42B1-B9E2-5504075F532F}"/>
    <cellStyle name="Procent 2 4 2" xfId="29919" xr:uid="{F888925F-D6EA-4685-8C99-6615BDC2F243}"/>
    <cellStyle name="Procent 2 4 2 2" xfId="29920" xr:uid="{64AAA3E0-A13B-48B5-B262-054FE59F3EF9}"/>
    <cellStyle name="Procent 2 4 2 2 2" xfId="29921" xr:uid="{D896B864-83F4-4A15-B5C2-1E99A9B8BBA9}"/>
    <cellStyle name="Procent 2 4 2 3" xfId="29922" xr:uid="{EC05F3B1-1258-4FE3-83BF-9C7A3E0F13AD}"/>
    <cellStyle name="Procent 2 4 2 3 2" xfId="29923" xr:uid="{DA3191FF-46E4-4624-A151-F165EC208583}"/>
    <cellStyle name="Procent 2 4 2 4" xfId="29924" xr:uid="{ACA6F146-F621-42F9-A577-F385C48B2148}"/>
    <cellStyle name="Procent 2 4 3" xfId="29925" xr:uid="{B97358F5-0BE6-451A-9FEB-4F1A4EDF0B15}"/>
    <cellStyle name="Procent 2 4 3 2" xfId="29926" xr:uid="{E655ADD9-30DD-4BD4-9541-B7E089AB3CF7}"/>
    <cellStyle name="Procent 2 4 4" xfId="29927" xr:uid="{9F975F17-D028-4657-9FF3-D58446380B30}"/>
    <cellStyle name="Procent 2 4 4 2" xfId="29928" xr:uid="{032BC337-54F2-479B-904F-40403259F0DC}"/>
    <cellStyle name="Procent 2 4 5" xfId="29929" xr:uid="{2F03C82B-4B79-4526-B9BC-7C04EC802403}"/>
    <cellStyle name="Procent 2 4 5 2" xfId="29930" xr:uid="{7A82E738-645E-4CAF-A8EF-64F1BF10DB08}"/>
    <cellStyle name="Procent 2 4 6" xfId="29931" xr:uid="{CA65E33A-F845-4151-A46B-5AF6D9A662F7}"/>
    <cellStyle name="Procent 2 4 6 2" xfId="29932" xr:uid="{5A54FB00-C18E-4D1D-9101-E4A83DFA6988}"/>
    <cellStyle name="Procent 2 4 7" xfId="29933" xr:uid="{C181DC75-725A-4209-BF17-BF2F9D082A5C}"/>
    <cellStyle name="Procent 2 4 7 2" xfId="29934" xr:uid="{6677123A-90E9-4E24-83E0-15B83B09AA69}"/>
    <cellStyle name="Procent 2 4 8" xfId="29935" xr:uid="{3ED1DF95-09B1-4B4E-8542-1129D0A7D349}"/>
    <cellStyle name="Procent 2 5" xfId="29936" xr:uid="{919B13CC-3D6B-4F90-BB9D-8B82BFC3CB83}"/>
    <cellStyle name="Procent 2 5 2" xfId="29937" xr:uid="{4764D494-95AA-4FC3-AC22-7E2B31E611AD}"/>
    <cellStyle name="Procent 2 5 2 2" xfId="29938" xr:uid="{895953E2-510C-4894-8273-09BA2AD202B1}"/>
    <cellStyle name="Procent 2 5 2 2 2" xfId="29939" xr:uid="{0202480E-6562-4FA0-9725-EEF06D00C243}"/>
    <cellStyle name="Procent 2 5 2 3" xfId="29940" xr:uid="{7978C54B-9842-4010-99EB-6FAAB64352E9}"/>
    <cellStyle name="Procent 2 5 2 3 2" xfId="29941" xr:uid="{5C5ABEBC-105E-496E-8842-C3BB0A89AC75}"/>
    <cellStyle name="Procent 2 5 2 4" xfId="29942" xr:uid="{A6D95354-A446-4A66-B2C7-11983E6D105C}"/>
    <cellStyle name="Procent 2 5 3" xfId="29943" xr:uid="{183C6519-5A1D-4A61-B977-E392B36E3CCB}"/>
    <cellStyle name="Procent 2 5 3 2" xfId="29944" xr:uid="{08DC73A7-5235-415A-9C39-E52FDDAD7B93}"/>
    <cellStyle name="Procent 2 5 4" xfId="29945" xr:uid="{28EAA38A-12C5-4D9A-A2B0-7EFF760F3AC1}"/>
    <cellStyle name="Procent 2 5 4 2" xfId="29946" xr:uid="{71E24975-FF9E-432E-B2D4-D7A9F66AFCEC}"/>
    <cellStyle name="Procent 2 5 5" xfId="29947" xr:uid="{E80E2971-B402-40C1-ACDB-0A8EC09644D9}"/>
    <cellStyle name="Procent 2 5 5 2" xfId="29948" xr:uid="{2C71A506-D4DC-487C-A8EC-02269FDADFFF}"/>
    <cellStyle name="Procent 2 5 6" xfId="29949" xr:uid="{C50E555A-5421-4DD5-A559-FE3D8618D860}"/>
    <cellStyle name="Procent 2 5 6 2" xfId="29950" xr:uid="{5D9773E7-B40B-465D-B5FB-E285FDF949A3}"/>
    <cellStyle name="Procent 2 6" xfId="29951" xr:uid="{3C39BCBB-4EE0-46AA-928A-B461DBF6DDB4}"/>
    <cellStyle name="Procent 2 6 2" xfId="29952" xr:uid="{D4A83B8F-5128-4810-B792-20D0352DBBAF}"/>
    <cellStyle name="Procent 2 6 2 2" xfId="29953" xr:uid="{93434277-83E4-4B7E-830C-7BF7889CFCF0}"/>
    <cellStyle name="Procent 2 6 2 2 2" xfId="29954" xr:uid="{16EE8FB1-2454-40C0-8D20-30ECF571E296}"/>
    <cellStyle name="Procent 2 6 2 3" xfId="29955" xr:uid="{2FBE3D0C-60EF-410F-B278-B3084AA0D91D}"/>
    <cellStyle name="Procent 2 6 2 3 2" xfId="29956" xr:uid="{FF67C5DB-E8B8-471C-81C3-1EC09662B40C}"/>
    <cellStyle name="Procent 2 6 2 4" xfId="29957" xr:uid="{0896F9B7-33EB-4C6F-9826-7B7B6E8A074F}"/>
    <cellStyle name="Procent 2 6 3" xfId="29958" xr:uid="{61C4C368-E100-46F8-A5D2-AC5A8C807D7C}"/>
    <cellStyle name="Procent 2 6 3 2" xfId="29959" xr:uid="{DD212B0F-2EA5-4762-A9F1-40CDA635EF1D}"/>
    <cellStyle name="Procent 2 6 4" xfId="29960" xr:uid="{9BD1E313-3592-46D9-9F46-59A6F2A1FD8D}"/>
    <cellStyle name="Procent 2 6 4 2" xfId="29961" xr:uid="{58940447-46EE-4543-8EC9-94AD57372548}"/>
    <cellStyle name="Procent 2 6 5" xfId="29962" xr:uid="{B0822D4A-DE9E-430D-82D6-2F8B5F8EC15D}"/>
    <cellStyle name="Procent 2 6 5 2" xfId="29963" xr:uid="{BE5A0B3A-EA5E-48C1-91A9-0A5AA68A86F4}"/>
    <cellStyle name="Procent 2 6 6" xfId="29964" xr:uid="{4EC7F8CB-48E6-4248-8FAD-7837F4075D4E}"/>
    <cellStyle name="Procent 2 7" xfId="29965" xr:uid="{91BECA5E-3F24-4896-9E4F-D546E1B106A4}"/>
    <cellStyle name="Procent 2 7 2" xfId="29966" xr:uid="{EA5E5A1A-2333-49AA-BA32-04044EA1CDE3}"/>
    <cellStyle name="Procent 2 7 2 2" xfId="29967" xr:uid="{F2A8FBD4-33AC-4A04-A289-D0C30031D274}"/>
    <cellStyle name="Procent 2 7 2 2 2" xfId="29968" xr:uid="{FE56A66D-FBC7-44A0-8D32-365C44E310F1}"/>
    <cellStyle name="Procent 2 7 2 3" xfId="29969" xr:uid="{5DD27E1A-912B-4B60-8651-67BD4E8EA5A7}"/>
    <cellStyle name="Procent 2 7 2 3 2" xfId="29970" xr:uid="{606B8075-88B8-4DF6-8850-9C844E63D0C4}"/>
    <cellStyle name="Procent 2 7 2 4" xfId="29971" xr:uid="{7D81E5E7-22CB-4694-9F25-33CD9FAE443C}"/>
    <cellStyle name="Procent 2 7 3" xfId="29972" xr:uid="{491141DD-9B1A-4A42-9602-D877819460EE}"/>
    <cellStyle name="Procent 2 7 3 2" xfId="29973" xr:uid="{65293A09-8547-41AA-AA14-9B03F7BB120F}"/>
    <cellStyle name="Procent 2 7 4" xfId="29974" xr:uid="{D89D87C7-BD59-4283-AB1C-5318C53DF840}"/>
    <cellStyle name="Procent 2 7 4 2" xfId="29975" xr:uid="{B3F366A4-C8C4-41C1-93AF-937B3B8A6618}"/>
    <cellStyle name="Procent 2 7 5" xfId="29976" xr:uid="{A6D33D3B-0C74-41FE-A628-054FB5FDD5A5}"/>
    <cellStyle name="Procent 2 7 5 2" xfId="29977" xr:uid="{30F2C77E-7FEA-4CBA-ACD4-E66763F89650}"/>
    <cellStyle name="Procent 2 7 6" xfId="29978" xr:uid="{590FD92E-7D75-43CE-B9AD-13D078AFBF04}"/>
    <cellStyle name="Procent 2 8" xfId="29979" xr:uid="{373DB256-D47E-43C2-B050-B21155436E67}"/>
    <cellStyle name="Procent 2 8 2" xfId="29980" xr:uid="{81E7527C-A153-4880-820B-35D522F58978}"/>
    <cellStyle name="Procent 2 8 2 2" xfId="29981" xr:uid="{28935BC2-9A38-4772-8143-4CBFD7F4E3A3}"/>
    <cellStyle name="Procent 2 8 2 2 2" xfId="29982" xr:uid="{2F03B884-6C18-4300-AA4B-D00BA6DF8B41}"/>
    <cellStyle name="Procent 2 8 2 3" xfId="29983" xr:uid="{EA54FA37-C165-43FD-9D00-B83966110FA7}"/>
    <cellStyle name="Procent 2 8 2 3 2" xfId="29984" xr:uid="{07B85976-D024-4508-BED8-66CF341386A7}"/>
    <cellStyle name="Procent 2 8 2 4" xfId="29985" xr:uid="{AE792D85-1B62-4F80-B647-DDAD956D7F9F}"/>
    <cellStyle name="Procent 2 8 3" xfId="29986" xr:uid="{08BFF2C0-9DE3-4B93-881C-A6648DF1B3FB}"/>
    <cellStyle name="Procent 2 8 3 2" xfId="29987" xr:uid="{BAB9A3CA-2331-4870-9BA6-D0490C4379E9}"/>
    <cellStyle name="Procent 2 8 4" xfId="29988" xr:uid="{4B4B57B2-5DBC-46D5-8CE8-89AD50E1FC00}"/>
    <cellStyle name="Procent 2 8 4 2" xfId="29989" xr:uid="{EBB82BE8-EEC8-4CFE-BE91-8431865BCA45}"/>
    <cellStyle name="Procent 2 8 5" xfId="29990" xr:uid="{F1E4B206-FE11-4B01-9210-DD2C563543FA}"/>
    <cellStyle name="Procent 2 8 5 2" xfId="29991" xr:uid="{FED32EF9-7574-432A-AEE7-1CCBE46951E8}"/>
    <cellStyle name="Procent 2 8 6" xfId="29992" xr:uid="{C249978E-1A13-4E76-B82B-1AADD603F67C}"/>
    <cellStyle name="Procent 2 9" xfId="29993" xr:uid="{FFEF7D85-6D27-4883-B856-9FAFFE08B4DB}"/>
    <cellStyle name="Procent 2 9 2" xfId="29994" xr:uid="{45F5DB0A-7A01-4048-A5BB-8FF8FE107D36}"/>
    <cellStyle name="Procent 2 9 2 2" xfId="29995" xr:uid="{29776308-03C1-4B42-8E54-21F1C1C8EE29}"/>
    <cellStyle name="Procent 2 9 3" xfId="29996" xr:uid="{24874715-DDB7-4C66-BC55-F5143FE09CBF}"/>
    <cellStyle name="Procent 2 9 3 2" xfId="29997" xr:uid="{5AA73F69-B6EB-4FE9-93DC-5B6E3838F26B}"/>
    <cellStyle name="Procent 2 9 4" xfId="29998" xr:uid="{9DDE2AD9-9564-4935-8F20-E40B9D22E8CE}"/>
    <cellStyle name="Procent 3" xfId="2526" xr:uid="{00000000-0005-0000-0000-0000CD090000}"/>
    <cellStyle name="Procent 3 2" xfId="2527" xr:uid="{00000000-0005-0000-0000-0000CE090000}"/>
    <cellStyle name="Procent 3 2 2" xfId="12176" xr:uid="{83DD441B-D5AA-4441-A73E-2C423A721EBD}"/>
    <cellStyle name="Procent 3 2 2 2" xfId="30002" xr:uid="{458EEEB6-A995-4F13-B694-5D6257E5A75D}"/>
    <cellStyle name="Procent 3 2 2 3" xfId="30001" xr:uid="{E2ED05DC-1F9D-46C9-A8B8-AAF6CE19E5B4}"/>
    <cellStyle name="Procent 3 2 3" xfId="11576" xr:uid="{9D357626-2B35-485A-9F0F-89108B8C16C5}"/>
    <cellStyle name="Procent 3 2 3 2" xfId="30004" xr:uid="{8893B062-2203-4C2C-8345-A4A6B128D258}"/>
    <cellStyle name="Procent 3 2 3 3" xfId="30003" xr:uid="{05DCA17C-E43E-4B6C-A2CF-97E8977F06FA}"/>
    <cellStyle name="Procent 3 2 4" xfId="11089" xr:uid="{A531EE14-C0F8-4EB0-BC34-2A2CB2848806}"/>
    <cellStyle name="Procent 3 2 4 2" xfId="46266" xr:uid="{802BFF37-9349-4D9D-8605-B2F04B46EC70}"/>
    <cellStyle name="Procent 3 2 4 3" xfId="30005" xr:uid="{672BDF0B-C25B-40DE-9B89-F36393F73916}"/>
    <cellStyle name="Procent 3 2 5" xfId="30006" xr:uid="{86F648F7-7C6B-4CCC-81BF-A89BF00C7658}"/>
    <cellStyle name="Procent 3 2 6" xfId="30007" xr:uid="{A3964EFE-CF2D-4CDD-994C-4472C29B92EE}"/>
    <cellStyle name="Procent 3 2 7" xfId="30000" xr:uid="{CE3B1BD7-8389-48DC-BD91-B77A9EAA5ECA}"/>
    <cellStyle name="Procent 3 2 8" xfId="17968" xr:uid="{80227780-CF48-49B8-9F15-0D2D76027E5A}"/>
    <cellStyle name="Procent 3 2 9" xfId="9588" xr:uid="{551C5B3F-ECF7-4BE7-B2AA-2072332325F6}"/>
    <cellStyle name="Procent 3 3" xfId="4522" xr:uid="{2BE8DBFD-9061-48F6-B3D5-F878BE6E63E6}"/>
    <cellStyle name="Procent 3 3 2" xfId="30009" xr:uid="{5E06114F-80F2-4C0C-8A56-3AB6ABC312A6}"/>
    <cellStyle name="Procent 3 3 3" xfId="30008" xr:uid="{B408034F-4F2E-4DD8-B497-8159A9CC6BE6}"/>
    <cellStyle name="Procent 3 4" xfId="11575" xr:uid="{FC3ED7C2-8D0B-4481-824B-18B889DA868B}"/>
    <cellStyle name="Procent 3 4 2" xfId="30011" xr:uid="{B36EB40D-E303-4C49-81EE-E50378174570}"/>
    <cellStyle name="Procent 3 4 3" xfId="30010" xr:uid="{EBD081BB-C55C-4FA3-A4DF-C7AAD7D3CC09}"/>
    <cellStyle name="Procent 3 5" xfId="11088" xr:uid="{D5630E4A-390E-422D-A02E-B68FD22E548B}"/>
    <cellStyle name="Procent 3 5 2" xfId="30012" xr:uid="{E74B0E73-2EC3-49B5-B580-64179786CC11}"/>
    <cellStyle name="Procent 3 5 3" xfId="17967" xr:uid="{D8CFBE47-AA25-4A2D-899B-3BDB6DCB2276}"/>
    <cellStyle name="Procent 3 6" xfId="30013" xr:uid="{611CC7AC-FD21-4300-BBB8-64945D550D16}"/>
    <cellStyle name="Procent 3 7" xfId="30014" xr:uid="{75D1750D-AFFB-4A2E-8612-9961B0AA4298}"/>
    <cellStyle name="Procent 3 8" xfId="30015" xr:uid="{69F4D324-74D4-4471-A252-9C45178FB95A}"/>
    <cellStyle name="Procent 3 9" xfId="29999" xr:uid="{5EF5E4E3-B3AC-4D71-9F0A-A1EE9889B7AF}"/>
    <cellStyle name="Procent 4" xfId="9589" xr:uid="{0DF71F8C-7080-47B8-AA89-C63CA0E161CF}"/>
    <cellStyle name="Procent 4 10" xfId="18156" xr:uid="{08C1DADA-1E4F-4999-B8D7-CE9A1DDF0150}"/>
    <cellStyle name="Procent 4 2" xfId="9590" xr:uid="{10C70833-3B60-4168-95A0-EA542C6F7ECF}"/>
    <cellStyle name="Procent 4 2 2" xfId="10052" xr:uid="{375D6BE4-6D6F-44E5-8C6B-78F3C285CC1E}"/>
    <cellStyle name="Procent 4 2 2 2" xfId="10360" xr:uid="{D4D4334E-65BD-48AB-BC97-74BC4E1872F4}"/>
    <cellStyle name="Procent 4 2 2 2 2" xfId="12813" xr:uid="{95F8E065-E412-4DD6-987A-C940593B434D}"/>
    <cellStyle name="Procent 4 2 2 2 2 2" xfId="47171" xr:uid="{BCD184D0-7990-45E2-A91A-650982498673}"/>
    <cellStyle name="Procent 4 2 2 2 2 3" xfId="30019" xr:uid="{0AE0178A-8C8A-4061-9FB4-8CB1385134D6}"/>
    <cellStyle name="Procent 4 2 2 2 3" xfId="18910" xr:uid="{3889949B-2882-4269-AB1E-CBE48540074D}"/>
    <cellStyle name="Procent 4 2 2 3" xfId="12512" xr:uid="{E10135E2-A2CB-476E-BA52-8C2E301CA89C}"/>
    <cellStyle name="Procent 4 2 2 3 2" xfId="25086" xr:uid="{DC665F45-91DD-44D8-A824-98904657689A}"/>
    <cellStyle name="Procent 4 2 2 3 3" xfId="30020" xr:uid="{AAFD6543-8090-4BCB-98F9-F6641FCE3CE3}"/>
    <cellStyle name="Procent 4 2 2 4" xfId="30018" xr:uid="{A981ABDB-7CE9-4E94-A5D4-C19F226FC13E}"/>
    <cellStyle name="Procent 4 2 2 5" xfId="18761" xr:uid="{2F590C88-E27C-4206-9216-39CA18957EC3}"/>
    <cellStyle name="Procent 4 2 3" xfId="10126" xr:uid="{516A3AF8-1C6F-4931-94B5-E1B768E0589D}"/>
    <cellStyle name="Procent 4 2 3 2" xfId="10440" xr:uid="{20B544AF-F990-46C6-925D-BB5BD47699E1}"/>
    <cellStyle name="Procent 4 2 3 2 2" xfId="12893" xr:uid="{D2819FA4-2335-451F-8DA7-4F0CC1E5B117}"/>
    <cellStyle name="Procent 4 2 3 2 2 2" xfId="48055" xr:uid="{2F5D1A93-93A2-4F72-9236-BDC32F52CEB9}"/>
    <cellStyle name="Procent 4 2 3 2 2 3" xfId="30022" xr:uid="{19B50473-4E0D-40BF-9B9C-5CE986D7DAF5}"/>
    <cellStyle name="Procent 4 2 3 2 3" xfId="18952" xr:uid="{3AE00863-D88C-4082-A19F-07204EB6FC85}"/>
    <cellStyle name="Procent 4 2 3 3" xfId="12583" xr:uid="{993F53D7-5325-492E-BA91-E636D11B07BD}"/>
    <cellStyle name="Procent 4 2 3 3 2" xfId="47165" xr:uid="{BA63B904-14D6-4BC6-A4E2-7DB99B58D900}"/>
    <cellStyle name="Procent 4 2 3 3 3" xfId="30021" xr:uid="{B9E4ECCC-773A-4513-A169-89CFD8CD20F6}"/>
    <cellStyle name="Procent 4 2 3 4" xfId="18794" xr:uid="{76CA0586-1A00-4874-93C9-1A8F37C69E15}"/>
    <cellStyle name="Procent 4 2 4" xfId="10206" xr:uid="{3551AE42-EDD3-40C9-AE18-FFC5F682B011}"/>
    <cellStyle name="Procent 4 2 4 2" xfId="10520" xr:uid="{8DE3CAE9-213D-4F7F-8F0E-8CCC011C2659}"/>
    <cellStyle name="Procent 4 2 4 2 2" xfId="12973" xr:uid="{9A761622-6B18-441B-879E-18209D6EC1D7}"/>
    <cellStyle name="Procent 4 2 4 2 2 2" xfId="47103" xr:uid="{3ED0EF7D-0A65-4BDD-BAC2-64293533A886}"/>
    <cellStyle name="Procent 4 2 4 2 3" xfId="18994" xr:uid="{70C4E671-FFCF-408C-8390-2E93B5435450}"/>
    <cellStyle name="Procent 4 2 4 3" xfId="12659" xr:uid="{E82B1949-4F34-4CBB-A8A9-E50D6DDF79A6}"/>
    <cellStyle name="Procent 4 2 4 3 2" xfId="24695" xr:uid="{351D90B1-EDF5-45DA-9801-8ABABA07B1C2}"/>
    <cellStyle name="Procent 4 2 4 3 3" xfId="30023" xr:uid="{C8702F7F-12DE-414A-9A63-133813D1A1CB}"/>
    <cellStyle name="Procent 4 2 4 4" xfId="18832" xr:uid="{A7F4B115-EEA3-4652-9B77-A0D76964ECA0}"/>
    <cellStyle name="Procent 4 2 5" xfId="10286" xr:uid="{56F05D8C-F3DB-43E2-8F93-86B8AE0E071E}"/>
    <cellStyle name="Procent 4 2 5 2" xfId="12739" xr:uid="{A0707387-89B9-410E-A379-C4433904E795}"/>
    <cellStyle name="Procent 4 2 5 2 2" xfId="48339" xr:uid="{06BC8B4D-5D19-4BA4-BFCC-A8B3A57C5F9A}"/>
    <cellStyle name="Procent 4 2 5 2 3" xfId="30024" xr:uid="{72A5ABC9-6046-41DF-97E6-566DC0553BDD}"/>
    <cellStyle name="Procent 4 2 5 3" xfId="18874" xr:uid="{1097FA63-F42D-44DF-B102-2688862B9A7C}"/>
    <cellStyle name="Procent 4 2 6" xfId="10600" xr:uid="{CE797CC0-D120-4238-BEFF-4AFDA1F7ED8A}"/>
    <cellStyle name="Procent 4 2 6 2" xfId="13053" xr:uid="{D17FCDC0-E67A-4B40-878B-689910EC24BA}"/>
    <cellStyle name="Procent 4 2 6 2 2" xfId="46388" xr:uid="{48B4DF2F-ECFA-4F77-A09E-89D140FEAC7F}"/>
    <cellStyle name="Procent 4 2 6 3" xfId="19036" xr:uid="{BCE2E6A1-EEE6-4035-B316-70FD283B9DFC}"/>
    <cellStyle name="Procent 4 2 7" xfId="11675" xr:uid="{A0052799-7D57-405A-BD66-1A0F7F16A4B8}"/>
    <cellStyle name="Procent 4 2 7 2" xfId="46731" xr:uid="{C1412964-721A-4CAB-A4DC-BA2C4074E065}"/>
    <cellStyle name="Procent 4 2 7 3" xfId="30017" xr:uid="{44A36D65-7381-4D9F-969D-E29590D3CD44}"/>
    <cellStyle name="Procent 4 2 8" xfId="18297" xr:uid="{6013F72E-3E9B-4737-A272-63E563579C9A}"/>
    <cellStyle name="Procent 4 3" xfId="10051" xr:uid="{A3B26B35-3639-4916-9D6C-A8D8A8E70F71}"/>
    <cellStyle name="Procent 4 3 2" xfId="10359" xr:uid="{01F59474-4958-418D-910E-AC8F93808CC5}"/>
    <cellStyle name="Procent 4 3 2 2" xfId="12812" xr:uid="{12ED31E7-8D9E-40BB-A788-4620683B0AEE}"/>
    <cellStyle name="Procent 4 3 2 2 2" xfId="46798" xr:uid="{A5CE1AAD-8EF9-4DCA-8A57-A488E47C6DA0}"/>
    <cellStyle name="Procent 4 3 2 2 3" xfId="30026" xr:uid="{DB278022-156E-4FF6-9523-08968963F583}"/>
    <cellStyle name="Procent 4 3 2 3" xfId="18909" xr:uid="{C0293427-9852-43A3-8501-69B1AB88D293}"/>
    <cellStyle name="Procent 4 3 3" xfId="12511" xr:uid="{DFF12268-AF5A-4E6C-82EB-97893A4F1555}"/>
    <cellStyle name="Procent 4 3 3 2" xfId="47089" xr:uid="{F45B4D55-3092-441F-9055-868DD260E46B}"/>
    <cellStyle name="Procent 4 3 3 3" xfId="30027" xr:uid="{EDF6F2EF-C101-40A4-A1F6-D6494FB8792E}"/>
    <cellStyle name="Procent 4 3 4" xfId="30025" xr:uid="{46619F23-F2C4-46FB-ACB4-45F807781C13}"/>
    <cellStyle name="Procent 4 3 5" xfId="18760" xr:uid="{D6E66EA0-D8E8-4B3F-B6C9-845E00ADF54F}"/>
    <cellStyle name="Procent 4 4" xfId="10125" xr:uid="{D5C72FA3-7089-4DE1-8A20-C9E7904FC229}"/>
    <cellStyle name="Procent 4 4 2" xfId="10439" xr:uid="{66E565F7-66CF-4ECF-81A6-566907327E11}"/>
    <cellStyle name="Procent 4 4 2 2" xfId="12892" xr:uid="{4B056D01-E2C3-4B72-8514-281BA1DC79F0}"/>
    <cellStyle name="Procent 4 4 2 2 2" xfId="46806" xr:uid="{1272EC7D-0153-4DAA-9691-973BAB7B0155}"/>
    <cellStyle name="Procent 4 4 2 2 3" xfId="30029" xr:uid="{D88B011F-19ED-4C17-889C-B96FCB88B599}"/>
    <cellStyle name="Procent 4 4 2 3" xfId="18951" xr:uid="{D80953D8-8D0D-4D8C-A492-5F9135E88CF7}"/>
    <cellStyle name="Procent 4 4 3" xfId="12582" xr:uid="{55CFD67D-ACE3-4CAB-917C-DEADAD3CADDE}"/>
    <cellStyle name="Procent 4 4 3 2" xfId="46770" xr:uid="{6E9A6ED3-A58B-485B-98EE-A046EF5EEFC4}"/>
    <cellStyle name="Procent 4 4 3 3" xfId="30028" xr:uid="{B98565B7-AE58-4638-B8BC-E5CB1CB41B81}"/>
    <cellStyle name="Procent 4 4 4" xfId="18793" xr:uid="{4DAD576E-6F72-4C7E-8EFC-480DE40B0F9B}"/>
    <cellStyle name="Procent 4 5" xfId="10205" xr:uid="{5417C698-7E3A-4088-829D-4186EE818D30}"/>
    <cellStyle name="Procent 4 5 2" xfId="10519" xr:uid="{EF705B47-9768-4BCB-82D9-64791F03462C}"/>
    <cellStyle name="Procent 4 5 2 2" xfId="12972" xr:uid="{C75B27A5-C76F-4FE9-BC83-C37D89C572F8}"/>
    <cellStyle name="Procent 4 5 2 2 2" xfId="47102" xr:uid="{CD7841FE-596C-4A2F-AC88-960A179EC3ED}"/>
    <cellStyle name="Procent 4 5 2 2 3" xfId="30031" xr:uid="{409D7773-EE12-4B9C-B404-472510771091}"/>
    <cellStyle name="Procent 4 5 2 3" xfId="18993" xr:uid="{B3DC5CAB-E6DE-4C4F-B24B-0FD8922451CF}"/>
    <cellStyle name="Procent 4 5 3" xfId="12658" xr:uid="{77B469D5-A252-44F0-8470-88D16968AC11}"/>
    <cellStyle name="Procent 4 5 3 2" xfId="46781" xr:uid="{E0A3ABCB-3585-4C13-87B6-A0B1EADEDB09}"/>
    <cellStyle name="Procent 4 5 3 3" xfId="30030" xr:uid="{931BC5B0-49F8-4641-976B-05D581EB15DD}"/>
    <cellStyle name="Procent 4 5 4" xfId="18831" xr:uid="{07FBF471-1727-43B1-A1E2-71A7FCC343F4}"/>
    <cellStyle name="Procent 4 6" xfId="10285" xr:uid="{E152A111-A738-493C-A005-A91491814DC7}"/>
    <cellStyle name="Procent 4 6 2" xfId="12738" xr:uid="{19926A0C-09CD-4485-8D4E-799F3A3F9BDD}"/>
    <cellStyle name="Procent 4 6 2 2" xfId="46787" xr:uid="{7C9E4A05-23B8-4EBE-BECD-D33262F7411E}"/>
    <cellStyle name="Procent 4 6 2 3" xfId="30032" xr:uid="{04D815CA-FFA9-419E-B561-98F2310E2181}"/>
    <cellStyle name="Procent 4 6 3" xfId="18873" xr:uid="{862E12E9-D551-4DD3-B290-C1F6E54DDF5E}"/>
    <cellStyle name="Procent 4 7" xfId="10599" xr:uid="{3B25E2D4-9138-46F9-BD32-BFFCD28A8C00}"/>
    <cellStyle name="Procent 4 7 2" xfId="13052" xr:uid="{3CD59FF7-1D01-43CE-B1A9-5D8A41794FCD}"/>
    <cellStyle name="Procent 4 7 2 2" xfId="46387" xr:uid="{DF9D285F-4F7F-49D4-A3D0-F324E6D2AF71}"/>
    <cellStyle name="Procent 4 7 2 3" xfId="30033" xr:uid="{3241309B-8C72-4873-9730-ADBABE059870}"/>
    <cellStyle name="Procent 4 7 3" xfId="19035" xr:uid="{5CEBF075-A020-481E-BB7D-7C65640BA747}"/>
    <cellStyle name="Procent 4 8" xfId="13299" xr:uid="{9EC2D9CD-250E-4178-AE6F-63896C80988C}"/>
    <cellStyle name="Procent 4 9" xfId="11577" xr:uid="{ADE3A4B4-BD0D-40EE-9B3F-62365F465B2C}"/>
    <cellStyle name="Procent 4 9 2" xfId="48329" xr:uid="{B93D573B-1777-47C6-A4B4-593DF3FEA3C1}"/>
    <cellStyle name="Procent 4 9 3" xfId="30016" xr:uid="{E0ABAFF8-83C2-473E-B16F-56657971136A}"/>
    <cellStyle name="Procent 5" xfId="30034" xr:uid="{639A1DDB-D33E-40C1-AA8D-85114A2A8BB5}"/>
    <cellStyle name="Procent 5 2" xfId="30035" xr:uid="{F85F8E8F-7E91-4188-836D-08849F1F7F73}"/>
    <cellStyle name="Procent 5 2 2" xfId="30036" xr:uid="{2EA166EE-4E64-4A66-96C1-4F20A08F4600}"/>
    <cellStyle name="Procent 5 2 2 2" xfId="30037" xr:uid="{D447EB36-738E-47AA-BFEF-0A3773EA7D6B}"/>
    <cellStyle name="Procent 5 2 3" xfId="30038" xr:uid="{85BF1A97-722F-4E77-9B0B-F4F2340A7ED9}"/>
    <cellStyle name="Procent 5 2 3 2" xfId="30039" xr:uid="{84914794-81EB-4B3E-AB6C-970ED65D5E74}"/>
    <cellStyle name="Procent 5 2 4" xfId="30040" xr:uid="{2CEEA6EE-64D7-4FEA-A94F-6ECFE6849AE1}"/>
    <cellStyle name="Procent 5 3" xfId="30041" xr:uid="{53B1DCE5-1024-4841-B0A7-BB1F4BAB33E4}"/>
    <cellStyle name="Procent 5 3 2" xfId="30042" xr:uid="{05E67F03-883B-4D23-B4D2-7869CBFAC36E}"/>
    <cellStyle name="Procent 5 4" xfId="30043" xr:uid="{1A09C049-F9D4-4CAE-A0DA-57949A451405}"/>
    <cellStyle name="Procent 5 4 2" xfId="30044" xr:uid="{1952C118-F9CD-4FAB-9408-13D3215382A3}"/>
    <cellStyle name="Procent 5 5" xfId="30045" xr:uid="{3D95E014-A704-4344-97E2-F5798B2C8485}"/>
    <cellStyle name="Procent 5 5 2" xfId="30046" xr:uid="{1C870F39-5D36-42BE-AF60-56DEC3D61BF1}"/>
    <cellStyle name="Procent 5 6" xfId="30047" xr:uid="{28F5C5D8-E8AA-4EC8-BB0E-A14A62DFE1B6}"/>
    <cellStyle name="Procent 5 7" xfId="30048" xr:uid="{2C948872-AE63-457A-B6D0-13B187825BAF}"/>
    <cellStyle name="Procent 6" xfId="30049" xr:uid="{D3FF06F0-00DA-4850-9242-64836C988CCA}"/>
    <cellStyle name="Procent 6 2" xfId="30050" xr:uid="{839FA2C7-4447-4194-87CB-644BC2140B5D}"/>
    <cellStyle name="Procent 6 2 2" xfId="30051" xr:uid="{14AA50F6-8D41-4335-9055-CD517521674F}"/>
    <cellStyle name="Procent 6 2 2 2" xfId="30052" xr:uid="{9E389380-5012-4CF0-8860-98E58BF3C598}"/>
    <cellStyle name="Procent 6 2 3" xfId="30053" xr:uid="{DBDFB87E-DD08-4F66-9CBA-28484666E3DF}"/>
    <cellStyle name="Procent 6 2 3 2" xfId="30054" xr:uid="{94D59889-88AE-4391-91D7-9092C6D179DF}"/>
    <cellStyle name="Procent 6 2 4" xfId="30055" xr:uid="{B254A72B-E850-4280-A040-F4ECA1B38A91}"/>
    <cellStyle name="Procent 6 3" xfId="30056" xr:uid="{ADDECBD6-59E6-4E23-8A60-D9BE87AFB2BE}"/>
    <cellStyle name="Procent 6 3 2" xfId="30057" xr:uid="{58D4C950-9B64-498F-B7DD-609FADE61B91}"/>
    <cellStyle name="Procent 6 4" xfId="30058" xr:uid="{AB265F7E-8A02-4C4B-A1D6-B84290D2EF35}"/>
    <cellStyle name="Procent 6 4 2" xfId="30059" xr:uid="{479479C1-A248-45D1-8495-28A1856D784A}"/>
    <cellStyle name="Procent 6 5" xfId="30060" xr:uid="{B89BACFA-A89B-4343-824B-E891054EA383}"/>
    <cellStyle name="Procent 6 5 2" xfId="30061" xr:uid="{4ACF94DA-F0CE-42B5-A7E6-57E14E5D9C81}"/>
    <cellStyle name="Procent 6 6" xfId="30062" xr:uid="{8DA0B8E3-7811-4BC8-83FA-F5C8420DC977}"/>
    <cellStyle name="Procent 7" xfId="30063" xr:uid="{A81ED623-30A6-47A2-BF52-3026633E7FC7}"/>
    <cellStyle name="Procent 7 2" xfId="30064" xr:uid="{C2E0BF96-6874-4E28-8054-6505B4645967}"/>
    <cellStyle name="Procent 7 2 2" xfId="30065" xr:uid="{640EA493-7C1A-41B7-8A42-BD2D303D9F4D}"/>
    <cellStyle name="Procent 7 2 2 2" xfId="30066" xr:uid="{AD0C490D-A202-4A1F-B032-11690CCE09D1}"/>
    <cellStyle name="Procent 7 2 3" xfId="30067" xr:uid="{F1E8B8D9-828A-476C-9FAE-1D124DFA65C6}"/>
    <cellStyle name="Procent 7 2 3 2" xfId="30068" xr:uid="{A06FB2F5-DF98-4FA8-B546-5903150B4B54}"/>
    <cellStyle name="Procent 7 2 4" xfId="30069" xr:uid="{A66402E8-DE5B-454C-867C-A0DD6DDD6911}"/>
    <cellStyle name="Procent 7 3" xfId="30070" xr:uid="{F3E8304D-D094-456D-8C04-CC15124106E6}"/>
    <cellStyle name="Procent 7 3 2" xfId="30071" xr:uid="{1D528FE4-84DA-4D53-91BB-CA57A902086B}"/>
    <cellStyle name="Procent 7 4" xfId="30072" xr:uid="{1AFF626F-AA4F-46D1-BAE1-3E575A9164AC}"/>
    <cellStyle name="Procent 7 4 2" xfId="30073" xr:uid="{0AE49FD0-12A4-4AFD-A7AC-B68022FC03A5}"/>
    <cellStyle name="Procent 7 5" xfId="30074" xr:uid="{40F97892-2904-4265-B67B-86182F246657}"/>
    <cellStyle name="Procent 7 5 2" xfId="30075" xr:uid="{D444EE48-8D4F-4F3E-9C91-B8D59136A6A0}"/>
    <cellStyle name="Procent 7 6" xfId="30076" xr:uid="{E170AFC8-D1BB-4509-9460-77CD40C4721D}"/>
    <cellStyle name="Procent 8" xfId="30077" xr:uid="{D925AC30-1CFD-4653-AE2A-5AE0011550F2}"/>
    <cellStyle name="Procent 8 2" xfId="30078" xr:uid="{E59F35F5-9CAC-4522-916F-0AA9D847EAAB}"/>
    <cellStyle name="Procent 8 2 2" xfId="30079" xr:uid="{04D780AC-B24F-4B8C-AE19-8524AAD89A95}"/>
    <cellStyle name="Procent 8 2 2 2" xfId="30080" xr:uid="{A73B0612-8DF8-42C7-B527-FB28FD5FFEE9}"/>
    <cellStyle name="Procent 8 2 3" xfId="30081" xr:uid="{16B33988-35B5-4EAF-8D6A-6EC3DF0D41B7}"/>
    <cellStyle name="Procent 8 2 3 2" xfId="30082" xr:uid="{68FFC9DA-0C19-4BE6-9E72-539EB4B49E2B}"/>
    <cellStyle name="Procent 8 2 4" xfId="30083" xr:uid="{C9548408-741B-4BD7-B00B-58632F7E03B1}"/>
    <cellStyle name="Procent 8 3" xfId="30084" xr:uid="{92C174E8-BA94-45E4-B47A-74ECF3DB6CCC}"/>
    <cellStyle name="Procent 8 3 2" xfId="30085" xr:uid="{61A51746-9A90-4E71-AD4D-AAD4AAEBBC4B}"/>
    <cellStyle name="Procent 8 4" xfId="30086" xr:uid="{AAB980B0-8852-4C54-AE02-84339257867D}"/>
    <cellStyle name="Procent 8 4 2" xfId="30087" xr:uid="{BA3AF683-C738-4112-B5CF-9DF67EAB11B6}"/>
    <cellStyle name="Procent 8 5" xfId="30088" xr:uid="{6EA00A2F-B1A4-4C2E-B31F-C02D0EBE9DAC}"/>
    <cellStyle name="Procent 9" xfId="30089" xr:uid="{BFF66A3A-B61D-4D88-A19C-1D814DB9BABA}"/>
    <cellStyle name="Procent 9 2" xfId="30090" xr:uid="{3D13BF7D-AC48-4F66-81FC-177679271C2B}"/>
    <cellStyle name="Procent 9 2 2" xfId="30091" xr:uid="{F07918C9-21B9-4F3B-B343-F56721D1263D}"/>
    <cellStyle name="Procent 9 3" xfId="30092" xr:uid="{04227543-D995-474A-A02D-5149ABA0CE15}"/>
    <cellStyle name="Procent 9 3 2" xfId="30093" xr:uid="{4E428235-43E6-4C0B-B6B6-64BF67E988B2}"/>
    <cellStyle name="Procent 9 4" xfId="30094" xr:uid="{4BAD8124-3553-4D2D-8DAE-27FF1CEF6237}"/>
    <cellStyle name="SAPBEXaggData" xfId="32555" xr:uid="{5B040B63-A398-4F69-B92B-F488C7965FE5}"/>
    <cellStyle name="SAPBEXaggDataEmph" xfId="32556" xr:uid="{6C1ECABC-8312-4226-B8EA-49B7A2D46652}"/>
    <cellStyle name="SAPBEXaggItem" xfId="32557" xr:uid="{E85EBBCD-22D8-44BF-A867-542E48C18F4E}"/>
    <cellStyle name="SAPBEXaggItemX" xfId="32558" xr:uid="{7CFEA90E-9B53-4AF1-8660-5219F3F12FB4}"/>
    <cellStyle name="SAPBEXchaText" xfId="32559" xr:uid="{254F8BCD-4C2C-44C4-AC23-06795267E3EC}"/>
    <cellStyle name="SAPBEXexcBad" xfId="32560" xr:uid="{43F4D806-F18F-4802-8694-642A3E1EC3B0}"/>
    <cellStyle name="SAPBEXexcBad7" xfId="32561" xr:uid="{01AA113F-AE3A-4AFB-9AAD-190A7EFBA26C}"/>
    <cellStyle name="SAPBEXexcBad8" xfId="32562" xr:uid="{434AC0EF-0F90-4EFE-976B-FBAF1565057C}"/>
    <cellStyle name="SAPBEXexcBad9" xfId="32563" xr:uid="{072EAE30-7C7A-4CA7-A44B-74B110A5E6C1}"/>
    <cellStyle name="SAPBEXexcCritical" xfId="32564" xr:uid="{43ACB463-E5B4-47B4-8320-0ABD473AB423}"/>
    <cellStyle name="SAPBEXexcCritical4" xfId="32565" xr:uid="{D365594C-9D31-4C38-9FBF-792BB4CBAAD6}"/>
    <cellStyle name="SAPBEXexcCritical5" xfId="32566" xr:uid="{1E843E4E-7991-4480-A212-E6D597CE1E1C}"/>
    <cellStyle name="SAPBEXexcCritical6" xfId="32567" xr:uid="{1E6B65FB-5530-475F-A47D-30997ACF905D}"/>
    <cellStyle name="SAPBEXexcGood" xfId="32568" xr:uid="{9687E2B6-7CE6-465F-8D05-194430800BEE}"/>
    <cellStyle name="SAPBEXexcGood1" xfId="32569" xr:uid="{A1F1623C-BD56-424E-9AD1-71F490B2DC80}"/>
    <cellStyle name="SAPBEXexcGood2" xfId="32570" xr:uid="{1D7524FA-C041-445B-93A8-39055F45F0E1}"/>
    <cellStyle name="SAPBEXexcGood3" xfId="32571" xr:uid="{A1780438-A0B3-46CB-893A-827D919CDF3F}"/>
    <cellStyle name="SAPBEXexcVeryBad" xfId="32572" xr:uid="{CA0078C6-28E5-4F24-802E-0923FB60A18E}"/>
    <cellStyle name="SAPBEXfilterDrill" xfId="32573" xr:uid="{E11743F9-04DA-4B07-A7AC-BBE9AEF07117}"/>
    <cellStyle name="SAPBEXfilterItem" xfId="32574" xr:uid="{A08FEA3D-F4A6-41CB-B228-BD473E476FBF}"/>
    <cellStyle name="SAPBEXfilterText" xfId="32575" xr:uid="{EC43E546-1216-4A04-8AC8-772E5DA8F59F}"/>
    <cellStyle name="SAPBEXformats" xfId="32576" xr:uid="{6CD76F1F-E6DA-487E-A868-629D0E1F36C2}"/>
    <cellStyle name="SAPBEXheaderData" xfId="32577" xr:uid="{6BB12F0A-415A-4AD7-BA69-9EE86B5903A3}"/>
    <cellStyle name="SAPBEXheaderItem" xfId="32578" xr:uid="{AAD6D8FB-A65D-48FE-8B3C-D9981DD07121}"/>
    <cellStyle name="SAPBEXheaderText" xfId="32579" xr:uid="{2E51958C-25FF-49D8-9547-DDF036F5659D}"/>
    <cellStyle name="SAPBEXHLevel0" xfId="32580" xr:uid="{B8CE159D-BE7B-4775-90E4-A8B5FADCFE1E}"/>
    <cellStyle name="SAPBEXHLevel0X" xfId="32581" xr:uid="{E2B11A54-1AA2-45F2-9C2D-BFC9058FD76D}"/>
    <cellStyle name="SAPBEXHLevel1" xfId="32582" xr:uid="{6F6006F3-A1F4-4EAC-B0DC-9B00C194C1F9}"/>
    <cellStyle name="SAPBEXHLevel1X" xfId="32583" xr:uid="{0AD658B6-DDF4-4C89-8BEE-9330A793472D}"/>
    <cellStyle name="SAPBEXHLevel2" xfId="32584" xr:uid="{C447B12A-94A3-46FE-AA6C-78BF615F1AFA}"/>
    <cellStyle name="SAPBEXHLevel2X" xfId="32585" xr:uid="{776B0193-61E5-435B-8516-0FEDC8163F17}"/>
    <cellStyle name="SAPBEXHLevel3" xfId="32586" xr:uid="{B095D0F8-A031-4AB4-9791-136CFE81BCB1}"/>
    <cellStyle name="SAPBEXHLevel3X" xfId="32587" xr:uid="{CC5D23AE-AB07-4DE4-9E85-450A5721C643}"/>
    <cellStyle name="SAPBEXinputData" xfId="32588" xr:uid="{EC8BBB53-B7FE-462A-BDD0-820D014B6DC6}"/>
    <cellStyle name="SAPBEXresData" xfId="32589" xr:uid="{11AAAD77-60BB-4705-B98F-2A5C18F2129D}"/>
    <cellStyle name="SAPBEXresDataEmph" xfId="32590" xr:uid="{DAFC4933-E6D3-491D-B1BC-84C449EDC054}"/>
    <cellStyle name="SAPBEXresItem" xfId="32591" xr:uid="{A6653E2C-0EF8-4003-A9CF-2D596DDCAB8F}"/>
    <cellStyle name="SAPBEXresItemX" xfId="32592" xr:uid="{7F90F4C9-D1F1-46A7-8A67-375DD3637321}"/>
    <cellStyle name="SAPBEXstdData" xfId="32593" xr:uid="{8259F65A-C8C1-4EA2-95AA-49D376D1026C}"/>
    <cellStyle name="SAPBEXstdDataEmph" xfId="32594" xr:uid="{A0C6AD9F-C844-4A51-A72C-47E9A17FE9DE}"/>
    <cellStyle name="SAPBEXstdItem" xfId="32595" xr:uid="{3B1485E1-8647-443E-A476-ABC70CE42E81}"/>
    <cellStyle name="SAPBEXstdItemX" xfId="32596" xr:uid="{57648B2E-F574-4DE9-A800-FCEF7F62A05F}"/>
    <cellStyle name="SAPBEXsubData" xfId="32597" xr:uid="{D00864AD-F925-4030-8B35-0C086F1B582A}"/>
    <cellStyle name="SAPBEXsubDataEmph" xfId="32598" xr:uid="{9E1EF56D-4613-4753-9351-0E30119C853C}"/>
    <cellStyle name="SAPBEXsubItem" xfId="32599" xr:uid="{4C17CB06-A85F-40FA-951B-5283AF3D87F4}"/>
    <cellStyle name="SAPBEXtitle" xfId="32600" xr:uid="{9DE6D33B-C79A-42F2-B0BF-248CE7DE1EB2}"/>
    <cellStyle name="SAPBEXundefined" xfId="32601" xr:uid="{EE998C50-92A6-4E79-A217-97048AAAE7DD}"/>
    <cellStyle name="Shade" xfId="30238" xr:uid="{65674665-2554-42C7-8468-FE4F64C44900}"/>
    <cellStyle name="Shade 2" xfId="35052" xr:uid="{2EAF1A53-6759-40A0-AD9A-74609FBFE3D4}"/>
    <cellStyle name="Standard_Sce_D_Extraction" xfId="1235" xr:uid="{00000000-0005-0000-0000-0000CF090000}"/>
    <cellStyle name="Style 134 2" xfId="30249" xr:uid="{C2E6181A-5931-46DC-B108-CC2AA20E7C8E}"/>
    <cellStyle name="Style 134 2 2" xfId="35060" xr:uid="{39689CF6-0A7F-41F4-910D-8184623EA3A4}"/>
    <cellStyle name="Style 140" xfId="30250" xr:uid="{BC893754-88F2-4DEB-909F-36BB70836376}"/>
    <cellStyle name="Style 140 2" xfId="35061" xr:uid="{85428F3D-13B3-4EC5-8043-734ACE650FA2}"/>
    <cellStyle name="Style 142 2" xfId="30251" xr:uid="{3F7A971D-0957-4368-9800-FEF99DCB304E}"/>
    <cellStyle name="Style 142 2 2" xfId="35062" xr:uid="{B15C7D4B-20DE-4619-9CBE-92CD5120AC59}"/>
    <cellStyle name="Style 155" xfId="2528" xr:uid="{00000000-0005-0000-0000-0000D0090000}"/>
    <cellStyle name="Style 155 2" xfId="30095" xr:uid="{1AE39F3C-3354-47FE-A657-1DC29595DFBE}"/>
    <cellStyle name="Style 155 3" xfId="25169" xr:uid="{064B77B9-BFE6-4D69-8E54-40C2957D1B07}"/>
    <cellStyle name="Style 155 4" xfId="17969" xr:uid="{C8BB9085-3AAE-49C9-B324-26FBEF2E3EBE}"/>
    <cellStyle name="Style 156" xfId="2529" xr:uid="{00000000-0005-0000-0000-0000D1090000}"/>
    <cellStyle name="Style 156 2" xfId="30096" xr:uid="{A0B63EC8-33EA-4818-8628-7AE4D21C7035}"/>
    <cellStyle name="Style 157" xfId="2530" xr:uid="{00000000-0005-0000-0000-0000D2090000}"/>
    <cellStyle name="Style 157 2" xfId="30097" xr:uid="{4B0C6085-C593-4DB0-9A25-C66EC1C2EFE2}"/>
    <cellStyle name="Style 157 3" xfId="46722" xr:uid="{7968D6BE-6A57-40CB-B071-F9876D30EB72}"/>
    <cellStyle name="Style 157 4" xfId="17970" xr:uid="{D2F9267F-CA25-42E4-ADE0-2118830D0E7E}"/>
    <cellStyle name="Style 158" xfId="2531" xr:uid="{00000000-0005-0000-0000-0000D3090000}"/>
    <cellStyle name="Style 158 2" xfId="30098" xr:uid="{182950BC-C7DF-4862-BD83-2BE6E1C2D0AC}"/>
    <cellStyle name="Style 158 3" xfId="33720" xr:uid="{4D43C1FB-B26A-4258-AA39-12FF4FE86616}"/>
    <cellStyle name="Style 158 4" xfId="17971" xr:uid="{23BE44CB-34FC-4EA6-BA57-F01955BF6486}"/>
    <cellStyle name="Style 159" xfId="2532" xr:uid="{00000000-0005-0000-0000-0000D4090000}"/>
    <cellStyle name="Style 159 2" xfId="30099" xr:uid="{DC8A58CD-E782-446D-A2F2-1E56CF3C3B05}"/>
    <cellStyle name="Style 161" xfId="2533" xr:uid="{00000000-0005-0000-0000-0000D5090000}"/>
    <cellStyle name="Style 161 2" xfId="30100" xr:uid="{E4F5953F-9072-4B97-B9BB-6CE9A77DA2D2}"/>
    <cellStyle name="Style 161 3" xfId="34542" xr:uid="{55DC6C54-C432-460A-BC7F-B0CEB3715AC3}"/>
    <cellStyle name="Style 161 4" xfId="17972" xr:uid="{5207E07D-2D99-4C52-BED5-C1BA2E71ECA4}"/>
    <cellStyle name="Style 162" xfId="2534" xr:uid="{00000000-0005-0000-0000-0000D6090000}"/>
    <cellStyle name="Style 162 2" xfId="30101" xr:uid="{86C372F1-75B8-4F61-9A4E-BB909631A8CC}"/>
    <cellStyle name="Style 162 3" xfId="33471" xr:uid="{DE0D50B3-58AB-44C8-9476-5C5A0D7B58D2}"/>
    <cellStyle name="Style 162 4" xfId="17973" xr:uid="{31A3A1F2-3688-4731-9C11-F221B3489EA8}"/>
    <cellStyle name="Style 163" xfId="2535" xr:uid="{00000000-0005-0000-0000-0000D7090000}"/>
    <cellStyle name="Style 163 2" xfId="30102" xr:uid="{157BA546-EB80-4F23-8122-FE272988C033}"/>
    <cellStyle name="Style 163 3" xfId="46651" xr:uid="{679624DC-6F66-41CF-A324-741E26FE2574}"/>
    <cellStyle name="Style 163 4" xfId="17974" xr:uid="{523DF270-572E-41BF-B512-36EBBF19CD4F}"/>
    <cellStyle name="Style 223" xfId="2536" xr:uid="{00000000-0005-0000-0000-0000D8090000}"/>
    <cellStyle name="Style 223 2" xfId="30103" xr:uid="{46D7AF34-5786-498A-B183-9839F689A01B}"/>
    <cellStyle name="Style 223 3" xfId="47145" xr:uid="{F866079F-41A9-4264-B278-A6750E724ADD}"/>
    <cellStyle name="Style 223 4" xfId="17975" xr:uid="{96D730F3-C253-44CF-859B-A0AE3812349F}"/>
    <cellStyle name="Style 224" xfId="2537" xr:uid="{00000000-0005-0000-0000-0000D9090000}"/>
    <cellStyle name="Style 224 2" xfId="30104" xr:uid="{A0C54089-C3DF-4151-9FB8-5C4937CFA2F3}"/>
    <cellStyle name="Style 225" xfId="2538" xr:uid="{00000000-0005-0000-0000-0000DA090000}"/>
    <cellStyle name="Style 225 2" xfId="30105" xr:uid="{91E2AF55-977E-46B8-91ED-B5F4D3BE9228}"/>
    <cellStyle name="Style 225 3" xfId="47660" xr:uid="{35475E90-33B0-4594-A030-BED834F5A856}"/>
    <cellStyle name="Style 225 4" xfId="17976" xr:uid="{5E27BADC-F491-4363-A20F-64EBDFCBFF62}"/>
    <cellStyle name="Style 226" xfId="2539" xr:uid="{00000000-0005-0000-0000-0000DB090000}"/>
    <cellStyle name="Style 226 2" xfId="30106" xr:uid="{08D32651-BCDE-42A9-9361-0643EF774372}"/>
    <cellStyle name="Style 226 3" xfId="46267" xr:uid="{9AEC3CE5-614E-434A-B211-3937496610BD}"/>
    <cellStyle name="Style 226 4" xfId="17977" xr:uid="{14C26A4B-BD6F-4E58-9ADE-BD1D953E8E11}"/>
    <cellStyle name="Style 227" xfId="2540" xr:uid="{00000000-0005-0000-0000-0000DC090000}"/>
    <cellStyle name="Style 227 2" xfId="30107" xr:uid="{BE85438F-5C98-4DA3-AE44-9C8DD6E400C9}"/>
    <cellStyle name="Style 229" xfId="2541" xr:uid="{00000000-0005-0000-0000-0000DD090000}"/>
    <cellStyle name="Style 229 2" xfId="30108" xr:uid="{BAE60DB0-EDA2-49C1-84CB-9DCEBD927C31}"/>
    <cellStyle name="Style 229 3" xfId="47210" xr:uid="{3B8C1D1A-5C73-4657-B924-42047EA13A1A}"/>
    <cellStyle name="Style 229 4" xfId="17978" xr:uid="{9985B4B7-477C-4D19-875E-73182B302AAE}"/>
    <cellStyle name="Style 230" xfId="2542" xr:uid="{00000000-0005-0000-0000-0000DE090000}"/>
    <cellStyle name="Style 230 2" xfId="30109" xr:uid="{C1432DB6-F74D-4FA3-BEBE-67E760344C03}"/>
    <cellStyle name="Style 230 3" xfId="46652" xr:uid="{1B12501B-C983-44D4-B8ED-469EDC359565}"/>
    <cellStyle name="Style 230 4" xfId="17979" xr:uid="{602AD876-68A5-4BCD-B2EC-C72984FF9346}"/>
    <cellStyle name="Style 231" xfId="2543" xr:uid="{00000000-0005-0000-0000-0000DF090000}"/>
    <cellStyle name="Style 231 2" xfId="30110" xr:uid="{3ED97031-1647-4AE7-B03F-84C9655F1106}"/>
    <cellStyle name="Style 231 3" xfId="47738" xr:uid="{E3FFB67E-122B-4AA7-BA16-B45BB4F7CB37}"/>
    <cellStyle name="Style 231 4" xfId="17980" xr:uid="{09DD6038-8777-4C4C-98D7-1C5694F8CEF9}"/>
    <cellStyle name="Style 257" xfId="2544" xr:uid="{00000000-0005-0000-0000-0000E0090000}"/>
    <cellStyle name="Style 257 2" xfId="30111" xr:uid="{7BE5F1BF-0133-4840-BBFF-68260D19268C}"/>
    <cellStyle name="Style 257 3" xfId="48433" xr:uid="{820DEC72-377B-4000-9DC6-7F90F43F2E91}"/>
    <cellStyle name="Style 257 4" xfId="17981" xr:uid="{410C338F-D77A-498E-A593-542CD898A6E7}"/>
    <cellStyle name="Style 258" xfId="2545" xr:uid="{00000000-0005-0000-0000-0000E1090000}"/>
    <cellStyle name="Style 258 2" xfId="30112" xr:uid="{73F8AECE-BD5B-4EC5-80AE-C9353DF05282}"/>
    <cellStyle name="Style 259" xfId="2546" xr:uid="{00000000-0005-0000-0000-0000E2090000}"/>
    <cellStyle name="Style 259 2" xfId="30113" xr:uid="{C8EB6BF6-29E9-45D8-A444-404BED54F2EF}"/>
    <cellStyle name="Style 259 3" xfId="32444" xr:uid="{5B7DEDBD-F372-44B6-A560-976DDEECD336}"/>
    <cellStyle name="Style 259 4" xfId="17982" xr:uid="{8BD8297F-21E4-4DE2-81E5-BCC2576FDB79}"/>
    <cellStyle name="Style 260" xfId="2547" xr:uid="{00000000-0005-0000-0000-0000E3090000}"/>
    <cellStyle name="Style 260 2" xfId="30114" xr:uid="{F6871FB7-F382-462E-81ED-ACF66CD2F430}"/>
    <cellStyle name="Style 260 3" xfId="24506" xr:uid="{81528C06-2F6A-4531-93DC-B786633B27E9}"/>
    <cellStyle name="Style 260 4" xfId="17983" xr:uid="{849F8E60-9C7F-4839-A8A5-97A569DD7750}"/>
    <cellStyle name="Style 261" xfId="2548" xr:uid="{00000000-0005-0000-0000-0000E4090000}"/>
    <cellStyle name="Style 261 2" xfId="30115" xr:uid="{76785AD4-B64F-4359-97CE-63E15536F9A8}"/>
    <cellStyle name="Style 263" xfId="2549" xr:uid="{00000000-0005-0000-0000-0000E5090000}"/>
    <cellStyle name="Style 263 2" xfId="30116" xr:uid="{21500BC3-F85A-4B0F-A23D-0F3B925FD7A7}"/>
    <cellStyle name="Style 263 3" xfId="24717" xr:uid="{2BE6FD2B-6F09-449D-A74D-4C6A680CE56D}"/>
    <cellStyle name="Style 263 4" xfId="17984" xr:uid="{75056EAE-742E-43E5-8C11-75543D4153F6}"/>
    <cellStyle name="Style 264" xfId="2550" xr:uid="{00000000-0005-0000-0000-0000E6090000}"/>
    <cellStyle name="Style 264 2" xfId="30117" xr:uid="{50C1AB96-E4E7-4D9E-9ACD-7326D62457B6}"/>
    <cellStyle name="Style 264 3" xfId="33077" xr:uid="{49AC534D-D6CD-4818-822E-E18F0E4CFA86}"/>
    <cellStyle name="Style 264 4" xfId="17985" xr:uid="{24B81850-975D-450E-A15C-51758451F5AC}"/>
    <cellStyle name="Style 265" xfId="2551" xr:uid="{00000000-0005-0000-0000-0000E7090000}"/>
    <cellStyle name="Style 265 2" xfId="30118" xr:uid="{3746D772-9BBD-462B-8D9A-02CEF18798E6}"/>
    <cellStyle name="Style 265 3" xfId="46268" xr:uid="{F4D9064E-F666-4BB1-8B58-B21305480105}"/>
    <cellStyle name="Style 265 4" xfId="17986" xr:uid="{30A9CCE6-A0E5-49B9-899C-27C4B73C1811}"/>
    <cellStyle name="Style 461" xfId="2552" xr:uid="{00000000-0005-0000-0000-0000E8090000}"/>
    <cellStyle name="Style 461 2" xfId="30119" xr:uid="{B99EDF21-F51B-4772-8E3C-7458D604594B}"/>
    <cellStyle name="Style 461 3" xfId="46269" xr:uid="{B7E704D3-9092-4CA3-AF68-DF02BB57E9B3}"/>
    <cellStyle name="Style 461 4" xfId="17987" xr:uid="{F778F627-5657-4A9B-AB3D-1D0B2EA23384}"/>
    <cellStyle name="Style 467" xfId="2553" xr:uid="{00000000-0005-0000-0000-0000E9090000}"/>
    <cellStyle name="Style 467 2" xfId="30120" xr:uid="{422005E8-3222-4DD9-966F-3AC792DFCCB9}"/>
    <cellStyle name="Style 467 3" xfId="46270" xr:uid="{DFF357BF-4CBD-461F-BBA6-084C193782AF}"/>
    <cellStyle name="Style 467 4" xfId="17988" xr:uid="{6389B670-08FD-4C98-AC98-830AB87EE727}"/>
    <cellStyle name="Style 468" xfId="2554" xr:uid="{00000000-0005-0000-0000-0000EA090000}"/>
    <cellStyle name="Style 468 2" xfId="30121" xr:uid="{1F6320D7-C623-4AF5-9CF0-CA16E501E149}"/>
    <cellStyle name="Style 468 3" xfId="25168" xr:uid="{409961DB-3763-4802-B5E6-D61BEF4313DB}"/>
    <cellStyle name="Style 468 4" xfId="17989" xr:uid="{808EF224-BFA0-43DB-8B82-D6960EB4AEF9}"/>
    <cellStyle name="Style 469" xfId="2555" xr:uid="{00000000-0005-0000-0000-0000EB090000}"/>
    <cellStyle name="Style 469 2" xfId="30122" xr:uid="{1DDD1256-63D1-4362-A0B9-068594F22253}"/>
    <cellStyle name="Style 469 3" xfId="47222" xr:uid="{94F4A524-45BD-4BE9-B3D6-AED60E7A02EF}"/>
    <cellStyle name="Style 469 4" xfId="17990" xr:uid="{E4D3D895-A801-4BEB-BA3E-658251DD84DC}"/>
    <cellStyle name="Style 478" xfId="2556" xr:uid="{00000000-0005-0000-0000-0000EC090000}"/>
    <cellStyle name="Style 478 2" xfId="30123" xr:uid="{BF02F290-2DBD-49AB-86FD-D7B7FFB43EF2}"/>
    <cellStyle name="Style 478 3" xfId="46723" xr:uid="{34F82C2B-21B9-448C-BBA2-7CF5C2141EF5}"/>
    <cellStyle name="Style 478 4" xfId="17991" xr:uid="{E919FCAD-E67B-4192-B510-A285BE2D6FC1}"/>
    <cellStyle name="Style 479" xfId="2557" xr:uid="{00000000-0005-0000-0000-0000ED090000}"/>
    <cellStyle name="Style 479 2" xfId="30124" xr:uid="{18BED971-6A01-48B6-883C-E9BCF892816C}"/>
    <cellStyle name="Style 480" xfId="2558" xr:uid="{00000000-0005-0000-0000-0000EE090000}"/>
    <cellStyle name="Style 480 2" xfId="30125" xr:uid="{1F5E03CA-0C2A-4636-8361-37A366D55140}"/>
    <cellStyle name="Style 480 3" xfId="47074" xr:uid="{5EE226EB-1F00-4F3E-8A54-CF66DB698804}"/>
    <cellStyle name="Style 480 4" xfId="17992" xr:uid="{F7A9640C-70CE-40DA-A9AE-38E908859C39}"/>
    <cellStyle name="Style 481" xfId="2559" xr:uid="{00000000-0005-0000-0000-0000EF090000}"/>
    <cellStyle name="Style 481 2" xfId="30126" xr:uid="{5C889D1F-ACE5-4D51-A0B0-D9C9B2C9759E}"/>
    <cellStyle name="Style 481 3" xfId="46271" xr:uid="{6F8CC958-1112-4141-8BC9-4A9757CC633D}"/>
    <cellStyle name="Style 481 4" xfId="17993" xr:uid="{939F5AE7-81B4-4F33-B0DD-A7C529C19CC5}"/>
    <cellStyle name="Style 482" xfId="2560" xr:uid="{00000000-0005-0000-0000-0000F0090000}"/>
    <cellStyle name="Style 482 2" xfId="30127" xr:uid="{73A6AA99-FA02-4ECB-8843-3C666D260CD4}"/>
    <cellStyle name="Style 484" xfId="2561" xr:uid="{00000000-0005-0000-0000-0000F1090000}"/>
    <cellStyle name="Style 484 2" xfId="30128" xr:uid="{8D7CD5F9-FDD0-43C1-9A3F-9373CED29CDC}"/>
    <cellStyle name="Style 484 3" xfId="47811" xr:uid="{C625528B-BC8E-4AA7-B9D5-8439118AA15D}"/>
    <cellStyle name="Style 484 4" xfId="17994" xr:uid="{0B808CE0-A620-48F5-89CD-A1FEA2D2A925}"/>
    <cellStyle name="Style 485" xfId="2562" xr:uid="{00000000-0005-0000-0000-0000F2090000}"/>
    <cellStyle name="Style 485 2" xfId="30129" xr:uid="{B24D23E3-8DF2-45A0-8EFD-FAC07C49AB5C}"/>
    <cellStyle name="Style 485 3" xfId="46724" xr:uid="{7095ECD8-963F-4E9A-A32A-BFC4EDF5A495}"/>
    <cellStyle name="Style 485 4" xfId="17995" xr:uid="{7954D469-0FD6-4F03-A85B-C37357C30B59}"/>
    <cellStyle name="Style 486" xfId="2563" xr:uid="{00000000-0005-0000-0000-0000F3090000}"/>
    <cellStyle name="Style 486 2" xfId="30130" xr:uid="{FAC5AE4E-492C-4A0D-961F-B3738121D698}"/>
    <cellStyle name="Style 486 3" xfId="47750" xr:uid="{B9FA5D1A-A431-454F-A850-0F1AB59B93AA}"/>
    <cellStyle name="Style 486 4" xfId="17996" xr:uid="{E0E22133-3ACD-47B5-AFFA-CBCEEBF5444E}"/>
    <cellStyle name="Style 495" xfId="2564" xr:uid="{00000000-0005-0000-0000-0000F4090000}"/>
    <cellStyle name="Style 495 2" xfId="30131" xr:uid="{65500A1D-04DF-47BF-98A1-CEDFA302DC4D}"/>
    <cellStyle name="Style 495 3" xfId="47414" xr:uid="{DFED0254-78A0-44FF-850E-2D1E26B27052}"/>
    <cellStyle name="Style 495 4" xfId="17997" xr:uid="{F6382C9A-D521-4CDD-9886-89EDF5EF5129}"/>
    <cellStyle name="Style 496" xfId="2565" xr:uid="{00000000-0005-0000-0000-0000F5090000}"/>
    <cellStyle name="Style 496 2" xfId="30132" xr:uid="{CDE81A0A-6BC7-43D1-808A-B4001A77550A}"/>
    <cellStyle name="Style 497" xfId="2566" xr:uid="{00000000-0005-0000-0000-0000F6090000}"/>
    <cellStyle name="Style 497 2" xfId="30133" xr:uid="{91BBDF84-671F-4B43-8210-554227C89692}"/>
    <cellStyle name="Style 497 3" xfId="37254" xr:uid="{5C8DA488-FB14-45A2-AB7D-1E7B7C8841F9}"/>
    <cellStyle name="Style 497 4" xfId="17998" xr:uid="{A193A892-4D85-44AC-900D-D0F0AA80FAF1}"/>
    <cellStyle name="Style 498" xfId="2567" xr:uid="{00000000-0005-0000-0000-0000F7090000}"/>
    <cellStyle name="Style 498 2" xfId="30134" xr:uid="{BF79FEDA-570F-445A-BBA9-7A6CBAC944B6}"/>
    <cellStyle name="Style 498 3" xfId="48388" xr:uid="{EE10DFB8-92D1-4362-BC2A-AE7B590C6A92}"/>
    <cellStyle name="Style 498 4" xfId="17999" xr:uid="{4B5A9FEC-C478-45DB-A470-D766A860B0E7}"/>
    <cellStyle name="Style 499" xfId="2568" xr:uid="{00000000-0005-0000-0000-0000F8090000}"/>
    <cellStyle name="Style 499 2" xfId="30135" xr:uid="{94B0B268-CA0A-450F-9418-2C1B776CFCB6}"/>
    <cellStyle name="Style 501" xfId="2569" xr:uid="{00000000-0005-0000-0000-0000F9090000}"/>
    <cellStyle name="Style 501 2" xfId="30136" xr:uid="{CA6B122F-F699-4CF6-B445-4AF08B3CF5A7}"/>
    <cellStyle name="Style 501 3" xfId="48328" xr:uid="{4DDC0186-07B1-4603-9AC7-9309172037B3}"/>
    <cellStyle name="Style 501 4" xfId="18000" xr:uid="{51FAC7E1-77DE-475D-B887-C2EC0BFB29CE}"/>
    <cellStyle name="Style 502" xfId="2570" xr:uid="{00000000-0005-0000-0000-0000FA090000}"/>
    <cellStyle name="Style 502 2" xfId="30137" xr:uid="{075E48A7-8777-453A-8AB8-132DBBBA1639}"/>
    <cellStyle name="Style 502 3" xfId="48005" xr:uid="{804B00E6-BF78-4562-B86E-7792717AEA83}"/>
    <cellStyle name="Style 502 4" xfId="18001" xr:uid="{4AC1184E-B360-4655-A4C4-ECD616ED815A}"/>
    <cellStyle name="Style 503" xfId="2571" xr:uid="{00000000-0005-0000-0000-0000FB090000}"/>
    <cellStyle name="Style 503 2" xfId="30138" xr:uid="{A62484F0-17D7-4974-8C0C-685E7E1F11F7}"/>
    <cellStyle name="Style 503 3" xfId="25346" xr:uid="{0A7D507B-5E80-4B75-8A2E-486D2425C7CA}"/>
    <cellStyle name="Style 503 4" xfId="18002" xr:uid="{593D5D3B-504D-47D1-9779-EA08CBF2A0C5}"/>
    <cellStyle name="Style 580" xfId="2572" xr:uid="{00000000-0005-0000-0000-0000FC090000}"/>
    <cellStyle name="Style 580 2" xfId="30139" xr:uid="{47E7D68F-44B8-4D86-BD73-C968B3086A4D}"/>
    <cellStyle name="Style 580 3" xfId="47802" xr:uid="{1BDC2633-5D4C-42C6-8DB3-E872999457FE}"/>
    <cellStyle name="Style 580 4" xfId="18003" xr:uid="{E366B746-506E-4B9D-AB10-E5A4FD5A18B6}"/>
    <cellStyle name="Style 581" xfId="2573" xr:uid="{00000000-0005-0000-0000-0000FD090000}"/>
    <cellStyle name="Style 581 2" xfId="30140" xr:uid="{3A14FBFA-AF3D-4791-9BB9-8EC50BACD7C5}"/>
    <cellStyle name="Style 582" xfId="2574" xr:uid="{00000000-0005-0000-0000-0000FE090000}"/>
    <cellStyle name="Style 582 2" xfId="30141" xr:uid="{4D1525EE-4149-46AD-BFD6-70EB1FFAC353}"/>
    <cellStyle name="Style 582 3" xfId="48317" xr:uid="{862D20EA-537B-4E47-BA9C-D2FA0F41D448}"/>
    <cellStyle name="Style 582 4" xfId="18004" xr:uid="{3CE4C07C-D14F-461D-806D-1A72624018F8}"/>
    <cellStyle name="Style 583" xfId="2575" xr:uid="{00000000-0005-0000-0000-0000FF090000}"/>
    <cellStyle name="Style 583 2" xfId="30142" xr:uid="{82C776F8-2071-4986-A295-829DE9BC4684}"/>
    <cellStyle name="Style 583 3" xfId="47562" xr:uid="{14C6054B-F7EF-4B9A-8563-3DA83F8D769D}"/>
    <cellStyle name="Style 583 4" xfId="18005" xr:uid="{1A8E9981-3DCC-493B-B606-6EDC39066FE9}"/>
    <cellStyle name="Style 584" xfId="2576" xr:uid="{00000000-0005-0000-0000-0000000A0000}"/>
    <cellStyle name="Style 584 2" xfId="30143" xr:uid="{E212B9C0-1449-43F8-AE87-53A1C02EA419}"/>
    <cellStyle name="Style 586" xfId="2577" xr:uid="{00000000-0005-0000-0000-0000010A0000}"/>
    <cellStyle name="Style 586 2" xfId="30144" xr:uid="{FE68D12C-3D91-45AB-958F-C8184BDD2C19}"/>
    <cellStyle name="Style 586 3" xfId="46272" xr:uid="{A73B44D8-B7E4-48A4-9510-D486E689F27E}"/>
    <cellStyle name="Style 586 4" xfId="18006" xr:uid="{B11E81ED-7098-436E-A33A-058BEADA37C2}"/>
    <cellStyle name="Style 587" xfId="2578" xr:uid="{00000000-0005-0000-0000-0000020A0000}"/>
    <cellStyle name="Style 587 2" xfId="30145" xr:uid="{FA6638D1-47F6-49FD-8A69-1DDC729E3CA5}"/>
    <cellStyle name="Style 587 3" xfId="47008" xr:uid="{9B4661AA-F2A1-4C9B-88A3-E4363633DCC3}"/>
    <cellStyle name="Style 587 4" xfId="18007" xr:uid="{352B6684-FDA2-44F9-964E-46EF7FE6DD5E}"/>
    <cellStyle name="Style 588" xfId="2579" xr:uid="{00000000-0005-0000-0000-0000030A0000}"/>
    <cellStyle name="Style 588 2" xfId="30146" xr:uid="{55D56989-D6C4-489A-88B3-FF2ECDCD8B96}"/>
    <cellStyle name="Style 588 3" xfId="47517" xr:uid="{53D74B9E-EC89-45B3-A6F6-716A83928970}"/>
    <cellStyle name="Style 588 4" xfId="18008" xr:uid="{587FD5D5-C237-4DC1-A6D6-FC5E783F4710}"/>
    <cellStyle name="Testo avviso" xfId="1236" xr:uid="{00000000-0005-0000-0000-0000040A0000}"/>
    <cellStyle name="Testo avviso 2" xfId="30148" xr:uid="{4DA31E8B-78EE-472E-B273-839AA97D27FB}"/>
    <cellStyle name="Testo avviso 3" xfId="30149" xr:uid="{96B0EFD5-4EA9-48BD-A064-2697DB3D97F3}"/>
    <cellStyle name="Testo avviso 3 2" xfId="49481" xr:uid="{2A2AE01E-61A0-4397-B644-4A795F6262D4}"/>
    <cellStyle name="Testo avviso 4" xfId="30147" xr:uid="{A64F5CE1-3B2A-4E83-8B37-50534D692B0F}"/>
    <cellStyle name="Testo descrittivo" xfId="1237" xr:uid="{00000000-0005-0000-0000-0000050A0000}"/>
    <cellStyle name="Testo descrittivo 2" xfId="30151" xr:uid="{55EF8484-298B-492C-B0B0-13FA42ABF898}"/>
    <cellStyle name="Testo descrittivo 3" xfId="30152" xr:uid="{A57FE653-FADB-4232-8498-1E259218D70B}"/>
    <cellStyle name="Testo descrittivo 3 2" xfId="49482" xr:uid="{913EB928-72AC-43EB-A041-99670967EE43}"/>
    <cellStyle name="Testo descrittivo 4" xfId="30150" xr:uid="{C8777106-A3E0-426C-A0AC-BF3F3F5BEF14}"/>
    <cellStyle name="Titel 2" xfId="30153" xr:uid="{C000CEE7-774B-4933-90DB-99830A403D5E}"/>
    <cellStyle name="Titel 2 2" xfId="30154" xr:uid="{CD894B32-F0BE-4D5A-B1E9-A3977FFC4737}"/>
    <cellStyle name="Titel 2 3" xfId="30155" xr:uid="{D910C362-8412-4D3E-A04D-E6420CB2BEA3}"/>
    <cellStyle name="Titel 2 3 2" xfId="49483" xr:uid="{877986B2-6B7C-46D6-9744-D082F1DFB4E8}"/>
    <cellStyle name="Title 2" xfId="30156" xr:uid="{F6A5FF4D-F3C2-48F1-9C65-1F5781EF8102}"/>
    <cellStyle name="Title 2 2" xfId="30157" xr:uid="{80490719-7D55-4799-A81B-BF3AE7FD4BFC}"/>
    <cellStyle name="Title 2 3" xfId="30158" xr:uid="{D887D467-FC34-4F3E-9657-BFF149ECFB3D}"/>
    <cellStyle name="Title 2 3 2" xfId="49484" xr:uid="{57494121-0FE5-49CD-9D65-8B8A97B64611}"/>
    <cellStyle name="Title 3" xfId="30252" xr:uid="{1BB97462-D526-4A65-9490-4F09D255C4DD}"/>
    <cellStyle name="Titolo" xfId="1238" xr:uid="{00000000-0005-0000-0000-0000060A0000}"/>
    <cellStyle name="Titolo 1" xfId="1239" xr:uid="{00000000-0005-0000-0000-0000070A0000}"/>
    <cellStyle name="Titolo 1 2" xfId="1240" xr:uid="{00000000-0005-0000-0000-0000080A0000}"/>
    <cellStyle name="Titolo 1 2 2" xfId="30162" xr:uid="{138A7CC1-9470-44C3-BCB6-676ABF662435}"/>
    <cellStyle name="Titolo 1 2 3" xfId="30161" xr:uid="{0F627065-26B4-420D-9B53-F11E6A4537B1}"/>
    <cellStyle name="Titolo 1 3" xfId="30163" xr:uid="{01647556-8ED5-44EA-8961-322D23BAFC11}"/>
    <cellStyle name="Titolo 1 3 2" xfId="49485" xr:uid="{A42A53E5-88A4-4A85-9992-B9360E6860E0}"/>
    <cellStyle name="Titolo 1 4" xfId="30160" xr:uid="{8C7EEEB0-F7ED-4661-9680-DB48CDB5506E}"/>
    <cellStyle name="Titolo 2" xfId="1241" xr:uid="{00000000-0005-0000-0000-0000090A0000}"/>
    <cellStyle name="Titolo 2 2" xfId="1242" xr:uid="{00000000-0005-0000-0000-00000A0A0000}"/>
    <cellStyle name="Titolo 2 2 2" xfId="30166" xr:uid="{B84E2442-3478-411D-8CEA-011B165684CD}"/>
    <cellStyle name="Titolo 2 2 3" xfId="30165" xr:uid="{13B79010-6F65-41D6-A445-4ECF569BE18D}"/>
    <cellStyle name="Titolo 2 3" xfId="30167" xr:uid="{D9C5945D-30D2-415D-B7BD-8597F1C67CE7}"/>
    <cellStyle name="Titolo 2 3 2" xfId="49486" xr:uid="{2EEC4ABF-A8FD-482A-A9F5-D40B0D73CB05}"/>
    <cellStyle name="Titolo 2 4" xfId="30164" xr:uid="{E2B7B0D9-10B4-433A-BF6E-09C4D13FE3C9}"/>
    <cellStyle name="Titolo 3" xfId="1243" xr:uid="{00000000-0005-0000-0000-00000B0A0000}"/>
    <cellStyle name="Titolo 3 2" xfId="1244" xr:uid="{00000000-0005-0000-0000-00000C0A0000}"/>
    <cellStyle name="Titolo 3 2 2" xfId="17426" xr:uid="{70172808-39CB-470B-A03E-DEB15BEF6B31}"/>
    <cellStyle name="Titolo 3 2 2 2" xfId="21240" xr:uid="{28927BCD-EF65-4C90-9008-184481EA0E2D}"/>
    <cellStyle name="Titolo 3 2 2 3" xfId="30170" xr:uid="{B2F64C42-03DF-433D-ACB6-6B62EBC6458C}"/>
    <cellStyle name="Titolo 3 2 3" xfId="17577" xr:uid="{44556675-B045-4654-ABA2-CF0088096935}"/>
    <cellStyle name="Titolo 3 2 3 2" xfId="30171" xr:uid="{2B74858A-E768-4EAF-BA6A-81AEEFD95D15}"/>
    <cellStyle name="Titolo 3 2 4" xfId="30172" xr:uid="{898E9DF1-CCF1-49AE-9656-471701FCBB5E}"/>
    <cellStyle name="Titolo 3 2 5" xfId="30169" xr:uid="{0FD6E6A0-8379-4249-AFD7-D25C45A3A4FF}"/>
    <cellStyle name="Titolo 3 3" xfId="4523" xr:uid="{1EF959C1-F0C8-4104-B19C-1CB50B47E8C3}"/>
    <cellStyle name="Titolo 3 3 2" xfId="17427" xr:uid="{0644E227-CC01-44DE-B91C-2652A3B10BE1}"/>
    <cellStyle name="Titolo 3 3 2 2" xfId="21241" xr:uid="{3E66F410-B5ED-4AAC-8D1E-C9A8C75D9CD4}"/>
    <cellStyle name="Titolo 3 3 3" xfId="17705" xr:uid="{CA7E6AA3-15CD-4E09-BAD2-DC07A266982D}"/>
    <cellStyle name="Titolo 3 3 4" xfId="30173" xr:uid="{D13EF461-9594-4170-8F08-FFAFBE008B38}"/>
    <cellStyle name="Titolo 3 4" xfId="30174" xr:uid="{C828BA82-641C-4C6A-877B-35932266E715}"/>
    <cellStyle name="Titolo 3 4 2" xfId="49487" xr:uid="{831FFA43-7B39-4CD7-8433-AF2DBB121D6C}"/>
    <cellStyle name="Titolo 3 5" xfId="30168" xr:uid="{2C013F49-0483-41DE-BE2B-A7BCC6D656C5}"/>
    <cellStyle name="Titolo 4" xfId="1245" xr:uid="{00000000-0005-0000-0000-00000D0A0000}"/>
    <cellStyle name="Titolo 4 2" xfId="30176" xr:uid="{B48D6712-C9B0-4A61-A229-5D2E0AEEC234}"/>
    <cellStyle name="Titolo 4 3" xfId="30177" xr:uid="{36669F8C-C997-4002-A894-EBE3CC06BE21}"/>
    <cellStyle name="Titolo 4 3 2" xfId="49488" xr:uid="{236B43C5-89B8-48DF-B1C8-4FDCBB914F68}"/>
    <cellStyle name="Titolo 4 4" xfId="30175" xr:uid="{17CD9D06-B066-4791-B909-FB97FED7954E}"/>
    <cellStyle name="Titolo 5" xfId="30178" xr:uid="{DF12656E-C4CF-46FF-AB22-34A761F88389}"/>
    <cellStyle name="Titolo 6" xfId="30179" xr:uid="{E1D5AEE8-78F3-4F05-A0B9-336138574A17}"/>
    <cellStyle name="Titolo 6 2" xfId="49489" xr:uid="{8DB600E1-E9F5-4B24-949E-5AC6191A9FE2}"/>
    <cellStyle name="Titolo 7" xfId="30159" xr:uid="{8FF5E304-A90F-4FD4-B129-F847074BA9F6}"/>
    <cellStyle name="Total 2" xfId="2580" xr:uid="{00000000-0005-0000-0000-00000E0A0000}"/>
    <cellStyle name="Total 2 2" xfId="2581" xr:uid="{00000000-0005-0000-0000-00000F0A0000}"/>
    <cellStyle name="Total 2 2 2" xfId="30182" xr:uid="{5027D9D7-8F8B-4EEB-860D-7FBE208E21C8}"/>
    <cellStyle name="Total 2 2 3" xfId="30181" xr:uid="{4925AA96-3FF2-486D-A3E5-5BDD46E85BA7}"/>
    <cellStyle name="Total 2 3" xfId="30183" xr:uid="{9F65806E-ED8E-473F-B230-784EE090C9FE}"/>
    <cellStyle name="Total 2 4" xfId="30184" xr:uid="{7636AC02-6EF1-404D-B4D2-65B1C410CF01}"/>
    <cellStyle name="Total 2 4 2" xfId="32656" xr:uid="{A243E79E-3E7C-472E-9257-D496FA4D04FB}"/>
    <cellStyle name="Total 2 4 3" xfId="32657" xr:uid="{A8E2F191-F838-4EAC-BFFB-508EB19DCF70}"/>
    <cellStyle name="Total 2 5" xfId="30185" xr:uid="{1553AB72-B89E-4F3C-AC89-C43C5CEA0EFA}"/>
    <cellStyle name="Total 2 6" xfId="30180" xr:uid="{9F4126EF-3514-4F7D-B4FD-C7B269D9A330}"/>
    <cellStyle name="Total 3" xfId="30186" xr:uid="{B31D4AC8-29F9-4612-87D0-EAC8A1D50BAD}"/>
    <cellStyle name="Total 4" xfId="30187" xr:uid="{2F8DB624-A1B7-486E-BCF3-5C0DC27E8FAE}"/>
    <cellStyle name="Total 4 2" xfId="49490" xr:uid="{47F399BD-6B86-4106-9938-B910E12D7AD9}"/>
    <cellStyle name="Totale" xfId="1246" xr:uid="{00000000-0005-0000-0000-0000100A0000}"/>
    <cellStyle name="Totale 2" xfId="1247" xr:uid="{00000000-0005-0000-0000-0000110A0000}"/>
    <cellStyle name="Totale 2 2" xfId="2582" xr:uid="{00000000-0005-0000-0000-0000120A0000}"/>
    <cellStyle name="Totale 2 2 2" xfId="18009" xr:uid="{EDADB06C-39E6-4DD4-84D3-F33D45891ED5}"/>
    <cellStyle name="Totale 2 2 2 2" xfId="30191" xr:uid="{AE6A2569-2807-44C7-9027-ECFD5DC5C66B}"/>
    <cellStyle name="Totale 2 2 3" xfId="30190" xr:uid="{5BAF5390-08A1-423E-ADB3-1C6C81F1772E}"/>
    <cellStyle name="Totale 2 3" xfId="17542" xr:uid="{DF0A09E7-BAB4-41A4-9CFE-859837A2EAFE}"/>
    <cellStyle name="Totale 2 3 2" xfId="32658" xr:uid="{FEAF3803-4B7D-4E51-993D-B924D3266C07}"/>
    <cellStyle name="Totale 2 3 3" xfId="32659" xr:uid="{92451A12-4072-4685-BE8F-C2D37795ED2F}"/>
    <cellStyle name="Totale 2 3 4" xfId="30192" xr:uid="{992E6B8B-C906-4FBE-959F-0338454A3F6E}"/>
    <cellStyle name="Totale 2 4" xfId="30193" xr:uid="{A92BEC07-F6B0-4782-AA35-CF9AF3E339BF}"/>
    <cellStyle name="Totale 2 5" xfId="30253" xr:uid="{F7B7718A-B528-482E-88EE-9256EF147281}"/>
    <cellStyle name="Totale 2 6" xfId="30189" xr:uid="{AD4BE3C3-978D-49F9-8DE0-D43353786908}"/>
    <cellStyle name="Totale 3" xfId="1248" xr:uid="{00000000-0005-0000-0000-0000130A0000}"/>
    <cellStyle name="Totale 3 2" xfId="2583" xr:uid="{00000000-0005-0000-0000-0000140A0000}"/>
    <cellStyle name="Totale 3 2 2" xfId="18010" xr:uid="{04B1BC58-DAF0-448D-8CDC-5D9FEEB9E3B4}"/>
    <cellStyle name="Totale 3 2 2 2" xfId="30196" xr:uid="{ADE1F537-09F8-4786-941B-E750491689EC}"/>
    <cellStyle name="Totale 3 2 3" xfId="30195" xr:uid="{78CF210D-FF83-457F-B85D-0C65A4CF3A92}"/>
    <cellStyle name="Totale 3 3" xfId="17671" xr:uid="{AE79B254-10F9-4CFE-BAB4-70CACA22F61D}"/>
    <cellStyle name="Totale 3 3 2" xfId="32660" xr:uid="{04A357D6-7AB6-4404-8F2D-4288CF23A558}"/>
    <cellStyle name="Totale 3 3 3" xfId="32661" xr:uid="{A62524D3-3EFF-4CC2-9EE4-06A913C38846}"/>
    <cellStyle name="Totale 3 3 4" xfId="30197" xr:uid="{1C32B3DF-A440-4180-B465-0BF10FEB8628}"/>
    <cellStyle name="Totale 3 4" xfId="30198" xr:uid="{509BDD76-F814-4D60-A095-3F67A80BBFFF}"/>
    <cellStyle name="Totale 3 5" xfId="30194" xr:uid="{39F87D39-CD2A-4145-A134-BCA05E4DBB0C}"/>
    <cellStyle name="Totale 4" xfId="2584" xr:uid="{00000000-0005-0000-0000-0000150A0000}"/>
    <cellStyle name="Totale 4 2" xfId="17425" xr:uid="{B477000B-4389-4611-9EC4-6A4FF38A6D11}"/>
    <cellStyle name="Totale 4 2 2" xfId="30200" xr:uid="{6040C15C-330C-40DD-915F-6F73450FD20F}"/>
    <cellStyle name="Totale 4 3" xfId="30201" xr:uid="{C6CA08A9-B384-457B-8921-84A7C690B62E}"/>
    <cellStyle name="Totale 4 3 2" xfId="32662" xr:uid="{A3C380AD-17B5-407B-B0EC-274A1621DC66}"/>
    <cellStyle name="Totale 4 3 3" xfId="32663" xr:uid="{67C792CA-8357-47C4-9A75-8695CE3BDEE1}"/>
    <cellStyle name="Totale 4 4" xfId="30202" xr:uid="{8124C0DA-329A-42DA-AC26-9C533DE3F4BF}"/>
    <cellStyle name="Totale 4 5" xfId="30199" xr:uid="{4BC866A7-4C0A-4F2A-BF1D-FCC4D9E38BB6}"/>
    <cellStyle name="Totale 5" xfId="9591" xr:uid="{3A309893-B3EC-427E-B215-8D1AB2D0D9BD}"/>
    <cellStyle name="Totale 5 2" xfId="30204" xr:uid="{DB02F7C0-40D7-49BA-B2D0-9E47AF1D91F6}"/>
    <cellStyle name="Totale 5 3" xfId="30205" xr:uid="{1A708A0F-2B18-4C8B-A04F-4F4C53783E8C}"/>
    <cellStyle name="Totale 5 3 2" xfId="32664" xr:uid="{779AE650-1535-4C34-8A9C-429E3D08DAC7}"/>
    <cellStyle name="Totale 5 3 3" xfId="32665" xr:uid="{E49A4F37-CC51-4970-87BF-342C2C352A01}"/>
    <cellStyle name="Totale 5 4" xfId="30203" xr:uid="{E5D173DC-973D-4D94-B0FA-D4BF067D147B}"/>
    <cellStyle name="Totale 6" xfId="9592" xr:uid="{65C9D18C-7B70-4A88-A120-009B1C130F6C}"/>
    <cellStyle name="Totale 6 2" xfId="30207" xr:uid="{5632B114-4B3C-41B3-A31C-B11CE7662D0B}"/>
    <cellStyle name="Totale 6 3" xfId="30208" xr:uid="{A758C651-0D5B-43FF-8172-E992E44E8BD4}"/>
    <cellStyle name="Totale 6 3 2" xfId="32666" xr:uid="{3FBF9768-A433-41DC-B62F-96FEAE97D199}"/>
    <cellStyle name="Totale 6 3 3" xfId="32667" xr:uid="{CBD912C6-7770-486B-BC9E-52E7028940CA}"/>
    <cellStyle name="Totale 6 4" xfId="30206" xr:uid="{F4CEB16E-B672-4450-AF76-6B209E178E2B}"/>
    <cellStyle name="Totale 7" xfId="30209" xr:uid="{31AC5B82-3F99-489F-A7FA-69AA1E90E85E}"/>
    <cellStyle name="Totale 8" xfId="30210" xr:uid="{D00E958B-C822-47A4-9445-62A3933C4988}"/>
    <cellStyle name="Totale 8 2" xfId="32668" xr:uid="{D46FD1A9-C764-4DF3-A63E-869E047EF4EB}"/>
    <cellStyle name="Totale 8 3" xfId="32669" xr:uid="{92A6E68E-BC5B-4850-AC1C-A1B11198DAC3}"/>
    <cellStyle name="Totale 9" xfId="30188" xr:uid="{E147208A-E56B-4DC2-9185-029CD673DBE0}"/>
    <cellStyle name="Ugyldig 2" xfId="30211" xr:uid="{F98BDA20-C2B4-4995-BEBA-616545677391}"/>
    <cellStyle name="Uncertain" xfId="9593" xr:uid="{AF8651A8-190A-4F8E-B9B4-C438B62D8F88}"/>
    <cellStyle name="Uncertain 2" xfId="30212" xr:uid="{777CF45A-F1F8-4B0F-B4BC-61A6D869FC1A}"/>
    <cellStyle name="Usikre tal" xfId="1258" xr:uid="{00000000-0005-0000-0000-0000160A0000}"/>
    <cellStyle name="Valore non valido" xfId="1249" xr:uid="{00000000-0005-0000-0000-0000170A0000}"/>
    <cellStyle name="Valore non valido 2" xfId="30214" xr:uid="{A857B998-F08A-4ADC-9BC0-5524BBF4BEAA}"/>
    <cellStyle name="Valore non valido 3" xfId="30215" xr:uid="{B69F8EC5-6943-430D-B4EB-F4A803ED24DA}"/>
    <cellStyle name="Valore non valido 3 2" xfId="49491" xr:uid="{BCD417EA-BDC4-49AD-853B-D4D2DEFC81A3}"/>
    <cellStyle name="Valore non valido 4" xfId="30213" xr:uid="{0A95B2BE-A1EF-4574-96C8-25E0942D59A0}"/>
    <cellStyle name="Valore valido" xfId="1250" xr:uid="{00000000-0005-0000-0000-0000180A0000}"/>
    <cellStyle name="Valore valido 2" xfId="30217" xr:uid="{93AF6CC6-E71B-4E5D-9FC4-D734E4AA36BA}"/>
    <cellStyle name="Valore valido 3" xfId="30218" xr:uid="{51838BBD-D0AE-4893-8D4A-04FC60DC4B13}"/>
    <cellStyle name="Valore valido 3 2" xfId="49492" xr:uid="{A1116586-26E0-4942-90ED-02FC89D114E0}"/>
    <cellStyle name="Valore valido 4" xfId="30216" xr:uid="{29FD51CC-FBA8-47D7-BFF3-E486C492BCEC}"/>
    <cellStyle name="Warning Text 2" xfId="30219" xr:uid="{F7AED2B7-F29C-414C-947F-FA1E092BFD7B}"/>
    <cellStyle name="Warning Text 2 2" xfId="30220" xr:uid="{EE502782-C746-49AE-849A-C0A6A121D2CC}"/>
    <cellStyle name="Warning Text 2 3" xfId="30221" xr:uid="{02F0E41F-8F50-4328-B1CD-C684C50A310F}"/>
    <cellStyle name="Warning Text 2 3 2" xfId="49493" xr:uid="{6804EC70-8075-46A1-BFFE-32B6CF603649}"/>
    <cellStyle name="Warning Text 3" xfId="30222" xr:uid="{02FDC9A1-F1A4-4374-AA04-9ED52332E3CE}"/>
    <cellStyle name="Warning Text 4" xfId="30223" xr:uid="{C32BD348-27D4-474C-A959-14AFD340BC95}"/>
    <cellStyle name="Warning Text 4 2" xfId="49494" xr:uid="{2C004FEE-1F0F-429A-B1C9-830A271C85D4}"/>
    <cellStyle name="X08_Total Oil" xfId="30224" xr:uid="{E1322378-052E-4E86-B662-0E83888926EE}"/>
    <cellStyle name="X12_Total Figs 1 dec" xfId="30225" xr:uid="{9131759A-7833-4FE5-B737-D90B8365AB5D}"/>
    <cellStyle name="Years" xfId="9594" xr:uid="{CF7B546B-30D6-4CE5-89F8-3C68EE7D21A9}"/>
    <cellStyle name="Years 2" xfId="30226" xr:uid="{DD3C5B6B-8210-472F-9506-EEDBF00C598A}"/>
    <cellStyle name="Обычный_2++" xfId="30239" xr:uid="{C6518855-C026-42A0-AE57-538E01B522D8}"/>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76" Type="http://schemas.openxmlformats.org/officeDocument/2006/relationships/externalLink" Target="externalLinks/externalLink14.xml"/><Relationship Id="rId84"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4.xml"/><Relationship Id="rId74" Type="http://schemas.openxmlformats.org/officeDocument/2006/relationships/externalLink" Target="externalLinks/externalLink12.xml"/><Relationship Id="rId79"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eetMetadata" Target="metadata.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styles" Target="styles.xml"/><Relationship Id="rId85"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theme" Target="theme/theme1.xml"/><Relationship Id="rId81" Type="http://schemas.openxmlformats.org/officeDocument/2006/relationships/sharedStrings" Target="sharedStrings.xml"/><Relationship Id="rId86"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581025</xdr:colOff>
      <xdr:row>12</xdr:row>
      <xdr:rowOff>47625</xdr:rowOff>
    </xdr:to>
    <xdr:sp macro="" textlink="">
      <xdr:nvSpPr>
        <xdr:cNvPr id="2" name="Tekstboks 1">
          <a:extLst>
            <a:ext uri="{FF2B5EF4-FFF2-40B4-BE49-F238E27FC236}">
              <a16:creationId xmlns:a16="http://schemas.microsoft.com/office/drawing/2014/main" id="{00000000-0008-0000-0200-000002000000}"/>
            </a:ext>
          </a:extLst>
        </xdr:cNvPr>
        <xdr:cNvSpPr txBox="1"/>
      </xdr:nvSpPr>
      <xdr:spPr>
        <a:xfrm>
          <a:off x="0" y="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endParaRPr lang="da-DK" sz="1100"/>
        </a:p>
        <a:p>
          <a:r>
            <a:rPr lang="da-DK" sz="1100"/>
            <a:t>We have to look into the size of the plants  - the cost per kW is in most cases calculatet from a cost per unit and a assumet size of the plant - ( often a interval of plant size is given)  </a:t>
          </a:r>
        </a:p>
        <a:p>
          <a:endParaRPr lang="da-DK" sz="1100"/>
        </a:p>
        <a:p>
          <a:r>
            <a:rPr lang="da-DK" sz="1100"/>
            <a:t>For some technologies</a:t>
          </a:r>
          <a:r>
            <a:rPr lang="da-DK" sz="1100" baseline="0"/>
            <a:t> there is given a </a:t>
          </a:r>
          <a:r>
            <a:rPr lang="da-DK" sz="1100" b="1" baseline="0"/>
            <a:t>"Possible additional specific investment"  </a:t>
          </a:r>
          <a:r>
            <a:rPr lang="da-DK" sz="1100" b="0" baseline="0"/>
            <a:t>should it be included in the cost ? </a:t>
          </a:r>
        </a:p>
        <a:p>
          <a:endParaRPr lang="da-DK" sz="1100"/>
        </a:p>
        <a:p>
          <a:r>
            <a:rPr lang="da-DK" sz="1100"/>
            <a:t>Stefan has a documentation</a:t>
          </a:r>
          <a:r>
            <a:rPr lang="da-DK" sz="1100" baseline="0"/>
            <a:t> on heat savings estimation: link....</a:t>
          </a:r>
          <a:endParaRPr lang="da-DK" sz="1100"/>
        </a:p>
      </xdr:txBody>
    </xdr:sp>
    <xdr:clientData/>
  </xdr:twoCellAnchor>
  <xdr:twoCellAnchor>
    <xdr:from>
      <xdr:col>0</xdr:col>
      <xdr:colOff>0</xdr:colOff>
      <xdr:row>14</xdr:row>
      <xdr:rowOff>0</xdr:rowOff>
    </xdr:from>
    <xdr:to>
      <xdr:col>14</xdr:col>
      <xdr:colOff>581025</xdr:colOff>
      <xdr:row>26</xdr:row>
      <xdr:rowOff>47625</xdr:rowOff>
    </xdr:to>
    <xdr:sp macro="" textlink="">
      <xdr:nvSpPr>
        <xdr:cNvPr id="3" name="Tekstboks 1">
          <a:extLst>
            <a:ext uri="{FF2B5EF4-FFF2-40B4-BE49-F238E27FC236}">
              <a16:creationId xmlns:a16="http://schemas.microsoft.com/office/drawing/2014/main" id="{0DA8BFE0-83DA-460F-BD1B-81567F3DC3E5}"/>
            </a:ext>
          </a:extLst>
        </xdr:cNvPr>
        <xdr:cNvSpPr txBox="1"/>
      </xdr:nvSpPr>
      <xdr:spPr>
        <a:xfrm>
          <a:off x="0" y="2667000"/>
          <a:ext cx="9115425"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a-DK" sz="1100"/>
        </a:p>
        <a:p>
          <a:r>
            <a:rPr lang="da-DK" sz="1100"/>
            <a:t>Martin</a:t>
          </a:r>
          <a:r>
            <a:rPr lang="da-DK" sz="1100" baseline="0"/>
            <a:t> Hagberg: </a:t>
          </a:r>
          <a:endParaRPr lang="da-DK" sz="1100"/>
        </a:p>
        <a:p>
          <a:endParaRPr lang="da-DK" sz="1100"/>
        </a:p>
        <a:p>
          <a:r>
            <a:rPr lang="da-DK" sz="1100"/>
            <a:t>SE and NO industry</a:t>
          </a:r>
          <a:r>
            <a:rPr lang="da-DK" sz="1100" baseline="0"/>
            <a:t> representation including sector division is based on Eurostat data. </a:t>
          </a:r>
          <a:endParaRPr lang="da-DK" sz="1100"/>
        </a:p>
        <a:p>
          <a:endParaRPr lang="da-DK" sz="1100"/>
        </a:p>
        <a:p>
          <a:endParaRPr lang="da-DK" sz="1100"/>
        </a:p>
        <a:p>
          <a:r>
            <a:rPr lang="da-DK" sz="1100"/>
            <a:t>DK</a:t>
          </a:r>
          <a:r>
            <a:rPr lang="da-DK" sz="1100" baseline="0"/>
            <a:t> industry sector and sector division, which was developed earlier than SE and NO, has been developed based on other sources and therefore differ somewhat to SE and NO. </a:t>
          </a:r>
        </a:p>
        <a:p>
          <a:endParaRPr lang="da-DK" sz="1100" baseline="0"/>
        </a:p>
        <a:p>
          <a:endParaRPr lang="da-DK" sz="1100" baseline="0"/>
        </a:p>
        <a:p>
          <a:r>
            <a:rPr lang="da-DK" sz="1100" baseline="0"/>
            <a:t>The easiest approach for adding new countries to the model would be to follow the approach by SE (for 4 regions</a:t>
          </a:r>
          <a:r>
            <a:rPr lang="da-DK" sz="1100" baseline="0">
              <a:solidFill>
                <a:schemeClr val="dk1"/>
              </a:solidFill>
              <a:effectLst/>
              <a:latin typeface="+mn-lt"/>
              <a:ea typeface="+mn-ea"/>
              <a:cs typeface="+mn-cs"/>
            </a:rPr>
            <a:t>/country</a:t>
          </a:r>
          <a:r>
            <a:rPr lang="da-DK" sz="1100" baseline="0"/>
            <a:t>) or NO (for two regions/country), starting from their respective VT file structure. </a:t>
          </a:r>
        </a:p>
        <a:p>
          <a:endParaRPr lang="da-DK" sz="1100" baseline="0"/>
        </a:p>
        <a:p>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54</xdr:row>
      <xdr:rowOff>0</xdr:rowOff>
    </xdr:from>
    <xdr:to>
      <xdr:col>0</xdr:col>
      <xdr:colOff>2892136</xdr:colOff>
      <xdr:row>64</xdr:row>
      <xdr:rowOff>29154</xdr:rowOff>
    </xdr:to>
    <mc:AlternateContent xmlns:mc="http://schemas.openxmlformats.org/markup-compatibility/2006" xmlns:a14="http://schemas.microsoft.com/office/drawing/2010/main">
      <mc:Choice Requires="a14">
        <xdr:sp macro="" textlink="">
          <xdr:nvSpPr>
            <xdr:cNvPr id="35" name="TextBox 55">
              <a:extLst>
                <a:ext uri="{FF2B5EF4-FFF2-40B4-BE49-F238E27FC236}">
                  <a16:creationId xmlns:a16="http://schemas.microsoft.com/office/drawing/2014/main" id="{00000000-0008-0000-1F00-000023000000}"/>
                </a:ext>
              </a:extLst>
            </xdr:cNvPr>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14:m>
                <m:oMath xmlns:m="http://schemas.openxmlformats.org/officeDocument/2006/math">
                  <m:f>
                    <m:fPr>
                      <m:ctrlPr>
                        <a:rPr lang="da-DK" sz="1100" b="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𝑘𝑊h</m:t>
                      </m:r>
                    </m:num>
                    <m:den>
                      <m:r>
                        <a:rPr lang="en-GB" sz="1100" b="0" i="1">
                          <a:solidFill>
                            <a:schemeClr val="dk1"/>
                          </a:solidFill>
                          <a:effectLst/>
                          <a:latin typeface="Cambria Math"/>
                          <a:ea typeface="+mn-ea"/>
                          <a:cs typeface="+mn-cs"/>
                        </a:rPr>
                        <m:t>𝑚</m:t>
                      </m:r>
                      <m:r>
                        <a:rPr lang="en-GB" sz="1100" b="0" i="1">
                          <a:solidFill>
                            <a:schemeClr val="dk1"/>
                          </a:solidFill>
                          <a:effectLst/>
                          <a:latin typeface="Cambria Math"/>
                          <a:ea typeface="+mn-ea"/>
                          <a:cs typeface="+mn-cs"/>
                        </a:rPr>
                        <m:t>2</m:t>
                      </m:r>
                    </m:den>
                  </m:f>
                </m:oMath>
              </a14:m>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Choice>
      <mc:Fallback xmlns="">
        <xdr:sp macro="" textlink="">
          <xdr:nvSpPr>
            <xdr:cNvPr id="35" name="TextBox 55"/>
            <xdr:cNvSpPr txBox="1"/>
          </xdr:nvSpPr>
          <xdr:spPr>
            <a:xfrm>
              <a:off x="0" y="11591925"/>
              <a:ext cx="2892136" cy="21246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The assumption is that solar heating covers 10 %</a:t>
              </a:r>
              <a:r>
                <a:rPr lang="da-DK" sz="1100" baseline="0">
                  <a:latin typeface="Times New Roman" panose="02020603050405020304" pitchFamily="18" charset="0"/>
                  <a:cs typeface="Times New Roman" panose="02020603050405020304" pitchFamily="18" charset="0"/>
                </a:rPr>
                <a:t> of space heating demand and 65 % of domestic hot water (DHW)</a:t>
              </a:r>
              <a:r>
                <a:rPr lang="da-DK" sz="1100">
                  <a:latin typeface="Times New Roman" panose="02020603050405020304" pitchFamily="18" charset="0"/>
                  <a:cs typeface="Times New Roman" panose="02020603050405020304" pitchFamily="18" charset="0"/>
                </a:rPr>
                <a:t> demand. .The demands</a:t>
              </a:r>
              <a:r>
                <a:rPr lang="da-DK" sz="1100" baseline="0">
                  <a:latin typeface="Times New Roman" panose="02020603050405020304" pitchFamily="18" charset="0"/>
                  <a:cs typeface="Times New Roman" panose="02020603050405020304" pitchFamily="18" charset="0"/>
                </a:rPr>
                <a:t> for space heating and DHW are assumed to be 95 and 25 </a:t>
              </a:r>
              <a:r>
                <a:rPr lang="en-GB" sz="1100" b="0" i="0">
                  <a:solidFill>
                    <a:schemeClr val="dk1"/>
                  </a:solidFill>
                  <a:effectLst/>
                  <a:latin typeface="Cambria Math"/>
                  <a:ea typeface="+mn-ea"/>
                  <a:cs typeface="+mn-cs"/>
                </a:rPr>
                <a:t>𝑘𝑊ℎ</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𝑚2</a:t>
              </a:r>
              <a:r>
                <a:rPr lang="da-DK" sz="1100" b="0" baseline="0">
                  <a:solidFill>
                    <a:schemeClr val="dk1"/>
                  </a:solidFill>
                  <a:effectLst/>
                  <a:latin typeface="Times New Roman" panose="02020603050405020304" pitchFamily="18" charset="0"/>
                  <a:ea typeface="+mn-ea"/>
                  <a:cs typeface="Times New Roman" panose="02020603050405020304" pitchFamily="18" charset="0"/>
                </a:rPr>
                <a:t>, respectively. The single-family house is assumed to have an area of 140 m2.</a:t>
              </a:r>
            </a:p>
            <a:p>
              <a:pPr marL="0" marR="0" indent="0" defTabSz="914400" eaLnBrk="1" fontAlgn="auto" latinLnBrk="0" hangingPunct="1">
                <a:lnSpc>
                  <a:spcPct val="100000"/>
                </a:lnSpc>
                <a:spcBef>
                  <a:spcPts val="0"/>
                </a:spcBef>
                <a:spcAft>
                  <a:spcPts val="0"/>
                </a:spcAft>
                <a:buClrTx/>
                <a:buSzTx/>
                <a:buFontTx/>
                <a:buNone/>
                <a:tabLst/>
                <a:defRPr/>
              </a:pPr>
              <a:r>
                <a:rPr lang="da-DK" sz="1100" b="0" baseline="0">
                  <a:solidFill>
                    <a:schemeClr val="dk1"/>
                  </a:solidFill>
                  <a:effectLst/>
                  <a:latin typeface="Times New Roman" panose="02020603050405020304" pitchFamily="18" charset="0"/>
                  <a:ea typeface="+mn-ea"/>
                  <a:cs typeface="Times New Roman" panose="02020603050405020304" pitchFamily="18" charset="0"/>
                </a:rPr>
                <a:t>The source for these assumptions is </a:t>
              </a:r>
              <a:r>
                <a:rPr lang="da-DK" sz="1100">
                  <a:solidFill>
                    <a:schemeClr val="dk1"/>
                  </a:solidFill>
                  <a:effectLst/>
                  <a:latin typeface="Times New Roman" panose="02020603050405020304" pitchFamily="18" charset="0"/>
                  <a:ea typeface="+mn-ea"/>
                  <a:cs typeface="Times New Roman" panose="02020603050405020304" pitchFamily="18" charset="0"/>
                </a:rPr>
                <a:t>Technology Data for Energy Plants Individual Heating Plants and Energy Transport" maintained by the Danish Energy Agency.</a:t>
              </a:r>
            </a:p>
          </xdr:txBody>
        </xdr:sp>
      </mc:Fallback>
    </mc:AlternateContent>
    <xdr:clientData/>
  </xdr:twoCellAnchor>
  <xdr:twoCellAnchor>
    <xdr:from>
      <xdr:col>0</xdr:col>
      <xdr:colOff>2892136</xdr:colOff>
      <xdr:row>63</xdr:row>
      <xdr:rowOff>168578</xdr:rowOff>
    </xdr:from>
    <xdr:to>
      <xdr:col>1</xdr:col>
      <xdr:colOff>2224135</xdr:colOff>
      <xdr:row>64</xdr:row>
      <xdr:rowOff>33498</xdr:rowOff>
    </xdr:to>
    <xdr:cxnSp macro="">
      <xdr:nvCxnSpPr>
        <xdr:cNvPr id="36" name="Elbow Connector 56">
          <a:extLst>
            <a:ext uri="{FF2B5EF4-FFF2-40B4-BE49-F238E27FC236}">
              <a16:creationId xmlns:a16="http://schemas.microsoft.com/office/drawing/2014/main" id="{00000000-0008-0000-1F00-000024000000}"/>
            </a:ext>
          </a:extLst>
        </xdr:cNvPr>
        <xdr:cNvCxnSpPr/>
      </xdr:nvCxnSpPr>
      <xdr:spPr>
        <a:xfrm flipV="1">
          <a:off x="2892136" y="13655978"/>
          <a:ext cx="2541924" cy="64945"/>
        </a:xfrm>
        <a:prstGeom prst="bentConnector3">
          <a:avLst>
            <a:gd name="adj1" fmla="val 6122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441906</xdr:colOff>
      <xdr:row>43</xdr:row>
      <xdr:rowOff>57049</xdr:rowOff>
    </xdr:from>
    <xdr:to>
      <xdr:col>30</xdr:col>
      <xdr:colOff>513873</xdr:colOff>
      <xdr:row>63</xdr:row>
      <xdr:rowOff>198578</xdr:rowOff>
    </xdr:to>
    <mc:AlternateContent xmlns:mc="http://schemas.openxmlformats.org/markup-compatibility/2006" xmlns:a14="http://schemas.microsoft.com/office/drawing/2010/main">
      <mc:Choice Requires="a14">
        <xdr:sp macro="" textlink="">
          <xdr:nvSpPr>
            <xdr:cNvPr id="37" name="TextBox 51">
              <a:extLst>
                <a:ext uri="{FF2B5EF4-FFF2-40B4-BE49-F238E27FC236}">
                  <a16:creationId xmlns:a16="http://schemas.microsoft.com/office/drawing/2014/main" id="{00000000-0008-0000-1F00-000025000000}"/>
                </a:ext>
              </a:extLst>
            </xdr:cNvPr>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14:m>
                <m:oMath xmlns:m="http://schemas.openxmlformats.org/officeDocument/2006/math">
                  <m:sSub>
                    <m:sSubPr>
                      <m:ctrlPr>
                        <a:rPr lang="da-DK" sz="1100" i="1">
                          <a:latin typeface="Cambria Math" panose="02040503050406030204" pitchFamily="18" charset="0"/>
                        </a:rPr>
                      </m:ctrlPr>
                    </m:sSubPr>
                    <m:e>
                      <m:r>
                        <a:rPr lang="en-GB" sz="1100" b="0" i="1">
                          <a:latin typeface="Cambria Math"/>
                        </a:rPr>
                        <m:t>𝐼</m:t>
                      </m:r>
                    </m:e>
                    <m:sub>
                      <m:r>
                        <a:rPr lang="en-GB" sz="1100" b="0" i="1">
                          <a:latin typeface="Cambria Math"/>
                        </a:rPr>
                        <m:t>𝑐</m:t>
                      </m:r>
                    </m:sub>
                  </m:sSub>
                  <m:d>
                    <m:dPr>
                      <m:begChr m:val="["/>
                      <m:endChr m:val="]"/>
                      <m:ctrlPr>
                        <a:rPr lang="da-DK" sz="1100" i="1">
                          <a:latin typeface="Cambria Math" panose="02040503050406030204" pitchFamily="18" charset="0"/>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r>
                    <a:rPr lang="da-DK" sz="1100" i="1">
                      <a:latin typeface="Cambria Math"/>
                      <a:ea typeface="Cambria Math"/>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𝑢𝑛𝑖𝑡</m:t>
                          </m:r>
                        </m:den>
                      </m:f>
                    </m:e>
                  </m:d>
                  <m:r>
                    <a:rPr lang="da-DK" sz="1100" i="1">
                      <a:solidFill>
                        <a:schemeClr val="dk1"/>
                      </a:solidFill>
                      <a:effectLst/>
                      <a:latin typeface="Cambria Math"/>
                      <a:ea typeface="Cambria Math"/>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𝑢𝑛𝑖𝑡</m:t>
                                </m:r>
                              </m:den>
                            </m:f>
                          </m:e>
                        </m:d>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𝑘𝑊</m:t>
                                </m:r>
                              </m:num>
                              <m:den>
                                <m:r>
                                  <a:rPr lang="en-GB" sz="1100" b="0" i="1">
                                    <a:solidFill>
                                      <a:schemeClr val="dk1"/>
                                    </a:solidFill>
                                    <a:effectLst/>
                                    <a:latin typeface="Cambria Math"/>
                                    <a:ea typeface="+mn-ea"/>
                                    <a:cs typeface="+mn-cs"/>
                                  </a:rPr>
                                  <m:t>𝑢𝑛𝑖𝑡</m:t>
                                </m:r>
                              </m:den>
                            </m:f>
                          </m:e>
                        </m:d>
                      </m:den>
                    </m:f>
                  </m:oMath>
                </m:oMathPara>
              </a14:m>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Cambria Math"/>
                                <a:cs typeface="+mn-cs"/>
                              </a:rPr>
                              <m:t>∙</m:t>
                            </m:r>
                            <m:r>
                              <a:rPr lang="en-GB" sz="1100" b="0" i="1">
                                <a:solidFill>
                                  <a:schemeClr val="dk1"/>
                                </a:solidFill>
                                <a:effectLst/>
                                <a:latin typeface="Cambria Math"/>
                                <a:ea typeface="Cambria Math"/>
                                <a:cs typeface="+mn-cs"/>
                              </a:rPr>
                              <m:t>𝑦𝑒𝑎𝑟</m:t>
                            </m:r>
                          </m:den>
                        </m:f>
                      </m:e>
                    </m:d>
                    <m:r>
                      <a:rPr lang="da-DK" sz="110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r>
                      <a:rPr lang="da-DK" sz="1100" i="1">
                        <a:solidFill>
                          <a:schemeClr val="dk1"/>
                        </a:solidFill>
                        <a:effectLst/>
                        <a:latin typeface="Cambria Math"/>
                        <a:ea typeface="+mn-ea"/>
                        <a:cs typeface="+mn-cs"/>
                      </a:rPr>
                      <m:t>∙</m:t>
                    </m:r>
                    <m:r>
                      <m:rPr>
                        <m:nor/>
                      </m:rPr>
                      <a:rPr lang="da-DK" sz="1100">
                        <a:solidFill>
                          <a:schemeClr val="dk1"/>
                        </a:solidFill>
                        <a:effectLst/>
                        <a:latin typeface="Times New Roman" panose="02020603050405020304" pitchFamily="18" charset="0"/>
                        <a:ea typeface="+mn-ea"/>
                        <a:cs typeface="Times New Roman" panose="02020603050405020304" pitchFamily="18" charset="0"/>
                      </a:rPr>
                      <m:t>1000</m:t>
                    </m:r>
                  </m:oMath>
                </m:oMathPara>
              </a14:m>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14:m>
                <m:oMath xmlns:m="http://schemas.openxmlformats.org/officeDocument/2006/math">
                  <m:r>
                    <a:rPr lang="en-GB" sz="1100" b="0" i="1">
                      <a:solidFill>
                        <a:schemeClr val="dk1"/>
                      </a:solidFill>
                      <a:effectLst/>
                      <a:latin typeface="Cambria Math"/>
                      <a:ea typeface="+mn-ea"/>
                      <a:cs typeface="+mn-cs"/>
                    </a:rPr>
                    <m:t>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𝐷𝐾𝐾</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𝐹𝐼𝑋𝑂𝑀</m:t>
                      </m:r>
                      <m:d>
                        <m:dPr>
                          <m:begChr m:val="["/>
                          <m:endChr m:val="]"/>
                          <m:ctrlPr>
                            <a:rPr lang="da-DK" sz="1100" i="1">
                              <a:solidFill>
                                <a:schemeClr val="dk1"/>
                              </a:solidFill>
                              <a:effectLst/>
                              <a:latin typeface="Cambria Math" panose="02040503050406030204" pitchFamily="18" charset="0"/>
                              <a:ea typeface="+mn-ea"/>
                              <a:cs typeface="+mn-cs"/>
                            </a:rPr>
                          </m:ctrlPr>
                        </m:dPr>
                        <m:e>
                          <m:f>
                            <m:fPr>
                              <m:ctrlPr>
                                <a:rPr lang="da-DK" sz="1100" i="1">
                                  <a:solidFill>
                                    <a:schemeClr val="dk1"/>
                                  </a:solidFill>
                                  <a:effectLst/>
                                  <a:latin typeface="Cambria Math" panose="02040503050406030204" pitchFamily="18" charset="0"/>
                                  <a:ea typeface="+mn-ea"/>
                                  <a:cs typeface="+mn-cs"/>
                                </a:rPr>
                              </m:ctrlPr>
                            </m:fPr>
                            <m:num>
                              <m:r>
                                <a:rPr lang="en-GB" sz="1100" b="0" i="1">
                                  <a:solidFill>
                                    <a:schemeClr val="dk1"/>
                                  </a:solidFill>
                                  <a:effectLst/>
                                  <a:latin typeface="Cambria Math"/>
                                  <a:ea typeface="+mn-ea"/>
                                  <a:cs typeface="+mn-cs"/>
                                </a:rPr>
                                <m:t>1000 €</m:t>
                              </m:r>
                            </m:num>
                            <m:den>
                              <m:r>
                                <a:rPr lang="en-GB" sz="1100" b="0" i="1">
                                  <a:solidFill>
                                    <a:schemeClr val="dk1"/>
                                  </a:solidFill>
                                  <a:effectLst/>
                                  <a:latin typeface="Cambria Math"/>
                                  <a:ea typeface="+mn-ea"/>
                                  <a:cs typeface="+mn-cs"/>
                                </a:rPr>
                                <m:t>𝑘𝑊</m:t>
                              </m:r>
                              <m:r>
                                <a:rPr lang="en-GB" sz="1100" b="0" i="1">
                                  <a:solidFill>
                                    <a:schemeClr val="dk1"/>
                                  </a:solidFill>
                                  <a:effectLst/>
                                  <a:latin typeface="Cambria Math"/>
                                  <a:ea typeface="+mn-ea"/>
                                  <a:cs typeface="+mn-cs"/>
                                </a:rPr>
                                <m:t>∙</m:t>
                              </m:r>
                              <m:r>
                                <a:rPr lang="en-GB" sz="1100" b="0" i="1">
                                  <a:solidFill>
                                    <a:schemeClr val="dk1"/>
                                  </a:solidFill>
                                  <a:effectLst/>
                                  <a:latin typeface="Cambria Math"/>
                                  <a:ea typeface="+mn-ea"/>
                                  <a:cs typeface="+mn-cs"/>
                                </a:rPr>
                                <m:t>𝑦𝑒𝑎𝑟</m:t>
                              </m:r>
                            </m:den>
                          </m:f>
                        </m:e>
                      </m:d>
                      <m:r>
                        <a:rPr lang="da-DK" sz="1100" i="1">
                          <a:solidFill>
                            <a:schemeClr val="dk1"/>
                          </a:solidFill>
                          <a:effectLst/>
                          <a:latin typeface="Cambria Math"/>
                          <a:ea typeface="+mn-ea"/>
                          <a:cs typeface="+mn-cs"/>
                        </a:rPr>
                        <m:t>∙</m:t>
                      </m:r>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num>
                    <m:den>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den>
                  </m:f>
                </m:oMath>
              </a14:m>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𝐼</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𝑘</m:t>
                      </m:r>
                    </m:e>
                    <m:sub>
                      <m:r>
                        <a:rPr lang="en-GB" sz="1100" b="0" i="1">
                          <a:solidFill>
                            <a:schemeClr val="dk1"/>
                          </a:solidFill>
                          <a:effectLst/>
                          <a:latin typeface="Cambria Math"/>
                          <a:ea typeface="+mn-ea"/>
                          <a:cs typeface="+mn-cs"/>
                        </a:rPr>
                        <m:t>𝑐𝑜𝑛𝑣</m:t>
                      </m:r>
                    </m:sub>
                  </m:sSub>
                </m:oMath>
              </a14:m>
              <a:r>
                <a:rPr lang="da-DK" sz="1100">
                  <a:latin typeface="Times New Roman" panose="02020603050405020304" pitchFamily="18" charset="0"/>
                  <a:cs typeface="Times New Roman" panose="02020603050405020304" pitchFamily="18" charset="0"/>
                </a:rPr>
                <a:t> - conersion factor from </a:t>
              </a:r>
              <a14:m>
                <m:oMath xmlns:m="http://schemas.openxmlformats.org/officeDocument/2006/math">
                  <m:r>
                    <a:rPr lang="en-GB" sz="1100" b="0" i="1">
                      <a:solidFill>
                        <a:schemeClr val="dk1"/>
                      </a:solidFill>
                      <a:effectLst/>
                      <a:latin typeface="Cambria Math"/>
                      <a:ea typeface="+mn-ea"/>
                      <a:cs typeface="+mn-cs"/>
                    </a:rPr>
                    <m:t>€</m:t>
                  </m:r>
                </m:oMath>
              </a14:m>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𝑐</m:t>
                      </m:r>
                    </m:sub>
                  </m:sSub>
                </m:oMath>
              </a14:m>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lang="en-GB" sz="1100" b="0" i="1">
                      <a:solidFill>
                        <a:schemeClr val="dk1"/>
                      </a:solidFill>
                      <a:effectLst/>
                      <a:latin typeface="Cambria Math"/>
                      <a:ea typeface="+mn-ea"/>
                      <a:cs typeface="+mn-cs"/>
                    </a:rPr>
                    <m:t>𝐹𝐼𝑋𝑂𝑀</m:t>
                  </m:r>
                </m:oMath>
              </a14:m>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b>
                    <m:sSubPr>
                      <m:ctrlPr>
                        <a:rPr lang="da-DK" sz="1100" i="1">
                          <a:solidFill>
                            <a:schemeClr val="dk1"/>
                          </a:solidFill>
                          <a:effectLst/>
                          <a:latin typeface="Cambria Math" panose="02040503050406030204" pitchFamily="18" charset="0"/>
                          <a:ea typeface="+mn-ea"/>
                          <a:cs typeface="+mn-cs"/>
                        </a:rPr>
                      </m:ctrlPr>
                    </m:sSubPr>
                    <m:e>
                      <m:r>
                        <a:rPr lang="en-GB" sz="1100" b="0" i="1">
                          <a:solidFill>
                            <a:schemeClr val="dk1"/>
                          </a:solidFill>
                          <a:effectLst/>
                          <a:latin typeface="Cambria Math"/>
                          <a:ea typeface="+mn-ea"/>
                          <a:cs typeface="+mn-cs"/>
                        </a:rPr>
                        <m:t>𝐻</m:t>
                      </m:r>
                    </m:e>
                    <m:sub>
                      <m:r>
                        <a:rPr lang="en-GB" sz="1100" b="0" i="1">
                          <a:solidFill>
                            <a:schemeClr val="dk1"/>
                          </a:solidFill>
                          <a:effectLst/>
                          <a:latin typeface="Cambria Math"/>
                          <a:ea typeface="+mn-ea"/>
                          <a:cs typeface="+mn-cs"/>
                        </a:rPr>
                        <m:t>𝑝𝑟𝑜𝑑</m:t>
                      </m:r>
                    </m:sub>
                  </m:sSub>
                </m:oMath>
              </a14:m>
              <a:r>
                <a:rPr lang="da-DK" sz="1100">
                  <a:latin typeface="Times New Roman" panose="02020603050405020304" pitchFamily="18" charset="0"/>
                  <a:cs typeface="Times New Roman" panose="02020603050405020304" pitchFamily="18" charset="0"/>
                </a:rPr>
                <a:t> -Production of space heating and DHW </a:t>
              </a:r>
            </a:p>
          </xdr:txBody>
        </xdr:sp>
      </mc:Choice>
      <mc:Fallback xmlns="">
        <xdr:sp macro="" textlink="">
          <xdr:nvSpPr>
            <xdr:cNvPr id="37" name="TextBox 51"/>
            <xdr:cNvSpPr txBox="1"/>
          </xdr:nvSpPr>
          <xdr:spPr>
            <a:xfrm>
              <a:off x="17967906" y="9514814"/>
              <a:ext cx="4912908" cy="4242882"/>
            </a:xfrm>
            <a:prstGeom prst="rect">
              <a:avLst/>
            </a:prstGeom>
            <a:ln>
              <a:solidFill>
                <a:srgbClr val="FF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latin typeface="Times New Roman" panose="02020603050405020304" pitchFamily="18" charset="0"/>
                  <a:cs typeface="Times New Roman" panose="02020603050405020304" pitchFamily="18" charset="0"/>
                </a:rPr>
                <a:t>Th</a:t>
              </a:r>
              <a:r>
                <a:rPr lang="da-DK" sz="1100" baseline="0">
                  <a:latin typeface="Times New Roman" panose="02020603050405020304" pitchFamily="18" charset="0"/>
                  <a:cs typeface="Times New Roman" panose="02020603050405020304" pitchFamily="18" charset="0"/>
                </a:rPr>
                <a:t>e values in red (specific investments, Fix O&amp;M and variable O&amp;M) are calculated and linked to table J12:P15: </a:t>
              </a:r>
            </a:p>
            <a:p>
              <a:endParaRPr lang="da-DK" sz="1100" baseline="0">
                <a:latin typeface="Times New Roman" panose="02020603050405020304" pitchFamily="18" charset="0"/>
                <a:cs typeface="Times New Roman" panose="02020603050405020304" pitchFamily="18" charset="0"/>
              </a:endParaRPr>
            </a:p>
            <a:p>
              <a:r>
                <a:rPr lang="en-GB" sz="1100" b="0" i="0">
                  <a:latin typeface="Cambria Math"/>
                </a:rPr>
                <a:t>𝐼</a:t>
              </a:r>
              <a:r>
                <a:rPr lang="da-DK" sz="1100" b="0" i="0">
                  <a:latin typeface="Cambria Math"/>
                </a:rPr>
                <a:t>_</a:t>
              </a:r>
              <a:r>
                <a:rPr lang="en-GB" sz="1100" b="0" i="0">
                  <a:latin typeface="Cambria Math"/>
                </a:rPr>
                <a:t>𝑐</a:t>
              </a:r>
              <a:r>
                <a:rPr lang="da-DK" sz="1100" b="0" i="0">
                  <a:latin typeface="Cambria Math"/>
                </a:rPr>
                <a:t> </a:t>
              </a:r>
              <a:r>
                <a:rPr lang="da-DK" sz="1100" i="0">
                  <a:latin typeface="Cambria Math"/>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latin typeface="Cambria Math"/>
                  <a:ea typeface="Cambria Math"/>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i="0">
                  <a:solidFill>
                    <a:schemeClr val="dk1"/>
                  </a:solidFill>
                  <a:effectLst/>
                  <a:latin typeface="Cambria Math"/>
                  <a:ea typeface="Cambria Math"/>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1000</a:t>
              </a:r>
            </a:p>
            <a:p>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b="0" i="0">
                  <a:solidFill>
                    <a:schemeClr val="dk1"/>
                  </a:solidFill>
                  <a:effectLst/>
                  <a:latin typeface="Cambria Math"/>
                  <a:ea typeface="+mn-ea"/>
                  <a:cs typeface="+mn-cs"/>
                </a:rPr>
                <a:t> [</a:t>
              </a:r>
              <a:r>
                <a:rPr lang="en-GB" sz="1100" b="0" i="0">
                  <a:solidFill>
                    <a:schemeClr val="dk1"/>
                  </a:solidFill>
                  <a:effectLst/>
                  <a:latin typeface="Cambria Math"/>
                  <a:ea typeface="+mn-ea"/>
                  <a:cs typeface="+mn-cs"/>
                </a:rPr>
                <a:t>𝑘𝑊</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𝑢𝑛𝑖𝑡] </a:t>
              </a:r>
              <a:r>
                <a:rPr lang="da-DK" sz="1100" b="0" i="0">
                  <a:solidFill>
                    <a:schemeClr val="dk1"/>
                  </a:solidFill>
                  <a:effectLst/>
                  <a:latin typeface="Cambria Math"/>
                  <a:ea typeface="+mn-ea"/>
                  <a:cs typeface="+mn-cs"/>
                </a:rPr>
                <a:t>)</a:t>
              </a:r>
              <a:endParaRPr lang="en-GB" sz="1100" b="0" i="1">
                <a:solidFill>
                  <a:schemeClr val="dk1"/>
                </a:solidFill>
                <a:effectLst/>
                <a:latin typeface="Cambria Math"/>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a:t>
              </a:r>
              <a:r>
                <a:rPr lang="en-GB" sz="1100" b="0" i="0">
                  <a:solidFill>
                    <a:schemeClr val="dk1"/>
                  </a:solidFill>
                  <a:effectLst/>
                  <a:latin typeface="Cambria Math"/>
                  <a:ea typeface="Cambria Math"/>
                  <a:cs typeface="+mn-cs"/>
                </a:rPr>
                <a:t>∙𝑦𝑒𝑎𝑟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Cambria Math"/>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i="0">
                  <a:solidFill>
                    <a:schemeClr val="dk1"/>
                  </a:solidFill>
                  <a:effectLst/>
                  <a:latin typeface="Cambria Math"/>
                  <a:ea typeface="+mn-ea"/>
                  <a:cs typeface="+mn-cs"/>
                </a:rPr>
                <a:t>∙"</a:t>
              </a:r>
              <a:r>
                <a:rPr lang="da-DK" sz="1100" i="0">
                  <a:solidFill>
                    <a:schemeClr val="dk1"/>
                  </a:solidFill>
                  <a:effectLst/>
                  <a:latin typeface="Cambria Math"/>
                  <a:ea typeface="+mn-ea"/>
                  <a:cs typeface="Times New Roman" panose="02020603050405020304" pitchFamily="18" charset="0"/>
                </a:rPr>
                <a:t>1000</a:t>
              </a:r>
              <a:r>
                <a:rPr lang="da-DK" sz="1100" i="0">
                  <a:solidFill>
                    <a:schemeClr val="dk1"/>
                  </a:solidFill>
                  <a:effectLst/>
                  <a:latin typeface="Times New Roman" panose="02020603050405020304" pitchFamily="18" charset="0"/>
                  <a:ea typeface="+mn-ea"/>
                  <a:cs typeface="Times New Roman" panose="02020603050405020304" pitchFamily="18" charset="0"/>
                </a:rPr>
                <a:t>"</a:t>
              </a: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a:solidFill>
                    <a:schemeClr val="dk1"/>
                  </a:solidFill>
                  <a:effectLst/>
                  <a:ea typeface="+mn-ea"/>
                  <a:cs typeface="+mn-cs"/>
                </a:rPr>
                <a:t>VAR</a:t>
              </a:r>
              <a:r>
                <a:rPr lang="en-GB" sz="1100" b="0" i="0">
                  <a:solidFill>
                    <a:schemeClr val="dk1"/>
                  </a:solidFill>
                  <a:effectLst/>
                  <a:latin typeface="Cambria Math"/>
                  <a:ea typeface="+mn-ea"/>
                  <a:cs typeface="+mn-cs"/>
                </a:rPr>
                <a:t>𝑂𝑀</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𝐷𝐾𝐾</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𝐹𝐼𝑋𝑂𝑀</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1000 €</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𝑘𝑊∙𝑦𝑒𝑎𝑟</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a:t>
              </a:r>
              <a:r>
                <a:rPr lang="da-DK" sz="110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b="0" i="0">
                  <a:solidFill>
                    <a:schemeClr val="dk1"/>
                  </a:solidFill>
                  <a:effectLst/>
                  <a:latin typeface="Cambria Math"/>
                  <a:ea typeface="+mn-ea"/>
                  <a:cs typeface="+mn-cs"/>
                </a:rPr>
                <a:t>)/</a:t>
              </a: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 </a:t>
              </a:r>
              <a:r>
                <a:rPr lang="da-DK" sz="1100">
                  <a:solidFill>
                    <a:schemeClr val="dk1"/>
                  </a:solidFill>
                  <a:effectLst/>
                  <a:latin typeface="+mn-lt"/>
                  <a:ea typeface="+mn-ea"/>
                  <a:cs typeface="+mn-cs"/>
                </a:rPr>
                <a:t>,</a:t>
              </a:r>
              <a:endParaRPr lang="da-DK">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sz="1100">
                  <a:latin typeface="Times New Roman" panose="02020603050405020304" pitchFamily="18" charset="0"/>
                  <a:cs typeface="Times New Roman" panose="02020603050405020304" pitchFamily="18" charset="0"/>
                </a:rPr>
                <a:t>where the used symbols have the following meaning:</a:t>
              </a:r>
            </a:p>
            <a:p>
              <a:pPr marL="0" marR="0" indent="0" defTabSz="914400" eaLnBrk="1" fontAlgn="auto" latinLnBrk="0" hangingPunct="1">
                <a:lnSpc>
                  <a:spcPct val="100000"/>
                </a:lnSpc>
                <a:spcBef>
                  <a:spcPts val="0"/>
                </a:spcBef>
                <a:spcAft>
                  <a:spcPts val="0"/>
                </a:spcAft>
                <a:buClrTx/>
                <a:buSzTx/>
                <a:buFontTx/>
                <a:buNone/>
                <a:tabLst/>
                <a:defRPr/>
              </a:pPr>
              <a:endParaRPr lang="da-DK" sz="1100">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𝐼</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investment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𝑘</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𝑐𝑜𝑛𝑣</a:t>
              </a:r>
              <a:r>
                <a:rPr lang="da-DK" sz="1100">
                  <a:latin typeface="Times New Roman" panose="02020603050405020304" pitchFamily="18" charset="0"/>
                  <a:cs typeface="Times New Roman" panose="02020603050405020304" pitchFamily="18" charset="0"/>
                </a:rPr>
                <a:t> - conersion factor from </a:t>
              </a:r>
              <a:r>
                <a:rPr lang="en-GB" sz="1100" b="0" i="0">
                  <a:solidFill>
                    <a:schemeClr val="dk1"/>
                  </a:solidFill>
                  <a:effectLst/>
                  <a:latin typeface="Cambria Math"/>
                  <a:ea typeface="+mn-ea"/>
                  <a:cs typeface="+mn-cs"/>
                </a:rPr>
                <a:t>€</a:t>
              </a:r>
              <a:r>
                <a:rPr lang="da-DK" sz="1100">
                  <a:latin typeface="Times New Roman" panose="02020603050405020304" pitchFamily="18" charset="0"/>
                  <a:cs typeface="Times New Roman" panose="02020603050405020304" pitchFamily="18" charset="0"/>
                </a:rPr>
                <a:t> to DKK</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𝑐</a:t>
              </a:r>
              <a:r>
                <a:rPr lang="da-DK" sz="1100">
                  <a:latin typeface="Times New Roman" panose="02020603050405020304" pitchFamily="18" charset="0"/>
                  <a:cs typeface="Times New Roman" panose="02020603050405020304" pitchFamily="18" charset="0"/>
                </a:rPr>
                <a:t> - assumed heat production capacity</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𝐹𝐼𝑋𝑂𝑀</a:t>
              </a:r>
              <a:r>
                <a:rPr lang="da-DK" sz="1100">
                  <a:latin typeface="Times New Roman" panose="02020603050405020304" pitchFamily="18" charset="0"/>
                  <a:cs typeface="Times New Roman" panose="02020603050405020304" pitchFamily="18" charset="0"/>
                </a:rPr>
                <a:t> - Fixed O&amp;M costs</a:t>
              </a:r>
            </a:p>
            <a:p>
              <a:pPr marL="0" marR="0" indent="0" defTabSz="914400" eaLnBrk="1" fontAlgn="auto" latinLnBrk="0" hangingPunct="1">
                <a:lnSpc>
                  <a:spcPct val="100000"/>
                </a:lnSpc>
                <a:spcBef>
                  <a:spcPts val="0"/>
                </a:spcBef>
                <a:spcAft>
                  <a:spcPts val="0"/>
                </a:spcAft>
                <a:buClrTx/>
                <a:buSzTx/>
                <a:buFontTx/>
                <a:buNone/>
                <a:tabLst/>
                <a:defRPr/>
              </a:pPr>
              <a:r>
                <a:rPr lang="en-GB" sz="1100" b="0" i="0">
                  <a:solidFill>
                    <a:schemeClr val="dk1"/>
                  </a:solidFill>
                  <a:effectLst/>
                  <a:latin typeface="Cambria Math"/>
                  <a:ea typeface="+mn-ea"/>
                  <a:cs typeface="+mn-cs"/>
                </a:rPr>
                <a:t>𝐻</a:t>
              </a:r>
              <a:r>
                <a:rPr lang="da-DK" sz="1100" b="0" i="0">
                  <a:solidFill>
                    <a:schemeClr val="dk1"/>
                  </a:solidFill>
                  <a:effectLst/>
                  <a:latin typeface="Cambria Math"/>
                  <a:ea typeface="+mn-ea"/>
                  <a:cs typeface="+mn-cs"/>
                </a:rPr>
                <a:t>_</a:t>
              </a:r>
              <a:r>
                <a:rPr lang="en-GB" sz="1100" b="0" i="0">
                  <a:solidFill>
                    <a:schemeClr val="dk1"/>
                  </a:solidFill>
                  <a:effectLst/>
                  <a:latin typeface="Cambria Math"/>
                  <a:ea typeface="+mn-ea"/>
                  <a:cs typeface="+mn-cs"/>
                </a:rPr>
                <a:t>𝑝𝑟𝑜𝑑</a:t>
              </a:r>
              <a:r>
                <a:rPr lang="da-DK" sz="1100">
                  <a:latin typeface="Times New Roman" panose="02020603050405020304" pitchFamily="18" charset="0"/>
                  <a:cs typeface="Times New Roman" panose="02020603050405020304" pitchFamily="18" charset="0"/>
                </a:rPr>
                <a:t> -Production of space heating and DHW </a:t>
              </a:r>
            </a:p>
          </xdr:txBody>
        </xdr:sp>
      </mc:Fallback>
    </mc:AlternateContent>
    <xdr:clientData/>
  </xdr:twoCellAnchor>
  <xdr:twoCellAnchor>
    <xdr:from>
      <xdr:col>8</xdr:col>
      <xdr:colOff>0</xdr:colOff>
      <xdr:row>57</xdr:row>
      <xdr:rowOff>134471</xdr:rowOff>
    </xdr:from>
    <xdr:to>
      <xdr:col>22</xdr:col>
      <xdr:colOff>470647</xdr:colOff>
      <xdr:row>58</xdr:row>
      <xdr:rowOff>156883</xdr:rowOff>
    </xdr:to>
    <xdr:cxnSp macro="">
      <xdr:nvCxnSpPr>
        <xdr:cNvPr id="38" name="Elbow Connector 52">
          <a:extLst>
            <a:ext uri="{FF2B5EF4-FFF2-40B4-BE49-F238E27FC236}">
              <a16:creationId xmlns:a16="http://schemas.microsoft.com/office/drawing/2014/main" id="{00000000-0008-0000-1F00-000026000000}"/>
            </a:ext>
          </a:extLst>
        </xdr:cNvPr>
        <xdr:cNvCxnSpPr/>
      </xdr:nvCxnSpPr>
      <xdr:spPr>
        <a:xfrm flipV="1">
          <a:off x="9054353" y="12516971"/>
          <a:ext cx="8942294" cy="212912"/>
        </a:xfrm>
        <a:prstGeom prst="bentConnector3">
          <a:avLst>
            <a:gd name="adj1" fmla="val 50000"/>
          </a:avLst>
        </a:prstGeom>
        <a:ln>
          <a:solidFill>
            <a:srgbClr val="FF0000"/>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126021</xdr:colOff>
      <xdr:row>43</xdr:row>
      <xdr:rowOff>11205</xdr:rowOff>
    </xdr:from>
    <xdr:to>
      <xdr:col>13</xdr:col>
      <xdr:colOff>336177</xdr:colOff>
      <xdr:row>46</xdr:row>
      <xdr:rowOff>145677</xdr:rowOff>
    </xdr:to>
    <xdr:sp macro="" textlink="">
      <xdr:nvSpPr>
        <xdr:cNvPr id="39" name="TextBox 53">
          <a:extLst>
            <a:ext uri="{FF2B5EF4-FFF2-40B4-BE49-F238E27FC236}">
              <a16:creationId xmlns:a16="http://schemas.microsoft.com/office/drawing/2014/main" id="{00000000-0008-0000-1F00-000027000000}"/>
            </a:ext>
          </a:extLst>
        </xdr:cNvPr>
        <xdr:cNvSpPr txBox="1"/>
      </xdr:nvSpPr>
      <xdr:spPr>
        <a:xfrm>
          <a:off x="9180374" y="9468970"/>
          <a:ext cx="3235744" cy="739589"/>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a:t>The </a:t>
          </a:r>
          <a:r>
            <a:rPr lang="da-DK" sz="1100" b="1"/>
            <a:t>assumed</a:t>
          </a:r>
          <a:r>
            <a:rPr lang="da-DK" sz="1100"/>
            <a:t> boiler size is  checked against  the range for the "Heat production capacity for one unit (kW)" in the first row in the datasheet </a:t>
          </a:r>
        </a:p>
      </xdr:txBody>
    </xdr:sp>
    <xdr:clientData/>
  </xdr:twoCellAnchor>
  <xdr:twoCellAnchor>
    <xdr:from>
      <xdr:col>6</xdr:col>
      <xdr:colOff>549091</xdr:colOff>
      <xdr:row>44</xdr:row>
      <xdr:rowOff>179294</xdr:rowOff>
    </xdr:from>
    <xdr:to>
      <xdr:col>8</xdr:col>
      <xdr:colOff>126022</xdr:colOff>
      <xdr:row>58</xdr:row>
      <xdr:rowOff>64236</xdr:rowOff>
    </xdr:to>
    <xdr:cxnSp macro="">
      <xdr:nvCxnSpPr>
        <xdr:cNvPr id="40" name="Elbow Connector 54">
          <a:extLst>
            <a:ext uri="{FF2B5EF4-FFF2-40B4-BE49-F238E27FC236}">
              <a16:creationId xmlns:a16="http://schemas.microsoft.com/office/drawing/2014/main" id="{00000000-0008-0000-1F00-000028000000}"/>
            </a:ext>
          </a:extLst>
        </xdr:cNvPr>
        <xdr:cNvCxnSpPr>
          <a:endCxn id="39" idx="1"/>
        </xdr:cNvCxnSpPr>
      </xdr:nvCxnSpPr>
      <xdr:spPr>
        <a:xfrm rot="5400000" flipH="1" flipV="1">
          <a:off x="7387556" y="10844418"/>
          <a:ext cx="2798471" cy="787166"/>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428625</xdr:colOff>
      <xdr:row>9</xdr:row>
      <xdr:rowOff>104776</xdr:rowOff>
    </xdr:from>
    <xdr:to>
      <xdr:col>23</xdr:col>
      <xdr:colOff>236982</xdr:colOff>
      <xdr:row>29</xdr:row>
      <xdr:rowOff>370913</xdr:rowOff>
    </xdr:to>
    <xdr:grpSp>
      <xdr:nvGrpSpPr>
        <xdr:cNvPr id="2" name="Group 1">
          <a:extLst>
            <a:ext uri="{FF2B5EF4-FFF2-40B4-BE49-F238E27FC236}">
              <a16:creationId xmlns:a16="http://schemas.microsoft.com/office/drawing/2014/main" id="{5C018088-2E6C-4B28-B706-27B440834D71}"/>
            </a:ext>
          </a:extLst>
        </xdr:cNvPr>
        <xdr:cNvGrpSpPr/>
      </xdr:nvGrpSpPr>
      <xdr:grpSpPr>
        <a:xfrm>
          <a:off x="11982450" y="2276476"/>
          <a:ext cx="6094857" cy="6790762"/>
          <a:chOff x="13449300" y="2619376"/>
          <a:chExt cx="5904357" cy="6876487"/>
        </a:xfrm>
      </xdr:grpSpPr>
      <xdr:grpSp>
        <xdr:nvGrpSpPr>
          <xdr:cNvPr id="3" name="Group 2">
            <a:extLst>
              <a:ext uri="{FF2B5EF4-FFF2-40B4-BE49-F238E27FC236}">
                <a16:creationId xmlns:a16="http://schemas.microsoft.com/office/drawing/2014/main" id="{7C3E2C3F-320D-424D-B2E5-2C31380FD3F5}"/>
              </a:ext>
            </a:extLst>
          </xdr:cNvPr>
          <xdr:cNvGrpSpPr/>
        </xdr:nvGrpSpPr>
        <xdr:grpSpPr>
          <a:xfrm>
            <a:off x="13449300" y="3381375"/>
            <a:ext cx="5904357" cy="6114488"/>
            <a:chOff x="13449300" y="3381375"/>
            <a:chExt cx="5904357" cy="6114488"/>
          </a:xfrm>
        </xdr:grpSpPr>
        <xdr:grpSp>
          <xdr:nvGrpSpPr>
            <xdr:cNvPr id="5" name="Group 4">
              <a:extLst>
                <a:ext uri="{FF2B5EF4-FFF2-40B4-BE49-F238E27FC236}">
                  <a16:creationId xmlns:a16="http://schemas.microsoft.com/office/drawing/2014/main" id="{0E266C41-8667-49DF-86C9-CAED8FB2A702}"/>
                </a:ext>
              </a:extLst>
            </xdr:cNvPr>
            <xdr:cNvGrpSpPr/>
          </xdr:nvGrpSpPr>
          <xdr:grpSpPr>
            <a:xfrm>
              <a:off x="13449300" y="5153025"/>
              <a:ext cx="5876925" cy="4342838"/>
              <a:chOff x="11239500" y="2200275"/>
              <a:chExt cx="5876925" cy="4342838"/>
            </a:xfrm>
          </xdr:grpSpPr>
          <xdr:pic>
            <xdr:nvPicPr>
              <xdr:cNvPr id="18" name="Picture 17">
                <a:extLst>
                  <a:ext uri="{FF2B5EF4-FFF2-40B4-BE49-F238E27FC236}">
                    <a16:creationId xmlns:a16="http://schemas.microsoft.com/office/drawing/2014/main" id="{E01E6598-CC3A-4E1A-90B3-D403F00810FD}"/>
                  </a:ext>
                </a:extLst>
              </xdr:cNvPr>
              <xdr:cNvPicPr>
                <a:picLocks noChangeAspect="1"/>
              </xdr:cNvPicPr>
            </xdr:nvPicPr>
            <xdr:blipFill>
              <a:blip xmlns:r="http://schemas.openxmlformats.org/officeDocument/2006/relationships" r:embed="rId1"/>
              <a:stretch>
                <a:fillRect/>
              </a:stretch>
            </xdr:blipFill>
            <xdr:spPr>
              <a:xfrm>
                <a:off x="11239500" y="2478456"/>
                <a:ext cx="5876925" cy="4064657"/>
              </a:xfrm>
              <a:prstGeom prst="rect">
                <a:avLst/>
              </a:prstGeom>
            </xdr:spPr>
          </xdr:pic>
          <xdr:sp macro="" textlink="">
            <xdr:nvSpPr>
              <xdr:cNvPr id="19" name="TextBox 18">
                <a:extLst>
                  <a:ext uri="{FF2B5EF4-FFF2-40B4-BE49-F238E27FC236}">
                    <a16:creationId xmlns:a16="http://schemas.microsoft.com/office/drawing/2014/main" id="{B7C170CC-A161-48D3-8CB3-BE7D823781FE}"/>
                  </a:ext>
                </a:extLst>
              </xdr:cNvPr>
              <xdr:cNvSpPr txBox="1"/>
            </xdr:nvSpPr>
            <xdr:spPr>
              <a:xfrm>
                <a:off x="11287125" y="2200275"/>
                <a:ext cx="3648075"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From Danish Energy Agency technology catalogue 2017</a:t>
                </a:r>
              </a:p>
            </xdr:txBody>
          </xdr:sp>
        </xdr:grpSp>
        <xdr:grpSp>
          <xdr:nvGrpSpPr>
            <xdr:cNvPr id="6" name="Group 5">
              <a:extLst>
                <a:ext uri="{FF2B5EF4-FFF2-40B4-BE49-F238E27FC236}">
                  <a16:creationId xmlns:a16="http://schemas.microsoft.com/office/drawing/2014/main" id="{B13B1409-F1FF-483B-B009-F04E7443ED0C}"/>
                </a:ext>
              </a:extLst>
            </xdr:cNvPr>
            <xdr:cNvGrpSpPr/>
          </xdr:nvGrpSpPr>
          <xdr:grpSpPr>
            <a:xfrm>
              <a:off x="13611225" y="3381375"/>
              <a:ext cx="5742432" cy="1362086"/>
              <a:chOff x="1499616" y="2555933"/>
              <a:chExt cx="5742432" cy="1362086"/>
            </a:xfrm>
          </xdr:grpSpPr>
          <xdr:sp macro="" textlink="">
            <xdr:nvSpPr>
              <xdr:cNvPr id="7" name="Rectangle 6">
                <a:extLst>
                  <a:ext uri="{FF2B5EF4-FFF2-40B4-BE49-F238E27FC236}">
                    <a16:creationId xmlns:a16="http://schemas.microsoft.com/office/drawing/2014/main" id="{33DDFACB-9DAD-45CF-AD7D-40D965651E27}"/>
                  </a:ext>
                </a:extLst>
              </xdr:cNvPr>
              <xdr:cNvSpPr/>
            </xdr:nvSpPr>
            <xdr:spPr>
              <a:xfrm>
                <a:off x="3523488" y="2657856"/>
                <a:ext cx="1475232" cy="11216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da-DK">
                    <a:solidFill>
                      <a:schemeClr val="tx1"/>
                    </a:solidFill>
                  </a:rPr>
                  <a:t>Heat Exchanger</a:t>
                </a:r>
              </a:p>
            </xdr:txBody>
          </xdr:sp>
          <xdr:cxnSp macro="">
            <xdr:nvCxnSpPr>
              <xdr:cNvPr id="8" name="Straight Arrow Connector 7">
                <a:extLst>
                  <a:ext uri="{FF2B5EF4-FFF2-40B4-BE49-F238E27FC236}">
                    <a16:creationId xmlns:a16="http://schemas.microsoft.com/office/drawing/2014/main" id="{D4595C06-BC5D-4D72-8163-C55D9C64095D}"/>
                  </a:ext>
                </a:extLst>
              </xdr:cNvPr>
              <xdr:cNvCxnSpPr/>
            </xdr:nvCxnSpPr>
            <xdr:spPr>
              <a:xfrm>
                <a:off x="2401824" y="2889504"/>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 name="Straight Arrow Connector 8">
                <a:extLst>
                  <a:ext uri="{FF2B5EF4-FFF2-40B4-BE49-F238E27FC236}">
                    <a16:creationId xmlns:a16="http://schemas.microsoft.com/office/drawing/2014/main" id="{5A271CB9-AD4B-42A0-AFFA-EC6B65581E00}"/>
                  </a:ext>
                </a:extLst>
              </xdr:cNvPr>
              <xdr:cNvCxnSpPr/>
            </xdr:nvCxnSpPr>
            <xdr:spPr>
              <a:xfrm>
                <a:off x="4998720" y="2907792"/>
                <a:ext cx="1121664"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 name="Straight Arrow Connector 9">
                <a:extLst>
                  <a:ext uri="{FF2B5EF4-FFF2-40B4-BE49-F238E27FC236}">
                    <a16:creationId xmlns:a16="http://schemas.microsoft.com/office/drawing/2014/main" id="{5725671B-D780-43E9-9448-829C2B8E351A}"/>
                  </a:ext>
                </a:extLst>
              </xdr:cNvPr>
              <xdr:cNvCxnSpPr/>
            </xdr:nvCxnSpPr>
            <xdr:spPr>
              <a:xfrm flipH="1">
                <a:off x="2401824" y="3566160"/>
                <a:ext cx="1121664" cy="6096"/>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18E1EEB2-1D3B-48EB-AD87-9CBDED0B4F27}"/>
                  </a:ext>
                </a:extLst>
              </xdr:cNvPr>
              <xdr:cNvCxnSpPr/>
            </xdr:nvCxnSpPr>
            <xdr:spPr>
              <a:xfrm flipH="1">
                <a:off x="4998720" y="3566160"/>
                <a:ext cx="1121664" cy="0"/>
              </a:xfrm>
              <a:prstGeom prst="straightConnector1">
                <a:avLst/>
              </a:prstGeom>
              <a:ln>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TextBox 17">
                <a:extLst>
                  <a:ext uri="{FF2B5EF4-FFF2-40B4-BE49-F238E27FC236}">
                    <a16:creationId xmlns:a16="http://schemas.microsoft.com/office/drawing/2014/main" id="{7BC7BCF4-8FCE-4EFF-B2A9-BC9CBF66060E}"/>
                  </a:ext>
                </a:extLst>
              </xdr:cNvPr>
              <xdr:cNvSpPr txBox="1"/>
            </xdr:nvSpPr>
            <xdr:spPr>
              <a:xfrm>
                <a:off x="1499616" y="2993136"/>
                <a:ext cx="902208"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Air from/to data center</a:t>
                </a:r>
              </a:p>
            </xdr:txBody>
          </xdr:sp>
          <xdr:sp macro="" textlink="">
            <xdr:nvSpPr>
              <xdr:cNvPr id="13" name="TextBox 18">
                <a:extLst>
                  <a:ext uri="{FF2B5EF4-FFF2-40B4-BE49-F238E27FC236}">
                    <a16:creationId xmlns:a16="http://schemas.microsoft.com/office/drawing/2014/main" id="{E323AC54-71E0-4FD0-9A9B-526594424545}"/>
                  </a:ext>
                </a:extLst>
              </xdr:cNvPr>
              <xdr:cNvSpPr txBox="1"/>
            </xdr:nvSpPr>
            <xdr:spPr>
              <a:xfrm>
                <a:off x="6120384" y="2998417"/>
                <a:ext cx="1121664" cy="4616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Closed loop for source of HP</a:t>
                </a:r>
              </a:p>
            </xdr:txBody>
          </xdr:sp>
          <xdr:sp macro="" textlink="">
            <xdr:nvSpPr>
              <xdr:cNvPr id="14" name="TextBox 19">
                <a:extLst>
                  <a:ext uri="{FF2B5EF4-FFF2-40B4-BE49-F238E27FC236}">
                    <a16:creationId xmlns:a16="http://schemas.microsoft.com/office/drawing/2014/main" id="{E8F824C2-C8E5-458A-B4C8-948FB440157B}"/>
                  </a:ext>
                </a:extLst>
              </xdr:cNvPr>
              <xdr:cNvSpPr txBox="1"/>
            </xdr:nvSpPr>
            <xdr:spPr>
              <a:xfrm>
                <a:off x="2401824" y="2577639"/>
                <a:ext cx="107289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T_air,in = 31 C</a:t>
                </a:r>
              </a:p>
            </xdr:txBody>
          </xdr:sp>
          <xdr:sp macro="" textlink="">
            <xdr:nvSpPr>
              <xdr:cNvPr id="15" name="TextBox 20">
                <a:extLst>
                  <a:ext uri="{FF2B5EF4-FFF2-40B4-BE49-F238E27FC236}">
                    <a16:creationId xmlns:a16="http://schemas.microsoft.com/office/drawing/2014/main" id="{568CC209-04CE-46B1-91C6-60A91E1C584E}"/>
                  </a:ext>
                </a:extLst>
              </xdr:cNvPr>
              <xdr:cNvSpPr txBox="1"/>
            </xdr:nvSpPr>
            <xdr:spPr>
              <a:xfrm>
                <a:off x="2316480" y="3641020"/>
                <a:ext cx="115824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T_air,out = 20 C</a:t>
                </a:r>
              </a:p>
            </xdr:txBody>
          </xdr:sp>
          <xdr:sp macro="" textlink="">
            <xdr:nvSpPr>
              <xdr:cNvPr id="16" name="TextBox 21">
                <a:extLst>
                  <a:ext uri="{FF2B5EF4-FFF2-40B4-BE49-F238E27FC236}">
                    <a16:creationId xmlns:a16="http://schemas.microsoft.com/office/drawing/2014/main" id="{8FE0E912-2182-476C-A819-D3B599B855FE}"/>
                  </a:ext>
                </a:extLst>
              </xdr:cNvPr>
              <xdr:cNvSpPr txBox="1"/>
            </xdr:nvSpPr>
            <xdr:spPr>
              <a:xfrm>
                <a:off x="4998720" y="2555933"/>
                <a:ext cx="1395708" cy="27885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T_source,in = 28 C</a:t>
                </a:r>
              </a:p>
            </xdr:txBody>
          </xdr:sp>
          <xdr:sp macro="" textlink="">
            <xdr:nvSpPr>
              <xdr:cNvPr id="17" name="TextBox 22">
                <a:extLst>
                  <a:ext uri="{FF2B5EF4-FFF2-40B4-BE49-F238E27FC236}">
                    <a16:creationId xmlns:a16="http://schemas.microsoft.com/office/drawing/2014/main" id="{CE0F1F1D-F8DB-4D07-8300-9716D387F077}"/>
                  </a:ext>
                </a:extLst>
              </xdr:cNvPr>
              <xdr:cNvSpPr txBox="1"/>
            </xdr:nvSpPr>
            <xdr:spPr>
              <a:xfrm>
                <a:off x="4998720" y="3641019"/>
                <a:ext cx="1426464"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a-DK" sz="1200" i="1"/>
                  <a:t>T_source,out = 17 C</a:t>
                </a:r>
              </a:p>
            </xdr:txBody>
          </xdr:sp>
        </xdr:grpSp>
      </xdr:grpSp>
      <xdr:sp macro="" textlink="">
        <xdr:nvSpPr>
          <xdr:cNvPr id="4" name="TextBox 3">
            <a:extLst>
              <a:ext uri="{FF2B5EF4-FFF2-40B4-BE49-F238E27FC236}">
                <a16:creationId xmlns:a16="http://schemas.microsoft.com/office/drawing/2014/main" id="{15CB80F5-BB31-408E-BE21-E0A619746E1D}"/>
              </a:ext>
            </a:extLst>
          </xdr:cNvPr>
          <xdr:cNvSpPr txBox="1"/>
        </xdr:nvSpPr>
        <xdr:spPr>
          <a:xfrm>
            <a:off x="14344650" y="2619376"/>
            <a:ext cx="408622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Assumed configuration:</a:t>
            </a:r>
            <a:r>
              <a:rPr lang="en-US" sz="1400" b="1" baseline="0"/>
              <a:t> HX followed by heat pump</a:t>
            </a:r>
            <a:endParaRPr lang="en-US" sz="1400" b="1"/>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esLab/Modelling/VEDA/VEDA_Models/TIMES-DK_TRA/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ex/Desktop/Kopi%20af%20alternativ_drivmiddelmodel_3.0_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ivlse.sharepoint.com/VEDA/VEDA_Models/EMS/SubRES_TMPL/SubRes_ELC_Tech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VEDA/VEDA_Models/EMS/SubRES_TMPL/SubRes_ELC_Tech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olex/(%5e_%5e)/ResLab/Modelling/TIMES/TIMES-DK/SubRES_TMPL/SubRes_ELC_Plants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olex/(%5e_%5e)/ResLab/Modelling/TIMES/TIMES-DK/SubRES_TMPL/SubRes_ELC_Plants202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ivlse.sharepoint.com/VEDA/VEDA_Models/Denmark/TIMES-DK-DEA_ws2016/VT_DK_ELC_v1p1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ppXLS/Scen_SYS_SubAnnual_Data_Reduced-DH.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IND_ELC"/>
      <sheetName val="RES_ELC"/>
      <sheetName val="ELC_CEN"/>
      <sheetName val="ELC_DEC"/>
      <sheetName val="ELC_CEN-Peak"/>
      <sheetName val="ELC_DEC-Peak"/>
      <sheetName val="Naming convention"/>
      <sheetName val="Deleted Technologies"/>
      <sheetName val="FuelPriceRAMSES"/>
      <sheetName val="HOU_EL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ELC_TechD"/>
      <sheetName val="ELC_ProcD"/>
      <sheetName val="Fuel"/>
      <sheetName val="O&amp;M waste and WIN "/>
    </sheetNames>
    <sheetDataSet>
      <sheetData sheetId="0"/>
      <sheetData sheetId="1"/>
      <sheetData sheetId="2"/>
      <sheetData sheetId="3"/>
      <sheetData sheetId="4">
        <row r="5">
          <cell r="E5">
            <v>0.29799999999999999</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TimeSlices"/>
      <sheetName val="ELC_AF-WinOn"/>
      <sheetName val="ELC_AF-WinNear"/>
      <sheetName val="ELC_AF-WinOff"/>
      <sheetName val="ELC_AF-Wav"/>
      <sheetName val="ELC_AF-PV"/>
      <sheetName val="ELC_AF-SOL"/>
      <sheetName val="RES_AF_BSOL_N"/>
      <sheetName val="SUP_Prices-NO"/>
      <sheetName val="SUP_Prices_TS-SE"/>
      <sheetName val="SUP_Prices_TS-DE"/>
      <sheetName val="SUP_Prices_TS-NL"/>
      <sheetName val="SUP_Prices_TS-UK"/>
      <sheetName val="RES_HSav_AF"/>
      <sheetName val="RES_HP_COP"/>
      <sheetName val="RES_DEM_FR"/>
      <sheetName val="ELC_HP_COP"/>
      <sheetName val="IND_HP_COP"/>
      <sheetName val="IND_AF"/>
      <sheetName val="IND_COM_FR"/>
      <sheetName val="LDC_HEAT"/>
      <sheetName val="EXH_COP"/>
      <sheetName val="TimeSeries"/>
      <sheetName val="Data_TS_Price"/>
      <sheetName val="AFA fak"/>
      <sheetName val="AF DATA"/>
      <sheetName val="FILL"/>
      <sheetName val="COPs"/>
      <sheetName val="COP D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
          <cell r="A6" t="str">
            <v>RWDA</v>
          </cell>
          <cell r="C6">
            <v>4.10958904109589E-3</v>
          </cell>
          <cell r="D6">
            <v>7.0368568450620284E-3</v>
          </cell>
          <cell r="E6">
            <v>0.77877242031144867</v>
          </cell>
          <cell r="F6">
            <v>0.8304802540259324</v>
          </cell>
          <cell r="G6">
            <v>0.9210015744607245</v>
          </cell>
          <cell r="H6">
            <v>0.93223097617415007</v>
          </cell>
          <cell r="I6">
            <v>3.8858746200769452E-3</v>
          </cell>
          <cell r="J6">
            <v>4.2752354145144771E-3</v>
          </cell>
          <cell r="K6">
            <v>4.4452098332249945E-3</v>
          </cell>
          <cell r="L6">
            <v>4.5209365948989432E-3</v>
          </cell>
          <cell r="M6">
            <v>4.7877136386355003E-3</v>
          </cell>
          <cell r="N6">
            <v>3.7373963633384353E-3</v>
          </cell>
          <cell r="O6">
            <v>3.791740624560047E-3</v>
          </cell>
          <cell r="P6">
            <v>3.791740624560047E-3</v>
          </cell>
          <cell r="Q6">
            <v>3.0027315305803204E-3</v>
          </cell>
          <cell r="R6">
            <v>3.2830372718914624E-3</v>
          </cell>
          <cell r="S6">
            <v>4.598662055639002E-3</v>
          </cell>
          <cell r="T6">
            <v>3.8024589557303836E-3</v>
          </cell>
        </row>
        <row r="7">
          <cell r="A7" t="str">
            <v>RWDC</v>
          </cell>
        </row>
        <row r="8">
          <cell r="A8" t="str">
            <v>RWDD</v>
          </cell>
        </row>
        <row r="9">
          <cell r="A9" t="str">
            <v>RWDB</v>
          </cell>
        </row>
        <row r="10">
          <cell r="A10" t="str">
            <v>RNWA</v>
          </cell>
        </row>
        <row r="11">
          <cell r="A11" t="str">
            <v>RNWC</v>
          </cell>
        </row>
        <row r="12">
          <cell r="A12" t="str">
            <v>RNWD</v>
          </cell>
        </row>
        <row r="13">
          <cell r="A13" t="str">
            <v>RNWB</v>
          </cell>
        </row>
        <row r="14">
          <cell r="A14" t="str">
            <v>SWDA</v>
          </cell>
        </row>
        <row r="15">
          <cell r="A15" t="str">
            <v>SWDC</v>
          </cell>
        </row>
        <row r="16">
          <cell r="A16" t="str">
            <v>SWDD</v>
          </cell>
        </row>
        <row r="17">
          <cell r="A17" t="str">
            <v>SWDB</v>
          </cell>
        </row>
        <row r="18">
          <cell r="A18" t="str">
            <v>SNWA</v>
          </cell>
        </row>
        <row r="19">
          <cell r="A19" t="str">
            <v>SNWC</v>
          </cell>
        </row>
        <row r="20">
          <cell r="A20" t="str">
            <v>SNWD</v>
          </cell>
        </row>
        <row r="21">
          <cell r="A21" t="str">
            <v>SNWB</v>
          </cell>
        </row>
        <row r="22">
          <cell r="A22" t="str">
            <v>FWDA</v>
          </cell>
        </row>
        <row r="23">
          <cell r="A23" t="str">
            <v>FWDC</v>
          </cell>
        </row>
        <row r="24">
          <cell r="A24" t="str">
            <v>FWDD</v>
          </cell>
        </row>
        <row r="25">
          <cell r="A25" t="str">
            <v>FWDB</v>
          </cell>
        </row>
        <row r="26">
          <cell r="A26" t="str">
            <v>FNWA</v>
          </cell>
        </row>
        <row r="27">
          <cell r="A27" t="str">
            <v>FNWC</v>
          </cell>
        </row>
        <row r="28">
          <cell r="A28" t="str">
            <v>FNWD</v>
          </cell>
        </row>
        <row r="29">
          <cell r="A29" t="str">
            <v>FNWB</v>
          </cell>
        </row>
        <row r="30">
          <cell r="A30" t="str">
            <v>WWDA</v>
          </cell>
        </row>
        <row r="31">
          <cell r="A31" t="str">
            <v>WWDC</v>
          </cell>
        </row>
        <row r="32">
          <cell r="A32" t="str">
            <v>WWDD</v>
          </cell>
        </row>
        <row r="33">
          <cell r="A33" t="str">
            <v>WWDB</v>
          </cell>
        </row>
        <row r="34">
          <cell r="A34" t="str">
            <v>WNWA</v>
          </cell>
        </row>
        <row r="35">
          <cell r="A35" t="str">
            <v>WNWC</v>
          </cell>
        </row>
        <row r="36">
          <cell r="A36" t="str">
            <v>WNWD</v>
          </cell>
        </row>
        <row r="37">
          <cell r="A37" t="str">
            <v>WNWB</v>
          </cell>
        </row>
      </sheetData>
      <sheetData sheetId="25" refreshError="1"/>
      <sheetData sheetId="26" refreshError="1"/>
      <sheetData sheetId="27" refreshError="1"/>
      <sheetData sheetId="28" refreshError="1"/>
      <sheetData sheetId="29">
        <row r="4">
          <cell r="D4">
            <v>1</v>
          </cell>
        </row>
      </sheetData>
      <sheetData sheetId="3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31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3" Type="http://schemas.openxmlformats.org/officeDocument/2006/relationships/hyperlink" Target="http://www.planenergi.dk/varmepumper/.%20Drejebog%20til%20store%20varmepumpeprojekter%20i%20fjernvarmesystemet,%202014.%20%5bOnline%5d" TargetMode="External"/><Relationship Id="rId2" Type="http://schemas.openxmlformats.org/officeDocument/2006/relationships/hyperlink" Target="http://www.planenergi.dk/varmepumper/.%20Drejebog%20til%20store%20varmepumpeprojekter%20i%20fjernvarmesystemet,%202014.%20%5bOnline%5d" TargetMode="External"/><Relationship Id="rId1" Type="http://schemas.openxmlformats.org/officeDocument/2006/relationships/hyperlink" Target="http://www.planenergi.dk/varmepumper/.%20Drejebog%20til%20store%20varmepumpeprojekter%20i%20fjernvarmesystemet,%202014.%20%5bOnline%5d" TargetMode="External"/><Relationship Id="rId6" Type="http://schemas.openxmlformats.org/officeDocument/2006/relationships/comments" Target="../comments15.xml"/><Relationship Id="rId5" Type="http://schemas.openxmlformats.org/officeDocument/2006/relationships/vmlDrawing" Target="../drawings/vmlDrawing15.vml"/><Relationship Id="rId4"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planenergi.dk/varmepumper/" TargetMode="External"/><Relationship Id="rId1" Type="http://schemas.openxmlformats.org/officeDocument/2006/relationships/hyperlink" Target="http://www.planenergi.dk/varmepumper/"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sciencedirect.com/topics/engineering/partial-load"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41.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61.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62.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s://www.seatemperature.org/europe/denmark/" TargetMode="External"/><Relationship Id="rId1" Type="http://schemas.openxmlformats.org/officeDocument/2006/relationships/hyperlink" Target="https://www.seatemperature.org/europe/denmar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31"/>
  <sheetViews>
    <sheetView tabSelected="1" zoomScaleNormal="100" workbookViewId="0">
      <selection activeCell="B11" sqref="B11"/>
    </sheetView>
  </sheetViews>
  <sheetFormatPr defaultRowHeight="14.4"/>
  <cols>
    <col min="1" max="1" width="11.5546875" customWidth="1"/>
    <col min="2" max="2" width="24.21875" bestFit="1" customWidth="1"/>
    <col min="3" max="3" width="13.77734375" customWidth="1"/>
    <col min="4" max="4" width="19.77734375" customWidth="1"/>
    <col min="5" max="5" width="235" bestFit="1" customWidth="1"/>
  </cols>
  <sheetData>
    <row r="3" spans="1:5">
      <c r="A3" s="8" t="s">
        <v>505</v>
      </c>
      <c r="B3" s="8" t="s">
        <v>506</v>
      </c>
      <c r="C3" s="8" t="s">
        <v>507</v>
      </c>
      <c r="D3" s="8" t="s">
        <v>508</v>
      </c>
      <c r="E3" s="8" t="s">
        <v>509</v>
      </c>
    </row>
    <row r="4" spans="1:5" s="224" customFormat="1">
      <c r="A4" s="268">
        <v>43903</v>
      </c>
      <c r="B4" s="282" t="s">
        <v>708</v>
      </c>
      <c r="C4" s="8"/>
      <c r="D4" s="8"/>
      <c r="E4" s="282" t="s">
        <v>709</v>
      </c>
    </row>
    <row r="5" spans="1:5" s="267" customFormat="1">
      <c r="A5" s="268">
        <v>43144</v>
      </c>
      <c r="B5" s="267" t="s">
        <v>510</v>
      </c>
      <c r="C5" s="267" t="s">
        <v>687</v>
      </c>
      <c r="D5" s="267" t="e">
        <f>ADDRESS(ROW(#REF!),COLUMN(#REF!),4,1)</f>
        <v>#REF!</v>
      </c>
      <c r="E5" s="267" t="s">
        <v>688</v>
      </c>
    </row>
    <row r="6" spans="1:5" s="267" customFormat="1">
      <c r="A6" s="268">
        <v>42958</v>
      </c>
      <c r="B6" s="267" t="s">
        <v>684</v>
      </c>
      <c r="C6" s="267" t="s">
        <v>131</v>
      </c>
      <c r="D6" s="267" t="str">
        <f>ADDRESS(ROW('Electric heating'!L39),COLUMN('Electric heating'!L39),4,1)&amp;":"&amp;ADDRESS(ROW('Electric heating'!Q42),COLUMN('Electric heating'!Q42),4,1)</f>
        <v>L39:Q42</v>
      </c>
      <c r="E6" s="267" t="s">
        <v>685</v>
      </c>
    </row>
    <row r="7" spans="1:5" s="224" customFormat="1">
      <c r="A7" s="268">
        <v>42593</v>
      </c>
      <c r="B7" s="282" t="s">
        <v>606</v>
      </c>
      <c r="C7" s="282" t="s">
        <v>576</v>
      </c>
      <c r="D7" s="282"/>
      <c r="E7" s="282" t="s">
        <v>644</v>
      </c>
    </row>
    <row r="8" spans="1:5" s="224" customFormat="1">
      <c r="A8" s="268">
        <v>42578</v>
      </c>
      <c r="B8" s="282" t="s">
        <v>606</v>
      </c>
      <c r="C8" s="282" t="s">
        <v>533</v>
      </c>
      <c r="D8" s="282"/>
      <c r="E8" s="282" t="s">
        <v>636</v>
      </c>
    </row>
    <row r="9" spans="1:5" s="224" customFormat="1">
      <c r="A9" s="268">
        <v>42572</v>
      </c>
      <c r="B9" s="282" t="s">
        <v>606</v>
      </c>
      <c r="C9" s="282" t="s">
        <v>533</v>
      </c>
      <c r="D9" s="282"/>
      <c r="E9" s="282" t="s">
        <v>629</v>
      </c>
    </row>
    <row r="10" spans="1:5" s="224" customFormat="1">
      <c r="A10" s="268">
        <v>42572</v>
      </c>
      <c r="B10" s="282" t="s">
        <v>606</v>
      </c>
      <c r="C10" s="282" t="s">
        <v>624</v>
      </c>
      <c r="D10" s="282"/>
      <c r="E10" s="282" t="s">
        <v>625</v>
      </c>
    </row>
    <row r="11" spans="1:5" s="224" customFormat="1">
      <c r="A11" s="268">
        <v>42536</v>
      </c>
      <c r="B11" s="282" t="s">
        <v>606</v>
      </c>
      <c r="C11" s="282" t="s">
        <v>551</v>
      </c>
      <c r="D11" s="282"/>
      <c r="E11" s="282" t="s">
        <v>623</v>
      </c>
    </row>
    <row r="12" spans="1:5" s="224" customFormat="1">
      <c r="A12" s="268">
        <v>42502</v>
      </c>
      <c r="B12" s="282" t="s">
        <v>606</v>
      </c>
      <c r="C12" s="282" t="s">
        <v>533</v>
      </c>
      <c r="D12" s="282"/>
      <c r="E12" s="282" t="s">
        <v>622</v>
      </c>
    </row>
    <row r="13" spans="1:5" s="224" customFormat="1">
      <c r="A13" s="268">
        <v>42501</v>
      </c>
      <c r="B13" s="282" t="s">
        <v>606</v>
      </c>
      <c r="C13" s="282" t="s">
        <v>533</v>
      </c>
      <c r="D13" s="282"/>
      <c r="E13" s="282" t="s">
        <v>621</v>
      </c>
    </row>
    <row r="14" spans="1:5" s="224" customFormat="1">
      <c r="A14" s="268">
        <v>42488</v>
      </c>
      <c r="B14" s="282" t="s">
        <v>606</v>
      </c>
      <c r="C14" s="282" t="s">
        <v>551</v>
      </c>
      <c r="D14" s="282" t="s">
        <v>618</v>
      </c>
      <c r="E14" s="282" t="s">
        <v>619</v>
      </c>
    </row>
    <row r="15" spans="1:5" s="224" customFormat="1">
      <c r="A15" s="268">
        <v>42487</v>
      </c>
      <c r="B15" s="282" t="s">
        <v>606</v>
      </c>
      <c r="C15" s="282" t="s">
        <v>533</v>
      </c>
      <c r="D15" s="282"/>
      <c r="E15" s="282" t="s">
        <v>615</v>
      </c>
    </row>
    <row r="16" spans="1:5" s="224" customFormat="1">
      <c r="A16" s="268">
        <v>42487</v>
      </c>
      <c r="B16" s="282" t="s">
        <v>606</v>
      </c>
      <c r="C16" s="282" t="s">
        <v>533</v>
      </c>
      <c r="D16" s="282" t="s">
        <v>614</v>
      </c>
      <c r="E16" s="282" t="s">
        <v>613</v>
      </c>
    </row>
    <row r="17" spans="1:5" s="224" customFormat="1">
      <c r="A17" s="268">
        <v>42487</v>
      </c>
      <c r="B17" s="282" t="s">
        <v>606</v>
      </c>
      <c r="C17" s="282" t="s">
        <v>533</v>
      </c>
      <c r="D17" s="282" t="s">
        <v>611</v>
      </c>
      <c r="E17" s="282" t="s">
        <v>612</v>
      </c>
    </row>
    <row r="18" spans="1:5" s="224" customFormat="1">
      <c r="A18" s="268">
        <v>42486</v>
      </c>
      <c r="B18" s="282" t="s">
        <v>606</v>
      </c>
      <c r="C18" s="282" t="s">
        <v>533</v>
      </c>
      <c r="D18" s="282" t="s">
        <v>610</v>
      </c>
      <c r="E18" s="282" t="s">
        <v>609</v>
      </c>
    </row>
    <row r="19" spans="1:5" s="282" customFormat="1">
      <c r="A19" s="268">
        <v>42486</v>
      </c>
      <c r="B19" s="282" t="s">
        <v>606</v>
      </c>
      <c r="C19" s="282" t="s">
        <v>533</v>
      </c>
      <c r="D19" s="282" t="s">
        <v>607</v>
      </c>
      <c r="E19" s="282" t="s">
        <v>608</v>
      </c>
    </row>
    <row r="20" spans="1:5" s="224" customFormat="1">
      <c r="A20" s="268">
        <v>42479</v>
      </c>
      <c r="B20" s="282" t="s">
        <v>536</v>
      </c>
      <c r="C20" s="282" t="s">
        <v>539</v>
      </c>
      <c r="D20" s="282"/>
      <c r="E20" s="282" t="s">
        <v>540</v>
      </c>
    </row>
    <row r="21" spans="1:5" s="224" customFormat="1">
      <c r="A21" s="268">
        <v>42479</v>
      </c>
      <c r="B21" s="282" t="s">
        <v>536</v>
      </c>
      <c r="C21" s="282" t="s">
        <v>537</v>
      </c>
      <c r="D21" s="282"/>
      <c r="E21" s="282" t="s">
        <v>538</v>
      </c>
    </row>
    <row r="22" spans="1:5" s="224" customFormat="1">
      <c r="A22" s="268">
        <v>42467</v>
      </c>
      <c r="B22" s="282" t="s">
        <v>532</v>
      </c>
      <c r="C22" s="282" t="s">
        <v>533</v>
      </c>
      <c r="D22" s="282" t="s">
        <v>535</v>
      </c>
      <c r="E22" s="282" t="s">
        <v>534</v>
      </c>
    </row>
    <row r="23" spans="1:5" s="267" customFormat="1">
      <c r="A23" s="268">
        <v>42261</v>
      </c>
      <c r="B23" s="267" t="s">
        <v>528</v>
      </c>
      <c r="C23" s="267" t="s">
        <v>529</v>
      </c>
      <c r="D23" s="267" t="e">
        <f>ADDRESS(ROW(#REF!),COLUMN(#REF!),4,1)</f>
        <v>#REF!</v>
      </c>
      <c r="E23" s="267" t="s">
        <v>530</v>
      </c>
    </row>
    <row r="24" spans="1:5" s="267" customFormat="1">
      <c r="A24" s="268">
        <v>42129</v>
      </c>
      <c r="B24" s="267" t="s">
        <v>522</v>
      </c>
      <c r="C24" s="267" t="s">
        <v>511</v>
      </c>
      <c r="D24" s="267" t="e">
        <f>ADDRESS(ROW(#REF!),COLUMN(#REF!),4,1)</f>
        <v>#REF!</v>
      </c>
      <c r="E24" s="267" t="s">
        <v>526</v>
      </c>
    </row>
    <row r="25" spans="1:5" s="267" customFormat="1">
      <c r="A25" s="268">
        <v>42129</v>
      </c>
      <c r="B25" s="267" t="s">
        <v>522</v>
      </c>
      <c r="C25" s="267" t="s">
        <v>523</v>
      </c>
      <c r="D25" s="267" t="e">
        <f>ADDRESS(ROW(#REF!),COLUMN(#REF!),4,1)</f>
        <v>#REF!</v>
      </c>
      <c r="E25" s="267" t="s">
        <v>525</v>
      </c>
    </row>
    <row r="26" spans="1:5" s="267" customFormat="1">
      <c r="A26" s="268">
        <v>42129</v>
      </c>
      <c r="B26" s="267" t="s">
        <v>522</v>
      </c>
      <c r="C26" s="267" t="s">
        <v>523</v>
      </c>
      <c r="D26" s="267" t="e">
        <f>ADDRESS(ROW(#REF!),COLUMN(#REF!),4,1)</f>
        <v>#REF!</v>
      </c>
      <c r="E26" s="267" t="s">
        <v>524</v>
      </c>
    </row>
    <row r="27" spans="1:5" s="267" customFormat="1">
      <c r="A27" s="268">
        <v>42074</v>
      </c>
      <c r="B27" s="267" t="s">
        <v>510</v>
      </c>
      <c r="C27" s="267" t="s">
        <v>511</v>
      </c>
      <c r="D27" s="267" t="e">
        <f>ADDRESS(ROW(#REF!),COLUMN(#REF!),4,1)&amp;","&amp;ADDRESS(ROW(#REF!),COLUMN(#REF!),4,1)&amp;","&amp;ADDRESS(ROW(#REF!),COLUMN(#REF!),4,1)&amp;","&amp;ADDRESS(ROW(#REF!),COLUMN(#REF!),4,1)</f>
        <v>#REF!</v>
      </c>
      <c r="E27" s="267" t="s">
        <v>512</v>
      </c>
    </row>
    <row r="28" spans="1:5">
      <c r="A28" s="269">
        <v>41841</v>
      </c>
      <c r="B28" s="224" t="s">
        <v>477</v>
      </c>
      <c r="C28" s="224" t="s">
        <v>479</v>
      </c>
      <c r="D28" s="224" t="s">
        <v>513</v>
      </c>
      <c r="E28" s="224" t="s">
        <v>514</v>
      </c>
    </row>
    <row r="29" spans="1:5">
      <c r="A29" s="269">
        <v>41841</v>
      </c>
      <c r="B29" s="224" t="s">
        <v>477</v>
      </c>
      <c r="C29" s="224" t="s">
        <v>478</v>
      </c>
      <c r="D29" s="224" t="s">
        <v>513</v>
      </c>
      <c r="E29" s="224" t="s">
        <v>514</v>
      </c>
    </row>
    <row r="30" spans="1:5">
      <c r="A30" s="269">
        <v>41802</v>
      </c>
      <c r="B30" s="224" t="s">
        <v>474</v>
      </c>
      <c r="C30" s="224" t="s">
        <v>476</v>
      </c>
      <c r="D30" s="224" t="s">
        <v>515</v>
      </c>
      <c r="E30" s="224" t="s">
        <v>517</v>
      </c>
    </row>
    <row r="31" spans="1:5">
      <c r="A31" s="269">
        <v>41802</v>
      </c>
      <c r="B31" s="224" t="s">
        <v>474</v>
      </c>
      <c r="C31" s="224" t="s">
        <v>475</v>
      </c>
      <c r="D31" s="74" t="s">
        <v>515</v>
      </c>
      <c r="E31" s="224" t="s">
        <v>516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tabColor theme="9"/>
  </sheetPr>
  <dimension ref="B1:D47"/>
  <sheetViews>
    <sheetView topLeftCell="A8" workbookViewId="0">
      <selection activeCell="C44" sqref="C44"/>
    </sheetView>
  </sheetViews>
  <sheetFormatPr defaultColWidth="9.21875" defaultRowHeight="13.8"/>
  <cols>
    <col min="1" max="1" width="9.21875" style="289"/>
    <col min="2" max="2" width="24" style="289" bestFit="1" customWidth="1"/>
    <col min="3" max="3" width="138.44140625" style="289" customWidth="1"/>
    <col min="4" max="16384" width="9.21875" style="289"/>
  </cols>
  <sheetData>
    <row r="1" spans="2:4" ht="18">
      <c r="B1" s="288" t="s">
        <v>541</v>
      </c>
    </row>
    <row r="3" spans="2:4" ht="14.4">
      <c r="B3" s="290" t="s">
        <v>542</v>
      </c>
      <c r="C3" s="289" t="s">
        <v>549</v>
      </c>
    </row>
    <row r="4" spans="2:4" ht="14.4">
      <c r="B4" s="290" t="s">
        <v>543</v>
      </c>
      <c r="C4" s="289" t="s">
        <v>557</v>
      </c>
    </row>
    <row r="5" spans="2:4" ht="14.4">
      <c r="B5" s="290"/>
    </row>
    <row r="6" spans="2:4" ht="14.4">
      <c r="B6" s="290" t="s">
        <v>544</v>
      </c>
      <c r="C6" s="289" t="s">
        <v>548</v>
      </c>
    </row>
    <row r="7" spans="2:4" ht="14.4">
      <c r="B7" s="290"/>
    </row>
    <row r="8" spans="2:4" ht="14.4">
      <c r="B8" s="291" t="s">
        <v>545</v>
      </c>
    </row>
    <row r="9" spans="2:4" ht="14.4">
      <c r="B9" s="290"/>
      <c r="D9" s="289" t="s">
        <v>697</v>
      </c>
    </row>
    <row r="10" spans="2:4" ht="14.4">
      <c r="B10" s="295" t="s">
        <v>546</v>
      </c>
      <c r="C10" s="292" t="s">
        <v>547</v>
      </c>
    </row>
    <row r="11" spans="2:4" ht="14.4">
      <c r="B11" s="294" t="s">
        <v>529</v>
      </c>
      <c r="C11" s="292" t="s">
        <v>527</v>
      </c>
    </row>
    <row r="12" spans="2:4" ht="14.4">
      <c r="B12" s="294" t="s">
        <v>698</v>
      </c>
      <c r="C12" s="292" t="s">
        <v>703</v>
      </c>
      <c r="D12" s="289" t="s">
        <v>2101</v>
      </c>
    </row>
    <row r="13" spans="2:4" ht="14.4">
      <c r="B13" s="294" t="s">
        <v>699</v>
      </c>
      <c r="C13" s="292" t="s">
        <v>704</v>
      </c>
      <c r="D13" s="289" t="s">
        <v>2101</v>
      </c>
    </row>
    <row r="14" spans="2:4" ht="14.4">
      <c r="B14" s="294" t="s">
        <v>700</v>
      </c>
      <c r="C14" s="292" t="s">
        <v>705</v>
      </c>
      <c r="D14" s="289" t="s">
        <v>2101</v>
      </c>
    </row>
    <row r="15" spans="2:4" ht="14.4">
      <c r="B15" s="294" t="s">
        <v>701</v>
      </c>
      <c r="C15" s="292" t="s">
        <v>706</v>
      </c>
      <c r="D15" s="289" t="s">
        <v>2101</v>
      </c>
    </row>
    <row r="16" spans="2:4" ht="14.4">
      <c r="B16" s="294" t="s">
        <v>702</v>
      </c>
      <c r="C16" s="292" t="s">
        <v>707</v>
      </c>
      <c r="D16" s="289" t="s">
        <v>2101</v>
      </c>
    </row>
    <row r="17" spans="2:4" ht="14.4">
      <c r="B17" s="294" t="s">
        <v>511</v>
      </c>
      <c r="C17" s="292" t="s">
        <v>558</v>
      </c>
      <c r="D17" s="289" t="s">
        <v>2101</v>
      </c>
    </row>
    <row r="18" spans="2:4" ht="14.4">
      <c r="B18" s="294" t="s">
        <v>550</v>
      </c>
      <c r="C18" s="292" t="s">
        <v>559</v>
      </c>
      <c r="D18" s="289" t="s">
        <v>2101</v>
      </c>
    </row>
    <row r="19" spans="2:4" ht="14.4">
      <c r="B19" s="294" t="s">
        <v>552</v>
      </c>
      <c r="C19" s="292" t="s">
        <v>560</v>
      </c>
      <c r="D19" s="289" t="s">
        <v>2101</v>
      </c>
    </row>
    <row r="20" spans="2:4" ht="14.4">
      <c r="B20" s="294" t="s">
        <v>553</v>
      </c>
      <c r="C20" s="292" t="s">
        <v>561</v>
      </c>
      <c r="D20" s="289" t="s">
        <v>2101</v>
      </c>
    </row>
    <row r="21" spans="2:4" ht="14.4">
      <c r="B21" s="294" t="s">
        <v>554</v>
      </c>
      <c r="C21" s="292" t="s">
        <v>562</v>
      </c>
      <c r="D21" s="289" t="s">
        <v>2101</v>
      </c>
    </row>
    <row r="22" spans="2:4" ht="14.4">
      <c r="B22" s="294" t="s">
        <v>555</v>
      </c>
      <c r="C22" s="292" t="s">
        <v>563</v>
      </c>
      <c r="D22" s="289" t="s">
        <v>2101</v>
      </c>
    </row>
    <row r="23" spans="2:4" ht="14.4">
      <c r="B23" s="294" t="s">
        <v>556</v>
      </c>
      <c r="C23" s="292" t="s">
        <v>564</v>
      </c>
      <c r="D23" s="289" t="s">
        <v>2101</v>
      </c>
    </row>
    <row r="24" spans="2:4" ht="14.4">
      <c r="B24" s="297" t="s">
        <v>551</v>
      </c>
      <c r="C24" s="292" t="s">
        <v>616</v>
      </c>
      <c r="D24" s="289" t="s">
        <v>2101</v>
      </c>
    </row>
    <row r="25" spans="2:4" ht="14.4">
      <c r="B25" s="293" t="s">
        <v>565</v>
      </c>
      <c r="C25" s="292" t="s">
        <v>583</v>
      </c>
    </row>
    <row r="26" spans="2:4" ht="14.4">
      <c r="B26" s="293" t="s">
        <v>37</v>
      </c>
      <c r="C26" s="292" t="s">
        <v>584</v>
      </c>
    </row>
    <row r="27" spans="2:4" ht="14.4">
      <c r="B27" s="293" t="s">
        <v>566</v>
      </c>
      <c r="C27" s="292" t="s">
        <v>585</v>
      </c>
    </row>
    <row r="28" spans="2:4" ht="14.4">
      <c r="B28" s="293" t="s">
        <v>567</v>
      </c>
      <c r="C28" s="292" t="s">
        <v>586</v>
      </c>
    </row>
    <row r="29" spans="2:4" ht="14.4">
      <c r="B29" s="293" t="s">
        <v>568</v>
      </c>
      <c r="C29" s="292" t="s">
        <v>587</v>
      </c>
    </row>
    <row r="30" spans="2:4" ht="14.4">
      <c r="B30" s="293" t="s">
        <v>569</v>
      </c>
      <c r="C30" s="292" t="s">
        <v>588</v>
      </c>
    </row>
    <row r="31" spans="2:4" ht="14.4">
      <c r="B31" s="293" t="s">
        <v>570</v>
      </c>
      <c r="C31" s="292" t="s">
        <v>589</v>
      </c>
    </row>
    <row r="32" spans="2:4" ht="14.4">
      <c r="B32" s="293" t="s">
        <v>93</v>
      </c>
      <c r="C32" s="292" t="s">
        <v>590</v>
      </c>
    </row>
    <row r="33" spans="2:3" ht="14.4">
      <c r="B33" s="293" t="s">
        <v>99</v>
      </c>
      <c r="C33" s="292" t="s">
        <v>591</v>
      </c>
    </row>
    <row r="34" spans="2:3" ht="14.4">
      <c r="B34" s="293" t="s">
        <v>571</v>
      </c>
      <c r="C34" s="292" t="s">
        <v>592</v>
      </c>
    </row>
    <row r="35" spans="2:3" ht="14.4">
      <c r="B35" s="293" t="s">
        <v>572</v>
      </c>
      <c r="C35" s="292" t="s">
        <v>593</v>
      </c>
    </row>
    <row r="36" spans="2:3" ht="14.4">
      <c r="B36" s="293" t="s">
        <v>573</v>
      </c>
      <c r="C36" s="292" t="s">
        <v>594</v>
      </c>
    </row>
    <row r="37" spans="2:3" ht="14.4">
      <c r="B37" s="293" t="s">
        <v>574</v>
      </c>
      <c r="C37" s="292" t="s">
        <v>595</v>
      </c>
    </row>
    <row r="38" spans="2:3" ht="14.4">
      <c r="B38" s="293" t="s">
        <v>575</v>
      </c>
      <c r="C38" s="292" t="s">
        <v>596</v>
      </c>
    </row>
    <row r="39" spans="2:3" ht="14.4">
      <c r="B39" s="293" t="s">
        <v>576</v>
      </c>
      <c r="C39" s="292" t="s">
        <v>597</v>
      </c>
    </row>
    <row r="40" spans="2:3" ht="14.4">
      <c r="B40" s="293" t="s">
        <v>117</v>
      </c>
      <c r="C40" s="292" t="s">
        <v>598</v>
      </c>
    </row>
    <row r="41" spans="2:3" ht="14.4">
      <c r="B41" s="293" t="s">
        <v>577</v>
      </c>
      <c r="C41" s="292" t="s">
        <v>599</v>
      </c>
    </row>
    <row r="42" spans="2:3" ht="14.4">
      <c r="B42" s="293" t="s">
        <v>578</v>
      </c>
      <c r="C42" s="289" t="s">
        <v>600</v>
      </c>
    </row>
    <row r="43" spans="2:3" ht="14.4">
      <c r="B43" s="293" t="s">
        <v>579</v>
      </c>
      <c r="C43" s="289" t="s">
        <v>601</v>
      </c>
    </row>
    <row r="44" spans="2:3" ht="14.4">
      <c r="B44" s="293" t="s">
        <v>580</v>
      </c>
      <c r="C44" s="289" t="s">
        <v>602</v>
      </c>
    </row>
    <row r="45" spans="2:3" ht="14.4">
      <c r="B45" s="293" t="s">
        <v>581</v>
      </c>
      <c r="C45" s="289" t="s">
        <v>603</v>
      </c>
    </row>
    <row r="46" spans="2:3" ht="14.4">
      <c r="B46" s="293" t="s">
        <v>582</v>
      </c>
      <c r="C46" s="289" t="s">
        <v>604</v>
      </c>
    </row>
    <row r="47" spans="2:3" ht="14.4">
      <c r="B47" s="293" t="s">
        <v>264</v>
      </c>
      <c r="C47" s="289" t="s">
        <v>605</v>
      </c>
    </row>
  </sheetData>
  <phoneticPr fontId="115" type="noConversion"/>
  <conditionalFormatting sqref="C3">
    <cfRule type="cellIs" dxfId="7" priority="1" operator="equal">
      <formula>"No"</formula>
    </cfRule>
    <cfRule type="cellIs" dxfId="6" priority="2" operator="equal">
      <formula>"Yes"</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theme="9"/>
  </sheetPr>
  <dimension ref="A1"/>
  <sheetViews>
    <sheetView workbookViewId="0">
      <selection activeCell="E32" sqref="E32"/>
    </sheetView>
  </sheetViews>
  <sheetFormatPr defaultRowHeight="14.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A6EB9-1C0C-4612-96EC-C815945AB094}">
  <dimension ref="B1:C4"/>
  <sheetViews>
    <sheetView workbookViewId="0">
      <selection activeCell="H17" sqref="H17"/>
    </sheetView>
  </sheetViews>
  <sheetFormatPr defaultRowHeight="14.4"/>
  <sheetData>
    <row r="1" spans="2:3">
      <c r="B1" t="s">
        <v>783</v>
      </c>
    </row>
    <row r="2" spans="2:3">
      <c r="B2" s="711" t="s">
        <v>1011</v>
      </c>
    </row>
    <row r="3" spans="2:3">
      <c r="B3" s="711" t="s">
        <v>1012</v>
      </c>
    </row>
    <row r="4" spans="2:3">
      <c r="C4" s="711" t="s">
        <v>1013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0F473-A8AD-4E49-9FB9-5B34DD4B5AC6}">
  <sheetPr>
    <tabColor rgb="FF00B050"/>
  </sheetPr>
  <dimension ref="A1:AJ301"/>
  <sheetViews>
    <sheetView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7.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36" ht="14.55" customHeight="1">
      <c r="D1" s="728" t="s">
        <v>1016</v>
      </c>
      <c r="E1" s="729" t="s">
        <v>716</v>
      </c>
      <c r="N1" s="64"/>
      <c r="O1" s="64"/>
      <c r="P1" s="64"/>
      <c r="S1" s="727" t="s">
        <v>1004</v>
      </c>
      <c r="T1" s="776" t="s">
        <v>1003</v>
      </c>
      <c r="U1" s="775" t="s">
        <v>1053</v>
      </c>
      <c r="V1" s="776" t="s">
        <v>1054</v>
      </c>
      <c r="W1" s="780">
        <v>0.3</v>
      </c>
    </row>
    <row r="2" spans="2:36" ht="15" thickBot="1">
      <c r="E2" s="730" t="s">
        <v>531</v>
      </c>
      <c r="N2" s="731"/>
      <c r="O2" s="731"/>
      <c r="P2" s="731"/>
      <c r="S2" s="726">
        <f>MATCH($E$1,$AJ$22:$AJ$35)</f>
        <v>7</v>
      </c>
      <c r="T2" s="778">
        <f>MATCH($E$1,$AJ$22:$AJ$35)+1</f>
        <v>8</v>
      </c>
      <c r="U2" s="779"/>
      <c r="V2" s="768" t="s">
        <v>1055</v>
      </c>
      <c r="W2" s="781">
        <v>0.2</v>
      </c>
    </row>
    <row r="3" spans="2:36" ht="15"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FEMIS~INDSOx</v>
      </c>
      <c r="Y6" s="280" t="str">
        <f>"FEMIS~"&amp;D297</f>
        <v>FEMIS~INDNOx</v>
      </c>
      <c r="Z6" s="280" t="str">
        <f>"FEMIS~"&amp;D298</f>
        <v>FEMIS~INDCH4</v>
      </c>
      <c r="AA6" s="280" t="str">
        <f>"FEMIS~"&amp;D299</f>
        <v>FEMIS~INDNO2</v>
      </c>
      <c r="AB6" s="280" t="str">
        <f>"FEMIS~"&amp;D300</f>
        <v>FEMIS~INDPM</v>
      </c>
      <c r="AC6" s="224" t="s">
        <v>424</v>
      </c>
      <c r="AD6" s="224" t="s">
        <v>2001</v>
      </c>
      <c r="AE6" s="47" t="s">
        <v>338</v>
      </c>
      <c r="AF6" s="221" t="s">
        <v>473</v>
      </c>
    </row>
    <row r="7" spans="2:36"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INDNDPHELCN1</v>
      </c>
      <c r="E9" s="261" t="str">
        <f>"Industrial heating technology "&amp;$AJ$12&amp;" "&amp;RIGHT(H9,2)&amp;" - Heat pump utilizing waste heat - new 1"</f>
        <v>Industrial heating technology N PH - Heat pump utilizing waste heat - new 1</v>
      </c>
      <c r="F9" s="224" t="s">
        <v>1149</v>
      </c>
      <c r="G9" s="173" t="s">
        <v>499</v>
      </c>
      <c r="H9" s="174" t="str">
        <f>$AI$14</f>
        <v>INDPH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INDNWH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INDPH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INDNWH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887</v>
      </c>
    </row>
    <row r="13" spans="2:36">
      <c r="B13" s="357" t="s">
        <v>998</v>
      </c>
      <c r="D13" s="212"/>
      <c r="E13" s="212"/>
      <c r="F13" s="224" t="s">
        <v>1149</v>
      </c>
      <c r="G13" s="173" t="s">
        <v>499</v>
      </c>
      <c r="H13" s="174" t="str">
        <f>$AI$14</f>
        <v>INDPH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INDPH</v>
      </c>
      <c r="AJ13" s="224" t="str">
        <f>"Industry "&amp;$AJ$12&amp;" Demand Heat High Temp. over 150C"</f>
        <v>Industry N Demand Heat High Temp. over 150C</v>
      </c>
    </row>
    <row r="14" spans="2:36">
      <c r="B14" s="357" t="s">
        <v>998</v>
      </c>
      <c r="D14" s="212"/>
      <c r="E14" s="212"/>
      <c r="F14" s="224" t="s">
        <v>1149</v>
      </c>
      <c r="G14" s="173" t="str">
        <f>$AI$20</f>
        <v>INDNWH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INDPH</v>
      </c>
      <c r="AJ14" s="224" t="str">
        <f>"Industry "&amp;$AJ$12&amp;" Demand Heat Medium Temp. up to 150C"</f>
        <v>Industry N Demand Heat Medium Temp. up to 150C</v>
      </c>
    </row>
    <row r="15" spans="2:36">
      <c r="B15" s="357" t="s">
        <v>998</v>
      </c>
      <c r="D15" s="212" t="str">
        <f>"IND"&amp;RIGHT(H15,4)&amp;RIGHT(G15,3)&amp;"N"&amp;RIGHT(E15,1)</f>
        <v>INDNDSHELCN1</v>
      </c>
      <c r="E15" s="261" t="str">
        <f>"Industrial heating technology "&amp;$AJ$12&amp;" "&amp;RIGHT(H15,2)&amp;" - Heat pump utilizing waste heat - new 1"</f>
        <v>Industrial heating technology N SH - Heat pump utilizing waste heat - new 1</v>
      </c>
      <c r="F15" s="224" t="s">
        <v>1149</v>
      </c>
      <c r="G15" s="173" t="s">
        <v>499</v>
      </c>
      <c r="H15" s="174" t="str">
        <f>$AI$15</f>
        <v>INDSH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INDSH</v>
      </c>
      <c r="AJ15" s="224" t="str">
        <f>"Industry "&amp;$AJ$12&amp;" Demand Heat Room Heat"</f>
        <v>Industry N Demand Heat Room Heat</v>
      </c>
    </row>
    <row r="16" spans="2:36">
      <c r="B16" s="357" t="s">
        <v>998</v>
      </c>
      <c r="D16" s="212"/>
      <c r="E16" s="261"/>
      <c r="F16" s="224" t="s">
        <v>1149</v>
      </c>
      <c r="G16" s="173" t="str">
        <f>$AI$20</f>
        <v>INDNWH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INDLA</v>
      </c>
      <c r="AJ16" s="224" t="str">
        <f>"Industry "&amp;$AJ$12&amp;" Demand Light Appliances"</f>
        <v>Industry N Demand Light Appliances</v>
      </c>
    </row>
    <row r="17" spans="2:36">
      <c r="B17" s="357" t="s">
        <v>998</v>
      </c>
      <c r="D17" s="212"/>
      <c r="E17" s="212"/>
      <c r="F17" s="224" t="s">
        <v>1149</v>
      </c>
      <c r="G17" s="173" t="s">
        <v>499</v>
      </c>
      <c r="H17" s="174" t="str">
        <f>$AI$15</f>
        <v>INDSH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INDEM</v>
      </c>
      <c r="AJ17" s="224" t="str">
        <f>"Industry "&amp;$AJ$12&amp;" Demand Electric Motors"</f>
        <v>Industry N Demand Electric Motors</v>
      </c>
    </row>
    <row r="18" spans="2:36">
      <c r="B18" s="357" t="s">
        <v>998</v>
      </c>
      <c r="D18" s="212"/>
      <c r="E18" s="212"/>
      <c r="F18" s="224" t="s">
        <v>1149</v>
      </c>
      <c r="G18" s="173" t="str">
        <f>$AI$20</f>
        <v>INDNWH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INDTF</v>
      </c>
      <c r="AJ18" s="224" t="str">
        <f>"Industry "&amp;$AJ$12&amp;" Demand Tractors, Trucks, Fishing boats, Forest machines"</f>
        <v>Industry N Demand Tractors, Trucks, Fishing boats, Forest machines</v>
      </c>
    </row>
    <row r="19" spans="2:36">
      <c r="B19" s="357" t="s">
        <v>998</v>
      </c>
      <c r="D19" s="212"/>
      <c r="E19" s="212"/>
      <c r="F19" s="224" t="s">
        <v>1149</v>
      </c>
      <c r="G19" s="173" t="s">
        <v>499</v>
      </c>
      <c r="H19" s="174" t="str">
        <f>$AI$15</f>
        <v>INDSH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INDFL</v>
      </c>
      <c r="AJ19" s="224" t="str">
        <f>"Industry "&amp;$AJ$12&amp;" Demand Forklifts"</f>
        <v>Industry N Demand Forklifts</v>
      </c>
    </row>
    <row r="20" spans="2:36">
      <c r="B20" s="357" t="s">
        <v>998</v>
      </c>
      <c r="D20" s="212"/>
      <c r="E20" s="212"/>
      <c r="F20" s="224" t="s">
        <v>1149</v>
      </c>
      <c r="G20" s="173" t="str">
        <f>$AI$20</f>
        <v>INDNWH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INDNWH</v>
      </c>
      <c r="AJ20" s="224" t="str">
        <f>"Industry "&amp;$AJ$12&amp;" Waste Heat"</f>
        <v>Industry N Waste Heat</v>
      </c>
    </row>
    <row r="21" spans="2:36">
      <c r="B21" s="357" t="s">
        <v>999</v>
      </c>
      <c r="D21" s="212" t="str">
        <f>"IND"&amp;RIGHT(H21,4)&amp;RIGHT(G21,3)&amp;"N"&amp;RIGHT(E21,1)</f>
        <v>INDNDPHELCN2</v>
      </c>
      <c r="E21" s="261" t="str">
        <f>"Industrial heating technology "&amp;$AJ$12&amp;" "&amp;RIGHT(H21,2)&amp;" - Heat driven heat pump utilizing waste heat - new 2"</f>
        <v>Industrial heating technology N PH - Heat driven heat pump utilizing waste heat - new 2</v>
      </c>
      <c r="F21" s="224" t="s">
        <v>1149</v>
      </c>
      <c r="G21" s="173" t="s">
        <v>499</v>
      </c>
      <c r="H21" s="174" t="str">
        <f>$AI$14</f>
        <v>INDPH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INDCO</v>
      </c>
      <c r="AJ21" s="224" t="str">
        <f>"Industry "&amp;$AJ$12&amp;" Cooling"</f>
        <v>Industry N Cooling</v>
      </c>
    </row>
    <row r="22" spans="2:36">
      <c r="B22" s="357" t="s">
        <v>999</v>
      </c>
      <c r="D22" s="212"/>
      <c r="E22" s="261"/>
      <c r="F22" s="224" t="s">
        <v>1149</v>
      </c>
      <c r="G22" s="173" t="str">
        <f>$AI$20</f>
        <v>INDNWH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INDPH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5" customHeight="1">
      <c r="B24" s="357" t="s">
        <v>999</v>
      </c>
      <c r="D24" s="212"/>
      <c r="E24" s="212"/>
      <c r="F24" s="224" t="s">
        <v>1149</v>
      </c>
      <c r="G24" s="173" t="str">
        <f>$AI$20</f>
        <v>INDNWH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5" customHeight="1">
      <c r="B25" s="357" t="s">
        <v>999</v>
      </c>
      <c r="D25" s="212"/>
      <c r="E25" s="212"/>
      <c r="F25" s="224" t="s">
        <v>1149</v>
      </c>
      <c r="G25" s="173" t="s">
        <v>499</v>
      </c>
      <c r="H25" s="174" t="str">
        <f>$AI$14</f>
        <v>INDPH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INDNWH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INDNDSHELCN2</v>
      </c>
      <c r="E27" s="261" t="str">
        <f>"Industrial heating technology "&amp;$AJ$12&amp;" "&amp;RIGHT(H27,2)&amp;" - Heat driven heat pump utilizing waste heat - new 2"</f>
        <v>Industrial heating technology N SH - Heat driven heat pump utilizing waste heat - new 2</v>
      </c>
      <c r="F27" s="224" t="s">
        <v>1149</v>
      </c>
      <c r="G27" s="173" t="s">
        <v>499</v>
      </c>
      <c r="H27" s="174" t="str">
        <f>$AI$15</f>
        <v>INDSH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INDNWH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INDSH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INDNWH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INDSH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INDNWH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INDNDPHELCN3</v>
      </c>
      <c r="E33" s="261" t="str">
        <f>"Industrial heating technology "&amp;$AJ$12&amp;" "&amp;RIGHT(H33,2)&amp;" - High Temp abs. Heat pump utilizing waste heat - new 3"</f>
        <v>Industrial heating technology N PH - High Temp abs. Heat pump utilizing waste heat - new 3</v>
      </c>
      <c r="F33" s="224" t="s">
        <v>1149</v>
      </c>
      <c r="G33" s="173" t="s">
        <v>499</v>
      </c>
      <c r="H33" s="174" t="str">
        <f>$AI$14</f>
        <v>INDPH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INDNWH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INDPH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INDNWH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INDPH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INDNWH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INDNDSHELCN3</v>
      </c>
      <c r="E39" s="261" t="str">
        <f>"Industrial heating technology "&amp;$AJ$12&amp;" "&amp;RIGHT(H39,2)&amp;" - High Temp abs. Heat pump utilizing waste heat - new 3"</f>
        <v>Industrial heating technology N SH - High Temp abs. Heat pump utilizing waste heat - new 3</v>
      </c>
      <c r="F39" s="224" t="s">
        <v>1149</v>
      </c>
      <c r="G39" s="173" t="s">
        <v>499</v>
      </c>
      <c r="H39" s="174" t="str">
        <f>$AI$15</f>
        <v>INDSH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INDNWH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INDSH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INDNWH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INDSH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INDNWH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INDNDPHELCN4</v>
      </c>
      <c r="E45" s="261" t="str">
        <f>"Industrial heating technology "&amp;$AJ$12&amp;" "&amp;RIGHT(H45,2)&amp;" - Booster Heat pump utilizing waste heat - new 4"</f>
        <v>Industrial heating technology N PH - Booster Heat pump utilizing waste heat - new 4</v>
      </c>
      <c r="F45" s="224" t="s">
        <v>1149</v>
      </c>
      <c r="G45" s="173" t="s">
        <v>499</v>
      </c>
      <c r="H45" s="174" t="str">
        <f>$AI$14</f>
        <v>INDPH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INDNWH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INDPH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INDNWH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INDPH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INDNWH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INDNDSHELCN4</v>
      </c>
      <c r="E51" s="261" t="str">
        <f>"Industrial heating technology "&amp;$AJ$12&amp;" "&amp;RIGHT(H51,2)&amp;" - Booster Heat pump utilizing waste heat - new 4"</f>
        <v>Industrial heating technology N SH - Booster Heat pump utilizing waste heat - new 4</v>
      </c>
      <c r="F51" s="224" t="s">
        <v>1149</v>
      </c>
      <c r="G51" s="173" t="s">
        <v>499</v>
      </c>
      <c r="H51" s="174" t="str">
        <f>$AI$15</f>
        <v>INDSH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INDNWH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INDSH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INDNWH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INDSH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INDNWH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INDNDPHELCN5</v>
      </c>
      <c r="E57" s="261" t="str">
        <f>"Industrial heating technology "&amp;$AJ$12&amp;" "&amp;RIGHT(H57,2)&amp;" - MVR utilizing waste heat - new 5"</f>
        <v>Industrial heating technology N PH - MVR utilizing waste heat - new 5</v>
      </c>
      <c r="F57" s="224" t="s">
        <v>1149</v>
      </c>
      <c r="G57" s="173" t="s">
        <v>499</v>
      </c>
      <c r="H57" s="174" t="str">
        <f>$AI$14</f>
        <v>INDPH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INDNWH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INDPH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INDNWH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INDPH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INDNWH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INDNDPHWSTN1</v>
      </c>
      <c r="E63" s="261" t="str">
        <f>"Industrial heating technology "&amp;$AJ$12&amp;" "&amp;RIGHT(H63,2)&amp;" - Hotdisc - new 1"</f>
        <v>Industrial heating technology N PH - Hotdisc - new 1</v>
      </c>
      <c r="F63" s="224" t="s">
        <v>1149</v>
      </c>
      <c r="G63" s="832" t="s">
        <v>1005</v>
      </c>
      <c r="H63" s="174" t="str">
        <f>$AI$13</f>
        <v>INDPH</v>
      </c>
      <c r="I63" s="173" t="str">
        <f t="shared" ref="I63:I126" si="21">$AI$20</f>
        <v>INDNWH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INDNWH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INDNWH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INDNDPHELCN6</v>
      </c>
      <c r="E66" s="261" t="str">
        <f>"Industrial heating technology "&amp;$AJ$12&amp;" "&amp;RIGHT(H66,2)&amp;" - Dielectric heating - new 6"</f>
        <v>Industrial heating technology N PH - Dielectric heating - new 6</v>
      </c>
      <c r="F66" s="224" t="s">
        <v>1149</v>
      </c>
      <c r="G66" s="173" t="s">
        <v>499</v>
      </c>
      <c r="H66" s="174" t="str">
        <f>$AI$14</f>
        <v>INDPH</v>
      </c>
      <c r="I66" s="173" t="str">
        <f t="shared" si="21"/>
        <v>INDNWH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INDNWH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INDNWH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INDNDPHELCN7</v>
      </c>
      <c r="E69" s="261" t="str">
        <f>"Industrial heating technology "&amp;$AJ$12&amp;" "&amp;RIGHT(H69,2)&amp;" - Infrared heating - new 7"</f>
        <v>Industrial heating technology N PH - Infrared heating - new 7</v>
      </c>
      <c r="F69" s="224" t="s">
        <v>1149</v>
      </c>
      <c r="G69" s="173" t="s">
        <v>499</v>
      </c>
      <c r="H69" s="174" t="str">
        <f>$AI$14</f>
        <v>INDPH</v>
      </c>
      <c r="I69" s="173" t="str">
        <f t="shared" si="21"/>
        <v>INDNWH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INDNWH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INDNWH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INDNDPHELCN8</v>
      </c>
      <c r="E72" s="261" t="str">
        <f>"Industrial heating technology "&amp;$AJ$12&amp;" "&amp;RIGHT(H72,2)&amp;" - Electric boiler (Steam) - new 8"</f>
        <v>Industrial heating technology N PH - Electric boiler (Steam) - new 8</v>
      </c>
      <c r="F72" s="224" t="s">
        <v>1149</v>
      </c>
      <c r="G72" s="173" t="s">
        <v>499</v>
      </c>
      <c r="H72" s="174" t="str">
        <f>$AI$13</f>
        <v>INDPH</v>
      </c>
      <c r="I72" s="174" t="str">
        <f t="shared" si="21"/>
        <v>INDNWH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INDNWH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INDNWH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INDNDPHELCN8</v>
      </c>
      <c r="E75" s="261" t="str">
        <f>"Industrial heating technology "&amp;$AJ$12&amp;" "&amp;RIGHT(H75,2)&amp;" - Electric boiler (Steam) - new 8"</f>
        <v>Industrial heating technology N PH - Electric boiler (Steam) - new 8</v>
      </c>
      <c r="F75" s="224" t="s">
        <v>1149</v>
      </c>
      <c r="G75" s="173" t="s">
        <v>499</v>
      </c>
      <c r="H75" s="174" t="str">
        <f>$AI$14</f>
        <v>INDPH</v>
      </c>
      <c r="I75" s="174" t="str">
        <f t="shared" si="21"/>
        <v>INDNWH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INDNWH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INDNWH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INDNDSHELCN8</v>
      </c>
      <c r="E78" s="261" t="str">
        <f>"Industrial heating technology "&amp;$AJ$12&amp;" "&amp;RIGHT(H78,2)&amp;" - Electric boiler (Steam) - new 8"</f>
        <v>Industrial heating technology N SH - Electric boiler (Steam) - new 8</v>
      </c>
      <c r="F78" s="224" t="s">
        <v>1149</v>
      </c>
      <c r="G78" s="173" t="s">
        <v>499</v>
      </c>
      <c r="H78" s="174" t="str">
        <f>$AI$15</f>
        <v>INDSH</v>
      </c>
      <c r="I78" s="174" t="str">
        <f t="shared" si="21"/>
        <v>INDNWH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INDNWH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INDNWH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INDNDPHELCN9</v>
      </c>
      <c r="E81" s="707" t="str">
        <f>"Industrial heating technology "&amp;$AJ$12&amp;" "&amp;RIGHT(H81,2)&amp;" - Electric boiler (Hot Water) - new 9"</f>
        <v>Industrial heating technology N PH - Electric boiler (Hot Water) - new 9</v>
      </c>
      <c r="F81" s="224" t="s">
        <v>1149</v>
      </c>
      <c r="G81" s="708" t="s">
        <v>499</v>
      </c>
      <c r="H81" s="708" t="str">
        <f>$AI$14</f>
        <v>INDPH</v>
      </c>
      <c r="I81" s="708" t="str">
        <f t="shared" si="21"/>
        <v>INDNWH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INDNWH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INDNWH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INDNDSHELCN9</v>
      </c>
      <c r="E84" s="261" t="str">
        <f>"Industrial heating technology "&amp;$AJ$12&amp;" "&amp;RIGHT(H84,2)&amp;" - Electric boiler (Hot Water) - new 9"</f>
        <v>Industrial heating technology N SH - Electric boiler (Hot Water) - new 9</v>
      </c>
      <c r="F84" s="224" t="s">
        <v>1149</v>
      </c>
      <c r="G84" s="174" t="s">
        <v>499</v>
      </c>
      <c r="H84" s="174" t="str">
        <f>$AI$15</f>
        <v>INDSH</v>
      </c>
      <c r="I84" s="174" t="str">
        <f t="shared" si="21"/>
        <v>INDNWH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INDNWH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INDNWH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INDNDPHWCHN1</v>
      </c>
      <c r="E87" s="261" t="str">
        <f>"Industrial heating technology "&amp;$AJ$12&amp;" "&amp;RIGHT(H87,2)&amp;" - Wood chip boiler (Steam) - new 1"</f>
        <v>Industrial heating technology N PH - Wood chip boiler (Steam) - new 1</v>
      </c>
      <c r="F87" s="224" t="s">
        <v>1149</v>
      </c>
      <c r="G87" s="173" t="s">
        <v>498</v>
      </c>
      <c r="H87" s="174" t="str">
        <f>$AI$13</f>
        <v>INDPH</v>
      </c>
      <c r="I87" s="174" t="str">
        <f t="shared" si="21"/>
        <v>INDNWH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INDNWH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INDNWH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INDNDPHWCHN1</v>
      </c>
      <c r="E90" s="261" t="str">
        <f>"Industrial heating technology "&amp;$AJ$12&amp;" "&amp;RIGHT(H90,2)&amp;" - Wood chip boiler (Steam) - new 1"</f>
        <v>Industrial heating technology N PH - Wood chip boiler (Steam) - new 1</v>
      </c>
      <c r="F90" s="224" t="s">
        <v>1149</v>
      </c>
      <c r="G90" s="173" t="s">
        <v>498</v>
      </c>
      <c r="H90" s="174" t="str">
        <f>$AI$14</f>
        <v>INDPH</v>
      </c>
      <c r="I90" s="174" t="str">
        <f t="shared" si="21"/>
        <v>INDNWH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INDNWH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INDNWH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INDNDSHWCHN1</v>
      </c>
      <c r="E93" s="261" t="str">
        <f>"Industrial heating technology "&amp;$AJ$12&amp;" "&amp;RIGHT(H93,2)&amp;" - Wood chip boiler (Steam) - new 1"</f>
        <v>Industrial heating technology N SH - Wood chip boiler (Steam) - new 1</v>
      </c>
      <c r="F93" s="224" t="s">
        <v>1149</v>
      </c>
      <c r="G93" s="173" t="s">
        <v>498</v>
      </c>
      <c r="H93" s="174" t="str">
        <f>$AI$15</f>
        <v>INDSH</v>
      </c>
      <c r="I93" s="174" t="str">
        <f t="shared" si="21"/>
        <v>INDNWH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INDNWH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INDNWH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INDNDPHWCHN2</v>
      </c>
      <c r="E96" s="707" t="str">
        <f>"Industrial heating technology "&amp;$AJ$12&amp;" "&amp;RIGHT(H96,2)&amp;" - Wood chip boiler (Steam - condensing) - new 2"</f>
        <v>Industrial heating technology N PH - Wood chip boiler (Steam - condensing) - new 2</v>
      </c>
      <c r="F96" s="224" t="s">
        <v>1149</v>
      </c>
      <c r="G96" s="708" t="s">
        <v>498</v>
      </c>
      <c r="H96" s="708" t="str">
        <f>$AI$14</f>
        <v>INDPH</v>
      </c>
      <c r="I96" s="708" t="str">
        <f t="shared" si="21"/>
        <v>INDNWH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INDNWH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INDNWH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INDNDSHWCHN2</v>
      </c>
      <c r="E99" s="261" t="str">
        <f>"Industrial heating technology "&amp;$AJ$12&amp;" "&amp;RIGHT(H99,2)&amp;" - Wood chip boiler (Steam - condensing) - new 2"</f>
        <v>Industrial heating technology N SH - Wood chip boiler (Steam - condensing) - new 2</v>
      </c>
      <c r="F99" s="224" t="s">
        <v>1149</v>
      </c>
      <c r="G99" s="174" t="s">
        <v>498</v>
      </c>
      <c r="H99" s="174" t="str">
        <f>$AI$15</f>
        <v>INDSH</v>
      </c>
      <c r="I99" s="174" t="str">
        <f t="shared" si="21"/>
        <v>INDNWH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INDNWH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INDNWH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INDNDPHWCHN3</v>
      </c>
      <c r="E102" s="707" t="str">
        <f>"Industrial heating technology "&amp;$AJ$12&amp;" "&amp;RIGHT(H102,2)&amp;" - Wood chip boiler (Hot Water) - new 3"</f>
        <v>Industrial heating technology N PH - Wood chip boiler (Hot Water) - new 3</v>
      </c>
      <c r="F102" s="224" t="s">
        <v>1149</v>
      </c>
      <c r="G102" s="708" t="s">
        <v>498</v>
      </c>
      <c r="H102" s="708" t="str">
        <f>$AI$14</f>
        <v>INDPH</v>
      </c>
      <c r="I102" s="708" t="str">
        <f t="shared" si="21"/>
        <v>INDNWH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INDNWH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INDNWH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INDNDSHWCHN3</v>
      </c>
      <c r="E105" s="261" t="str">
        <f>"Industrial heating technology "&amp;$AJ$12&amp;" "&amp;RIGHT(H105,2)&amp;" - Wood chip boiler (Hot Water) - new 3"</f>
        <v>Industrial heating technology N SH - Wood chip boiler (Hot Water) - new 3</v>
      </c>
      <c r="F105" s="224" t="s">
        <v>1149</v>
      </c>
      <c r="G105" s="174" t="s">
        <v>498</v>
      </c>
      <c r="H105" s="174" t="str">
        <f>$AI$15</f>
        <v>INDSH</v>
      </c>
      <c r="I105" s="174" t="str">
        <f t="shared" si="21"/>
        <v>INDNWH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INDNWH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INDNWH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INDNDPHWCHN4</v>
      </c>
      <c r="E108" s="707" t="str">
        <f>"Industrial heating technology "&amp;$AJ$12&amp;" "&amp;RIGHT(H108,2)&amp;" - Wood chip boiler (Hot Water - condensing) - new 4"</f>
        <v>Industrial heating technology N PH - Wood chip boiler (Hot Water - condensing) - new 4</v>
      </c>
      <c r="F108" s="224" t="s">
        <v>1149</v>
      </c>
      <c r="G108" s="708" t="s">
        <v>498</v>
      </c>
      <c r="H108" s="708" t="str">
        <f>$AI$14</f>
        <v>INDPH</v>
      </c>
      <c r="I108" s="708" t="str">
        <f t="shared" si="21"/>
        <v>INDNWH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INDNWH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INDNWH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INDNDSHWCHN4</v>
      </c>
      <c r="E111" s="261" t="str">
        <f>"Industrial heating technology "&amp;$AJ$12&amp;" "&amp;RIGHT(H111,2)&amp;" - Wood chip boiler (Hot Water- condensing) - new 4"</f>
        <v>Industrial heating technology N SH - Wood chip boiler (Hot Water- condensing) - new 4</v>
      </c>
      <c r="F111" s="224" t="s">
        <v>1149</v>
      </c>
      <c r="G111" s="174" t="s">
        <v>498</v>
      </c>
      <c r="H111" s="174" t="str">
        <f>$AI$15</f>
        <v>INDSH</v>
      </c>
      <c r="I111" s="174" t="str">
        <f t="shared" si="21"/>
        <v>INDNWH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INDNWH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INDNWH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INDNDPHELCN10</v>
      </c>
      <c r="E114" s="261" t="str">
        <f>"Industrial heating technology "&amp;$AJ$12&amp;" "&amp;RIGHT(H114,2)&amp;" - Direct electric heating - new 10"</f>
        <v>Industrial heating technology N PH - Direct electric heating - new 10</v>
      </c>
      <c r="F114" s="224" t="s">
        <v>1149</v>
      </c>
      <c r="G114" s="173" t="s">
        <v>499</v>
      </c>
      <c r="H114" s="174" t="str">
        <f>$AI$13</f>
        <v>INDPH</v>
      </c>
      <c r="I114" s="174" t="str">
        <f t="shared" si="21"/>
        <v>INDNWH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1</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INDNWH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INDNWH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INDNDPHELCN10</v>
      </c>
      <c r="E117" s="261" t="str">
        <f>"Industrial heating technology "&amp;$AJ$12&amp;" "&amp;RIGHT(H117,2)&amp;" - Direct electric heating - new 10"</f>
        <v>Industrial heating technology N PH - Direct electric heating - new 10</v>
      </c>
      <c r="F117" s="224" t="s">
        <v>1149</v>
      </c>
      <c r="G117" s="173" t="s">
        <v>499</v>
      </c>
      <c r="H117" s="174" t="str">
        <f>$AI$14</f>
        <v>INDPH</v>
      </c>
      <c r="I117" s="174" t="str">
        <f t="shared" si="21"/>
        <v>INDNWH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1</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INDNWH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INDNWH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INDNDPHDSLN1</v>
      </c>
      <c r="E120" s="261" t="str">
        <f>"Industrial heating technology "&amp;$AJ$12&amp;" "&amp;RIGHT(H120,2)&amp;" - Oil boiler (Steam) - new 1"</f>
        <v>Industrial heating technology N PH - Oil boiler (Steam) - new 1</v>
      </c>
      <c r="F120" s="224" t="s">
        <v>1149</v>
      </c>
      <c r="G120" s="173" t="s">
        <v>2081</v>
      </c>
      <c r="H120" s="174" t="str">
        <f>$AI$13</f>
        <v>INDPH</v>
      </c>
      <c r="I120" s="174" t="str">
        <f t="shared" si="21"/>
        <v>INDNWH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INDNWH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INDNWH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INDNDPHDSLN1</v>
      </c>
      <c r="E123" s="261" t="str">
        <f>"Industrial heating technology "&amp;$AJ$12&amp;" "&amp;RIGHT(H123,2)&amp;" - Oil boiler (Steam) - new 1"</f>
        <v>Industrial heating technology N PH - Oil boiler (Steam) - new 1</v>
      </c>
      <c r="F123" s="224" t="s">
        <v>1149</v>
      </c>
      <c r="G123" s="173" t="s">
        <v>2081</v>
      </c>
      <c r="H123" s="174" t="str">
        <f>$AI$14</f>
        <v>INDPH</v>
      </c>
      <c r="I123" s="174" t="str">
        <f t="shared" si="21"/>
        <v>INDNWH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INDNWH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INDNWH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INDNDSHDSLN1</v>
      </c>
      <c r="E126" s="261" t="str">
        <f>"Industrial heating technology "&amp;$AJ$12&amp;" "&amp;RIGHT(H126,2)&amp;" - Oil boiler (Steam) - new 1"</f>
        <v>Industrial heating technology N SH - Oil boiler (Steam) - new 1</v>
      </c>
      <c r="F126" s="224" t="s">
        <v>1149</v>
      </c>
      <c r="G126" s="173" t="s">
        <v>2081</v>
      </c>
      <c r="H126" s="174" t="str">
        <f>$AI$15</f>
        <v>INDSH</v>
      </c>
      <c r="I126" s="174" t="str">
        <f t="shared" si="21"/>
        <v>INDNWH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INDNWH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INDNWH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INDNDPHDSLN2</v>
      </c>
      <c r="E129" s="707" t="str">
        <f>"Industrial heating technology "&amp;$AJ$12&amp;" "&amp;RIGHT(H129,2)&amp;" - Oil boiler (Steam - condensing) - new 2"</f>
        <v>Industrial heating technology N PH - Oil boiler (Steam - condensing) - new 2</v>
      </c>
      <c r="F129" s="224" t="s">
        <v>1149</v>
      </c>
      <c r="G129" s="173" t="s">
        <v>2081</v>
      </c>
      <c r="H129" s="708" t="str">
        <f>$AI$14</f>
        <v>INDPH</v>
      </c>
      <c r="I129" s="708" t="str">
        <f t="shared" si="142"/>
        <v>INDNWH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INDNWH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INDNWH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INDNDSHDSLN2</v>
      </c>
      <c r="E132" s="261" t="str">
        <f>"Industrial heating technology "&amp;$AJ$12&amp;" "&amp;RIGHT(H132,2)&amp;" - Oil boiler (Steam - condensing) - new 2"</f>
        <v>Industrial heating technology N SH - Oil boiler (Steam - condensing) - new 2</v>
      </c>
      <c r="F132" s="224" t="s">
        <v>1149</v>
      </c>
      <c r="G132" s="173" t="s">
        <v>2081</v>
      </c>
      <c r="H132" s="174" t="str">
        <f>$AI$15</f>
        <v>INDSH</v>
      </c>
      <c r="I132" s="174" t="str">
        <f t="shared" si="142"/>
        <v>INDNWH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INDNWH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INDNWH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INDNDPHGASN1</v>
      </c>
      <c r="E135" s="261" t="str">
        <f>"Industrial heating technology "&amp;$AJ$12&amp;" "&amp;RIGHT(H135,2)&amp;" - Gas boiler (Steam) - new 1"</f>
        <v>Industrial heating technology N PH - Gas boiler (Steam) - new 1</v>
      </c>
      <c r="F135" s="224" t="s">
        <v>1149</v>
      </c>
      <c r="G135" s="173" t="s">
        <v>2080</v>
      </c>
      <c r="H135" s="174" t="str">
        <f>$AI$13</f>
        <v>INDPH</v>
      </c>
      <c r="I135" s="174" t="str">
        <f t="shared" si="142"/>
        <v>INDNWH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INDNWH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INDNWH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INDNDPHGASN1</v>
      </c>
      <c r="E138" s="261" t="str">
        <f>"Industrial heating technology "&amp;$AJ$12&amp;" "&amp;RIGHT(H138,2)&amp;" - Gas boiler (Steam) - new 1"</f>
        <v>Industrial heating technology N PH - Gas boiler (Steam) - new 1</v>
      </c>
      <c r="F138" s="224" t="s">
        <v>1149</v>
      </c>
      <c r="G138" s="173" t="s">
        <v>2080</v>
      </c>
      <c r="H138" s="174" t="str">
        <f>$AI$14</f>
        <v>INDPH</v>
      </c>
      <c r="I138" s="174" t="str">
        <f t="shared" si="142"/>
        <v>INDNWH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INDNWH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INDNWH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INDNDSHGASN1</v>
      </c>
      <c r="E141" s="261" t="str">
        <f>"Industrial heating technology "&amp;$AJ$12&amp;" "&amp;RIGHT(H141,2)&amp;" - Gas boiler (Steam) - new 1"</f>
        <v>Industrial heating technology N SH - Gas boiler (Steam) - new 1</v>
      </c>
      <c r="F141" s="224" t="s">
        <v>1149</v>
      </c>
      <c r="G141" s="173" t="s">
        <v>2080</v>
      </c>
      <c r="H141" s="174" t="str">
        <f>$AI$15</f>
        <v>INDSH</v>
      </c>
      <c r="I141" s="174" t="str">
        <f t="shared" si="142"/>
        <v>INDNWH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INDNWH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INDNWH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INDNDPHGASN2</v>
      </c>
      <c r="E144" s="707" t="str">
        <f>"Industrial heating technology "&amp;$AJ$12&amp;" "&amp;RIGHT(H144,2)&amp;" - Gas boiler (Steam - condensing) - new 2"</f>
        <v>Industrial heating technology N PH - Gas boiler (Steam - condensing) - new 2</v>
      </c>
      <c r="F144" s="224" t="s">
        <v>1149</v>
      </c>
      <c r="G144" s="173" t="s">
        <v>2080</v>
      </c>
      <c r="H144" s="708" t="str">
        <f>$AI$14</f>
        <v>INDPH</v>
      </c>
      <c r="I144" s="708" t="str">
        <f t="shared" si="142"/>
        <v>INDNWH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INDNWH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INDNWH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INDNDSHGASN2</v>
      </c>
      <c r="E147" s="261" t="str">
        <f>"Industrial heating technology "&amp;$AJ$12&amp;" "&amp;RIGHT(H147,2)&amp;" - Gas boiler (Steam - condensing) - new 2"</f>
        <v>Industrial heating technology N SH - Gas boiler (Steam - condensing) - new 2</v>
      </c>
      <c r="F147" s="224" t="s">
        <v>1149</v>
      </c>
      <c r="G147" s="173" t="s">
        <v>2080</v>
      </c>
      <c r="H147" s="174" t="str">
        <f>$AI$15</f>
        <v>INDSH</v>
      </c>
      <c r="I147" s="174" t="str">
        <f t="shared" si="142"/>
        <v>INDNWH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INDNWH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INDNWH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INDNDPHGASN3</v>
      </c>
      <c r="E150" s="707" t="str">
        <f>"Industrial heating technology "&amp;$AJ$12&amp;" "&amp;RIGHT(H150,2)&amp;" - Gas boiler (Hot Water) - new 3"</f>
        <v>Industrial heating technology N PH - Gas boiler (Hot Water) - new 3</v>
      </c>
      <c r="F150" s="224" t="s">
        <v>1149</v>
      </c>
      <c r="G150" s="173" t="s">
        <v>2080</v>
      </c>
      <c r="H150" s="708" t="str">
        <f>$AI$14</f>
        <v>INDPH</v>
      </c>
      <c r="I150" s="708" t="str">
        <f t="shared" si="142"/>
        <v>INDNWH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INDNWH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INDNWH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INDNDSHGASN3</v>
      </c>
      <c r="E153" s="261" t="str">
        <f>"Industrial heating technology "&amp;$AJ$12&amp;" "&amp;RIGHT(H153,2)&amp;" - Gas boiler (Hot Water) - new 3"</f>
        <v>Industrial heating technology N SH - Gas boiler (Hot Water) - new 3</v>
      </c>
      <c r="F153" s="224" t="s">
        <v>1149</v>
      </c>
      <c r="G153" s="173" t="s">
        <v>2080</v>
      </c>
      <c r="H153" s="174" t="str">
        <f>$AI$15</f>
        <v>INDSH</v>
      </c>
      <c r="I153" s="174" t="str">
        <f t="shared" si="142"/>
        <v>INDNWH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INDNWH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INDNWH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INDNDPHGASN4</v>
      </c>
      <c r="E156" s="707" t="str">
        <f>"Industrial heating technology "&amp;$AJ$12&amp;" "&amp;RIGHT(H156,2)&amp;" - Gas boiler (Hot Water - condensing) - new 4"</f>
        <v>Industrial heating technology N PH - Gas boiler (Hot Water - condensing) - new 4</v>
      </c>
      <c r="F156" s="224" t="s">
        <v>1149</v>
      </c>
      <c r="G156" s="173" t="s">
        <v>2080</v>
      </c>
      <c r="H156" s="708" t="str">
        <f>$AI$14</f>
        <v>INDPH</v>
      </c>
      <c r="I156" s="708" t="str">
        <f t="shared" si="142"/>
        <v>INDNWH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INDNWH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INDNWH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INDNDSHGASN4</v>
      </c>
      <c r="E159" s="261" t="str">
        <f>"Industrial heating technology "&amp;$AJ$12&amp;" "&amp;RIGHT(H159,2)&amp;" - Gas boiler (Hot Water- condensing) - new 4"</f>
        <v>Industrial heating technology N SH - Gas boiler (Hot Water- condensing) - new 4</v>
      </c>
      <c r="F159" s="224" t="s">
        <v>1149</v>
      </c>
      <c r="G159" s="173" t="s">
        <v>2080</v>
      </c>
      <c r="H159" s="174" t="str">
        <f>$AI$15</f>
        <v>INDSH</v>
      </c>
      <c r="I159" s="174" t="str">
        <f t="shared" si="142"/>
        <v>INDNWH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INDNWH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INDNWH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INDNDPHGASN5</v>
      </c>
      <c r="E162" s="707" t="str">
        <f>"Industrial heating technology "&amp;$AJ$12&amp;" "&amp;RIGHT(H162,2)&amp;" - Gas boiler (Direct firing) - new 5"</f>
        <v>Industrial heating technology N PH - Gas boiler (Direct firing) - new 5</v>
      </c>
      <c r="F162" s="224" t="s">
        <v>1149</v>
      </c>
      <c r="G162" s="173" t="s">
        <v>2080</v>
      </c>
      <c r="H162" s="174" t="str">
        <f>$AI$13</f>
        <v>INDPH</v>
      </c>
      <c r="I162" s="174" t="str">
        <f t="shared" si="142"/>
        <v>INDNWH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INDNWH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INDNWH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INDNDPHGASN5</v>
      </c>
      <c r="E165" s="261" t="str">
        <f>"Industrial heating technology "&amp;$AJ$12&amp;" "&amp;RIGHT(H165,2)&amp;" - Gas boiler (Direct firing) - new 5"</f>
        <v>Industrial heating technology N PH - Gas boiler (Direct firing) - new 5</v>
      </c>
      <c r="F165" s="224" t="s">
        <v>1149</v>
      </c>
      <c r="G165" s="173" t="s">
        <v>2080</v>
      </c>
      <c r="H165" s="174" t="str">
        <f>$AI$14</f>
        <v>INDPH</v>
      </c>
      <c r="I165" s="721" t="str">
        <f t="shared" si="142"/>
        <v>INDNWH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INDNWH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INDNWH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INDNDPHCOAN1</v>
      </c>
      <c r="E168" s="261" t="str">
        <f>"Industrial heating technology "&amp;$AJ$12&amp;" "&amp;RIGHT(H168,2)&amp;" - Coal boiler (Steam) - new 1"</f>
        <v>Industrial heating technology N PH - Coal boiler (Steam) - new 1</v>
      </c>
      <c r="F168" s="224" t="s">
        <v>1149</v>
      </c>
      <c r="G168" s="55" t="s">
        <v>617</v>
      </c>
      <c r="H168" s="174" t="str">
        <f>$AI$13</f>
        <v>INDPH</v>
      </c>
      <c r="I168" s="174" t="str">
        <f t="shared" si="142"/>
        <v>INDNWH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INDNWH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INDNWH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INDNDPHCOAN1</v>
      </c>
      <c r="E171" s="261" t="str">
        <f>"Industrial heating technology "&amp;$AJ$12&amp;" "&amp;RIGHT(H171,2)&amp;" - Coal boiler (Steam) - new 1"</f>
        <v>Industrial heating technology N PH - Coal boiler (Steam) - new 1</v>
      </c>
      <c r="F171" s="224" t="s">
        <v>1149</v>
      </c>
      <c r="G171" s="55" t="s">
        <v>617</v>
      </c>
      <c r="H171" s="174" t="str">
        <f>$AI$14</f>
        <v>INDPH</v>
      </c>
      <c r="I171" s="174" t="str">
        <f t="shared" si="142"/>
        <v>INDNWH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INDNWH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INDNWH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INDNDSHCOAN1</v>
      </c>
      <c r="E174" s="261" t="str">
        <f>"Industrial heating technology "&amp;$AJ$12&amp;" "&amp;RIGHT(H174,2)&amp;" - Coal boiler (Steam) - new 1"</f>
        <v>Industrial heating technology N SH - Coal boiler (Steam) - new 1</v>
      </c>
      <c r="F174" s="224" t="s">
        <v>1149</v>
      </c>
      <c r="G174" s="55" t="s">
        <v>617</v>
      </c>
      <c r="H174" s="174" t="str">
        <f>$AI$15</f>
        <v>INDSH</v>
      </c>
      <c r="I174" s="174" t="str">
        <f t="shared" si="142"/>
        <v>INDNWH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INDNWH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INDNWH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INDNDPHCOAN2</v>
      </c>
      <c r="E177" s="261" t="str">
        <f>"Industrial heating technology "&amp;$AJ$12&amp;" "&amp;RIGHT(H177,2)&amp;" - Coal boiler (Hot Water) - new 2"</f>
        <v>Industrial heating technology N PH - Coal boiler (Hot Water) - new 2</v>
      </c>
      <c r="F177" s="224" t="s">
        <v>1149</v>
      </c>
      <c r="G177" s="55" t="s">
        <v>617</v>
      </c>
      <c r="H177" s="174" t="str">
        <f>$AI$14</f>
        <v>INDPH</v>
      </c>
      <c r="I177" s="174" t="str">
        <f t="shared" si="142"/>
        <v>INDNWH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INDNWH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INDNWH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INDNDSHCOAN2</v>
      </c>
      <c r="E180" s="261" t="str">
        <f>"Industrial heating technology "&amp;$AJ$12&amp;" "&amp;RIGHT(H180,2)&amp;" - Coal boiler (Hot Water) - new 2"</f>
        <v>Industrial heating technology N SH - Coal boiler (Hot Water) - new 2</v>
      </c>
      <c r="F180" s="224" t="s">
        <v>1149</v>
      </c>
      <c r="G180" s="55" t="s">
        <v>617</v>
      </c>
      <c r="H180" s="174" t="str">
        <f>$AI$15</f>
        <v>INDSH</v>
      </c>
      <c r="I180" s="174" t="str">
        <f t="shared" si="142"/>
        <v>INDNWH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INDNWH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INDNWH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INDNDSHSOLN1</v>
      </c>
      <c r="E183" s="261" t="str">
        <f>"Industrial heating technology "&amp;$AJ$12&amp;" "&amp;RIGHT(H183,2)&amp;" - Solar - new 1"</f>
        <v>Industrial heating technology N SH - Solar - new 1</v>
      </c>
      <c r="F183" s="224" t="s">
        <v>1149</v>
      </c>
      <c r="G183" s="55" t="s">
        <v>500</v>
      </c>
      <c r="H183" s="174" t="str">
        <f>$AI$15</f>
        <v>INDSH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INDNDSHHCEN1</v>
      </c>
      <c r="E187" s="224" t="str">
        <f>"Industrial heating technology "&amp;$AJ$12&amp;" "&amp;RIGHT(H187,2)&amp;" - central district heating - within DH area - new 1"</f>
        <v>Industrial heating technology N SH - central district heating - within DH area - new 1</v>
      </c>
      <c r="F187" s="224" t="s">
        <v>1149</v>
      </c>
      <c r="G187" s="225" t="s">
        <v>501</v>
      </c>
      <c r="H187" s="225" t="str">
        <f>AI15</f>
        <v>INDSH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INDNDPHHCEN1</v>
      </c>
      <c r="E188" s="224" t="str">
        <f>"Industrial heating technology "&amp;$AJ$12&amp;" "&amp;RIGHT(H188,2)&amp;" - central district heating - within DH area - new 1"</f>
        <v>Industrial heating technology N PH - central district heating - within DH area - new 1</v>
      </c>
      <c r="F188" s="224" t="s">
        <v>1149</v>
      </c>
      <c r="G188" s="225" t="s">
        <v>501</v>
      </c>
      <c r="H188" s="281" t="str">
        <f>AI14</f>
        <v>INDPH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INDNDSHHSEN1</v>
      </c>
      <c r="E189" s="224" t="str">
        <f>"Industrial heating technology "&amp;$AJ$12&amp;" "&amp;RIGHT(H189,2)&amp;" - central district heating - within DH area - new 1"</f>
        <v>Industrial heating technology N SH - central district heating - within DH area - new 1</v>
      </c>
      <c r="F189" s="224" t="s">
        <v>1149</v>
      </c>
      <c r="G189" s="225" t="s">
        <v>2125</v>
      </c>
      <c r="H189" s="225" t="str">
        <f>H187</f>
        <v>INDSH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INDNDPHHSEN1</v>
      </c>
      <c r="E190" s="224" t="str">
        <f>"Industrial heating technology "&amp;$AJ$12&amp;" "&amp;RIGHT(H190,2)&amp;" - central district heating - within DH area - new 1"</f>
        <v>Industrial heating technology N PH - central district heating - within DH area - new 1</v>
      </c>
      <c r="F190" s="224" t="s">
        <v>1149</v>
      </c>
      <c r="G190" s="225" t="s">
        <v>2125</v>
      </c>
      <c r="H190" s="225" t="str">
        <f>H188</f>
        <v>INDPH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INDNDSHHDEN1</v>
      </c>
      <c r="E191" s="224" t="str">
        <f>"Industrial heating technology "&amp;$AJ$12&amp;" "&amp;RIGHT(H191,2)&amp;" - decentral district heating - within DH area - new 1"</f>
        <v>Industrial heating technology N SH - decentral district heating - within DH area - new 1</v>
      </c>
      <c r="F191" s="224" t="s">
        <v>1149</v>
      </c>
      <c r="G191" s="259" t="s">
        <v>502</v>
      </c>
      <c r="H191" s="265" t="str">
        <f>AI15</f>
        <v>INDSH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INDNDPHHDEN1</v>
      </c>
      <c r="E192" s="224" t="str">
        <f>"Industrial heating technology "&amp;$AJ$12&amp;" "&amp;RIGHT(H192,2)&amp;" - decentral district heating - within DH area - new 1"</f>
        <v>Industrial heating technology N PH - decentral district heating - within DH area - new 1</v>
      </c>
      <c r="F192" s="224" t="s">
        <v>1149</v>
      </c>
      <c r="G192" s="259" t="s">
        <v>502</v>
      </c>
      <c r="H192" s="225" t="str">
        <f>AI14</f>
        <v>INDPH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INDNDLAELCN1</v>
      </c>
      <c r="E194" s="224" t="str">
        <f>"Industry "&amp;$AJ$12&amp;" "&amp;RIGHT(H194,2)&amp;" Electricity Light Appliance - New 1"</f>
        <v>Industry N LA Electricity Light Appliance - New 1</v>
      </c>
      <c r="F194" s="224" t="s">
        <v>1149</v>
      </c>
      <c r="G194" s="225" t="s">
        <v>499</v>
      </c>
      <c r="H194" s="225" t="str">
        <f>AI16</f>
        <v>INDLA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INDNDEMELCN1</v>
      </c>
      <c r="E198" s="224" t="str">
        <f>"Industry "&amp;$AJ$12&amp;" "&amp;RIGHT(H198,2)&amp;" Electricity Motors - New 1"</f>
        <v>Industry N EM Electricity Motors - New 1</v>
      </c>
      <c r="F198" s="224" t="s">
        <v>1149</v>
      </c>
      <c r="G198" s="225" t="s">
        <v>499</v>
      </c>
      <c r="H198" s="225" t="str">
        <f>AI17</f>
        <v>INDEM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531</v>
      </c>
      <c r="D202" s="212" t="str">
        <f>"IND"&amp;RIGHT(H202,4)&amp;"DSL"&amp;"N"&amp;RIGHT(E202,1)</f>
        <v>INDNDTFDSLN1</v>
      </c>
      <c r="E202" s="224" t="str">
        <f>"Industry "&amp;$AJ$12&amp;" "&amp;RIGHT(H202,2)&amp;" Tractors, Trucks, Fishing boats - New 1"</f>
        <v>Industry N TF Tractors, Trucks, Fishing boats - New 1</v>
      </c>
      <c r="F202" s="224" t="s">
        <v>1149</v>
      </c>
      <c r="G202" s="173" t="s">
        <v>2081</v>
      </c>
      <c r="H202" s="174" t="str">
        <f>$AI$18</f>
        <v>INDTF</v>
      </c>
      <c r="I202" s="174"/>
      <c r="J202" s="81">
        <v>2011</v>
      </c>
      <c r="K202" s="81">
        <v>2011</v>
      </c>
      <c r="L202" s="1127">
        <f>L203</f>
        <v>1</v>
      </c>
      <c r="M202" s="256"/>
      <c r="N202" s="256">
        <v>20</v>
      </c>
      <c r="O202" s="1127">
        <f>O203</f>
        <v>36.999946395904708</v>
      </c>
      <c r="P202" s="254"/>
      <c r="Q202" s="254"/>
      <c r="R202" s="1126">
        <v>1</v>
      </c>
      <c r="S202" s="1127">
        <v>1</v>
      </c>
      <c r="T202" s="228"/>
      <c r="U202" s="228"/>
      <c r="V202" s="228"/>
      <c r="W202" s="287"/>
      <c r="X202" s="55"/>
      <c r="Y202" s="55"/>
      <c r="Z202" s="55"/>
      <c r="AA202" s="55"/>
      <c r="AB202" s="55"/>
    </row>
    <row r="203" spans="1:32">
      <c r="A203" s="169" t="s">
        <v>2057</v>
      </c>
      <c r="B203" s="224" t="s">
        <v>531</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36.999946395904708</v>
      </c>
      <c r="P203" s="254"/>
      <c r="Q203" s="254"/>
      <c r="R203" s="1126"/>
      <c r="S203" s="275"/>
      <c r="T203" s="228"/>
      <c r="U203" s="228"/>
      <c r="V203" s="228"/>
      <c r="W203" s="228"/>
      <c r="X203" s="55"/>
      <c r="Y203" s="55"/>
      <c r="Z203" s="55"/>
      <c r="AA203" s="55"/>
      <c r="AB203" s="55"/>
    </row>
    <row r="204" spans="1:32">
      <c r="A204" s="169" t="s">
        <v>2057</v>
      </c>
      <c r="B204" s="224" t="s">
        <v>531</v>
      </c>
      <c r="D204" s="55"/>
      <c r="E204" s="55"/>
      <c r="F204" s="224" t="s">
        <v>1149</v>
      </c>
      <c r="G204" s="55"/>
      <c r="J204" s="256">
        <v>2030</v>
      </c>
      <c r="K204" s="256"/>
      <c r="L204" s="1127">
        <f>1/SUMIFS(Transport!$AS$13:$AS$264,Transport!$D$13:$D$264,$B204,Transport!$E$13:$E$264,$A204,Transport!$A$13:$A$264,$J204)</f>
        <v>1.2199274712491708</v>
      </c>
      <c r="M204" s="256"/>
      <c r="N204" s="256"/>
      <c r="O204" s="1127">
        <f>SUMIFS(Transport!$AT$13:$AT$264,Transport!$D$13:$D$264,$B204,Transport!$E$13:$E$264,$A204,Transport!$A$13:$A$264,$J204)/1000*6.5</f>
        <v>48.752577048571375</v>
      </c>
      <c r="P204" s="254"/>
      <c r="Q204" s="254"/>
      <c r="R204" s="1126"/>
      <c r="S204" s="275"/>
      <c r="T204" s="228"/>
      <c r="U204" s="228"/>
      <c r="V204" s="228"/>
      <c r="W204" s="228"/>
      <c r="X204" s="55"/>
      <c r="Y204" s="55"/>
      <c r="Z204" s="55"/>
      <c r="AA204" s="55"/>
      <c r="AB204" s="55"/>
    </row>
    <row r="205" spans="1:32">
      <c r="A205" s="169" t="s">
        <v>2057</v>
      </c>
      <c r="B205" s="224" t="s">
        <v>531</v>
      </c>
      <c r="D205" s="55"/>
      <c r="E205" s="55"/>
      <c r="F205" s="224" t="s">
        <v>1149</v>
      </c>
      <c r="G205" s="55"/>
      <c r="J205" s="256">
        <v>2050</v>
      </c>
      <c r="K205" s="256"/>
      <c r="L205" s="1127">
        <f>1/SUMIFS(Transport!$AS$13:$AS$264,Transport!$D$13:$D$264,$B205,Transport!$E$13:$E$264,$A205,Transport!$A$13:$A$264,$J205)</f>
        <v>1.3836759261532579</v>
      </c>
      <c r="M205" s="256"/>
      <c r="N205" s="256"/>
      <c r="O205" s="1127">
        <f>SUMIFS(Transport!$AT$13:$AT$264,Transport!$D$13:$D$264,$B205,Transport!$E$13:$E$264,$A205,Transport!$A$13:$A$264,$J205)/1000*6.5</f>
        <v>51.275615217488969</v>
      </c>
      <c r="P205" s="254"/>
      <c r="Q205" s="254"/>
      <c r="R205" s="1126"/>
      <c r="S205" s="275"/>
      <c r="T205" s="228"/>
      <c r="U205" s="228"/>
      <c r="V205" s="228"/>
      <c r="W205" s="228"/>
      <c r="X205" s="55"/>
      <c r="Y205" s="55"/>
      <c r="Z205" s="55"/>
      <c r="AA205" s="55"/>
      <c r="AB205" s="55"/>
    </row>
    <row r="206" spans="1:32">
      <c r="A206" s="169" t="s">
        <v>2062</v>
      </c>
      <c r="B206" s="224" t="s">
        <v>531</v>
      </c>
      <c r="D206" s="212" t="str">
        <f>"IND"&amp;RIGHT(H206,4)&amp;"H2G"&amp;"N"&amp;RIGHT(E206,1)</f>
        <v>INDNDTFH2GN2</v>
      </c>
      <c r="E206" s="224" t="str">
        <f>"Industry "&amp;$AJ$12&amp;" "&amp;RIGHT(H206,2)&amp;" Tractors, Trucks, Fishing boats - New 2"</f>
        <v>Industry N TF Tractors, Trucks, Fishing boats - New 2</v>
      </c>
      <c r="F206" s="224" t="s">
        <v>1149</v>
      </c>
      <c r="G206" s="55" t="s">
        <v>2077</v>
      </c>
      <c r="H206" s="174" t="str">
        <f>$AI$18</f>
        <v>INDTF</v>
      </c>
      <c r="I206" s="174"/>
      <c r="J206" s="81">
        <v>2017</v>
      </c>
      <c r="K206" s="81">
        <v>2030</v>
      </c>
      <c r="L206" s="1127">
        <f>1/SUMIFS(Transport!$AS$13:$AS$264,Transport!$D$13:$D$264,$B206,Transport!$E$13:$E$264,$A206,Transport!$A$13:$A$264,$J206)</f>
        <v>1.6019824405721168</v>
      </c>
      <c r="M206" s="256"/>
      <c r="N206" s="256">
        <v>20</v>
      </c>
      <c r="O206" s="1127">
        <f>SUMIFS(Transport!$AT$13:$AT$264,Transport!$D$13:$D$264,$B206,Transport!$E$13:$E$264,$A206,Transport!$A$13:$A$264,$J206)/1000*6.5</f>
        <v>69.01514464919731</v>
      </c>
      <c r="P206" s="254"/>
      <c r="Q206" s="254"/>
      <c r="R206" s="1126">
        <v>1</v>
      </c>
      <c r="S206" s="1127">
        <v>1</v>
      </c>
      <c r="T206" s="228"/>
      <c r="U206" s="228"/>
      <c r="V206" s="228"/>
      <c r="W206" s="287"/>
      <c r="X206" s="55"/>
      <c r="Y206" s="55"/>
      <c r="Z206" s="55"/>
      <c r="AA206" s="55"/>
      <c r="AB206" s="55"/>
    </row>
    <row r="207" spans="1:32">
      <c r="A207" s="169" t="s">
        <v>2062</v>
      </c>
      <c r="B207" s="224" t="s">
        <v>531</v>
      </c>
      <c r="D207" s="55"/>
      <c r="E207" s="55"/>
      <c r="F207" s="224" t="s">
        <v>1149</v>
      </c>
      <c r="G207" s="55"/>
      <c r="H207" s="174"/>
      <c r="I207" s="174"/>
      <c r="J207" s="256">
        <v>2017</v>
      </c>
      <c r="K207" s="256"/>
      <c r="L207" s="1127">
        <f>1/SUMIFS(Transport!$AS$13:$AS$264,Transport!$D$13:$D$264,$B207,Transport!$E$13:$E$264,$A207,Transport!$A$13:$A$264,$J207)</f>
        <v>1.6019824405721168</v>
      </c>
      <c r="M207" s="256"/>
      <c r="N207" s="256"/>
      <c r="O207" s="1127">
        <f>SUMIFS(Transport!$AT$13:$AT$264,Transport!$D$13:$D$264,$B207,Transport!$E$13:$E$264,$A207,Transport!$A$13:$A$264,$J207)/1000*6.5</f>
        <v>69.01514464919731</v>
      </c>
      <c r="P207" s="254"/>
      <c r="Q207" s="254"/>
      <c r="R207" s="1126"/>
      <c r="S207" s="275"/>
      <c r="T207" s="228"/>
      <c r="U207" s="228"/>
      <c r="V207" s="228"/>
      <c r="W207" s="228"/>
      <c r="X207" s="55"/>
      <c r="Y207" s="55"/>
      <c r="Z207" s="55"/>
      <c r="AA207" s="55"/>
      <c r="AB207" s="55"/>
    </row>
    <row r="208" spans="1:32">
      <c r="A208" s="169" t="s">
        <v>2062</v>
      </c>
      <c r="B208" s="224" t="s">
        <v>531</v>
      </c>
      <c r="D208" s="55"/>
      <c r="E208" s="55"/>
      <c r="F208" s="224" t="s">
        <v>1149</v>
      </c>
      <c r="G208" s="55"/>
      <c r="J208" s="256">
        <v>2030</v>
      </c>
      <c r="K208" s="256"/>
      <c r="L208" s="1127">
        <f>1/SUMIFS(Transport!$AS$13:$AS$264,Transport!$D$13:$D$264,$B208,Transport!$E$13:$E$264,$A208,Transport!$A$13:$A$264,$J208)</f>
        <v>2.4051363046081415</v>
      </c>
      <c r="M208" s="256"/>
      <c r="N208" s="256"/>
      <c r="O208" s="1127">
        <f>SUMIFS(Transport!$AT$13:$AT$264,Transport!$D$13:$D$264,$B208,Transport!$E$13:$E$264,$A208,Transport!$A$13:$A$264,$J208)/1000*6.5</f>
        <v>47.151989721401115</v>
      </c>
      <c r="P208" s="254"/>
      <c r="Q208" s="254"/>
      <c r="R208" s="1126"/>
      <c r="S208" s="275"/>
      <c r="T208" s="228"/>
      <c r="U208" s="228"/>
      <c r="V208" s="228"/>
      <c r="W208" s="228"/>
      <c r="X208" s="55"/>
      <c r="Y208" s="55"/>
      <c r="Z208" s="55"/>
      <c r="AA208" s="55"/>
      <c r="AB208" s="55"/>
    </row>
    <row r="209" spans="1:28">
      <c r="A209" s="169" t="s">
        <v>2062</v>
      </c>
      <c r="B209" s="224" t="s">
        <v>531</v>
      </c>
      <c r="D209" s="55"/>
      <c r="E209" s="55"/>
      <c r="F209" s="224" t="s">
        <v>1149</v>
      </c>
      <c r="G209" s="55"/>
      <c r="J209" s="256">
        <v>2050</v>
      </c>
      <c r="K209" s="256"/>
      <c r="L209" s="1127">
        <f>1/SUMIFS(Transport!$AS$13:$AS$264,Transport!$D$13:$D$264,$B209,Transport!$E$13:$E$264,$A209,Transport!$A$13:$A$264,$J209)</f>
        <v>2.9583695994767871</v>
      </c>
      <c r="M209" s="256"/>
      <c r="N209" s="256"/>
      <c r="O209" s="1127">
        <f>SUMIFS(Transport!$AT$13:$AT$264,Transport!$D$13:$D$264,$B209,Transport!$E$13:$E$264,$A209,Transport!$A$13:$A$264,$J209)/1000*6.5</f>
        <v>20.547630804983214</v>
      </c>
      <c r="P209" s="254"/>
      <c r="Q209" s="254"/>
      <c r="R209" s="1126"/>
      <c r="S209" s="275"/>
      <c r="T209" s="228"/>
      <c r="U209" s="228"/>
      <c r="V209" s="228"/>
      <c r="W209" s="228"/>
      <c r="X209" s="55"/>
      <c r="Y209" s="55"/>
      <c r="Z209" s="55"/>
      <c r="AA209" s="55"/>
      <c r="AB209" s="55"/>
    </row>
    <row r="210" spans="1:28">
      <c r="A210" s="169" t="s">
        <v>2061</v>
      </c>
      <c r="B210" s="224" t="s">
        <v>531</v>
      </c>
      <c r="D210" s="212" t="str">
        <f>"IND"&amp;RIGHT(H210,4)&amp;"ELC"&amp;"N"&amp;RIGHT(E210,1)</f>
        <v>INDNDTFELCN3</v>
      </c>
      <c r="E210" s="224" t="str">
        <f>"Industry "&amp;$AJ$12&amp;" "&amp;RIGHT(H210,2)&amp;" Tractors, Trucks, Fishing boats - New 3"</f>
        <v>Industry N TF Tractors, Trucks, Fishing boats - New 3</v>
      </c>
      <c r="F210" s="224" t="s">
        <v>1149</v>
      </c>
      <c r="G210" s="55" t="s">
        <v>499</v>
      </c>
      <c r="H210" s="174" t="str">
        <f>$AI$18</f>
        <v>INDTF</v>
      </c>
      <c r="I210" s="174"/>
      <c r="J210" s="81">
        <v>2017</v>
      </c>
      <c r="K210" s="81">
        <v>2025</v>
      </c>
      <c r="L210" s="1127">
        <f>1/SUMIFS(Transport!$AS$13:$AS$264,Transport!$D$13:$D$264,$B210,Transport!$E$13:$E$264,$A210,Transport!$A$13:$A$264,$J210)</f>
        <v>3.0438654899297122</v>
      </c>
      <c r="M210" s="256"/>
      <c r="N210" s="256">
        <v>20</v>
      </c>
      <c r="O210" s="1127">
        <f>SUMIFS(Transport!$AT$13:$AT$264,Transport!$D$13:$D$264,$B210,Transport!$E$13:$E$264,$A210,Transport!$A$13:$A$264,$J210)/1000*6.5</f>
        <v>97.045415985588349</v>
      </c>
      <c r="P210" s="254"/>
      <c r="Q210" s="254"/>
      <c r="R210" s="1126">
        <v>1</v>
      </c>
      <c r="S210" s="1127">
        <v>1</v>
      </c>
      <c r="T210" s="228"/>
      <c r="U210" s="228"/>
      <c r="V210" s="228"/>
      <c r="W210" s="287"/>
      <c r="X210" s="55"/>
      <c r="Y210" s="55"/>
      <c r="Z210" s="55"/>
      <c r="AA210" s="55"/>
      <c r="AB210" s="55"/>
    </row>
    <row r="211" spans="1:28">
      <c r="A211" s="169" t="s">
        <v>2061</v>
      </c>
      <c r="B211" s="224" t="s">
        <v>531</v>
      </c>
      <c r="D211" s="55"/>
      <c r="E211" s="55"/>
      <c r="F211" s="224" t="s">
        <v>1149</v>
      </c>
      <c r="G211" s="55"/>
      <c r="H211" s="174"/>
      <c r="I211" s="174"/>
      <c r="J211" s="256">
        <v>2017</v>
      </c>
      <c r="K211" s="256"/>
      <c r="L211" s="1127">
        <f>1/SUMIFS(Transport!$AS$13:$AS$264,Transport!$D$13:$D$264,$B211,Transport!$E$13:$E$264,$A211,Transport!$A$13:$A$264,$J211)</f>
        <v>3.0438654899297122</v>
      </c>
      <c r="M211" s="256"/>
      <c r="N211" s="256"/>
      <c r="O211" s="1127">
        <f>SUMIFS(Transport!$AT$13:$AT$264,Transport!$D$13:$D$264,$B211,Transport!$E$13:$E$264,$A211,Transport!$A$13:$A$264,$J211)/1000*6.5</f>
        <v>97.045415985588349</v>
      </c>
      <c r="P211" s="254"/>
      <c r="Q211" s="254"/>
      <c r="R211" s="201"/>
      <c r="S211" s="275"/>
      <c r="T211" s="228"/>
      <c r="U211" s="228"/>
      <c r="V211" s="228"/>
      <c r="W211" s="228"/>
      <c r="X211" s="55"/>
      <c r="Y211" s="55"/>
      <c r="Z211" s="55"/>
      <c r="AA211" s="55"/>
      <c r="AB211" s="55"/>
    </row>
    <row r="212" spans="1:28">
      <c r="A212" s="169" t="s">
        <v>2061</v>
      </c>
      <c r="B212" s="224" t="s">
        <v>531</v>
      </c>
      <c r="D212" s="55"/>
      <c r="E212" s="55"/>
      <c r="F212" s="224" t="s">
        <v>1149</v>
      </c>
      <c r="G212" s="55"/>
      <c r="J212" s="256">
        <v>2030</v>
      </c>
      <c r="K212" s="256"/>
      <c r="L212" s="1127">
        <f>1/SUMIFS(Transport!$AS$13:$AS$264,Transport!$D$13:$D$264,$B212,Transport!$E$13:$E$264,$A212,Transport!$A$13:$A$264,$J212)</f>
        <v>3.8508678900328275</v>
      </c>
      <c r="M212" s="256"/>
      <c r="N212" s="256"/>
      <c r="O212" s="1127">
        <f>SUMIFS(Transport!$AT$13:$AT$264,Transport!$D$13:$D$264,$B212,Transport!$E$13:$E$264,$A212,Transport!$A$13:$A$264,$J212)/1000*6.5</f>
        <v>52.981240184134329</v>
      </c>
      <c r="P212" s="254"/>
      <c r="Q212" s="254"/>
      <c r="R212" s="201"/>
      <c r="S212" s="275"/>
      <c r="T212" s="228"/>
      <c r="U212" s="228"/>
      <c r="V212" s="228"/>
      <c r="W212" s="228"/>
      <c r="X212" s="55"/>
      <c r="Y212" s="55"/>
      <c r="Z212" s="55"/>
      <c r="AA212" s="55"/>
      <c r="AB212" s="55"/>
    </row>
    <row r="213" spans="1:28">
      <c r="A213" s="169" t="s">
        <v>2061</v>
      </c>
      <c r="B213" s="224" t="s">
        <v>531</v>
      </c>
      <c r="D213" s="55"/>
      <c r="E213" s="55"/>
      <c r="F213" s="224" t="s">
        <v>1149</v>
      </c>
      <c r="G213" s="55"/>
      <c r="J213" s="256">
        <v>2050</v>
      </c>
      <c r="K213" s="256"/>
      <c r="L213" s="1127">
        <f>1/SUMIFS(Transport!$AS$13:$AS$264,Transport!$D$13:$D$264,$B213,Transport!$E$13:$E$264,$A213,Transport!$A$13:$A$264,$J213)</f>
        <v>3.8508678900328275</v>
      </c>
      <c r="M213" s="256"/>
      <c r="N213" s="256"/>
      <c r="O213" s="1127">
        <f>SUMIFS(Transport!$AT$13:$AT$264,Transport!$D$13:$D$264,$B213,Transport!$E$13:$E$264,$A213,Transport!$A$13:$A$264,$J213)/1000*6.5</f>
        <v>44.865046273927319</v>
      </c>
      <c r="P213" s="254"/>
      <c r="Q213" s="254"/>
      <c r="R213" s="201"/>
      <c r="S213" s="275"/>
      <c r="T213" s="228"/>
      <c r="U213" s="228"/>
      <c r="V213" s="228"/>
      <c r="W213" s="228"/>
      <c r="X213" s="55"/>
      <c r="Y213" s="55"/>
      <c r="Z213" s="55"/>
      <c r="AA213" s="55"/>
      <c r="AB213" s="55"/>
    </row>
    <row r="214" spans="1:28">
      <c r="A214" s="169"/>
      <c r="D214" s="212" t="str">
        <f>"IND"&amp;RIGHT(H214,4)&amp;RIGHT(G214,3)&amp;"N"&amp;RIGHT(E214,1)</f>
        <v>INDNDFLSYNN1</v>
      </c>
      <c r="E214" s="224" t="str">
        <f>"Industry "&amp;$AJ$12&amp;" "&amp;RIGHT(H202,2)&amp;" Forklifts - New 1"</f>
        <v>Industry N TF Forklifts - New 1</v>
      </c>
      <c r="F214" s="224" t="s">
        <v>1149</v>
      </c>
      <c r="G214" s="173" t="s">
        <v>2082</v>
      </c>
      <c r="H214" s="224" t="str">
        <f>AI19</f>
        <v>INDFL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INDNDCOELCN1</v>
      </c>
      <c r="E218" s="224" t="str">
        <f>"Industry "&amp;$AJ$12&amp;" "&amp;RIGHT(H218,2)&amp;" Cooling - New 1"</f>
        <v>Industry N CO Cooling - New 1</v>
      </c>
      <c r="F218" s="224" t="s">
        <v>1149</v>
      </c>
      <c r="G218" s="173" t="s">
        <v>499</v>
      </c>
      <c r="H218" s="224" t="str">
        <f>AI21</f>
        <v>INDCO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INDNDPHELCN1</v>
      </c>
      <c r="E229" s="212" t="str">
        <f t="shared" ref="E229:E260" si="265">VLOOKUP(D229,$D$9:$E$222,2,FALSE)</f>
        <v>Industrial heating technology N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INDNDSHELCN1</v>
      </c>
      <c r="E230" s="212" t="str">
        <f t="shared" ca="1" si="265"/>
        <v>Industrial heating technology N SH - Heat pump utilizing waste heat - new 1</v>
      </c>
      <c r="F230" s="262" t="s">
        <v>450</v>
      </c>
      <c r="G230" s="262" t="s">
        <v>449</v>
      </c>
      <c r="H230" s="263" t="s">
        <v>620</v>
      </c>
      <c r="I230" s="301"/>
      <c r="J230" s="264" t="s">
        <v>469</v>
      </c>
    </row>
    <row r="231" spans="1:10">
      <c r="A231" s="169"/>
      <c r="D231" s="212" t="str">
        <f t="shared" ca="1" si="266"/>
        <v>INDNDPHELCN2</v>
      </c>
      <c r="E231" s="212" t="str">
        <f t="shared" ca="1" si="265"/>
        <v>Industrial heating technology N PH - Heat driven heat pump utilizing waste heat - new 2</v>
      </c>
      <c r="F231" s="211" t="s">
        <v>450</v>
      </c>
      <c r="G231" s="211" t="s">
        <v>449</v>
      </c>
      <c r="H231" s="263" t="s">
        <v>620</v>
      </c>
      <c r="I231" s="208"/>
      <c r="J231" s="264" t="s">
        <v>469</v>
      </c>
    </row>
    <row r="232" spans="1:10">
      <c r="A232" s="169"/>
      <c r="B232" s="211"/>
      <c r="C232" s="211"/>
      <c r="D232" s="212" t="str">
        <f t="shared" ca="1" si="266"/>
        <v>INDNDSHELCN2</v>
      </c>
      <c r="E232" s="212" t="str">
        <f t="shared" ca="1" si="265"/>
        <v>Industrial heating technology N SH - Heat driven heat pump utilizing waste heat - new 2</v>
      </c>
      <c r="F232" s="262" t="s">
        <v>450</v>
      </c>
      <c r="G232" s="262" t="s">
        <v>449</v>
      </c>
      <c r="H232" s="263" t="s">
        <v>620</v>
      </c>
      <c r="I232" s="264"/>
      <c r="J232" s="264" t="s">
        <v>469</v>
      </c>
    </row>
    <row r="233" spans="1:10">
      <c r="A233" s="169"/>
      <c r="B233" s="211"/>
      <c r="C233" s="211"/>
      <c r="D233" s="212" t="str">
        <f t="shared" ca="1" si="266"/>
        <v>INDNDPHELCN3</v>
      </c>
      <c r="E233" s="212" t="str">
        <f t="shared" ca="1" si="265"/>
        <v>Industrial heating technology N PH - High Temp abs. Heat pump utilizing waste heat - new 3</v>
      </c>
      <c r="F233" s="262" t="s">
        <v>450</v>
      </c>
      <c r="G233" s="262" t="s">
        <v>449</v>
      </c>
      <c r="H233" s="263" t="s">
        <v>620</v>
      </c>
      <c r="I233" s="264"/>
      <c r="J233" s="264" t="s">
        <v>469</v>
      </c>
    </row>
    <row r="234" spans="1:10">
      <c r="A234" s="169"/>
      <c r="B234" s="211"/>
      <c r="C234" s="211"/>
      <c r="D234" s="212" t="str">
        <f t="shared" ca="1" si="266"/>
        <v>INDNDSHELCN3</v>
      </c>
      <c r="E234" s="212" t="str">
        <f t="shared" ca="1" si="265"/>
        <v>Industrial heating technology N SH - High Temp abs. Heat pump utilizing waste heat - new 3</v>
      </c>
      <c r="F234" s="262" t="s">
        <v>450</v>
      </c>
      <c r="G234" s="262" t="s">
        <v>449</v>
      </c>
      <c r="H234" s="263" t="s">
        <v>620</v>
      </c>
      <c r="I234" s="264"/>
      <c r="J234" s="264" t="s">
        <v>469</v>
      </c>
    </row>
    <row r="235" spans="1:10">
      <c r="A235" s="169"/>
      <c r="B235" s="211"/>
      <c r="C235" s="211"/>
      <c r="D235" s="212" t="str">
        <f t="shared" ca="1" si="266"/>
        <v>INDNDPHELCN4</v>
      </c>
      <c r="E235" s="212" t="str">
        <f t="shared" ca="1" si="265"/>
        <v>Industrial heating technology N PH - Booster Heat pump utilizing waste heat - new 4</v>
      </c>
      <c r="F235" s="262" t="s">
        <v>450</v>
      </c>
      <c r="G235" s="262" t="s">
        <v>449</v>
      </c>
      <c r="H235" s="263" t="s">
        <v>620</v>
      </c>
      <c r="I235" s="264"/>
      <c r="J235" s="264" t="s">
        <v>469</v>
      </c>
    </row>
    <row r="236" spans="1:10">
      <c r="A236" s="169"/>
      <c r="B236" s="211"/>
      <c r="C236" s="211"/>
      <c r="D236" s="212" t="str">
        <f t="shared" ca="1" si="266"/>
        <v>INDNDSHELCN4</v>
      </c>
      <c r="E236" s="212" t="str">
        <f t="shared" ca="1" si="265"/>
        <v>Industrial heating technology N SH - Booster Heat pump utilizing waste heat - new 4</v>
      </c>
      <c r="F236" s="262" t="s">
        <v>450</v>
      </c>
      <c r="G236" s="262" t="s">
        <v>449</v>
      </c>
      <c r="H236" s="263" t="s">
        <v>620</v>
      </c>
      <c r="I236" s="264"/>
      <c r="J236" s="264" t="s">
        <v>469</v>
      </c>
    </row>
    <row r="237" spans="1:10">
      <c r="A237" s="169"/>
      <c r="B237" s="211"/>
      <c r="C237" s="211"/>
      <c r="D237" s="212" t="str">
        <f t="shared" ca="1" si="266"/>
        <v>INDNDPHELCN5</v>
      </c>
      <c r="E237" s="212" t="str">
        <f t="shared" ca="1" si="265"/>
        <v>Industrial heating technology N PH - MVR utilizing waste heat - new 5</v>
      </c>
      <c r="F237" s="262" t="s">
        <v>450</v>
      </c>
      <c r="G237" s="262" t="s">
        <v>449</v>
      </c>
      <c r="H237" s="263"/>
      <c r="I237" s="264"/>
      <c r="J237" s="264" t="s">
        <v>469</v>
      </c>
    </row>
    <row r="238" spans="1:10">
      <c r="A238" s="169"/>
      <c r="B238" s="211"/>
      <c r="C238" s="211"/>
      <c r="D238" s="212" t="str">
        <f t="shared" ca="1" si="266"/>
        <v>INDNDPHWSTN1</v>
      </c>
      <c r="E238" s="212" t="str">
        <f t="shared" ca="1" si="265"/>
        <v>Industrial heating technology N PH - Hotdisc - new 1</v>
      </c>
      <c r="F238" s="262" t="s">
        <v>450</v>
      </c>
      <c r="G238" s="262" t="s">
        <v>449</v>
      </c>
      <c r="H238" s="263" t="s">
        <v>620</v>
      </c>
      <c r="I238" s="264"/>
      <c r="J238" s="264" t="s">
        <v>469</v>
      </c>
    </row>
    <row r="239" spans="1:10">
      <c r="A239" s="169"/>
      <c r="B239" s="211"/>
      <c r="C239" s="211"/>
      <c r="D239" s="212" t="str">
        <f t="shared" ref="D239:D278" ca="1" si="267">OFFSET($D$9,(ROW(D19)*3),0)</f>
        <v>INDNDPHELCN6</v>
      </c>
      <c r="E239" s="212" t="str">
        <f t="shared" ca="1" si="265"/>
        <v>Industrial heating technology N PH - Dielectric heating - new 6</v>
      </c>
      <c r="F239" s="262" t="s">
        <v>450</v>
      </c>
      <c r="G239" s="262" t="s">
        <v>449</v>
      </c>
      <c r="H239" s="263" t="s">
        <v>620</v>
      </c>
      <c r="I239" s="264"/>
      <c r="J239" s="264" t="s">
        <v>469</v>
      </c>
    </row>
    <row r="240" spans="1:10">
      <c r="A240" s="169"/>
      <c r="B240" s="211"/>
      <c r="C240" s="211"/>
      <c r="D240" s="212" t="str">
        <f t="shared" ca="1" si="267"/>
        <v>INDNDPHELCN7</v>
      </c>
      <c r="E240" s="212" t="str">
        <f t="shared" ca="1" si="265"/>
        <v>Industrial heating technology N PH - Infrared heating - new 7</v>
      </c>
      <c r="F240" s="262" t="s">
        <v>450</v>
      </c>
      <c r="G240" s="262" t="s">
        <v>449</v>
      </c>
      <c r="H240" s="263" t="s">
        <v>620</v>
      </c>
      <c r="I240" s="264"/>
      <c r="J240" s="264" t="s">
        <v>469</v>
      </c>
    </row>
    <row r="241" spans="1:16">
      <c r="A241" s="169"/>
      <c r="B241" s="211"/>
      <c r="C241" s="211"/>
      <c r="D241" s="212" t="str">
        <f t="shared" ca="1" si="267"/>
        <v>INDNDPHELCN8</v>
      </c>
      <c r="E241" s="212" t="str">
        <f t="shared" ca="1" si="265"/>
        <v>Industrial heating technology N PH - Electric boiler (Steam) - new 8</v>
      </c>
      <c r="F241" s="262" t="s">
        <v>450</v>
      </c>
      <c r="G241" s="262" t="s">
        <v>449</v>
      </c>
      <c r="H241" s="263" t="s">
        <v>620</v>
      </c>
      <c r="I241" s="264"/>
      <c r="J241" s="264" t="s">
        <v>469</v>
      </c>
    </row>
    <row r="242" spans="1:16">
      <c r="A242" s="169"/>
      <c r="B242" s="211"/>
      <c r="C242" s="211"/>
      <c r="D242" s="212" t="str">
        <f t="shared" ca="1" si="267"/>
        <v>INDNDPHELCN8</v>
      </c>
      <c r="E242" s="212" t="str">
        <f t="shared" ca="1" si="265"/>
        <v>Industrial heating technology N PH - Electric boiler (Steam) - new 8</v>
      </c>
      <c r="F242" s="262" t="s">
        <v>450</v>
      </c>
      <c r="G242" s="262" t="s">
        <v>449</v>
      </c>
      <c r="H242" s="263" t="s">
        <v>620</v>
      </c>
      <c r="I242" s="264"/>
      <c r="J242" s="264" t="s">
        <v>469</v>
      </c>
    </row>
    <row r="243" spans="1:16">
      <c r="A243" s="169"/>
      <c r="B243" s="211"/>
      <c r="C243" s="211"/>
      <c r="D243" s="212" t="str">
        <f t="shared" ca="1" si="267"/>
        <v>INDNDSHELCN8</v>
      </c>
      <c r="E243" s="212" t="str">
        <f t="shared" ca="1" si="265"/>
        <v>Industrial heating technology N SH - Electric boiler (Steam) - new 8</v>
      </c>
      <c r="F243" s="262" t="s">
        <v>450</v>
      </c>
      <c r="G243" s="262" t="s">
        <v>449</v>
      </c>
      <c r="H243" s="263" t="s">
        <v>620</v>
      </c>
      <c r="I243" s="264"/>
      <c r="J243" s="264" t="s">
        <v>469</v>
      </c>
      <c r="P243" s="173"/>
    </row>
    <row r="244" spans="1:16">
      <c r="A244" s="169"/>
      <c r="B244" s="211"/>
      <c r="C244" s="211"/>
      <c r="D244" s="212" t="str">
        <f t="shared" ca="1" si="267"/>
        <v>INDNDPHELCN9</v>
      </c>
      <c r="E244" s="212" t="str">
        <f t="shared" ca="1" si="265"/>
        <v>Industrial heating technology N PH - Electric boiler (Hot Water) - new 9</v>
      </c>
      <c r="F244" s="262" t="s">
        <v>450</v>
      </c>
      <c r="G244" s="262" t="s">
        <v>449</v>
      </c>
      <c r="H244" s="263" t="s">
        <v>620</v>
      </c>
      <c r="I244" s="264"/>
      <c r="J244" s="264" t="s">
        <v>469</v>
      </c>
      <c r="P244" s="173"/>
    </row>
    <row r="245" spans="1:16">
      <c r="A245" s="169"/>
      <c r="B245" s="211"/>
      <c r="C245" s="211"/>
      <c r="D245" s="212" t="str">
        <f t="shared" ca="1" si="267"/>
        <v>INDNDSHELCN9</v>
      </c>
      <c r="E245" s="212" t="str">
        <f t="shared" ca="1" si="265"/>
        <v>Industrial heating technology N SH - Electric boiler (Hot Water) - new 9</v>
      </c>
      <c r="F245" s="262" t="s">
        <v>450</v>
      </c>
      <c r="G245" s="262" t="s">
        <v>449</v>
      </c>
      <c r="H245" s="263" t="s">
        <v>620</v>
      </c>
      <c r="I245" s="264"/>
      <c r="J245" s="264" t="s">
        <v>469</v>
      </c>
      <c r="P245" s="173"/>
    </row>
    <row r="246" spans="1:16">
      <c r="A246" s="169"/>
      <c r="B246" s="211"/>
      <c r="C246" s="211"/>
      <c r="D246" s="212" t="str">
        <f t="shared" ca="1" si="267"/>
        <v>INDNDPHWCHN1</v>
      </c>
      <c r="E246" s="212" t="str">
        <f t="shared" ca="1" si="265"/>
        <v>Industrial heating technology N PH - Wood chip boiler (Steam) - new 1</v>
      </c>
      <c r="F246" s="262" t="s">
        <v>450</v>
      </c>
      <c r="G246" s="262" t="s">
        <v>449</v>
      </c>
      <c r="H246" s="263"/>
      <c r="I246" s="264"/>
      <c r="J246" s="264" t="s">
        <v>469</v>
      </c>
      <c r="P246" s="173"/>
    </row>
    <row r="247" spans="1:16">
      <c r="A247" s="169"/>
      <c r="B247" s="211"/>
      <c r="C247" s="211"/>
      <c r="D247" s="212" t="str">
        <f t="shared" ca="1" si="267"/>
        <v>INDNDPHWCHN1</v>
      </c>
      <c r="E247" s="212" t="str">
        <f t="shared" ca="1" si="265"/>
        <v>Industrial heating technology N PH - Wood chip boiler (Steam) - new 1</v>
      </c>
      <c r="F247" s="262" t="s">
        <v>450</v>
      </c>
      <c r="G247" s="262" t="s">
        <v>449</v>
      </c>
      <c r="H247" s="263"/>
      <c r="I247" s="264"/>
      <c r="J247" s="264" t="s">
        <v>469</v>
      </c>
      <c r="M247" s="171"/>
      <c r="N247" s="171"/>
      <c r="P247" s="173"/>
    </row>
    <row r="248" spans="1:16">
      <c r="A248" s="169"/>
      <c r="B248" s="211"/>
      <c r="C248" s="211"/>
      <c r="D248" s="212" t="str">
        <f t="shared" ca="1" si="267"/>
        <v>INDNDSHWCHN1</v>
      </c>
      <c r="E248" s="212" t="str">
        <f t="shared" ca="1" si="265"/>
        <v>Industrial heating technology N SH - Wood chip boiler (Steam) - new 1</v>
      </c>
      <c r="F248" s="262" t="s">
        <v>450</v>
      </c>
      <c r="G248" s="262" t="s">
        <v>449</v>
      </c>
      <c r="H248" s="263"/>
      <c r="I248" s="264"/>
      <c r="J248" s="264" t="s">
        <v>469</v>
      </c>
      <c r="M248" s="171"/>
      <c r="N248" s="171"/>
      <c r="P248" s="173"/>
    </row>
    <row r="249" spans="1:16">
      <c r="A249" s="169"/>
      <c r="B249" s="211"/>
      <c r="C249" s="211"/>
      <c r="D249" s="212" t="str">
        <f t="shared" ca="1" si="267"/>
        <v>INDNDPHWCHN2</v>
      </c>
      <c r="E249" s="212" t="str">
        <f t="shared" ca="1" si="265"/>
        <v>Industrial heating technology N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INDNDSHWCHN2</v>
      </c>
      <c r="E250" s="212" t="str">
        <f t="shared" ca="1" si="265"/>
        <v>Industrial heating technology N SH - Wood chip boiler (Steam - condensing) - new 2</v>
      </c>
      <c r="F250" s="262" t="s">
        <v>450</v>
      </c>
      <c r="G250" s="262" t="s">
        <v>449</v>
      </c>
      <c r="H250" s="263"/>
      <c r="I250" s="264"/>
      <c r="J250" s="264" t="s">
        <v>469</v>
      </c>
    </row>
    <row r="251" spans="1:16">
      <c r="A251" s="169"/>
      <c r="B251" s="212"/>
      <c r="C251" s="212"/>
      <c r="D251" s="212" t="str">
        <f t="shared" ca="1" si="267"/>
        <v>INDNDPHWCHN3</v>
      </c>
      <c r="E251" s="212" t="str">
        <f t="shared" ca="1" si="265"/>
        <v>Industrial heating technology N PH - Wood chip boiler (Hot Water) - new 3</v>
      </c>
      <c r="F251" s="262" t="s">
        <v>450</v>
      </c>
      <c r="G251" s="262" t="s">
        <v>449</v>
      </c>
      <c r="H251" s="261"/>
      <c r="I251" s="261"/>
      <c r="J251" s="264" t="s">
        <v>469</v>
      </c>
    </row>
    <row r="252" spans="1:16">
      <c r="A252" s="169"/>
      <c r="B252" s="212"/>
      <c r="C252" s="212"/>
      <c r="D252" s="212" t="str">
        <f t="shared" ca="1" si="267"/>
        <v>INDNDSHWCHN3</v>
      </c>
      <c r="E252" s="212" t="str">
        <f t="shared" ca="1" si="265"/>
        <v>Industrial heating technology N SH - Wood chip boiler (Hot Water) - new 3</v>
      </c>
      <c r="F252" s="262" t="s">
        <v>450</v>
      </c>
      <c r="G252" s="262" t="s">
        <v>449</v>
      </c>
      <c r="H252" s="261"/>
      <c r="I252" s="261"/>
      <c r="J252" s="264" t="s">
        <v>469</v>
      </c>
    </row>
    <row r="253" spans="1:16">
      <c r="A253" s="169"/>
      <c r="B253" s="212"/>
      <c r="C253" s="212"/>
      <c r="D253" s="212" t="str">
        <f t="shared" ca="1" si="267"/>
        <v>INDNDPHWCHN4</v>
      </c>
      <c r="E253" s="212" t="str">
        <f t="shared" ca="1" si="265"/>
        <v>Industrial heating technology N PH - Wood chip boiler (Hot Water - condensing) - new 4</v>
      </c>
      <c r="F253" s="262" t="s">
        <v>450</v>
      </c>
      <c r="G253" s="262" t="s">
        <v>449</v>
      </c>
      <c r="H253" s="261"/>
      <c r="I253" s="261"/>
      <c r="J253" s="264" t="s">
        <v>469</v>
      </c>
    </row>
    <row r="254" spans="1:16">
      <c r="A254" s="169"/>
      <c r="B254" s="212"/>
      <c r="C254" s="212"/>
      <c r="D254" s="212" t="str">
        <f t="shared" ca="1" si="267"/>
        <v>INDNDSHWCHN4</v>
      </c>
      <c r="E254" s="212" t="str">
        <f t="shared" ca="1" si="265"/>
        <v>Industrial heating technology N SH - Wood chip boiler (Hot Water- condensing) - new 4</v>
      </c>
      <c r="F254" s="262" t="s">
        <v>450</v>
      </c>
      <c r="G254" s="262" t="s">
        <v>449</v>
      </c>
      <c r="H254" s="261"/>
      <c r="I254" s="261"/>
      <c r="J254" s="264" t="s">
        <v>469</v>
      </c>
    </row>
    <row r="255" spans="1:16">
      <c r="B255" s="212"/>
      <c r="C255" s="212"/>
      <c r="D255" s="212" t="str">
        <f t="shared" ca="1" si="267"/>
        <v>INDNDPHELCN10</v>
      </c>
      <c r="E255" s="212" t="str">
        <f t="shared" ca="1" si="265"/>
        <v>Industrial heating technology N PH - Direct electric heating - new 10</v>
      </c>
      <c r="F255" s="262" t="s">
        <v>450</v>
      </c>
      <c r="G255" s="262" t="s">
        <v>449</v>
      </c>
      <c r="H255" s="261"/>
      <c r="I255" s="261"/>
      <c r="J255" s="264" t="s">
        <v>469</v>
      </c>
    </row>
    <row r="256" spans="1:16">
      <c r="B256" s="212"/>
      <c r="C256" s="212"/>
      <c r="D256" s="212" t="str">
        <f t="shared" ca="1" si="267"/>
        <v>INDNDPHELCN10</v>
      </c>
      <c r="E256" s="212" t="str">
        <f t="shared" ca="1" si="265"/>
        <v>Industrial heating technology N PH - Direct electric heating - new 10</v>
      </c>
      <c r="F256" s="262" t="s">
        <v>450</v>
      </c>
      <c r="G256" s="262" t="s">
        <v>449</v>
      </c>
      <c r="H256" s="261"/>
      <c r="I256" s="261"/>
      <c r="J256" s="264" t="s">
        <v>469</v>
      </c>
    </row>
    <row r="257" spans="1:10">
      <c r="B257" s="212"/>
      <c r="C257" s="212"/>
      <c r="D257" s="212" t="str">
        <f t="shared" ca="1" si="267"/>
        <v>INDNDPHDSLN1</v>
      </c>
      <c r="E257" s="212" t="str">
        <f t="shared" ca="1" si="265"/>
        <v>Industrial heating technology N PH - Oil boiler (Steam) - new 1</v>
      </c>
      <c r="F257" s="262" t="s">
        <v>450</v>
      </c>
      <c r="G257" s="262" t="s">
        <v>449</v>
      </c>
      <c r="H257" s="261"/>
      <c r="I257" s="261"/>
      <c r="J257" s="264" t="s">
        <v>469</v>
      </c>
    </row>
    <row r="258" spans="1:10">
      <c r="B258" s="212"/>
      <c r="C258" s="212"/>
      <c r="D258" s="212" t="str">
        <f t="shared" ca="1" si="267"/>
        <v>INDNDPHDSLN1</v>
      </c>
      <c r="E258" s="212" t="str">
        <f t="shared" ca="1" si="265"/>
        <v>Industrial heating technology N PH - Oil boiler (Steam) - new 1</v>
      </c>
      <c r="F258" s="262" t="s">
        <v>450</v>
      </c>
      <c r="G258" s="262" t="s">
        <v>449</v>
      </c>
      <c r="H258" s="261"/>
      <c r="I258" s="261"/>
      <c r="J258" s="264" t="s">
        <v>469</v>
      </c>
    </row>
    <row r="259" spans="1:10">
      <c r="B259" s="212"/>
      <c r="C259" s="212"/>
      <c r="D259" s="212" t="str">
        <f t="shared" ca="1" si="267"/>
        <v>INDNDSHDSLN1</v>
      </c>
      <c r="E259" s="212" t="str">
        <f t="shared" ca="1" si="265"/>
        <v>Industrial heating technology N SH - Oil boiler (Steam) - new 1</v>
      </c>
      <c r="F259" s="262" t="s">
        <v>450</v>
      </c>
      <c r="G259" s="262" t="s">
        <v>449</v>
      </c>
      <c r="H259" s="261"/>
      <c r="I259" s="261"/>
      <c r="J259" s="264" t="s">
        <v>469</v>
      </c>
    </row>
    <row r="260" spans="1:10">
      <c r="A260" s="214"/>
      <c r="B260" s="212"/>
      <c r="C260" s="212"/>
      <c r="D260" s="212" t="str">
        <f t="shared" ca="1" si="267"/>
        <v>INDNDPHDSLN2</v>
      </c>
      <c r="E260" s="212" t="str">
        <f t="shared" ca="1" si="265"/>
        <v>Industrial heating technology N PH - Oil boiler (Steam - condensing) - new 2</v>
      </c>
      <c r="F260" s="262" t="s">
        <v>450</v>
      </c>
      <c r="G260" s="262" t="s">
        <v>449</v>
      </c>
      <c r="H260" s="261"/>
      <c r="I260" s="261"/>
      <c r="J260" s="264" t="s">
        <v>469</v>
      </c>
    </row>
    <row r="261" spans="1:10">
      <c r="A261" s="214"/>
      <c r="B261" s="212"/>
      <c r="C261" s="212"/>
      <c r="D261" s="212" t="str">
        <f t="shared" ca="1" si="267"/>
        <v>INDNDSHDSLN2</v>
      </c>
      <c r="E261" s="212" t="str">
        <f t="shared" ref="E261:E290" ca="1" si="268">VLOOKUP(D261,$D$9:$E$222,2,FALSE)</f>
        <v>Industrial heating technology N SH - Oil boiler (Steam - condensing) - new 2</v>
      </c>
      <c r="F261" s="262" t="s">
        <v>450</v>
      </c>
      <c r="G261" s="262" t="s">
        <v>449</v>
      </c>
      <c r="H261" s="261"/>
      <c r="I261" s="261"/>
      <c r="J261" s="264" t="s">
        <v>469</v>
      </c>
    </row>
    <row r="262" spans="1:10">
      <c r="A262" s="214"/>
      <c r="B262" s="212"/>
      <c r="C262" s="212"/>
      <c r="D262" s="212" t="str">
        <f t="shared" ca="1" si="267"/>
        <v>INDNDPHGASN1</v>
      </c>
      <c r="E262" s="212" t="str">
        <f t="shared" ca="1" si="268"/>
        <v>Industrial heating technology N PH - Gas boiler (Steam) - new 1</v>
      </c>
      <c r="F262" s="262" t="s">
        <v>450</v>
      </c>
      <c r="G262" s="262" t="s">
        <v>449</v>
      </c>
      <c r="H262" s="261"/>
      <c r="I262" s="261"/>
      <c r="J262" s="264" t="s">
        <v>469</v>
      </c>
    </row>
    <row r="263" spans="1:10">
      <c r="A263" s="214"/>
      <c r="B263" s="212"/>
      <c r="C263" s="212"/>
      <c r="D263" s="212" t="str">
        <f t="shared" ca="1" si="267"/>
        <v>INDNDPHGASN1</v>
      </c>
      <c r="E263" s="212" t="str">
        <f t="shared" ca="1" si="268"/>
        <v>Industrial heating technology N PH - Gas boiler (Steam) - new 1</v>
      </c>
      <c r="F263" s="262" t="s">
        <v>450</v>
      </c>
      <c r="G263" s="262" t="s">
        <v>449</v>
      </c>
      <c r="H263" s="261"/>
      <c r="I263" s="261"/>
      <c r="J263" s="264" t="s">
        <v>469</v>
      </c>
    </row>
    <row r="264" spans="1:10">
      <c r="B264" s="212"/>
      <c r="C264" s="212"/>
      <c r="D264" s="212" t="str">
        <f t="shared" ca="1" si="267"/>
        <v>INDNDSHGASN1</v>
      </c>
      <c r="E264" s="212" t="str">
        <f t="shared" ca="1" si="268"/>
        <v>Industrial heating technology N SH - Gas boiler (Steam) - new 1</v>
      </c>
      <c r="F264" s="262" t="s">
        <v>450</v>
      </c>
      <c r="G264" s="262" t="s">
        <v>449</v>
      </c>
      <c r="H264" s="261"/>
      <c r="I264" s="261"/>
      <c r="J264" s="264" t="s">
        <v>469</v>
      </c>
    </row>
    <row r="265" spans="1:10">
      <c r="B265" s="212"/>
      <c r="C265" s="212"/>
      <c r="D265" s="212" t="str">
        <f t="shared" ca="1" si="267"/>
        <v>INDNDPHGASN2</v>
      </c>
      <c r="E265" s="212" t="str">
        <f t="shared" ca="1" si="268"/>
        <v>Industrial heating technology N PH - Gas boiler (Steam - condensing) - new 2</v>
      </c>
      <c r="F265" s="262" t="s">
        <v>450</v>
      </c>
      <c r="G265" s="262" t="s">
        <v>449</v>
      </c>
      <c r="H265" s="261"/>
      <c r="I265" s="261"/>
      <c r="J265" s="264" t="s">
        <v>469</v>
      </c>
    </row>
    <row r="266" spans="1:10">
      <c r="B266" s="212"/>
      <c r="C266" s="212"/>
      <c r="D266" s="212" t="str">
        <f t="shared" ca="1" si="267"/>
        <v>INDNDSHGASN2</v>
      </c>
      <c r="E266" s="212" t="str">
        <f t="shared" ca="1" si="268"/>
        <v>Industrial heating technology N SH - Gas boiler (Steam - condensing) - new 2</v>
      </c>
      <c r="F266" s="262" t="s">
        <v>450</v>
      </c>
      <c r="G266" s="262" t="s">
        <v>449</v>
      </c>
      <c r="H266" s="261"/>
      <c r="I266" s="261"/>
      <c r="J266" s="264" t="s">
        <v>469</v>
      </c>
    </row>
    <row r="267" spans="1:10">
      <c r="B267" s="212"/>
      <c r="C267" s="212"/>
      <c r="D267" s="212" t="str">
        <f t="shared" ca="1" si="267"/>
        <v>INDNDPHGASN3</v>
      </c>
      <c r="E267" s="212" t="str">
        <f t="shared" ca="1" si="268"/>
        <v>Industrial heating technology N PH - Gas boiler (Hot Water) - new 3</v>
      </c>
      <c r="F267" s="262" t="s">
        <v>450</v>
      </c>
      <c r="G267" s="262" t="s">
        <v>449</v>
      </c>
      <c r="H267" s="261"/>
      <c r="I267" s="261"/>
      <c r="J267" s="264" t="s">
        <v>469</v>
      </c>
    </row>
    <row r="268" spans="1:10">
      <c r="B268" s="212"/>
      <c r="C268" s="212"/>
      <c r="D268" s="212" t="str">
        <f t="shared" ca="1" si="267"/>
        <v>INDNDSHGASN3</v>
      </c>
      <c r="E268" s="212" t="str">
        <f t="shared" ca="1" si="268"/>
        <v>Industrial heating technology N SH - Gas boiler (Hot Water) - new 3</v>
      </c>
      <c r="F268" s="262" t="s">
        <v>450</v>
      </c>
      <c r="G268" s="262" t="s">
        <v>449</v>
      </c>
      <c r="H268" s="261"/>
      <c r="I268" s="261"/>
      <c r="J268" s="264" t="s">
        <v>469</v>
      </c>
    </row>
    <row r="269" spans="1:10">
      <c r="B269" s="212"/>
      <c r="C269" s="212"/>
      <c r="D269" s="212" t="str">
        <f t="shared" ca="1" si="267"/>
        <v>INDNDPHGASN4</v>
      </c>
      <c r="E269" s="212" t="str">
        <f t="shared" ca="1" si="268"/>
        <v>Industrial heating technology N PH - Gas boiler (Hot Water - condensing) - new 4</v>
      </c>
      <c r="F269" s="262" t="s">
        <v>450</v>
      </c>
      <c r="G269" s="262" t="s">
        <v>449</v>
      </c>
      <c r="H269" s="261"/>
      <c r="I269" s="261"/>
      <c r="J269" s="264" t="s">
        <v>469</v>
      </c>
    </row>
    <row r="270" spans="1:10">
      <c r="B270" s="212"/>
      <c r="C270" s="212"/>
      <c r="D270" s="212" t="str">
        <f t="shared" ca="1" si="267"/>
        <v>INDNDSHGASN4</v>
      </c>
      <c r="E270" s="212" t="str">
        <f t="shared" ca="1" si="268"/>
        <v>Industrial heating technology N SH - Gas boiler (Hot Water- condensing) - new 4</v>
      </c>
      <c r="F270" s="262" t="s">
        <v>450</v>
      </c>
      <c r="G270" s="262" t="s">
        <v>449</v>
      </c>
      <c r="H270" s="261"/>
      <c r="I270" s="261"/>
      <c r="J270" s="264" t="s">
        <v>469</v>
      </c>
    </row>
    <row r="271" spans="1:10">
      <c r="B271" s="212"/>
      <c r="C271" s="212"/>
      <c r="D271" s="212" t="str">
        <f t="shared" ca="1" si="267"/>
        <v>INDNDPHGASN5</v>
      </c>
      <c r="E271" s="212" t="str">
        <f t="shared" ca="1" si="268"/>
        <v>Industrial heating technology N PH - Gas boiler (Direct firing) - new 5</v>
      </c>
      <c r="F271" s="262" t="s">
        <v>450</v>
      </c>
      <c r="G271" s="262" t="s">
        <v>449</v>
      </c>
      <c r="H271" s="261"/>
      <c r="I271" s="261"/>
      <c r="J271" s="264" t="s">
        <v>469</v>
      </c>
    </row>
    <row r="272" spans="1:10">
      <c r="B272" s="212"/>
      <c r="C272" s="212"/>
      <c r="D272" s="212" t="str">
        <f t="shared" ca="1" si="267"/>
        <v>INDNDPHGASN5</v>
      </c>
      <c r="E272" s="212" t="str">
        <f t="shared" ca="1" si="268"/>
        <v>Industrial heating technology N PH - Gas boiler (Direct firing) - new 5</v>
      </c>
      <c r="F272" s="262" t="s">
        <v>450</v>
      </c>
      <c r="G272" s="262" t="s">
        <v>449</v>
      </c>
      <c r="H272" s="261"/>
      <c r="I272" s="261"/>
      <c r="J272" s="264" t="s">
        <v>469</v>
      </c>
    </row>
    <row r="273" spans="2:10">
      <c r="B273" s="212"/>
      <c r="C273" s="212"/>
      <c r="D273" s="212" t="str">
        <f t="shared" ca="1" si="267"/>
        <v>INDNDPHCOAN1</v>
      </c>
      <c r="E273" s="212" t="str">
        <f t="shared" ca="1" si="268"/>
        <v>Industrial heating technology N PH - Coal boiler (Steam) - new 1</v>
      </c>
      <c r="F273" s="262" t="s">
        <v>450</v>
      </c>
      <c r="G273" s="262" t="s">
        <v>449</v>
      </c>
      <c r="H273" s="261"/>
      <c r="I273" s="261"/>
      <c r="J273" s="264" t="s">
        <v>469</v>
      </c>
    </row>
    <row r="274" spans="2:10">
      <c r="B274" s="212"/>
      <c r="C274" s="212"/>
      <c r="D274" s="212" t="str">
        <f t="shared" ca="1" si="267"/>
        <v>INDNDPHCOAN1</v>
      </c>
      <c r="E274" s="212" t="str">
        <f t="shared" ca="1" si="268"/>
        <v>Industrial heating technology N PH - Coal boiler (Steam) - new 1</v>
      </c>
      <c r="F274" s="262" t="s">
        <v>450</v>
      </c>
      <c r="G274" s="262" t="s">
        <v>449</v>
      </c>
      <c r="H274" s="261"/>
      <c r="I274" s="261"/>
      <c r="J274" s="264" t="s">
        <v>469</v>
      </c>
    </row>
    <row r="275" spans="2:10">
      <c r="B275" s="212"/>
      <c r="C275" s="212"/>
      <c r="D275" s="212" t="str">
        <f t="shared" ca="1" si="267"/>
        <v>INDNDSHCOAN1</v>
      </c>
      <c r="E275" s="212" t="str">
        <f t="shared" ca="1" si="268"/>
        <v>Industrial heating technology N SH - Coal boiler (Steam) - new 1</v>
      </c>
      <c r="F275" s="262" t="s">
        <v>450</v>
      </c>
      <c r="G275" s="262" t="s">
        <v>449</v>
      </c>
      <c r="H275" s="261"/>
      <c r="I275" s="261"/>
      <c r="J275" s="264" t="s">
        <v>469</v>
      </c>
    </row>
    <row r="276" spans="2:10">
      <c r="B276" s="212"/>
      <c r="C276" s="212"/>
      <c r="D276" s="212" t="str">
        <f t="shared" ca="1" si="267"/>
        <v>INDNDPHCOAN2</v>
      </c>
      <c r="E276" s="212" t="str">
        <f t="shared" ca="1" si="268"/>
        <v>Industrial heating technology N PH - Coal boiler (Hot Water) - new 2</v>
      </c>
      <c r="F276" s="262" t="s">
        <v>450</v>
      </c>
      <c r="G276" s="262" t="s">
        <v>449</v>
      </c>
      <c r="H276" s="261"/>
      <c r="I276" s="261"/>
      <c r="J276" s="264" t="s">
        <v>469</v>
      </c>
    </row>
    <row r="277" spans="2:10">
      <c r="B277" s="212"/>
      <c r="C277" s="212"/>
      <c r="D277" s="212" t="str">
        <f t="shared" ca="1" si="267"/>
        <v>INDNDSHCOAN2</v>
      </c>
      <c r="E277" s="212" t="str">
        <f t="shared" ca="1" si="268"/>
        <v>Industrial heating technology N SH - Coal boiler (Hot Water) - new 2</v>
      </c>
      <c r="F277" s="262" t="s">
        <v>450</v>
      </c>
      <c r="G277" s="262" t="s">
        <v>449</v>
      </c>
      <c r="H277" s="261"/>
      <c r="I277" s="261"/>
      <c r="J277" s="264" t="s">
        <v>469</v>
      </c>
    </row>
    <row r="278" spans="2:10">
      <c r="B278" s="212"/>
      <c r="C278" s="212"/>
      <c r="D278" s="212" t="str">
        <f t="shared" ca="1" si="267"/>
        <v>INDNDSHSOLN1</v>
      </c>
      <c r="E278" s="212" t="str">
        <f t="shared" ca="1" si="268"/>
        <v>Industrial heating technology N SH - Solar - new 1</v>
      </c>
      <c r="F278" s="262" t="s">
        <v>450</v>
      </c>
      <c r="G278" s="262" t="s">
        <v>449</v>
      </c>
      <c r="H278" s="263" t="s">
        <v>620</v>
      </c>
      <c r="I278" s="261"/>
      <c r="J278" s="264" t="s">
        <v>469</v>
      </c>
    </row>
    <row r="279" spans="2:10">
      <c r="B279" s="212"/>
      <c r="C279" s="212"/>
      <c r="D279" s="889" t="str">
        <f>D187</f>
        <v>INDNDSHHCEN1</v>
      </c>
      <c r="E279" s="889" t="str">
        <f t="shared" si="268"/>
        <v>Industrial heating technology N SH - central district heating - within DH area - new 1</v>
      </c>
      <c r="F279" s="262" t="s">
        <v>450</v>
      </c>
      <c r="G279" s="262" t="s">
        <v>449</v>
      </c>
      <c r="H279" s="890"/>
      <c r="I279" s="890"/>
      <c r="J279" s="263" t="s">
        <v>469</v>
      </c>
    </row>
    <row r="280" spans="2:10">
      <c r="B280" s="212"/>
      <c r="C280" s="212"/>
      <c r="D280" s="889" t="str">
        <f>D188</f>
        <v>INDNDPHHCEN1</v>
      </c>
      <c r="E280" s="889" t="str">
        <f t="shared" si="268"/>
        <v>Industrial heating technology N PH - central district heating - within DH area - new 1</v>
      </c>
      <c r="F280" s="262" t="s">
        <v>450</v>
      </c>
      <c r="G280" s="262" t="s">
        <v>449</v>
      </c>
      <c r="H280" s="890"/>
      <c r="I280" s="890"/>
      <c r="J280" s="263" t="s">
        <v>469</v>
      </c>
    </row>
    <row r="281" spans="2:10">
      <c r="B281" s="212"/>
      <c r="C281" s="212"/>
      <c r="D281" s="889" t="str">
        <f>D189</f>
        <v>INDNDSHHSEN1</v>
      </c>
      <c r="E281" s="889" t="str">
        <f t="shared" si="268"/>
        <v>Industrial heating technology N SH - central district heating - within DH area - new 1</v>
      </c>
      <c r="F281" s="262" t="s">
        <v>450</v>
      </c>
      <c r="G281" s="262" t="s">
        <v>449</v>
      </c>
      <c r="H281" s="890"/>
      <c r="I281" s="890"/>
      <c r="J281" s="263" t="s">
        <v>469</v>
      </c>
    </row>
    <row r="282" spans="2:10">
      <c r="B282" s="212"/>
      <c r="C282" s="212"/>
      <c r="D282" s="889" t="str">
        <f>D190</f>
        <v>INDNDPHHSEN1</v>
      </c>
      <c r="E282" s="889" t="str">
        <f t="shared" si="268"/>
        <v>Industrial heating technology N PH - central district heating - within DH area - new 1</v>
      </c>
      <c r="F282" s="262" t="s">
        <v>450</v>
      </c>
      <c r="G282" s="262" t="s">
        <v>449</v>
      </c>
      <c r="H282" s="890"/>
      <c r="I282" s="890"/>
      <c r="J282" s="263" t="s">
        <v>469</v>
      </c>
    </row>
    <row r="283" spans="2:10">
      <c r="B283" s="212"/>
      <c r="C283" s="212"/>
      <c r="D283" s="212" t="str">
        <f t="shared" ref="D283" si="269">D191</f>
        <v>INDNDSHHDEN1</v>
      </c>
      <c r="E283" s="212" t="str">
        <f t="shared" si="268"/>
        <v>Industrial heating technology N SH - decentral district heating - within DH area - new 1</v>
      </c>
      <c r="F283" s="262" t="s">
        <v>450</v>
      </c>
      <c r="G283" s="262" t="s">
        <v>449</v>
      </c>
      <c r="H283" s="261"/>
      <c r="I283" s="261"/>
      <c r="J283" s="264" t="s">
        <v>469</v>
      </c>
    </row>
    <row r="284" spans="2:10">
      <c r="B284" s="212"/>
      <c r="C284" s="212"/>
      <c r="D284" s="212" t="str">
        <f>D192</f>
        <v>INDNDPHHDEN1</v>
      </c>
      <c r="E284" s="212" t="str">
        <f t="shared" si="268"/>
        <v>Industrial heating technology N PH - decentral district heating - within DH area - new 1</v>
      </c>
      <c r="F284" s="262" t="s">
        <v>450</v>
      </c>
      <c r="G284" s="262" t="s">
        <v>449</v>
      </c>
      <c r="H284" s="261"/>
      <c r="I284" s="261"/>
      <c r="J284" s="264" t="s">
        <v>469</v>
      </c>
    </row>
    <row r="285" spans="2:10">
      <c r="B285" s="212"/>
      <c r="C285" s="212"/>
      <c r="D285" s="212" t="str">
        <f>D194</f>
        <v>INDNDLAELCN1</v>
      </c>
      <c r="E285" s="212" t="str">
        <f t="shared" si="268"/>
        <v>Industry N LA Electricity Light Appliance - New 1</v>
      </c>
      <c r="F285" s="262" t="s">
        <v>450</v>
      </c>
      <c r="G285" s="262" t="s">
        <v>449</v>
      </c>
      <c r="H285" s="261"/>
      <c r="I285" s="261"/>
      <c r="J285" s="264" t="s">
        <v>469</v>
      </c>
    </row>
    <row r="286" spans="2:10">
      <c r="B286" s="212"/>
      <c r="C286" s="212"/>
      <c r="D286" s="212" t="str">
        <f>D198</f>
        <v>INDNDEMELCN1</v>
      </c>
      <c r="E286" s="212" t="str">
        <f t="shared" si="268"/>
        <v>Industry N EM Electricity Motors - New 1</v>
      </c>
      <c r="F286" s="262" t="s">
        <v>450</v>
      </c>
      <c r="G286" s="262" t="s">
        <v>449</v>
      </c>
      <c r="H286" s="261"/>
      <c r="I286" s="261"/>
      <c r="J286" s="264" t="s">
        <v>469</v>
      </c>
    </row>
    <row r="287" spans="2:10">
      <c r="B287" s="212"/>
      <c r="C287" s="212"/>
      <c r="D287" s="212" t="str">
        <f>D202</f>
        <v>INDNDTFDSLN1</v>
      </c>
      <c r="E287" s="212" t="str">
        <f t="shared" si="268"/>
        <v>Industry N TF Tractors, Trucks, Fishing boats - New 1</v>
      </c>
      <c r="F287" s="262" t="s">
        <v>450</v>
      </c>
      <c r="G287" s="262" t="s">
        <v>2078</v>
      </c>
      <c r="H287" s="261"/>
      <c r="I287" s="261"/>
      <c r="J287" s="264" t="s">
        <v>469</v>
      </c>
    </row>
    <row r="288" spans="2:10">
      <c r="B288" s="212"/>
      <c r="C288" s="212"/>
      <c r="D288" s="212" t="str">
        <f>D206</f>
        <v>INDNDTFH2GN2</v>
      </c>
      <c r="E288" s="212" t="str">
        <f t="shared" si="268"/>
        <v>Industry N TF Tractors, Trucks, Fishing boats - New 2</v>
      </c>
      <c r="F288" s="262" t="s">
        <v>450</v>
      </c>
      <c r="G288" s="262" t="s">
        <v>2078</v>
      </c>
      <c r="H288" s="261"/>
      <c r="I288" s="261"/>
      <c r="J288" s="264" t="s">
        <v>469</v>
      </c>
    </row>
    <row r="289" spans="2:10">
      <c r="B289" s="212"/>
      <c r="C289" s="212"/>
      <c r="D289" s="212" t="str">
        <f>D210</f>
        <v>INDNDTFELCN3</v>
      </c>
      <c r="E289" s="212" t="str">
        <f t="shared" si="268"/>
        <v>Industry N TF Tractors, Trucks, Fishing boats - New 3</v>
      </c>
      <c r="F289" s="262" t="s">
        <v>450</v>
      </c>
      <c r="G289" s="262" t="s">
        <v>2078</v>
      </c>
      <c r="H289" s="261"/>
      <c r="I289" s="261"/>
      <c r="J289" s="264" t="s">
        <v>469</v>
      </c>
    </row>
    <row r="290" spans="2:10">
      <c r="B290" s="212"/>
      <c r="C290" s="212"/>
      <c r="D290" s="212" t="str">
        <f>D214</f>
        <v>INDNDFLSYNN1</v>
      </c>
      <c r="E290" s="212" t="str">
        <f t="shared" si="268"/>
        <v>Industry N TF Forklifts - New 1</v>
      </c>
      <c r="F290" s="262" t="s">
        <v>450</v>
      </c>
      <c r="G290" s="262" t="s">
        <v>449</v>
      </c>
      <c r="H290" s="261"/>
      <c r="I290" s="261"/>
      <c r="J290" s="264" t="s">
        <v>469</v>
      </c>
    </row>
    <row r="291" spans="2:10">
      <c r="B291" s="212"/>
      <c r="C291" s="212"/>
      <c r="D291" s="212" t="str">
        <f>D218</f>
        <v>INDNDCOELCN1</v>
      </c>
      <c r="E291" s="212" t="str">
        <f>E218</f>
        <v>Industry N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INDSOx</v>
      </c>
      <c r="E296" s="270" t="str">
        <f>"Industrial heating  heating technology "&amp;$AJ$12&amp;" - SOx emission"</f>
        <v>Industrial heating  heating technology N - SOx emission</v>
      </c>
      <c r="F296" s="219" t="s">
        <v>352</v>
      </c>
      <c r="G296" s="211"/>
      <c r="H296" s="211"/>
      <c r="I296" s="211"/>
      <c r="J296" s="211"/>
    </row>
    <row r="297" spans="2:10">
      <c r="B297" s="214"/>
      <c r="C297" s="214"/>
      <c r="D297" s="260" t="str">
        <f>"I"&amp;LEFT($AJ$12,1)&amp;"DNOx"</f>
        <v>INDNOx</v>
      </c>
      <c r="E297" s="270" t="str">
        <f>"Industrial heating  heating technology "&amp;$AJ$12&amp;" - NOx emission"</f>
        <v>Industrial heating  heating technology N - NOx emission</v>
      </c>
      <c r="F297" s="219" t="s">
        <v>352</v>
      </c>
      <c r="G297" s="211"/>
      <c r="H297" s="214"/>
      <c r="I297" s="214"/>
      <c r="J297" s="214"/>
    </row>
    <row r="298" spans="2:10">
      <c r="B298" s="214"/>
      <c r="C298" s="214"/>
      <c r="D298" s="260" t="str">
        <f>"I"&amp;LEFT($AJ$12,1)&amp;"DCH4"</f>
        <v>INDCH4</v>
      </c>
      <c r="E298" s="270" t="str">
        <f>"Industrial heating  heating technology "&amp;$AJ$12&amp;" - CH4 emission"</f>
        <v>Industrial heating  heating technology N - CH4 emission</v>
      </c>
      <c r="F298" s="219" t="s">
        <v>352</v>
      </c>
      <c r="G298" s="211"/>
      <c r="H298" s="214"/>
      <c r="I298" s="214"/>
      <c r="J298" s="214"/>
    </row>
    <row r="299" spans="2:10">
      <c r="B299" s="214"/>
      <c r="C299" s="214"/>
      <c r="D299" s="260" t="str">
        <f>"I"&amp;LEFT($AJ$12,1)&amp;"DNO2"</f>
        <v>INDNO2</v>
      </c>
      <c r="E299" s="270" t="str">
        <f>"Industrial heating  heating technology "&amp;$AJ$12&amp;" - NO2 emission"</f>
        <v>Industrial heating  heating technology N - NO2 emission</v>
      </c>
      <c r="F299" s="219" t="s">
        <v>352</v>
      </c>
      <c r="G299" s="211"/>
      <c r="H299" s="214"/>
      <c r="I299" s="214"/>
      <c r="J299" s="214"/>
    </row>
    <row r="300" spans="2:10">
      <c r="B300" s="214"/>
      <c r="C300" s="214"/>
      <c r="D300" s="260" t="str">
        <f>"I"&amp;LEFT($AJ$12,1)&amp;"DPM"</f>
        <v>INDPM</v>
      </c>
      <c r="E300" s="270" t="str">
        <f>"Industrial heating  heating technology "&amp;$AJ$12&amp;" - Particle emission"</f>
        <v>Industrial heating  heating technology N - Particle emission</v>
      </c>
      <c r="F300" s="219" t="s">
        <v>352</v>
      </c>
      <c r="G300" s="211"/>
      <c r="H300" s="214"/>
      <c r="I300" s="214"/>
      <c r="J300" s="214"/>
    </row>
    <row r="301" spans="2:10">
      <c r="B301" s="224" t="s">
        <v>1057</v>
      </c>
      <c r="D301" s="224" t="str">
        <f>AI20</f>
        <v>INDNWH</v>
      </c>
      <c r="E301" s="270" t="str">
        <f>"Industrial heating technology "&amp;$AJ$12&amp;" - Waste heat"</f>
        <v>Industrial heating technology N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812FA3C-87B0-4C13-8602-A84FFC857FA3}">
          <x14:formula1>
            <xm:f>'Oil-fired boiler_NEW'!$T$4:$X$4</xm:f>
          </x14:formula1>
          <xm:sqref>E1</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685B1-BC59-4F9C-AF5E-53EE4A5BB6DA}">
  <sheetPr>
    <tabColor rgb="FF00B050"/>
  </sheetPr>
  <dimension ref="A1:AJ301"/>
  <sheetViews>
    <sheetView topLeftCell="A249"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36" ht="14.55" customHeight="1">
      <c r="D1" s="728" t="s">
        <v>1016</v>
      </c>
      <c r="E1" s="729" t="s">
        <v>716</v>
      </c>
      <c r="N1" s="64"/>
      <c r="O1" s="64"/>
      <c r="P1" s="64"/>
      <c r="S1" s="727" t="s">
        <v>1004</v>
      </c>
      <c r="T1" s="776" t="s">
        <v>1003</v>
      </c>
      <c r="U1" s="775" t="s">
        <v>1053</v>
      </c>
      <c r="V1" s="776" t="s">
        <v>1054</v>
      </c>
      <c r="W1" s="780">
        <v>0.3</v>
      </c>
    </row>
    <row r="2" spans="2:36" ht="15" thickBot="1">
      <c r="E2" s="730" t="s">
        <v>1148</v>
      </c>
      <c r="N2" s="731"/>
      <c r="O2" s="731"/>
      <c r="P2" s="731"/>
      <c r="S2" s="726">
        <f>MATCH($E$1,$AJ$22:$AJ$35)</f>
        <v>7</v>
      </c>
      <c r="T2" s="778">
        <f>MATCH($E$1,$AJ$22:$AJ$35)+1</f>
        <v>8</v>
      </c>
      <c r="U2" s="779"/>
      <c r="V2" s="768" t="s">
        <v>1055</v>
      </c>
      <c r="W2" s="781">
        <v>0.2</v>
      </c>
    </row>
    <row r="3" spans="2:36" ht="15"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FEMIS~ILDSOx</v>
      </c>
      <c r="Y6" s="280" t="str">
        <f>"FEMIS~"&amp;D297</f>
        <v>FEMIS~ILDNOx</v>
      </c>
      <c r="Z6" s="280" t="str">
        <f>"FEMIS~"&amp;D298</f>
        <v>FEMIS~ILDCH4</v>
      </c>
      <c r="AA6" s="280" t="str">
        <f>"FEMIS~"&amp;D299</f>
        <v>FEMIS~ILDNO2</v>
      </c>
      <c r="AB6" s="280" t="str">
        <f>"FEMIS~"&amp;D300</f>
        <v>FEMIS~ILDPM</v>
      </c>
      <c r="AC6" s="224" t="s">
        <v>424</v>
      </c>
      <c r="AD6" s="224" t="s">
        <v>2001</v>
      </c>
      <c r="AE6" s="47" t="s">
        <v>338</v>
      </c>
      <c r="AF6" s="221" t="s">
        <v>473</v>
      </c>
    </row>
    <row r="7" spans="2:36"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INDLDPHELCN1</v>
      </c>
      <c r="E9" s="261" t="str">
        <f>"Industrial heating technology "&amp;$AJ$12&amp;" "&amp;RIGHT(H9,2)&amp;" - Heat pump utilizing waste heat - new 1"</f>
        <v>Industrial heating technology L PH - Heat pump utilizing waste heat - new 1</v>
      </c>
      <c r="F9" s="224" t="s">
        <v>1149</v>
      </c>
      <c r="G9" s="173" t="s">
        <v>499</v>
      </c>
      <c r="H9" s="174" t="str">
        <f>$AI$14</f>
        <v>ILDPH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INDLWH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ILDPH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INDLWH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374</v>
      </c>
    </row>
    <row r="13" spans="2:36">
      <c r="B13" s="357" t="s">
        <v>998</v>
      </c>
      <c r="D13" s="212"/>
      <c r="E13" s="212"/>
      <c r="F13" s="224" t="s">
        <v>1149</v>
      </c>
      <c r="G13" s="173" t="s">
        <v>499</v>
      </c>
      <c r="H13" s="174" t="str">
        <f>$AI$14</f>
        <v>ILDPH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ILDPH</v>
      </c>
      <c r="AJ13" s="224" t="str">
        <f>"Industry "&amp;$AJ$12&amp;" Demand Heat High Temp. over 150C"</f>
        <v>Industry L Demand Heat High Temp. over 150C</v>
      </c>
    </row>
    <row r="14" spans="2:36">
      <c r="B14" s="357" t="s">
        <v>998</v>
      </c>
      <c r="D14" s="212"/>
      <c r="E14" s="212"/>
      <c r="F14" s="224" t="s">
        <v>1149</v>
      </c>
      <c r="G14" s="173" t="str">
        <f>$AI$20</f>
        <v>INDLWH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ILDPH</v>
      </c>
      <c r="AJ14" s="224" t="str">
        <f>"Industry "&amp;$AJ$12&amp;" Demand Heat Medium Temp. up to 150C"</f>
        <v>Industry L Demand Heat Medium Temp. up to 150C</v>
      </c>
    </row>
    <row r="15" spans="2:36">
      <c r="B15" s="357" t="s">
        <v>998</v>
      </c>
      <c r="D15" s="212" t="str">
        <f>"IND"&amp;RIGHT(H15,4)&amp;RIGHT(G15,3)&amp;"N"&amp;RIGHT(E15,1)</f>
        <v>INDLDSHELCN1</v>
      </c>
      <c r="E15" s="261" t="str">
        <f>"Industrial heating technology "&amp;$AJ$12&amp;" "&amp;RIGHT(H15,2)&amp;" - Heat pump utilizing waste heat - new 1"</f>
        <v>Industrial heating technology L SH - Heat pump utilizing waste heat - new 1</v>
      </c>
      <c r="F15" s="224" t="s">
        <v>1149</v>
      </c>
      <c r="G15" s="173" t="s">
        <v>499</v>
      </c>
      <c r="H15" s="174" t="str">
        <f>$AI$15</f>
        <v>ILDSH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ILDSH</v>
      </c>
      <c r="AJ15" s="224" t="str">
        <f>"Industry "&amp;$AJ$12&amp;" Demand Heat Room Heat"</f>
        <v>Industry L Demand Heat Room Heat</v>
      </c>
    </row>
    <row r="16" spans="2:36">
      <c r="B16" s="357" t="s">
        <v>998</v>
      </c>
      <c r="D16" s="212"/>
      <c r="E16" s="261"/>
      <c r="F16" s="224" t="s">
        <v>1149</v>
      </c>
      <c r="G16" s="173" t="str">
        <f>$AI$20</f>
        <v>INDLWH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ILDLA</v>
      </c>
      <c r="AJ16" s="224" t="str">
        <f>"Industry "&amp;$AJ$12&amp;" Demand Light Appliances"</f>
        <v>Industry L Demand Light Appliances</v>
      </c>
    </row>
    <row r="17" spans="2:36">
      <c r="B17" s="357" t="s">
        <v>998</v>
      </c>
      <c r="D17" s="212"/>
      <c r="E17" s="212"/>
      <c r="F17" s="224" t="s">
        <v>1149</v>
      </c>
      <c r="G17" s="173" t="s">
        <v>499</v>
      </c>
      <c r="H17" s="174" t="str">
        <f>$AI$15</f>
        <v>ILDSH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ILDEM</v>
      </c>
      <c r="AJ17" s="224" t="str">
        <f>"Industry "&amp;$AJ$12&amp;" Demand Electric Motors"</f>
        <v>Industry L Demand Electric Motors</v>
      </c>
    </row>
    <row r="18" spans="2:36">
      <c r="B18" s="357" t="s">
        <v>998</v>
      </c>
      <c r="D18" s="212"/>
      <c r="E18" s="212"/>
      <c r="F18" s="224" t="s">
        <v>1149</v>
      </c>
      <c r="G18" s="173" t="str">
        <f>$AI$20</f>
        <v>INDLWH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ILDTF</v>
      </c>
      <c r="AJ18" s="224" t="str">
        <f>"Industry "&amp;$AJ$12&amp;" Demand Tractors, Trucks, Fishing boats, Forest machines"</f>
        <v>Industry L Demand Tractors, Trucks, Fishing boats, Forest machines</v>
      </c>
    </row>
    <row r="19" spans="2:36">
      <c r="B19" s="357" t="s">
        <v>998</v>
      </c>
      <c r="D19" s="212"/>
      <c r="E19" s="212"/>
      <c r="F19" s="224" t="s">
        <v>1149</v>
      </c>
      <c r="G19" s="173" t="s">
        <v>499</v>
      </c>
      <c r="H19" s="174" t="str">
        <f>$AI$15</f>
        <v>ILDSH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ILDFL</v>
      </c>
      <c r="AJ19" s="224" t="str">
        <f>"Industry "&amp;$AJ$12&amp;" Demand Forklifts"</f>
        <v>Industry L Demand Forklifts</v>
      </c>
    </row>
    <row r="20" spans="2:36">
      <c r="B20" s="357" t="s">
        <v>998</v>
      </c>
      <c r="D20" s="212"/>
      <c r="E20" s="212"/>
      <c r="F20" s="224" t="s">
        <v>1149</v>
      </c>
      <c r="G20" s="173" t="str">
        <f>$AI$20</f>
        <v>INDLWH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INDLWH</v>
      </c>
      <c r="AJ20" s="224" t="str">
        <f>"Industry "&amp;$AJ$12&amp;" Waste Heat"</f>
        <v>Industry L Waste Heat</v>
      </c>
    </row>
    <row r="21" spans="2:36">
      <c r="B21" s="357" t="s">
        <v>999</v>
      </c>
      <c r="D21" s="212" t="str">
        <f>"IND"&amp;RIGHT(H21,4)&amp;RIGHT(G21,3)&amp;"N"&amp;RIGHT(E21,1)</f>
        <v>INDLDPHELCN2</v>
      </c>
      <c r="E21" s="261" t="str">
        <f>"Industrial heating technology "&amp;$AJ$12&amp;" "&amp;RIGHT(H21,2)&amp;" - Heat driven heat pump utilizing waste heat - new 2"</f>
        <v>Industrial heating technology L PH - Heat driven heat pump utilizing waste heat - new 2</v>
      </c>
      <c r="F21" s="224" t="s">
        <v>1149</v>
      </c>
      <c r="G21" s="173" t="s">
        <v>499</v>
      </c>
      <c r="H21" s="174" t="str">
        <f>$AI$14</f>
        <v>ILDPH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ILDCO</v>
      </c>
      <c r="AJ21" s="224" t="str">
        <f>"Industry "&amp;$AJ$12&amp;" Cooling"</f>
        <v>Industry L Cooling</v>
      </c>
    </row>
    <row r="22" spans="2:36">
      <c r="B22" s="357" t="s">
        <v>999</v>
      </c>
      <c r="D22" s="212"/>
      <c r="E22" s="261"/>
      <c r="F22" s="224" t="s">
        <v>1149</v>
      </c>
      <c r="G22" s="173" t="str">
        <f>$AI$20</f>
        <v>INDLWH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ILDPH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5" customHeight="1">
      <c r="B24" s="357" t="s">
        <v>999</v>
      </c>
      <c r="D24" s="212"/>
      <c r="E24" s="212"/>
      <c r="F24" s="224" t="s">
        <v>1149</v>
      </c>
      <c r="G24" s="173" t="str">
        <f>$AI$20</f>
        <v>INDLWH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5" customHeight="1">
      <c r="B25" s="357" t="s">
        <v>999</v>
      </c>
      <c r="D25" s="212"/>
      <c r="E25" s="212"/>
      <c r="F25" s="224" t="s">
        <v>1149</v>
      </c>
      <c r="G25" s="173" t="s">
        <v>499</v>
      </c>
      <c r="H25" s="174" t="str">
        <f>$AI$14</f>
        <v>ILDPH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INDLWH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INDLDSHELCN2</v>
      </c>
      <c r="E27" s="261" t="str">
        <f>"Industrial heating technology "&amp;$AJ$12&amp;" "&amp;RIGHT(H27,2)&amp;" - Heat driven heat pump utilizing waste heat - new 2"</f>
        <v>Industrial heating technology L SH - Heat driven heat pump utilizing waste heat - new 2</v>
      </c>
      <c r="F27" s="224" t="s">
        <v>1149</v>
      </c>
      <c r="G27" s="173" t="s">
        <v>499</v>
      </c>
      <c r="H27" s="174" t="str">
        <f>$AI$15</f>
        <v>ILDSH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INDLWH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ILDSH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INDLWH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ILDSH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INDLWH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INDLDPHELCN3</v>
      </c>
      <c r="E33" s="261" t="str">
        <f>"Industrial heating technology "&amp;$AJ$12&amp;" "&amp;RIGHT(H33,2)&amp;" - High Temp abs. Heat pump utilizing waste heat - new 3"</f>
        <v>Industrial heating technology L PH - High Temp abs. Heat pump utilizing waste heat - new 3</v>
      </c>
      <c r="F33" s="224" t="s">
        <v>1149</v>
      </c>
      <c r="G33" s="173" t="s">
        <v>499</v>
      </c>
      <c r="H33" s="174" t="str">
        <f>$AI$14</f>
        <v>ILDPH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INDLWH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ILDPH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INDLWH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ILDPH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INDLWH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INDLDSHELCN3</v>
      </c>
      <c r="E39" s="261" t="str">
        <f>"Industrial heating technology "&amp;$AJ$12&amp;" "&amp;RIGHT(H39,2)&amp;" - High Temp abs. Heat pump utilizing waste heat - new 3"</f>
        <v>Industrial heating technology L SH - High Temp abs. Heat pump utilizing waste heat - new 3</v>
      </c>
      <c r="F39" s="224" t="s">
        <v>1149</v>
      </c>
      <c r="G39" s="173" t="s">
        <v>499</v>
      </c>
      <c r="H39" s="174" t="str">
        <f>$AI$15</f>
        <v>ILDSH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INDLWH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ILDSH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INDLWH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ILDSH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INDLWH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INDLDPHELCN4</v>
      </c>
      <c r="E45" s="261" t="str">
        <f>"Industrial heating technology "&amp;$AJ$12&amp;" "&amp;RIGHT(H45,2)&amp;" - Booster Heat pump utilizing waste heat - new 4"</f>
        <v>Industrial heating technology L PH - Booster Heat pump utilizing waste heat - new 4</v>
      </c>
      <c r="F45" s="224" t="s">
        <v>1149</v>
      </c>
      <c r="G45" s="173" t="s">
        <v>499</v>
      </c>
      <c r="H45" s="174" t="str">
        <f>$AI$14</f>
        <v>ILDPH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INDLWH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ILDPH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INDLWH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ILDPH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INDLWH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INDLDSHELCN4</v>
      </c>
      <c r="E51" s="261" t="str">
        <f>"Industrial heating technology "&amp;$AJ$12&amp;" "&amp;RIGHT(H51,2)&amp;" - Booster Heat pump utilizing waste heat - new 4"</f>
        <v>Industrial heating technology L SH - Booster Heat pump utilizing waste heat - new 4</v>
      </c>
      <c r="F51" s="224" t="s">
        <v>1149</v>
      </c>
      <c r="G51" s="173" t="s">
        <v>499</v>
      </c>
      <c r="H51" s="174" t="str">
        <f>$AI$15</f>
        <v>ILDSH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INDLWH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ILDSH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INDLWH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ILDSH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INDLWH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INDLDPHELCN5</v>
      </c>
      <c r="E57" s="261" t="str">
        <f>"Industrial heating technology "&amp;$AJ$12&amp;" "&amp;RIGHT(H57,2)&amp;" - MVR utilizing waste heat - new 5"</f>
        <v>Industrial heating technology L PH - MVR utilizing waste heat - new 5</v>
      </c>
      <c r="F57" s="224" t="s">
        <v>1149</v>
      </c>
      <c r="G57" s="173" t="s">
        <v>499</v>
      </c>
      <c r="H57" s="174" t="str">
        <f>$AI$14</f>
        <v>ILDPH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INDLWH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ILDPH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INDLWH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ILDPH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INDLWH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INDLDPHWSTN1</v>
      </c>
      <c r="E63" s="261" t="str">
        <f>"Industrial heating technology "&amp;$AJ$12&amp;" "&amp;RIGHT(H63,2)&amp;" - Hotdisc - new 1"</f>
        <v>Industrial heating technology L PH - Hotdisc - new 1</v>
      </c>
      <c r="F63" s="224" t="s">
        <v>1149</v>
      </c>
      <c r="G63" s="832" t="s">
        <v>1005</v>
      </c>
      <c r="H63" s="174" t="str">
        <f>$AI$13</f>
        <v>ILDPH</v>
      </c>
      <c r="I63" s="173" t="str">
        <f t="shared" ref="I63:I126" si="21">$AI$20</f>
        <v>INDLWH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INDLWH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INDLWH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INDLDPHELCN6</v>
      </c>
      <c r="E66" s="261" t="str">
        <f>"Industrial heating technology "&amp;$AJ$12&amp;" "&amp;RIGHT(H66,2)&amp;" - Dielectric heating - new 6"</f>
        <v>Industrial heating technology L PH - Dielectric heating - new 6</v>
      </c>
      <c r="F66" s="224" t="s">
        <v>1149</v>
      </c>
      <c r="G66" s="173" t="s">
        <v>499</v>
      </c>
      <c r="H66" s="174" t="str">
        <f>$AI$14</f>
        <v>ILDPH</v>
      </c>
      <c r="I66" s="173" t="str">
        <f t="shared" si="21"/>
        <v>INDLWH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INDLWH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INDLWH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INDLDPHELCN7</v>
      </c>
      <c r="E69" s="261" t="str">
        <f>"Industrial heating technology "&amp;$AJ$12&amp;" "&amp;RIGHT(H69,2)&amp;" - Infrared heating - new 7"</f>
        <v>Industrial heating technology L PH - Infrared heating - new 7</v>
      </c>
      <c r="F69" s="224" t="s">
        <v>1149</v>
      </c>
      <c r="G69" s="173" t="s">
        <v>499</v>
      </c>
      <c r="H69" s="174" t="str">
        <f>$AI$14</f>
        <v>ILDPH</v>
      </c>
      <c r="I69" s="173" t="str">
        <f t="shared" si="21"/>
        <v>INDLWH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INDLWH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INDLWH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INDLDPHELCN8</v>
      </c>
      <c r="E72" s="261" t="str">
        <f>"Industrial heating technology "&amp;$AJ$12&amp;" "&amp;RIGHT(H72,2)&amp;" - Electric boiler (Steam) - new 8"</f>
        <v>Industrial heating technology L PH - Electric boiler (Steam) - new 8</v>
      </c>
      <c r="F72" s="224" t="s">
        <v>1149</v>
      </c>
      <c r="G72" s="173" t="s">
        <v>499</v>
      </c>
      <c r="H72" s="174" t="str">
        <f>$AI$13</f>
        <v>ILDPH</v>
      </c>
      <c r="I72" s="174" t="str">
        <f t="shared" si="21"/>
        <v>INDLWH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INDLWH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INDLWH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INDLDPHELCN8</v>
      </c>
      <c r="E75" s="261" t="str">
        <f>"Industrial heating technology "&amp;$AJ$12&amp;" "&amp;RIGHT(H75,2)&amp;" - Electric boiler (Steam) - new 8"</f>
        <v>Industrial heating technology L PH - Electric boiler (Steam) - new 8</v>
      </c>
      <c r="F75" s="224" t="s">
        <v>1149</v>
      </c>
      <c r="G75" s="173" t="s">
        <v>499</v>
      </c>
      <c r="H75" s="174" t="str">
        <f>$AI$14</f>
        <v>ILDPH</v>
      </c>
      <c r="I75" s="174" t="str">
        <f t="shared" si="21"/>
        <v>INDLWH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INDLWH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INDLWH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INDLDSHELCN8</v>
      </c>
      <c r="E78" s="261" t="str">
        <f>"Industrial heating technology "&amp;$AJ$12&amp;" "&amp;RIGHT(H78,2)&amp;" - Electric boiler (Steam) - new 8"</f>
        <v>Industrial heating technology L SH - Electric boiler (Steam) - new 8</v>
      </c>
      <c r="F78" s="224" t="s">
        <v>1149</v>
      </c>
      <c r="G78" s="173" t="s">
        <v>499</v>
      </c>
      <c r="H78" s="174" t="str">
        <f>$AI$15</f>
        <v>ILDSH</v>
      </c>
      <c r="I78" s="174" t="str">
        <f t="shared" si="21"/>
        <v>INDLWH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INDLWH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INDLWH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INDLDPHELCN9</v>
      </c>
      <c r="E81" s="707" t="str">
        <f>"Industrial heating technology "&amp;$AJ$12&amp;" "&amp;RIGHT(H81,2)&amp;" - Electric boiler (Hot Water) - new 9"</f>
        <v>Industrial heating technology L PH - Electric boiler (Hot Water) - new 9</v>
      </c>
      <c r="F81" s="224" t="s">
        <v>1149</v>
      </c>
      <c r="G81" s="708" t="s">
        <v>499</v>
      </c>
      <c r="H81" s="708" t="str">
        <f>$AI$14</f>
        <v>ILDPH</v>
      </c>
      <c r="I81" s="708" t="str">
        <f t="shared" si="21"/>
        <v>INDLWH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INDLWH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INDLWH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INDLDSHELCN9</v>
      </c>
      <c r="E84" s="261" t="str">
        <f>"Industrial heating technology "&amp;$AJ$12&amp;" "&amp;RIGHT(H84,2)&amp;" - Electric boiler (Hot Water) - new 9"</f>
        <v>Industrial heating technology L SH - Electric boiler (Hot Water) - new 9</v>
      </c>
      <c r="F84" s="224" t="s">
        <v>1149</v>
      </c>
      <c r="G84" s="174" t="s">
        <v>499</v>
      </c>
      <c r="H84" s="174" t="str">
        <f>$AI$15</f>
        <v>ILDSH</v>
      </c>
      <c r="I84" s="174" t="str">
        <f t="shared" si="21"/>
        <v>INDLWH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INDLWH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INDLWH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INDLDPHWCHN1</v>
      </c>
      <c r="E87" s="261" t="str">
        <f>"Industrial heating technology "&amp;$AJ$12&amp;" "&amp;RIGHT(H87,2)&amp;" - Wood chip boiler (Steam) - new 1"</f>
        <v>Industrial heating technology L PH - Wood chip boiler (Steam) - new 1</v>
      </c>
      <c r="F87" s="224" t="s">
        <v>1149</v>
      </c>
      <c r="G87" s="173" t="s">
        <v>498</v>
      </c>
      <c r="H87" s="174" t="str">
        <f>$AI$13</f>
        <v>ILDPH</v>
      </c>
      <c r="I87" s="174" t="str">
        <f t="shared" si="21"/>
        <v>INDLWH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INDLWH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INDLWH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INDLDPHWCHN1</v>
      </c>
      <c r="E90" s="261" t="str">
        <f>"Industrial heating technology "&amp;$AJ$12&amp;" "&amp;RIGHT(H90,2)&amp;" - Wood chip boiler (Steam) - new 1"</f>
        <v>Industrial heating technology L PH - Wood chip boiler (Steam) - new 1</v>
      </c>
      <c r="F90" s="224" t="s">
        <v>1149</v>
      </c>
      <c r="G90" s="173" t="s">
        <v>498</v>
      </c>
      <c r="H90" s="174" t="str">
        <f>$AI$14</f>
        <v>ILDPH</v>
      </c>
      <c r="I90" s="174" t="str">
        <f t="shared" si="21"/>
        <v>INDLWH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INDLWH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INDLWH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INDLDSHWCHN1</v>
      </c>
      <c r="E93" s="261" t="str">
        <f>"Industrial heating technology "&amp;$AJ$12&amp;" "&amp;RIGHT(H93,2)&amp;" - Wood chip boiler (Steam) - new 1"</f>
        <v>Industrial heating technology L SH - Wood chip boiler (Steam) - new 1</v>
      </c>
      <c r="F93" s="224" t="s">
        <v>1149</v>
      </c>
      <c r="G93" s="173" t="s">
        <v>498</v>
      </c>
      <c r="H93" s="174" t="str">
        <f>$AI$15</f>
        <v>ILDSH</v>
      </c>
      <c r="I93" s="174" t="str">
        <f t="shared" si="21"/>
        <v>INDLWH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INDLWH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INDLWH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INDLDPHWCHN2</v>
      </c>
      <c r="E96" s="707" t="str">
        <f>"Industrial heating technology "&amp;$AJ$12&amp;" "&amp;RIGHT(H96,2)&amp;" - Wood chip boiler (Steam - condensing) - new 2"</f>
        <v>Industrial heating technology L PH - Wood chip boiler (Steam - condensing) - new 2</v>
      </c>
      <c r="F96" s="224" t="s">
        <v>1149</v>
      </c>
      <c r="G96" s="708" t="s">
        <v>498</v>
      </c>
      <c r="H96" s="708" t="str">
        <f>$AI$14</f>
        <v>ILDPH</v>
      </c>
      <c r="I96" s="708" t="str">
        <f t="shared" si="21"/>
        <v>INDLWH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INDLWH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INDLWH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INDLDSHWCHN2</v>
      </c>
      <c r="E99" s="261" t="str">
        <f>"Industrial heating technology "&amp;$AJ$12&amp;" "&amp;RIGHT(H99,2)&amp;" - Wood chip boiler (Steam - condensing) - new 2"</f>
        <v>Industrial heating technology L SH - Wood chip boiler (Steam - condensing) - new 2</v>
      </c>
      <c r="F99" s="224" t="s">
        <v>1149</v>
      </c>
      <c r="G99" s="174" t="s">
        <v>498</v>
      </c>
      <c r="H99" s="174" t="str">
        <f>$AI$15</f>
        <v>ILDSH</v>
      </c>
      <c r="I99" s="174" t="str">
        <f t="shared" si="21"/>
        <v>INDLWH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INDLWH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INDLWH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INDLDPHWCHN3</v>
      </c>
      <c r="E102" s="707" t="str">
        <f>"Industrial heating technology "&amp;$AJ$12&amp;" "&amp;RIGHT(H102,2)&amp;" - Wood chip boiler (Hot Water) - new 3"</f>
        <v>Industrial heating technology L PH - Wood chip boiler (Hot Water) - new 3</v>
      </c>
      <c r="F102" s="224" t="s">
        <v>1149</v>
      </c>
      <c r="G102" s="708" t="s">
        <v>498</v>
      </c>
      <c r="H102" s="708" t="str">
        <f>$AI$14</f>
        <v>ILDPH</v>
      </c>
      <c r="I102" s="708" t="str">
        <f t="shared" si="21"/>
        <v>INDLWH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INDLWH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INDLWH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INDLDSHWCHN3</v>
      </c>
      <c r="E105" s="261" t="str">
        <f>"Industrial heating technology "&amp;$AJ$12&amp;" "&amp;RIGHT(H105,2)&amp;" - Wood chip boiler (Hot Water) - new 3"</f>
        <v>Industrial heating technology L SH - Wood chip boiler (Hot Water) - new 3</v>
      </c>
      <c r="F105" s="224" t="s">
        <v>1149</v>
      </c>
      <c r="G105" s="174" t="s">
        <v>498</v>
      </c>
      <c r="H105" s="174" t="str">
        <f>$AI$15</f>
        <v>ILDSH</v>
      </c>
      <c r="I105" s="174" t="str">
        <f t="shared" si="21"/>
        <v>INDLWH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INDLWH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INDLWH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INDLDPHWCHN4</v>
      </c>
      <c r="E108" s="707" t="str">
        <f>"Industrial heating technology "&amp;$AJ$12&amp;" "&amp;RIGHT(H108,2)&amp;" - Wood chip boiler (Hot Water - condensing) - new 4"</f>
        <v>Industrial heating technology L PH - Wood chip boiler (Hot Water - condensing) - new 4</v>
      </c>
      <c r="F108" s="224" t="s">
        <v>1149</v>
      </c>
      <c r="G108" s="708" t="s">
        <v>498</v>
      </c>
      <c r="H108" s="708" t="str">
        <f>$AI$14</f>
        <v>ILDPH</v>
      </c>
      <c r="I108" s="708" t="str">
        <f t="shared" si="21"/>
        <v>INDLWH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INDLWH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INDLWH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INDLDSHWCHN4</v>
      </c>
      <c r="E111" s="261" t="str">
        <f>"Industrial heating technology "&amp;$AJ$12&amp;" "&amp;RIGHT(H111,2)&amp;" - Wood chip boiler (Hot Water- condensing) - new 4"</f>
        <v>Industrial heating technology L SH - Wood chip boiler (Hot Water- condensing) - new 4</v>
      </c>
      <c r="F111" s="224" t="s">
        <v>1149</v>
      </c>
      <c r="G111" s="174" t="s">
        <v>498</v>
      </c>
      <c r="H111" s="174" t="str">
        <f>$AI$15</f>
        <v>ILDSH</v>
      </c>
      <c r="I111" s="174" t="str">
        <f t="shared" si="21"/>
        <v>INDLWH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INDLWH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INDLWH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INDLDPHELCN10</v>
      </c>
      <c r="E114" s="261" t="str">
        <f>"Industrial heating technology "&amp;$AJ$12&amp;" "&amp;RIGHT(H114,2)&amp;" - Direct electric heating - new 10"</f>
        <v>Industrial heating technology L PH - Direct electric heating - new 10</v>
      </c>
      <c r="F114" s="224" t="s">
        <v>1149</v>
      </c>
      <c r="G114" s="173" t="s">
        <v>499</v>
      </c>
      <c r="H114" s="174" t="str">
        <f>$AI$13</f>
        <v>ILDPH</v>
      </c>
      <c r="I114" s="174" t="str">
        <f t="shared" si="21"/>
        <v>INDLWH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1</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INDLWH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INDLWH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INDLDPHELCN10</v>
      </c>
      <c r="E117" s="261" t="str">
        <f>"Industrial heating technology "&amp;$AJ$12&amp;" "&amp;RIGHT(H117,2)&amp;" - Direct electric heating - new 10"</f>
        <v>Industrial heating technology L PH - Direct electric heating - new 10</v>
      </c>
      <c r="F117" s="224" t="s">
        <v>1149</v>
      </c>
      <c r="G117" s="173" t="s">
        <v>499</v>
      </c>
      <c r="H117" s="174" t="str">
        <f>$AI$14</f>
        <v>ILDPH</v>
      </c>
      <c r="I117" s="174" t="str">
        <f t="shared" si="21"/>
        <v>INDLWH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1</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INDLWH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INDLWH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INDLDPHDSLN1</v>
      </c>
      <c r="E120" s="261" t="str">
        <f>"Industrial heating technology "&amp;$AJ$12&amp;" "&amp;RIGHT(H120,2)&amp;" - Oil boiler (Steam) - new 1"</f>
        <v>Industrial heating technology L PH - Oil boiler (Steam) - new 1</v>
      </c>
      <c r="F120" s="224" t="s">
        <v>1149</v>
      </c>
      <c r="G120" s="173" t="s">
        <v>2081</v>
      </c>
      <c r="H120" s="174" t="str">
        <f>$AI$13</f>
        <v>ILDPH</v>
      </c>
      <c r="I120" s="174" t="str">
        <f t="shared" si="21"/>
        <v>INDLWH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INDLWH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INDLWH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INDLDPHDSLN1</v>
      </c>
      <c r="E123" s="261" t="str">
        <f>"Industrial heating technology "&amp;$AJ$12&amp;" "&amp;RIGHT(H123,2)&amp;" - Oil boiler (Steam) - new 1"</f>
        <v>Industrial heating technology L PH - Oil boiler (Steam) - new 1</v>
      </c>
      <c r="F123" s="224" t="s">
        <v>1149</v>
      </c>
      <c r="G123" s="173" t="s">
        <v>2081</v>
      </c>
      <c r="H123" s="174" t="str">
        <f>$AI$14</f>
        <v>ILDPH</v>
      </c>
      <c r="I123" s="174" t="str">
        <f t="shared" si="21"/>
        <v>INDLWH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INDLWH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INDLWH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INDLDSHDSLN1</v>
      </c>
      <c r="E126" s="261" t="str">
        <f>"Industrial heating technology "&amp;$AJ$12&amp;" "&amp;RIGHT(H126,2)&amp;" - Oil boiler (Steam) - new 1"</f>
        <v>Industrial heating technology L SH - Oil boiler (Steam) - new 1</v>
      </c>
      <c r="F126" s="224" t="s">
        <v>1149</v>
      </c>
      <c r="G126" s="173" t="s">
        <v>2081</v>
      </c>
      <c r="H126" s="174" t="str">
        <f>$AI$15</f>
        <v>ILDSH</v>
      </c>
      <c r="I126" s="174" t="str">
        <f t="shared" si="21"/>
        <v>INDLWH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INDLWH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INDLWH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INDLDPHDSLN2</v>
      </c>
      <c r="E129" s="707" t="str">
        <f>"Industrial heating technology "&amp;$AJ$12&amp;" "&amp;RIGHT(H129,2)&amp;" - Oil boiler (Steam - condensing) - new 2"</f>
        <v>Industrial heating technology L PH - Oil boiler (Steam - condensing) - new 2</v>
      </c>
      <c r="F129" s="224" t="s">
        <v>1149</v>
      </c>
      <c r="G129" s="173" t="s">
        <v>2081</v>
      </c>
      <c r="H129" s="708" t="str">
        <f>$AI$14</f>
        <v>ILDPH</v>
      </c>
      <c r="I129" s="708" t="str">
        <f t="shared" si="142"/>
        <v>INDLWH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INDLWH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INDLWH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INDLDSHDSLN2</v>
      </c>
      <c r="E132" s="261" t="str">
        <f>"Industrial heating technology "&amp;$AJ$12&amp;" "&amp;RIGHT(H132,2)&amp;" - Oil boiler (Steam - condensing) - new 2"</f>
        <v>Industrial heating technology L SH - Oil boiler (Steam - condensing) - new 2</v>
      </c>
      <c r="F132" s="224" t="s">
        <v>1149</v>
      </c>
      <c r="G132" s="173" t="s">
        <v>2081</v>
      </c>
      <c r="H132" s="174" t="str">
        <f>$AI$15</f>
        <v>ILDSH</v>
      </c>
      <c r="I132" s="174" t="str">
        <f t="shared" si="142"/>
        <v>INDLWH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INDLWH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INDLWH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INDLDPHGASN1</v>
      </c>
      <c r="E135" s="261" t="str">
        <f>"Industrial heating technology "&amp;$AJ$12&amp;" "&amp;RIGHT(H135,2)&amp;" - Gas boiler (Steam) - new 1"</f>
        <v>Industrial heating technology L PH - Gas boiler (Steam) - new 1</v>
      </c>
      <c r="F135" s="224" t="s">
        <v>1149</v>
      </c>
      <c r="G135" s="173" t="s">
        <v>2080</v>
      </c>
      <c r="H135" s="174" t="str">
        <f>$AI$13</f>
        <v>ILDPH</v>
      </c>
      <c r="I135" s="174" t="str">
        <f t="shared" si="142"/>
        <v>INDLWH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INDLWH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INDLWH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INDLDPHGASN1</v>
      </c>
      <c r="E138" s="261" t="str">
        <f>"Industrial heating technology "&amp;$AJ$12&amp;" "&amp;RIGHT(H138,2)&amp;" - Gas boiler (Steam) - new 1"</f>
        <v>Industrial heating technology L PH - Gas boiler (Steam) - new 1</v>
      </c>
      <c r="F138" s="224" t="s">
        <v>1149</v>
      </c>
      <c r="G138" s="173" t="s">
        <v>2080</v>
      </c>
      <c r="H138" s="174" t="str">
        <f>$AI$14</f>
        <v>ILDPH</v>
      </c>
      <c r="I138" s="174" t="str">
        <f t="shared" si="142"/>
        <v>INDLWH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INDLWH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INDLWH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INDLDSHGASN1</v>
      </c>
      <c r="E141" s="261" t="str">
        <f>"Industrial heating technology "&amp;$AJ$12&amp;" "&amp;RIGHT(H141,2)&amp;" - Gas boiler (Steam) - new 1"</f>
        <v>Industrial heating technology L SH - Gas boiler (Steam) - new 1</v>
      </c>
      <c r="F141" s="224" t="s">
        <v>1149</v>
      </c>
      <c r="G141" s="173" t="s">
        <v>2080</v>
      </c>
      <c r="H141" s="174" t="str">
        <f>$AI$15</f>
        <v>ILDSH</v>
      </c>
      <c r="I141" s="174" t="str">
        <f t="shared" si="142"/>
        <v>INDLWH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INDLWH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INDLWH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INDLDPHGASN2</v>
      </c>
      <c r="E144" s="707" t="str">
        <f>"Industrial heating technology "&amp;$AJ$12&amp;" "&amp;RIGHT(H144,2)&amp;" - Gas boiler (Steam - condensing) - new 2"</f>
        <v>Industrial heating technology L PH - Gas boiler (Steam - condensing) - new 2</v>
      </c>
      <c r="F144" s="224" t="s">
        <v>1149</v>
      </c>
      <c r="G144" s="173" t="s">
        <v>2080</v>
      </c>
      <c r="H144" s="708" t="str">
        <f>$AI$14</f>
        <v>ILDPH</v>
      </c>
      <c r="I144" s="708" t="str">
        <f t="shared" si="142"/>
        <v>INDLWH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INDLWH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INDLWH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INDLDSHGASN2</v>
      </c>
      <c r="E147" s="261" t="str">
        <f>"Industrial heating technology "&amp;$AJ$12&amp;" "&amp;RIGHT(H147,2)&amp;" - Gas boiler (Steam - condensing) - new 2"</f>
        <v>Industrial heating technology L SH - Gas boiler (Steam - condensing) - new 2</v>
      </c>
      <c r="F147" s="224" t="s">
        <v>1149</v>
      </c>
      <c r="G147" s="173" t="s">
        <v>2080</v>
      </c>
      <c r="H147" s="174" t="str">
        <f>$AI$15</f>
        <v>ILDSH</v>
      </c>
      <c r="I147" s="174" t="str">
        <f t="shared" si="142"/>
        <v>INDLWH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INDLWH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INDLWH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INDLDPHGASN3</v>
      </c>
      <c r="E150" s="707" t="str">
        <f>"Industrial heating technology "&amp;$AJ$12&amp;" "&amp;RIGHT(H150,2)&amp;" - Gas boiler (Hot Water) - new 3"</f>
        <v>Industrial heating technology L PH - Gas boiler (Hot Water) - new 3</v>
      </c>
      <c r="F150" s="224" t="s">
        <v>1149</v>
      </c>
      <c r="G150" s="173" t="s">
        <v>2080</v>
      </c>
      <c r="H150" s="708" t="str">
        <f>$AI$14</f>
        <v>ILDPH</v>
      </c>
      <c r="I150" s="708" t="str">
        <f t="shared" si="142"/>
        <v>INDLWH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INDLWH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INDLWH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INDLDSHGASN3</v>
      </c>
      <c r="E153" s="261" t="str">
        <f>"Industrial heating technology "&amp;$AJ$12&amp;" "&amp;RIGHT(H153,2)&amp;" - Gas boiler (Hot Water) - new 3"</f>
        <v>Industrial heating technology L SH - Gas boiler (Hot Water) - new 3</v>
      </c>
      <c r="F153" s="224" t="s">
        <v>1149</v>
      </c>
      <c r="G153" s="173" t="s">
        <v>2080</v>
      </c>
      <c r="H153" s="174" t="str">
        <f>$AI$15</f>
        <v>ILDSH</v>
      </c>
      <c r="I153" s="174" t="str">
        <f t="shared" si="142"/>
        <v>INDLWH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INDLWH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INDLWH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INDLDPHGASN4</v>
      </c>
      <c r="E156" s="707" t="str">
        <f>"Industrial heating technology "&amp;$AJ$12&amp;" "&amp;RIGHT(H156,2)&amp;" - Gas boiler (Hot Water - condensing) - new 4"</f>
        <v>Industrial heating technology L PH - Gas boiler (Hot Water - condensing) - new 4</v>
      </c>
      <c r="F156" s="224" t="s">
        <v>1149</v>
      </c>
      <c r="G156" s="173" t="s">
        <v>2080</v>
      </c>
      <c r="H156" s="708" t="str">
        <f>$AI$14</f>
        <v>ILDPH</v>
      </c>
      <c r="I156" s="708" t="str">
        <f t="shared" si="142"/>
        <v>INDLWH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INDLWH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INDLWH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INDLDSHGASN4</v>
      </c>
      <c r="E159" s="261" t="str">
        <f>"Industrial heating technology "&amp;$AJ$12&amp;" "&amp;RIGHT(H159,2)&amp;" - Gas boiler (Hot Water- condensing) - new 4"</f>
        <v>Industrial heating technology L SH - Gas boiler (Hot Water- condensing) - new 4</v>
      </c>
      <c r="F159" s="224" t="s">
        <v>1149</v>
      </c>
      <c r="G159" s="173" t="s">
        <v>2080</v>
      </c>
      <c r="H159" s="174" t="str">
        <f>$AI$15</f>
        <v>ILDSH</v>
      </c>
      <c r="I159" s="174" t="str">
        <f t="shared" si="142"/>
        <v>INDLWH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INDLWH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INDLWH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INDLDPHGASN5</v>
      </c>
      <c r="E162" s="707" t="str">
        <f>"Industrial heating technology "&amp;$AJ$12&amp;" "&amp;RIGHT(H162,2)&amp;" - Gas boiler (Direct firing) - new 5"</f>
        <v>Industrial heating technology L PH - Gas boiler (Direct firing) - new 5</v>
      </c>
      <c r="F162" s="224" t="s">
        <v>1149</v>
      </c>
      <c r="G162" s="173" t="s">
        <v>2080</v>
      </c>
      <c r="H162" s="174" t="str">
        <f>$AI$13</f>
        <v>ILDPH</v>
      </c>
      <c r="I162" s="174" t="str">
        <f t="shared" si="142"/>
        <v>INDLWH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INDLWH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INDLWH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INDLDPHGASN5</v>
      </c>
      <c r="E165" s="261" t="str">
        <f>"Industrial heating technology "&amp;$AJ$12&amp;" "&amp;RIGHT(H165,2)&amp;" - Gas boiler (Direct firing) - new 5"</f>
        <v>Industrial heating technology L PH - Gas boiler (Direct firing) - new 5</v>
      </c>
      <c r="F165" s="224" t="s">
        <v>1149</v>
      </c>
      <c r="G165" s="173" t="s">
        <v>2080</v>
      </c>
      <c r="H165" s="174" t="str">
        <f>$AI$14</f>
        <v>ILDPH</v>
      </c>
      <c r="I165" s="721" t="str">
        <f t="shared" si="142"/>
        <v>INDLWH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INDLWH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INDLWH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INDLDPHCOAN1</v>
      </c>
      <c r="E168" s="261" t="str">
        <f>"Industrial heating technology "&amp;$AJ$12&amp;" "&amp;RIGHT(H168,2)&amp;" - Coal boiler (Steam) - new 1"</f>
        <v>Industrial heating technology L PH - Coal boiler (Steam) - new 1</v>
      </c>
      <c r="F168" s="224" t="s">
        <v>1149</v>
      </c>
      <c r="G168" s="55" t="s">
        <v>617</v>
      </c>
      <c r="H168" s="174" t="str">
        <f>$AI$13</f>
        <v>ILDPH</v>
      </c>
      <c r="I168" s="174" t="str">
        <f t="shared" si="142"/>
        <v>INDLWH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INDLWH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INDLWH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INDLDPHCOAN1</v>
      </c>
      <c r="E171" s="261" t="str">
        <f>"Industrial heating technology "&amp;$AJ$12&amp;" "&amp;RIGHT(H171,2)&amp;" - Coal boiler (Steam) - new 1"</f>
        <v>Industrial heating technology L PH - Coal boiler (Steam) - new 1</v>
      </c>
      <c r="F171" s="224" t="s">
        <v>1149</v>
      </c>
      <c r="G171" s="55" t="s">
        <v>617</v>
      </c>
      <c r="H171" s="174" t="str">
        <f>$AI$14</f>
        <v>ILDPH</v>
      </c>
      <c r="I171" s="174" t="str">
        <f t="shared" si="142"/>
        <v>INDLWH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INDLWH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INDLWH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INDLDSHCOAN1</v>
      </c>
      <c r="E174" s="261" t="str">
        <f>"Industrial heating technology "&amp;$AJ$12&amp;" "&amp;RIGHT(H174,2)&amp;" - Coal boiler (Steam) - new 1"</f>
        <v>Industrial heating technology L SH - Coal boiler (Steam) - new 1</v>
      </c>
      <c r="F174" s="224" t="s">
        <v>1149</v>
      </c>
      <c r="G174" s="55" t="s">
        <v>617</v>
      </c>
      <c r="H174" s="174" t="str">
        <f>$AI$15</f>
        <v>ILDSH</v>
      </c>
      <c r="I174" s="174" t="str">
        <f t="shared" si="142"/>
        <v>INDLWH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INDLWH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INDLWH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INDLDPHCOAN2</v>
      </c>
      <c r="E177" s="261" t="str">
        <f>"Industrial heating technology "&amp;$AJ$12&amp;" "&amp;RIGHT(H177,2)&amp;" - Coal boiler (Hot Water) - new 2"</f>
        <v>Industrial heating technology L PH - Coal boiler (Hot Water) - new 2</v>
      </c>
      <c r="F177" s="224" t="s">
        <v>1149</v>
      </c>
      <c r="G177" s="55" t="s">
        <v>617</v>
      </c>
      <c r="H177" s="174" t="str">
        <f>$AI$14</f>
        <v>ILDPH</v>
      </c>
      <c r="I177" s="174" t="str">
        <f t="shared" si="142"/>
        <v>INDLWH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INDLWH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INDLWH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INDLDSHCOAN2</v>
      </c>
      <c r="E180" s="261" t="str">
        <f>"Industrial heating technology "&amp;$AJ$12&amp;" "&amp;RIGHT(H180,2)&amp;" - Coal boiler (Hot Water) - new 2"</f>
        <v>Industrial heating technology L SH - Coal boiler (Hot Water) - new 2</v>
      </c>
      <c r="F180" s="224" t="s">
        <v>1149</v>
      </c>
      <c r="G180" s="55" t="s">
        <v>617</v>
      </c>
      <c r="H180" s="174" t="str">
        <f>$AI$15</f>
        <v>ILDSH</v>
      </c>
      <c r="I180" s="174" t="str">
        <f t="shared" si="142"/>
        <v>INDLWH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INDLWH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INDLWH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INDLDSHSOLN1</v>
      </c>
      <c r="E183" s="261" t="str">
        <f>"Industrial heating technology "&amp;$AJ$12&amp;" "&amp;RIGHT(H183,2)&amp;" - Solar - new 1"</f>
        <v>Industrial heating technology L SH - Solar - new 1</v>
      </c>
      <c r="F183" s="224" t="s">
        <v>1149</v>
      </c>
      <c r="G183" s="55" t="s">
        <v>500</v>
      </c>
      <c r="H183" s="174" t="str">
        <f>$AI$15</f>
        <v>ILDSH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INDLDSHHCEN1</v>
      </c>
      <c r="E187" s="224" t="str">
        <f>"Industrial heating technology "&amp;$AJ$12&amp;" "&amp;RIGHT(H187,2)&amp;" - central district heating - within DH area - new 1"</f>
        <v>Industrial heating technology L SH - central district heating - within DH area - new 1</v>
      </c>
      <c r="F187" s="224" t="s">
        <v>1149</v>
      </c>
      <c r="G187" s="225" t="s">
        <v>501</v>
      </c>
      <c r="H187" s="225" t="str">
        <f>AI15</f>
        <v>ILDSH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INDLDPHHCEN1</v>
      </c>
      <c r="E188" s="224" t="str">
        <f>"Industrial heating technology "&amp;$AJ$12&amp;" "&amp;RIGHT(H188,2)&amp;" - central district heating - within DH area - new 1"</f>
        <v>Industrial heating technology L PH - central district heating - within DH area - new 1</v>
      </c>
      <c r="F188" s="224" t="s">
        <v>1149</v>
      </c>
      <c r="G188" s="225" t="s">
        <v>501</v>
      </c>
      <c r="H188" s="281" t="str">
        <f>AI14</f>
        <v>ILDPH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INDLDSHHSEN1</v>
      </c>
      <c r="E189" s="224" t="str">
        <f>"Industrial heating technology "&amp;$AJ$12&amp;" "&amp;RIGHT(H189,2)&amp;" - central district heating - within DH area - new 1"</f>
        <v>Industrial heating technology L SH - central district heating - within DH area - new 1</v>
      </c>
      <c r="F189" s="224" t="s">
        <v>1149</v>
      </c>
      <c r="G189" s="225" t="s">
        <v>2125</v>
      </c>
      <c r="H189" s="225" t="str">
        <f>H187</f>
        <v>ILDSH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INDLDPHHSEN1</v>
      </c>
      <c r="E190" s="224" t="str">
        <f>"Industrial heating technology "&amp;$AJ$12&amp;" "&amp;RIGHT(H190,2)&amp;" - central district heating - within DH area - new 1"</f>
        <v>Industrial heating technology L PH - central district heating - within DH area - new 1</v>
      </c>
      <c r="F190" s="224" t="s">
        <v>1149</v>
      </c>
      <c r="G190" s="225" t="s">
        <v>2125</v>
      </c>
      <c r="H190" s="225" t="str">
        <f>H188</f>
        <v>ILDPH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INDLDSHHDEN1</v>
      </c>
      <c r="E191" s="224" t="str">
        <f>"Industrial heating technology "&amp;$AJ$12&amp;" "&amp;RIGHT(H191,2)&amp;" - decentral district heating - within DH area - new 1"</f>
        <v>Industrial heating technology L SH - decentral district heating - within DH area - new 1</v>
      </c>
      <c r="F191" s="224" t="s">
        <v>1149</v>
      </c>
      <c r="G191" s="259" t="s">
        <v>502</v>
      </c>
      <c r="H191" s="265" t="str">
        <f>AI15</f>
        <v>ILDSH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INDLDPHHDEN1</v>
      </c>
      <c r="E192" s="224" t="str">
        <f>"Industrial heating technology "&amp;$AJ$12&amp;" "&amp;RIGHT(H192,2)&amp;" - decentral district heating - within DH area - new 1"</f>
        <v>Industrial heating technology L PH - decentral district heating - within DH area - new 1</v>
      </c>
      <c r="F192" s="224" t="s">
        <v>1149</v>
      </c>
      <c r="G192" s="259" t="s">
        <v>502</v>
      </c>
      <c r="H192" s="225" t="str">
        <f>AI14</f>
        <v>ILDPH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INDLDLAELCN1</v>
      </c>
      <c r="E194" s="224" t="str">
        <f>"Industry "&amp;$AJ$12&amp;" "&amp;RIGHT(H194,2)&amp;" Electricity Light Appliance - New 1"</f>
        <v>Industry L LA Electricity Light Appliance - New 1</v>
      </c>
      <c r="F194" s="224" t="s">
        <v>1149</v>
      </c>
      <c r="G194" s="225" t="s">
        <v>499</v>
      </c>
      <c r="H194" s="225" t="str">
        <f>AI16</f>
        <v>ILDLA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INDLDEMELCN1</v>
      </c>
      <c r="E198" s="224" t="str">
        <f>"Industry "&amp;$AJ$12&amp;" "&amp;RIGHT(H198,2)&amp;" Electricity Motors - New 1"</f>
        <v>Industry L EM Electricity Motors - New 1</v>
      </c>
      <c r="F198" s="224" t="s">
        <v>1149</v>
      </c>
      <c r="G198" s="225" t="s">
        <v>499</v>
      </c>
      <c r="H198" s="225" t="str">
        <f>AI17</f>
        <v>ILDEM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INDLDTFDSLN1</v>
      </c>
      <c r="E202" s="224" t="str">
        <f>"Industry "&amp;$AJ$12&amp;" "&amp;RIGHT(H202,2)&amp;" Tractors, Trucks, Fishing boats - New 1"</f>
        <v>Industry L TF Tractors, Trucks, Fishing boats - New 1</v>
      </c>
      <c r="F202" s="224" t="s">
        <v>1149</v>
      </c>
      <c r="G202" s="173" t="s">
        <v>2081</v>
      </c>
      <c r="H202" s="174" t="str">
        <f>$AI$18</f>
        <v>ILDTF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INDLDTFH2GN2</v>
      </c>
      <c r="E206" s="224" t="str">
        <f>"Industry "&amp;$AJ$12&amp;" "&amp;RIGHT(H206,2)&amp;" Tractors, Trucks, Fishing boats - New 2"</f>
        <v>Industry L TF Tractors, Trucks, Fishing boats - New 2</v>
      </c>
      <c r="F206" s="224" t="s">
        <v>1149</v>
      </c>
      <c r="G206" s="55" t="s">
        <v>2077</v>
      </c>
      <c r="H206" s="174" t="str">
        <f>$AI$18</f>
        <v>ILDTF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INDLDTFELCN3</v>
      </c>
      <c r="E210" s="224" t="str">
        <f>"Industry "&amp;$AJ$12&amp;" "&amp;RIGHT(H210,2)&amp;" Tractors, Trucks, Fishing boats - New 3"</f>
        <v>Industry L TF Tractors, Trucks, Fishing boats - New 3</v>
      </c>
      <c r="F210" s="224" t="s">
        <v>1149</v>
      </c>
      <c r="G210" s="55" t="s">
        <v>499</v>
      </c>
      <c r="H210" s="174" t="str">
        <f>$AI$18</f>
        <v>ILDTF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INDLDFLSYNN1</v>
      </c>
      <c r="E214" s="224" t="str">
        <f>"Industry "&amp;$AJ$12&amp;" "&amp;RIGHT(H202,2)&amp;" Forklifts - New 1"</f>
        <v>Industry L TF Forklifts - New 1</v>
      </c>
      <c r="F214" s="224" t="s">
        <v>1149</v>
      </c>
      <c r="G214" s="173" t="s">
        <v>2082</v>
      </c>
      <c r="H214" s="224" t="str">
        <f>AI19</f>
        <v>ILDFL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INDLDCOELCN1</v>
      </c>
      <c r="E218" s="224" t="str">
        <f>"Industry "&amp;$AJ$12&amp;" "&amp;RIGHT(H218,2)&amp;" Cooling - New 1"</f>
        <v>Industry L CO Cooling - New 1</v>
      </c>
      <c r="F218" s="224" t="s">
        <v>1149</v>
      </c>
      <c r="G218" s="173" t="s">
        <v>499</v>
      </c>
      <c r="H218" s="224" t="str">
        <f>AI21</f>
        <v>ILDCO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INDLDPHELCN1</v>
      </c>
      <c r="E229" s="212" t="str">
        <f t="shared" ref="E229:E260" si="265">VLOOKUP(D229,$D$9:$E$222,2,FALSE)</f>
        <v>Industrial heating technology L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INDLDSHELCN1</v>
      </c>
      <c r="E230" s="212" t="str">
        <f t="shared" ca="1" si="265"/>
        <v>Industrial heating technology L SH - Heat pump utilizing waste heat - new 1</v>
      </c>
      <c r="F230" s="262" t="s">
        <v>450</v>
      </c>
      <c r="G230" s="262" t="s">
        <v>449</v>
      </c>
      <c r="H230" s="263" t="s">
        <v>620</v>
      </c>
      <c r="I230" s="301"/>
      <c r="J230" s="264" t="s">
        <v>469</v>
      </c>
    </row>
    <row r="231" spans="1:10">
      <c r="A231" s="169"/>
      <c r="D231" s="212" t="str">
        <f t="shared" ca="1" si="266"/>
        <v>INDLDPHELCN2</v>
      </c>
      <c r="E231" s="212" t="str">
        <f t="shared" ca="1" si="265"/>
        <v>Industrial heating technology L PH - Heat driven heat pump utilizing waste heat - new 2</v>
      </c>
      <c r="F231" s="211" t="s">
        <v>450</v>
      </c>
      <c r="G231" s="211" t="s">
        <v>449</v>
      </c>
      <c r="H231" s="263" t="s">
        <v>620</v>
      </c>
      <c r="I231" s="208"/>
      <c r="J231" s="264" t="s">
        <v>469</v>
      </c>
    </row>
    <row r="232" spans="1:10">
      <c r="A232" s="169"/>
      <c r="B232" s="211"/>
      <c r="C232" s="211"/>
      <c r="D232" s="212" t="str">
        <f t="shared" ca="1" si="266"/>
        <v>INDLDSHELCN2</v>
      </c>
      <c r="E232" s="212" t="str">
        <f t="shared" ca="1" si="265"/>
        <v>Industrial heating technology L SH - Heat driven heat pump utilizing waste heat - new 2</v>
      </c>
      <c r="F232" s="262" t="s">
        <v>450</v>
      </c>
      <c r="G232" s="262" t="s">
        <v>449</v>
      </c>
      <c r="H232" s="263" t="s">
        <v>620</v>
      </c>
      <c r="I232" s="264"/>
      <c r="J232" s="264" t="s">
        <v>469</v>
      </c>
    </row>
    <row r="233" spans="1:10">
      <c r="A233" s="169"/>
      <c r="B233" s="211"/>
      <c r="C233" s="211"/>
      <c r="D233" s="212" t="str">
        <f t="shared" ca="1" si="266"/>
        <v>INDLDPHELCN3</v>
      </c>
      <c r="E233" s="212" t="str">
        <f t="shared" ca="1" si="265"/>
        <v>Industrial heating technology L PH - High Temp abs. Heat pump utilizing waste heat - new 3</v>
      </c>
      <c r="F233" s="262" t="s">
        <v>450</v>
      </c>
      <c r="G233" s="262" t="s">
        <v>449</v>
      </c>
      <c r="H233" s="263" t="s">
        <v>620</v>
      </c>
      <c r="I233" s="264"/>
      <c r="J233" s="264" t="s">
        <v>469</v>
      </c>
    </row>
    <row r="234" spans="1:10">
      <c r="A234" s="169"/>
      <c r="B234" s="211"/>
      <c r="C234" s="211"/>
      <c r="D234" s="212" t="str">
        <f t="shared" ca="1" si="266"/>
        <v>INDLDSHELCN3</v>
      </c>
      <c r="E234" s="212" t="str">
        <f t="shared" ca="1" si="265"/>
        <v>Industrial heating technology L SH - High Temp abs. Heat pump utilizing waste heat - new 3</v>
      </c>
      <c r="F234" s="262" t="s">
        <v>450</v>
      </c>
      <c r="G234" s="262" t="s">
        <v>449</v>
      </c>
      <c r="H234" s="263" t="s">
        <v>620</v>
      </c>
      <c r="I234" s="264"/>
      <c r="J234" s="264" t="s">
        <v>469</v>
      </c>
    </row>
    <row r="235" spans="1:10">
      <c r="A235" s="169"/>
      <c r="B235" s="211"/>
      <c r="C235" s="211"/>
      <c r="D235" s="212" t="str">
        <f t="shared" ca="1" si="266"/>
        <v>INDLDPHELCN4</v>
      </c>
      <c r="E235" s="212" t="str">
        <f t="shared" ca="1" si="265"/>
        <v>Industrial heating technology L PH - Booster Heat pump utilizing waste heat - new 4</v>
      </c>
      <c r="F235" s="262" t="s">
        <v>450</v>
      </c>
      <c r="G235" s="262" t="s">
        <v>449</v>
      </c>
      <c r="H235" s="263" t="s">
        <v>620</v>
      </c>
      <c r="I235" s="264"/>
      <c r="J235" s="264" t="s">
        <v>469</v>
      </c>
    </row>
    <row r="236" spans="1:10">
      <c r="A236" s="169"/>
      <c r="B236" s="211"/>
      <c r="C236" s="211"/>
      <c r="D236" s="212" t="str">
        <f t="shared" ca="1" si="266"/>
        <v>INDLDSHELCN4</v>
      </c>
      <c r="E236" s="212" t="str">
        <f t="shared" ca="1" si="265"/>
        <v>Industrial heating technology L SH - Booster Heat pump utilizing waste heat - new 4</v>
      </c>
      <c r="F236" s="262" t="s">
        <v>450</v>
      </c>
      <c r="G236" s="262" t="s">
        <v>449</v>
      </c>
      <c r="H236" s="263" t="s">
        <v>620</v>
      </c>
      <c r="I236" s="264"/>
      <c r="J236" s="264" t="s">
        <v>469</v>
      </c>
    </row>
    <row r="237" spans="1:10">
      <c r="A237" s="169"/>
      <c r="B237" s="211"/>
      <c r="C237" s="211"/>
      <c r="D237" s="212" t="str">
        <f t="shared" ca="1" si="266"/>
        <v>INDLDPHELCN5</v>
      </c>
      <c r="E237" s="212" t="str">
        <f t="shared" ca="1" si="265"/>
        <v>Industrial heating technology L PH - MVR utilizing waste heat - new 5</v>
      </c>
      <c r="F237" s="262" t="s">
        <v>450</v>
      </c>
      <c r="G237" s="262" t="s">
        <v>449</v>
      </c>
      <c r="H237" s="263"/>
      <c r="I237" s="264"/>
      <c r="J237" s="264" t="s">
        <v>469</v>
      </c>
    </row>
    <row r="238" spans="1:10">
      <c r="A238" s="169"/>
      <c r="B238" s="211"/>
      <c r="C238" s="211"/>
      <c r="D238" s="212" t="str">
        <f t="shared" ca="1" si="266"/>
        <v>INDLDPHWSTN1</v>
      </c>
      <c r="E238" s="212" t="str">
        <f t="shared" ca="1" si="265"/>
        <v>Industrial heating technology L PH - Hotdisc - new 1</v>
      </c>
      <c r="F238" s="262" t="s">
        <v>450</v>
      </c>
      <c r="G238" s="262" t="s">
        <v>449</v>
      </c>
      <c r="H238" s="263" t="s">
        <v>620</v>
      </c>
      <c r="I238" s="264"/>
      <c r="J238" s="264" t="s">
        <v>469</v>
      </c>
    </row>
    <row r="239" spans="1:10">
      <c r="A239" s="169"/>
      <c r="B239" s="211"/>
      <c r="C239" s="211"/>
      <c r="D239" s="212" t="str">
        <f t="shared" ref="D239:D278" ca="1" si="267">OFFSET($D$9,(ROW(D19)*3),0)</f>
        <v>INDLDPHELCN6</v>
      </c>
      <c r="E239" s="212" t="str">
        <f t="shared" ca="1" si="265"/>
        <v>Industrial heating technology L PH - Dielectric heating - new 6</v>
      </c>
      <c r="F239" s="262" t="s">
        <v>450</v>
      </c>
      <c r="G239" s="262" t="s">
        <v>449</v>
      </c>
      <c r="H239" s="263" t="s">
        <v>620</v>
      </c>
      <c r="I239" s="264"/>
      <c r="J239" s="264" t="s">
        <v>469</v>
      </c>
    </row>
    <row r="240" spans="1:10">
      <c r="A240" s="169"/>
      <c r="B240" s="211"/>
      <c r="C240" s="211"/>
      <c r="D240" s="212" t="str">
        <f t="shared" ca="1" si="267"/>
        <v>INDLDPHELCN7</v>
      </c>
      <c r="E240" s="212" t="str">
        <f t="shared" ca="1" si="265"/>
        <v>Industrial heating technology L PH - Infrared heating - new 7</v>
      </c>
      <c r="F240" s="262" t="s">
        <v>450</v>
      </c>
      <c r="G240" s="262" t="s">
        <v>449</v>
      </c>
      <c r="H240" s="263" t="s">
        <v>620</v>
      </c>
      <c r="I240" s="264"/>
      <c r="J240" s="264" t="s">
        <v>469</v>
      </c>
    </row>
    <row r="241" spans="1:16">
      <c r="A241" s="169"/>
      <c r="B241" s="211"/>
      <c r="C241" s="211"/>
      <c r="D241" s="212" t="str">
        <f t="shared" ca="1" si="267"/>
        <v>INDLDPHELCN8</v>
      </c>
      <c r="E241" s="212" t="str">
        <f t="shared" ca="1" si="265"/>
        <v>Industrial heating technology L PH - Electric boiler (Steam) - new 8</v>
      </c>
      <c r="F241" s="262" t="s">
        <v>450</v>
      </c>
      <c r="G241" s="262" t="s">
        <v>449</v>
      </c>
      <c r="H241" s="263" t="s">
        <v>620</v>
      </c>
      <c r="I241" s="264"/>
      <c r="J241" s="264" t="s">
        <v>469</v>
      </c>
    </row>
    <row r="242" spans="1:16">
      <c r="A242" s="169"/>
      <c r="B242" s="211"/>
      <c r="C242" s="211"/>
      <c r="D242" s="212" t="str">
        <f t="shared" ca="1" si="267"/>
        <v>INDLDPHELCN8</v>
      </c>
      <c r="E242" s="212" t="str">
        <f t="shared" ca="1" si="265"/>
        <v>Industrial heating technology L PH - Electric boiler (Steam) - new 8</v>
      </c>
      <c r="F242" s="262" t="s">
        <v>450</v>
      </c>
      <c r="G242" s="262" t="s">
        <v>449</v>
      </c>
      <c r="H242" s="263" t="s">
        <v>620</v>
      </c>
      <c r="I242" s="264"/>
      <c r="J242" s="264" t="s">
        <v>469</v>
      </c>
    </row>
    <row r="243" spans="1:16">
      <c r="A243" s="169"/>
      <c r="B243" s="211"/>
      <c r="C243" s="211"/>
      <c r="D243" s="212" t="str">
        <f t="shared" ca="1" si="267"/>
        <v>INDLDSHELCN8</v>
      </c>
      <c r="E243" s="212" t="str">
        <f t="shared" ca="1" si="265"/>
        <v>Industrial heating technology L SH - Electric boiler (Steam) - new 8</v>
      </c>
      <c r="F243" s="262" t="s">
        <v>450</v>
      </c>
      <c r="G243" s="262" t="s">
        <v>449</v>
      </c>
      <c r="H243" s="263" t="s">
        <v>620</v>
      </c>
      <c r="I243" s="264"/>
      <c r="J243" s="264" t="s">
        <v>469</v>
      </c>
      <c r="P243" s="173"/>
    </row>
    <row r="244" spans="1:16">
      <c r="A244" s="169"/>
      <c r="B244" s="211"/>
      <c r="C244" s="211"/>
      <c r="D244" s="212" t="str">
        <f t="shared" ca="1" si="267"/>
        <v>INDLDPHELCN9</v>
      </c>
      <c r="E244" s="212" t="str">
        <f t="shared" ca="1" si="265"/>
        <v>Industrial heating technology L PH - Electric boiler (Hot Water) - new 9</v>
      </c>
      <c r="F244" s="262" t="s">
        <v>450</v>
      </c>
      <c r="G244" s="262" t="s">
        <v>449</v>
      </c>
      <c r="H244" s="263" t="s">
        <v>620</v>
      </c>
      <c r="I244" s="264"/>
      <c r="J244" s="264" t="s">
        <v>469</v>
      </c>
      <c r="P244" s="173"/>
    </row>
    <row r="245" spans="1:16">
      <c r="A245" s="169"/>
      <c r="B245" s="211"/>
      <c r="C245" s="211"/>
      <c r="D245" s="212" t="str">
        <f t="shared" ca="1" si="267"/>
        <v>INDLDSHELCN9</v>
      </c>
      <c r="E245" s="212" t="str">
        <f t="shared" ca="1" si="265"/>
        <v>Industrial heating technology L SH - Electric boiler (Hot Water) - new 9</v>
      </c>
      <c r="F245" s="262" t="s">
        <v>450</v>
      </c>
      <c r="G245" s="262" t="s">
        <v>449</v>
      </c>
      <c r="H245" s="263" t="s">
        <v>620</v>
      </c>
      <c r="I245" s="264"/>
      <c r="J245" s="264" t="s">
        <v>469</v>
      </c>
      <c r="P245" s="173"/>
    </row>
    <row r="246" spans="1:16">
      <c r="A246" s="169"/>
      <c r="B246" s="211"/>
      <c r="C246" s="211"/>
      <c r="D246" s="212" t="str">
        <f t="shared" ca="1" si="267"/>
        <v>INDLDPHWCHN1</v>
      </c>
      <c r="E246" s="212" t="str">
        <f t="shared" ca="1" si="265"/>
        <v>Industrial heating technology L PH - Wood chip boiler (Steam) - new 1</v>
      </c>
      <c r="F246" s="262" t="s">
        <v>450</v>
      </c>
      <c r="G246" s="262" t="s">
        <v>449</v>
      </c>
      <c r="H246" s="263"/>
      <c r="I246" s="264"/>
      <c r="J246" s="264" t="s">
        <v>469</v>
      </c>
      <c r="P246" s="173"/>
    </row>
    <row r="247" spans="1:16">
      <c r="A247" s="169"/>
      <c r="B247" s="211"/>
      <c r="C247" s="211"/>
      <c r="D247" s="212" t="str">
        <f t="shared" ca="1" si="267"/>
        <v>INDLDPHWCHN1</v>
      </c>
      <c r="E247" s="212" t="str">
        <f t="shared" ca="1" si="265"/>
        <v>Industrial heating technology L PH - Wood chip boiler (Steam) - new 1</v>
      </c>
      <c r="F247" s="262" t="s">
        <v>450</v>
      </c>
      <c r="G247" s="262" t="s">
        <v>449</v>
      </c>
      <c r="H247" s="263"/>
      <c r="I247" s="264"/>
      <c r="J247" s="264" t="s">
        <v>469</v>
      </c>
      <c r="M247" s="171"/>
      <c r="N247" s="171"/>
      <c r="P247" s="173"/>
    </row>
    <row r="248" spans="1:16">
      <c r="A248" s="169"/>
      <c r="B248" s="211"/>
      <c r="C248" s="211"/>
      <c r="D248" s="212" t="str">
        <f t="shared" ca="1" si="267"/>
        <v>INDLDSHWCHN1</v>
      </c>
      <c r="E248" s="212" t="str">
        <f t="shared" ca="1" si="265"/>
        <v>Industrial heating technology L SH - Wood chip boiler (Steam) - new 1</v>
      </c>
      <c r="F248" s="262" t="s">
        <v>450</v>
      </c>
      <c r="G248" s="262" t="s">
        <v>449</v>
      </c>
      <c r="H248" s="263"/>
      <c r="I248" s="264"/>
      <c r="J248" s="264" t="s">
        <v>469</v>
      </c>
      <c r="M248" s="171"/>
      <c r="N248" s="171"/>
      <c r="P248" s="173"/>
    </row>
    <row r="249" spans="1:16">
      <c r="A249" s="169"/>
      <c r="B249" s="211"/>
      <c r="C249" s="211"/>
      <c r="D249" s="212" t="str">
        <f t="shared" ca="1" si="267"/>
        <v>INDLDPHWCHN2</v>
      </c>
      <c r="E249" s="212" t="str">
        <f t="shared" ca="1" si="265"/>
        <v>Industrial heating technology 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INDLDSHWCHN2</v>
      </c>
      <c r="E250" s="212" t="str">
        <f t="shared" ca="1" si="265"/>
        <v>Industrial heating technology L SH - Wood chip boiler (Steam - condensing) - new 2</v>
      </c>
      <c r="F250" s="262" t="s">
        <v>450</v>
      </c>
      <c r="G250" s="262" t="s">
        <v>449</v>
      </c>
      <c r="H250" s="263"/>
      <c r="I250" s="264"/>
      <c r="J250" s="264" t="s">
        <v>469</v>
      </c>
    </row>
    <row r="251" spans="1:16">
      <c r="A251" s="169"/>
      <c r="B251" s="212"/>
      <c r="C251" s="212"/>
      <c r="D251" s="212" t="str">
        <f t="shared" ca="1" si="267"/>
        <v>INDLDPHWCHN3</v>
      </c>
      <c r="E251" s="212" t="str">
        <f t="shared" ca="1" si="265"/>
        <v>Industrial heating technology L PH - Wood chip boiler (Hot Water) - new 3</v>
      </c>
      <c r="F251" s="262" t="s">
        <v>450</v>
      </c>
      <c r="G251" s="262" t="s">
        <v>449</v>
      </c>
      <c r="H251" s="261"/>
      <c r="I251" s="261"/>
      <c r="J251" s="264" t="s">
        <v>469</v>
      </c>
    </row>
    <row r="252" spans="1:16">
      <c r="A252" s="169"/>
      <c r="B252" s="212"/>
      <c r="C252" s="212"/>
      <c r="D252" s="212" t="str">
        <f t="shared" ca="1" si="267"/>
        <v>INDLDSHWCHN3</v>
      </c>
      <c r="E252" s="212" t="str">
        <f t="shared" ca="1" si="265"/>
        <v>Industrial heating technology L SH - Wood chip boiler (Hot Water) - new 3</v>
      </c>
      <c r="F252" s="262" t="s">
        <v>450</v>
      </c>
      <c r="G252" s="262" t="s">
        <v>449</v>
      </c>
      <c r="H252" s="261"/>
      <c r="I252" s="261"/>
      <c r="J252" s="264" t="s">
        <v>469</v>
      </c>
    </row>
    <row r="253" spans="1:16">
      <c r="A253" s="169"/>
      <c r="B253" s="212"/>
      <c r="C253" s="212"/>
      <c r="D253" s="212" t="str">
        <f t="shared" ca="1" si="267"/>
        <v>INDLDPHWCHN4</v>
      </c>
      <c r="E253" s="212" t="str">
        <f t="shared" ca="1" si="265"/>
        <v>Industrial heating technology L PH - Wood chip boiler (Hot Water - condensing) - new 4</v>
      </c>
      <c r="F253" s="262" t="s">
        <v>450</v>
      </c>
      <c r="G253" s="262" t="s">
        <v>449</v>
      </c>
      <c r="H253" s="261"/>
      <c r="I253" s="261"/>
      <c r="J253" s="264" t="s">
        <v>469</v>
      </c>
    </row>
    <row r="254" spans="1:16">
      <c r="A254" s="169"/>
      <c r="B254" s="212"/>
      <c r="C254" s="212"/>
      <c r="D254" s="212" t="str">
        <f t="shared" ca="1" si="267"/>
        <v>INDLDSHWCHN4</v>
      </c>
      <c r="E254" s="212" t="str">
        <f t="shared" ca="1" si="265"/>
        <v>Industrial heating technology L SH - Wood chip boiler (Hot Water- condensing) - new 4</v>
      </c>
      <c r="F254" s="262" t="s">
        <v>450</v>
      </c>
      <c r="G254" s="262" t="s">
        <v>449</v>
      </c>
      <c r="H254" s="261"/>
      <c r="I254" s="261"/>
      <c r="J254" s="264" t="s">
        <v>469</v>
      </c>
    </row>
    <row r="255" spans="1:16">
      <c r="B255" s="212"/>
      <c r="C255" s="212"/>
      <c r="D255" s="212" t="str">
        <f t="shared" ca="1" si="267"/>
        <v>INDLDPHELCN10</v>
      </c>
      <c r="E255" s="212" t="str">
        <f t="shared" ca="1" si="265"/>
        <v>Industrial heating technology L PH - Direct electric heating - new 10</v>
      </c>
      <c r="F255" s="262" t="s">
        <v>450</v>
      </c>
      <c r="G255" s="262" t="s">
        <v>449</v>
      </c>
      <c r="H255" s="261"/>
      <c r="I255" s="261"/>
      <c r="J255" s="264" t="s">
        <v>469</v>
      </c>
    </row>
    <row r="256" spans="1:16">
      <c r="B256" s="212"/>
      <c r="C256" s="212"/>
      <c r="D256" s="212" t="str">
        <f t="shared" ca="1" si="267"/>
        <v>INDLDPHELCN10</v>
      </c>
      <c r="E256" s="212" t="str">
        <f t="shared" ca="1" si="265"/>
        <v>Industrial heating technology L PH - Direct electric heating - new 10</v>
      </c>
      <c r="F256" s="262" t="s">
        <v>450</v>
      </c>
      <c r="G256" s="262" t="s">
        <v>449</v>
      </c>
      <c r="H256" s="261"/>
      <c r="I256" s="261"/>
      <c r="J256" s="264" t="s">
        <v>469</v>
      </c>
    </row>
    <row r="257" spans="1:10">
      <c r="B257" s="212"/>
      <c r="C257" s="212"/>
      <c r="D257" s="212" t="str">
        <f t="shared" ca="1" si="267"/>
        <v>INDLDPHDSLN1</v>
      </c>
      <c r="E257" s="212" t="str">
        <f t="shared" ca="1" si="265"/>
        <v>Industrial heating technology L PH - Oil boiler (Steam) - new 1</v>
      </c>
      <c r="F257" s="262" t="s">
        <v>450</v>
      </c>
      <c r="G257" s="262" t="s">
        <v>449</v>
      </c>
      <c r="H257" s="261"/>
      <c r="I257" s="261"/>
      <c r="J257" s="264" t="s">
        <v>469</v>
      </c>
    </row>
    <row r="258" spans="1:10">
      <c r="B258" s="212"/>
      <c r="C258" s="212"/>
      <c r="D258" s="212" t="str">
        <f t="shared" ca="1" si="267"/>
        <v>INDLDPHDSLN1</v>
      </c>
      <c r="E258" s="212" t="str">
        <f t="shared" ca="1" si="265"/>
        <v>Industrial heating technology L PH - Oil boiler (Steam) - new 1</v>
      </c>
      <c r="F258" s="262" t="s">
        <v>450</v>
      </c>
      <c r="G258" s="262" t="s">
        <v>449</v>
      </c>
      <c r="H258" s="261"/>
      <c r="I258" s="261"/>
      <c r="J258" s="264" t="s">
        <v>469</v>
      </c>
    </row>
    <row r="259" spans="1:10">
      <c r="B259" s="212"/>
      <c r="C259" s="212"/>
      <c r="D259" s="212" t="str">
        <f t="shared" ca="1" si="267"/>
        <v>INDLDSHDSLN1</v>
      </c>
      <c r="E259" s="212" t="str">
        <f t="shared" ca="1" si="265"/>
        <v>Industrial heating technology L SH - Oil boiler (Steam) - new 1</v>
      </c>
      <c r="F259" s="262" t="s">
        <v>450</v>
      </c>
      <c r="G259" s="262" t="s">
        <v>449</v>
      </c>
      <c r="H259" s="261"/>
      <c r="I259" s="261"/>
      <c r="J259" s="264" t="s">
        <v>469</v>
      </c>
    </row>
    <row r="260" spans="1:10">
      <c r="A260" s="214"/>
      <c r="B260" s="212"/>
      <c r="C260" s="212"/>
      <c r="D260" s="212" t="str">
        <f t="shared" ca="1" si="267"/>
        <v>INDLDPHDSLN2</v>
      </c>
      <c r="E260" s="212" t="str">
        <f t="shared" ca="1" si="265"/>
        <v>Industrial heating technology L PH - Oil boiler (Steam - condensing) - new 2</v>
      </c>
      <c r="F260" s="262" t="s">
        <v>450</v>
      </c>
      <c r="G260" s="262" t="s">
        <v>449</v>
      </c>
      <c r="H260" s="261"/>
      <c r="I260" s="261"/>
      <c r="J260" s="264" t="s">
        <v>469</v>
      </c>
    </row>
    <row r="261" spans="1:10">
      <c r="A261" s="214"/>
      <c r="B261" s="212"/>
      <c r="C261" s="212"/>
      <c r="D261" s="212" t="str">
        <f t="shared" ca="1" si="267"/>
        <v>INDLDSHDSLN2</v>
      </c>
      <c r="E261" s="212" t="str">
        <f t="shared" ref="E261:E290" ca="1" si="268">VLOOKUP(D261,$D$9:$E$222,2,FALSE)</f>
        <v>Industrial heating technology L SH - Oil boiler (Steam - condensing) - new 2</v>
      </c>
      <c r="F261" s="262" t="s">
        <v>450</v>
      </c>
      <c r="G261" s="262" t="s">
        <v>449</v>
      </c>
      <c r="H261" s="261"/>
      <c r="I261" s="261"/>
      <c r="J261" s="264" t="s">
        <v>469</v>
      </c>
    </row>
    <row r="262" spans="1:10">
      <c r="A262" s="214"/>
      <c r="B262" s="212"/>
      <c r="C262" s="212"/>
      <c r="D262" s="212" t="str">
        <f t="shared" ca="1" si="267"/>
        <v>INDLDPHGASN1</v>
      </c>
      <c r="E262" s="212" t="str">
        <f t="shared" ca="1" si="268"/>
        <v>Industrial heating technology L PH - Gas boiler (Steam) - new 1</v>
      </c>
      <c r="F262" s="262" t="s">
        <v>450</v>
      </c>
      <c r="G262" s="262" t="s">
        <v>449</v>
      </c>
      <c r="H262" s="261"/>
      <c r="I262" s="261"/>
      <c r="J262" s="264" t="s">
        <v>469</v>
      </c>
    </row>
    <row r="263" spans="1:10">
      <c r="A263" s="214"/>
      <c r="B263" s="212"/>
      <c r="C263" s="212"/>
      <c r="D263" s="212" t="str">
        <f t="shared" ca="1" si="267"/>
        <v>INDLDPHGASN1</v>
      </c>
      <c r="E263" s="212" t="str">
        <f t="shared" ca="1" si="268"/>
        <v>Industrial heating technology L PH - Gas boiler (Steam) - new 1</v>
      </c>
      <c r="F263" s="262" t="s">
        <v>450</v>
      </c>
      <c r="G263" s="262" t="s">
        <v>449</v>
      </c>
      <c r="H263" s="261"/>
      <c r="I263" s="261"/>
      <c r="J263" s="264" t="s">
        <v>469</v>
      </c>
    </row>
    <row r="264" spans="1:10">
      <c r="B264" s="212"/>
      <c r="C264" s="212"/>
      <c r="D264" s="212" t="str">
        <f t="shared" ca="1" si="267"/>
        <v>INDLDSHGASN1</v>
      </c>
      <c r="E264" s="212" t="str">
        <f t="shared" ca="1" si="268"/>
        <v>Industrial heating technology L SH - Gas boiler (Steam) - new 1</v>
      </c>
      <c r="F264" s="262" t="s">
        <v>450</v>
      </c>
      <c r="G264" s="262" t="s">
        <v>449</v>
      </c>
      <c r="H264" s="261"/>
      <c r="I264" s="261"/>
      <c r="J264" s="264" t="s">
        <v>469</v>
      </c>
    </row>
    <row r="265" spans="1:10">
      <c r="B265" s="212"/>
      <c r="C265" s="212"/>
      <c r="D265" s="212" t="str">
        <f t="shared" ca="1" si="267"/>
        <v>INDLDPHGASN2</v>
      </c>
      <c r="E265" s="212" t="str">
        <f t="shared" ca="1" si="268"/>
        <v>Industrial heating technology L PH - Gas boiler (Steam - condensing) - new 2</v>
      </c>
      <c r="F265" s="262" t="s">
        <v>450</v>
      </c>
      <c r="G265" s="262" t="s">
        <v>449</v>
      </c>
      <c r="H265" s="261"/>
      <c r="I265" s="261"/>
      <c r="J265" s="264" t="s">
        <v>469</v>
      </c>
    </row>
    <row r="266" spans="1:10">
      <c r="B266" s="212"/>
      <c r="C266" s="212"/>
      <c r="D266" s="212" t="str">
        <f t="shared" ca="1" si="267"/>
        <v>INDLDSHGASN2</v>
      </c>
      <c r="E266" s="212" t="str">
        <f t="shared" ca="1" si="268"/>
        <v>Industrial heating technology L SH - Gas boiler (Steam - condensing) - new 2</v>
      </c>
      <c r="F266" s="262" t="s">
        <v>450</v>
      </c>
      <c r="G266" s="262" t="s">
        <v>449</v>
      </c>
      <c r="H266" s="261"/>
      <c r="I266" s="261"/>
      <c r="J266" s="264" t="s">
        <v>469</v>
      </c>
    </row>
    <row r="267" spans="1:10">
      <c r="B267" s="212"/>
      <c r="C267" s="212"/>
      <c r="D267" s="212" t="str">
        <f t="shared" ca="1" si="267"/>
        <v>INDLDPHGASN3</v>
      </c>
      <c r="E267" s="212" t="str">
        <f t="shared" ca="1" si="268"/>
        <v>Industrial heating technology L PH - Gas boiler (Hot Water) - new 3</v>
      </c>
      <c r="F267" s="262" t="s">
        <v>450</v>
      </c>
      <c r="G267" s="262" t="s">
        <v>449</v>
      </c>
      <c r="H267" s="261"/>
      <c r="I267" s="261"/>
      <c r="J267" s="264" t="s">
        <v>469</v>
      </c>
    </row>
    <row r="268" spans="1:10">
      <c r="B268" s="212"/>
      <c r="C268" s="212"/>
      <c r="D268" s="212" t="str">
        <f t="shared" ca="1" si="267"/>
        <v>INDLDSHGASN3</v>
      </c>
      <c r="E268" s="212" t="str">
        <f t="shared" ca="1" si="268"/>
        <v>Industrial heating technology L SH - Gas boiler (Hot Water) - new 3</v>
      </c>
      <c r="F268" s="262" t="s">
        <v>450</v>
      </c>
      <c r="G268" s="262" t="s">
        <v>449</v>
      </c>
      <c r="H268" s="261"/>
      <c r="I268" s="261"/>
      <c r="J268" s="264" t="s">
        <v>469</v>
      </c>
    </row>
    <row r="269" spans="1:10">
      <c r="B269" s="212"/>
      <c r="C269" s="212"/>
      <c r="D269" s="212" t="str">
        <f t="shared" ca="1" si="267"/>
        <v>INDLDPHGASN4</v>
      </c>
      <c r="E269" s="212" t="str">
        <f t="shared" ca="1" si="268"/>
        <v>Industrial heating technology L PH - Gas boiler (Hot Water - condensing) - new 4</v>
      </c>
      <c r="F269" s="262" t="s">
        <v>450</v>
      </c>
      <c r="G269" s="262" t="s">
        <v>449</v>
      </c>
      <c r="H269" s="261"/>
      <c r="I269" s="261"/>
      <c r="J269" s="264" t="s">
        <v>469</v>
      </c>
    </row>
    <row r="270" spans="1:10">
      <c r="B270" s="212"/>
      <c r="C270" s="212"/>
      <c r="D270" s="212" t="str">
        <f t="shared" ca="1" si="267"/>
        <v>INDLDSHGASN4</v>
      </c>
      <c r="E270" s="212" t="str">
        <f t="shared" ca="1" si="268"/>
        <v>Industrial heating technology L SH - Gas boiler (Hot Water- condensing) - new 4</v>
      </c>
      <c r="F270" s="262" t="s">
        <v>450</v>
      </c>
      <c r="G270" s="262" t="s">
        <v>449</v>
      </c>
      <c r="H270" s="261"/>
      <c r="I270" s="261"/>
      <c r="J270" s="264" t="s">
        <v>469</v>
      </c>
    </row>
    <row r="271" spans="1:10">
      <c r="B271" s="212"/>
      <c r="C271" s="212"/>
      <c r="D271" s="212" t="str">
        <f t="shared" ca="1" si="267"/>
        <v>INDLDPHGASN5</v>
      </c>
      <c r="E271" s="212" t="str">
        <f t="shared" ca="1" si="268"/>
        <v>Industrial heating technology L PH - Gas boiler (Direct firing) - new 5</v>
      </c>
      <c r="F271" s="262" t="s">
        <v>450</v>
      </c>
      <c r="G271" s="262" t="s">
        <v>449</v>
      </c>
      <c r="H271" s="261"/>
      <c r="I271" s="261"/>
      <c r="J271" s="264" t="s">
        <v>469</v>
      </c>
    </row>
    <row r="272" spans="1:10">
      <c r="B272" s="212"/>
      <c r="C272" s="212"/>
      <c r="D272" s="212" t="str">
        <f t="shared" ca="1" si="267"/>
        <v>INDLDPHGASN5</v>
      </c>
      <c r="E272" s="212" t="str">
        <f t="shared" ca="1" si="268"/>
        <v>Industrial heating technology L PH - Gas boiler (Direct firing) - new 5</v>
      </c>
      <c r="F272" s="262" t="s">
        <v>450</v>
      </c>
      <c r="G272" s="262" t="s">
        <v>449</v>
      </c>
      <c r="H272" s="261"/>
      <c r="I272" s="261"/>
      <c r="J272" s="264" t="s">
        <v>469</v>
      </c>
    </row>
    <row r="273" spans="2:10">
      <c r="B273" s="212"/>
      <c r="C273" s="212"/>
      <c r="D273" s="212" t="str">
        <f t="shared" ca="1" si="267"/>
        <v>INDLDPHCOAN1</v>
      </c>
      <c r="E273" s="212" t="str">
        <f t="shared" ca="1" si="268"/>
        <v>Industrial heating technology L PH - Coal boiler (Steam) - new 1</v>
      </c>
      <c r="F273" s="262" t="s">
        <v>450</v>
      </c>
      <c r="G273" s="262" t="s">
        <v>449</v>
      </c>
      <c r="H273" s="261"/>
      <c r="I273" s="261"/>
      <c r="J273" s="264" t="s">
        <v>469</v>
      </c>
    </row>
    <row r="274" spans="2:10">
      <c r="B274" s="212"/>
      <c r="C274" s="212"/>
      <c r="D274" s="212" t="str">
        <f t="shared" ca="1" si="267"/>
        <v>INDLDPHCOAN1</v>
      </c>
      <c r="E274" s="212" t="str">
        <f t="shared" ca="1" si="268"/>
        <v>Industrial heating technology L PH - Coal boiler (Steam) - new 1</v>
      </c>
      <c r="F274" s="262" t="s">
        <v>450</v>
      </c>
      <c r="G274" s="262" t="s">
        <v>449</v>
      </c>
      <c r="H274" s="261"/>
      <c r="I274" s="261"/>
      <c r="J274" s="264" t="s">
        <v>469</v>
      </c>
    </row>
    <row r="275" spans="2:10">
      <c r="B275" s="212"/>
      <c r="C275" s="212"/>
      <c r="D275" s="212" t="str">
        <f t="shared" ca="1" si="267"/>
        <v>INDLDSHCOAN1</v>
      </c>
      <c r="E275" s="212" t="str">
        <f t="shared" ca="1" si="268"/>
        <v>Industrial heating technology L SH - Coal boiler (Steam) - new 1</v>
      </c>
      <c r="F275" s="262" t="s">
        <v>450</v>
      </c>
      <c r="G275" s="262" t="s">
        <v>449</v>
      </c>
      <c r="H275" s="261"/>
      <c r="I275" s="261"/>
      <c r="J275" s="264" t="s">
        <v>469</v>
      </c>
    </row>
    <row r="276" spans="2:10">
      <c r="B276" s="212"/>
      <c r="C276" s="212"/>
      <c r="D276" s="212" t="str">
        <f t="shared" ca="1" si="267"/>
        <v>INDLDPHCOAN2</v>
      </c>
      <c r="E276" s="212" t="str">
        <f t="shared" ca="1" si="268"/>
        <v>Industrial heating technology L PH - Coal boiler (Hot Water) - new 2</v>
      </c>
      <c r="F276" s="262" t="s">
        <v>450</v>
      </c>
      <c r="G276" s="262" t="s">
        <v>449</v>
      </c>
      <c r="H276" s="261"/>
      <c r="I276" s="261"/>
      <c r="J276" s="264" t="s">
        <v>469</v>
      </c>
    </row>
    <row r="277" spans="2:10">
      <c r="B277" s="212"/>
      <c r="C277" s="212"/>
      <c r="D277" s="212" t="str">
        <f t="shared" ca="1" si="267"/>
        <v>INDLDSHCOAN2</v>
      </c>
      <c r="E277" s="212" t="str">
        <f t="shared" ca="1" si="268"/>
        <v>Industrial heating technology L SH - Coal boiler (Hot Water) - new 2</v>
      </c>
      <c r="F277" s="262" t="s">
        <v>450</v>
      </c>
      <c r="G277" s="262" t="s">
        <v>449</v>
      </c>
      <c r="H277" s="261"/>
      <c r="I277" s="261"/>
      <c r="J277" s="264" t="s">
        <v>469</v>
      </c>
    </row>
    <row r="278" spans="2:10">
      <c r="B278" s="212"/>
      <c r="C278" s="212"/>
      <c r="D278" s="212" t="str">
        <f t="shared" ca="1" si="267"/>
        <v>INDLDSHSOLN1</v>
      </c>
      <c r="E278" s="212" t="str">
        <f t="shared" ca="1" si="268"/>
        <v>Industrial heating technology L SH - Solar - new 1</v>
      </c>
      <c r="F278" s="262" t="s">
        <v>450</v>
      </c>
      <c r="G278" s="262" t="s">
        <v>449</v>
      </c>
      <c r="H278" s="263" t="s">
        <v>620</v>
      </c>
      <c r="I278" s="261"/>
      <c r="J278" s="264" t="s">
        <v>469</v>
      </c>
    </row>
    <row r="279" spans="2:10">
      <c r="B279" s="212"/>
      <c r="C279" s="212"/>
      <c r="D279" s="889" t="str">
        <f>D187</f>
        <v>INDLDSHHCEN1</v>
      </c>
      <c r="E279" s="889" t="str">
        <f t="shared" si="268"/>
        <v>Industrial heating technology L SH - central district heating - within DH area - new 1</v>
      </c>
      <c r="F279" s="262" t="s">
        <v>450</v>
      </c>
      <c r="G279" s="262" t="s">
        <v>449</v>
      </c>
      <c r="H279" s="890"/>
      <c r="I279" s="890"/>
      <c r="J279" s="263" t="s">
        <v>469</v>
      </c>
    </row>
    <row r="280" spans="2:10">
      <c r="B280" s="212"/>
      <c r="C280" s="212"/>
      <c r="D280" s="889" t="str">
        <f>D188</f>
        <v>INDLDPHHCEN1</v>
      </c>
      <c r="E280" s="889" t="str">
        <f t="shared" si="268"/>
        <v>Industrial heating technology L PH - central district heating - within DH area - new 1</v>
      </c>
      <c r="F280" s="262" t="s">
        <v>450</v>
      </c>
      <c r="G280" s="262" t="s">
        <v>449</v>
      </c>
      <c r="H280" s="890"/>
      <c r="I280" s="890"/>
      <c r="J280" s="263" t="s">
        <v>469</v>
      </c>
    </row>
    <row r="281" spans="2:10">
      <c r="B281" s="212"/>
      <c r="C281" s="212"/>
      <c r="D281" s="889" t="str">
        <f>D189</f>
        <v>INDLDSHHSEN1</v>
      </c>
      <c r="E281" s="889" t="str">
        <f t="shared" si="268"/>
        <v>Industrial heating technology L SH - central district heating - within DH area - new 1</v>
      </c>
      <c r="F281" s="262" t="s">
        <v>450</v>
      </c>
      <c r="G281" s="262" t="s">
        <v>449</v>
      </c>
      <c r="H281" s="890"/>
      <c r="I281" s="890"/>
      <c r="J281" s="263" t="s">
        <v>469</v>
      </c>
    </row>
    <row r="282" spans="2:10">
      <c r="B282" s="212"/>
      <c r="C282" s="212"/>
      <c r="D282" s="889" t="str">
        <f>D190</f>
        <v>INDLDPHHSEN1</v>
      </c>
      <c r="E282" s="889" t="str">
        <f t="shared" si="268"/>
        <v>Industrial heating technology L PH - central district heating - within DH area - new 1</v>
      </c>
      <c r="F282" s="262" t="s">
        <v>450</v>
      </c>
      <c r="G282" s="262" t="s">
        <v>449</v>
      </c>
      <c r="H282" s="890"/>
      <c r="I282" s="890"/>
      <c r="J282" s="263" t="s">
        <v>469</v>
      </c>
    </row>
    <row r="283" spans="2:10">
      <c r="B283" s="212"/>
      <c r="C283" s="212"/>
      <c r="D283" s="212" t="str">
        <f t="shared" ref="D283" si="269">D191</f>
        <v>INDLDSHHDEN1</v>
      </c>
      <c r="E283" s="212" t="str">
        <f t="shared" si="268"/>
        <v>Industrial heating technology L SH - decentral district heating - within DH area - new 1</v>
      </c>
      <c r="F283" s="262" t="s">
        <v>450</v>
      </c>
      <c r="G283" s="262" t="s">
        <v>449</v>
      </c>
      <c r="H283" s="261"/>
      <c r="I283" s="261"/>
      <c r="J283" s="264" t="s">
        <v>469</v>
      </c>
    </row>
    <row r="284" spans="2:10">
      <c r="B284" s="212"/>
      <c r="C284" s="212"/>
      <c r="D284" s="212" t="str">
        <f>D192</f>
        <v>INDLDPHHDEN1</v>
      </c>
      <c r="E284" s="212" t="str">
        <f t="shared" si="268"/>
        <v>Industrial heating technology L PH - decentral district heating - within DH area - new 1</v>
      </c>
      <c r="F284" s="262" t="s">
        <v>450</v>
      </c>
      <c r="G284" s="262" t="s">
        <v>449</v>
      </c>
      <c r="H284" s="261"/>
      <c r="I284" s="261"/>
      <c r="J284" s="264" t="s">
        <v>469</v>
      </c>
    </row>
    <row r="285" spans="2:10">
      <c r="B285" s="212"/>
      <c r="C285" s="212"/>
      <c r="D285" s="212" t="str">
        <f>D194</f>
        <v>INDLDLAELCN1</v>
      </c>
      <c r="E285" s="212" t="str">
        <f t="shared" si="268"/>
        <v>Industry L LA Electricity Light Appliance - New 1</v>
      </c>
      <c r="F285" s="262" t="s">
        <v>450</v>
      </c>
      <c r="G285" s="262" t="s">
        <v>449</v>
      </c>
      <c r="H285" s="261"/>
      <c r="I285" s="261"/>
      <c r="J285" s="264" t="s">
        <v>469</v>
      </c>
    </row>
    <row r="286" spans="2:10">
      <c r="B286" s="212"/>
      <c r="C286" s="212"/>
      <c r="D286" s="212" t="str">
        <f>D198</f>
        <v>INDLDEMELCN1</v>
      </c>
      <c r="E286" s="212" t="str">
        <f t="shared" si="268"/>
        <v>Industry L EM Electricity Motors - New 1</v>
      </c>
      <c r="F286" s="262" t="s">
        <v>450</v>
      </c>
      <c r="G286" s="262" t="s">
        <v>449</v>
      </c>
      <c r="H286" s="261"/>
      <c r="I286" s="261"/>
      <c r="J286" s="264" t="s">
        <v>469</v>
      </c>
    </row>
    <row r="287" spans="2:10">
      <c r="B287" s="212"/>
      <c r="C287" s="212"/>
      <c r="D287" s="212" t="str">
        <f>D202</f>
        <v>INDLDTFDSLN1</v>
      </c>
      <c r="E287" s="212" t="str">
        <f t="shared" si="268"/>
        <v>Industry L TF Tractors, Trucks, Fishing boats - New 1</v>
      </c>
      <c r="F287" s="262" t="s">
        <v>450</v>
      </c>
      <c r="G287" s="262" t="s">
        <v>2078</v>
      </c>
      <c r="H287" s="261"/>
      <c r="I287" s="261"/>
      <c r="J287" s="264" t="s">
        <v>469</v>
      </c>
    </row>
    <row r="288" spans="2:10">
      <c r="B288" s="212"/>
      <c r="C288" s="212"/>
      <c r="D288" s="212" t="str">
        <f>D206</f>
        <v>INDLDTFH2GN2</v>
      </c>
      <c r="E288" s="212" t="str">
        <f t="shared" si="268"/>
        <v>Industry L TF Tractors, Trucks, Fishing boats - New 2</v>
      </c>
      <c r="F288" s="262" t="s">
        <v>450</v>
      </c>
      <c r="G288" s="262" t="s">
        <v>2078</v>
      </c>
      <c r="H288" s="261"/>
      <c r="I288" s="261"/>
      <c r="J288" s="264" t="s">
        <v>469</v>
      </c>
    </row>
    <row r="289" spans="2:10">
      <c r="B289" s="212"/>
      <c r="C289" s="212"/>
      <c r="D289" s="212" t="str">
        <f>D210</f>
        <v>INDLDTFELCN3</v>
      </c>
      <c r="E289" s="212" t="str">
        <f t="shared" si="268"/>
        <v>Industry L TF Tractors, Trucks, Fishing boats - New 3</v>
      </c>
      <c r="F289" s="262" t="s">
        <v>450</v>
      </c>
      <c r="G289" s="262" t="s">
        <v>2078</v>
      </c>
      <c r="H289" s="261"/>
      <c r="I289" s="261"/>
      <c r="J289" s="264" t="s">
        <v>469</v>
      </c>
    </row>
    <row r="290" spans="2:10">
      <c r="B290" s="212"/>
      <c r="C290" s="212"/>
      <c r="D290" s="212" t="str">
        <f>D214</f>
        <v>INDLDFLSYNN1</v>
      </c>
      <c r="E290" s="212" t="str">
        <f t="shared" si="268"/>
        <v>Industry L TF Forklifts - New 1</v>
      </c>
      <c r="F290" s="262" t="s">
        <v>450</v>
      </c>
      <c r="G290" s="262" t="s">
        <v>449</v>
      </c>
      <c r="H290" s="261"/>
      <c r="I290" s="261"/>
      <c r="J290" s="264" t="s">
        <v>469</v>
      </c>
    </row>
    <row r="291" spans="2:10">
      <c r="B291" s="212"/>
      <c r="C291" s="212"/>
      <c r="D291" s="212" t="str">
        <f>D218</f>
        <v>INDLDCOELCN1</v>
      </c>
      <c r="E291" s="212" t="str">
        <f>E218</f>
        <v>Industry 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ILDSOx</v>
      </c>
      <c r="E296" s="270" t="str">
        <f>"Industrial heating  heating technology "&amp;$AJ$12&amp;" - SOx emission"</f>
        <v>Industrial heating  heating technology L - SOx emission</v>
      </c>
      <c r="F296" s="219" t="s">
        <v>352</v>
      </c>
      <c r="G296" s="211"/>
      <c r="H296" s="211"/>
      <c r="I296" s="211"/>
      <c r="J296" s="211"/>
    </row>
    <row r="297" spans="2:10">
      <c r="B297" s="214"/>
      <c r="C297" s="214"/>
      <c r="D297" s="260" t="str">
        <f>"I"&amp;LEFT($AJ$12,1)&amp;"DNOx"</f>
        <v>ILDNOx</v>
      </c>
      <c r="E297" s="270" t="str">
        <f>"Industrial heating  heating technology "&amp;$AJ$12&amp;" - NOx emission"</f>
        <v>Industrial heating  heating technology L - NOx emission</v>
      </c>
      <c r="F297" s="219" t="s">
        <v>352</v>
      </c>
      <c r="G297" s="211"/>
      <c r="H297" s="214"/>
      <c r="I297" s="214"/>
      <c r="J297" s="214"/>
    </row>
    <row r="298" spans="2:10">
      <c r="B298" s="214"/>
      <c r="C298" s="214"/>
      <c r="D298" s="260" t="str">
        <f>"I"&amp;LEFT($AJ$12,1)&amp;"DCH4"</f>
        <v>ILDCH4</v>
      </c>
      <c r="E298" s="270" t="str">
        <f>"Industrial heating  heating technology "&amp;$AJ$12&amp;" - CH4 emission"</f>
        <v>Industrial heating  heating technology L - CH4 emission</v>
      </c>
      <c r="F298" s="219" t="s">
        <v>352</v>
      </c>
      <c r="G298" s="211"/>
      <c r="H298" s="214"/>
      <c r="I298" s="214"/>
      <c r="J298" s="214"/>
    </row>
    <row r="299" spans="2:10">
      <c r="B299" s="214"/>
      <c r="C299" s="214"/>
      <c r="D299" s="260" t="str">
        <f>"I"&amp;LEFT($AJ$12,1)&amp;"DNO2"</f>
        <v>ILDNO2</v>
      </c>
      <c r="E299" s="270" t="str">
        <f>"Industrial heating  heating technology "&amp;$AJ$12&amp;" - NO2 emission"</f>
        <v>Industrial heating  heating technology L - NO2 emission</v>
      </c>
      <c r="F299" s="219" t="s">
        <v>352</v>
      </c>
      <c r="G299" s="211"/>
      <c r="H299" s="214"/>
      <c r="I299" s="214"/>
      <c r="J299" s="214"/>
    </row>
    <row r="300" spans="2:10">
      <c r="B300" s="214"/>
      <c r="C300" s="214"/>
      <c r="D300" s="260" t="str">
        <f>"I"&amp;LEFT($AJ$12,1)&amp;"DPM"</f>
        <v>ILDPM</v>
      </c>
      <c r="E300" s="270" t="str">
        <f>"Industrial heating  heating technology "&amp;$AJ$12&amp;" - Particle emission"</f>
        <v>Industrial heating  heating technology L - Particle emission</v>
      </c>
      <c r="F300" s="219" t="s">
        <v>352</v>
      </c>
      <c r="G300" s="211"/>
      <c r="H300" s="214"/>
      <c r="I300" s="214"/>
      <c r="J300" s="214"/>
    </row>
    <row r="301" spans="2:10">
      <c r="B301" s="224" t="s">
        <v>1057</v>
      </c>
      <c r="D301" s="224" t="str">
        <f>AI20</f>
        <v>INDLWH</v>
      </c>
      <c r="E301" s="270" t="str">
        <f>"Industrial heating technology "&amp;$AJ$12&amp;" - Waste heat"</f>
        <v>Industrial heating technology 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5E4C00F-BD5E-4A8F-A893-4181AB4DD74A}">
          <x14:formula1>
            <xm:f>'Oil-fired boiler_NEW'!$T$4:$X$4</xm:f>
          </x14:formula1>
          <xm:sqref>E1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E00E-A061-4F02-970F-A5767CED08CF}">
  <sheetPr>
    <tabColor rgb="FF00B050"/>
  </sheetPr>
  <dimension ref="A1:AJ301"/>
  <sheetViews>
    <sheetView topLeftCell="A197"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36" ht="14.55" customHeight="1">
      <c r="D1" s="728" t="s">
        <v>1016</v>
      </c>
      <c r="E1" s="729" t="s">
        <v>719</v>
      </c>
      <c r="N1" s="64"/>
      <c r="O1" s="64"/>
      <c r="P1" s="64"/>
      <c r="S1" s="727" t="s">
        <v>1004</v>
      </c>
      <c r="T1" s="776" t="s">
        <v>1003</v>
      </c>
      <c r="U1" s="775" t="s">
        <v>1053</v>
      </c>
      <c r="V1" s="776" t="s">
        <v>1054</v>
      </c>
      <c r="W1" s="780">
        <v>0.3</v>
      </c>
    </row>
    <row r="2" spans="2:36" ht="15" thickBot="1">
      <c r="E2" s="730" t="s">
        <v>1147</v>
      </c>
      <c r="N2" s="731"/>
      <c r="O2" s="731"/>
      <c r="P2" s="731"/>
      <c r="S2" s="726">
        <f>MATCH($E$1,$AJ$22:$AJ$35)</f>
        <v>13</v>
      </c>
      <c r="T2" s="778">
        <f>MATCH($E$1,$AJ$22:$AJ$35)+1</f>
        <v>14</v>
      </c>
      <c r="U2" s="779"/>
      <c r="V2" s="768" t="s">
        <v>1055</v>
      </c>
      <c r="W2" s="781">
        <v>0.2</v>
      </c>
    </row>
    <row r="3" spans="2:36" ht="15" thickBot="1">
      <c r="N3" s="731"/>
      <c r="O3" s="731"/>
      <c r="P3" s="731"/>
      <c r="S3" s="768"/>
      <c r="T3" s="768"/>
      <c r="U3" s="777"/>
      <c r="V3" s="778" t="s">
        <v>1056</v>
      </c>
      <c r="W3" s="782">
        <v>0</v>
      </c>
    </row>
    <row r="4" spans="2:36">
      <c r="N4" s="731"/>
      <c r="O4" s="731"/>
      <c r="P4" s="731"/>
      <c r="S4" s="768"/>
      <c r="T4" s="768"/>
      <c r="U4" s="768"/>
      <c r="V4" s="768"/>
    </row>
    <row r="5" spans="2:36">
      <c r="J5" s="172" t="s">
        <v>468</v>
      </c>
      <c r="N5" s="731"/>
      <c r="O5" s="731"/>
      <c r="P5" s="731"/>
      <c r="S5" s="768"/>
      <c r="T5" s="768"/>
      <c r="U5" s="768"/>
      <c r="V5" s="768"/>
    </row>
    <row r="6" spans="2:36"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FEMIS~ITDSOx</v>
      </c>
      <c r="Y6" s="280" t="str">
        <f>"FEMIS~"&amp;D297</f>
        <v>FEMIS~ITDNOx</v>
      </c>
      <c r="Z6" s="280" t="str">
        <f>"FEMIS~"&amp;D298</f>
        <v>FEMIS~ITDCH4</v>
      </c>
      <c r="AA6" s="280" t="str">
        <f>"FEMIS~"&amp;D299</f>
        <v>FEMIS~ITDNO2</v>
      </c>
      <c r="AB6" s="280" t="str">
        <f>"FEMIS~"&amp;D300</f>
        <v>FEMIS~ITDPM</v>
      </c>
      <c r="AC6" s="224" t="s">
        <v>424</v>
      </c>
      <c r="AD6" s="224" t="s">
        <v>2001</v>
      </c>
      <c r="AE6" s="47" t="s">
        <v>338</v>
      </c>
      <c r="AF6" s="221" t="s">
        <v>473</v>
      </c>
    </row>
    <row r="7" spans="2:36"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36">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36">
      <c r="B9" s="357" t="s">
        <v>998</v>
      </c>
      <c r="D9" s="212" t="str">
        <f>"IND"&amp;RIGHT(H9,4)&amp;RIGHT(G9,3)&amp;"N"&amp;RIGHT(E9,1)</f>
        <v>INDTDPHELCN1</v>
      </c>
      <c r="E9" s="261" t="str">
        <f>"Industrial heating technology "&amp;$AJ$12&amp;" "&amp;RIGHT(H9,2)&amp;" - Heat pump utilizing waste heat - new 1"</f>
        <v>Industrial heating technology Transport PH - Heat pump utilizing waste heat - new 1</v>
      </c>
      <c r="F9" s="224" t="s">
        <v>1149</v>
      </c>
      <c r="G9" s="173" t="s">
        <v>499</v>
      </c>
      <c r="H9" s="174" t="str">
        <f>$AI$14</f>
        <v>ITDPH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36">
      <c r="B10" s="357" t="s">
        <v>998</v>
      </c>
      <c r="D10" s="212"/>
      <c r="E10" s="261"/>
      <c r="F10" s="224" t="s">
        <v>1149</v>
      </c>
      <c r="G10" s="173" t="str">
        <f>$AI$20</f>
        <v>INDTWH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36">
      <c r="B11" s="357" t="s">
        <v>998</v>
      </c>
      <c r="D11" s="212"/>
      <c r="E11" s="212"/>
      <c r="F11" s="224" t="s">
        <v>1149</v>
      </c>
      <c r="G11" s="173" t="s">
        <v>499</v>
      </c>
      <c r="H11" s="174" t="str">
        <f>$AI$14</f>
        <v>ITDPH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36">
      <c r="B12" s="357" t="s">
        <v>998</v>
      </c>
      <c r="D12" s="212"/>
      <c r="E12" s="212"/>
      <c r="F12" s="224" t="s">
        <v>1149</v>
      </c>
      <c r="G12" s="173" t="str">
        <f>$AI$20</f>
        <v>INDTWH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
        <v>2102</v>
      </c>
    </row>
    <row r="13" spans="2:36">
      <c r="B13" s="357" t="s">
        <v>998</v>
      </c>
      <c r="D13" s="212"/>
      <c r="E13" s="212"/>
      <c r="F13" s="224" t="s">
        <v>1149</v>
      </c>
      <c r="G13" s="173" t="s">
        <v>499</v>
      </c>
      <c r="H13" s="174" t="str">
        <f>$AI$14</f>
        <v>ITDPH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"I"&amp;LEFT($AJ$12,1)&amp;"DPH"</f>
        <v>ITDPH</v>
      </c>
      <c r="AJ13" s="224" t="str">
        <f>"Industry "&amp;$AJ$12&amp;" Demand Heat High Temp. over 150C"</f>
        <v>Industry Transport Demand Heat High Temp. over 150C</v>
      </c>
    </row>
    <row r="14" spans="2:36">
      <c r="B14" s="357" t="s">
        <v>998</v>
      </c>
      <c r="D14" s="212"/>
      <c r="E14" s="212"/>
      <c r="F14" s="224" t="s">
        <v>1149</v>
      </c>
      <c r="G14" s="173" t="str">
        <f>$AI$20</f>
        <v>INDTWH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"I"&amp;LEFT($AJ$12,1)&amp;"DPH"</f>
        <v>ITDPH</v>
      </c>
      <c r="AJ14" s="224" t="str">
        <f>"Industry "&amp;$AJ$12&amp;" Demand Heat Medium Temp. up to 150C"</f>
        <v>Industry Transport Demand Heat Medium Temp. up to 150C</v>
      </c>
    </row>
    <row r="15" spans="2:36">
      <c r="B15" s="357" t="s">
        <v>998</v>
      </c>
      <c r="D15" s="212" t="str">
        <f>"IND"&amp;RIGHT(H15,4)&amp;RIGHT(G15,3)&amp;"N"&amp;RIGHT(E15,1)</f>
        <v>INDTDSHELCN1</v>
      </c>
      <c r="E15" s="261" t="str">
        <f>"Industrial heating technology "&amp;$AJ$12&amp;" "&amp;RIGHT(H15,2)&amp;" - Heat pump utilizing waste heat - new 1"</f>
        <v>Industrial heating technology Transport SH - Heat pump utilizing waste heat - new 1</v>
      </c>
      <c r="F15" s="224" t="s">
        <v>1149</v>
      </c>
      <c r="G15" s="173" t="s">
        <v>499</v>
      </c>
      <c r="H15" s="174" t="str">
        <f>$AI$15</f>
        <v>ITDSH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"I"&amp;LEFT($AJ$12,1)&amp;"DSH"</f>
        <v>ITDSH</v>
      </c>
      <c r="AJ15" s="224" t="str">
        <f>"Industry "&amp;$AJ$12&amp;" Demand Heat Room Heat"</f>
        <v>Industry Transport Demand Heat Room Heat</v>
      </c>
    </row>
    <row r="16" spans="2:36">
      <c r="B16" s="357" t="s">
        <v>998</v>
      </c>
      <c r="D16" s="212"/>
      <c r="E16" s="261"/>
      <c r="F16" s="224" t="s">
        <v>1149</v>
      </c>
      <c r="G16" s="173" t="str">
        <f>$AI$20</f>
        <v>INDTWH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64" t="str">
        <f>"I"&amp;LEFT($AJ$12,1)&amp;"DLA"</f>
        <v>ITDLA</v>
      </c>
      <c r="AJ16" s="224" t="str">
        <f>"Industry "&amp;$AJ$12&amp;" Demand Light Appliances"</f>
        <v>Industry Transport Demand Light Appliances</v>
      </c>
    </row>
    <row r="17" spans="2:36">
      <c r="B17" s="357" t="s">
        <v>998</v>
      </c>
      <c r="D17" s="212"/>
      <c r="E17" s="212"/>
      <c r="F17" s="224" t="s">
        <v>1149</v>
      </c>
      <c r="G17" s="173" t="s">
        <v>499</v>
      </c>
      <c r="H17" s="174" t="str">
        <f>$AI$15</f>
        <v>ITDSH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"I"&amp;LEFT($AJ$12,1)&amp;"DEM"</f>
        <v>ITDEM</v>
      </c>
      <c r="AJ17" s="224" t="str">
        <f>"Industry "&amp;$AJ$12&amp;" Demand Electric Motors"</f>
        <v>Industry Transport Demand Electric Motors</v>
      </c>
    </row>
    <row r="18" spans="2:36">
      <c r="B18" s="357" t="s">
        <v>998</v>
      </c>
      <c r="D18" s="212"/>
      <c r="E18" s="212"/>
      <c r="F18" s="224" t="s">
        <v>1149</v>
      </c>
      <c r="G18" s="173" t="str">
        <f>$AI$20</f>
        <v>INDTWH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"I"&amp;LEFT($AJ$12,1)&amp;"DTF"</f>
        <v>ITDTF</v>
      </c>
      <c r="AJ18" s="224" t="str">
        <f>"Industry "&amp;$AJ$12&amp;" Demand Tractors, Trucks, Fishing boats, Forest machines"</f>
        <v>Industry Transport Demand Tractors, Trucks, Fishing boats, Forest machines</v>
      </c>
    </row>
    <row r="19" spans="2:36">
      <c r="B19" s="357" t="s">
        <v>998</v>
      </c>
      <c r="D19" s="212"/>
      <c r="E19" s="212"/>
      <c r="F19" s="224" t="s">
        <v>1149</v>
      </c>
      <c r="G19" s="173" t="s">
        <v>499</v>
      </c>
      <c r="H19" s="174" t="str">
        <f>$AI$15</f>
        <v>ITDSH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"I"&amp;LEFT($AJ$12,1)&amp;"DFL"</f>
        <v>ITDFL</v>
      </c>
      <c r="AJ19" s="224" t="str">
        <f>"Industry "&amp;$AJ$12&amp;" Demand Forklifts"</f>
        <v>Industry Transport Demand Forklifts</v>
      </c>
    </row>
    <row r="20" spans="2:36">
      <c r="B20" s="357" t="s">
        <v>998</v>
      </c>
      <c r="D20" s="212"/>
      <c r="E20" s="212"/>
      <c r="F20" s="224" t="s">
        <v>1149</v>
      </c>
      <c r="G20" s="173" t="str">
        <f>$AI$20</f>
        <v>INDTWH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"IND"&amp;LEFT($AJ$12,1)&amp;"WH"</f>
        <v>INDTWH</v>
      </c>
      <c r="AJ20" s="224" t="str">
        <f>"Industry "&amp;$AJ$12&amp;" Waste Heat"</f>
        <v>Industry Transport Waste Heat</v>
      </c>
    </row>
    <row r="21" spans="2:36">
      <c r="B21" s="357" t="s">
        <v>999</v>
      </c>
      <c r="D21" s="212" t="str">
        <f>"IND"&amp;RIGHT(H21,4)&amp;RIGHT(G21,3)&amp;"N"&amp;RIGHT(E21,1)</f>
        <v>INDTDPHELCN2</v>
      </c>
      <c r="E21" s="261" t="str">
        <f>"Industrial heating technology "&amp;$AJ$12&amp;" "&amp;RIGHT(H21,2)&amp;" - Heat driven heat pump utilizing waste heat - new 2"</f>
        <v>Industrial heating technology Transport PH - Heat driven heat pump utilizing waste heat - new 2</v>
      </c>
      <c r="F21" s="224" t="s">
        <v>1149</v>
      </c>
      <c r="G21" s="173" t="s">
        <v>499</v>
      </c>
      <c r="H21" s="174" t="str">
        <f>$AI$14</f>
        <v>ITDPH</v>
      </c>
      <c r="I21" s="174"/>
      <c r="J21" s="224">
        <f t="shared" ref="J21" si="0">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ITDCO</v>
      </c>
      <c r="AJ21" s="224" t="str">
        <f>"Industry "&amp;$AJ$12&amp;" Cooling"</f>
        <v>Industry Transport Cooling</v>
      </c>
    </row>
    <row r="22" spans="2:36">
      <c r="B22" s="357" t="s">
        <v>999</v>
      </c>
      <c r="D22" s="212"/>
      <c r="E22" s="261"/>
      <c r="F22" s="224" t="s">
        <v>1149</v>
      </c>
      <c r="G22" s="173" t="str">
        <f>$AI$20</f>
        <v>INDTWH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36">
      <c r="B23" s="357" t="s">
        <v>999</v>
      </c>
      <c r="D23" s="212"/>
      <c r="E23" s="212"/>
      <c r="F23" s="224" t="s">
        <v>1149</v>
      </c>
      <c r="G23" s="173" t="s">
        <v>499</v>
      </c>
      <c r="H23" s="174" t="str">
        <f>$AI$14</f>
        <v>ITDPH</v>
      </c>
      <c r="I23" s="174"/>
      <c r="J23" s="224">
        <f t="shared" ref="J23" si="1">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36" ht="14.55" customHeight="1">
      <c r="B24" s="357" t="s">
        <v>999</v>
      </c>
      <c r="D24" s="212"/>
      <c r="E24" s="212"/>
      <c r="F24" s="224" t="s">
        <v>1149</v>
      </c>
      <c r="G24" s="173" t="str">
        <f>$AI$20</f>
        <v>INDTWH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36" ht="14.55" customHeight="1">
      <c r="B25" s="357" t="s">
        <v>999</v>
      </c>
      <c r="D25" s="212"/>
      <c r="E25" s="212"/>
      <c r="F25" s="224" t="s">
        <v>1149</v>
      </c>
      <c r="G25" s="173" t="s">
        <v>499</v>
      </c>
      <c r="H25" s="174" t="str">
        <f>$AI$14</f>
        <v>ITDPH</v>
      </c>
      <c r="I25" s="174"/>
      <c r="J25" s="224">
        <f t="shared" ref="J25" si="2">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36" ht="15" customHeight="1">
      <c r="B26" s="357" t="s">
        <v>999</v>
      </c>
      <c r="D26" s="212"/>
      <c r="E26" s="212"/>
      <c r="F26" s="224" t="s">
        <v>1149</v>
      </c>
      <c r="G26" s="173" t="str">
        <f>$AI$20</f>
        <v>INDTWH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36">
      <c r="B27" s="357" t="s">
        <v>999</v>
      </c>
      <c r="D27" s="212" t="str">
        <f>"IND"&amp;RIGHT(H27,4)&amp;RIGHT(G27,3)&amp;"N"&amp;RIGHT(E27,1)</f>
        <v>INDTDSHELCN2</v>
      </c>
      <c r="E27" s="261" t="str">
        <f>"Industrial heating technology "&amp;$AJ$12&amp;" "&amp;RIGHT(H27,2)&amp;" - Heat driven heat pump utilizing waste heat - new 2"</f>
        <v>Industrial heating technology Transport SH - Heat driven heat pump utilizing waste heat - new 2</v>
      </c>
      <c r="F27" s="224" t="s">
        <v>1149</v>
      </c>
      <c r="G27" s="173" t="s">
        <v>499</v>
      </c>
      <c r="H27" s="174" t="str">
        <f>$AI$15</f>
        <v>ITDSH</v>
      </c>
      <c r="I27" s="174"/>
      <c r="J27" s="224">
        <f t="shared" ref="J27" si="3">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36" ht="15" customHeight="1">
      <c r="B28" s="357" t="s">
        <v>999</v>
      </c>
      <c r="D28" s="212"/>
      <c r="E28" s="261"/>
      <c r="F28" s="224" t="s">
        <v>1149</v>
      </c>
      <c r="G28" s="173" t="str">
        <f>$AI$20</f>
        <v>INDTWH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36">
      <c r="B29" s="357" t="s">
        <v>999</v>
      </c>
      <c r="D29" s="212"/>
      <c r="E29" s="212"/>
      <c r="F29" s="224" t="s">
        <v>1149</v>
      </c>
      <c r="G29" s="173" t="s">
        <v>499</v>
      </c>
      <c r="H29" s="174" t="str">
        <f>$AI$15</f>
        <v>ITDSH</v>
      </c>
      <c r="I29" s="174"/>
      <c r="J29" s="224">
        <f t="shared" ref="J29" si="4">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36" ht="15" customHeight="1">
      <c r="B30" s="357" t="s">
        <v>999</v>
      </c>
      <c r="D30" s="212"/>
      <c r="E30" s="212"/>
      <c r="F30" s="224" t="s">
        <v>1149</v>
      </c>
      <c r="G30" s="173" t="str">
        <f>$AI$20</f>
        <v>INDTWH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36">
      <c r="B31" s="357" t="s">
        <v>999</v>
      </c>
      <c r="D31" s="212"/>
      <c r="E31" s="212"/>
      <c r="F31" s="224" t="s">
        <v>1149</v>
      </c>
      <c r="G31" s="173" t="s">
        <v>499</v>
      </c>
      <c r="H31" s="174" t="str">
        <f>$AI$15</f>
        <v>ITDSH</v>
      </c>
      <c r="I31" s="174"/>
      <c r="J31" s="224">
        <f t="shared" ref="J31" si="5">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36">
      <c r="B32" s="357" t="s">
        <v>999</v>
      </c>
      <c r="D32" s="212"/>
      <c r="E32" s="212"/>
      <c r="F32" s="224" t="s">
        <v>1149</v>
      </c>
      <c r="G32" s="173" t="str">
        <f>$AI$20</f>
        <v>INDTWH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INDTDPHELCN3</v>
      </c>
      <c r="E33" s="261" t="str">
        <f>"Industrial heating technology "&amp;$AJ$12&amp;" "&amp;RIGHT(H33,2)&amp;" - High Temp abs. Heat pump utilizing waste heat - new 3"</f>
        <v>Industrial heating technology Transport PH - High Temp abs. Heat pump utilizing waste heat - new 3</v>
      </c>
      <c r="F33" s="224" t="s">
        <v>1149</v>
      </c>
      <c r="G33" s="173" t="s">
        <v>499</v>
      </c>
      <c r="H33" s="174" t="str">
        <f>$AI$14</f>
        <v>ITDPH</v>
      </c>
      <c r="I33" s="174"/>
      <c r="J33" s="224">
        <f t="shared" ref="J33" si="6">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INDTWH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ITDPH</v>
      </c>
      <c r="I35" s="174"/>
      <c r="J35" s="224">
        <f t="shared" ref="J35" si="7">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INDTWH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ITDPH</v>
      </c>
      <c r="I37" s="174"/>
      <c r="J37" s="224">
        <f t="shared" ref="J37" si="8">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INDTWH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INDTDSHELCN3</v>
      </c>
      <c r="E39" s="261" t="str">
        <f>"Industrial heating technology "&amp;$AJ$12&amp;" "&amp;RIGHT(H39,2)&amp;" - High Temp abs. Heat pump utilizing waste heat - new 3"</f>
        <v>Industrial heating technology Transport SH - High Temp abs. Heat pump utilizing waste heat - new 3</v>
      </c>
      <c r="F39" s="224" t="s">
        <v>1149</v>
      </c>
      <c r="G39" s="173" t="s">
        <v>499</v>
      </c>
      <c r="H39" s="174" t="str">
        <f>$AI$15</f>
        <v>ITDSH</v>
      </c>
      <c r="I39" s="174"/>
      <c r="J39" s="224">
        <f t="shared" ref="J39" si="9">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INDTWH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ITDSH</v>
      </c>
      <c r="I41" s="174"/>
      <c r="J41" s="224">
        <f t="shared" ref="J41" si="10">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INDTWH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ITDSH</v>
      </c>
      <c r="I43" s="174"/>
      <c r="J43" s="224">
        <f t="shared" ref="J43" si="11">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INDTWH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INDTDPHELCN4</v>
      </c>
      <c r="E45" s="261" t="str">
        <f>"Industrial heating technology "&amp;$AJ$12&amp;" "&amp;RIGHT(H45,2)&amp;" - Booster Heat pump utilizing waste heat - new 4"</f>
        <v>Industrial heating technology Transport PH - Booster Heat pump utilizing waste heat - new 4</v>
      </c>
      <c r="F45" s="224" t="s">
        <v>1149</v>
      </c>
      <c r="G45" s="173" t="s">
        <v>499</v>
      </c>
      <c r="H45" s="174" t="str">
        <f>$AI$14</f>
        <v>ITDPH</v>
      </c>
      <c r="I45" s="174"/>
      <c r="J45" s="224">
        <f t="shared" ref="J45" si="12">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INDTWH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ITDPH</v>
      </c>
      <c r="I47" s="174"/>
      <c r="J47" s="224">
        <f t="shared" ref="J47" si="13">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INDTWH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ITDPH</v>
      </c>
      <c r="I49" s="174"/>
      <c r="J49" s="224">
        <f t="shared" ref="J49" si="14">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INDTWH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INDTDSHELCN4</v>
      </c>
      <c r="E51" s="261" t="str">
        <f>"Industrial heating technology "&amp;$AJ$12&amp;" "&amp;RIGHT(H51,2)&amp;" - Booster Heat pump utilizing waste heat - new 4"</f>
        <v>Industrial heating technology Transport SH - Booster Heat pump utilizing waste heat - new 4</v>
      </c>
      <c r="F51" s="224" t="s">
        <v>1149</v>
      </c>
      <c r="G51" s="173" t="s">
        <v>499</v>
      </c>
      <c r="H51" s="174" t="str">
        <f>$AI$15</f>
        <v>ITDSH</v>
      </c>
      <c r="I51" s="174"/>
      <c r="J51" s="224">
        <f t="shared" ref="J51" si="15">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INDTWH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ITDSH</v>
      </c>
      <c r="I53" s="174"/>
      <c r="J53" s="224">
        <f t="shared" ref="J53" si="16">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INDTWH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ITDSH</v>
      </c>
      <c r="I55" s="174"/>
      <c r="J55" s="224">
        <f t="shared" ref="J55" si="17">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INDTWH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INDTDPHELCN5</v>
      </c>
      <c r="E57" s="261" t="str">
        <f>"Industrial heating technology "&amp;$AJ$12&amp;" "&amp;RIGHT(H57,2)&amp;" - MVR utilizing waste heat - new 5"</f>
        <v>Industrial heating technology Transport PH - MVR utilizing waste heat - new 5</v>
      </c>
      <c r="F57" s="224" t="s">
        <v>1149</v>
      </c>
      <c r="G57" s="173" t="s">
        <v>499</v>
      </c>
      <c r="H57" s="174" t="str">
        <f>$AI$14</f>
        <v>ITDPH</v>
      </c>
      <c r="I57" s="174"/>
      <c r="J57" s="224">
        <f t="shared" ref="J57" si="18">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INDTWH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ITDPH</v>
      </c>
      <c r="I59" s="174"/>
      <c r="J59" s="224">
        <f t="shared" ref="J59" si="19">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INDTWH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ITDPH</v>
      </c>
      <c r="I61" s="174"/>
      <c r="J61" s="224">
        <f t="shared" ref="J61" si="20">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INDTWH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INDTDPHWSTN1</v>
      </c>
      <c r="E63" s="261" t="str">
        <f>"Industrial heating technology "&amp;$AJ$12&amp;" "&amp;RIGHT(H63,2)&amp;" - Hotdisc - new 1"</f>
        <v>Industrial heating technology Transport PH - Hotdisc - new 1</v>
      </c>
      <c r="F63" s="224" t="s">
        <v>1149</v>
      </c>
      <c r="G63" s="832" t="s">
        <v>1005</v>
      </c>
      <c r="H63" s="174" t="str">
        <f>$AI$13</f>
        <v>ITDPH</v>
      </c>
      <c r="I63" s="173" t="str">
        <f t="shared" ref="I63:I126" si="21">$AI$20</f>
        <v>INDTWH</v>
      </c>
      <c r="J63" s="224">
        <f>IF(AD63=2020,2011,AD63)</f>
        <v>2011</v>
      </c>
      <c r="K63" s="299">
        <v>2025</v>
      </c>
      <c r="L63" s="699">
        <f t="shared" ref="L63:L80" ca="1" si="22">VLOOKUP($AD63,INDIRECT("'"&amp;$B63&amp;"'!"&amp;"$P$39:$AD$42"),3,FALSE)</f>
        <v>0.9</v>
      </c>
      <c r="M63" s="699"/>
      <c r="N63" s="299">
        <f ca="1">VLOOKUP($AD63,INDIRECT("'"&amp;$B63&amp;"'!"&amp;"$P$39:$AD$42"),5,FALSE)</f>
        <v>20</v>
      </c>
      <c r="O63" s="725">
        <f t="shared" ref="O63:O80" ca="1" si="23">VLOOKUP($AD63,INDIRECT("'"&amp;$B63&amp;"'!"&amp;"$P$39:$AD$42"),6,FALSE)/1000</f>
        <v>3.7250000000000001</v>
      </c>
      <c r="P63" s="725">
        <f t="shared" ref="P63:P80" ca="1" si="24">VLOOKUP($AD63,INDIRECT("'"&amp;$B63&amp;"'!"&amp;"$P$39:$AD$42"),7,FALSE)/1000</f>
        <v>2.98E-3</v>
      </c>
      <c r="Q63" s="299">
        <f t="shared" ref="Q63:Q80" ca="1" si="25">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6">IF(VLOOKUP($AD63,INDIRECT("'"&amp;$B63&amp;"'!"&amp;"$P$39:$AD$42"),11,FALSE)="Cf. the utilized electricity",0,VLOOKUP($AD63,INDIRECT("'"&amp;$B63&amp;"'!"&amp;"$P$39:$AD$42"),11,FALSE))</f>
        <v>8.3000000000000007</v>
      </c>
      <c r="Y63" s="299">
        <f t="shared" ref="Y63:Y80" ca="1" si="27">VLOOKUP($AD63,INDIRECT("'"&amp;$B63&amp;"'!"&amp;"$P$39:$AD$42"),12,FALSE)</f>
        <v>56</v>
      </c>
      <c r="Z63" s="299">
        <f t="shared" ref="Z63:Z80" ca="1" si="28">VLOOKUP($AD63,INDIRECT("'"&amp;$B63&amp;"'!"&amp;"$P$39:$AD$42"),13,FALSE)</f>
        <v>0.1</v>
      </c>
      <c r="AA63" s="299">
        <f t="shared" ref="AA63:AA80" ca="1" si="29">VLOOKUP($AD63,INDIRECT("'"&amp;$B63&amp;"'!"&amp;"$P$39:$AD$42"),14,FALSE)</f>
        <v>1</v>
      </c>
      <c r="AB63" s="299">
        <f t="shared" ref="AB63:AB80" ca="1" si="30">VLOOKUP($AD63,INDIRECT("'"&amp;$B63&amp;"'!"&amp;"$P$39:$AD$42"),15,FALSE)</f>
        <v>0.28999999999999998</v>
      </c>
      <c r="AD63" s="299">
        <v>2020</v>
      </c>
      <c r="AE63" s="299"/>
      <c r="AF63" s="220"/>
    </row>
    <row r="64" spans="2:32">
      <c r="B64" s="357" t="s">
        <v>920</v>
      </c>
      <c r="D64" s="212"/>
      <c r="E64" s="212"/>
      <c r="F64" s="224" t="s">
        <v>1149</v>
      </c>
      <c r="H64" s="174"/>
      <c r="I64" s="173" t="str">
        <f t="shared" si="21"/>
        <v>INDTWH</v>
      </c>
      <c r="J64" s="224">
        <f t="shared" ref="J64:J127" si="31">IF(AD64=2020,2011,AD64)</f>
        <v>2030</v>
      </c>
      <c r="K64" s="81"/>
      <c r="L64" s="199">
        <f t="shared" ca="1" si="22"/>
        <v>0.91</v>
      </c>
      <c r="M64" s="199"/>
      <c r="N64" s="81"/>
      <c r="O64" s="723">
        <f t="shared" ca="1" si="23"/>
        <v>3.4642500000000003</v>
      </c>
      <c r="P64" s="723">
        <f t="shared" ca="1" si="24"/>
        <v>2.98E-3</v>
      </c>
      <c r="Q64" s="81">
        <f t="shared" ca="1" si="25"/>
        <v>2.4729861111111116</v>
      </c>
      <c r="R64" s="300"/>
      <c r="S64" s="300"/>
      <c r="T64" s="300"/>
      <c r="U64" s="300"/>
      <c r="V64" s="199">
        <f ca="1">IF(IF(RIGHT(H63,2)="PH",(1-L64)+$W$2,IF(RIGHT(H63,2)="HT",(1-L64)+$W$1,IF(RIGHT(H63,2)="SH",(1-L64)+$W$3,"")))&gt;0,IF(RIGHT(H63,2)="PH",(1-L64)+$W$2,IF(RIGHT(H63,2)="HT",(1-L64)+$W$1,IF(RIGHT(H63,2)="SH",(1-L64)+$W$3,""))),0)</f>
        <v>0.28999999999999998</v>
      </c>
      <c r="W64" s="298"/>
      <c r="X64" s="698">
        <f t="shared" ca="1" si="26"/>
        <v>8.3000000000000007</v>
      </c>
      <c r="Y64" s="81">
        <f t="shared" ca="1" si="27"/>
        <v>45</v>
      </c>
      <c r="Z64" s="81">
        <f t="shared" ca="1" si="28"/>
        <v>0.1</v>
      </c>
      <c r="AA64" s="81">
        <f t="shared" ca="1" si="29"/>
        <v>1</v>
      </c>
      <c r="AB64" s="81">
        <f t="shared" ca="1" si="30"/>
        <v>0.28999999999999998</v>
      </c>
      <c r="AD64" s="81">
        <v>2030</v>
      </c>
      <c r="AE64" s="81"/>
      <c r="AF64" s="220"/>
    </row>
    <row r="65" spans="2:32">
      <c r="B65" s="357" t="s">
        <v>920</v>
      </c>
      <c r="D65" s="212"/>
      <c r="E65" s="212"/>
      <c r="F65" s="224" t="s">
        <v>1149</v>
      </c>
      <c r="H65" s="174"/>
      <c r="I65" s="173" t="str">
        <f t="shared" si="21"/>
        <v>INDTWH</v>
      </c>
      <c r="J65" s="224">
        <f t="shared" si="31"/>
        <v>2050</v>
      </c>
      <c r="K65" s="81"/>
      <c r="L65" s="199">
        <f t="shared" ca="1" si="22"/>
        <v>0.93</v>
      </c>
      <c r="M65" s="199"/>
      <c r="N65" s="81"/>
      <c r="O65" s="723">
        <f t="shared" ca="1" si="23"/>
        <v>3.3525</v>
      </c>
      <c r="P65" s="723">
        <f t="shared" ca="1" si="24"/>
        <v>2.98E-3</v>
      </c>
      <c r="Q65" s="81">
        <f t="shared" ca="1" si="25"/>
        <v>2.4936805555555561</v>
      </c>
      <c r="R65" s="300"/>
      <c r="S65" s="300"/>
      <c r="T65" s="300"/>
      <c r="U65" s="300"/>
      <c r="V65" s="199">
        <f ca="1">IF(IF(RIGHT(H63,2)="PH",(1-L65)+$W$2,IF(RIGHT(H63,2)="HT",(1-L65)+$W$1,IF(RIGHT(H63,2)="SH",(1-L65)+$W$3,"")))&gt;0,IF(RIGHT(H63,2)="PH",(1-L65)+$W$2,IF(RIGHT(H63,2)="HT",(1-L65)+$W$1,IF(RIGHT(H63,2)="SH",(1-L65)+$W$3,""))),0)</f>
        <v>0.26999999999999996</v>
      </c>
      <c r="W65" s="298"/>
      <c r="X65" s="698">
        <f t="shared" ca="1" si="26"/>
        <v>8.3000000000000007</v>
      </c>
      <c r="Y65" s="81">
        <f t="shared" ca="1" si="27"/>
        <v>11</v>
      </c>
      <c r="Z65" s="81">
        <f t="shared" ca="1" si="28"/>
        <v>0.1</v>
      </c>
      <c r="AA65" s="81">
        <f t="shared" ca="1" si="29"/>
        <v>1</v>
      </c>
      <c r="AB65" s="81">
        <f t="shared" ca="1" si="30"/>
        <v>0.28999999999999998</v>
      </c>
      <c r="AD65" s="81">
        <v>2050</v>
      </c>
      <c r="AE65" s="81"/>
      <c r="AF65" s="220"/>
    </row>
    <row r="66" spans="2:32">
      <c r="B66" s="357" t="s">
        <v>922</v>
      </c>
      <c r="D66" s="212" t="str">
        <f>"IND"&amp;RIGHT(H66,4)&amp;RIGHT(G66,3)&amp;"N"&amp;RIGHT(E66,1)</f>
        <v>INDTDPHELCN6</v>
      </c>
      <c r="E66" s="261" t="str">
        <f>"Industrial heating technology "&amp;$AJ$12&amp;" "&amp;RIGHT(H66,2)&amp;" - Dielectric heating - new 6"</f>
        <v>Industrial heating technology Transport PH - Dielectric heating - new 6</v>
      </c>
      <c r="F66" s="224" t="s">
        <v>1149</v>
      </c>
      <c r="G66" s="173" t="s">
        <v>499</v>
      </c>
      <c r="H66" s="174" t="str">
        <f>$AI$14</f>
        <v>ITDPH</v>
      </c>
      <c r="I66" s="173" t="str">
        <f t="shared" si="21"/>
        <v>INDTWH</v>
      </c>
      <c r="J66" s="224">
        <f t="shared" si="31"/>
        <v>2011</v>
      </c>
      <c r="K66" s="299">
        <v>2020</v>
      </c>
      <c r="L66" s="199">
        <f t="shared" ca="1" si="22"/>
        <v>0.95</v>
      </c>
      <c r="M66" s="199"/>
      <c r="N66" s="81">
        <f ca="1">VLOOKUP($AD66,INDIRECT("'"&amp;$B66&amp;"'!"&amp;"$P$39:$AD$42"),5,FALSE)</f>
        <v>30</v>
      </c>
      <c r="O66" s="723">
        <f t="shared" ca="1" si="23"/>
        <v>20.115000000000002</v>
      </c>
      <c r="P66" s="723">
        <f t="shared" ca="1" si="24"/>
        <v>0</v>
      </c>
      <c r="Q66" s="81">
        <f t="shared" ca="1" si="25"/>
        <v>94.828152777777774</v>
      </c>
      <c r="R66" s="81">
        <v>3.1536000000000002E-2</v>
      </c>
      <c r="S66" s="199">
        <v>0.5</v>
      </c>
      <c r="T66" s="199">
        <f ca="1">HLOOKUP($S$2,INDIRECT("'"&amp;$B66&amp;"'!"&amp;"$P$6:$AC$19"),IF(H66=$AI$13,6,IF(H66=$AI$14,9,14)),FALSE)</f>
        <v>0</v>
      </c>
      <c r="U66" s="772"/>
      <c r="V66" s="199">
        <f t="shared" ref="V66" ca="1" si="32">IF(IF(RIGHT(H66,2)="PH",(1-L66)+$W$2,IF(RIGHT(H66,2)="HT",(1-L66)+$W$1,IF(RIGHT(H66,2)="SH",(1-L66)+$W$3,"")))&gt;0,IF(RIGHT(H66,2)="PH",(1-L66)+$W$2,IF(RIGHT(H66,2)="HT",(1-L66)+$W$1,IF(RIGHT(H66,2)="SH",(1-L66)+$W$3,""))),0)</f>
        <v>0.25000000000000006</v>
      </c>
      <c r="W66" s="298"/>
      <c r="X66" s="698">
        <f t="shared" ca="1" si="26"/>
        <v>0</v>
      </c>
      <c r="Y66" s="81">
        <f t="shared" ca="1" si="27"/>
        <v>0</v>
      </c>
      <c r="Z66" s="81">
        <f t="shared" ca="1" si="28"/>
        <v>0</v>
      </c>
      <c r="AA66" s="81">
        <f t="shared" ca="1" si="29"/>
        <v>0</v>
      </c>
      <c r="AB66" s="81">
        <f t="shared" ca="1" si="30"/>
        <v>0</v>
      </c>
      <c r="AD66" s="81">
        <v>2020</v>
      </c>
      <c r="AE66" s="81"/>
      <c r="AF66" s="220"/>
    </row>
    <row r="67" spans="2:32">
      <c r="B67" s="357" t="s">
        <v>922</v>
      </c>
      <c r="D67" s="212"/>
      <c r="E67" s="212"/>
      <c r="F67" s="224" t="s">
        <v>1149</v>
      </c>
      <c r="H67" s="174"/>
      <c r="I67" s="173" t="str">
        <f t="shared" si="21"/>
        <v>INDTWH</v>
      </c>
      <c r="J67" s="224">
        <f t="shared" si="31"/>
        <v>2030</v>
      </c>
      <c r="K67" s="81"/>
      <c r="L67" s="199">
        <f t="shared" ca="1" si="22"/>
        <v>0.95</v>
      </c>
      <c r="M67" s="199"/>
      <c r="N67" s="81"/>
      <c r="O67" s="723">
        <f t="shared" ca="1" si="23"/>
        <v>19.511550000000003</v>
      </c>
      <c r="P67" s="723">
        <f t="shared" ca="1" si="24"/>
        <v>0</v>
      </c>
      <c r="Q67" s="81">
        <f t="shared" ca="1" si="25"/>
        <v>94.832291666666663</v>
      </c>
      <c r="R67" s="300"/>
      <c r="S67" s="300"/>
      <c r="T67" s="300"/>
      <c r="U67" s="300"/>
      <c r="V67" s="199">
        <f t="shared" ref="V67" ca="1" si="33">IF(IF(RIGHT(H66,2)="PH",(1-L67)+$W$2,IF(RIGHT(H66,2)="HT",(1-L67)+$W$1,IF(RIGHT(H66,2)="SH",(1-L67)+$W$3,"")))&gt;0,IF(RIGHT(H66,2)="PH",(1-L67)+$W$2,IF(RIGHT(H66,2)="HT",(1-L67)+$W$1,IF(RIGHT(H66,2)="SH",(1-L67)+$W$3,""))),0)</f>
        <v>0.25000000000000006</v>
      </c>
      <c r="W67" s="298"/>
      <c r="X67" s="698">
        <f t="shared" ca="1" si="26"/>
        <v>0</v>
      </c>
      <c r="Y67" s="81">
        <f t="shared" ca="1" si="27"/>
        <v>0</v>
      </c>
      <c r="Z67" s="81">
        <f t="shared" ca="1" si="28"/>
        <v>0</v>
      </c>
      <c r="AA67" s="81">
        <f t="shared" ca="1" si="29"/>
        <v>0</v>
      </c>
      <c r="AB67" s="81">
        <f t="shared" ca="1" si="30"/>
        <v>0</v>
      </c>
      <c r="AD67" s="81">
        <v>2030</v>
      </c>
      <c r="AE67" s="81"/>
      <c r="AF67" s="220"/>
    </row>
    <row r="68" spans="2:32">
      <c r="B68" s="357" t="s">
        <v>922</v>
      </c>
      <c r="D68" s="212"/>
      <c r="E68" s="212"/>
      <c r="F68" s="224" t="s">
        <v>1149</v>
      </c>
      <c r="H68" s="174"/>
      <c r="I68" s="173" t="str">
        <f t="shared" si="21"/>
        <v>INDTWH</v>
      </c>
      <c r="J68" s="224">
        <f t="shared" si="31"/>
        <v>2050</v>
      </c>
      <c r="K68" s="81"/>
      <c r="L68" s="199">
        <f t="shared" ca="1" si="22"/>
        <v>0.95</v>
      </c>
      <c r="M68" s="199"/>
      <c r="N68" s="81"/>
      <c r="O68" s="723">
        <f t="shared" ca="1" si="23"/>
        <v>18.1035</v>
      </c>
      <c r="P68" s="723">
        <f t="shared" ca="1" si="24"/>
        <v>0</v>
      </c>
      <c r="Q68" s="81">
        <f t="shared" ca="1" si="25"/>
        <v>94.834361111111107</v>
      </c>
      <c r="R68" s="300"/>
      <c r="S68" s="300"/>
      <c r="T68" s="300"/>
      <c r="U68" s="300"/>
      <c r="V68" s="199">
        <f t="shared" ref="V68" ca="1" si="34">IF(IF(RIGHT(H66,2)="PH",(1-L68)+$W$2,IF(RIGHT(H66,2)="HT",(1-L68)+$W$1,IF(RIGHT(H66,2)="SH",(1-L68)+$W$3,"")))&gt;0,IF(RIGHT(H66,2)="PH",(1-L68)+$W$2,IF(RIGHT(H66,2)="HT",(1-L68)+$W$1,IF(RIGHT(H66,2)="SH",(1-L68)+$W$3,""))),0)</f>
        <v>0.25000000000000006</v>
      </c>
      <c r="W68" s="298"/>
      <c r="X68" s="698">
        <f t="shared" ca="1" si="26"/>
        <v>0</v>
      </c>
      <c r="Y68" s="81">
        <f t="shared" ca="1" si="27"/>
        <v>0</v>
      </c>
      <c r="Z68" s="81">
        <f t="shared" ca="1" si="28"/>
        <v>0</v>
      </c>
      <c r="AA68" s="81">
        <f t="shared" ca="1" si="29"/>
        <v>0</v>
      </c>
      <c r="AB68" s="81">
        <f t="shared" ca="1" si="30"/>
        <v>0</v>
      </c>
      <c r="AD68" s="81">
        <v>2050</v>
      </c>
      <c r="AE68" s="81"/>
      <c r="AF68" s="220"/>
    </row>
    <row r="69" spans="2:32">
      <c r="B69" s="357" t="s">
        <v>1006</v>
      </c>
      <c r="D69" s="212" t="str">
        <f>"IND"&amp;RIGHT(H69,4)&amp;RIGHT(G69,3)&amp;"N"&amp;RIGHT(E69,1)</f>
        <v>INDTDPHELCN7</v>
      </c>
      <c r="E69" s="261" t="str">
        <f>"Industrial heating technology "&amp;$AJ$12&amp;" "&amp;RIGHT(H69,2)&amp;" - Infrared heating - new 7"</f>
        <v>Industrial heating technology Transport PH - Infrared heating - new 7</v>
      </c>
      <c r="F69" s="224" t="s">
        <v>1149</v>
      </c>
      <c r="G69" s="173" t="s">
        <v>499</v>
      </c>
      <c r="H69" s="174" t="str">
        <f>$AI$14</f>
        <v>ITDPH</v>
      </c>
      <c r="I69" s="173" t="str">
        <f t="shared" si="21"/>
        <v>INDTWH</v>
      </c>
      <c r="J69" s="224">
        <f t="shared" si="31"/>
        <v>2011</v>
      </c>
      <c r="K69" s="299">
        <v>2020</v>
      </c>
      <c r="L69" s="199">
        <f t="shared" ca="1" si="22"/>
        <v>0.96</v>
      </c>
      <c r="M69" s="199"/>
      <c r="N69" s="81">
        <f ca="1">VLOOKUP($AD69,INDIRECT("'"&amp;$B69&amp;"'!"&amp;"$P$39:$AD$42"),5,FALSE)</f>
        <v>30</v>
      </c>
      <c r="O69" s="723">
        <f t="shared" ca="1" si="23"/>
        <v>2.6074999999999999</v>
      </c>
      <c r="P69" s="723">
        <f t="shared" ca="1" si="24"/>
        <v>0</v>
      </c>
      <c r="Q69" s="81">
        <f t="shared" ca="1" si="25"/>
        <v>242.27606944444443</v>
      </c>
      <c r="R69" s="81">
        <v>3.1536000000000002E-2</v>
      </c>
      <c r="S69" s="199">
        <v>0.5</v>
      </c>
      <c r="T69" s="199">
        <f ca="1">HLOOKUP($S$2,INDIRECT("'"&amp;$B69&amp;"'!"&amp;"$P$6:$AC$19"),IF(H69=$AI$13,6,IF(H69=$AI$14,9,14)),FALSE)</f>
        <v>0</v>
      </c>
      <c r="U69" s="772"/>
      <c r="V69" s="199">
        <f t="shared" ref="V69" ca="1" si="35">IF(IF(RIGHT(H69,2)="PH",(1-L69)+$W$2,IF(RIGHT(H69,2)="HT",(1-L69)+$W$1,IF(RIGHT(H69,2)="SH",(1-L69)+$W$3,"")))&gt;0,IF(RIGHT(H69,2)="PH",(1-L69)+$W$2,IF(RIGHT(H69,2)="HT",(1-L69)+$W$1,IF(RIGHT(H69,2)="SH",(1-L69)+$W$3,""))),0)</f>
        <v>0.24000000000000005</v>
      </c>
      <c r="W69" s="298"/>
      <c r="X69" s="698">
        <f t="shared" ca="1" si="26"/>
        <v>0</v>
      </c>
      <c r="Y69" s="81">
        <f t="shared" ca="1" si="27"/>
        <v>0</v>
      </c>
      <c r="Z69" s="81">
        <f t="shared" ca="1" si="28"/>
        <v>0</v>
      </c>
      <c r="AA69" s="81">
        <f t="shared" ca="1" si="29"/>
        <v>0</v>
      </c>
      <c r="AB69" s="81">
        <f t="shared" ca="1" si="30"/>
        <v>0</v>
      </c>
      <c r="AD69" s="81">
        <v>2020</v>
      </c>
      <c r="AE69" s="81"/>
      <c r="AF69" s="220"/>
    </row>
    <row r="70" spans="2:32">
      <c r="B70" s="357" t="s">
        <v>1006</v>
      </c>
      <c r="D70" s="212"/>
      <c r="E70" s="212"/>
      <c r="F70" s="224" t="s">
        <v>1149</v>
      </c>
      <c r="H70" s="174"/>
      <c r="I70" s="173" t="str">
        <f t="shared" si="21"/>
        <v>INDTWH</v>
      </c>
      <c r="J70" s="224">
        <f t="shared" si="31"/>
        <v>2030</v>
      </c>
      <c r="K70" s="81"/>
      <c r="L70" s="199">
        <f t="shared" ca="1" si="22"/>
        <v>0.96</v>
      </c>
      <c r="M70" s="199"/>
      <c r="N70" s="81"/>
      <c r="O70" s="723">
        <f t="shared" ca="1" si="23"/>
        <v>2.5330000000000004</v>
      </c>
      <c r="P70" s="723">
        <f t="shared" ca="1" si="24"/>
        <v>0</v>
      </c>
      <c r="Q70" s="81">
        <f t="shared" ca="1" si="25"/>
        <v>242.28020833333332</v>
      </c>
      <c r="R70" s="300"/>
      <c r="S70" s="300"/>
      <c r="T70" s="300"/>
      <c r="U70" s="300"/>
      <c r="V70" s="199">
        <f t="shared" ref="V70" ca="1" si="36">IF(IF(RIGHT(H69,2)="PH",(1-L70)+$W$2,IF(RIGHT(H69,2)="HT",(1-L70)+$W$1,IF(RIGHT(H69,2)="SH",(1-L70)+$W$3,"")))&gt;0,IF(RIGHT(H69,2)="PH",(1-L70)+$W$2,IF(RIGHT(H69,2)="HT",(1-L70)+$W$1,IF(RIGHT(H69,2)="SH",(1-L70)+$W$3,""))),0)</f>
        <v>0.24000000000000005</v>
      </c>
      <c r="W70" s="298"/>
      <c r="X70" s="698">
        <f t="shared" ca="1" si="26"/>
        <v>0</v>
      </c>
      <c r="Y70" s="81">
        <f t="shared" ca="1" si="27"/>
        <v>0</v>
      </c>
      <c r="Z70" s="81">
        <f t="shared" ca="1" si="28"/>
        <v>0</v>
      </c>
      <c r="AA70" s="81">
        <f t="shared" ca="1" si="29"/>
        <v>0</v>
      </c>
      <c r="AB70" s="81">
        <f t="shared" ca="1" si="30"/>
        <v>0</v>
      </c>
      <c r="AD70" s="81">
        <v>2030</v>
      </c>
      <c r="AE70" s="81"/>
      <c r="AF70" s="220"/>
    </row>
    <row r="71" spans="2:32">
      <c r="B71" s="357" t="s">
        <v>1006</v>
      </c>
      <c r="D71" s="212"/>
      <c r="E71" s="212"/>
      <c r="F71" s="224" t="s">
        <v>1149</v>
      </c>
      <c r="H71" s="174"/>
      <c r="I71" s="174" t="str">
        <f t="shared" si="21"/>
        <v>INDTWH</v>
      </c>
      <c r="J71" s="224">
        <f t="shared" si="31"/>
        <v>2050</v>
      </c>
      <c r="K71" s="81"/>
      <c r="L71" s="199">
        <f t="shared" ca="1" si="22"/>
        <v>0.96</v>
      </c>
      <c r="M71" s="199"/>
      <c r="N71" s="81"/>
      <c r="O71" s="723">
        <f t="shared" ca="1" si="23"/>
        <v>2.3467500000000001</v>
      </c>
      <c r="P71" s="723">
        <f t="shared" ca="1" si="24"/>
        <v>0</v>
      </c>
      <c r="Q71" s="81">
        <f t="shared" ca="1" si="25"/>
        <v>242.28227777777775</v>
      </c>
      <c r="R71" s="300"/>
      <c r="S71" s="300"/>
      <c r="T71" s="300"/>
      <c r="U71" s="300"/>
      <c r="V71" s="199">
        <f t="shared" ref="V71" ca="1" si="37">IF(IF(RIGHT(H69,2)="PH",(1-L71)+$W$2,IF(RIGHT(H69,2)="HT",(1-L71)+$W$1,IF(RIGHT(H69,2)="SH",(1-L71)+$W$3,"")))&gt;0,IF(RIGHT(H69,2)="PH",(1-L71)+$W$2,IF(RIGHT(H69,2)="HT",(1-L71)+$W$1,IF(RIGHT(H69,2)="SH",(1-L71)+$W$3,""))),0)</f>
        <v>0.24000000000000005</v>
      </c>
      <c r="W71" s="298"/>
      <c r="X71" s="698">
        <f t="shared" ca="1" si="26"/>
        <v>0</v>
      </c>
      <c r="Y71" s="81">
        <f t="shared" ca="1" si="27"/>
        <v>0</v>
      </c>
      <c r="Z71" s="81">
        <f t="shared" ca="1" si="28"/>
        <v>0</v>
      </c>
      <c r="AA71" s="81">
        <f t="shared" ca="1" si="29"/>
        <v>0</v>
      </c>
      <c r="AB71" s="81">
        <f t="shared" ca="1" si="30"/>
        <v>0</v>
      </c>
      <c r="AD71" s="81">
        <v>2050</v>
      </c>
      <c r="AE71" s="81"/>
      <c r="AF71" s="220"/>
    </row>
    <row r="72" spans="2:32">
      <c r="B72" s="357" t="s">
        <v>1007</v>
      </c>
      <c r="D72" s="212" t="str">
        <f>"IND"&amp;RIGHT(H72,4)&amp;RIGHT(G72,3)&amp;"N"&amp;RIGHT(E72,1)</f>
        <v>INDTDPHELCN8</v>
      </c>
      <c r="E72" s="261" t="str">
        <f>"Industrial heating technology "&amp;$AJ$12&amp;" "&amp;RIGHT(H72,2)&amp;" - Electric boiler (Steam) - new 8"</f>
        <v>Industrial heating technology Transport PH - Electric boiler (Steam) - new 8</v>
      </c>
      <c r="F72" s="224" t="s">
        <v>1149</v>
      </c>
      <c r="G72" s="173" t="s">
        <v>499</v>
      </c>
      <c r="H72" s="174" t="str">
        <f>$AI$13</f>
        <v>ITDPH</v>
      </c>
      <c r="I72" s="174" t="str">
        <f t="shared" si="21"/>
        <v>INDTWH</v>
      </c>
      <c r="J72" s="224">
        <f t="shared" si="31"/>
        <v>2011</v>
      </c>
      <c r="K72" s="299">
        <v>2020</v>
      </c>
      <c r="L72" s="199">
        <f t="shared" ca="1" si="22"/>
        <v>0.99</v>
      </c>
      <c r="M72" s="199"/>
      <c r="N72" s="81">
        <f ca="1">VLOOKUP($AD72,INDIRECT("'"&amp;$B72&amp;"'!"&amp;"$P$39:$AD$42"),5,FALSE)</f>
        <v>25</v>
      </c>
      <c r="O72" s="723">
        <f t="shared" ca="1" si="23"/>
        <v>0.59599999999999997</v>
      </c>
      <c r="P72" s="723">
        <f t="shared" ca="1" si="24"/>
        <v>7.9714999999999994E-3</v>
      </c>
      <c r="Q72" s="81">
        <f t="shared" ca="1" si="25"/>
        <v>1.7900694444444445</v>
      </c>
      <c r="R72" s="81">
        <v>3.1536000000000002E-2</v>
      </c>
      <c r="S72" s="199">
        <v>0.5</v>
      </c>
      <c r="T72" s="199">
        <f ca="1">HLOOKUP($T$2,INDIRECT("'"&amp;$B72&amp;"'!"&amp;"$P$6:$AC$19"),IF(H72=$AI$13,6,IF(H72=$AI$14,9,14)),FALSE)</f>
        <v>1</v>
      </c>
      <c r="U72" s="772"/>
      <c r="V72" s="199">
        <f t="shared" ref="V72" ca="1" si="38">IF(IF(RIGHT(H72,2)="PH",(1-L72)+$W$2,IF(RIGHT(H72,2)="HT",(1-L72)+$W$1,IF(RIGHT(H72,2)="SH",(1-L72)+$W$3,"")))&gt;0,IF(RIGHT(H72,2)="PH",(1-L72)+$W$2,IF(RIGHT(H72,2)="HT",(1-L72)+$W$1,IF(RIGHT(H72,2)="SH",(1-L72)+$W$3,""))),0)</f>
        <v>0.21000000000000002</v>
      </c>
      <c r="W72" s="298"/>
      <c r="X72" s="698">
        <f t="shared" ca="1" si="26"/>
        <v>0</v>
      </c>
      <c r="Y72" s="81">
        <f t="shared" ca="1" si="27"/>
        <v>0</v>
      </c>
      <c r="Z72" s="81">
        <f t="shared" ca="1" si="28"/>
        <v>0</v>
      </c>
      <c r="AA72" s="81">
        <f t="shared" ca="1" si="29"/>
        <v>0</v>
      </c>
      <c r="AB72" s="81">
        <f t="shared" ca="1" si="30"/>
        <v>0</v>
      </c>
      <c r="AD72" s="81">
        <v>2020</v>
      </c>
      <c r="AE72" s="81"/>
      <c r="AF72" s="220"/>
    </row>
    <row r="73" spans="2:32">
      <c r="B73" s="357" t="s">
        <v>1007</v>
      </c>
      <c r="D73" s="212"/>
      <c r="E73" s="212"/>
      <c r="F73" s="224" t="s">
        <v>1149</v>
      </c>
      <c r="H73" s="174"/>
      <c r="I73" s="174" t="str">
        <f t="shared" si="21"/>
        <v>INDTWH</v>
      </c>
      <c r="J73" s="224">
        <f t="shared" si="31"/>
        <v>2030</v>
      </c>
      <c r="K73" s="81"/>
      <c r="L73" s="199">
        <f t="shared" ca="1" si="22"/>
        <v>0.99</v>
      </c>
      <c r="M73" s="199"/>
      <c r="N73" s="81"/>
      <c r="O73" s="723">
        <f t="shared" ca="1" si="23"/>
        <v>0.52150000000000007</v>
      </c>
      <c r="P73" s="723">
        <f t="shared" ca="1" si="24"/>
        <v>7.5989999999999999E-3</v>
      </c>
      <c r="Q73" s="81">
        <f t="shared" ca="1" si="25"/>
        <v>1.8107638888888888</v>
      </c>
      <c r="R73" s="300"/>
      <c r="S73" s="300"/>
      <c r="T73" s="300"/>
      <c r="U73" s="300"/>
      <c r="V73" s="199">
        <f t="shared" ref="V73" ca="1" si="39">IF(IF(RIGHT(H72,2)="PH",(1-L73)+$W$2,IF(RIGHT(H72,2)="HT",(1-L73)+$W$1,IF(RIGHT(H72,2)="SH",(1-L73)+$W$3,"")))&gt;0,IF(RIGHT(H72,2)="PH",(1-L73)+$W$2,IF(RIGHT(H72,2)="HT",(1-L73)+$W$1,IF(RIGHT(H72,2)="SH",(1-L73)+$W$3,""))),0)</f>
        <v>0.21000000000000002</v>
      </c>
      <c r="W73" s="298"/>
      <c r="X73" s="698">
        <f t="shared" ca="1" si="26"/>
        <v>0</v>
      </c>
      <c r="Y73" s="81">
        <f t="shared" ca="1" si="27"/>
        <v>0</v>
      </c>
      <c r="Z73" s="81">
        <f t="shared" ca="1" si="28"/>
        <v>0</v>
      </c>
      <c r="AA73" s="81">
        <f t="shared" ca="1" si="29"/>
        <v>0</v>
      </c>
      <c r="AB73" s="81">
        <f t="shared" ca="1" si="30"/>
        <v>0</v>
      </c>
      <c r="AD73" s="81">
        <v>2030</v>
      </c>
      <c r="AE73" s="81"/>
      <c r="AF73" s="220"/>
    </row>
    <row r="74" spans="2:32">
      <c r="B74" s="357" t="s">
        <v>1007</v>
      </c>
      <c r="D74" s="212"/>
      <c r="E74" s="212"/>
      <c r="F74" s="224" t="s">
        <v>1149</v>
      </c>
      <c r="H74" s="174"/>
      <c r="I74" s="174" t="str">
        <f t="shared" si="21"/>
        <v>INDTWH</v>
      </c>
      <c r="J74" s="224">
        <f t="shared" si="31"/>
        <v>2050</v>
      </c>
      <c r="K74" s="81"/>
      <c r="L74" s="199">
        <f t="shared" ca="1" si="22"/>
        <v>0.99</v>
      </c>
      <c r="M74" s="199"/>
      <c r="N74" s="81"/>
      <c r="O74" s="723">
        <f t="shared" ca="1" si="23"/>
        <v>0.52150000000000007</v>
      </c>
      <c r="P74" s="723">
        <f t="shared" ca="1" si="24"/>
        <v>6.8539999999999998E-3</v>
      </c>
      <c r="Q74" s="81">
        <f t="shared" ca="1" si="25"/>
        <v>1.6141666666666665</v>
      </c>
      <c r="R74" s="300"/>
      <c r="S74" s="300"/>
      <c r="T74" s="300"/>
      <c r="U74" s="300"/>
      <c r="V74" s="199">
        <f t="shared" ref="V74" ca="1" si="40">IF(IF(RIGHT(H72,2)="PH",(1-L74)+$W$2,IF(RIGHT(H72,2)="HT",(1-L74)+$W$1,IF(RIGHT(H72,2)="SH",(1-L74)+$W$3,"")))&gt;0,IF(RIGHT(H72,2)="PH",(1-L74)+$W$2,IF(RIGHT(H72,2)="HT",(1-L74)+$W$1,IF(RIGHT(H72,2)="SH",(1-L74)+$W$3,""))),0)</f>
        <v>0.21000000000000002</v>
      </c>
      <c r="W74" s="298"/>
      <c r="X74" s="698">
        <f t="shared" ca="1" si="26"/>
        <v>0</v>
      </c>
      <c r="Y74" s="81">
        <f t="shared" ca="1" si="27"/>
        <v>0</v>
      </c>
      <c r="Z74" s="81">
        <f t="shared" ca="1" si="28"/>
        <v>0</v>
      </c>
      <c r="AA74" s="81">
        <f t="shared" ca="1" si="29"/>
        <v>0</v>
      </c>
      <c r="AB74" s="81">
        <f t="shared" ca="1" si="30"/>
        <v>0</v>
      </c>
      <c r="AD74" s="81">
        <v>2050</v>
      </c>
      <c r="AE74" s="81"/>
      <c r="AF74" s="220"/>
    </row>
    <row r="75" spans="2:32">
      <c r="B75" s="357" t="s">
        <v>1007</v>
      </c>
      <c r="D75" s="212" t="str">
        <f>"IND"&amp;RIGHT(H75,4)&amp;RIGHT(G75,3)&amp;"N"&amp;RIGHT(E75,1)</f>
        <v>INDTDPHELCN8</v>
      </c>
      <c r="E75" s="261" t="str">
        <f>"Industrial heating technology "&amp;$AJ$12&amp;" "&amp;RIGHT(H75,2)&amp;" - Electric boiler (Steam) - new 8"</f>
        <v>Industrial heating technology Transport PH - Electric boiler (Steam) - new 8</v>
      </c>
      <c r="F75" s="224" t="s">
        <v>1149</v>
      </c>
      <c r="G75" s="173" t="s">
        <v>499</v>
      </c>
      <c r="H75" s="174" t="str">
        <f>$AI$14</f>
        <v>ITDPH</v>
      </c>
      <c r="I75" s="174" t="str">
        <f t="shared" si="21"/>
        <v>INDTWH</v>
      </c>
      <c r="J75" s="224">
        <f t="shared" si="31"/>
        <v>2011</v>
      </c>
      <c r="K75" s="299">
        <v>2020</v>
      </c>
      <c r="L75" s="199">
        <f t="shared" ca="1" si="22"/>
        <v>0.99</v>
      </c>
      <c r="M75" s="199"/>
      <c r="N75" s="81">
        <f ca="1">VLOOKUP($AD75,INDIRECT("'"&amp;$B75&amp;"'!"&amp;"$P$39:$AD$42"),5,FALSE)</f>
        <v>25</v>
      </c>
      <c r="O75" s="723">
        <f t="shared" ca="1" si="23"/>
        <v>0.59599999999999997</v>
      </c>
      <c r="P75" s="723">
        <f t="shared" ca="1" si="24"/>
        <v>7.9714999999999994E-3</v>
      </c>
      <c r="Q75" s="81">
        <f t="shared" ca="1" si="25"/>
        <v>1.7900694444444445</v>
      </c>
      <c r="R75" s="81">
        <v>3.1536000000000002E-2</v>
      </c>
      <c r="S75" s="199">
        <v>0.5</v>
      </c>
      <c r="T75" s="199">
        <f ca="1">HLOOKUP($T$2,INDIRECT("'"&amp;$B75&amp;"'!"&amp;"$P$6:$AC$19"),IF(H75=$AI$13,6,IF(H75=$AI$14,9,14)),FALSE)</f>
        <v>1</v>
      </c>
      <c r="U75" s="772"/>
      <c r="V75" s="199">
        <f t="shared" ref="V75" ca="1" si="41">IF(IF(RIGHT(H75,2)="PH",(1-L75)+$W$2,IF(RIGHT(H75,2)="HT",(1-L75)+$W$1,IF(RIGHT(H75,2)="SH",(1-L75)+$W$3,"")))&gt;0,IF(RIGHT(H75,2)="PH",(1-L75)+$W$2,IF(RIGHT(H75,2)="HT",(1-L75)+$W$1,IF(RIGHT(H75,2)="SH",(1-L75)+$W$3,""))),0)</f>
        <v>0.21000000000000002</v>
      </c>
      <c r="W75" s="298"/>
      <c r="X75" s="698">
        <f t="shared" ca="1" si="26"/>
        <v>0</v>
      </c>
      <c r="Y75" s="81">
        <f t="shared" ca="1" si="27"/>
        <v>0</v>
      </c>
      <c r="Z75" s="81">
        <f t="shared" ca="1" si="28"/>
        <v>0</v>
      </c>
      <c r="AA75" s="81">
        <f t="shared" ca="1" si="29"/>
        <v>0</v>
      </c>
      <c r="AB75" s="81">
        <f t="shared" ca="1" si="30"/>
        <v>0</v>
      </c>
      <c r="AD75" s="81">
        <v>2020</v>
      </c>
      <c r="AE75" s="81"/>
      <c r="AF75" s="220"/>
    </row>
    <row r="76" spans="2:32">
      <c r="B76" s="357" t="s">
        <v>1007</v>
      </c>
      <c r="D76" s="212"/>
      <c r="E76" s="212"/>
      <c r="F76" s="224" t="s">
        <v>1149</v>
      </c>
      <c r="H76" s="174"/>
      <c r="I76" s="174" t="str">
        <f t="shared" si="21"/>
        <v>INDTWH</v>
      </c>
      <c r="J76" s="224">
        <f t="shared" si="31"/>
        <v>2030</v>
      </c>
      <c r="K76" s="81"/>
      <c r="L76" s="199">
        <f t="shared" ca="1" si="22"/>
        <v>0.99</v>
      </c>
      <c r="M76" s="199"/>
      <c r="N76" s="81"/>
      <c r="O76" s="723">
        <f t="shared" ca="1" si="23"/>
        <v>0.52150000000000007</v>
      </c>
      <c r="P76" s="723">
        <f t="shared" ca="1" si="24"/>
        <v>7.5989999999999999E-3</v>
      </c>
      <c r="Q76" s="81">
        <f t="shared" ca="1" si="25"/>
        <v>1.8107638888888888</v>
      </c>
      <c r="R76" s="300"/>
      <c r="S76" s="300"/>
      <c r="T76" s="300"/>
      <c r="U76" s="300"/>
      <c r="V76" s="199">
        <f t="shared" ref="V76" ca="1" si="42">IF(IF(RIGHT(H75,2)="PH",(1-L76)+$W$2,IF(RIGHT(H75,2)="HT",(1-L76)+$W$1,IF(RIGHT(H75,2)="SH",(1-L76)+$W$3,"")))&gt;0,IF(RIGHT(H75,2)="PH",(1-L76)+$W$2,IF(RIGHT(H75,2)="HT",(1-L76)+$W$1,IF(RIGHT(H75,2)="SH",(1-L76)+$W$3,""))),0)</f>
        <v>0.21000000000000002</v>
      </c>
      <c r="W76" s="298"/>
      <c r="X76" s="698">
        <f t="shared" ca="1" si="26"/>
        <v>0</v>
      </c>
      <c r="Y76" s="81">
        <f t="shared" ca="1" si="27"/>
        <v>0</v>
      </c>
      <c r="Z76" s="81">
        <f t="shared" ca="1" si="28"/>
        <v>0</v>
      </c>
      <c r="AA76" s="81">
        <f t="shared" ca="1" si="29"/>
        <v>0</v>
      </c>
      <c r="AB76" s="81">
        <f t="shared" ca="1" si="30"/>
        <v>0</v>
      </c>
      <c r="AD76" s="81">
        <v>2030</v>
      </c>
      <c r="AE76" s="81"/>
      <c r="AF76" s="220"/>
    </row>
    <row r="77" spans="2:32">
      <c r="B77" s="357" t="s">
        <v>1007</v>
      </c>
      <c r="D77" s="212"/>
      <c r="E77" s="212"/>
      <c r="F77" s="224" t="s">
        <v>1149</v>
      </c>
      <c r="H77" s="174"/>
      <c r="I77" s="174" t="str">
        <f t="shared" si="21"/>
        <v>INDTWH</v>
      </c>
      <c r="J77" s="224">
        <f t="shared" si="31"/>
        <v>2050</v>
      </c>
      <c r="K77" s="81"/>
      <c r="L77" s="199">
        <f t="shared" ca="1" si="22"/>
        <v>0.99</v>
      </c>
      <c r="M77" s="199"/>
      <c r="N77" s="81"/>
      <c r="O77" s="723">
        <f t="shared" ca="1" si="23"/>
        <v>0.52150000000000007</v>
      </c>
      <c r="P77" s="723">
        <f t="shared" ca="1" si="24"/>
        <v>6.8539999999999998E-3</v>
      </c>
      <c r="Q77" s="81">
        <f t="shared" ca="1" si="25"/>
        <v>1.6141666666666665</v>
      </c>
      <c r="R77" s="300"/>
      <c r="S77" s="300"/>
      <c r="T77" s="300"/>
      <c r="U77" s="300"/>
      <c r="V77" s="199">
        <f t="shared" ref="V77" ca="1" si="43">IF(IF(RIGHT(H75,2)="PH",(1-L77)+$W$2,IF(RIGHT(H75,2)="HT",(1-L77)+$W$1,IF(RIGHT(H75,2)="SH",(1-L77)+$W$3,"")))&gt;0,IF(RIGHT(H75,2)="PH",(1-L77)+$W$2,IF(RIGHT(H75,2)="HT",(1-L77)+$W$1,IF(RIGHT(H75,2)="SH",(1-L77)+$W$3,""))),0)</f>
        <v>0.21000000000000002</v>
      </c>
      <c r="W77" s="298"/>
      <c r="X77" s="698">
        <f t="shared" ca="1" si="26"/>
        <v>0</v>
      </c>
      <c r="Y77" s="81">
        <f t="shared" ca="1" si="27"/>
        <v>0</v>
      </c>
      <c r="Z77" s="81">
        <f t="shared" ca="1" si="28"/>
        <v>0</v>
      </c>
      <c r="AA77" s="81">
        <f t="shared" ca="1" si="29"/>
        <v>0</v>
      </c>
      <c r="AB77" s="81">
        <f t="shared" ca="1" si="30"/>
        <v>0</v>
      </c>
      <c r="AD77" s="81">
        <v>2050</v>
      </c>
      <c r="AE77" s="706"/>
      <c r="AF77" s="220"/>
    </row>
    <row r="78" spans="2:32">
      <c r="B78" s="357" t="s">
        <v>1007</v>
      </c>
      <c r="D78" s="212" t="str">
        <f>"IND"&amp;RIGHT(H78,4)&amp;RIGHT(G78,3)&amp;"N"&amp;RIGHT(E78,1)</f>
        <v>INDTDSHELCN8</v>
      </c>
      <c r="E78" s="261" t="str">
        <f>"Industrial heating technology "&amp;$AJ$12&amp;" "&amp;RIGHT(H78,2)&amp;" - Electric boiler (Steam) - new 8"</f>
        <v>Industrial heating technology Transport SH - Electric boiler (Steam) - new 8</v>
      </c>
      <c r="F78" s="224" t="s">
        <v>1149</v>
      </c>
      <c r="G78" s="173" t="s">
        <v>499</v>
      </c>
      <c r="H78" s="174" t="str">
        <f>$AI$15</f>
        <v>ITDSH</v>
      </c>
      <c r="I78" s="174" t="str">
        <f t="shared" si="21"/>
        <v>INDTWH</v>
      </c>
      <c r="J78" s="224">
        <f t="shared" si="31"/>
        <v>2011</v>
      </c>
      <c r="K78" s="299">
        <v>2020</v>
      </c>
      <c r="L78" s="199">
        <f t="shared" ca="1" si="22"/>
        <v>0.99</v>
      </c>
      <c r="M78" s="199"/>
      <c r="N78" s="81">
        <f ca="1">VLOOKUP($AD78,INDIRECT("'"&amp;$B78&amp;"'!"&amp;"$P$39:$AD$42"),5,FALSE)</f>
        <v>25</v>
      </c>
      <c r="O78" s="723">
        <f t="shared" ca="1" si="23"/>
        <v>0.59599999999999997</v>
      </c>
      <c r="P78" s="723">
        <f t="shared" ca="1" si="24"/>
        <v>7.9714999999999994E-3</v>
      </c>
      <c r="Q78" s="81">
        <f t="shared" ca="1" si="25"/>
        <v>1.7900694444444445</v>
      </c>
      <c r="R78" s="81">
        <v>3.1536000000000002E-2</v>
      </c>
      <c r="S78" s="199">
        <v>0.5</v>
      </c>
      <c r="T78" s="199">
        <f ca="1">HLOOKUP($T$2,INDIRECT("'"&amp;$B78&amp;"'!"&amp;"$P$6:$AC$19"),IF(H78=$AI$13,6,IF(H78=$AI$14,9,14)),FALSE)</f>
        <v>1</v>
      </c>
      <c r="U78" s="772"/>
      <c r="V78" s="199">
        <f t="shared" ref="V78" ca="1" si="44">IF(IF(RIGHT(H78,2)="PH",(1-L78)+$W$2,IF(RIGHT(H78,2)="HT",(1-L78)+$W$1,IF(RIGHT(H78,2)="SH",(1-L78)+$W$3,"")))&gt;0,IF(RIGHT(H78,2)="PH",(1-L78)+$W$2,IF(RIGHT(H78,2)="HT",(1-L78)+$W$1,IF(RIGHT(H78,2)="SH",(1-L78)+$W$3,""))),0)</f>
        <v>1.0000000000000009E-2</v>
      </c>
      <c r="W78" s="298"/>
      <c r="X78" s="698">
        <f t="shared" ca="1" si="26"/>
        <v>0</v>
      </c>
      <c r="Y78" s="81">
        <f t="shared" ca="1" si="27"/>
        <v>0</v>
      </c>
      <c r="Z78" s="81">
        <f t="shared" ca="1" si="28"/>
        <v>0</v>
      </c>
      <c r="AA78" s="81">
        <f t="shared" ca="1" si="29"/>
        <v>0</v>
      </c>
      <c r="AB78" s="81">
        <f t="shared" ca="1" si="30"/>
        <v>0</v>
      </c>
      <c r="AC78" s="296"/>
      <c r="AD78" s="81">
        <v>2020</v>
      </c>
      <c r="AE78" s="81"/>
      <c r="AF78" s="710"/>
    </row>
    <row r="79" spans="2:32">
      <c r="B79" s="357" t="s">
        <v>1007</v>
      </c>
      <c r="D79" s="212"/>
      <c r="E79" s="212"/>
      <c r="F79" s="224" t="s">
        <v>1149</v>
      </c>
      <c r="H79" s="174"/>
      <c r="I79" s="174" t="str">
        <f t="shared" si="21"/>
        <v>INDTWH</v>
      </c>
      <c r="J79" s="224">
        <f t="shared" si="31"/>
        <v>2030</v>
      </c>
      <c r="K79" s="81"/>
      <c r="L79" s="199">
        <f t="shared" ca="1" si="22"/>
        <v>0.99</v>
      </c>
      <c r="M79" s="199"/>
      <c r="N79" s="81"/>
      <c r="O79" s="723">
        <f t="shared" ca="1" si="23"/>
        <v>0.52150000000000007</v>
      </c>
      <c r="P79" s="723">
        <f t="shared" ca="1" si="24"/>
        <v>7.5989999999999999E-3</v>
      </c>
      <c r="Q79" s="81">
        <f t="shared" ca="1" si="25"/>
        <v>1.8107638888888888</v>
      </c>
      <c r="R79" s="300"/>
      <c r="S79" s="300"/>
      <c r="T79" s="300"/>
      <c r="U79" s="300"/>
      <c r="V79" s="199">
        <f t="shared" ref="V79" ca="1" si="45">IF(IF(RIGHT(H78,2)="PH",(1-L79)+$W$2,IF(RIGHT(H78,2)="HT",(1-L79)+$W$1,IF(RIGHT(H78,2)="SH",(1-L79)+$W$3,"")))&gt;0,IF(RIGHT(H78,2)="PH",(1-L79)+$W$2,IF(RIGHT(H78,2)="HT",(1-L79)+$W$1,IF(RIGHT(H78,2)="SH",(1-L79)+$W$3,""))),0)</f>
        <v>1.0000000000000009E-2</v>
      </c>
      <c r="W79" s="298"/>
      <c r="X79" s="698">
        <f t="shared" ca="1" si="26"/>
        <v>0</v>
      </c>
      <c r="Y79" s="81">
        <f t="shared" ca="1" si="27"/>
        <v>0</v>
      </c>
      <c r="Z79" s="81">
        <f t="shared" ca="1" si="28"/>
        <v>0</v>
      </c>
      <c r="AA79" s="81">
        <f t="shared" ca="1" si="29"/>
        <v>0</v>
      </c>
      <c r="AB79" s="81">
        <f t="shared" ca="1" si="30"/>
        <v>0</v>
      </c>
      <c r="AC79" s="55"/>
      <c r="AD79" s="81">
        <v>2030</v>
      </c>
      <c r="AE79" s="81"/>
      <c r="AF79" s="700"/>
    </row>
    <row r="80" spans="2:32">
      <c r="B80" s="357" t="s">
        <v>1007</v>
      </c>
      <c r="D80" s="212"/>
      <c r="E80" s="212"/>
      <c r="F80" s="224" t="s">
        <v>1149</v>
      </c>
      <c r="H80" s="174"/>
      <c r="I80" s="174" t="str">
        <f t="shared" si="21"/>
        <v>INDTWH</v>
      </c>
      <c r="J80" s="224">
        <f t="shared" si="31"/>
        <v>2050</v>
      </c>
      <c r="K80" s="706"/>
      <c r="L80" s="199">
        <f t="shared" ca="1" si="22"/>
        <v>0.99</v>
      </c>
      <c r="M80" s="774"/>
      <c r="N80" s="706"/>
      <c r="O80" s="724">
        <f t="shared" ca="1" si="23"/>
        <v>0.52150000000000007</v>
      </c>
      <c r="P80" s="724">
        <f t="shared" ca="1" si="24"/>
        <v>6.8539999999999998E-3</v>
      </c>
      <c r="Q80" s="706">
        <f t="shared" ca="1" si="25"/>
        <v>1.6141666666666665</v>
      </c>
      <c r="R80" s="300"/>
      <c r="S80" s="300"/>
      <c r="T80" s="300"/>
      <c r="U80" s="300"/>
      <c r="V80" s="199">
        <f t="shared" ref="V80" ca="1" si="46">IF(IF(RIGHT(H78,2)="PH",(1-L80)+$W$2,IF(RIGHT(H78,2)="HT",(1-L80)+$W$1,IF(RIGHT(H78,2)="SH",(1-L80)+$W$3,"")))&gt;0,IF(RIGHT(H78,2)="PH",(1-L80)+$W$2,IF(RIGHT(H78,2)="HT",(1-L80)+$W$1,IF(RIGHT(H78,2)="SH",(1-L80)+$W$3,""))),0)</f>
        <v>1.0000000000000009E-2</v>
      </c>
      <c r="W80" s="298"/>
      <c r="X80" s="698">
        <f t="shared" ca="1" si="26"/>
        <v>0</v>
      </c>
      <c r="Y80" s="706">
        <f t="shared" ca="1" si="27"/>
        <v>0</v>
      </c>
      <c r="Z80" s="706">
        <f t="shared" ca="1" si="28"/>
        <v>0</v>
      </c>
      <c r="AA80" s="706">
        <f t="shared" ca="1" si="29"/>
        <v>0</v>
      </c>
      <c r="AB80" s="706">
        <f t="shared" ca="1" si="30"/>
        <v>0</v>
      </c>
      <c r="AC80" s="55"/>
      <c r="AD80" s="706">
        <v>2050</v>
      </c>
      <c r="AE80" s="81"/>
      <c r="AF80" s="700"/>
    </row>
    <row r="81" spans="1:33">
      <c r="B81" s="716" t="s">
        <v>1007</v>
      </c>
      <c r="C81" s="296"/>
      <c r="D81" s="707" t="str">
        <f>"IND"&amp;RIGHT(H81,4)&amp;RIGHT(G81,3)&amp;"N"&amp;RIGHT(E81,1)</f>
        <v>INDTDPHELCN9</v>
      </c>
      <c r="E81" s="707" t="str">
        <f>"Industrial heating technology "&amp;$AJ$12&amp;" "&amp;RIGHT(H81,2)&amp;" - Electric boiler (Hot Water) - new 9"</f>
        <v>Industrial heating technology Transport PH - Electric boiler (Hot Water) - new 9</v>
      </c>
      <c r="F81" s="224" t="s">
        <v>1149</v>
      </c>
      <c r="G81" s="708" t="s">
        <v>499</v>
      </c>
      <c r="H81" s="708" t="str">
        <f>$AI$14</f>
        <v>ITDPH</v>
      </c>
      <c r="I81" s="708" t="str">
        <f t="shared" si="21"/>
        <v>INDTWH</v>
      </c>
      <c r="J81" s="224">
        <f t="shared" si="31"/>
        <v>2011</v>
      </c>
      <c r="K81" s="299">
        <v>2020</v>
      </c>
      <c r="L81" s="199">
        <f t="shared" ref="L81:L86" ca="1" si="47">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6"/>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1"/>
        <v>INDTWH</v>
      </c>
      <c r="J82" s="224">
        <f t="shared" si="31"/>
        <v>2030</v>
      </c>
      <c r="K82" s="81"/>
      <c r="L82" s="199">
        <f t="shared" ca="1" si="47"/>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6"/>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1"/>
        <v>INDTWH</v>
      </c>
      <c r="J83" s="224">
        <f t="shared" si="31"/>
        <v>2050</v>
      </c>
      <c r="K83" s="81"/>
      <c r="L83" s="199">
        <f t="shared" ca="1" si="47"/>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6"/>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INDTDSHELCN9</v>
      </c>
      <c r="E84" s="261" t="str">
        <f>"Industrial heating technology "&amp;$AJ$12&amp;" "&amp;RIGHT(H84,2)&amp;" - Electric boiler (Hot Water) - new 9"</f>
        <v>Industrial heating technology Transport SH - Electric boiler (Hot Water) - new 9</v>
      </c>
      <c r="F84" s="224" t="s">
        <v>1149</v>
      </c>
      <c r="G84" s="174" t="s">
        <v>499</v>
      </c>
      <c r="H84" s="174" t="str">
        <f>$AI$15</f>
        <v>ITDSH</v>
      </c>
      <c r="I84" s="174" t="str">
        <f t="shared" si="21"/>
        <v>INDTWH</v>
      </c>
      <c r="J84" s="224">
        <f t="shared" si="31"/>
        <v>2011</v>
      </c>
      <c r="K84" s="299">
        <v>2020</v>
      </c>
      <c r="L84" s="199">
        <f t="shared" ca="1" si="47"/>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6"/>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1"/>
        <v>INDTWH</v>
      </c>
      <c r="J85" s="224">
        <f t="shared" si="31"/>
        <v>2030</v>
      </c>
      <c r="K85" s="81"/>
      <c r="L85" s="199">
        <f t="shared" ca="1" si="47"/>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6"/>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1"/>
        <v>INDTWH</v>
      </c>
      <c r="J86" s="224">
        <f t="shared" si="31"/>
        <v>2050</v>
      </c>
      <c r="K86" s="81"/>
      <c r="L86" s="199">
        <f t="shared" ca="1" si="47"/>
        <v>0.99</v>
      </c>
      <c r="M86" s="199"/>
      <c r="N86" s="81"/>
      <c r="O86" s="723">
        <f t="shared" ca="1" si="48"/>
        <v>0.44700000000000001</v>
      </c>
      <c r="P86" s="723">
        <f t="shared" ca="1" si="49"/>
        <v>6.8539999999999998E-3</v>
      </c>
      <c r="Q86" s="81">
        <f t="shared" ca="1" si="50"/>
        <v>1.6141666666666665</v>
      </c>
      <c r="R86" s="703"/>
      <c r="S86" s="703"/>
      <c r="T86" s="703"/>
      <c r="U86" s="703"/>
      <c r="V86" s="199">
        <f t="shared" ref="V86" ca="1" si="60">IF(IF(RIGHT(H84,2)="PH",(1-L86)+$W$2,IF(RIGHT(H84,2)="HT",(1-L86)+$W$1,IF(RIGHT(H84,2)="SH",(1-L86)+$W$3,"")))&gt;0,IF(RIGHT(H84,2)="PH",(1-L86)+$W$2,IF(RIGHT(H84,2)="HT",(1-L86)+$W$1,IF(RIGHT(H84,2)="SH",(1-L86)+$W$3,""))),0)</f>
        <v>1.0000000000000009E-2</v>
      </c>
      <c r="W86" s="704"/>
      <c r="X86" s="698">
        <f t="shared" ca="1" si="26"/>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INDTDPHWCHN1</v>
      </c>
      <c r="E87" s="261" t="str">
        <f>"Industrial heating technology "&amp;$AJ$12&amp;" "&amp;RIGHT(H87,2)&amp;" - Wood chip boiler (Steam) - new 1"</f>
        <v>Industrial heating technology Transport PH - Wood chip boiler (Steam) - new 1</v>
      </c>
      <c r="F87" s="224" t="s">
        <v>1149</v>
      </c>
      <c r="G87" s="173" t="s">
        <v>498</v>
      </c>
      <c r="H87" s="174" t="str">
        <f>$AI$13</f>
        <v>ITDPH</v>
      </c>
      <c r="I87" s="174" t="str">
        <f t="shared" si="21"/>
        <v>INDTWH</v>
      </c>
      <c r="J87" s="224">
        <f t="shared" si="31"/>
        <v>2011</v>
      </c>
      <c r="K87" s="299">
        <v>2025</v>
      </c>
      <c r="L87" s="199">
        <f t="shared" ref="L87:L95" ca="1" si="61">VLOOKUP($AD87,INDIRECT("'"&amp;$B87&amp;"'!"&amp;"$P$39:$AD$42"),3,FALSE)</f>
        <v>0.89</v>
      </c>
      <c r="M87" s="699"/>
      <c r="N87" s="299">
        <f ca="1">VLOOKUP($AD87,INDIRECT("'"&amp;$B87&amp;"'!"&amp;"$P$39:$AD$42"),5,FALSE)</f>
        <v>25</v>
      </c>
      <c r="O87" s="725">
        <f t="shared" ref="O87:O95" ca="1" si="62">VLOOKUP($AD87,INDIRECT("'"&amp;$B87&amp;"'!"&amp;"$P$39:$AD$42"),6,FALSE)/1000</f>
        <v>4.6054545454545455</v>
      </c>
      <c r="P87" s="725">
        <f t="shared" ref="P87:P95" ca="1" si="63">VLOOKUP($AD87,INDIRECT("'"&amp;$B87&amp;"'!"&amp;"$P$39:$AD$42"),7,FALSE)/1000</f>
        <v>0.25106499999999998</v>
      </c>
      <c r="Q87" s="299">
        <f t="shared" ref="Q87:Q95" ca="1" si="64">VLOOKUP($AD87,INDIRECT("'"&amp;$B87&amp;"'!"&amp;"$P$39:$AD$42"),8,FALSE)</f>
        <v>5.7509861111111107</v>
      </c>
      <c r="R87" s="299">
        <v>3.1536000000000002E-2</v>
      </c>
      <c r="S87" s="699">
        <v>0.5</v>
      </c>
      <c r="T87" s="699">
        <f ca="1">HLOOKUP($T$2,INDIRECT("'"&amp;$B87&amp;"'!"&amp;"$P$6:$AC$19"),IF(H87=$AI$13,6,IF(H87=$AI$14,9,14)),FALSE)</f>
        <v>1</v>
      </c>
      <c r="U87" s="772"/>
      <c r="V87" s="199">
        <f t="shared" ref="V87" ca="1" si="65">IF(IF(RIGHT(H87,2)="PH",(1-L87)+$W$2,IF(RIGHT(H87,2)="HT",(1-L87)+$W$1,IF(RIGHT(H87,2)="SH",(1-L87)+$W$3,"")))&gt;0,IF(RIGHT(H87,2)="PH",(1-L87)+$W$2,IF(RIGHT(H87,2)="HT",(1-L87)+$W$1,IF(RIGHT(H87,2)="SH",(1-L87)+$W$3,""))),0)</f>
        <v>0.31</v>
      </c>
      <c r="W87" s="298"/>
      <c r="X87" s="698">
        <f t="shared" ca="1" si="26"/>
        <v>11</v>
      </c>
      <c r="Y87" s="299">
        <f t="shared" ref="Y87:Y95" ca="1" si="66">VLOOKUP($AD87,INDIRECT("'"&amp;$B87&amp;"'!"&amp;"$P$39:$AD$42"),12,FALSE)</f>
        <v>63</v>
      </c>
      <c r="Z87" s="299">
        <f t="shared" ref="Z87:Z95" ca="1" si="67">VLOOKUP($AD87,INDIRECT("'"&amp;$B87&amp;"'!"&amp;"$P$39:$AD$42"),13,FALSE)</f>
        <v>11</v>
      </c>
      <c r="AA87" s="299">
        <f t="shared" ref="AA87:AA95" ca="1" si="68">VLOOKUP($AD87,INDIRECT("'"&amp;$B87&amp;"'!"&amp;"$P$39:$AD$42"),14,FALSE)</f>
        <v>3</v>
      </c>
      <c r="AB87" s="299">
        <f t="shared" ref="AB87:AB95" ca="1" si="69">VLOOKUP($AD87,INDIRECT("'"&amp;$B87&amp;"'!"&amp;"$P$39:$AD$42"),15,FALSE)</f>
        <v>10</v>
      </c>
      <c r="AD87" s="299">
        <v>2020</v>
      </c>
      <c r="AE87" s="81"/>
      <c r="AF87" s="220"/>
    </row>
    <row r="88" spans="1:33">
      <c r="B88" s="357" t="s">
        <v>1008</v>
      </c>
      <c r="D88" s="212"/>
      <c r="E88" s="212"/>
      <c r="F88" s="224" t="s">
        <v>1149</v>
      </c>
      <c r="H88" s="174"/>
      <c r="I88" s="174" t="str">
        <f t="shared" si="21"/>
        <v>INDTWH</v>
      </c>
      <c r="J88" s="224">
        <f t="shared" si="31"/>
        <v>2030</v>
      </c>
      <c r="K88" s="81"/>
      <c r="L88" s="199">
        <f t="shared" ca="1" si="61"/>
        <v>0.89</v>
      </c>
      <c r="M88" s="199"/>
      <c r="N88" s="81"/>
      <c r="O88" s="723">
        <f t="shared" ca="1" si="62"/>
        <v>4.4022727272727264</v>
      </c>
      <c r="P88" s="723">
        <f t="shared" ca="1" si="63"/>
        <v>0.267455</v>
      </c>
      <c r="Q88" s="81">
        <f t="shared" ca="1" si="64"/>
        <v>5.8461805555555557</v>
      </c>
      <c r="R88" s="300"/>
      <c r="S88" s="300"/>
      <c r="T88" s="300"/>
      <c r="U88" s="300"/>
      <c r="V88" s="199">
        <f t="shared" ref="V88" ca="1" si="70">IF(IF(RIGHT(H87,2)="PH",(1-L88)+$W$2,IF(RIGHT(H87,2)="HT",(1-L88)+$W$1,IF(RIGHT(H87,2)="SH",(1-L88)+$W$3,"")))&gt;0,IF(RIGHT(H87,2)="PH",(1-L88)+$W$2,IF(RIGHT(H87,2)="HT",(1-L88)+$W$1,IF(RIGHT(H87,2)="SH",(1-L88)+$W$3,""))),0)</f>
        <v>0.31</v>
      </c>
      <c r="W88" s="298"/>
      <c r="X88" s="698">
        <f t="shared" ca="1" si="26"/>
        <v>11</v>
      </c>
      <c r="Y88" s="81">
        <f t="shared" ca="1" si="66"/>
        <v>49</v>
      </c>
      <c r="Z88" s="81">
        <f t="shared" ca="1" si="67"/>
        <v>8</v>
      </c>
      <c r="AA88" s="81">
        <f t="shared" ca="1" si="68"/>
        <v>3</v>
      </c>
      <c r="AB88" s="81">
        <f t="shared" ca="1" si="69"/>
        <v>10</v>
      </c>
      <c r="AD88" s="81">
        <v>2030</v>
      </c>
      <c r="AE88" s="81"/>
      <c r="AF88" s="220"/>
    </row>
    <row r="89" spans="1:33">
      <c r="B89" s="357" t="s">
        <v>1008</v>
      </c>
      <c r="D89" s="212"/>
      <c r="E89" s="212"/>
      <c r="F89" s="224" t="s">
        <v>1149</v>
      </c>
      <c r="H89" s="174"/>
      <c r="I89" s="174" t="str">
        <f t="shared" si="21"/>
        <v>INDTWH</v>
      </c>
      <c r="J89" s="224">
        <f t="shared" si="31"/>
        <v>2050</v>
      </c>
      <c r="K89" s="81"/>
      <c r="L89" s="199">
        <f t="shared" ca="1" si="61"/>
        <v>0.9</v>
      </c>
      <c r="M89" s="199"/>
      <c r="N89" s="81"/>
      <c r="O89" s="723">
        <f t="shared" ca="1" si="62"/>
        <v>3.9959090909090902</v>
      </c>
      <c r="P89" s="723">
        <f t="shared" ca="1" si="63"/>
        <v>0.25106499999999998</v>
      </c>
      <c r="Q89" s="81">
        <f t="shared" ca="1" si="64"/>
        <v>5.8937777777777782</v>
      </c>
      <c r="R89" s="300"/>
      <c r="S89" s="300"/>
      <c r="T89" s="300"/>
      <c r="U89" s="300"/>
      <c r="V89" s="199">
        <f t="shared" ref="V89" ca="1" si="71">IF(IF(RIGHT(H87,2)="PH",(1-L89)+$W$2,IF(RIGHT(H87,2)="HT",(1-L89)+$W$1,IF(RIGHT(H87,2)="SH",(1-L89)+$W$3,"")))&gt;0,IF(RIGHT(H87,2)="PH",(1-L89)+$W$2,IF(RIGHT(H87,2)="HT",(1-L89)+$W$1,IF(RIGHT(H87,2)="SH",(1-L89)+$W$3,""))),0)</f>
        <v>0.3</v>
      </c>
      <c r="W89" s="298"/>
      <c r="X89" s="698">
        <f t="shared" ca="1" si="26"/>
        <v>11</v>
      </c>
      <c r="Y89" s="81">
        <f t="shared" ca="1" si="66"/>
        <v>41</v>
      </c>
      <c r="Z89" s="81">
        <f t="shared" ca="1" si="67"/>
        <v>4</v>
      </c>
      <c r="AA89" s="81">
        <f t="shared" ca="1" si="68"/>
        <v>1</v>
      </c>
      <c r="AB89" s="81">
        <f t="shared" ca="1" si="69"/>
        <v>10</v>
      </c>
      <c r="AD89" s="81">
        <v>2050</v>
      </c>
      <c r="AE89" s="81"/>
      <c r="AF89" s="220"/>
    </row>
    <row r="90" spans="1:33" s="226" customFormat="1">
      <c r="A90" s="224"/>
      <c r="B90" s="357" t="s">
        <v>1008</v>
      </c>
      <c r="C90" s="224"/>
      <c r="D90" s="212" t="str">
        <f>"IND"&amp;RIGHT(H90,4)&amp;RIGHT(G90,3)&amp;"N"&amp;RIGHT(E90,1)</f>
        <v>INDTDPHWCHN1</v>
      </c>
      <c r="E90" s="261" t="str">
        <f>"Industrial heating technology "&amp;$AJ$12&amp;" "&amp;RIGHT(H90,2)&amp;" - Wood chip boiler (Steam) - new 1"</f>
        <v>Industrial heating technology Transport PH - Wood chip boiler (Steam) - new 1</v>
      </c>
      <c r="F90" s="224" t="s">
        <v>1149</v>
      </c>
      <c r="G90" s="173" t="s">
        <v>498</v>
      </c>
      <c r="H90" s="174" t="str">
        <f>$AI$14</f>
        <v>ITDPH</v>
      </c>
      <c r="I90" s="174" t="str">
        <f t="shared" si="21"/>
        <v>INDTWH</v>
      </c>
      <c r="J90" s="224">
        <f t="shared" si="31"/>
        <v>2011</v>
      </c>
      <c r="K90" s="299">
        <v>2025</v>
      </c>
      <c r="L90" s="199">
        <f t="shared" ca="1" si="61"/>
        <v>0.89</v>
      </c>
      <c r="M90" s="199"/>
      <c r="N90" s="81">
        <f ca="1">VLOOKUP($AD90,INDIRECT("'"&amp;$B90&amp;"'!"&amp;"$P$39:$AD$42"),5,FALSE)</f>
        <v>25</v>
      </c>
      <c r="O90" s="723">
        <f t="shared" ca="1" si="62"/>
        <v>4.6054545454545455</v>
      </c>
      <c r="P90" s="723">
        <f t="shared" ca="1" si="63"/>
        <v>0.25106499999999998</v>
      </c>
      <c r="Q90" s="81">
        <f t="shared" ca="1" si="64"/>
        <v>5.7509861111111107</v>
      </c>
      <c r="R90" s="81">
        <v>3.1536000000000002E-2</v>
      </c>
      <c r="S90" s="199">
        <v>0.5</v>
      </c>
      <c r="T90" s="199">
        <f ca="1">HLOOKUP($T$2,INDIRECT("'"&amp;$B90&amp;"'!"&amp;"$P$6:$AC$19"),IF(H90=$AI$13,6,IF(H90=$AI$14,9,14)),FALSE)</f>
        <v>1</v>
      </c>
      <c r="U90" s="772"/>
      <c r="V90" s="199">
        <f t="shared" ref="V90" ca="1" si="72">IF(IF(RIGHT(H90,2)="PH",(1-L90)+$W$2,IF(RIGHT(H90,2)="HT",(1-L90)+$W$1,IF(RIGHT(H90,2)="SH",(1-L90)+$W$3,"")))&gt;0,IF(RIGHT(H90,2)="PH",(1-L90)+$W$2,IF(RIGHT(H90,2)="HT",(1-L90)+$W$1,IF(RIGHT(H90,2)="SH",(1-L90)+$W$3,""))),0)</f>
        <v>0.31</v>
      </c>
      <c r="W90" s="298"/>
      <c r="X90" s="698">
        <f t="shared" ca="1" si="26"/>
        <v>11</v>
      </c>
      <c r="Y90" s="81">
        <f t="shared" ca="1" si="66"/>
        <v>63</v>
      </c>
      <c r="Z90" s="81">
        <f t="shared" ca="1" si="67"/>
        <v>11</v>
      </c>
      <c r="AA90" s="81">
        <f t="shared" ca="1" si="68"/>
        <v>3</v>
      </c>
      <c r="AB90" s="81">
        <f t="shared" ca="1" si="69"/>
        <v>10</v>
      </c>
      <c r="AC90" s="224"/>
      <c r="AD90" s="81">
        <v>2020</v>
      </c>
      <c r="AE90" s="81"/>
      <c r="AF90" s="220"/>
      <c r="AG90" s="224"/>
    </row>
    <row r="91" spans="1:33" s="226" customFormat="1">
      <c r="A91" s="224"/>
      <c r="B91" s="357" t="s">
        <v>1008</v>
      </c>
      <c r="C91" s="224"/>
      <c r="D91" s="212"/>
      <c r="E91" s="212"/>
      <c r="F91" s="224" t="s">
        <v>1149</v>
      </c>
      <c r="G91" s="224"/>
      <c r="H91" s="174"/>
      <c r="I91" s="174" t="str">
        <f t="shared" si="21"/>
        <v>INDTWH</v>
      </c>
      <c r="J91" s="224">
        <f t="shared" si="31"/>
        <v>2030</v>
      </c>
      <c r="K91" s="81"/>
      <c r="L91" s="199">
        <f t="shared" ca="1" si="61"/>
        <v>0.89</v>
      </c>
      <c r="M91" s="199"/>
      <c r="N91" s="81"/>
      <c r="O91" s="723">
        <f t="shared" ca="1" si="62"/>
        <v>4.4022727272727264</v>
      </c>
      <c r="P91" s="723">
        <f t="shared" ca="1" si="63"/>
        <v>0.267455</v>
      </c>
      <c r="Q91" s="81">
        <f t="shared" ca="1" si="64"/>
        <v>5.8461805555555557</v>
      </c>
      <c r="R91" s="300"/>
      <c r="S91" s="300"/>
      <c r="T91" s="300"/>
      <c r="U91" s="300"/>
      <c r="V91" s="199">
        <f t="shared" ref="V91" ca="1" si="73">IF(IF(RIGHT(H90,2)="PH",(1-L91)+$W$2,IF(RIGHT(H90,2)="HT",(1-L91)+$W$1,IF(RIGHT(H90,2)="SH",(1-L91)+$W$3,"")))&gt;0,IF(RIGHT(H90,2)="PH",(1-L91)+$W$2,IF(RIGHT(H90,2)="HT",(1-L91)+$W$1,IF(RIGHT(H90,2)="SH",(1-L91)+$W$3,""))),0)</f>
        <v>0.31</v>
      </c>
      <c r="W91" s="298"/>
      <c r="X91" s="698">
        <f t="shared" ca="1" si="26"/>
        <v>11</v>
      </c>
      <c r="Y91" s="81">
        <f t="shared" ca="1" si="66"/>
        <v>49</v>
      </c>
      <c r="Z91" s="81">
        <f t="shared" ca="1" si="67"/>
        <v>8</v>
      </c>
      <c r="AA91" s="81">
        <f t="shared" ca="1" si="68"/>
        <v>3</v>
      </c>
      <c r="AB91" s="81">
        <f t="shared" ca="1" si="69"/>
        <v>10</v>
      </c>
      <c r="AC91" s="224"/>
      <c r="AD91" s="81">
        <v>2030</v>
      </c>
      <c r="AE91" s="81"/>
      <c r="AF91" s="220"/>
    </row>
    <row r="92" spans="1:33" s="226" customFormat="1">
      <c r="A92" s="224"/>
      <c r="B92" s="357" t="s">
        <v>1008</v>
      </c>
      <c r="C92" s="224"/>
      <c r="D92" s="212"/>
      <c r="E92" s="212"/>
      <c r="F92" s="224" t="s">
        <v>1149</v>
      </c>
      <c r="G92" s="224"/>
      <c r="H92" s="174"/>
      <c r="I92" s="174" t="str">
        <f t="shared" si="21"/>
        <v>INDTWH</v>
      </c>
      <c r="J92" s="224">
        <f t="shared" si="31"/>
        <v>2050</v>
      </c>
      <c r="K92" s="81"/>
      <c r="L92" s="199">
        <f t="shared" ca="1" si="61"/>
        <v>0.9</v>
      </c>
      <c r="M92" s="199"/>
      <c r="N92" s="81"/>
      <c r="O92" s="723">
        <f t="shared" ca="1" si="62"/>
        <v>3.9959090909090902</v>
      </c>
      <c r="P92" s="723">
        <f t="shared" ca="1" si="63"/>
        <v>0.25106499999999998</v>
      </c>
      <c r="Q92" s="81">
        <f t="shared" ca="1" si="64"/>
        <v>5.8937777777777782</v>
      </c>
      <c r="R92" s="300"/>
      <c r="S92" s="300"/>
      <c r="T92" s="300"/>
      <c r="U92" s="300"/>
      <c r="V92" s="199">
        <f t="shared" ref="V92" ca="1" si="74">IF(IF(RIGHT(H90,2)="PH",(1-L92)+$W$2,IF(RIGHT(H90,2)="HT",(1-L92)+$W$1,IF(RIGHT(H90,2)="SH",(1-L92)+$W$3,"")))&gt;0,IF(RIGHT(H90,2)="PH",(1-L92)+$W$2,IF(RIGHT(H90,2)="HT",(1-L92)+$W$1,IF(RIGHT(H90,2)="SH",(1-L92)+$W$3,""))),0)</f>
        <v>0.3</v>
      </c>
      <c r="W92" s="298"/>
      <c r="X92" s="698">
        <f t="shared" ca="1" si="26"/>
        <v>11</v>
      </c>
      <c r="Y92" s="81">
        <f t="shared" ca="1" si="66"/>
        <v>41</v>
      </c>
      <c r="Z92" s="81">
        <f t="shared" ca="1" si="67"/>
        <v>4</v>
      </c>
      <c r="AA92" s="81">
        <f t="shared" ca="1" si="68"/>
        <v>1</v>
      </c>
      <c r="AB92" s="81">
        <f t="shared" ca="1" si="69"/>
        <v>10</v>
      </c>
      <c r="AC92" s="224"/>
      <c r="AD92" s="81">
        <v>2050</v>
      </c>
      <c r="AE92" s="706"/>
      <c r="AF92" s="220"/>
    </row>
    <row r="93" spans="1:33" s="226" customFormat="1">
      <c r="A93" s="224"/>
      <c r="B93" s="357" t="s">
        <v>1008</v>
      </c>
      <c r="C93" s="224"/>
      <c r="D93" s="212" t="str">
        <f>"IND"&amp;RIGHT(H93,4)&amp;RIGHT(G93,3)&amp;"N"&amp;RIGHT(E93,1)</f>
        <v>INDTDSHWCHN1</v>
      </c>
      <c r="E93" s="261" t="str">
        <f>"Industrial heating technology "&amp;$AJ$12&amp;" "&amp;RIGHT(H93,2)&amp;" - Wood chip boiler (Steam) - new 1"</f>
        <v>Industrial heating technology Transport SH - Wood chip boiler (Steam) - new 1</v>
      </c>
      <c r="F93" s="224" t="s">
        <v>1149</v>
      </c>
      <c r="G93" s="173" t="s">
        <v>498</v>
      </c>
      <c r="H93" s="174" t="str">
        <f>$AI$15</f>
        <v>ITDSH</v>
      </c>
      <c r="I93" s="174" t="str">
        <f t="shared" si="21"/>
        <v>INDTWH</v>
      </c>
      <c r="J93" s="224">
        <f t="shared" si="31"/>
        <v>2011</v>
      </c>
      <c r="K93" s="299">
        <v>2025</v>
      </c>
      <c r="L93" s="199">
        <f t="shared" ca="1" si="61"/>
        <v>0.89</v>
      </c>
      <c r="M93" s="199"/>
      <c r="N93" s="81">
        <f ca="1">VLOOKUP($AD93,INDIRECT("'"&amp;$B93&amp;"'!"&amp;"$P$39:$AD$42"),5,FALSE)</f>
        <v>25</v>
      </c>
      <c r="O93" s="723">
        <f t="shared" ca="1" si="62"/>
        <v>4.6054545454545455</v>
      </c>
      <c r="P93" s="723">
        <f t="shared" ca="1" si="63"/>
        <v>0.25106499999999998</v>
      </c>
      <c r="Q93" s="81">
        <f t="shared" ca="1" si="64"/>
        <v>5.7509861111111107</v>
      </c>
      <c r="R93" s="81">
        <v>3.1536000000000002E-2</v>
      </c>
      <c r="S93" s="199">
        <v>0.5</v>
      </c>
      <c r="T93" s="199">
        <f ca="1">HLOOKUP($T$2,INDIRECT("'"&amp;$B93&amp;"'!"&amp;"$P$6:$AC$19"),IF(H93=$AI$13,6,IF(H93=$AI$14,9,14)),FALSE)</f>
        <v>1</v>
      </c>
      <c r="U93" s="772"/>
      <c r="V93" s="199">
        <f t="shared" ref="V93" ca="1" si="75">IF(IF(RIGHT(H93,2)="PH",(1-L93)+$W$2,IF(RIGHT(H93,2)="HT",(1-L93)+$W$1,IF(RIGHT(H93,2)="SH",(1-L93)+$W$3,"")))&gt;0,IF(RIGHT(H93,2)="PH",(1-L93)+$W$2,IF(RIGHT(H93,2)="HT",(1-L93)+$W$1,IF(RIGHT(H93,2)="SH",(1-L93)+$W$3,""))),0)</f>
        <v>0.10999999999999999</v>
      </c>
      <c r="W93" s="298"/>
      <c r="X93" s="698">
        <f t="shared" ca="1" si="26"/>
        <v>11</v>
      </c>
      <c r="Y93" s="81">
        <f t="shared" ca="1" si="66"/>
        <v>63</v>
      </c>
      <c r="Z93" s="81">
        <f t="shared" ca="1" si="67"/>
        <v>11</v>
      </c>
      <c r="AA93" s="81">
        <f t="shared" ca="1" si="68"/>
        <v>3</v>
      </c>
      <c r="AB93" s="81">
        <f t="shared" ca="1" si="69"/>
        <v>10</v>
      </c>
      <c r="AC93" s="296"/>
      <c r="AD93" s="81">
        <v>2020</v>
      </c>
      <c r="AE93" s="81"/>
      <c r="AF93" s="710"/>
    </row>
    <row r="94" spans="1:33" s="226" customFormat="1">
      <c r="A94" s="224"/>
      <c r="B94" s="357" t="s">
        <v>1008</v>
      </c>
      <c r="C94" s="224"/>
      <c r="D94" s="212"/>
      <c r="E94" s="212"/>
      <c r="F94" s="224" t="s">
        <v>1149</v>
      </c>
      <c r="G94" s="224"/>
      <c r="H94" s="174"/>
      <c r="I94" s="174" t="str">
        <f t="shared" si="21"/>
        <v>INDTWH</v>
      </c>
      <c r="J94" s="224">
        <f t="shared" si="31"/>
        <v>2030</v>
      </c>
      <c r="K94" s="81"/>
      <c r="L94" s="199">
        <f t="shared" ca="1" si="61"/>
        <v>0.89</v>
      </c>
      <c r="M94" s="199"/>
      <c r="N94" s="81"/>
      <c r="O94" s="723">
        <f t="shared" ca="1" si="62"/>
        <v>4.4022727272727264</v>
      </c>
      <c r="P94" s="723">
        <f t="shared" ca="1" si="63"/>
        <v>0.267455</v>
      </c>
      <c r="Q94" s="81">
        <f t="shared" ca="1" si="64"/>
        <v>5.8461805555555557</v>
      </c>
      <c r="R94" s="300"/>
      <c r="S94" s="300"/>
      <c r="T94" s="300"/>
      <c r="U94" s="300"/>
      <c r="V94" s="199">
        <f t="shared" ref="V94" ca="1" si="76">IF(IF(RIGHT(H93,2)="PH",(1-L94)+$W$2,IF(RIGHT(H93,2)="HT",(1-L94)+$W$1,IF(RIGHT(H93,2)="SH",(1-L94)+$W$3,"")))&gt;0,IF(RIGHT(H93,2)="PH",(1-L94)+$W$2,IF(RIGHT(H93,2)="HT",(1-L94)+$W$1,IF(RIGHT(H93,2)="SH",(1-L94)+$W$3,""))),0)</f>
        <v>0.10999999999999999</v>
      </c>
      <c r="W94" s="298"/>
      <c r="X94" s="698">
        <f t="shared" ca="1" si="26"/>
        <v>11</v>
      </c>
      <c r="Y94" s="81">
        <f t="shared" ca="1" si="66"/>
        <v>49</v>
      </c>
      <c r="Z94" s="81">
        <f t="shared" ca="1" si="67"/>
        <v>8</v>
      </c>
      <c r="AA94" s="81">
        <f t="shared" ca="1" si="68"/>
        <v>3</v>
      </c>
      <c r="AB94" s="81">
        <f t="shared" ca="1" si="69"/>
        <v>10</v>
      </c>
      <c r="AC94" s="55"/>
      <c r="AD94" s="81">
        <v>2030</v>
      </c>
      <c r="AE94" s="81"/>
      <c r="AF94" s="700"/>
    </row>
    <row r="95" spans="1:33" s="226" customFormat="1">
      <c r="A95" s="224"/>
      <c r="B95" s="357" t="s">
        <v>1008</v>
      </c>
      <c r="C95" s="224"/>
      <c r="D95" s="212"/>
      <c r="E95" s="212"/>
      <c r="F95" s="224" t="s">
        <v>1149</v>
      </c>
      <c r="G95" s="224"/>
      <c r="H95" s="174"/>
      <c r="I95" s="174" t="str">
        <f t="shared" si="21"/>
        <v>INDTWH</v>
      </c>
      <c r="J95" s="224">
        <f t="shared" si="31"/>
        <v>2050</v>
      </c>
      <c r="K95" s="706"/>
      <c r="L95" s="199">
        <f t="shared" ca="1" si="61"/>
        <v>0.9</v>
      </c>
      <c r="M95" s="774"/>
      <c r="N95" s="706"/>
      <c r="O95" s="724">
        <f t="shared" ca="1" si="62"/>
        <v>3.9959090909090902</v>
      </c>
      <c r="P95" s="724">
        <f t="shared" ca="1" si="63"/>
        <v>0.25106499999999998</v>
      </c>
      <c r="Q95" s="706">
        <f t="shared" ca="1" si="64"/>
        <v>5.8937777777777782</v>
      </c>
      <c r="R95" s="300"/>
      <c r="S95" s="300"/>
      <c r="T95" s="300"/>
      <c r="U95" s="300"/>
      <c r="V95" s="199">
        <f t="shared" ref="V95" ca="1" si="77">IF(IF(RIGHT(H93,2)="PH",(1-L95)+$W$2,IF(RIGHT(H93,2)="HT",(1-L95)+$W$1,IF(RIGHT(H93,2)="SH",(1-L95)+$W$3,"")))&gt;0,IF(RIGHT(H93,2)="PH",(1-L95)+$W$2,IF(RIGHT(H93,2)="HT",(1-L95)+$W$1,IF(RIGHT(H93,2)="SH",(1-L95)+$W$3,""))),0)</f>
        <v>9.9999999999999978E-2</v>
      </c>
      <c r="W95" s="298"/>
      <c r="X95" s="698">
        <f t="shared" ref="X95:X126" ca="1" si="78">IF(VLOOKUP($AD95,INDIRECT("'"&amp;$B95&amp;"'!"&amp;"$P$39:$AD$42"),11,FALSE)="Cf. the utilized electricity",0,VLOOKUP($AD95,INDIRECT("'"&amp;$B95&amp;"'!"&amp;"$P$39:$AD$42"),11,FALSE))</f>
        <v>11</v>
      </c>
      <c r="Y95" s="706">
        <f t="shared" ca="1" si="66"/>
        <v>41</v>
      </c>
      <c r="Z95" s="706">
        <f t="shared" ca="1" si="67"/>
        <v>4</v>
      </c>
      <c r="AA95" s="706">
        <f t="shared" ca="1" si="68"/>
        <v>1</v>
      </c>
      <c r="AB95" s="706">
        <f t="shared" ca="1" si="69"/>
        <v>10</v>
      </c>
      <c r="AC95" s="55"/>
      <c r="AD95" s="706">
        <v>2050</v>
      </c>
      <c r="AE95" s="81"/>
      <c r="AF95" s="700"/>
    </row>
    <row r="96" spans="1:33">
      <c r="B96" s="716" t="s">
        <v>1008</v>
      </c>
      <c r="C96" s="296"/>
      <c r="D96" s="707" t="str">
        <f>"IND"&amp;RIGHT(H96,4)&amp;RIGHT(G96,3)&amp;"N"&amp;RIGHT(E96,1)</f>
        <v>INDTDPHWCHN2</v>
      </c>
      <c r="E96" s="707" t="str">
        <f>"Industrial heating technology "&amp;$AJ$12&amp;" "&amp;RIGHT(H96,2)&amp;" - Wood chip boiler (Steam - condensing) - new 2"</f>
        <v>Industrial heating technology Transport PH - Wood chip boiler (Steam - condensing) - new 2</v>
      </c>
      <c r="F96" s="224" t="s">
        <v>1149</v>
      </c>
      <c r="G96" s="708" t="s">
        <v>498</v>
      </c>
      <c r="H96" s="708" t="str">
        <f>$AI$14</f>
        <v>ITDPH</v>
      </c>
      <c r="I96" s="708" t="str">
        <f t="shared" si="21"/>
        <v>INDTWH</v>
      </c>
      <c r="J96" s="224">
        <f t="shared" si="31"/>
        <v>2011</v>
      </c>
      <c r="K96" s="299">
        <v>2025</v>
      </c>
      <c r="L96" s="199">
        <f t="shared" ref="L96:L101" ca="1" si="79">VLOOKUP($AD96,INDIRECT("'"&amp;$B96&amp;"'!"&amp;"$P$118:$AD$121"),3,FALSE)</f>
        <v>1.1618960947726835</v>
      </c>
      <c r="M96" s="199"/>
      <c r="N96" s="81">
        <f ca="1">VLOOKUP($AD96,INDIRECT("'"&amp;$B96&amp;"'!"&amp;"$P$118:$AD$121"),5,FALSE)</f>
        <v>25</v>
      </c>
      <c r="O96" s="723">
        <f t="shared" ref="O96:O101" ca="1" si="80">VLOOKUP($AD96,INDIRECT("'"&amp;$B96&amp;"'!"&amp;"$P$118:$AD$121"),6,FALSE)/1000</f>
        <v>5.0660000000000007</v>
      </c>
      <c r="P96" s="723">
        <f t="shared" ref="P96:P101" ca="1" si="81">VLOOKUP($AD96,INDIRECT("'"&amp;$B96&amp;"'!"&amp;"$P$118:$AD$121"),7,FALSE)/1000</f>
        <v>0.27564999999999995</v>
      </c>
      <c r="Q96" s="81">
        <f t="shared" ref="Q96:Q101" ca="1" si="82">VLOOKUP($AD96,INDIRECT("'"&amp;$B96&amp;"'!"&amp;"$P$118:$AD$121"),8,FALSE)</f>
        <v>5.7509861111111107</v>
      </c>
      <c r="R96" s="81">
        <v>3.1536000000000002E-2</v>
      </c>
      <c r="S96" s="199">
        <v>0.5</v>
      </c>
      <c r="T96" s="199">
        <f ca="1">HLOOKUP($T$2,INDIRECT("'"&amp;$B96&amp;"'!"&amp;"$P$85:$AC$98"),IF(H96=$AI$13,6,IF(H96=$AI$14,9,14)),FALSE)</f>
        <v>0</v>
      </c>
      <c r="U96" s="773"/>
      <c r="V96" s="199">
        <f t="shared" ref="V96" ca="1" si="83">IF(IF(RIGHT(H96,2)="PH",(1-L96)+$W$2,IF(RIGHT(H96,2)="HT",(1-L96)+$W$1,IF(RIGHT(H96,2)="SH",(1-L96)+$W$3,"")))&gt;0,IF(RIGHT(H96,2)="PH",(1-L96)+$W$2,IF(RIGHT(H96,2)="HT",(1-L96)+$W$1,IF(RIGHT(H96,2)="SH",(1-L96)+$W$3,""))),0)</f>
        <v>3.8103905227316492E-2</v>
      </c>
      <c r="W96" s="709"/>
      <c r="X96" s="698">
        <f t="shared" ca="1" si="78"/>
        <v>11</v>
      </c>
      <c r="Y96" s="698">
        <f t="shared" ref="Y96:Y101" ca="1" si="84">VLOOKUP($AD96,INDIRECT("'"&amp;$B96&amp;"'!"&amp;"$P$118:$AD$121"),12,FALSE)</f>
        <v>63</v>
      </c>
      <c r="Z96" s="698">
        <f t="shared" ref="Z96:Z101" ca="1" si="85">VLOOKUP($AD96,INDIRECT("'"&amp;$B96&amp;"'!"&amp;"$P$118:$AD$121"),13,FALSE)</f>
        <v>11</v>
      </c>
      <c r="AA96" s="698">
        <f t="shared" ref="AA96:AA101" ca="1" si="86">VLOOKUP($AD96,INDIRECT("'"&amp;$B96&amp;"'!"&amp;"$P$118:$AD$121"),14,FALSE)</f>
        <v>3</v>
      </c>
      <c r="AB96" s="698">
        <f t="shared" ref="AB96:AB101" ca="1" si="87">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1"/>
        <v>INDTWH</v>
      </c>
      <c r="J97" s="224">
        <f t="shared" si="31"/>
        <v>2030</v>
      </c>
      <c r="K97" s="81"/>
      <c r="L97" s="199">
        <f t="shared" ca="1" si="79"/>
        <v>1.1618960947726835</v>
      </c>
      <c r="M97" s="199"/>
      <c r="N97" s="81"/>
      <c r="O97" s="723">
        <f t="shared" ca="1" si="80"/>
        <v>4.8425000000000002</v>
      </c>
      <c r="P97" s="723">
        <f t="shared" ca="1" si="81"/>
        <v>0.267455</v>
      </c>
      <c r="Q97" s="81">
        <f t="shared" ca="1" si="82"/>
        <v>5.8461805555555557</v>
      </c>
      <c r="R97" s="300"/>
      <c r="S97" s="300"/>
      <c r="T97" s="300"/>
      <c r="U97" s="300"/>
      <c r="V97" s="199">
        <f t="shared" ref="V97" ca="1" si="88">IF(IF(RIGHT(H96,2)="PH",(1-L97)+$W$2,IF(RIGHT(H96,2)="HT",(1-L97)+$W$1,IF(RIGHT(H96,2)="SH",(1-L97)+$W$3,"")))&gt;0,IF(RIGHT(H96,2)="PH",(1-L97)+$W$2,IF(RIGHT(H96,2)="HT",(1-L97)+$W$1,IF(RIGHT(H96,2)="SH",(1-L97)+$W$3,""))),0)</f>
        <v>3.8103905227316492E-2</v>
      </c>
      <c r="W97" s="298"/>
      <c r="X97" s="698">
        <f t="shared" ca="1" si="78"/>
        <v>11</v>
      </c>
      <c r="Y97" s="698">
        <f t="shared" ca="1" si="84"/>
        <v>49</v>
      </c>
      <c r="Z97" s="698">
        <f t="shared" ca="1" si="85"/>
        <v>8</v>
      </c>
      <c r="AA97" s="698">
        <f t="shared" ca="1" si="86"/>
        <v>3</v>
      </c>
      <c r="AB97" s="698">
        <f t="shared" ca="1" si="87"/>
        <v>10</v>
      </c>
      <c r="AC97" s="55"/>
      <c r="AD97" s="81">
        <v>2030</v>
      </c>
      <c r="AE97" s="81"/>
      <c r="AF97" s="700"/>
    </row>
    <row r="98" spans="2:32">
      <c r="B98" s="357" t="s">
        <v>1008</v>
      </c>
      <c r="C98" s="55"/>
      <c r="D98" s="261"/>
      <c r="E98" s="261"/>
      <c r="F98" s="224" t="s">
        <v>1149</v>
      </c>
      <c r="G98" s="55"/>
      <c r="H98" s="174"/>
      <c r="I98" s="174" t="str">
        <f t="shared" si="21"/>
        <v>INDTWH</v>
      </c>
      <c r="J98" s="224">
        <f t="shared" si="31"/>
        <v>2050</v>
      </c>
      <c r="K98" s="81"/>
      <c r="L98" s="199">
        <f t="shared" ca="1" si="79"/>
        <v>1.1618960947726835</v>
      </c>
      <c r="M98" s="199"/>
      <c r="N98" s="81"/>
      <c r="O98" s="723">
        <f t="shared" ca="1" si="80"/>
        <v>4.3955000000000002</v>
      </c>
      <c r="P98" s="723">
        <f t="shared" ca="1" si="81"/>
        <v>0.25106499999999998</v>
      </c>
      <c r="Q98" s="81">
        <f t="shared" ca="1" si="82"/>
        <v>5.8937777777777782</v>
      </c>
      <c r="R98" s="300"/>
      <c r="S98" s="300"/>
      <c r="T98" s="300"/>
      <c r="U98" s="300"/>
      <c r="V98" s="199">
        <f t="shared" ref="V98" ca="1" si="89">IF(IF(RIGHT(H96,2)="PH",(1-L98)+$W$2,IF(RIGHT(H96,2)="HT",(1-L98)+$W$1,IF(RIGHT(H96,2)="SH",(1-L98)+$W$3,"")))&gt;0,IF(RIGHT(H96,2)="PH",(1-L98)+$W$2,IF(RIGHT(H96,2)="HT",(1-L98)+$W$1,IF(RIGHT(H96,2)="SH",(1-L98)+$W$3,""))),0)</f>
        <v>3.8103905227316492E-2</v>
      </c>
      <c r="W98" s="298"/>
      <c r="X98" s="698">
        <f t="shared" ca="1" si="78"/>
        <v>11</v>
      </c>
      <c r="Y98" s="698">
        <f t="shared" ca="1" si="84"/>
        <v>41</v>
      </c>
      <c r="Z98" s="698">
        <f t="shared" ca="1" si="85"/>
        <v>4</v>
      </c>
      <c r="AA98" s="698">
        <f t="shared" ca="1" si="86"/>
        <v>1</v>
      </c>
      <c r="AB98" s="698">
        <f t="shared" ca="1" si="87"/>
        <v>10</v>
      </c>
      <c r="AC98" s="203"/>
      <c r="AD98" s="81">
        <v>2050</v>
      </c>
      <c r="AE98" s="81"/>
      <c r="AF98" s="705"/>
    </row>
    <row r="99" spans="2:32">
      <c r="B99" s="357" t="s">
        <v>1008</v>
      </c>
      <c r="C99" s="55"/>
      <c r="D99" s="261" t="str">
        <f>"IND"&amp;RIGHT(H99,4)&amp;RIGHT(G99,3)&amp;"N"&amp;RIGHT(E99,1)</f>
        <v>INDTDSHWCHN2</v>
      </c>
      <c r="E99" s="261" t="str">
        <f>"Industrial heating technology "&amp;$AJ$12&amp;" "&amp;RIGHT(H99,2)&amp;" - Wood chip boiler (Steam - condensing) - new 2"</f>
        <v>Industrial heating technology Transport SH - Wood chip boiler (Steam - condensing) - new 2</v>
      </c>
      <c r="F99" s="224" t="s">
        <v>1149</v>
      </c>
      <c r="G99" s="174" t="s">
        <v>498</v>
      </c>
      <c r="H99" s="174" t="str">
        <f>$AI$15</f>
        <v>ITDSH</v>
      </c>
      <c r="I99" s="174" t="str">
        <f t="shared" si="21"/>
        <v>INDTWH</v>
      </c>
      <c r="J99" s="224">
        <f t="shared" si="31"/>
        <v>2011</v>
      </c>
      <c r="K99" s="299">
        <v>2025</v>
      </c>
      <c r="L99" s="199">
        <f t="shared" ca="1" si="79"/>
        <v>1.1618960947726835</v>
      </c>
      <c r="M99" s="199"/>
      <c r="N99" s="81">
        <f ca="1">VLOOKUP($AD99,INDIRECT("'"&amp;$B99&amp;"'!"&amp;"$P$118:$AD$121"),5,FALSE)</f>
        <v>25</v>
      </c>
      <c r="O99" s="723">
        <f t="shared" ca="1" si="80"/>
        <v>5.0660000000000007</v>
      </c>
      <c r="P99" s="723">
        <f t="shared" ca="1" si="81"/>
        <v>0.27564999999999995</v>
      </c>
      <c r="Q99" s="81">
        <f t="shared" ca="1" si="82"/>
        <v>5.7509861111111107</v>
      </c>
      <c r="R99" s="81">
        <v>3.1536000000000002E-2</v>
      </c>
      <c r="S99" s="199">
        <v>0.5</v>
      </c>
      <c r="T99" s="199">
        <f ca="1">HLOOKUP($T$2,INDIRECT("'"&amp;$B99&amp;"'!"&amp;"$P$85:$AC$98"),IF(H99=$AI$13,6,IF(H99=$AI$14,9,14)),FALSE)</f>
        <v>0</v>
      </c>
      <c r="U99" s="772"/>
      <c r="V99" s="199">
        <f t="shared" ref="V99" ca="1" si="90">IF(IF(RIGHT(H99,2)="PH",(1-L99)+$W$2,IF(RIGHT(H99,2)="HT",(1-L99)+$W$1,IF(RIGHT(H99,2)="SH",(1-L99)+$W$3,"")))&gt;0,IF(RIGHT(H99,2)="PH",(1-L99)+$W$2,IF(RIGHT(H99,2)="HT",(1-L99)+$W$1,IF(RIGHT(H99,2)="SH",(1-L99)+$W$3,""))),0)</f>
        <v>0</v>
      </c>
      <c r="W99" s="298"/>
      <c r="X99" s="698">
        <f t="shared" ca="1" si="78"/>
        <v>11</v>
      </c>
      <c r="Y99" s="698">
        <f t="shared" ca="1" si="84"/>
        <v>63</v>
      </c>
      <c r="Z99" s="698">
        <f t="shared" ca="1" si="85"/>
        <v>11</v>
      </c>
      <c r="AA99" s="698">
        <f t="shared" ca="1" si="86"/>
        <v>3</v>
      </c>
      <c r="AB99" s="698">
        <f t="shared" ca="1" si="87"/>
        <v>10</v>
      </c>
      <c r="AC99" s="296"/>
      <c r="AD99" s="81">
        <v>2020</v>
      </c>
      <c r="AE99" s="81"/>
      <c r="AF99" s="710"/>
    </row>
    <row r="100" spans="2:32">
      <c r="B100" s="357" t="s">
        <v>1008</v>
      </c>
      <c r="C100" s="55"/>
      <c r="D100" s="261"/>
      <c r="E100" s="261"/>
      <c r="F100" s="224" t="s">
        <v>1149</v>
      </c>
      <c r="G100" s="55"/>
      <c r="H100" s="174"/>
      <c r="I100" s="174" t="str">
        <f t="shared" si="21"/>
        <v>INDTWH</v>
      </c>
      <c r="J100" s="224">
        <f t="shared" si="31"/>
        <v>2030</v>
      </c>
      <c r="K100" s="81"/>
      <c r="L100" s="199">
        <f t="shared" ca="1" si="79"/>
        <v>1.1618960947726835</v>
      </c>
      <c r="M100" s="199"/>
      <c r="N100" s="81"/>
      <c r="O100" s="723">
        <f t="shared" ca="1" si="80"/>
        <v>4.8425000000000002</v>
      </c>
      <c r="P100" s="723">
        <f t="shared" ca="1" si="81"/>
        <v>0.267455</v>
      </c>
      <c r="Q100" s="81">
        <f t="shared" ca="1" si="82"/>
        <v>5.8461805555555557</v>
      </c>
      <c r="R100" s="300"/>
      <c r="S100" s="300"/>
      <c r="T100" s="300"/>
      <c r="U100" s="300"/>
      <c r="V100" s="199">
        <f t="shared" ref="V100" ca="1" si="91">IF(IF(RIGHT(H99,2)="PH",(1-L100)+$W$2,IF(RIGHT(H99,2)="HT",(1-L100)+$W$1,IF(RIGHT(H99,2)="SH",(1-L100)+$W$3,"")))&gt;0,IF(RIGHT(H99,2)="PH",(1-L100)+$W$2,IF(RIGHT(H99,2)="HT",(1-L100)+$W$1,IF(RIGHT(H99,2)="SH",(1-L100)+$W$3,""))),0)</f>
        <v>0</v>
      </c>
      <c r="W100" s="298"/>
      <c r="X100" s="698">
        <f t="shared" ca="1" si="78"/>
        <v>11</v>
      </c>
      <c r="Y100" s="698">
        <f t="shared" ca="1" si="84"/>
        <v>49</v>
      </c>
      <c r="Z100" s="698">
        <f t="shared" ca="1" si="85"/>
        <v>8</v>
      </c>
      <c r="AA100" s="698">
        <f t="shared" ca="1" si="86"/>
        <v>3</v>
      </c>
      <c r="AB100" s="698">
        <f t="shared" ca="1" si="87"/>
        <v>10</v>
      </c>
      <c r="AC100" s="55"/>
      <c r="AD100" s="81">
        <v>2030</v>
      </c>
      <c r="AE100" s="81"/>
      <c r="AF100" s="700"/>
    </row>
    <row r="101" spans="2:32">
      <c r="B101" s="356" t="s">
        <v>1008</v>
      </c>
      <c r="C101" s="203"/>
      <c r="D101" s="701"/>
      <c r="E101" s="701"/>
      <c r="F101" s="224" t="s">
        <v>1149</v>
      </c>
      <c r="G101" s="203"/>
      <c r="H101" s="702"/>
      <c r="I101" s="702" t="str">
        <f t="shared" si="21"/>
        <v>INDTWH</v>
      </c>
      <c r="J101" s="224">
        <f t="shared" si="31"/>
        <v>2050</v>
      </c>
      <c r="K101" s="81"/>
      <c r="L101" s="199">
        <f t="shared" ca="1" si="79"/>
        <v>1.1618960947726835</v>
      </c>
      <c r="M101" s="199"/>
      <c r="N101" s="81"/>
      <c r="O101" s="723">
        <f t="shared" ca="1" si="80"/>
        <v>4.3955000000000002</v>
      </c>
      <c r="P101" s="723">
        <f t="shared" ca="1" si="81"/>
        <v>0.25106499999999998</v>
      </c>
      <c r="Q101" s="81">
        <f t="shared" ca="1" si="82"/>
        <v>5.8937777777777782</v>
      </c>
      <c r="R101" s="703"/>
      <c r="S101" s="703"/>
      <c r="T101" s="703"/>
      <c r="U101" s="703"/>
      <c r="V101" s="199">
        <f t="shared" ref="V101" ca="1" si="92">IF(IF(RIGHT(H99,2)="PH",(1-L101)+$W$2,IF(RIGHT(H99,2)="HT",(1-L101)+$W$1,IF(RIGHT(H99,2)="SH",(1-L101)+$W$3,"")))&gt;0,IF(RIGHT(H99,2)="PH",(1-L101)+$W$2,IF(RIGHT(H99,2)="HT",(1-L101)+$W$1,IF(RIGHT(H99,2)="SH",(1-L101)+$W$3,""))),0)</f>
        <v>0</v>
      </c>
      <c r="W101" s="704"/>
      <c r="X101" s="698">
        <f t="shared" ca="1" si="78"/>
        <v>11</v>
      </c>
      <c r="Y101" s="698">
        <f t="shared" ca="1" si="84"/>
        <v>41</v>
      </c>
      <c r="Z101" s="698">
        <f t="shared" ca="1" si="85"/>
        <v>4</v>
      </c>
      <c r="AA101" s="698">
        <f t="shared" ca="1" si="86"/>
        <v>1</v>
      </c>
      <c r="AB101" s="698">
        <f t="shared" ca="1" si="87"/>
        <v>10</v>
      </c>
      <c r="AC101" s="55"/>
      <c r="AD101" s="81">
        <v>2050</v>
      </c>
      <c r="AE101" s="81"/>
      <c r="AF101" s="700"/>
    </row>
    <row r="102" spans="2:32">
      <c r="B102" s="717" t="s">
        <v>1008</v>
      </c>
      <c r="C102" s="712"/>
      <c r="D102" s="707" t="str">
        <f>"IND"&amp;RIGHT(H102,4)&amp;RIGHT(G102,3)&amp;"N"&amp;RIGHT(E102,1)</f>
        <v>INDTDPHWCHN3</v>
      </c>
      <c r="E102" s="707" t="str">
        <f>"Industrial heating technology "&amp;$AJ$12&amp;" "&amp;RIGHT(H102,2)&amp;" - Wood chip boiler (Hot Water) - new 3"</f>
        <v>Industrial heating technology Transport PH - Wood chip boiler (Hot Water) - new 3</v>
      </c>
      <c r="F102" s="224" t="s">
        <v>1149</v>
      </c>
      <c r="G102" s="708" t="s">
        <v>498</v>
      </c>
      <c r="H102" s="708" t="str">
        <f>$AI$14</f>
        <v>ITDPH</v>
      </c>
      <c r="I102" s="708" t="str">
        <f t="shared" si="21"/>
        <v>INDTWH</v>
      </c>
      <c r="J102" s="224">
        <f t="shared" si="31"/>
        <v>2011</v>
      </c>
      <c r="K102" s="299">
        <v>2025</v>
      </c>
      <c r="L102" s="199">
        <f t="shared" ref="L102:L107" ca="1" si="93">VLOOKUP($AD102,INDIRECT("'"&amp;$B102&amp;"'!"&amp;"$P$200:$AD$203"),3,FALSE)</f>
        <v>0.9</v>
      </c>
      <c r="M102" s="199"/>
      <c r="N102" s="81">
        <f ca="1">VLOOKUP($AD102,INDIRECT("'"&amp;$B102&amp;"'!"&amp;"$P$200:$AD$203"),5,FALSE)</f>
        <v>25</v>
      </c>
      <c r="O102" s="723">
        <f t="shared" ref="O102:O107" ca="1" si="94">VLOOKUP($AD102,INDIRECT("'"&amp;$B102&amp;"'!"&amp;"$P$200:$AD$203"),6,FALSE)/1000</f>
        <v>4.6054545454545437</v>
      </c>
      <c r="P102" s="723">
        <f t="shared" ref="P102:P107" ca="1" si="95">VLOOKUP($AD102,INDIRECT("'"&amp;$B102&amp;"'!"&amp;"$P$200:$AD$203"),7,FALSE)/1000</f>
        <v>0.25106499999999998</v>
      </c>
      <c r="Q102" s="81">
        <f t="shared" ref="Q102:Q107" ca="1" si="96">VLOOKUP($AD102,INDIRECT("'"&amp;$B102&amp;"'!"&amp;"$P$200:$AD$203"),8,FALSE)</f>
        <v>5.7509861111111107</v>
      </c>
      <c r="R102" s="81">
        <v>3.1536000000000002E-2</v>
      </c>
      <c r="S102" s="199">
        <v>0.5</v>
      </c>
      <c r="T102" s="199">
        <f ca="1">HLOOKUP($T$2,INDIRECT("'"&amp;$B102&amp;"'!"&amp;"$P$167:$AC$180"),IF(H102=$AI$13,6,IF(H102=$AI$14,9,14)),FALSE)</f>
        <v>0</v>
      </c>
      <c r="U102" s="773"/>
      <c r="V102" s="199">
        <f t="shared" ref="V102" ca="1" si="97">IF(IF(RIGHT(H102,2)="PH",(1-L102)+$W$2,IF(RIGHT(H102,2)="HT",(1-L102)+$W$1,IF(RIGHT(H102,2)="SH",(1-L102)+$W$3,"")))&gt;0,IF(RIGHT(H102,2)="PH",(1-L102)+$W$2,IF(RIGHT(H102,2)="HT",(1-L102)+$W$1,IF(RIGHT(H102,2)="SH",(1-L102)+$W$3,""))),0)</f>
        <v>0.3</v>
      </c>
      <c r="W102" s="709"/>
      <c r="X102" s="698">
        <f t="shared" ca="1" si="78"/>
        <v>11</v>
      </c>
      <c r="Y102" s="698">
        <f t="shared" ref="Y102:Y107" ca="1" si="98">VLOOKUP($AD102,INDIRECT("'"&amp;$B102&amp;"'!"&amp;"$P$200:$AD$203"),12,FALSE)</f>
        <v>63</v>
      </c>
      <c r="Z102" s="698">
        <f t="shared" ref="Z102:Z107" ca="1" si="99">VLOOKUP($AD102,INDIRECT("'"&amp;$B102&amp;"'!"&amp;"$P$200:$AD$203"),13,FALSE)</f>
        <v>11</v>
      </c>
      <c r="AA102" s="698">
        <f t="shared" ref="AA102:AA107" ca="1" si="100">VLOOKUP($AD102,INDIRECT("'"&amp;$B102&amp;"'!"&amp;"$P$200:$AD$203"),14,FALSE)</f>
        <v>3</v>
      </c>
      <c r="AB102" s="698">
        <f t="shared" ref="AB102:AB107" ca="1" si="101">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1"/>
        <v>INDTWH</v>
      </c>
      <c r="J103" s="224">
        <f t="shared" si="31"/>
        <v>2030</v>
      </c>
      <c r="K103" s="81"/>
      <c r="L103" s="199">
        <f t="shared" ca="1" si="93"/>
        <v>0.9</v>
      </c>
      <c r="M103" s="199"/>
      <c r="N103" s="81"/>
      <c r="O103" s="723">
        <f t="shared" ca="1" si="94"/>
        <v>4.4022727272727282</v>
      </c>
      <c r="P103" s="723">
        <f t="shared" ca="1" si="95"/>
        <v>0.267455</v>
      </c>
      <c r="Q103" s="81">
        <f t="shared" ca="1" si="96"/>
        <v>5.8461805555555557</v>
      </c>
      <c r="R103" s="300"/>
      <c r="S103" s="300"/>
      <c r="T103" s="300"/>
      <c r="U103" s="300"/>
      <c r="V103" s="199">
        <f t="shared" ref="V103" ca="1" si="102">IF(IF(RIGHT(H102,2)="PH",(1-L103)+$W$2,IF(RIGHT(H102,2)="HT",(1-L103)+$W$1,IF(RIGHT(H102,2)="SH",(1-L103)+$W$3,"")))&gt;0,IF(RIGHT(H102,2)="PH",(1-L103)+$W$2,IF(RIGHT(H102,2)="HT",(1-L103)+$W$1,IF(RIGHT(H102,2)="SH",(1-L103)+$W$3,""))),0)</f>
        <v>0.3</v>
      </c>
      <c r="W103" s="298"/>
      <c r="X103" s="698">
        <f t="shared" ca="1" si="78"/>
        <v>11</v>
      </c>
      <c r="Y103" s="698">
        <f t="shared" ca="1" si="98"/>
        <v>49</v>
      </c>
      <c r="Z103" s="698">
        <f t="shared" ca="1" si="99"/>
        <v>8</v>
      </c>
      <c r="AA103" s="698">
        <f t="shared" ca="1" si="100"/>
        <v>3</v>
      </c>
      <c r="AB103" s="698">
        <f t="shared" ca="1" si="101"/>
        <v>10</v>
      </c>
      <c r="AC103" s="55"/>
      <c r="AD103" s="81">
        <v>2030</v>
      </c>
      <c r="AE103" s="81"/>
      <c r="AF103" s="700"/>
    </row>
    <row r="104" spans="2:32">
      <c r="B104" s="718" t="s">
        <v>1008</v>
      </c>
      <c r="C104" s="226"/>
      <c r="D104" s="261"/>
      <c r="E104" s="261"/>
      <c r="F104" s="224" t="s">
        <v>1149</v>
      </c>
      <c r="G104" s="55"/>
      <c r="H104" s="174"/>
      <c r="I104" s="174" t="str">
        <f t="shared" si="21"/>
        <v>INDTWH</v>
      </c>
      <c r="J104" s="224">
        <f t="shared" si="31"/>
        <v>2050</v>
      </c>
      <c r="K104" s="81"/>
      <c r="L104" s="199">
        <f t="shared" ca="1" si="93"/>
        <v>0.91</v>
      </c>
      <c r="M104" s="199"/>
      <c r="N104" s="81"/>
      <c r="O104" s="723">
        <f t="shared" ca="1" si="94"/>
        <v>3.9959090909090884</v>
      </c>
      <c r="P104" s="723">
        <f t="shared" ca="1" si="95"/>
        <v>0.25106499999999998</v>
      </c>
      <c r="Q104" s="81">
        <f t="shared" ca="1" si="96"/>
        <v>5.8937777777777782</v>
      </c>
      <c r="R104" s="300"/>
      <c r="S104" s="300"/>
      <c r="T104" s="300"/>
      <c r="U104" s="300"/>
      <c r="V104" s="199">
        <f t="shared" ref="V104" ca="1" si="103">IF(IF(RIGHT(H102,2)="PH",(1-L104)+$W$2,IF(RIGHT(H102,2)="HT",(1-L104)+$W$1,IF(RIGHT(H102,2)="SH",(1-L104)+$W$3,"")))&gt;0,IF(RIGHT(H102,2)="PH",(1-L104)+$W$2,IF(RIGHT(H102,2)="HT",(1-L104)+$W$1,IF(RIGHT(H102,2)="SH",(1-L104)+$W$3,""))),0)</f>
        <v>0.28999999999999998</v>
      </c>
      <c r="W104" s="298"/>
      <c r="X104" s="698">
        <f t="shared" ca="1" si="78"/>
        <v>11</v>
      </c>
      <c r="Y104" s="698">
        <f t="shared" ca="1" si="98"/>
        <v>41</v>
      </c>
      <c r="Z104" s="698">
        <f t="shared" ca="1" si="99"/>
        <v>4</v>
      </c>
      <c r="AA104" s="698">
        <f t="shared" ca="1" si="100"/>
        <v>1</v>
      </c>
      <c r="AB104" s="698">
        <f t="shared" ca="1" si="101"/>
        <v>10</v>
      </c>
      <c r="AC104" s="203"/>
      <c r="AD104" s="81">
        <v>2050</v>
      </c>
      <c r="AE104" s="81"/>
      <c r="AF104" s="705"/>
    </row>
    <row r="105" spans="2:32">
      <c r="B105" s="718" t="s">
        <v>1008</v>
      </c>
      <c r="C105" s="226"/>
      <c r="D105" s="261" t="str">
        <f>"IND"&amp;RIGHT(H105,4)&amp;RIGHT(G105,3)&amp;"N"&amp;RIGHT(E105,1)</f>
        <v>INDTDSHWCHN3</v>
      </c>
      <c r="E105" s="261" t="str">
        <f>"Industrial heating technology "&amp;$AJ$12&amp;" "&amp;RIGHT(H105,2)&amp;" - Wood chip boiler (Hot Water) - new 3"</f>
        <v>Industrial heating technology Transport SH - Wood chip boiler (Hot Water) - new 3</v>
      </c>
      <c r="F105" s="224" t="s">
        <v>1149</v>
      </c>
      <c r="G105" s="174" t="s">
        <v>498</v>
      </c>
      <c r="H105" s="174" t="str">
        <f>$AI$15</f>
        <v>ITDSH</v>
      </c>
      <c r="I105" s="174" t="str">
        <f t="shared" si="21"/>
        <v>INDTWH</v>
      </c>
      <c r="J105" s="224">
        <f t="shared" si="31"/>
        <v>2011</v>
      </c>
      <c r="K105" s="299">
        <v>2025</v>
      </c>
      <c r="L105" s="199">
        <f t="shared" ca="1" si="93"/>
        <v>0.9</v>
      </c>
      <c r="M105" s="199"/>
      <c r="N105" s="81">
        <f ca="1">VLOOKUP($AD105,INDIRECT("'"&amp;$B105&amp;"'!"&amp;"$P$200:$AD$203"),5,FALSE)</f>
        <v>25</v>
      </c>
      <c r="O105" s="723">
        <f t="shared" ca="1" si="94"/>
        <v>4.6054545454545437</v>
      </c>
      <c r="P105" s="723">
        <f t="shared" ca="1" si="95"/>
        <v>0.25106499999999998</v>
      </c>
      <c r="Q105" s="81">
        <f t="shared" ca="1" si="96"/>
        <v>5.7509861111111107</v>
      </c>
      <c r="R105" s="81">
        <v>3.1536000000000002E-2</v>
      </c>
      <c r="S105" s="199">
        <v>0.5</v>
      </c>
      <c r="T105" s="199">
        <f ca="1">HLOOKUP($T$2,INDIRECT("'"&amp;$B105&amp;"'!"&amp;"$P$167:$AC$180"),IF(H105=$AI$13,6,IF(H105=$AI$14,9,14)),FALSE)</f>
        <v>1</v>
      </c>
      <c r="U105" s="773"/>
      <c r="V105" s="199">
        <f t="shared" ref="V105" ca="1" si="104">IF(IF(RIGHT(H105,2)="PH",(1-L105)+$W$2,IF(RIGHT(H105,2)="HT",(1-L105)+$W$1,IF(RIGHT(H105,2)="SH",(1-L105)+$W$3,"")))&gt;0,IF(RIGHT(H105,2)="PH",(1-L105)+$W$2,IF(RIGHT(H105,2)="HT",(1-L105)+$W$1,IF(RIGHT(H105,2)="SH",(1-L105)+$W$3,""))),0)</f>
        <v>9.9999999999999978E-2</v>
      </c>
      <c r="W105" s="709"/>
      <c r="X105" s="698">
        <f t="shared" ca="1" si="78"/>
        <v>11</v>
      </c>
      <c r="Y105" s="698">
        <f t="shared" ca="1" si="98"/>
        <v>63</v>
      </c>
      <c r="Z105" s="698">
        <f t="shared" ca="1" si="99"/>
        <v>11</v>
      </c>
      <c r="AA105" s="698">
        <f t="shared" ca="1" si="100"/>
        <v>3</v>
      </c>
      <c r="AB105" s="698">
        <f t="shared" ca="1" si="101"/>
        <v>10</v>
      </c>
      <c r="AC105" s="296"/>
      <c r="AD105" s="81">
        <v>2020</v>
      </c>
      <c r="AE105" s="81"/>
      <c r="AF105" s="710"/>
    </row>
    <row r="106" spans="2:32">
      <c r="B106" s="718" t="s">
        <v>1008</v>
      </c>
      <c r="C106" s="226"/>
      <c r="D106" s="261"/>
      <c r="E106" s="261"/>
      <c r="F106" s="224" t="s">
        <v>1149</v>
      </c>
      <c r="G106" s="55"/>
      <c r="H106" s="174"/>
      <c r="I106" s="174" t="str">
        <f t="shared" si="21"/>
        <v>INDTWH</v>
      </c>
      <c r="J106" s="224">
        <f t="shared" si="31"/>
        <v>2030</v>
      </c>
      <c r="K106" s="81"/>
      <c r="L106" s="199">
        <f t="shared" ca="1" si="93"/>
        <v>0.9</v>
      </c>
      <c r="M106" s="199"/>
      <c r="N106" s="81"/>
      <c r="O106" s="723">
        <f t="shared" ca="1" si="94"/>
        <v>4.4022727272727282</v>
      </c>
      <c r="P106" s="723">
        <f t="shared" ca="1" si="95"/>
        <v>0.267455</v>
      </c>
      <c r="Q106" s="81">
        <f t="shared" ca="1" si="96"/>
        <v>5.8461805555555557</v>
      </c>
      <c r="R106" s="300"/>
      <c r="S106" s="300"/>
      <c r="T106" s="300"/>
      <c r="U106" s="300"/>
      <c r="V106" s="199">
        <f t="shared" ref="V106" ca="1" si="105">IF(IF(RIGHT(H105,2)="PH",(1-L106)+$W$2,IF(RIGHT(H105,2)="HT",(1-L106)+$W$1,IF(RIGHT(H105,2)="SH",(1-L106)+$W$3,"")))&gt;0,IF(RIGHT(H105,2)="PH",(1-L106)+$W$2,IF(RIGHT(H105,2)="HT",(1-L106)+$W$1,IF(RIGHT(H105,2)="SH",(1-L106)+$W$3,""))),0)</f>
        <v>9.9999999999999978E-2</v>
      </c>
      <c r="W106" s="298"/>
      <c r="X106" s="698">
        <f t="shared" ca="1" si="78"/>
        <v>11</v>
      </c>
      <c r="Y106" s="698">
        <f t="shared" ca="1" si="98"/>
        <v>49</v>
      </c>
      <c r="Z106" s="698">
        <f t="shared" ca="1" si="99"/>
        <v>8</v>
      </c>
      <c r="AA106" s="698">
        <f t="shared" ca="1" si="100"/>
        <v>3</v>
      </c>
      <c r="AB106" s="698">
        <f t="shared" ca="1" si="101"/>
        <v>10</v>
      </c>
      <c r="AC106" s="55"/>
      <c r="AD106" s="81">
        <v>2030</v>
      </c>
      <c r="AE106" s="81"/>
      <c r="AF106" s="700"/>
    </row>
    <row r="107" spans="2:32">
      <c r="B107" s="719" t="s">
        <v>1008</v>
      </c>
      <c r="C107" s="713"/>
      <c r="D107" s="701"/>
      <c r="E107" s="701"/>
      <c r="F107" s="224" t="s">
        <v>1149</v>
      </c>
      <c r="G107" s="203"/>
      <c r="H107" s="702"/>
      <c r="I107" s="702" t="str">
        <f t="shared" si="21"/>
        <v>INDTWH</v>
      </c>
      <c r="J107" s="224">
        <f t="shared" si="31"/>
        <v>2050</v>
      </c>
      <c r="K107" s="81"/>
      <c r="L107" s="199">
        <f t="shared" ca="1" si="93"/>
        <v>0.91</v>
      </c>
      <c r="M107" s="199"/>
      <c r="N107" s="81"/>
      <c r="O107" s="723">
        <f t="shared" ca="1" si="94"/>
        <v>3.9959090909090884</v>
      </c>
      <c r="P107" s="723">
        <f t="shared" ca="1" si="95"/>
        <v>0.25106499999999998</v>
      </c>
      <c r="Q107" s="81">
        <f t="shared" ca="1" si="96"/>
        <v>5.8937777777777782</v>
      </c>
      <c r="R107" s="300"/>
      <c r="S107" s="300"/>
      <c r="T107" s="300"/>
      <c r="U107" s="300"/>
      <c r="V107" s="199">
        <f t="shared" ref="V107" ca="1" si="106">IF(IF(RIGHT(H105,2)="PH",(1-L107)+$W$2,IF(RIGHT(H105,2)="HT",(1-L107)+$W$1,IF(RIGHT(H105,2)="SH",(1-L107)+$W$3,"")))&gt;0,IF(RIGHT(H105,2)="PH",(1-L107)+$W$2,IF(RIGHT(H105,2)="HT",(1-L107)+$W$1,IF(RIGHT(H105,2)="SH",(1-L107)+$W$3,""))),0)</f>
        <v>8.9999999999999969E-2</v>
      </c>
      <c r="W107" s="298"/>
      <c r="X107" s="698">
        <f t="shared" ca="1" si="78"/>
        <v>11</v>
      </c>
      <c r="Y107" s="698">
        <f t="shared" ca="1" si="98"/>
        <v>41</v>
      </c>
      <c r="Z107" s="698">
        <f t="shared" ca="1" si="99"/>
        <v>4</v>
      </c>
      <c r="AA107" s="698">
        <f t="shared" ca="1" si="100"/>
        <v>1</v>
      </c>
      <c r="AB107" s="698">
        <f t="shared" ca="1" si="101"/>
        <v>10</v>
      </c>
      <c r="AC107" s="55"/>
      <c r="AD107" s="81">
        <v>2050</v>
      </c>
      <c r="AE107" s="81"/>
      <c r="AF107" s="700"/>
    </row>
    <row r="108" spans="2:32">
      <c r="B108" s="717" t="s">
        <v>1008</v>
      </c>
      <c r="C108" s="712"/>
      <c r="D108" s="707" t="str">
        <f>"IND"&amp;RIGHT(H108,4)&amp;RIGHT(G108,3)&amp;"N"&amp;RIGHT(E108,1)</f>
        <v>INDTDPHWCHN4</v>
      </c>
      <c r="E108" s="707" t="str">
        <f>"Industrial heating technology "&amp;$AJ$12&amp;" "&amp;RIGHT(H108,2)&amp;" - Wood chip boiler (Hot Water - condensing) - new 4"</f>
        <v>Industrial heating technology Transport PH - Wood chip boiler (Hot Water - condensing) - new 4</v>
      </c>
      <c r="F108" s="224" t="s">
        <v>1149</v>
      </c>
      <c r="G108" s="708" t="s">
        <v>498</v>
      </c>
      <c r="H108" s="708" t="str">
        <f>$AI$14</f>
        <v>ITDPH</v>
      </c>
      <c r="I108" s="708" t="str">
        <f t="shared" si="21"/>
        <v>INDTWH</v>
      </c>
      <c r="J108" s="224">
        <f t="shared" si="31"/>
        <v>2011</v>
      </c>
      <c r="K108" s="299">
        <v>2025</v>
      </c>
      <c r="L108" s="199">
        <f t="shared" ref="L108:L113" ca="1" si="107">VLOOKUP($AD108,INDIRECT("'"&amp;$B108&amp;"'!"&amp;"$P$279:$AD$282"),3,FALSE)</f>
        <v>1.1618960947726835</v>
      </c>
      <c r="M108" s="199"/>
      <c r="N108" s="81">
        <f ca="1">VLOOKUP($AD108,INDIRECT("'"&amp;$B108&amp;"'!"&amp;"$P$279:$AD$282"),5,FALSE)</f>
        <v>25</v>
      </c>
      <c r="O108" s="723">
        <f t="shared" ref="O108:O113" ca="1" si="108">VLOOKUP($AD108,INDIRECT("'"&amp;$B108&amp;"'!"&amp;"$P$279:$AD$282"),6,FALSE)/1000</f>
        <v>5.0660000000000007</v>
      </c>
      <c r="P108" s="723">
        <f t="shared" ref="P108:P113" ca="1" si="109">VLOOKUP($AD108,INDIRECT("'"&amp;$B108&amp;"'!"&amp;"$P$279:$AD$282"),7,FALSE)/1000</f>
        <v>0.27564999999999995</v>
      </c>
      <c r="Q108" s="81">
        <f t="shared" ref="Q108:Q113" ca="1" si="110">VLOOKUP($AD108,INDIRECT("'"&amp;$B108&amp;"'!"&amp;"$P$279:$AD$282"),8,FALSE)</f>
        <v>5.7509861111111107</v>
      </c>
      <c r="R108" s="81">
        <v>3.1536000000000002E-2</v>
      </c>
      <c r="S108" s="199">
        <v>0.5</v>
      </c>
      <c r="T108" s="199">
        <f ca="1">HLOOKUP($T$2,INDIRECT("'"&amp;$B108&amp;"'!"&amp;"$P$246:$AC$259"),IF(H108=$AI$13,6,IF(H108=$AI$14,9,14)),FALSE)</f>
        <v>0</v>
      </c>
      <c r="U108" s="773"/>
      <c r="V108" s="199">
        <f t="shared" ref="V108" ca="1" si="111">IF(IF(RIGHT(H108,2)="PH",(1-L108)+$W$2,IF(RIGHT(H108,2)="HT",(1-L108)+$W$1,IF(RIGHT(H108,2)="SH",(1-L108)+$W$3,"")))&gt;0,IF(RIGHT(H108,2)="PH",(1-L108)+$W$2,IF(RIGHT(H108,2)="HT",(1-L108)+$W$1,IF(RIGHT(H108,2)="SH",(1-L108)+$W$3,""))),0)</f>
        <v>3.8103905227316492E-2</v>
      </c>
      <c r="W108" s="709"/>
      <c r="X108" s="698">
        <f t="shared" ca="1" si="78"/>
        <v>11</v>
      </c>
      <c r="Y108" s="698">
        <f t="shared" ref="Y108:Y113" ca="1" si="112">VLOOKUP($AD108,INDIRECT("'"&amp;$B108&amp;"'!"&amp;"$P$279:$AD$282"),12,FALSE)</f>
        <v>63</v>
      </c>
      <c r="Z108" s="698">
        <f t="shared" ref="Z108:Z113" ca="1" si="113">VLOOKUP($AD108,INDIRECT("'"&amp;$B108&amp;"'!"&amp;"$P$279:$AD$282"),13,FALSE)</f>
        <v>11</v>
      </c>
      <c r="AA108" s="698">
        <f t="shared" ref="AA108:AA113" ca="1" si="114">VLOOKUP($AD108,INDIRECT("'"&amp;$B108&amp;"'!"&amp;"$P$279:$AD$282"),14,FALSE)</f>
        <v>3</v>
      </c>
      <c r="AB108" s="698">
        <f t="shared" ref="AB108:AB113" ca="1" si="115">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1"/>
        <v>INDTWH</v>
      </c>
      <c r="J109" s="224">
        <f t="shared" si="31"/>
        <v>2030</v>
      </c>
      <c r="K109" s="81"/>
      <c r="L109" s="199">
        <f t="shared" ca="1" si="107"/>
        <v>1.1618960947726835</v>
      </c>
      <c r="M109" s="199"/>
      <c r="N109" s="81"/>
      <c r="O109" s="723">
        <f t="shared" ca="1" si="108"/>
        <v>4.8425000000000002</v>
      </c>
      <c r="P109" s="723">
        <f t="shared" ca="1" si="109"/>
        <v>0.267455</v>
      </c>
      <c r="Q109" s="81">
        <f t="shared" ca="1" si="110"/>
        <v>5.8461805555555557</v>
      </c>
      <c r="R109" s="300"/>
      <c r="S109" s="300"/>
      <c r="T109" s="300"/>
      <c r="U109" s="300"/>
      <c r="V109" s="199">
        <f t="shared" ref="V109" ca="1" si="116">IF(IF(RIGHT(H108,2)="PH",(1-L109)+$W$2,IF(RIGHT(H108,2)="HT",(1-L109)+$W$1,IF(RIGHT(H108,2)="SH",(1-L109)+$W$3,"")))&gt;0,IF(RIGHT(H108,2)="PH",(1-L109)+$W$2,IF(RIGHT(H108,2)="HT",(1-L109)+$W$1,IF(RIGHT(H108,2)="SH",(1-L109)+$W$3,""))),0)</f>
        <v>3.8103905227316492E-2</v>
      </c>
      <c r="W109" s="298"/>
      <c r="X109" s="698">
        <f t="shared" ca="1" si="78"/>
        <v>11</v>
      </c>
      <c r="Y109" s="698">
        <f t="shared" ca="1" si="112"/>
        <v>49</v>
      </c>
      <c r="Z109" s="698">
        <f t="shared" ca="1" si="113"/>
        <v>8</v>
      </c>
      <c r="AA109" s="698">
        <f t="shared" ca="1" si="114"/>
        <v>3</v>
      </c>
      <c r="AB109" s="698">
        <f t="shared" ca="1" si="115"/>
        <v>10</v>
      </c>
      <c r="AC109" s="55"/>
      <c r="AD109" s="81">
        <v>2030</v>
      </c>
      <c r="AE109" s="81"/>
      <c r="AF109" s="700"/>
    </row>
    <row r="110" spans="2:32">
      <c r="B110" s="718" t="s">
        <v>1008</v>
      </c>
      <c r="C110" s="226"/>
      <c r="D110" s="261"/>
      <c r="E110" s="261"/>
      <c r="F110" s="224" t="s">
        <v>1149</v>
      </c>
      <c r="G110" s="55"/>
      <c r="H110" s="174"/>
      <c r="I110" s="174" t="str">
        <f t="shared" si="21"/>
        <v>INDTWH</v>
      </c>
      <c r="J110" s="224">
        <f t="shared" si="31"/>
        <v>2050</v>
      </c>
      <c r="K110" s="81"/>
      <c r="L110" s="199">
        <f t="shared" ca="1" si="107"/>
        <v>1.1618960947726835</v>
      </c>
      <c r="M110" s="199"/>
      <c r="N110" s="81"/>
      <c r="O110" s="723">
        <f t="shared" ca="1" si="108"/>
        <v>4.3955000000000002</v>
      </c>
      <c r="P110" s="723">
        <f t="shared" ca="1" si="109"/>
        <v>0.25106499999999998</v>
      </c>
      <c r="Q110" s="81">
        <f t="shared" ca="1" si="110"/>
        <v>5.8937777777777782</v>
      </c>
      <c r="R110" s="300"/>
      <c r="S110" s="300"/>
      <c r="T110" s="300"/>
      <c r="U110" s="300"/>
      <c r="V110" s="199">
        <f t="shared" ref="V110" ca="1" si="117">IF(IF(RIGHT(H108,2)="PH",(1-L110)+$W$2,IF(RIGHT(H108,2)="HT",(1-L110)+$W$1,IF(RIGHT(H108,2)="SH",(1-L110)+$W$3,"")))&gt;0,IF(RIGHT(H108,2)="PH",(1-L110)+$W$2,IF(RIGHT(H108,2)="HT",(1-L110)+$W$1,IF(RIGHT(H108,2)="SH",(1-L110)+$W$3,""))),0)</f>
        <v>3.8103905227316492E-2</v>
      </c>
      <c r="W110" s="298"/>
      <c r="X110" s="698">
        <f t="shared" ca="1" si="78"/>
        <v>11</v>
      </c>
      <c r="Y110" s="698">
        <f t="shared" ca="1" si="112"/>
        <v>41</v>
      </c>
      <c r="Z110" s="698">
        <f t="shared" ca="1" si="113"/>
        <v>4</v>
      </c>
      <c r="AA110" s="698">
        <f t="shared" ca="1" si="114"/>
        <v>1</v>
      </c>
      <c r="AB110" s="698">
        <f t="shared" ca="1" si="115"/>
        <v>10</v>
      </c>
      <c r="AC110" s="203"/>
      <c r="AD110" s="81">
        <v>2050</v>
      </c>
      <c r="AE110" s="81"/>
      <c r="AF110" s="705"/>
    </row>
    <row r="111" spans="2:32">
      <c r="B111" s="718" t="s">
        <v>1008</v>
      </c>
      <c r="C111" s="226"/>
      <c r="D111" s="261" t="str">
        <f>"IND"&amp;RIGHT(H111,4)&amp;RIGHT(G111,3)&amp;"N"&amp;RIGHT(E111,1)</f>
        <v>INDTDSHWCHN4</v>
      </c>
      <c r="E111" s="261" t="str">
        <f>"Industrial heating technology "&amp;$AJ$12&amp;" "&amp;RIGHT(H111,2)&amp;" - Wood chip boiler (Hot Water- condensing) - new 4"</f>
        <v>Industrial heating technology Transport SH - Wood chip boiler (Hot Water- condensing) - new 4</v>
      </c>
      <c r="F111" s="224" t="s">
        <v>1149</v>
      </c>
      <c r="G111" s="174" t="s">
        <v>498</v>
      </c>
      <c r="H111" s="174" t="str">
        <f>$AI$15</f>
        <v>ITDSH</v>
      </c>
      <c r="I111" s="174" t="str">
        <f t="shared" si="21"/>
        <v>INDTWH</v>
      </c>
      <c r="J111" s="224">
        <f t="shared" si="31"/>
        <v>2011</v>
      </c>
      <c r="K111" s="299">
        <v>2025</v>
      </c>
      <c r="L111" s="199">
        <f t="shared" ca="1" si="107"/>
        <v>1.1618960947726835</v>
      </c>
      <c r="M111" s="199"/>
      <c r="N111" s="81">
        <f ca="1">VLOOKUP($AD111,INDIRECT("'"&amp;$B111&amp;"'!"&amp;"$P$279:$AD$282"),5,FALSE)</f>
        <v>25</v>
      </c>
      <c r="O111" s="723">
        <f t="shared" ca="1" si="108"/>
        <v>5.0660000000000007</v>
      </c>
      <c r="P111" s="723">
        <f t="shared" ca="1" si="109"/>
        <v>0.27564999999999995</v>
      </c>
      <c r="Q111" s="81">
        <f t="shared" ca="1" si="110"/>
        <v>5.7509861111111107</v>
      </c>
      <c r="R111" s="81">
        <v>3.1536000000000002E-2</v>
      </c>
      <c r="S111" s="199">
        <v>0.5</v>
      </c>
      <c r="T111" s="199">
        <f ca="1">HLOOKUP($T$2,INDIRECT("'"&amp;$B111&amp;"'!"&amp;"$P$246:$AC$259"),IF(H111=$AI$13,6,IF(H111=$AI$14,9,14)),FALSE)</f>
        <v>0</v>
      </c>
      <c r="U111" s="773"/>
      <c r="V111" s="199">
        <f t="shared" ref="V111" ca="1" si="118">IF(IF(RIGHT(H111,2)="PH",(1-L111)+$W$2,IF(RIGHT(H111,2)="HT",(1-L111)+$W$1,IF(RIGHT(H111,2)="SH",(1-L111)+$W$3,"")))&gt;0,IF(RIGHT(H111,2)="PH",(1-L111)+$W$2,IF(RIGHT(H111,2)="HT",(1-L111)+$W$1,IF(RIGHT(H111,2)="SH",(1-L111)+$W$3,""))),0)</f>
        <v>0</v>
      </c>
      <c r="W111" s="709"/>
      <c r="X111" s="698">
        <f t="shared" ca="1" si="78"/>
        <v>11</v>
      </c>
      <c r="Y111" s="698">
        <f t="shared" ca="1" si="112"/>
        <v>63</v>
      </c>
      <c r="Z111" s="698">
        <f t="shared" ca="1" si="113"/>
        <v>11</v>
      </c>
      <c r="AA111" s="698">
        <f t="shared" ca="1" si="114"/>
        <v>3</v>
      </c>
      <c r="AB111" s="698">
        <f t="shared" ca="1" si="115"/>
        <v>10</v>
      </c>
      <c r="AD111" s="81">
        <v>2020</v>
      </c>
      <c r="AE111" s="81"/>
      <c r="AF111" s="220"/>
    </row>
    <row r="112" spans="2:32">
      <c r="B112" s="718" t="s">
        <v>1008</v>
      </c>
      <c r="C112" s="226"/>
      <c r="D112" s="261"/>
      <c r="E112" s="261"/>
      <c r="F112" s="224" t="s">
        <v>1149</v>
      </c>
      <c r="G112" s="55"/>
      <c r="H112" s="174"/>
      <c r="I112" s="174" t="str">
        <f t="shared" si="21"/>
        <v>INDTWH</v>
      </c>
      <c r="J112" s="224">
        <f t="shared" si="31"/>
        <v>2030</v>
      </c>
      <c r="K112" s="81"/>
      <c r="L112" s="199">
        <f t="shared" ca="1" si="107"/>
        <v>1.1618960947726835</v>
      </c>
      <c r="M112" s="199"/>
      <c r="N112" s="81"/>
      <c r="O112" s="723">
        <f t="shared" ca="1" si="108"/>
        <v>4.8425000000000002</v>
      </c>
      <c r="P112" s="723">
        <f t="shared" ca="1" si="109"/>
        <v>0.267455</v>
      </c>
      <c r="Q112" s="81">
        <f t="shared" ca="1" si="110"/>
        <v>5.8461805555555557</v>
      </c>
      <c r="R112" s="300"/>
      <c r="S112" s="300"/>
      <c r="T112" s="300"/>
      <c r="U112" s="300"/>
      <c r="V112" s="199">
        <f t="shared" ref="V112" ca="1" si="119">IF(IF(RIGHT(H111,2)="PH",(1-L112)+$W$2,IF(RIGHT(H111,2)="HT",(1-L112)+$W$1,IF(RIGHT(H111,2)="SH",(1-L112)+$W$3,"")))&gt;0,IF(RIGHT(H111,2)="PH",(1-L112)+$W$2,IF(RIGHT(H111,2)="HT",(1-L112)+$W$1,IF(RIGHT(H111,2)="SH",(1-L112)+$W$3,""))),0)</f>
        <v>0</v>
      </c>
      <c r="W112" s="298"/>
      <c r="X112" s="698">
        <f t="shared" ca="1" si="78"/>
        <v>11</v>
      </c>
      <c r="Y112" s="698">
        <f t="shared" ca="1" si="112"/>
        <v>49</v>
      </c>
      <c r="Z112" s="698">
        <f t="shared" ca="1" si="113"/>
        <v>8</v>
      </c>
      <c r="AA112" s="698">
        <f t="shared" ca="1" si="114"/>
        <v>3</v>
      </c>
      <c r="AB112" s="698">
        <f t="shared" ca="1" si="115"/>
        <v>10</v>
      </c>
      <c r="AD112" s="81">
        <v>2030</v>
      </c>
      <c r="AE112" s="81"/>
      <c r="AF112" s="220"/>
    </row>
    <row r="113" spans="2:32">
      <c r="B113" s="719" t="s">
        <v>1008</v>
      </c>
      <c r="C113" s="713"/>
      <c r="D113" s="701"/>
      <c r="E113" s="701"/>
      <c r="F113" s="224" t="s">
        <v>1149</v>
      </c>
      <c r="G113" s="203"/>
      <c r="H113" s="702"/>
      <c r="I113" s="702" t="str">
        <f t="shared" si="21"/>
        <v>INDTWH</v>
      </c>
      <c r="J113" s="224">
        <f t="shared" si="31"/>
        <v>2050</v>
      </c>
      <c r="K113" s="81"/>
      <c r="L113" s="199">
        <f t="shared" ca="1" si="107"/>
        <v>1.1618960947726835</v>
      </c>
      <c r="M113" s="199"/>
      <c r="N113" s="81"/>
      <c r="O113" s="723">
        <f t="shared" ca="1" si="108"/>
        <v>4.3955000000000002</v>
      </c>
      <c r="P113" s="723">
        <f t="shared" ca="1" si="109"/>
        <v>0.25106499999999998</v>
      </c>
      <c r="Q113" s="81">
        <f t="shared" ca="1" si="110"/>
        <v>5.8937777777777782</v>
      </c>
      <c r="R113" s="300"/>
      <c r="S113" s="300"/>
      <c r="T113" s="300"/>
      <c r="U113" s="300"/>
      <c r="V113" s="199">
        <f t="shared" ref="V113" ca="1" si="120">IF(IF(RIGHT(H111,2)="PH",(1-L113)+$W$2,IF(RIGHT(H111,2)="HT",(1-L113)+$W$1,IF(RIGHT(H111,2)="SH",(1-L113)+$W$3,"")))&gt;0,IF(RIGHT(H111,2)="PH",(1-L113)+$W$2,IF(RIGHT(H111,2)="HT",(1-L113)+$W$1,IF(RIGHT(H111,2)="SH",(1-L113)+$W$3,""))),0)</f>
        <v>0</v>
      </c>
      <c r="W113" s="714"/>
      <c r="X113" s="698">
        <f t="shared" ca="1" si="78"/>
        <v>11</v>
      </c>
      <c r="Y113" s="698">
        <f t="shared" ca="1" si="112"/>
        <v>41</v>
      </c>
      <c r="Z113" s="698">
        <f t="shared" ca="1" si="113"/>
        <v>4</v>
      </c>
      <c r="AA113" s="698">
        <f t="shared" ca="1" si="114"/>
        <v>1</v>
      </c>
      <c r="AB113" s="698">
        <f t="shared" ca="1" si="115"/>
        <v>10</v>
      </c>
      <c r="AD113" s="81">
        <v>2050</v>
      </c>
      <c r="AE113" s="81"/>
      <c r="AF113" s="220"/>
    </row>
    <row r="114" spans="2:32">
      <c r="B114" s="718" t="s">
        <v>1014</v>
      </c>
      <c r="C114" s="226"/>
      <c r="D114" s="212" t="str">
        <f>"IND"&amp;RIGHT(H114,4)&amp;RIGHT(G114,3)&amp;"N"&amp;RIGHT(E114,2)</f>
        <v>INDTDPHELCN10</v>
      </c>
      <c r="E114" s="261" t="str">
        <f>"Industrial heating technology "&amp;$AJ$12&amp;" "&amp;RIGHT(H114,2)&amp;" - Direct electric heating - new 10"</f>
        <v>Industrial heating technology Transport PH - Direct electric heating - new 10</v>
      </c>
      <c r="F114" s="224" t="s">
        <v>1149</v>
      </c>
      <c r="G114" s="173" t="s">
        <v>499</v>
      </c>
      <c r="H114" s="174" t="str">
        <f>$AI$13</f>
        <v>ITDPH</v>
      </c>
      <c r="I114" s="174" t="str">
        <f t="shared" si="21"/>
        <v>INDTWH</v>
      </c>
      <c r="J114" s="224">
        <f t="shared" si="31"/>
        <v>2011</v>
      </c>
      <c r="K114" s="299">
        <v>2020</v>
      </c>
      <c r="L114" s="199">
        <f t="shared" ref="L114:L128" ca="1" si="121">VLOOKUP($AD114,INDIRECT("'"&amp;$B114&amp;"'!"&amp;"$P$39:$AD$42"),3,FALSE)</f>
        <v>1</v>
      </c>
      <c r="M114" s="199"/>
      <c r="N114" s="81">
        <f ca="1">VLOOKUP($AD114,INDIRECT("'"&amp;$B114&amp;"'!"&amp;"$P$39:$AD$42"),5,FALSE)</f>
        <v>12.5</v>
      </c>
      <c r="O114" s="723">
        <f t="shared" ref="O114:O128" ca="1" si="122">VLOOKUP($AD114,INDIRECT("'"&amp;$B114&amp;"'!"&amp;"$P$39:$AD$42"),6,FALSE)/1000</f>
        <v>0.44700000000000001</v>
      </c>
      <c r="P114" s="723">
        <f t="shared" ref="P114:P128" ca="1" si="123">VLOOKUP($AD114,INDIRECT("'"&amp;$B114&amp;"'!"&amp;"$P$39:$AD$42"),7,FALSE)/1000</f>
        <v>0</v>
      </c>
      <c r="Q114" s="81">
        <f t="shared" ref="Q114:Q128" ca="1" si="124">VLOOKUP($AD114,INDIRECT("'"&amp;$B114&amp;"'!"&amp;"$P$39:$AD$42"),8,FALSE)</f>
        <v>0.37767361111111114</v>
      </c>
      <c r="R114" s="81">
        <v>3.1536000000000002E-2</v>
      </c>
      <c r="S114" s="199">
        <v>0.5</v>
      </c>
      <c r="T114" s="199">
        <f ca="1">HLOOKUP($S$2,INDIRECT("'"&amp;$B114&amp;"'!"&amp;"$P$6:$AC$19"),IF(H114=$AI$13,6,IF(H114=$AI$14,9,14)),FALSE)</f>
        <v>0.05</v>
      </c>
      <c r="U114" s="772"/>
      <c r="V114" s="199">
        <f t="shared" ref="V114" ca="1" si="125">IF(IF(RIGHT(H114,2)="PH",(1-L114)+$W$2,IF(RIGHT(H114,2)="HT",(1-L114)+$W$1,IF(RIGHT(H114,2)="SH",(1-L114)+$W$3,"")))&gt;0,IF(RIGHT(H114,2)="PH",(1-L114)+$W$2,IF(RIGHT(H114,2)="HT",(1-L114)+$W$1,IF(RIGHT(H114,2)="SH",(1-L114)+$W$3,""))),0)</f>
        <v>0.2</v>
      </c>
      <c r="W114" s="298"/>
      <c r="X114" s="698">
        <f t="shared" ca="1" si="78"/>
        <v>0</v>
      </c>
      <c r="Y114" s="81">
        <f t="shared" ref="Y114:Y128" ca="1" si="126">VLOOKUP($AD114,INDIRECT("'"&amp;$B114&amp;"'!"&amp;"$P$39:$AD$42"),12,FALSE)</f>
        <v>0</v>
      </c>
      <c r="Z114" s="81">
        <f t="shared" ref="Z114:Z128" ca="1" si="127">VLOOKUP($AD114,INDIRECT("'"&amp;$B114&amp;"'!"&amp;"$P$39:$AD$42"),13,FALSE)</f>
        <v>0</v>
      </c>
      <c r="AA114" s="81">
        <f t="shared" ref="AA114:AA128" ca="1" si="128">VLOOKUP($AD114,INDIRECT("'"&amp;$B114&amp;"'!"&amp;"$P$39:$AD$42"),14,FALSE)</f>
        <v>0</v>
      </c>
      <c r="AB114" s="81">
        <f t="shared" ref="AB114:AB128" ca="1" si="129">VLOOKUP($AD114,INDIRECT("'"&amp;$B114&amp;"'!"&amp;"$P$39:$AD$42"),15,FALSE)</f>
        <v>0</v>
      </c>
      <c r="AD114" s="81">
        <v>2020</v>
      </c>
      <c r="AE114" s="81"/>
      <c r="AF114" s="220"/>
    </row>
    <row r="115" spans="2:32">
      <c r="B115" s="718" t="s">
        <v>1014</v>
      </c>
      <c r="C115" s="226"/>
      <c r="D115" s="212"/>
      <c r="E115" s="212"/>
      <c r="F115" s="224" t="s">
        <v>1149</v>
      </c>
      <c r="H115" s="174"/>
      <c r="I115" s="174" t="str">
        <f t="shared" si="21"/>
        <v>INDTWH</v>
      </c>
      <c r="J115" s="224">
        <f t="shared" si="31"/>
        <v>2030</v>
      </c>
      <c r="K115" s="81"/>
      <c r="L115" s="199">
        <f t="shared" ca="1" si="121"/>
        <v>1</v>
      </c>
      <c r="M115" s="199"/>
      <c r="N115" s="81"/>
      <c r="O115" s="723">
        <f t="shared" ca="1" si="122"/>
        <v>0.44700000000000001</v>
      </c>
      <c r="P115" s="723">
        <f t="shared" ca="1" si="123"/>
        <v>0</v>
      </c>
      <c r="Q115" s="81">
        <f t="shared" ca="1" si="124"/>
        <v>0.38802083333333331</v>
      </c>
      <c r="R115" s="300"/>
      <c r="S115" s="300"/>
      <c r="T115" s="300"/>
      <c r="U115" s="300"/>
      <c r="V115" s="199">
        <f t="shared" ref="V115" ca="1" si="130">IF(IF(RIGHT(H114,2)="PH",(1-L115)+$W$2,IF(RIGHT(H114,2)="HT",(1-L115)+$W$1,IF(RIGHT(H114,2)="SH",(1-L115)+$W$3,"")))&gt;0,IF(RIGHT(H114,2)="PH",(1-L115)+$W$2,IF(RIGHT(H114,2)="HT",(1-L115)+$W$1,IF(RIGHT(H114,2)="SH",(1-L115)+$W$3,""))),0)</f>
        <v>0.2</v>
      </c>
      <c r="W115" s="298"/>
      <c r="X115" s="698">
        <f t="shared" ca="1" si="78"/>
        <v>0</v>
      </c>
      <c r="Y115" s="81">
        <f t="shared" ca="1" si="126"/>
        <v>0</v>
      </c>
      <c r="Z115" s="81">
        <f t="shared" ca="1" si="127"/>
        <v>0</v>
      </c>
      <c r="AA115" s="81">
        <f t="shared" ca="1" si="128"/>
        <v>0</v>
      </c>
      <c r="AB115" s="81">
        <f t="shared" ca="1" si="129"/>
        <v>0</v>
      </c>
      <c r="AD115" s="81">
        <v>2030</v>
      </c>
      <c r="AE115" s="81"/>
      <c r="AF115" s="220"/>
    </row>
    <row r="116" spans="2:32">
      <c r="B116" s="718" t="s">
        <v>1014</v>
      </c>
      <c r="C116" s="226"/>
      <c r="D116" s="212"/>
      <c r="E116" s="212"/>
      <c r="F116" s="224" t="s">
        <v>1149</v>
      </c>
      <c r="H116" s="174"/>
      <c r="I116" s="174" t="str">
        <f t="shared" si="21"/>
        <v>INDTWH</v>
      </c>
      <c r="J116" s="224">
        <f t="shared" si="31"/>
        <v>2050</v>
      </c>
      <c r="K116" s="81"/>
      <c r="L116" s="199">
        <f t="shared" ca="1" si="121"/>
        <v>1</v>
      </c>
      <c r="M116" s="199"/>
      <c r="N116" s="81"/>
      <c r="O116" s="723">
        <f t="shared" ca="1" si="122"/>
        <v>0.44700000000000001</v>
      </c>
      <c r="P116" s="723">
        <f t="shared" ca="1" si="123"/>
        <v>0</v>
      </c>
      <c r="Q116" s="81">
        <f t="shared" ca="1" si="124"/>
        <v>0.39319444444444446</v>
      </c>
      <c r="R116" s="300"/>
      <c r="S116" s="300"/>
      <c r="T116" s="300"/>
      <c r="U116" s="300"/>
      <c r="V116" s="199">
        <f t="shared" ref="V116" ca="1" si="131">IF(IF(RIGHT(H114,2)="PH",(1-L116)+$W$2,IF(RIGHT(H114,2)="HT",(1-L116)+$W$1,IF(RIGHT(H114,2)="SH",(1-L116)+$W$3,"")))&gt;0,IF(RIGHT(H114,2)="PH",(1-L116)+$W$2,IF(RIGHT(H114,2)="HT",(1-L116)+$W$1,IF(RIGHT(H114,2)="SH",(1-L116)+$W$3,""))),0)</f>
        <v>0.2</v>
      </c>
      <c r="W116" s="298"/>
      <c r="X116" s="698">
        <f t="shared" ca="1" si="78"/>
        <v>0</v>
      </c>
      <c r="Y116" s="81">
        <f t="shared" ca="1" si="126"/>
        <v>0</v>
      </c>
      <c r="Z116" s="81">
        <f t="shared" ca="1" si="127"/>
        <v>0</v>
      </c>
      <c r="AA116" s="81">
        <f t="shared" ca="1" si="128"/>
        <v>0</v>
      </c>
      <c r="AB116" s="81">
        <f t="shared" ca="1" si="129"/>
        <v>0</v>
      </c>
      <c r="AC116" s="203"/>
      <c r="AD116" s="81">
        <v>2050</v>
      </c>
      <c r="AE116" s="81"/>
      <c r="AF116" s="705"/>
    </row>
    <row r="117" spans="2:32">
      <c r="B117" s="718" t="s">
        <v>1014</v>
      </c>
      <c r="C117" s="226"/>
      <c r="D117" s="212" t="str">
        <f>"IND"&amp;RIGHT(H117,4)&amp;RIGHT(G117,3)&amp;"N"&amp;RIGHT(E117,2)</f>
        <v>INDTDPHELCN10</v>
      </c>
      <c r="E117" s="261" t="str">
        <f>"Industrial heating technology "&amp;$AJ$12&amp;" "&amp;RIGHT(H117,2)&amp;" - Direct electric heating - new 10"</f>
        <v>Industrial heating technology Transport PH - Direct electric heating - new 10</v>
      </c>
      <c r="F117" s="224" t="s">
        <v>1149</v>
      </c>
      <c r="G117" s="173" t="s">
        <v>499</v>
      </c>
      <c r="H117" s="174" t="str">
        <f>$AI$14</f>
        <v>ITDPH</v>
      </c>
      <c r="I117" s="174" t="str">
        <f t="shared" si="21"/>
        <v>INDTWH</v>
      </c>
      <c r="J117" s="224">
        <f t="shared" si="31"/>
        <v>2011</v>
      </c>
      <c r="K117" s="299">
        <v>2020</v>
      </c>
      <c r="L117" s="199">
        <f t="shared" ca="1" si="121"/>
        <v>1</v>
      </c>
      <c r="M117" s="199"/>
      <c r="N117" s="81">
        <f ca="1">VLOOKUP($AD117,INDIRECT("'"&amp;$B117&amp;"'!"&amp;"$P$39:$AD$42"),5,FALSE)</f>
        <v>12.5</v>
      </c>
      <c r="O117" s="723">
        <f t="shared" ca="1" si="122"/>
        <v>0.44700000000000001</v>
      </c>
      <c r="P117" s="723">
        <f t="shared" ca="1" si="123"/>
        <v>0</v>
      </c>
      <c r="Q117" s="81">
        <f t="shared" ca="1" si="124"/>
        <v>0.37767361111111114</v>
      </c>
      <c r="R117" s="81">
        <v>3.1536000000000002E-2</v>
      </c>
      <c r="S117" s="199">
        <v>0.5</v>
      </c>
      <c r="T117" s="199">
        <f ca="1">HLOOKUP($S$2,INDIRECT("'"&amp;$B117&amp;"'!"&amp;"$P$6:$AC$19"),IF(H117=$AI$13,6,IF(H117=$AI$14,9,14)),FALSE)</f>
        <v>0.05</v>
      </c>
      <c r="U117" s="772"/>
      <c r="V117" s="199">
        <f t="shared" ref="V117" ca="1" si="132">IF(IF(RIGHT(H117,2)="PH",(1-L117)+$W$2,IF(RIGHT(H117,2)="HT",(1-L117)+$W$1,IF(RIGHT(H117,2)="SH",(1-L117)+$W$3,"")))&gt;0,IF(RIGHT(H117,2)="PH",(1-L117)+$W$2,IF(RIGHT(H117,2)="HT",(1-L117)+$W$1,IF(RIGHT(H117,2)="SH",(1-L117)+$W$3,""))),0)</f>
        <v>0.2</v>
      </c>
      <c r="W117" s="298"/>
      <c r="X117" s="698">
        <f t="shared" ca="1" si="78"/>
        <v>0</v>
      </c>
      <c r="Y117" s="81">
        <f t="shared" ca="1" si="126"/>
        <v>0</v>
      </c>
      <c r="Z117" s="81">
        <f t="shared" ca="1" si="127"/>
        <v>0</v>
      </c>
      <c r="AA117" s="81">
        <f t="shared" ca="1" si="128"/>
        <v>0</v>
      </c>
      <c r="AB117" s="81">
        <f t="shared" ca="1" si="129"/>
        <v>0</v>
      </c>
      <c r="AD117" s="81">
        <v>2020</v>
      </c>
      <c r="AE117" s="299"/>
      <c r="AF117" s="220"/>
    </row>
    <row r="118" spans="2:32">
      <c r="B118" s="718" t="s">
        <v>1014</v>
      </c>
      <c r="C118" s="226"/>
      <c r="D118" s="212"/>
      <c r="E118" s="212"/>
      <c r="F118" s="224" t="s">
        <v>1149</v>
      </c>
      <c r="H118" s="174"/>
      <c r="I118" s="174" t="str">
        <f t="shared" si="21"/>
        <v>INDTWH</v>
      </c>
      <c r="J118" s="224">
        <f t="shared" si="31"/>
        <v>2030</v>
      </c>
      <c r="K118" s="81"/>
      <c r="L118" s="199">
        <f t="shared" ca="1" si="121"/>
        <v>1</v>
      </c>
      <c r="M118" s="199"/>
      <c r="N118" s="81"/>
      <c r="O118" s="723">
        <f t="shared" ca="1" si="122"/>
        <v>0.44700000000000001</v>
      </c>
      <c r="P118" s="723">
        <f t="shared" ca="1" si="123"/>
        <v>0</v>
      </c>
      <c r="Q118" s="81">
        <f t="shared" ca="1" si="124"/>
        <v>0.38802083333333331</v>
      </c>
      <c r="R118" s="300"/>
      <c r="S118" s="300"/>
      <c r="T118" s="300"/>
      <c r="U118" s="300"/>
      <c r="V118" s="199">
        <f t="shared" ref="V118" ca="1" si="133">IF(IF(RIGHT(H117,2)="PH",(1-L118)+$W$2,IF(RIGHT(H117,2)="HT",(1-L118)+$W$1,IF(RIGHT(H117,2)="SH",(1-L118)+$W$3,"")))&gt;0,IF(RIGHT(H117,2)="PH",(1-L118)+$W$2,IF(RIGHT(H117,2)="HT",(1-L118)+$W$1,IF(RIGHT(H117,2)="SH",(1-L118)+$W$3,""))),0)</f>
        <v>0.2</v>
      </c>
      <c r="W118" s="298"/>
      <c r="X118" s="698">
        <f t="shared" ca="1" si="78"/>
        <v>0</v>
      </c>
      <c r="Y118" s="81">
        <f t="shared" ca="1" si="126"/>
        <v>0</v>
      </c>
      <c r="Z118" s="81">
        <f t="shared" ca="1" si="127"/>
        <v>0</v>
      </c>
      <c r="AA118" s="81">
        <f t="shared" ca="1" si="128"/>
        <v>0</v>
      </c>
      <c r="AB118" s="81">
        <f t="shared" ca="1" si="129"/>
        <v>0</v>
      </c>
      <c r="AD118" s="81">
        <v>2030</v>
      </c>
      <c r="AE118" s="81"/>
      <c r="AF118" s="220"/>
    </row>
    <row r="119" spans="2:32">
      <c r="B119" s="719" t="s">
        <v>1014</v>
      </c>
      <c r="C119" s="713"/>
      <c r="D119" s="701"/>
      <c r="E119" s="701"/>
      <c r="F119" s="224" t="s">
        <v>1149</v>
      </c>
      <c r="G119" s="203"/>
      <c r="H119" s="702"/>
      <c r="I119" s="702" t="str">
        <f t="shared" si="21"/>
        <v>INDTWH</v>
      </c>
      <c r="J119" s="224">
        <f t="shared" si="31"/>
        <v>2050</v>
      </c>
      <c r="K119" s="81"/>
      <c r="L119" s="199">
        <f t="shared" ca="1" si="121"/>
        <v>1</v>
      </c>
      <c r="M119" s="199"/>
      <c r="N119" s="81"/>
      <c r="O119" s="723">
        <f t="shared" ca="1" si="122"/>
        <v>0.44700000000000001</v>
      </c>
      <c r="P119" s="723">
        <f t="shared" ca="1" si="123"/>
        <v>0</v>
      </c>
      <c r="Q119" s="81">
        <f t="shared" ca="1" si="124"/>
        <v>0.39319444444444446</v>
      </c>
      <c r="R119" s="703"/>
      <c r="S119" s="703"/>
      <c r="T119" s="703"/>
      <c r="U119" s="703"/>
      <c r="V119" s="199">
        <f t="shared" ref="V119" ca="1" si="134">IF(IF(RIGHT(H117,2)="PH",(1-L119)+$W$2,IF(RIGHT(H117,2)="HT",(1-L119)+$W$1,IF(RIGHT(H117,2)="SH",(1-L119)+$W$3,"")))&gt;0,IF(RIGHT(H117,2)="PH",(1-L119)+$W$2,IF(RIGHT(H117,2)="HT",(1-L119)+$W$1,IF(RIGHT(H117,2)="SH",(1-L119)+$W$3,""))),0)</f>
        <v>0.2</v>
      </c>
      <c r="W119" s="704"/>
      <c r="X119" s="698">
        <f t="shared" ca="1" si="78"/>
        <v>0</v>
      </c>
      <c r="Y119" s="81">
        <f t="shared" ca="1" si="126"/>
        <v>0</v>
      </c>
      <c r="Z119" s="81">
        <f t="shared" ca="1" si="127"/>
        <v>0</v>
      </c>
      <c r="AA119" s="81">
        <f t="shared" ca="1" si="128"/>
        <v>0</v>
      </c>
      <c r="AB119" s="81">
        <f t="shared" ca="1" si="129"/>
        <v>0</v>
      </c>
      <c r="AD119" s="81">
        <v>2050</v>
      </c>
      <c r="AE119" s="81"/>
      <c r="AF119" s="220"/>
    </row>
    <row r="120" spans="2:32">
      <c r="B120" s="718" t="s">
        <v>1009</v>
      </c>
      <c r="C120" s="226"/>
      <c r="D120" s="212" t="str">
        <f>"IND"&amp;RIGHT(H120,4)&amp;"DSL"&amp;"N"&amp;RIGHT(E120,1)</f>
        <v>INDTDPHDSLN1</v>
      </c>
      <c r="E120" s="261" t="str">
        <f>"Industrial heating technology "&amp;$AJ$12&amp;" "&amp;RIGHT(H120,2)&amp;" - Oil boiler (Steam) - new 1"</f>
        <v>Industrial heating technology Transport PH - Oil boiler (Steam) - new 1</v>
      </c>
      <c r="F120" s="224" t="s">
        <v>1149</v>
      </c>
      <c r="G120" s="173" t="s">
        <v>2081</v>
      </c>
      <c r="H120" s="174" t="str">
        <f>$AI$13</f>
        <v>ITDPH</v>
      </c>
      <c r="I120" s="174" t="str">
        <f t="shared" si="21"/>
        <v>INDTWH</v>
      </c>
      <c r="J120" s="224">
        <f t="shared" si="31"/>
        <v>2011</v>
      </c>
      <c r="K120" s="299">
        <v>2025</v>
      </c>
      <c r="L120" s="199">
        <f t="shared" ca="1" si="121"/>
        <v>0.94</v>
      </c>
      <c r="M120" s="699"/>
      <c r="N120" s="299">
        <f ca="1">VLOOKUP($AD120,INDIRECT("'"&amp;$B120&amp;"'!"&amp;"$P$39:$AD$42"),5,FALSE)</f>
        <v>25</v>
      </c>
      <c r="O120" s="725">
        <f t="shared" ca="1" si="122"/>
        <v>0.40975</v>
      </c>
      <c r="P120" s="725">
        <f t="shared" ca="1" si="123"/>
        <v>1.341E-2</v>
      </c>
      <c r="Q120" s="299">
        <f t="shared" ca="1" si="124"/>
        <v>2.0694444444444446</v>
      </c>
      <c r="R120" s="299">
        <v>3.1536000000000002E-2</v>
      </c>
      <c r="S120" s="699">
        <v>0.5</v>
      </c>
      <c r="T120" s="699">
        <f ca="1">HLOOKUP($T$2,INDIRECT("'"&amp;$B120&amp;"'!"&amp;"$P$6:$AC$19"),IF(H120=$AI$13,6,IF(H120=$AI$14,9,14)),FALSE)</f>
        <v>1</v>
      </c>
      <c r="U120" s="772"/>
      <c r="V120" s="199">
        <f t="shared" ref="V120" ca="1" si="135">IF(IF(RIGHT(H120,2)="PH",(1-L120)+$W$2,IF(RIGHT(H120,2)="HT",(1-L120)+$W$1,IF(RIGHT(H120,2)="SH",(1-L120)+$W$3,"")))&gt;0,IF(RIGHT(H120,2)="PH",(1-L120)+$W$2,IF(RIGHT(H120,2)="HT",(1-L120)+$W$1,IF(RIGHT(H120,2)="SH",(1-L120)+$W$3,""))),0)</f>
        <v>0.26000000000000006</v>
      </c>
      <c r="W120" s="298"/>
      <c r="X120" s="698">
        <f t="shared" ca="1" si="78"/>
        <v>0.5</v>
      </c>
      <c r="Y120" s="299">
        <f t="shared" ca="1" si="126"/>
        <v>25</v>
      </c>
      <c r="Z120" s="299">
        <f t="shared" ca="1" si="127"/>
        <v>0</v>
      </c>
      <c r="AA120" s="299">
        <f t="shared" ca="1" si="128"/>
        <v>0</v>
      </c>
      <c r="AB120" s="299">
        <f t="shared" ca="1" si="129"/>
        <v>0.1</v>
      </c>
      <c r="AD120" s="299">
        <v>2020</v>
      </c>
      <c r="AE120" s="81"/>
      <c r="AF120" s="220"/>
    </row>
    <row r="121" spans="2:32">
      <c r="B121" s="718" t="s">
        <v>1009</v>
      </c>
      <c r="C121" s="226"/>
      <c r="D121" s="212"/>
      <c r="E121" s="212"/>
      <c r="F121" s="224" t="s">
        <v>1149</v>
      </c>
      <c r="H121" s="174"/>
      <c r="I121" s="174" t="str">
        <f t="shared" si="21"/>
        <v>INDTWH</v>
      </c>
      <c r="J121" s="224">
        <f t="shared" si="31"/>
        <v>2030</v>
      </c>
      <c r="K121" s="81"/>
      <c r="L121" s="199">
        <f t="shared" ca="1" si="121"/>
        <v>0.95</v>
      </c>
      <c r="M121" s="199"/>
      <c r="N121" s="81"/>
      <c r="O121" s="723">
        <f t="shared" ca="1" si="122"/>
        <v>0.3469940346244772</v>
      </c>
      <c r="P121" s="723">
        <f t="shared" ca="1" si="123"/>
        <v>1.2664999999999999E-2</v>
      </c>
      <c r="Q121" s="81">
        <f t="shared" ca="1" si="124"/>
        <v>1.8625</v>
      </c>
      <c r="R121" s="300"/>
      <c r="S121" s="300"/>
      <c r="T121" s="300"/>
      <c r="U121" s="300"/>
      <c r="V121" s="199">
        <f t="shared" ref="V121" ca="1" si="136">IF(IF(RIGHT(H120,2)="PH",(1-L121)+$W$2,IF(RIGHT(H120,2)="HT",(1-L121)+$W$1,IF(RIGHT(H120,2)="SH",(1-L121)+$W$3,"")))&gt;0,IF(RIGHT(H120,2)="PH",(1-L121)+$W$2,IF(RIGHT(H120,2)="HT",(1-L121)+$W$1,IF(RIGHT(H120,2)="SH",(1-L121)+$W$3,""))),0)</f>
        <v>0.25000000000000006</v>
      </c>
      <c r="W121" s="298"/>
      <c r="X121" s="698">
        <f t="shared" ca="1" si="78"/>
        <v>0.5</v>
      </c>
      <c r="Y121" s="81">
        <f t="shared" ca="1" si="126"/>
        <v>20</v>
      </c>
      <c r="Z121" s="81">
        <f t="shared" ca="1" si="127"/>
        <v>0</v>
      </c>
      <c r="AA121" s="81">
        <f t="shared" ca="1" si="128"/>
        <v>0</v>
      </c>
      <c r="AB121" s="81">
        <f t="shared" ca="1" si="129"/>
        <v>0.1</v>
      </c>
      <c r="AD121" s="81">
        <v>2030</v>
      </c>
      <c r="AE121" s="81"/>
      <c r="AF121" s="220"/>
    </row>
    <row r="122" spans="2:32">
      <c r="B122" s="718" t="s">
        <v>1009</v>
      </c>
      <c r="C122" s="226"/>
      <c r="D122" s="212"/>
      <c r="E122" s="212"/>
      <c r="F122" s="224" t="s">
        <v>1149</v>
      </c>
      <c r="H122" s="174"/>
      <c r="I122" s="174" t="str">
        <f t="shared" si="21"/>
        <v>INDTWH</v>
      </c>
      <c r="J122" s="224">
        <f t="shared" si="31"/>
        <v>2050</v>
      </c>
      <c r="K122" s="81"/>
      <c r="L122" s="199">
        <f t="shared" ca="1" si="121"/>
        <v>0.96</v>
      </c>
      <c r="M122" s="199"/>
      <c r="N122" s="81"/>
      <c r="O122" s="723">
        <f t="shared" ca="1" si="122"/>
        <v>0.32813985758696651</v>
      </c>
      <c r="P122" s="723">
        <f t="shared" ca="1" si="123"/>
        <v>1.1175000000000001E-2</v>
      </c>
      <c r="Q122" s="81">
        <f t="shared" ca="1" si="124"/>
        <v>1.8625</v>
      </c>
      <c r="R122" s="300"/>
      <c r="S122" s="300"/>
      <c r="T122" s="300"/>
      <c r="U122" s="300"/>
      <c r="V122" s="199">
        <f t="shared" ref="V122" ca="1" si="137">IF(IF(RIGHT(H120,2)="PH",(1-L122)+$W$2,IF(RIGHT(H120,2)="HT",(1-L122)+$W$1,IF(RIGHT(H120,2)="SH",(1-L122)+$W$3,"")))&gt;0,IF(RIGHT(H120,2)="PH",(1-L122)+$W$2,IF(RIGHT(H120,2)="HT",(1-L122)+$W$1,IF(RIGHT(H120,2)="SH",(1-L122)+$W$3,""))),0)</f>
        <v>0.24000000000000005</v>
      </c>
      <c r="W122" s="298"/>
      <c r="X122" s="698">
        <f t="shared" ca="1" si="78"/>
        <v>0.5</v>
      </c>
      <c r="Y122" s="81">
        <f t="shared" ca="1" si="126"/>
        <v>15</v>
      </c>
      <c r="Z122" s="81">
        <f t="shared" ca="1" si="127"/>
        <v>0</v>
      </c>
      <c r="AA122" s="81">
        <f t="shared" ca="1" si="128"/>
        <v>0</v>
      </c>
      <c r="AB122" s="81">
        <f t="shared" ca="1" si="129"/>
        <v>0.1</v>
      </c>
      <c r="AD122" s="81">
        <v>2050</v>
      </c>
      <c r="AE122" s="81"/>
      <c r="AF122" s="220"/>
    </row>
    <row r="123" spans="2:32">
      <c r="B123" s="718" t="s">
        <v>1009</v>
      </c>
      <c r="C123" s="226"/>
      <c r="D123" s="212" t="str">
        <f>"IND"&amp;RIGHT(H123,4)&amp;"DSL"&amp;"N"&amp;RIGHT(E123,1)</f>
        <v>INDTDPHDSLN1</v>
      </c>
      <c r="E123" s="261" t="str">
        <f>"Industrial heating technology "&amp;$AJ$12&amp;" "&amp;RIGHT(H123,2)&amp;" - Oil boiler (Steam) - new 1"</f>
        <v>Industrial heating technology Transport PH - Oil boiler (Steam) - new 1</v>
      </c>
      <c r="F123" s="224" t="s">
        <v>1149</v>
      </c>
      <c r="G123" s="173" t="s">
        <v>2081</v>
      </c>
      <c r="H123" s="174" t="str">
        <f>$AI$14</f>
        <v>ITDPH</v>
      </c>
      <c r="I123" s="174" t="str">
        <f t="shared" si="21"/>
        <v>INDTWH</v>
      </c>
      <c r="J123" s="224">
        <f t="shared" si="31"/>
        <v>2011</v>
      </c>
      <c r="K123" s="299">
        <v>2025</v>
      </c>
      <c r="L123" s="199">
        <f t="shared" ca="1" si="121"/>
        <v>0.94</v>
      </c>
      <c r="M123" s="199"/>
      <c r="N123" s="81">
        <f ca="1">VLOOKUP($AD123,INDIRECT("'"&amp;$B123&amp;"'!"&amp;"$P$39:$AD$42"),5,FALSE)</f>
        <v>25</v>
      </c>
      <c r="O123" s="723">
        <f t="shared" ca="1" si="122"/>
        <v>0.40975</v>
      </c>
      <c r="P123" s="723">
        <f t="shared" ca="1" si="123"/>
        <v>1.341E-2</v>
      </c>
      <c r="Q123" s="81">
        <f t="shared" ca="1" si="124"/>
        <v>2.0694444444444446</v>
      </c>
      <c r="R123" s="81">
        <v>3.1536000000000002E-2</v>
      </c>
      <c r="S123" s="199">
        <v>0.5</v>
      </c>
      <c r="T123" s="199">
        <f ca="1">HLOOKUP($T$2,INDIRECT("'"&amp;$B123&amp;"'!"&amp;"$P$6:$AC$19"),IF(H123=$AI$13,6,IF(H123=$AI$14,9,14)),FALSE)</f>
        <v>1</v>
      </c>
      <c r="U123" s="772"/>
      <c r="V123" s="199">
        <f t="shared" ref="V123" ca="1" si="138">IF(IF(RIGHT(H123,2)="PH",(1-L123)+$W$2,IF(RIGHT(H123,2)="HT",(1-L123)+$W$1,IF(RIGHT(H123,2)="SH",(1-L123)+$W$3,"")))&gt;0,IF(RIGHT(H123,2)="PH",(1-L123)+$W$2,IF(RIGHT(H123,2)="HT",(1-L123)+$W$1,IF(RIGHT(H123,2)="SH",(1-L123)+$W$3,""))),0)</f>
        <v>0.26000000000000006</v>
      </c>
      <c r="W123" s="298"/>
      <c r="X123" s="698">
        <f t="shared" ca="1" si="78"/>
        <v>0.5</v>
      </c>
      <c r="Y123" s="81">
        <f t="shared" ca="1" si="126"/>
        <v>25</v>
      </c>
      <c r="Z123" s="81">
        <f t="shared" ca="1" si="127"/>
        <v>0</v>
      </c>
      <c r="AA123" s="81">
        <f t="shared" ca="1" si="128"/>
        <v>0</v>
      </c>
      <c r="AB123" s="81">
        <f t="shared" ca="1" si="129"/>
        <v>0.1</v>
      </c>
      <c r="AD123" s="81">
        <v>2020</v>
      </c>
      <c r="AE123" s="81"/>
      <c r="AF123" s="220"/>
    </row>
    <row r="124" spans="2:32">
      <c r="B124" s="718" t="s">
        <v>1009</v>
      </c>
      <c r="C124" s="226"/>
      <c r="D124" s="212"/>
      <c r="E124" s="212"/>
      <c r="F124" s="224" t="s">
        <v>1149</v>
      </c>
      <c r="H124" s="174"/>
      <c r="I124" s="174" t="str">
        <f t="shared" si="21"/>
        <v>INDTWH</v>
      </c>
      <c r="J124" s="224">
        <f t="shared" si="31"/>
        <v>2030</v>
      </c>
      <c r="K124" s="81"/>
      <c r="L124" s="199">
        <f t="shared" ca="1" si="121"/>
        <v>0.95</v>
      </c>
      <c r="M124" s="199"/>
      <c r="N124" s="81"/>
      <c r="O124" s="723">
        <f t="shared" ca="1" si="122"/>
        <v>0.3469940346244772</v>
      </c>
      <c r="P124" s="723">
        <f t="shared" ca="1" si="123"/>
        <v>1.2664999999999999E-2</v>
      </c>
      <c r="Q124" s="81">
        <f t="shared" ca="1" si="124"/>
        <v>1.8625</v>
      </c>
      <c r="R124" s="300"/>
      <c r="S124" s="300"/>
      <c r="T124" s="300"/>
      <c r="U124" s="300"/>
      <c r="V124" s="199">
        <f t="shared" ref="V124" ca="1" si="139">IF(IF(RIGHT(H123,2)="PH",(1-L124)+$W$2,IF(RIGHT(H123,2)="HT",(1-L124)+$W$1,IF(RIGHT(H123,2)="SH",(1-L124)+$W$3,"")))&gt;0,IF(RIGHT(H123,2)="PH",(1-L124)+$W$2,IF(RIGHT(H123,2)="HT",(1-L124)+$W$1,IF(RIGHT(H123,2)="SH",(1-L124)+$W$3,""))),0)</f>
        <v>0.25000000000000006</v>
      </c>
      <c r="W124" s="298"/>
      <c r="X124" s="698">
        <f t="shared" ca="1" si="78"/>
        <v>0.5</v>
      </c>
      <c r="Y124" s="81">
        <f t="shared" ca="1" si="126"/>
        <v>20</v>
      </c>
      <c r="Z124" s="81">
        <f t="shared" ca="1" si="127"/>
        <v>0</v>
      </c>
      <c r="AA124" s="81">
        <f t="shared" ca="1" si="128"/>
        <v>0</v>
      </c>
      <c r="AB124" s="81">
        <f t="shared" ca="1" si="129"/>
        <v>0.1</v>
      </c>
      <c r="AD124" s="81">
        <v>2030</v>
      </c>
      <c r="AE124" s="81"/>
      <c r="AF124" s="220"/>
    </row>
    <row r="125" spans="2:32">
      <c r="B125" s="718" t="s">
        <v>1009</v>
      </c>
      <c r="C125" s="226"/>
      <c r="D125" s="212"/>
      <c r="E125" s="212"/>
      <c r="F125" s="224" t="s">
        <v>1149</v>
      </c>
      <c r="H125" s="174"/>
      <c r="I125" s="174" t="str">
        <f t="shared" si="21"/>
        <v>INDTWH</v>
      </c>
      <c r="J125" s="224">
        <f t="shared" si="31"/>
        <v>2050</v>
      </c>
      <c r="K125" s="81"/>
      <c r="L125" s="199">
        <f t="shared" ca="1" si="121"/>
        <v>0.96</v>
      </c>
      <c r="M125" s="199"/>
      <c r="N125" s="81"/>
      <c r="O125" s="723">
        <f t="shared" ca="1" si="122"/>
        <v>0.32813985758696651</v>
      </c>
      <c r="P125" s="723">
        <f t="shared" ca="1" si="123"/>
        <v>1.1175000000000001E-2</v>
      </c>
      <c r="Q125" s="81">
        <f t="shared" ca="1" si="124"/>
        <v>1.8625</v>
      </c>
      <c r="R125" s="300"/>
      <c r="S125" s="300"/>
      <c r="T125" s="300"/>
      <c r="U125" s="300"/>
      <c r="V125" s="199">
        <f t="shared" ref="V125" ca="1" si="140">IF(IF(RIGHT(H123,2)="PH",(1-L125)+$W$2,IF(RIGHT(H123,2)="HT",(1-L125)+$W$1,IF(RIGHT(H123,2)="SH",(1-L125)+$W$3,"")))&gt;0,IF(RIGHT(H123,2)="PH",(1-L125)+$W$2,IF(RIGHT(H123,2)="HT",(1-L125)+$W$1,IF(RIGHT(H123,2)="SH",(1-L125)+$W$3,""))),0)</f>
        <v>0.24000000000000005</v>
      </c>
      <c r="W125" s="298"/>
      <c r="X125" s="698">
        <f t="shared" ca="1" si="78"/>
        <v>0.5</v>
      </c>
      <c r="Y125" s="81">
        <f t="shared" ca="1" si="126"/>
        <v>15</v>
      </c>
      <c r="Z125" s="81">
        <f t="shared" ca="1" si="127"/>
        <v>0</v>
      </c>
      <c r="AA125" s="81">
        <f t="shared" ca="1" si="128"/>
        <v>0</v>
      </c>
      <c r="AB125" s="81">
        <f t="shared" ca="1" si="129"/>
        <v>0.1</v>
      </c>
      <c r="AC125" s="203"/>
      <c r="AD125" s="81">
        <v>2050</v>
      </c>
      <c r="AE125" s="81"/>
      <c r="AF125" s="705"/>
    </row>
    <row r="126" spans="2:32">
      <c r="B126" s="718" t="s">
        <v>1009</v>
      </c>
      <c r="C126" s="226"/>
      <c r="D126" s="212" t="str">
        <f>"IND"&amp;RIGHT(H126,4)&amp;"DSL"&amp;"N"&amp;RIGHT(E126,1)</f>
        <v>INDTDSHDSLN1</v>
      </c>
      <c r="E126" s="261" t="str">
        <f>"Industrial heating technology "&amp;$AJ$12&amp;" "&amp;RIGHT(H126,2)&amp;" - Oil boiler (Steam) - new 1"</f>
        <v>Industrial heating technology Transport SH - Oil boiler (Steam) - new 1</v>
      </c>
      <c r="F126" s="224" t="s">
        <v>1149</v>
      </c>
      <c r="G126" s="173" t="s">
        <v>2081</v>
      </c>
      <c r="H126" s="174" t="str">
        <f>$AI$15</f>
        <v>ITDSH</v>
      </c>
      <c r="I126" s="174" t="str">
        <f t="shared" si="21"/>
        <v>INDTWH</v>
      </c>
      <c r="J126" s="224">
        <f t="shared" si="31"/>
        <v>2011</v>
      </c>
      <c r="K126" s="299">
        <v>2025</v>
      </c>
      <c r="L126" s="199">
        <f t="shared" ca="1" si="121"/>
        <v>0.94</v>
      </c>
      <c r="M126" s="199"/>
      <c r="N126" s="81">
        <f ca="1">VLOOKUP($AD126,INDIRECT("'"&amp;$B126&amp;"'!"&amp;"$P$39:$AD$42"),5,FALSE)</f>
        <v>25</v>
      </c>
      <c r="O126" s="723">
        <f t="shared" ca="1" si="122"/>
        <v>0.40975</v>
      </c>
      <c r="P126" s="723">
        <f t="shared" ca="1" si="123"/>
        <v>1.341E-2</v>
      </c>
      <c r="Q126" s="81">
        <f t="shared" ca="1" si="124"/>
        <v>2.0694444444444446</v>
      </c>
      <c r="R126" s="81">
        <v>3.1536000000000002E-2</v>
      </c>
      <c r="S126" s="199">
        <v>0.5</v>
      </c>
      <c r="T126" s="199">
        <f ca="1">HLOOKUP($T$2,INDIRECT("'"&amp;$B126&amp;"'!"&amp;"$P$6:$AC$19"),IF(H126=$AI$13,6,IF(H126=$AI$14,9,14)),FALSE)</f>
        <v>1</v>
      </c>
      <c r="U126" s="772"/>
      <c r="V126" s="199">
        <f t="shared" ref="V126" ca="1" si="141">IF(IF(RIGHT(H126,2)="PH",(1-L126)+$W$2,IF(RIGHT(H126,2)="HT",(1-L126)+$W$1,IF(RIGHT(H126,2)="SH",(1-L126)+$W$3,"")))&gt;0,IF(RIGHT(H126,2)="PH",(1-L126)+$W$2,IF(RIGHT(H126,2)="HT",(1-L126)+$W$1,IF(RIGHT(H126,2)="SH",(1-L126)+$W$3,""))),0)</f>
        <v>6.0000000000000053E-2</v>
      </c>
      <c r="W126" s="298"/>
      <c r="X126" s="698">
        <f t="shared" ca="1" si="78"/>
        <v>0.5</v>
      </c>
      <c r="Y126" s="81">
        <f t="shared" ca="1" si="126"/>
        <v>25</v>
      </c>
      <c r="Z126" s="81">
        <f t="shared" ca="1" si="127"/>
        <v>0</v>
      </c>
      <c r="AA126" s="81">
        <f t="shared" ca="1" si="128"/>
        <v>0</v>
      </c>
      <c r="AB126" s="81">
        <f t="shared" ca="1" si="129"/>
        <v>0.1</v>
      </c>
      <c r="AC126" s="296"/>
      <c r="AD126" s="81">
        <v>2020</v>
      </c>
      <c r="AE126" s="81"/>
      <c r="AF126" s="710"/>
    </row>
    <row r="127" spans="2:32">
      <c r="B127" s="718" t="s">
        <v>1009</v>
      </c>
      <c r="C127" s="226"/>
      <c r="D127" s="212"/>
      <c r="E127" s="212"/>
      <c r="F127" s="224" t="s">
        <v>1149</v>
      </c>
      <c r="H127" s="174"/>
      <c r="I127" s="174" t="str">
        <f t="shared" ref="I127:I182" si="142">$AI$20</f>
        <v>INDTWH</v>
      </c>
      <c r="J127" s="224">
        <f t="shared" si="31"/>
        <v>2030</v>
      </c>
      <c r="K127" s="81"/>
      <c r="L127" s="199">
        <f t="shared" ca="1" si="121"/>
        <v>0.95</v>
      </c>
      <c r="M127" s="199"/>
      <c r="N127" s="81"/>
      <c r="O127" s="723">
        <f t="shared" ca="1" si="122"/>
        <v>0.3469940346244772</v>
      </c>
      <c r="P127" s="723">
        <f t="shared" ca="1" si="123"/>
        <v>1.2664999999999999E-2</v>
      </c>
      <c r="Q127" s="81">
        <f t="shared" ca="1" si="124"/>
        <v>1.8625</v>
      </c>
      <c r="R127" s="300"/>
      <c r="S127" s="300"/>
      <c r="T127" s="300"/>
      <c r="U127" s="300"/>
      <c r="V127" s="199">
        <f t="shared" ref="V127" ca="1" si="143">IF(IF(RIGHT(H126,2)="PH",(1-L127)+$W$2,IF(RIGHT(H126,2)="HT",(1-L127)+$W$1,IF(RIGHT(H126,2)="SH",(1-L127)+$W$3,"")))&gt;0,IF(RIGHT(H126,2)="PH",(1-L127)+$W$2,IF(RIGHT(H126,2)="HT",(1-L127)+$W$1,IF(RIGHT(H126,2)="SH",(1-L127)+$W$3,""))),0)</f>
        <v>5.0000000000000044E-2</v>
      </c>
      <c r="W127" s="298"/>
      <c r="X127" s="698">
        <f t="shared" ref="X127:X158" ca="1" si="144">IF(VLOOKUP($AD127,INDIRECT("'"&amp;$B127&amp;"'!"&amp;"$P$39:$AD$42"),11,FALSE)="Cf. the utilized electricity",0,VLOOKUP($AD127,INDIRECT("'"&amp;$B127&amp;"'!"&amp;"$P$39:$AD$42"),11,FALSE))</f>
        <v>0.5</v>
      </c>
      <c r="Y127" s="81">
        <f t="shared" ca="1" si="126"/>
        <v>20</v>
      </c>
      <c r="Z127" s="81">
        <f t="shared" ca="1" si="127"/>
        <v>0</v>
      </c>
      <c r="AA127" s="81">
        <f t="shared" ca="1" si="128"/>
        <v>0</v>
      </c>
      <c r="AB127" s="81">
        <f t="shared" ca="1" si="129"/>
        <v>0.1</v>
      </c>
      <c r="AC127" s="55"/>
      <c r="AD127" s="81">
        <v>2030</v>
      </c>
      <c r="AE127" s="81"/>
      <c r="AF127" s="700"/>
    </row>
    <row r="128" spans="2:32">
      <c r="B128" s="719" t="s">
        <v>1009</v>
      </c>
      <c r="C128" s="713"/>
      <c r="D128" s="701"/>
      <c r="E128" s="701"/>
      <c r="F128" s="224" t="s">
        <v>1149</v>
      </c>
      <c r="G128" s="203"/>
      <c r="H128" s="702"/>
      <c r="I128" s="702" t="str">
        <f t="shared" si="142"/>
        <v>INDTWH</v>
      </c>
      <c r="J128" s="224">
        <f t="shared" ref="J128:J186" si="145">IF(AD128=2020,2011,AD128)</f>
        <v>2050</v>
      </c>
      <c r="K128" s="81"/>
      <c r="L128" s="199">
        <f t="shared" ca="1" si="121"/>
        <v>0.96</v>
      </c>
      <c r="M128" s="199"/>
      <c r="N128" s="81"/>
      <c r="O128" s="723">
        <f t="shared" ca="1" si="122"/>
        <v>0.32813985758696651</v>
      </c>
      <c r="P128" s="723">
        <f t="shared" ca="1" si="123"/>
        <v>1.1175000000000001E-2</v>
      </c>
      <c r="Q128" s="81">
        <f t="shared" ca="1" si="124"/>
        <v>1.8625</v>
      </c>
      <c r="R128" s="703"/>
      <c r="S128" s="703"/>
      <c r="T128" s="703"/>
      <c r="U128" s="703"/>
      <c r="V128" s="199">
        <f t="shared" ref="V128" ca="1" si="146">IF(IF(RIGHT(H126,2)="PH",(1-L128)+$W$2,IF(RIGHT(H126,2)="HT",(1-L128)+$W$1,IF(RIGHT(H126,2)="SH",(1-L128)+$W$3,"")))&gt;0,IF(RIGHT(H126,2)="PH",(1-L128)+$W$2,IF(RIGHT(H126,2)="HT",(1-L128)+$W$1,IF(RIGHT(H126,2)="SH",(1-L128)+$W$3,""))),0)</f>
        <v>4.0000000000000036E-2</v>
      </c>
      <c r="W128" s="704"/>
      <c r="X128" s="698">
        <f t="shared" ca="1" si="144"/>
        <v>0.5</v>
      </c>
      <c r="Y128" s="81">
        <f t="shared" ca="1" si="126"/>
        <v>15</v>
      </c>
      <c r="Z128" s="81">
        <f t="shared" ca="1" si="127"/>
        <v>0</v>
      </c>
      <c r="AA128" s="81">
        <f t="shared" ca="1" si="128"/>
        <v>0</v>
      </c>
      <c r="AB128" s="81">
        <f t="shared" ca="1" si="129"/>
        <v>0.1</v>
      </c>
      <c r="AC128" s="55"/>
      <c r="AD128" s="81">
        <v>2050</v>
      </c>
      <c r="AE128" s="81"/>
      <c r="AF128" s="700"/>
    </row>
    <row r="129" spans="2:32">
      <c r="B129" s="718" t="s">
        <v>1009</v>
      </c>
      <c r="C129" s="226"/>
      <c r="D129" s="212" t="str">
        <f>"IND"&amp;RIGHT(H129,4)&amp;"DSL"&amp;"N"&amp;RIGHT(E129,1)</f>
        <v>INDTDPHDSLN2</v>
      </c>
      <c r="E129" s="707" t="str">
        <f>"Industrial heating technology "&amp;$AJ$12&amp;" "&amp;RIGHT(H129,2)&amp;" - Oil boiler (Steam - condensing) - new 2"</f>
        <v>Industrial heating technology Transport PH - Oil boiler (Steam - condensing) - new 2</v>
      </c>
      <c r="F129" s="224" t="s">
        <v>1149</v>
      </c>
      <c r="G129" s="173" t="s">
        <v>2081</v>
      </c>
      <c r="H129" s="708" t="str">
        <f>$AI$14</f>
        <v>ITDPH</v>
      </c>
      <c r="I129" s="708" t="str">
        <f t="shared" si="142"/>
        <v>INDTWH</v>
      </c>
      <c r="J129" s="224">
        <f t="shared" si="145"/>
        <v>2011</v>
      </c>
      <c r="K129" s="299">
        <v>2025</v>
      </c>
      <c r="L129" s="199">
        <f t="shared" ref="L129:L134" ca="1" si="147">VLOOKUP($AD129,INDIRECT("'"&amp;$B129&amp;"'!"&amp;"$P$118:$AD$121"),3,FALSE)</f>
        <v>0.95</v>
      </c>
      <c r="M129" s="199"/>
      <c r="N129" s="81">
        <f ca="1">VLOOKUP($AD129,INDIRECT("'"&amp;$B129&amp;"'!"&amp;"$P$118:$AD$121"),5,FALSE)</f>
        <v>25</v>
      </c>
      <c r="O129" s="723">
        <f t="shared" ref="O129:O134" ca="1" si="148">VLOOKUP($AD129,INDIRECT("'"&amp;$B129&amp;"'!"&amp;"$P$118:$AD$121"),6,FALSE)/1000</f>
        <v>0.32780000000000004</v>
      </c>
      <c r="P129" s="723">
        <f t="shared" ref="P129:P134" ca="1" si="149">VLOOKUP($AD129,INDIRECT("'"&amp;$B129&amp;"'!"&amp;"$P$118:$AD$121"),7,FALSE)/1000</f>
        <v>1.341E-2</v>
      </c>
      <c r="Q129" s="81">
        <f t="shared" ref="Q129:Q134" ca="1" si="150">VLOOKUP($AD129,INDIRECT("'"&amp;$B129&amp;"'!"&amp;"$P$118:$AD$121"),8,FALSE)</f>
        <v>2.0694444444444446</v>
      </c>
      <c r="R129" s="81">
        <v>3.1536000000000002E-2</v>
      </c>
      <c r="S129" s="199">
        <v>0.5</v>
      </c>
      <c r="T129" s="199">
        <f ca="1">HLOOKUP($T$2,INDIRECT("'"&amp;$B129&amp;"'!"&amp;"$P$85:$AC$98"),IF(H129=$AI$13,6,IF(H129=$AI$14,9,14)),FALSE)</f>
        <v>0</v>
      </c>
      <c r="U129" s="773"/>
      <c r="V129" s="199">
        <f t="shared" ref="V129" ca="1" si="151">IF(IF(RIGHT(H129,2)="PH",(1-L129)+$W$2,IF(RIGHT(H129,2)="HT",(1-L129)+$W$1,IF(RIGHT(H129,2)="SH",(1-L129)+$W$3,"")))&gt;0,IF(RIGHT(H129,2)="PH",(1-L129)+$W$2,IF(RIGHT(H129,2)="HT",(1-L129)+$W$1,IF(RIGHT(H129,2)="SH",(1-L129)+$W$3,""))),0)</f>
        <v>0.25000000000000006</v>
      </c>
      <c r="W129" s="709"/>
      <c r="X129" s="698">
        <f t="shared" ca="1" si="144"/>
        <v>0.5</v>
      </c>
      <c r="Y129" s="698">
        <f t="shared" ref="Y129:Y134" ca="1" si="152">VLOOKUP($AD129,INDIRECT("'"&amp;$B129&amp;"'!"&amp;"$P$118:$AD$121"),12,FALSE)</f>
        <v>25</v>
      </c>
      <c r="Z129" s="698">
        <f t="shared" ref="Z129:Z134" ca="1" si="153">VLOOKUP($AD129,INDIRECT("'"&amp;$B129&amp;"'!"&amp;"$P$118:$AD$121"),13,FALSE)</f>
        <v>0</v>
      </c>
      <c r="AA129" s="698">
        <f t="shared" ref="AA129:AA134" ca="1" si="154">VLOOKUP($AD129,INDIRECT("'"&amp;$B129&amp;"'!"&amp;"$P$118:$AD$121"),14,FALSE)</f>
        <v>0</v>
      </c>
      <c r="AB129" s="698">
        <f t="shared" ref="AB129:AB134" ca="1" si="155">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2"/>
        <v>INDTWH</v>
      </c>
      <c r="J130" s="224">
        <f t="shared" si="145"/>
        <v>2030</v>
      </c>
      <c r="K130" s="81"/>
      <c r="L130" s="199">
        <f t="shared" ca="1" si="147"/>
        <v>0.96</v>
      </c>
      <c r="M130" s="199"/>
      <c r="N130" s="81"/>
      <c r="O130" s="723">
        <f t="shared" ca="1" si="148"/>
        <v>0.27759522769958173</v>
      </c>
      <c r="P130" s="723">
        <f t="shared" ca="1" si="149"/>
        <v>1.2664999999999999E-2</v>
      </c>
      <c r="Q130" s="81">
        <f t="shared" ca="1" si="150"/>
        <v>1.8625</v>
      </c>
      <c r="R130" s="300"/>
      <c r="S130" s="300"/>
      <c r="T130" s="300"/>
      <c r="U130" s="300"/>
      <c r="V130" s="199">
        <f t="shared" ref="V130" ca="1" si="156">IF(IF(RIGHT(H129,2)="PH",(1-L130)+$W$2,IF(RIGHT(H129,2)="HT",(1-L130)+$W$1,IF(RIGHT(H129,2)="SH",(1-L130)+$W$3,"")))&gt;0,IF(RIGHT(H129,2)="PH",(1-L130)+$W$2,IF(RIGHT(H129,2)="HT",(1-L130)+$W$1,IF(RIGHT(H129,2)="SH",(1-L130)+$W$3,""))),0)</f>
        <v>0.24000000000000005</v>
      </c>
      <c r="W130" s="298"/>
      <c r="X130" s="698">
        <f t="shared" ca="1" si="144"/>
        <v>0.5</v>
      </c>
      <c r="Y130" s="698">
        <f t="shared" ca="1" si="152"/>
        <v>20</v>
      </c>
      <c r="Z130" s="698">
        <f t="shared" ca="1" si="153"/>
        <v>0</v>
      </c>
      <c r="AA130" s="698">
        <f t="shared" ca="1" si="154"/>
        <v>0</v>
      </c>
      <c r="AB130" s="698">
        <f t="shared" ca="1" si="155"/>
        <v>0.1</v>
      </c>
      <c r="AC130" s="55"/>
      <c r="AD130" s="81">
        <v>2030</v>
      </c>
      <c r="AE130" s="81"/>
      <c r="AF130" s="700"/>
    </row>
    <row r="131" spans="2:32">
      <c r="B131" s="718" t="s">
        <v>1009</v>
      </c>
      <c r="C131" s="226"/>
      <c r="E131" s="261"/>
      <c r="F131" s="224" t="s">
        <v>1149</v>
      </c>
      <c r="G131" s="55"/>
      <c r="H131" s="174"/>
      <c r="I131" s="174" t="str">
        <f t="shared" si="142"/>
        <v>INDTWH</v>
      </c>
      <c r="J131" s="224">
        <f t="shared" si="145"/>
        <v>2050</v>
      </c>
      <c r="K131" s="81"/>
      <c r="L131" s="199">
        <f t="shared" ca="1" si="147"/>
        <v>0.97</v>
      </c>
      <c r="M131" s="199"/>
      <c r="N131" s="81"/>
      <c r="O131" s="723">
        <f t="shared" ca="1" si="148"/>
        <v>0.26251188606957326</v>
      </c>
      <c r="P131" s="723">
        <f t="shared" ca="1" si="149"/>
        <v>1.1175000000000001E-2</v>
      </c>
      <c r="Q131" s="81">
        <f t="shared" ca="1" si="150"/>
        <v>1.8625</v>
      </c>
      <c r="R131" s="300"/>
      <c r="S131" s="300"/>
      <c r="T131" s="300"/>
      <c r="U131" s="300"/>
      <c r="V131" s="199">
        <f t="shared" ref="V131" ca="1" si="157">IF(IF(RIGHT(H129,2)="PH",(1-L131)+$W$2,IF(RIGHT(H129,2)="HT",(1-L131)+$W$1,IF(RIGHT(H129,2)="SH",(1-L131)+$W$3,"")))&gt;0,IF(RIGHT(H129,2)="PH",(1-L131)+$W$2,IF(RIGHT(H129,2)="HT",(1-L131)+$W$1,IF(RIGHT(H129,2)="SH",(1-L131)+$W$3,""))),0)</f>
        <v>0.23000000000000004</v>
      </c>
      <c r="W131" s="298"/>
      <c r="X131" s="698">
        <f t="shared" ca="1" si="144"/>
        <v>0.5</v>
      </c>
      <c r="Y131" s="698">
        <f t="shared" ca="1" si="152"/>
        <v>15</v>
      </c>
      <c r="Z131" s="698">
        <f t="shared" ca="1" si="153"/>
        <v>0</v>
      </c>
      <c r="AA131" s="698">
        <f t="shared" ca="1" si="154"/>
        <v>0</v>
      </c>
      <c r="AB131" s="698">
        <f t="shared" ca="1" si="155"/>
        <v>0.1</v>
      </c>
      <c r="AC131" s="203"/>
      <c r="AD131" s="81">
        <v>2050</v>
      </c>
      <c r="AE131" s="81"/>
      <c r="AF131" s="705"/>
    </row>
    <row r="132" spans="2:32">
      <c r="B132" s="718" t="s">
        <v>1009</v>
      </c>
      <c r="C132" s="226"/>
      <c r="D132" s="212" t="str">
        <f>"IND"&amp;RIGHT(H132,4)&amp;"DSL"&amp;"N"&amp;RIGHT(E132,1)</f>
        <v>INDTDSHDSLN2</v>
      </c>
      <c r="E132" s="261" t="str">
        <f>"Industrial heating technology "&amp;$AJ$12&amp;" "&amp;RIGHT(H132,2)&amp;" - Oil boiler (Steam - condensing) - new 2"</f>
        <v>Industrial heating technology Transport SH - Oil boiler (Steam - condensing) - new 2</v>
      </c>
      <c r="F132" s="224" t="s">
        <v>1149</v>
      </c>
      <c r="G132" s="173" t="s">
        <v>2081</v>
      </c>
      <c r="H132" s="174" t="str">
        <f>$AI$15</f>
        <v>ITDSH</v>
      </c>
      <c r="I132" s="174" t="str">
        <f t="shared" si="142"/>
        <v>INDTWH</v>
      </c>
      <c r="J132" s="224">
        <f t="shared" si="145"/>
        <v>2011</v>
      </c>
      <c r="K132" s="299">
        <v>2025</v>
      </c>
      <c r="L132" s="199">
        <f t="shared" ca="1" si="147"/>
        <v>0.95</v>
      </c>
      <c r="M132" s="199"/>
      <c r="N132" s="81">
        <f ca="1">VLOOKUP($AD132,INDIRECT("'"&amp;$B132&amp;"'!"&amp;"$P$118:$AD$121"),5,FALSE)</f>
        <v>25</v>
      </c>
      <c r="O132" s="723">
        <f t="shared" ca="1" si="148"/>
        <v>0.32780000000000004</v>
      </c>
      <c r="P132" s="723">
        <f t="shared" ca="1" si="149"/>
        <v>1.341E-2</v>
      </c>
      <c r="Q132" s="81">
        <f t="shared" ca="1" si="150"/>
        <v>2.0694444444444446</v>
      </c>
      <c r="R132" s="81">
        <v>3.1536000000000002E-2</v>
      </c>
      <c r="S132" s="199">
        <v>0.5</v>
      </c>
      <c r="T132" s="199">
        <f ca="1">HLOOKUP($T$2,INDIRECT("'"&amp;$B132&amp;"'!"&amp;"$P$85:$AC$98"),IF(H132=$AI$13,6,IF(H132=$AI$14,9,14)),FALSE)</f>
        <v>1</v>
      </c>
      <c r="U132" s="772"/>
      <c r="V132" s="199">
        <f t="shared" ref="V132" ca="1" si="158">IF(IF(RIGHT(H132,2)="PH",(1-L132)+$W$2,IF(RIGHT(H132,2)="HT",(1-L132)+$W$1,IF(RIGHT(H132,2)="SH",(1-L132)+$W$3,"")))&gt;0,IF(RIGHT(H132,2)="PH",(1-L132)+$W$2,IF(RIGHT(H132,2)="HT",(1-L132)+$W$1,IF(RIGHT(H132,2)="SH",(1-L132)+$W$3,""))),0)</f>
        <v>5.0000000000000044E-2</v>
      </c>
      <c r="W132" s="298"/>
      <c r="X132" s="698">
        <f t="shared" ca="1" si="144"/>
        <v>0.5</v>
      </c>
      <c r="Y132" s="698">
        <f t="shared" ca="1" si="152"/>
        <v>25</v>
      </c>
      <c r="Z132" s="698">
        <f t="shared" ca="1" si="153"/>
        <v>0</v>
      </c>
      <c r="AA132" s="698">
        <f t="shared" ca="1" si="154"/>
        <v>0</v>
      </c>
      <c r="AB132" s="698">
        <f t="shared" ca="1" si="155"/>
        <v>0.1</v>
      </c>
      <c r="AD132" s="81">
        <v>2020</v>
      </c>
      <c r="AE132" s="299"/>
      <c r="AF132" s="220"/>
    </row>
    <row r="133" spans="2:32">
      <c r="B133" s="718" t="s">
        <v>1009</v>
      </c>
      <c r="C133" s="226"/>
      <c r="E133" s="261"/>
      <c r="F133" s="224" t="s">
        <v>1149</v>
      </c>
      <c r="G133" s="55"/>
      <c r="H133" s="174"/>
      <c r="I133" s="174" t="str">
        <f t="shared" si="142"/>
        <v>INDTWH</v>
      </c>
      <c r="J133" s="224">
        <f t="shared" si="145"/>
        <v>2030</v>
      </c>
      <c r="K133" s="81"/>
      <c r="L133" s="199">
        <f t="shared" ca="1" si="147"/>
        <v>0.96</v>
      </c>
      <c r="M133" s="199"/>
      <c r="N133" s="81"/>
      <c r="O133" s="723">
        <f t="shared" ca="1" si="148"/>
        <v>0.27759522769958173</v>
      </c>
      <c r="P133" s="723">
        <f t="shared" ca="1" si="149"/>
        <v>1.2664999999999999E-2</v>
      </c>
      <c r="Q133" s="81">
        <f t="shared" ca="1" si="150"/>
        <v>1.8625</v>
      </c>
      <c r="R133" s="300"/>
      <c r="S133" s="300"/>
      <c r="T133" s="300"/>
      <c r="U133" s="300"/>
      <c r="V133" s="199">
        <f t="shared" ref="V133" ca="1" si="159">IF(IF(RIGHT(H132,2)="PH",(1-L133)+$W$2,IF(RIGHT(H132,2)="HT",(1-L133)+$W$1,IF(RIGHT(H132,2)="SH",(1-L133)+$W$3,"")))&gt;0,IF(RIGHT(H132,2)="PH",(1-L133)+$W$2,IF(RIGHT(H132,2)="HT",(1-L133)+$W$1,IF(RIGHT(H132,2)="SH",(1-L133)+$W$3,""))),0)</f>
        <v>4.0000000000000036E-2</v>
      </c>
      <c r="W133" s="298"/>
      <c r="X133" s="698">
        <f t="shared" ca="1" si="144"/>
        <v>0.5</v>
      </c>
      <c r="Y133" s="698">
        <f t="shared" ca="1" si="152"/>
        <v>20</v>
      </c>
      <c r="Z133" s="698">
        <f t="shared" ca="1" si="153"/>
        <v>0</v>
      </c>
      <c r="AA133" s="698">
        <f t="shared" ca="1" si="154"/>
        <v>0</v>
      </c>
      <c r="AB133" s="698">
        <f t="shared" ca="1" si="155"/>
        <v>0.1</v>
      </c>
      <c r="AD133" s="81">
        <v>2030</v>
      </c>
      <c r="AE133" s="81"/>
      <c r="AF133" s="220"/>
    </row>
    <row r="134" spans="2:32">
      <c r="B134" s="719" t="s">
        <v>1009</v>
      </c>
      <c r="C134" s="713"/>
      <c r="D134" s="701"/>
      <c r="E134" s="701"/>
      <c r="F134" s="224" t="s">
        <v>1149</v>
      </c>
      <c r="G134" s="203"/>
      <c r="H134" s="702"/>
      <c r="I134" s="702" t="str">
        <f t="shared" si="142"/>
        <v>INDTWH</v>
      </c>
      <c r="J134" s="224">
        <f t="shared" si="145"/>
        <v>2050</v>
      </c>
      <c r="K134" s="81"/>
      <c r="L134" s="199">
        <f t="shared" ca="1" si="147"/>
        <v>0.97</v>
      </c>
      <c r="M134" s="199"/>
      <c r="N134" s="81"/>
      <c r="O134" s="723">
        <f t="shared" ca="1" si="148"/>
        <v>0.26251188606957326</v>
      </c>
      <c r="P134" s="723">
        <f t="shared" ca="1" si="149"/>
        <v>1.1175000000000001E-2</v>
      </c>
      <c r="Q134" s="81">
        <f t="shared" ca="1" si="150"/>
        <v>1.8625</v>
      </c>
      <c r="R134" s="703"/>
      <c r="S134" s="703"/>
      <c r="T134" s="703"/>
      <c r="U134" s="703"/>
      <c r="V134" s="199">
        <f t="shared" ref="V134" ca="1" si="160">IF(IF(RIGHT(H132,2)="PH",(1-L134)+$W$2,IF(RIGHT(H132,2)="HT",(1-L134)+$W$1,IF(RIGHT(H132,2)="SH",(1-L134)+$W$3,"")))&gt;0,IF(RIGHT(H132,2)="PH",(1-L134)+$W$2,IF(RIGHT(H132,2)="HT",(1-L134)+$W$1,IF(RIGHT(H132,2)="SH",(1-L134)+$W$3,""))),0)</f>
        <v>3.0000000000000027E-2</v>
      </c>
      <c r="W134" s="704"/>
      <c r="X134" s="698">
        <f t="shared" ca="1" si="144"/>
        <v>0.5</v>
      </c>
      <c r="Y134" s="698">
        <f t="shared" ca="1" si="152"/>
        <v>15</v>
      </c>
      <c r="Z134" s="698">
        <f t="shared" ca="1" si="153"/>
        <v>0</v>
      </c>
      <c r="AA134" s="698">
        <f t="shared" ca="1" si="154"/>
        <v>0</v>
      </c>
      <c r="AB134" s="698">
        <f t="shared" ca="1" si="155"/>
        <v>0.1</v>
      </c>
      <c r="AD134" s="81">
        <v>2050</v>
      </c>
      <c r="AE134" s="81"/>
      <c r="AF134" s="220"/>
    </row>
    <row r="135" spans="2:32">
      <c r="B135" s="718" t="s">
        <v>1010</v>
      </c>
      <c r="C135" s="226"/>
      <c r="D135" s="212" t="str">
        <f>"IND"&amp;RIGHT(H135,4)&amp;"GAS"&amp;"N"&amp;RIGHT(E135,1)</f>
        <v>INDTDPHGASN1</v>
      </c>
      <c r="E135" s="261" t="str">
        <f>"Industrial heating technology "&amp;$AJ$12&amp;" "&amp;RIGHT(H135,2)&amp;" - Gas boiler (Steam) - new 1"</f>
        <v>Industrial heating technology Transport PH - Gas boiler (Steam) - new 1</v>
      </c>
      <c r="F135" s="224" t="s">
        <v>1149</v>
      </c>
      <c r="G135" s="173" t="s">
        <v>2080</v>
      </c>
      <c r="H135" s="174" t="str">
        <f>$AI$13</f>
        <v>ITDPH</v>
      </c>
      <c r="I135" s="174" t="str">
        <f t="shared" si="142"/>
        <v>INDTWH</v>
      </c>
      <c r="J135" s="224">
        <f t="shared" si="145"/>
        <v>2011</v>
      </c>
      <c r="K135" s="299">
        <v>2011</v>
      </c>
      <c r="L135" s="199">
        <f t="shared" ref="L135:L143" ca="1" si="161">VLOOKUP($AD135,INDIRECT("'"&amp;$B135&amp;"'!"&amp;"$P$39:$AD$42"),3,FALSE)</f>
        <v>0.92</v>
      </c>
      <c r="M135" s="699"/>
      <c r="N135" s="299">
        <f ca="1">VLOOKUP($AD135,INDIRECT("'"&amp;$B135&amp;"'!"&amp;"$P$39:$AD$42"),5,FALSE)</f>
        <v>25</v>
      </c>
      <c r="O135" s="725">
        <f t="shared" ref="O135:O143" ca="1" si="162">VLOOKUP($AD135,INDIRECT("'"&amp;$B135&amp;"'!"&amp;"$P$39:$AD$42"),6,FALSE)/1000</f>
        <v>0.40636363636363632</v>
      </c>
      <c r="P135" s="725">
        <f t="shared" ref="P135:P143" ca="1" si="163">VLOOKUP($AD135,INDIRECT("'"&amp;$B135&amp;"'!"&amp;"$P$39:$AD$42"),7,FALSE)/1000</f>
        <v>1.49E-2</v>
      </c>
      <c r="Q135" s="299">
        <f t="shared" ref="Q135:Q143" ca="1" si="164">VLOOKUP($AD135,INDIRECT("'"&amp;$B135&amp;"'!"&amp;"$P$39:$AD$42"),8,FALSE)</f>
        <v>2.276388888888889</v>
      </c>
      <c r="R135" s="299">
        <v>3.1536000000000002E-2</v>
      </c>
      <c r="S135" s="699">
        <v>0.5</v>
      </c>
      <c r="T135" s="699">
        <f ca="1">HLOOKUP($T$2,INDIRECT("'"&amp;$B135&amp;"'!"&amp;"$P$6:$AC$19"),IF(H135=$AI$13,6,IF(H135=$AI$14,9,14)),FALSE)</f>
        <v>1</v>
      </c>
      <c r="U135" s="772"/>
      <c r="V135" s="199">
        <f t="shared" ref="V135" ca="1" si="165">IF(IF(RIGHT(H135,2)="PH",(1-L135)+$W$2,IF(RIGHT(H135,2)="HT",(1-L135)+$W$1,IF(RIGHT(H135,2)="SH",(1-L135)+$W$3,"")))&gt;0,IF(RIGHT(H135,2)="PH",(1-L135)+$W$2,IF(RIGHT(H135,2)="HT",(1-L135)+$W$1,IF(RIGHT(H135,2)="SH",(1-L135)+$W$3,""))),0)</f>
        <v>0.27999999999999997</v>
      </c>
      <c r="W135" s="298"/>
      <c r="X135" s="698">
        <f t="shared" ca="1" si="144"/>
        <v>0.3</v>
      </c>
      <c r="Y135" s="299">
        <f t="shared" ref="Y135:Y143" ca="1" si="166">VLOOKUP($AD135,INDIRECT("'"&amp;$B135&amp;"'!"&amp;"$P$39:$AD$42"),12,FALSE)</f>
        <v>9</v>
      </c>
      <c r="Z135" s="299">
        <f t="shared" ref="Z135:Z143" ca="1" si="167">VLOOKUP($AD135,INDIRECT("'"&amp;$B135&amp;"'!"&amp;"$P$39:$AD$42"),13,FALSE)</f>
        <v>3</v>
      </c>
      <c r="AA135" s="299">
        <f t="shared" ref="AA135:AA143" ca="1" si="168">VLOOKUP($AD135,INDIRECT("'"&amp;$B135&amp;"'!"&amp;"$P$39:$AD$42"),14,FALSE)</f>
        <v>1</v>
      </c>
      <c r="AB135" s="299">
        <f t="shared" ref="AB135:AB143" ca="1" si="169">VLOOKUP($AD135,INDIRECT("'"&amp;$B135&amp;"'!"&amp;"$P$39:$AD$42"),15,FALSE)</f>
        <v>0.1</v>
      </c>
      <c r="AD135" s="299">
        <v>2020</v>
      </c>
      <c r="AE135" s="81"/>
      <c r="AF135" s="220"/>
    </row>
    <row r="136" spans="2:32">
      <c r="B136" s="718" t="s">
        <v>1010</v>
      </c>
      <c r="C136" s="226"/>
      <c r="E136" s="212"/>
      <c r="F136" s="224" t="s">
        <v>1149</v>
      </c>
      <c r="H136" s="174"/>
      <c r="I136" s="174" t="str">
        <f t="shared" si="142"/>
        <v>INDTWH</v>
      </c>
      <c r="J136" s="224">
        <f t="shared" si="145"/>
        <v>2030</v>
      </c>
      <c r="K136" s="81"/>
      <c r="L136" s="199">
        <f t="shared" ca="1" si="161"/>
        <v>0.93</v>
      </c>
      <c r="M136" s="199"/>
      <c r="N136" s="81"/>
      <c r="O136" s="723">
        <f t="shared" ca="1" si="162"/>
        <v>0.33863636363636368</v>
      </c>
      <c r="P136" s="723">
        <f t="shared" ca="1" si="163"/>
        <v>1.4154999999999999E-2</v>
      </c>
      <c r="Q136" s="81">
        <f t="shared" ca="1" si="164"/>
        <v>2.0694444444444446</v>
      </c>
      <c r="R136" s="300"/>
      <c r="S136" s="300"/>
      <c r="T136" s="300"/>
      <c r="U136" s="300"/>
      <c r="V136" s="199">
        <f t="shared" ref="V136" ca="1" si="170">IF(IF(RIGHT(H135,2)="PH",(1-L136)+$W$2,IF(RIGHT(H135,2)="HT",(1-L136)+$W$1,IF(RIGHT(H135,2)="SH",(1-L136)+$W$3,"")))&gt;0,IF(RIGHT(H135,2)="PH",(1-L136)+$W$2,IF(RIGHT(H135,2)="HT",(1-L136)+$W$1,IF(RIGHT(H135,2)="SH",(1-L136)+$W$3,""))),0)</f>
        <v>0.26999999999999996</v>
      </c>
      <c r="W136" s="298"/>
      <c r="X136" s="698">
        <f t="shared" ca="1" si="144"/>
        <v>0.3</v>
      </c>
      <c r="Y136" s="81">
        <f t="shared" ca="1" si="166"/>
        <v>7</v>
      </c>
      <c r="Z136" s="81">
        <f t="shared" ca="1" si="167"/>
        <v>2</v>
      </c>
      <c r="AA136" s="81">
        <f t="shared" ca="1" si="168"/>
        <v>1</v>
      </c>
      <c r="AB136" s="81">
        <f t="shared" ca="1" si="169"/>
        <v>0.1</v>
      </c>
      <c r="AD136" s="81">
        <v>2030</v>
      </c>
      <c r="AE136" s="81"/>
      <c r="AF136" s="220"/>
    </row>
    <row r="137" spans="2:32">
      <c r="B137" s="718" t="s">
        <v>1010</v>
      </c>
      <c r="C137" s="226"/>
      <c r="E137" s="212"/>
      <c r="F137" s="224" t="s">
        <v>1149</v>
      </c>
      <c r="H137" s="174"/>
      <c r="I137" s="174" t="str">
        <f t="shared" si="142"/>
        <v>INDTWH</v>
      </c>
      <c r="J137" s="224">
        <f t="shared" si="145"/>
        <v>2050</v>
      </c>
      <c r="K137" s="81"/>
      <c r="L137" s="199">
        <f t="shared" ca="1" si="161"/>
        <v>0.94</v>
      </c>
      <c r="M137" s="199"/>
      <c r="N137" s="81"/>
      <c r="O137" s="723">
        <f t="shared" ca="1" si="162"/>
        <v>0.33863636363636368</v>
      </c>
      <c r="P137" s="723">
        <f t="shared" ca="1" si="163"/>
        <v>1.2664999999999999E-2</v>
      </c>
      <c r="Q137" s="81">
        <f t="shared" ca="1" si="164"/>
        <v>2.0694444444444446</v>
      </c>
      <c r="R137" s="300"/>
      <c r="S137" s="300"/>
      <c r="T137" s="300"/>
      <c r="U137" s="300"/>
      <c r="V137" s="199">
        <f t="shared" ref="V137" ca="1" si="171">IF(IF(RIGHT(H135,2)="PH",(1-L137)+$W$2,IF(RIGHT(H135,2)="HT",(1-L137)+$W$1,IF(RIGHT(H135,2)="SH",(1-L137)+$W$3,"")))&gt;0,IF(RIGHT(H135,2)="PH",(1-L137)+$W$2,IF(RIGHT(H135,2)="HT",(1-L137)+$W$1,IF(RIGHT(H135,2)="SH",(1-L137)+$W$3,""))),0)</f>
        <v>0.26000000000000006</v>
      </c>
      <c r="W137" s="298"/>
      <c r="X137" s="698">
        <f t="shared" ca="1" si="144"/>
        <v>0.3</v>
      </c>
      <c r="Y137" s="81">
        <f t="shared" ca="1" si="166"/>
        <v>6</v>
      </c>
      <c r="Z137" s="81">
        <f t="shared" ca="1" si="167"/>
        <v>2</v>
      </c>
      <c r="AA137" s="81">
        <f t="shared" ca="1" si="168"/>
        <v>1</v>
      </c>
      <c r="AB137" s="81">
        <f t="shared" ca="1" si="169"/>
        <v>0.1</v>
      </c>
      <c r="AD137" s="81">
        <v>2050</v>
      </c>
      <c r="AE137" s="81"/>
      <c r="AF137" s="220"/>
    </row>
    <row r="138" spans="2:32">
      <c r="B138" s="718" t="s">
        <v>1010</v>
      </c>
      <c r="C138" s="226"/>
      <c r="D138" s="212" t="str">
        <f>"IND"&amp;RIGHT(H138,4)&amp;"GAS"&amp;"N"&amp;RIGHT(E138,1)</f>
        <v>INDTDPHGASN1</v>
      </c>
      <c r="E138" s="261" t="str">
        <f>"Industrial heating technology "&amp;$AJ$12&amp;" "&amp;RIGHT(H138,2)&amp;" - Gas boiler (Steam) - new 1"</f>
        <v>Industrial heating technology Transport PH - Gas boiler (Steam) - new 1</v>
      </c>
      <c r="F138" s="224" t="s">
        <v>1149</v>
      </c>
      <c r="G138" s="173" t="s">
        <v>2080</v>
      </c>
      <c r="H138" s="174" t="str">
        <f>$AI$14</f>
        <v>ITDPH</v>
      </c>
      <c r="I138" s="174" t="str">
        <f t="shared" si="142"/>
        <v>INDTWH</v>
      </c>
      <c r="J138" s="224">
        <f t="shared" si="145"/>
        <v>2011</v>
      </c>
      <c r="K138" s="299">
        <f>J138</f>
        <v>2011</v>
      </c>
      <c r="L138" s="199">
        <f t="shared" ca="1" si="161"/>
        <v>0.92</v>
      </c>
      <c r="M138" s="199"/>
      <c r="N138" s="81">
        <f ca="1">VLOOKUP($AD138,INDIRECT("'"&amp;$B138&amp;"'!"&amp;"$P$39:$AD$42"),5,FALSE)</f>
        <v>25</v>
      </c>
      <c r="O138" s="723">
        <f t="shared" ca="1" si="162"/>
        <v>0.40636363636363632</v>
      </c>
      <c r="P138" s="723">
        <f t="shared" ca="1" si="163"/>
        <v>1.49E-2</v>
      </c>
      <c r="Q138" s="81">
        <f t="shared" ca="1" si="164"/>
        <v>2.276388888888889</v>
      </c>
      <c r="R138" s="81">
        <v>3.1536000000000002E-2</v>
      </c>
      <c r="S138" s="199">
        <v>0.5</v>
      </c>
      <c r="T138" s="199">
        <f ca="1">HLOOKUP($T$2,INDIRECT("'"&amp;$B138&amp;"'!"&amp;"$P$6:$AC$19"),IF(H138=$AI$13,6,IF(H138=$AI$14,9,14)),FALSE)</f>
        <v>1</v>
      </c>
      <c r="U138" s="772"/>
      <c r="V138" s="199">
        <f t="shared" ref="V138" ca="1" si="172">IF(IF(RIGHT(H138,2)="PH",(1-L138)+$W$2,IF(RIGHT(H138,2)="HT",(1-L138)+$W$1,IF(RIGHT(H138,2)="SH",(1-L138)+$W$3,"")))&gt;0,IF(RIGHT(H138,2)="PH",(1-L138)+$W$2,IF(RIGHT(H138,2)="HT",(1-L138)+$W$1,IF(RIGHT(H138,2)="SH",(1-L138)+$W$3,""))),0)</f>
        <v>0.27999999999999997</v>
      </c>
      <c r="W138" s="298"/>
      <c r="X138" s="698">
        <f t="shared" ca="1" si="144"/>
        <v>0.3</v>
      </c>
      <c r="Y138" s="81">
        <f t="shared" ca="1" si="166"/>
        <v>9</v>
      </c>
      <c r="Z138" s="81">
        <f t="shared" ca="1" si="167"/>
        <v>3</v>
      </c>
      <c r="AA138" s="81">
        <f t="shared" ca="1" si="168"/>
        <v>1</v>
      </c>
      <c r="AB138" s="81">
        <f t="shared" ca="1" si="169"/>
        <v>0.1</v>
      </c>
      <c r="AD138" s="81">
        <v>2020</v>
      </c>
      <c r="AE138" s="81"/>
      <c r="AF138" s="220"/>
    </row>
    <row r="139" spans="2:32">
      <c r="B139" s="718" t="s">
        <v>1010</v>
      </c>
      <c r="C139" s="226"/>
      <c r="E139" s="212"/>
      <c r="F139" s="224" t="s">
        <v>1149</v>
      </c>
      <c r="H139" s="174"/>
      <c r="I139" s="174" t="str">
        <f t="shared" si="142"/>
        <v>INDTWH</v>
      </c>
      <c r="J139" s="224">
        <f t="shared" si="145"/>
        <v>2030</v>
      </c>
      <c r="K139" s="81"/>
      <c r="L139" s="199">
        <f t="shared" ca="1" si="161"/>
        <v>0.93</v>
      </c>
      <c r="M139" s="199"/>
      <c r="N139" s="81"/>
      <c r="O139" s="723">
        <f t="shared" ca="1" si="162"/>
        <v>0.33863636363636368</v>
      </c>
      <c r="P139" s="723">
        <f t="shared" ca="1" si="163"/>
        <v>1.4154999999999999E-2</v>
      </c>
      <c r="Q139" s="81">
        <f t="shared" ca="1" si="164"/>
        <v>2.0694444444444446</v>
      </c>
      <c r="R139" s="300"/>
      <c r="S139" s="300"/>
      <c r="T139" s="300"/>
      <c r="U139" s="300"/>
      <c r="V139" s="199">
        <f t="shared" ref="V139" ca="1" si="173">IF(IF(RIGHT(H138,2)="PH",(1-L139)+$W$2,IF(RIGHT(H138,2)="HT",(1-L139)+$W$1,IF(RIGHT(H138,2)="SH",(1-L139)+$W$3,"")))&gt;0,IF(RIGHT(H138,2)="PH",(1-L139)+$W$2,IF(RIGHT(H138,2)="HT",(1-L139)+$W$1,IF(RIGHT(H138,2)="SH",(1-L139)+$W$3,""))),0)</f>
        <v>0.26999999999999996</v>
      </c>
      <c r="W139" s="298"/>
      <c r="X139" s="698">
        <f t="shared" ca="1" si="144"/>
        <v>0.3</v>
      </c>
      <c r="Y139" s="81">
        <f t="shared" ca="1" si="166"/>
        <v>7</v>
      </c>
      <c r="Z139" s="81">
        <f t="shared" ca="1" si="167"/>
        <v>2</v>
      </c>
      <c r="AA139" s="81">
        <f t="shared" ca="1" si="168"/>
        <v>1</v>
      </c>
      <c r="AB139" s="81">
        <f t="shared" ca="1" si="169"/>
        <v>0.1</v>
      </c>
      <c r="AD139" s="81">
        <v>2030</v>
      </c>
      <c r="AE139" s="81"/>
      <c r="AF139" s="220"/>
    </row>
    <row r="140" spans="2:32">
      <c r="B140" s="718" t="s">
        <v>1010</v>
      </c>
      <c r="C140" s="226"/>
      <c r="E140" s="212"/>
      <c r="F140" s="224" t="s">
        <v>1149</v>
      </c>
      <c r="H140" s="174"/>
      <c r="I140" s="174" t="str">
        <f t="shared" si="142"/>
        <v>INDTWH</v>
      </c>
      <c r="J140" s="224">
        <f t="shared" si="145"/>
        <v>2050</v>
      </c>
      <c r="K140" s="81"/>
      <c r="L140" s="199">
        <f t="shared" ca="1" si="161"/>
        <v>0.94</v>
      </c>
      <c r="M140" s="199"/>
      <c r="N140" s="81"/>
      <c r="O140" s="723">
        <f t="shared" ca="1" si="162"/>
        <v>0.33863636363636368</v>
      </c>
      <c r="P140" s="723">
        <f t="shared" ca="1" si="163"/>
        <v>1.2664999999999999E-2</v>
      </c>
      <c r="Q140" s="81">
        <f t="shared" ca="1" si="164"/>
        <v>2.0694444444444446</v>
      </c>
      <c r="R140" s="300"/>
      <c r="S140" s="300"/>
      <c r="T140" s="300"/>
      <c r="U140" s="300"/>
      <c r="V140" s="199">
        <f t="shared" ref="V140" ca="1" si="174">IF(IF(RIGHT(H138,2)="PH",(1-L140)+$W$2,IF(RIGHT(H138,2)="HT",(1-L140)+$W$1,IF(RIGHT(H138,2)="SH",(1-L140)+$W$3,"")))&gt;0,IF(RIGHT(H138,2)="PH",(1-L140)+$W$2,IF(RIGHT(H138,2)="HT",(1-L140)+$W$1,IF(RIGHT(H138,2)="SH",(1-L140)+$W$3,""))),0)</f>
        <v>0.26000000000000006</v>
      </c>
      <c r="W140" s="298"/>
      <c r="X140" s="698">
        <f t="shared" ca="1" si="144"/>
        <v>0.3</v>
      </c>
      <c r="Y140" s="81">
        <f t="shared" ca="1" si="166"/>
        <v>6</v>
      </c>
      <c r="Z140" s="81">
        <f t="shared" ca="1" si="167"/>
        <v>2</v>
      </c>
      <c r="AA140" s="81">
        <f t="shared" ca="1" si="168"/>
        <v>1</v>
      </c>
      <c r="AB140" s="81">
        <f t="shared" ca="1" si="169"/>
        <v>0.1</v>
      </c>
      <c r="AC140" s="203"/>
      <c r="AD140" s="81">
        <v>2050</v>
      </c>
      <c r="AE140" s="81"/>
      <c r="AF140" s="705"/>
    </row>
    <row r="141" spans="2:32">
      <c r="B141" s="718" t="s">
        <v>1010</v>
      </c>
      <c r="C141" s="226"/>
      <c r="D141" s="212" t="str">
        <f>"IND"&amp;RIGHT(H141,4)&amp;"GAS"&amp;"N"&amp;RIGHT(E141,1)</f>
        <v>INDTDSHGASN1</v>
      </c>
      <c r="E141" s="261" t="str">
        <f>"Industrial heating technology "&amp;$AJ$12&amp;" "&amp;RIGHT(H141,2)&amp;" - Gas boiler (Steam) - new 1"</f>
        <v>Industrial heating technology Transport SH - Gas boiler (Steam) - new 1</v>
      </c>
      <c r="F141" s="224" t="s">
        <v>1149</v>
      </c>
      <c r="G141" s="173" t="s">
        <v>2080</v>
      </c>
      <c r="H141" s="174" t="str">
        <f>$AI$15</f>
        <v>ITDSH</v>
      </c>
      <c r="I141" s="174" t="str">
        <f t="shared" si="142"/>
        <v>INDTWH</v>
      </c>
      <c r="J141" s="224">
        <f t="shared" si="145"/>
        <v>2011</v>
      </c>
      <c r="K141" s="299">
        <f>J141</f>
        <v>2011</v>
      </c>
      <c r="L141" s="199">
        <f t="shared" ca="1" si="161"/>
        <v>0.92</v>
      </c>
      <c r="M141" s="199"/>
      <c r="N141" s="81">
        <f ca="1">VLOOKUP($AD141,INDIRECT("'"&amp;$B141&amp;"'!"&amp;"$P$39:$AD$42"),5,FALSE)</f>
        <v>25</v>
      </c>
      <c r="O141" s="723">
        <f t="shared" ca="1" si="162"/>
        <v>0.40636363636363632</v>
      </c>
      <c r="P141" s="723">
        <f t="shared" ca="1" si="163"/>
        <v>1.49E-2</v>
      </c>
      <c r="Q141" s="81">
        <f t="shared" ca="1" si="164"/>
        <v>2.276388888888889</v>
      </c>
      <c r="R141" s="81">
        <v>3.1536000000000002E-2</v>
      </c>
      <c r="S141" s="199">
        <v>0.5</v>
      </c>
      <c r="T141" s="199">
        <f ca="1">HLOOKUP($T$2,INDIRECT("'"&amp;$B141&amp;"'!"&amp;"$P$6:$AC$19"),IF(H141=$AI$13,6,IF(H141=$AI$14,9,14)),FALSE)</f>
        <v>1</v>
      </c>
      <c r="U141" s="772"/>
      <c r="V141" s="199">
        <f t="shared" ref="V141" ca="1" si="175">IF(IF(RIGHT(H141,2)="PH",(1-L141)+$W$2,IF(RIGHT(H141,2)="HT",(1-L141)+$W$1,IF(RIGHT(H141,2)="SH",(1-L141)+$W$3,"")))&gt;0,IF(RIGHT(H141,2)="PH",(1-L141)+$W$2,IF(RIGHT(H141,2)="HT",(1-L141)+$W$1,IF(RIGHT(H141,2)="SH",(1-L141)+$W$3,""))),0)</f>
        <v>7.999999999999996E-2</v>
      </c>
      <c r="W141" s="298"/>
      <c r="X141" s="698">
        <f t="shared" ca="1" si="144"/>
        <v>0.3</v>
      </c>
      <c r="Y141" s="81">
        <f t="shared" ca="1" si="166"/>
        <v>9</v>
      </c>
      <c r="Z141" s="81">
        <f t="shared" ca="1" si="167"/>
        <v>3</v>
      </c>
      <c r="AA141" s="81">
        <f t="shared" ca="1" si="168"/>
        <v>1</v>
      </c>
      <c r="AB141" s="81">
        <f t="shared" ca="1" si="169"/>
        <v>0.1</v>
      </c>
      <c r="AC141" s="296"/>
      <c r="AD141" s="81">
        <v>2020</v>
      </c>
      <c r="AE141" s="81"/>
      <c r="AF141" s="710"/>
    </row>
    <row r="142" spans="2:32">
      <c r="B142" s="718" t="s">
        <v>1010</v>
      </c>
      <c r="C142" s="226"/>
      <c r="E142" s="212"/>
      <c r="F142" s="224" t="s">
        <v>1149</v>
      </c>
      <c r="H142" s="174"/>
      <c r="I142" s="174" t="str">
        <f t="shared" si="142"/>
        <v>INDTWH</v>
      </c>
      <c r="J142" s="224">
        <f t="shared" si="145"/>
        <v>2030</v>
      </c>
      <c r="K142" s="81"/>
      <c r="L142" s="199">
        <f t="shared" ca="1" si="161"/>
        <v>0.93</v>
      </c>
      <c r="M142" s="199"/>
      <c r="N142" s="81"/>
      <c r="O142" s="723">
        <f t="shared" ca="1" si="162"/>
        <v>0.33863636363636368</v>
      </c>
      <c r="P142" s="723">
        <f t="shared" ca="1" si="163"/>
        <v>1.4154999999999999E-2</v>
      </c>
      <c r="Q142" s="81">
        <f t="shared" ca="1" si="164"/>
        <v>2.0694444444444446</v>
      </c>
      <c r="R142" s="300"/>
      <c r="S142" s="300"/>
      <c r="T142" s="300"/>
      <c r="U142" s="300"/>
      <c r="V142" s="199">
        <f t="shared" ref="V142" ca="1" si="176">IF(IF(RIGHT(H141,2)="PH",(1-L142)+$W$2,IF(RIGHT(H141,2)="HT",(1-L142)+$W$1,IF(RIGHT(H141,2)="SH",(1-L142)+$W$3,"")))&gt;0,IF(RIGHT(H141,2)="PH",(1-L142)+$W$2,IF(RIGHT(H141,2)="HT",(1-L142)+$W$1,IF(RIGHT(H141,2)="SH",(1-L142)+$W$3,""))),0)</f>
        <v>6.9999999999999951E-2</v>
      </c>
      <c r="W142" s="298"/>
      <c r="X142" s="698">
        <f t="shared" ca="1" si="144"/>
        <v>0.3</v>
      </c>
      <c r="Y142" s="81">
        <f t="shared" ca="1" si="166"/>
        <v>7</v>
      </c>
      <c r="Z142" s="81">
        <f t="shared" ca="1" si="167"/>
        <v>2</v>
      </c>
      <c r="AA142" s="81">
        <f t="shared" ca="1" si="168"/>
        <v>1</v>
      </c>
      <c r="AB142" s="81">
        <f t="shared" ca="1" si="169"/>
        <v>0.1</v>
      </c>
      <c r="AC142" s="55"/>
      <c r="AD142" s="81">
        <v>2030</v>
      </c>
      <c r="AE142" s="81"/>
      <c r="AF142" s="700"/>
    </row>
    <row r="143" spans="2:32">
      <c r="B143" s="719" t="s">
        <v>1010</v>
      </c>
      <c r="C143" s="713"/>
      <c r="D143" s="203"/>
      <c r="E143" s="701"/>
      <c r="F143" s="224" t="s">
        <v>1149</v>
      </c>
      <c r="G143" s="203"/>
      <c r="H143" s="702"/>
      <c r="I143" s="702" t="str">
        <f t="shared" si="142"/>
        <v>INDTWH</v>
      </c>
      <c r="J143" s="224">
        <f t="shared" si="145"/>
        <v>2050</v>
      </c>
      <c r="K143" s="81"/>
      <c r="L143" s="199">
        <f t="shared" ca="1" si="161"/>
        <v>0.94</v>
      </c>
      <c r="M143" s="199"/>
      <c r="N143" s="81"/>
      <c r="O143" s="723">
        <f t="shared" ca="1" si="162"/>
        <v>0.33863636363636368</v>
      </c>
      <c r="P143" s="723">
        <f t="shared" ca="1" si="163"/>
        <v>1.2664999999999999E-2</v>
      </c>
      <c r="Q143" s="81">
        <f t="shared" ca="1" si="164"/>
        <v>2.0694444444444446</v>
      </c>
      <c r="R143" s="703"/>
      <c r="S143" s="703"/>
      <c r="T143" s="703"/>
      <c r="U143" s="703"/>
      <c r="V143" s="199">
        <f t="shared" ref="V143" ca="1" si="177">IF(IF(RIGHT(H141,2)="PH",(1-L143)+$W$2,IF(RIGHT(H141,2)="HT",(1-L143)+$W$1,IF(RIGHT(H141,2)="SH",(1-L143)+$W$3,"")))&gt;0,IF(RIGHT(H141,2)="PH",(1-L143)+$W$2,IF(RIGHT(H141,2)="HT",(1-L143)+$W$1,IF(RIGHT(H141,2)="SH",(1-L143)+$W$3,""))),0)</f>
        <v>6.0000000000000053E-2</v>
      </c>
      <c r="W143" s="704"/>
      <c r="X143" s="698">
        <f t="shared" ca="1" si="144"/>
        <v>0.3</v>
      </c>
      <c r="Y143" s="81">
        <f t="shared" ca="1" si="166"/>
        <v>6</v>
      </c>
      <c r="Z143" s="81">
        <f t="shared" ca="1" si="167"/>
        <v>2</v>
      </c>
      <c r="AA143" s="81">
        <f t="shared" ca="1" si="168"/>
        <v>1</v>
      </c>
      <c r="AB143" s="81">
        <f t="shared" ca="1" si="169"/>
        <v>0.1</v>
      </c>
      <c r="AC143" s="55"/>
      <c r="AD143" s="81">
        <v>2050</v>
      </c>
      <c r="AE143" s="81"/>
      <c r="AF143" s="700"/>
    </row>
    <row r="144" spans="2:32">
      <c r="B144" s="718" t="s">
        <v>1010</v>
      </c>
      <c r="C144" s="226"/>
      <c r="D144" s="212" t="str">
        <f>"IND"&amp;RIGHT(H144,4)&amp;"GAS"&amp;"N"&amp;RIGHT(E144,1)</f>
        <v>INDTDPHGASN2</v>
      </c>
      <c r="E144" s="707" t="str">
        <f>"Industrial heating technology "&amp;$AJ$12&amp;" "&amp;RIGHT(H144,2)&amp;" - Gas boiler (Steam - condensing) - new 2"</f>
        <v>Industrial heating technology Transport PH - Gas boiler (Steam - condensing) - new 2</v>
      </c>
      <c r="F144" s="224" t="s">
        <v>1149</v>
      </c>
      <c r="G144" s="173" t="s">
        <v>2080</v>
      </c>
      <c r="H144" s="708" t="str">
        <f>$AI$14</f>
        <v>ITDPH</v>
      </c>
      <c r="I144" s="708" t="str">
        <f t="shared" si="142"/>
        <v>INDTWH</v>
      </c>
      <c r="J144" s="224">
        <f t="shared" si="145"/>
        <v>2011</v>
      </c>
      <c r="K144" s="299">
        <f>J144</f>
        <v>2011</v>
      </c>
      <c r="L144" s="199">
        <f t="shared" ref="L144:L149" ca="1" si="178">VLOOKUP($AD144,INDIRECT("'"&amp;$B144&amp;"'!"&amp;"$P$118:$AD$121"),3,FALSE)</f>
        <v>1.01</v>
      </c>
      <c r="M144" s="199"/>
      <c r="N144" s="81">
        <f ca="1">VLOOKUP($AD144,INDIRECT("'"&amp;$B144&amp;"'!"&amp;"$P$118:$AD$121"),5,FALSE)</f>
        <v>25</v>
      </c>
      <c r="O144" s="723">
        <f t="shared" ref="O144:O149" ca="1" si="179">VLOOKUP($AD144,INDIRECT("'"&amp;$B144&amp;"'!"&amp;"$P$118:$AD$121"),6,FALSE)/1000</f>
        <v>0.44700000000000001</v>
      </c>
      <c r="P144" s="723">
        <f t="shared" ref="P144:P149" ca="1" si="180">VLOOKUP($AD144,INDIRECT("'"&amp;$B144&amp;"'!"&amp;"$P$118:$AD$121"),7,FALSE)/1000</f>
        <v>1.49E-2</v>
      </c>
      <c r="Q144" s="81">
        <f t="shared" ref="Q144:Q149" ca="1" si="181">VLOOKUP($AD144,INDIRECT("'"&amp;$B144&amp;"'!"&amp;"$P$118:$AD$121"),8,FALSE)</f>
        <v>2.276388888888889</v>
      </c>
      <c r="R144" s="81">
        <v>3.1536000000000002E-2</v>
      </c>
      <c r="S144" s="199">
        <v>0.5</v>
      </c>
      <c r="T144" s="199">
        <f ca="1">HLOOKUP($T$2,INDIRECT("'"&amp;$B144&amp;"'!"&amp;"$P$85:$AC$98"),IF(H144=$AI$13,6,IF(H144=$AI$14,9,14)),FALSE)</f>
        <v>0</v>
      </c>
      <c r="U144" s="773"/>
      <c r="V144" s="199">
        <f t="shared" ref="V144" ca="1" si="182">IF(IF(RIGHT(H144,2)="PH",(1-L144)+$W$2,IF(RIGHT(H144,2)="HT",(1-L144)+$W$1,IF(RIGHT(H144,2)="SH",(1-L144)+$W$3,"")))&gt;0,IF(RIGHT(H144,2)="PH",(1-L144)+$W$2,IF(RIGHT(H144,2)="HT",(1-L144)+$W$1,IF(RIGHT(H144,2)="SH",(1-L144)+$W$3,""))),0)</f>
        <v>0.19</v>
      </c>
      <c r="W144" s="709"/>
      <c r="X144" s="698">
        <f t="shared" ca="1" si="144"/>
        <v>0.3</v>
      </c>
      <c r="Y144" s="698">
        <f t="shared" ref="Y144:Y149" ca="1" si="183">VLOOKUP($AD144,INDIRECT("'"&amp;$B144&amp;"'!"&amp;"$P$118:$AD$121"),12,FALSE)</f>
        <v>9</v>
      </c>
      <c r="Z144" s="698">
        <f t="shared" ref="Z144:Z149" ca="1" si="184">VLOOKUP($AD144,INDIRECT("'"&amp;$B144&amp;"'!"&amp;"$P$118:$AD$121"),13,FALSE)</f>
        <v>3</v>
      </c>
      <c r="AA144" s="698">
        <f t="shared" ref="AA144:AA149" ca="1" si="185">VLOOKUP($AD144,INDIRECT("'"&amp;$B144&amp;"'!"&amp;"$P$118:$AD$121"),14,FALSE)</f>
        <v>1</v>
      </c>
      <c r="AB144" s="698">
        <f t="shared" ref="AB144:AB149" ca="1" si="186">VLOOKUP($AD144,INDIRECT("'"&amp;$B144&amp;"'!"&amp;"$P$118:$AD$121"),15,FALSE)</f>
        <v>0.1</v>
      </c>
      <c r="AC144" s="55"/>
      <c r="AD144" s="81">
        <v>2020</v>
      </c>
      <c r="AE144" s="81"/>
      <c r="AF144" s="700"/>
    </row>
    <row r="145" spans="1:32">
      <c r="B145" s="718" t="s">
        <v>1010</v>
      </c>
      <c r="C145" s="226"/>
      <c r="E145" s="261"/>
      <c r="F145" s="224" t="s">
        <v>1149</v>
      </c>
      <c r="G145" s="55"/>
      <c r="H145" s="174"/>
      <c r="I145" s="174" t="str">
        <f t="shared" si="142"/>
        <v>INDTWH</v>
      </c>
      <c r="J145" s="224">
        <f t="shared" si="145"/>
        <v>2030</v>
      </c>
      <c r="K145" s="81"/>
      <c r="L145" s="199">
        <f t="shared" ca="1" si="178"/>
        <v>1.03</v>
      </c>
      <c r="M145" s="199"/>
      <c r="N145" s="81"/>
      <c r="O145" s="723">
        <f t="shared" ca="1" si="179"/>
        <v>0.37250000000000005</v>
      </c>
      <c r="P145" s="723">
        <f t="shared" ca="1" si="180"/>
        <v>1.4154999999999999E-2</v>
      </c>
      <c r="Q145" s="81">
        <f t="shared" ca="1" si="181"/>
        <v>2.0694444444444446</v>
      </c>
      <c r="R145" s="300"/>
      <c r="S145" s="300"/>
      <c r="T145" s="300"/>
      <c r="U145" s="300"/>
      <c r="V145" s="199">
        <f t="shared" ref="V145" ca="1" si="187">IF(IF(RIGHT(H144,2)="PH",(1-L145)+$W$2,IF(RIGHT(H144,2)="HT",(1-L145)+$W$1,IF(RIGHT(H144,2)="SH",(1-L145)+$W$3,"")))&gt;0,IF(RIGHT(H144,2)="PH",(1-L145)+$W$2,IF(RIGHT(H144,2)="HT",(1-L145)+$W$1,IF(RIGHT(H144,2)="SH",(1-L145)+$W$3,""))),0)</f>
        <v>0.16999999999999998</v>
      </c>
      <c r="W145" s="298"/>
      <c r="X145" s="698">
        <f t="shared" ca="1" si="144"/>
        <v>0.3</v>
      </c>
      <c r="Y145" s="698">
        <f t="shared" ca="1" si="183"/>
        <v>7</v>
      </c>
      <c r="Z145" s="698">
        <f t="shared" ca="1" si="184"/>
        <v>2</v>
      </c>
      <c r="AA145" s="698">
        <f t="shared" ca="1" si="185"/>
        <v>1</v>
      </c>
      <c r="AB145" s="698">
        <f t="shared" ca="1" si="186"/>
        <v>0.1</v>
      </c>
      <c r="AC145" s="55"/>
      <c r="AD145" s="81">
        <v>2030</v>
      </c>
      <c r="AE145" s="81"/>
      <c r="AF145" s="700"/>
    </row>
    <row r="146" spans="1:32">
      <c r="A146" s="226"/>
      <c r="B146" s="718" t="s">
        <v>1010</v>
      </c>
      <c r="C146" s="226"/>
      <c r="E146" s="261"/>
      <c r="F146" s="224" t="s">
        <v>1149</v>
      </c>
      <c r="G146" s="55"/>
      <c r="H146" s="174"/>
      <c r="I146" s="174" t="str">
        <f t="shared" si="142"/>
        <v>INDTWH</v>
      </c>
      <c r="J146" s="224">
        <f t="shared" si="145"/>
        <v>2050</v>
      </c>
      <c r="K146" s="81"/>
      <c r="L146" s="199">
        <f t="shared" ca="1" si="178"/>
        <v>1.03</v>
      </c>
      <c r="M146" s="199"/>
      <c r="N146" s="81"/>
      <c r="O146" s="723">
        <f t="shared" ca="1" si="179"/>
        <v>0.37250000000000005</v>
      </c>
      <c r="P146" s="723">
        <f t="shared" ca="1" si="180"/>
        <v>1.2664999999999999E-2</v>
      </c>
      <c r="Q146" s="81">
        <f t="shared" ca="1" si="181"/>
        <v>2.0694444444444446</v>
      </c>
      <c r="R146" s="300"/>
      <c r="S146" s="300"/>
      <c r="T146" s="300"/>
      <c r="U146" s="300"/>
      <c r="V146" s="199">
        <f t="shared" ref="V146" ca="1" si="188">IF(IF(RIGHT(H144,2)="PH",(1-L146)+$W$2,IF(RIGHT(H144,2)="HT",(1-L146)+$W$1,IF(RIGHT(H144,2)="SH",(1-L146)+$W$3,"")))&gt;0,IF(RIGHT(H144,2)="PH",(1-L146)+$W$2,IF(RIGHT(H144,2)="HT",(1-L146)+$W$1,IF(RIGHT(H144,2)="SH",(1-L146)+$W$3,""))),0)</f>
        <v>0.16999999999999998</v>
      </c>
      <c r="W146" s="298"/>
      <c r="X146" s="698">
        <f t="shared" ca="1" si="144"/>
        <v>0.3</v>
      </c>
      <c r="Y146" s="698">
        <f t="shared" ca="1" si="183"/>
        <v>6</v>
      </c>
      <c r="Z146" s="698">
        <f t="shared" ca="1" si="184"/>
        <v>2</v>
      </c>
      <c r="AA146" s="698">
        <f t="shared" ca="1" si="185"/>
        <v>1</v>
      </c>
      <c r="AB146" s="698">
        <f t="shared" ca="1" si="186"/>
        <v>0.1</v>
      </c>
      <c r="AC146" s="203"/>
      <c r="AD146" s="81">
        <v>2050</v>
      </c>
      <c r="AE146" s="81"/>
      <c r="AF146" s="705"/>
    </row>
    <row r="147" spans="1:32">
      <c r="A147" s="226"/>
      <c r="B147" s="718" t="s">
        <v>1010</v>
      </c>
      <c r="C147" s="226"/>
      <c r="D147" s="212" t="str">
        <f>"IND"&amp;RIGHT(H147,4)&amp;"GAS"&amp;"N"&amp;RIGHT(E147,1)</f>
        <v>INDTDSHGASN2</v>
      </c>
      <c r="E147" s="261" t="str">
        <f>"Industrial heating technology "&amp;$AJ$12&amp;" "&amp;RIGHT(H147,2)&amp;" - Gas boiler (Steam - condensing) - new 2"</f>
        <v>Industrial heating technology Transport SH - Gas boiler (Steam - condensing) - new 2</v>
      </c>
      <c r="F147" s="224" t="s">
        <v>1149</v>
      </c>
      <c r="G147" s="173" t="s">
        <v>2080</v>
      </c>
      <c r="H147" s="174" t="str">
        <f>$AI$15</f>
        <v>ITDSH</v>
      </c>
      <c r="I147" s="174" t="str">
        <f t="shared" si="142"/>
        <v>INDTWH</v>
      </c>
      <c r="J147" s="224">
        <f t="shared" si="145"/>
        <v>2011</v>
      </c>
      <c r="K147" s="299">
        <f>J147</f>
        <v>2011</v>
      </c>
      <c r="L147" s="199">
        <f t="shared" ca="1" si="178"/>
        <v>1.01</v>
      </c>
      <c r="M147" s="199"/>
      <c r="N147" s="81">
        <f ca="1">VLOOKUP($AD147,INDIRECT("'"&amp;$B147&amp;"'!"&amp;"$P$118:$AD$121"),5,FALSE)</f>
        <v>25</v>
      </c>
      <c r="O147" s="723">
        <f t="shared" ca="1" si="179"/>
        <v>0.44700000000000001</v>
      </c>
      <c r="P147" s="723">
        <f t="shared" ca="1" si="180"/>
        <v>1.49E-2</v>
      </c>
      <c r="Q147" s="81">
        <f t="shared" ca="1" si="181"/>
        <v>2.276388888888889</v>
      </c>
      <c r="R147" s="81">
        <v>3.1536000000000002E-2</v>
      </c>
      <c r="S147" s="199">
        <v>0.5</v>
      </c>
      <c r="T147" s="199">
        <f ca="1">HLOOKUP($T$2,INDIRECT("'"&amp;$B147&amp;"'!"&amp;"$P$85:$AC$98"),IF(H147=$AI$13,6,IF(H147=$AI$14,9,14)),FALSE)</f>
        <v>0</v>
      </c>
      <c r="U147" s="772"/>
      <c r="V147" s="199">
        <f t="shared" ref="V147" ca="1" si="189">IF(IF(RIGHT(H147,2)="PH",(1-L147)+$W$2,IF(RIGHT(H147,2)="HT",(1-L147)+$W$1,IF(RIGHT(H147,2)="SH",(1-L147)+$W$3,"")))&gt;0,IF(RIGHT(H147,2)="PH",(1-L147)+$W$2,IF(RIGHT(H147,2)="HT",(1-L147)+$W$1,IF(RIGHT(H147,2)="SH",(1-L147)+$W$3,""))),0)</f>
        <v>0</v>
      </c>
      <c r="W147" s="298"/>
      <c r="X147" s="698">
        <f t="shared" ca="1" si="144"/>
        <v>0.3</v>
      </c>
      <c r="Y147" s="698">
        <f t="shared" ca="1" si="183"/>
        <v>9</v>
      </c>
      <c r="Z147" s="698">
        <f t="shared" ca="1" si="184"/>
        <v>3</v>
      </c>
      <c r="AA147" s="698">
        <f t="shared" ca="1" si="185"/>
        <v>1</v>
      </c>
      <c r="AB147" s="698">
        <f t="shared" ca="1" si="186"/>
        <v>0.1</v>
      </c>
      <c r="AC147" s="296"/>
      <c r="AD147" s="81">
        <v>2020</v>
      </c>
      <c r="AE147" s="81"/>
      <c r="AF147" s="710"/>
    </row>
    <row r="148" spans="1:32">
      <c r="A148" s="226"/>
      <c r="B148" s="718" t="s">
        <v>1010</v>
      </c>
      <c r="C148" s="226"/>
      <c r="E148" s="261"/>
      <c r="F148" s="224" t="s">
        <v>1149</v>
      </c>
      <c r="G148" s="55"/>
      <c r="H148" s="174"/>
      <c r="I148" s="174" t="str">
        <f t="shared" si="142"/>
        <v>INDTWH</v>
      </c>
      <c r="J148" s="224">
        <f t="shared" si="145"/>
        <v>2030</v>
      </c>
      <c r="K148" s="81"/>
      <c r="L148" s="199">
        <f t="shared" ca="1" si="178"/>
        <v>1.03</v>
      </c>
      <c r="M148" s="199"/>
      <c r="N148" s="81"/>
      <c r="O148" s="723">
        <f t="shared" ca="1" si="179"/>
        <v>0.37250000000000005</v>
      </c>
      <c r="P148" s="723">
        <f t="shared" ca="1" si="180"/>
        <v>1.4154999999999999E-2</v>
      </c>
      <c r="Q148" s="81">
        <f t="shared" ca="1" si="181"/>
        <v>2.0694444444444446</v>
      </c>
      <c r="R148" s="300"/>
      <c r="S148" s="300"/>
      <c r="T148" s="300"/>
      <c r="U148" s="300"/>
      <c r="V148" s="199">
        <f t="shared" ref="V148" ca="1" si="190">IF(IF(RIGHT(H147,2)="PH",(1-L148)+$W$2,IF(RIGHT(H147,2)="HT",(1-L148)+$W$1,IF(RIGHT(H147,2)="SH",(1-L148)+$W$3,"")))&gt;0,IF(RIGHT(H147,2)="PH",(1-L148)+$W$2,IF(RIGHT(H147,2)="HT",(1-L148)+$W$1,IF(RIGHT(H147,2)="SH",(1-L148)+$W$3,""))),0)</f>
        <v>0</v>
      </c>
      <c r="W148" s="298"/>
      <c r="X148" s="698">
        <f t="shared" ca="1" si="144"/>
        <v>0.3</v>
      </c>
      <c r="Y148" s="698">
        <f t="shared" ca="1" si="183"/>
        <v>7</v>
      </c>
      <c r="Z148" s="698">
        <f t="shared" ca="1" si="184"/>
        <v>2</v>
      </c>
      <c r="AA148" s="698">
        <f t="shared" ca="1" si="185"/>
        <v>1</v>
      </c>
      <c r="AB148" s="698">
        <f t="shared" ca="1" si="186"/>
        <v>0.1</v>
      </c>
      <c r="AC148" s="55"/>
      <c r="AD148" s="81">
        <v>2030</v>
      </c>
      <c r="AE148" s="81"/>
      <c r="AF148" s="700"/>
    </row>
    <row r="149" spans="1:32">
      <c r="A149" s="226"/>
      <c r="B149" s="719" t="s">
        <v>1010</v>
      </c>
      <c r="C149" s="713"/>
      <c r="D149" s="203"/>
      <c r="E149" s="701"/>
      <c r="F149" s="224" t="s">
        <v>1149</v>
      </c>
      <c r="G149" s="203"/>
      <c r="H149" s="702"/>
      <c r="I149" s="702" t="str">
        <f t="shared" si="142"/>
        <v>INDTWH</v>
      </c>
      <c r="J149" s="224">
        <f t="shared" si="145"/>
        <v>2050</v>
      </c>
      <c r="K149" s="81"/>
      <c r="L149" s="199">
        <f t="shared" ca="1" si="178"/>
        <v>1.03</v>
      </c>
      <c r="M149" s="199"/>
      <c r="N149" s="81"/>
      <c r="O149" s="723">
        <f t="shared" ca="1" si="179"/>
        <v>0.37250000000000005</v>
      </c>
      <c r="P149" s="723">
        <f t="shared" ca="1" si="180"/>
        <v>1.2664999999999999E-2</v>
      </c>
      <c r="Q149" s="81">
        <f t="shared" ca="1" si="181"/>
        <v>2.0694444444444446</v>
      </c>
      <c r="R149" s="703"/>
      <c r="S149" s="703"/>
      <c r="T149" s="703"/>
      <c r="U149" s="703"/>
      <c r="V149" s="199">
        <f t="shared" ref="V149" ca="1" si="191">IF(IF(RIGHT(H147,2)="PH",(1-L149)+$W$2,IF(RIGHT(H147,2)="HT",(1-L149)+$W$1,IF(RIGHT(H147,2)="SH",(1-L149)+$W$3,"")))&gt;0,IF(RIGHT(H147,2)="PH",(1-L149)+$W$2,IF(RIGHT(H147,2)="HT",(1-L149)+$W$1,IF(RIGHT(H147,2)="SH",(1-L149)+$W$3,""))),0)</f>
        <v>0</v>
      </c>
      <c r="W149" s="704"/>
      <c r="X149" s="698">
        <f t="shared" ca="1" si="144"/>
        <v>0.3</v>
      </c>
      <c r="Y149" s="698">
        <f t="shared" ca="1" si="183"/>
        <v>6</v>
      </c>
      <c r="Z149" s="698">
        <f t="shared" ca="1" si="184"/>
        <v>2</v>
      </c>
      <c r="AA149" s="698">
        <f t="shared" ca="1" si="185"/>
        <v>1</v>
      </c>
      <c r="AB149" s="698">
        <f t="shared" ca="1" si="186"/>
        <v>0.1</v>
      </c>
      <c r="AC149" s="55"/>
      <c r="AD149" s="81">
        <v>2050</v>
      </c>
      <c r="AE149" s="81"/>
      <c r="AF149" s="700"/>
    </row>
    <row r="150" spans="1:32">
      <c r="A150" s="226"/>
      <c r="B150" s="718" t="s">
        <v>1010</v>
      </c>
      <c r="C150" s="226"/>
      <c r="D150" s="212" t="str">
        <f>"IND"&amp;RIGHT(H150,4)&amp;"GAS"&amp;"N"&amp;RIGHT(E150,1)</f>
        <v>INDTDPHGASN3</v>
      </c>
      <c r="E150" s="707" t="str">
        <f>"Industrial heating technology "&amp;$AJ$12&amp;" "&amp;RIGHT(H150,2)&amp;" - Gas boiler (Hot Water) - new 3"</f>
        <v>Industrial heating technology Transport PH - Gas boiler (Hot Water) - new 3</v>
      </c>
      <c r="F150" s="224" t="s">
        <v>1149</v>
      </c>
      <c r="G150" s="173" t="s">
        <v>2080</v>
      </c>
      <c r="H150" s="708" t="str">
        <f>$AI$14</f>
        <v>ITDPH</v>
      </c>
      <c r="I150" s="708" t="str">
        <f t="shared" si="142"/>
        <v>INDTWH</v>
      </c>
      <c r="J150" s="224">
        <f t="shared" si="145"/>
        <v>2011</v>
      </c>
      <c r="K150" s="299">
        <f>J150</f>
        <v>2011</v>
      </c>
      <c r="L150" s="199">
        <f t="shared" ref="L150:L155" ca="1" si="192">VLOOKUP($AD150,INDIRECT("'"&amp;$B150&amp;"'!"&amp;"$P$200:$AD$203"),3,FALSE)</f>
        <v>0.93</v>
      </c>
      <c r="M150" s="199"/>
      <c r="N150" s="81">
        <f ca="1">VLOOKUP($AD150,INDIRECT("'"&amp;$B150&amp;"'!"&amp;"$P$200:$AD$203"),5,FALSE)</f>
        <v>25</v>
      </c>
      <c r="O150" s="723">
        <f t="shared" ref="O150:O155" ca="1" si="193">VLOOKUP($AD150,INDIRECT("'"&amp;$B150&amp;"'!"&amp;"$P$200:$AD$203"),6,FALSE)/1000</f>
        <v>0.3250909090909091</v>
      </c>
      <c r="P150" s="723">
        <f t="shared" ref="P150:P155" ca="1" si="194">VLOOKUP($AD150,INDIRECT("'"&amp;$B150&amp;"'!"&amp;"$P$200:$AD$203"),7,FALSE)/1000</f>
        <v>1.49E-2</v>
      </c>
      <c r="Q150" s="81">
        <f t="shared" ref="Q150:Q155" ca="1" si="195">VLOOKUP($AD150,INDIRECT("'"&amp;$B150&amp;"'!"&amp;"$P$200:$AD$203"),8,FALSE)</f>
        <v>2.276388888888889</v>
      </c>
      <c r="R150" s="81">
        <v>3.1536000000000002E-2</v>
      </c>
      <c r="S150" s="199">
        <v>0.5</v>
      </c>
      <c r="T150" s="199">
        <f ca="1">HLOOKUP($T$2,INDIRECT("'"&amp;$B150&amp;"'!"&amp;"$P$167:$AC$180"),IF(H150=$AI$13,6,IF(H150=$AI$14,9,14)),FALSE)</f>
        <v>0</v>
      </c>
      <c r="U150" s="773"/>
      <c r="V150" s="199">
        <f t="shared" ref="V150" ca="1" si="196">IF(IF(RIGHT(H150,2)="PH",(1-L150)+$W$2,IF(RIGHT(H150,2)="HT",(1-L150)+$W$1,IF(RIGHT(H150,2)="SH",(1-L150)+$W$3,"")))&gt;0,IF(RIGHT(H150,2)="PH",(1-L150)+$W$2,IF(RIGHT(H150,2)="HT",(1-L150)+$W$1,IF(RIGHT(H150,2)="SH",(1-L150)+$W$3,""))),0)</f>
        <v>0.26999999999999996</v>
      </c>
      <c r="W150" s="709"/>
      <c r="X150" s="698">
        <f t="shared" ca="1" si="144"/>
        <v>0.3</v>
      </c>
      <c r="Y150" s="698">
        <f t="shared" ref="Y150:Y155" ca="1" si="197">VLOOKUP($AD150,INDIRECT("'"&amp;$B150&amp;"'!"&amp;"$P$200:$AD$203"),12,FALSE)</f>
        <v>9</v>
      </c>
      <c r="Z150" s="698">
        <f t="shared" ref="Z150:Z155" ca="1" si="198">VLOOKUP($AD150,INDIRECT("'"&amp;$B150&amp;"'!"&amp;"$P$200:$AD$203"),13,FALSE)</f>
        <v>3</v>
      </c>
      <c r="AA150" s="698">
        <f t="shared" ref="AA150:AA155" ca="1" si="199">VLOOKUP($AD150,INDIRECT("'"&amp;$B150&amp;"'!"&amp;"$P$200:$AD$203"),14,FALSE)</f>
        <v>1</v>
      </c>
      <c r="AB150" s="698">
        <f t="shared" ref="AB150:AB155" ca="1" si="200">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2"/>
        <v>INDTWH</v>
      </c>
      <c r="J151" s="224">
        <f t="shared" si="145"/>
        <v>2030</v>
      </c>
      <c r="K151" s="81"/>
      <c r="L151" s="199">
        <f t="shared" ca="1" si="192"/>
        <v>0.94</v>
      </c>
      <c r="M151" s="199"/>
      <c r="N151" s="81"/>
      <c r="O151" s="723">
        <f t="shared" ca="1" si="193"/>
        <v>0.27090909090909093</v>
      </c>
      <c r="P151" s="723">
        <f t="shared" ca="1" si="194"/>
        <v>1.4154999999999999E-2</v>
      </c>
      <c r="Q151" s="81">
        <f t="shared" ca="1" si="195"/>
        <v>2.0694444444444446</v>
      </c>
      <c r="R151" s="300"/>
      <c r="S151" s="300"/>
      <c r="T151" s="300"/>
      <c r="U151" s="300"/>
      <c r="V151" s="199">
        <f t="shared" ref="V151" ca="1" si="201">IF(IF(RIGHT(H150,2)="PH",(1-L151)+$W$2,IF(RIGHT(H150,2)="HT",(1-L151)+$W$1,IF(RIGHT(H150,2)="SH",(1-L151)+$W$3,"")))&gt;0,IF(RIGHT(H150,2)="PH",(1-L151)+$W$2,IF(RIGHT(H150,2)="HT",(1-L151)+$W$1,IF(RIGHT(H150,2)="SH",(1-L151)+$W$3,""))),0)</f>
        <v>0.26000000000000006</v>
      </c>
      <c r="W151" s="298"/>
      <c r="X151" s="698">
        <f t="shared" ca="1" si="144"/>
        <v>0.3</v>
      </c>
      <c r="Y151" s="698">
        <f t="shared" ca="1" si="197"/>
        <v>7</v>
      </c>
      <c r="Z151" s="698">
        <f t="shared" ca="1" si="198"/>
        <v>2</v>
      </c>
      <c r="AA151" s="698">
        <f t="shared" ca="1" si="199"/>
        <v>1</v>
      </c>
      <c r="AB151" s="698">
        <f t="shared" ca="1" si="200"/>
        <v>0.1</v>
      </c>
      <c r="AC151" s="55"/>
      <c r="AD151" s="81">
        <v>2030</v>
      </c>
      <c r="AE151" s="81"/>
      <c r="AF151" s="700"/>
    </row>
    <row r="152" spans="1:32">
      <c r="B152" s="718" t="s">
        <v>1010</v>
      </c>
      <c r="C152" s="226"/>
      <c r="E152" s="261"/>
      <c r="F152" s="224" t="s">
        <v>1149</v>
      </c>
      <c r="G152" s="55"/>
      <c r="H152" s="174"/>
      <c r="I152" s="174" t="str">
        <f t="shared" si="142"/>
        <v>INDTWH</v>
      </c>
      <c r="J152" s="224">
        <f t="shared" si="145"/>
        <v>2050</v>
      </c>
      <c r="K152" s="81"/>
      <c r="L152" s="199">
        <f t="shared" ca="1" si="192"/>
        <v>0.95</v>
      </c>
      <c r="M152" s="199"/>
      <c r="N152" s="81"/>
      <c r="O152" s="723">
        <f t="shared" ca="1" si="193"/>
        <v>0.27090909090909093</v>
      </c>
      <c r="P152" s="723">
        <f t="shared" ca="1" si="194"/>
        <v>1.2664999999999999E-2</v>
      </c>
      <c r="Q152" s="81">
        <f t="shared" ca="1" si="195"/>
        <v>2.0694444444444446</v>
      </c>
      <c r="R152" s="300"/>
      <c r="S152" s="300"/>
      <c r="T152" s="300"/>
      <c r="U152" s="300"/>
      <c r="V152" s="199">
        <f t="shared" ref="V152" ca="1" si="202">IF(IF(RIGHT(H150,2)="PH",(1-L152)+$W$2,IF(RIGHT(H150,2)="HT",(1-L152)+$W$1,IF(RIGHT(H150,2)="SH",(1-L152)+$W$3,"")))&gt;0,IF(RIGHT(H150,2)="PH",(1-L152)+$W$2,IF(RIGHT(H150,2)="HT",(1-L152)+$W$1,IF(RIGHT(H150,2)="SH",(1-L152)+$W$3,""))),0)</f>
        <v>0.25000000000000006</v>
      </c>
      <c r="W152" s="720"/>
      <c r="X152" s="698">
        <f t="shared" ca="1" si="144"/>
        <v>0.3</v>
      </c>
      <c r="Y152" s="698">
        <f t="shared" ca="1" si="197"/>
        <v>6</v>
      </c>
      <c r="Z152" s="698">
        <f t="shared" ca="1" si="198"/>
        <v>2</v>
      </c>
      <c r="AA152" s="698">
        <f t="shared" ca="1" si="199"/>
        <v>1</v>
      </c>
      <c r="AB152" s="698">
        <f t="shared" ca="1" si="200"/>
        <v>0.1</v>
      </c>
      <c r="AC152" s="203"/>
      <c r="AD152" s="81">
        <v>2050</v>
      </c>
      <c r="AE152" s="81"/>
      <c r="AF152" s="705"/>
    </row>
    <row r="153" spans="1:32">
      <c r="B153" s="718" t="s">
        <v>1010</v>
      </c>
      <c r="C153" s="64"/>
      <c r="D153" s="212" t="str">
        <f>"IND"&amp;RIGHT(H153,4)&amp;"GAS"&amp;"N"&amp;RIGHT(E153,1)</f>
        <v>INDTDSHGASN3</v>
      </c>
      <c r="E153" s="261" t="str">
        <f>"Industrial heating technology "&amp;$AJ$12&amp;" "&amp;RIGHT(H153,2)&amp;" - Gas boiler (Hot Water) - new 3"</f>
        <v>Industrial heating technology Transport SH - Gas boiler (Hot Water) - new 3</v>
      </c>
      <c r="F153" s="224" t="s">
        <v>1149</v>
      </c>
      <c r="G153" s="173" t="s">
        <v>2080</v>
      </c>
      <c r="H153" s="174" t="str">
        <f>$AI$15</f>
        <v>ITDSH</v>
      </c>
      <c r="I153" s="174" t="str">
        <f t="shared" si="142"/>
        <v>INDTWH</v>
      </c>
      <c r="J153" s="224">
        <f t="shared" si="145"/>
        <v>2011</v>
      </c>
      <c r="K153" s="299">
        <f>J153</f>
        <v>2011</v>
      </c>
      <c r="L153" s="199">
        <f t="shared" ca="1" si="192"/>
        <v>0.93</v>
      </c>
      <c r="M153" s="199"/>
      <c r="N153" s="81">
        <f ca="1">VLOOKUP($AD153,INDIRECT("'"&amp;$B153&amp;"'!"&amp;"$P$200:$AD$203"),5,FALSE)</f>
        <v>25</v>
      </c>
      <c r="O153" s="723">
        <f t="shared" ca="1" si="193"/>
        <v>0.3250909090909091</v>
      </c>
      <c r="P153" s="723">
        <f t="shared" ca="1" si="194"/>
        <v>1.49E-2</v>
      </c>
      <c r="Q153" s="81">
        <f t="shared" ca="1" si="195"/>
        <v>2.276388888888889</v>
      </c>
      <c r="R153" s="81">
        <v>3.1536000000000002E-2</v>
      </c>
      <c r="S153" s="199">
        <v>0.5</v>
      </c>
      <c r="T153" s="199">
        <f ca="1">HLOOKUP($T$2,INDIRECT("'"&amp;$B153&amp;"'!"&amp;"$P$167:$AC$180"),IF(H153=$AI$13,6,IF(H153=$AI$14,9,14)),FALSE)</f>
        <v>1</v>
      </c>
      <c r="U153" s="772"/>
      <c r="V153" s="199">
        <f t="shared" ref="V153" ca="1" si="203">IF(IF(RIGHT(H153,2)="PH",(1-L153)+$W$2,IF(RIGHT(H153,2)="HT",(1-L153)+$W$1,IF(RIGHT(H153,2)="SH",(1-L153)+$W$3,"")))&gt;0,IF(RIGHT(H153,2)="PH",(1-L153)+$W$2,IF(RIGHT(H153,2)="HT",(1-L153)+$W$1,IF(RIGHT(H153,2)="SH",(1-L153)+$W$3,""))),0)</f>
        <v>6.9999999999999951E-2</v>
      </c>
      <c r="W153" s="298"/>
      <c r="X153" s="698">
        <f t="shared" ca="1" si="144"/>
        <v>0.3</v>
      </c>
      <c r="Y153" s="698">
        <f t="shared" ca="1" si="197"/>
        <v>9</v>
      </c>
      <c r="Z153" s="698">
        <f t="shared" ca="1" si="198"/>
        <v>3</v>
      </c>
      <c r="AA153" s="698">
        <f t="shared" ca="1" si="199"/>
        <v>1</v>
      </c>
      <c r="AB153" s="698">
        <f t="shared" ca="1" si="200"/>
        <v>0.1</v>
      </c>
      <c r="AC153" s="296"/>
      <c r="AD153" s="81">
        <v>2020</v>
      </c>
      <c r="AE153" s="81"/>
      <c r="AF153" s="710"/>
    </row>
    <row r="154" spans="1:32">
      <c r="B154" s="718" t="s">
        <v>1010</v>
      </c>
      <c r="C154" s="64"/>
      <c r="E154" s="261"/>
      <c r="F154" s="224" t="s">
        <v>1149</v>
      </c>
      <c r="G154" s="55"/>
      <c r="H154" s="174"/>
      <c r="I154" s="174" t="str">
        <f t="shared" si="142"/>
        <v>INDTWH</v>
      </c>
      <c r="J154" s="224">
        <f t="shared" si="145"/>
        <v>2030</v>
      </c>
      <c r="K154" s="81"/>
      <c r="L154" s="199">
        <f t="shared" ca="1" si="192"/>
        <v>0.94</v>
      </c>
      <c r="M154" s="199"/>
      <c r="N154" s="81"/>
      <c r="O154" s="723">
        <f t="shared" ca="1" si="193"/>
        <v>0.27090909090909093</v>
      </c>
      <c r="P154" s="723">
        <f t="shared" ca="1" si="194"/>
        <v>1.4154999999999999E-2</v>
      </c>
      <c r="Q154" s="81">
        <f t="shared" ca="1" si="195"/>
        <v>2.0694444444444446</v>
      </c>
      <c r="R154" s="300"/>
      <c r="S154" s="300"/>
      <c r="T154" s="300"/>
      <c r="U154" s="300"/>
      <c r="V154" s="199">
        <f t="shared" ref="V154" ca="1" si="204">IF(IF(RIGHT(H153,2)="PH",(1-L154)+$W$2,IF(RIGHT(H153,2)="HT",(1-L154)+$W$1,IF(RIGHT(H153,2)="SH",(1-L154)+$W$3,"")))&gt;0,IF(RIGHT(H153,2)="PH",(1-L154)+$W$2,IF(RIGHT(H153,2)="HT",(1-L154)+$W$1,IF(RIGHT(H153,2)="SH",(1-L154)+$W$3,""))),0)</f>
        <v>6.0000000000000053E-2</v>
      </c>
      <c r="W154" s="298"/>
      <c r="X154" s="698">
        <f t="shared" ca="1" si="144"/>
        <v>0.3</v>
      </c>
      <c r="Y154" s="698">
        <f t="shared" ca="1" si="197"/>
        <v>7</v>
      </c>
      <c r="Z154" s="698">
        <f t="shared" ca="1" si="198"/>
        <v>2</v>
      </c>
      <c r="AA154" s="698">
        <f t="shared" ca="1" si="199"/>
        <v>1</v>
      </c>
      <c r="AB154" s="698">
        <f t="shared" ca="1" si="200"/>
        <v>0.1</v>
      </c>
      <c r="AC154" s="55"/>
      <c r="AD154" s="81">
        <v>2030</v>
      </c>
      <c r="AE154" s="81"/>
      <c r="AF154" s="700"/>
    </row>
    <row r="155" spans="1:32">
      <c r="A155" s="226"/>
      <c r="B155" s="719" t="s">
        <v>1010</v>
      </c>
      <c r="C155" s="713"/>
      <c r="D155" s="203"/>
      <c r="E155" s="701"/>
      <c r="F155" s="224" t="s">
        <v>1149</v>
      </c>
      <c r="G155" s="203"/>
      <c r="H155" s="702"/>
      <c r="I155" s="702" t="str">
        <f t="shared" si="142"/>
        <v>INDTWH</v>
      </c>
      <c r="J155" s="224">
        <f t="shared" si="145"/>
        <v>2050</v>
      </c>
      <c r="K155" s="81"/>
      <c r="L155" s="199">
        <f t="shared" ca="1" si="192"/>
        <v>0.95</v>
      </c>
      <c r="M155" s="199"/>
      <c r="N155" s="81"/>
      <c r="O155" s="723">
        <f t="shared" ca="1" si="193"/>
        <v>0.27090909090909093</v>
      </c>
      <c r="P155" s="723">
        <f t="shared" ca="1" si="194"/>
        <v>1.2664999999999999E-2</v>
      </c>
      <c r="Q155" s="81">
        <f t="shared" ca="1" si="195"/>
        <v>2.0694444444444446</v>
      </c>
      <c r="R155" s="300"/>
      <c r="S155" s="300"/>
      <c r="T155" s="300"/>
      <c r="U155" s="300"/>
      <c r="V155" s="199">
        <f t="shared" ref="V155" ca="1" si="205">IF(IF(RIGHT(H153,2)="PH",(1-L155)+$W$2,IF(RIGHT(H153,2)="HT",(1-L155)+$W$1,IF(RIGHT(H153,2)="SH",(1-L155)+$W$3,"")))&gt;0,IF(RIGHT(H153,2)="PH",(1-L155)+$W$2,IF(RIGHT(H153,2)="HT",(1-L155)+$W$1,IF(RIGHT(H153,2)="SH",(1-L155)+$W$3,""))),0)</f>
        <v>5.0000000000000044E-2</v>
      </c>
      <c r="W155" s="298"/>
      <c r="X155" s="698">
        <f t="shared" ca="1" si="144"/>
        <v>0.3</v>
      </c>
      <c r="Y155" s="698">
        <f t="shared" ca="1" si="197"/>
        <v>6</v>
      </c>
      <c r="Z155" s="698">
        <f t="shared" ca="1" si="198"/>
        <v>2</v>
      </c>
      <c r="AA155" s="698">
        <f t="shared" ca="1" si="199"/>
        <v>1</v>
      </c>
      <c r="AB155" s="698">
        <f t="shared" ca="1" si="200"/>
        <v>0.1</v>
      </c>
      <c r="AC155" s="55"/>
      <c r="AD155" s="81">
        <v>2050</v>
      </c>
      <c r="AE155" s="81"/>
      <c r="AF155" s="700"/>
    </row>
    <row r="156" spans="1:32">
      <c r="B156" s="718" t="s">
        <v>1010</v>
      </c>
      <c r="C156" s="64"/>
      <c r="D156" s="212" t="str">
        <f>"IND"&amp;RIGHT(H156,4)&amp;"GAS"&amp;"N"&amp;RIGHT(E156,1)</f>
        <v>INDTDPHGASN4</v>
      </c>
      <c r="E156" s="707" t="str">
        <f>"Industrial heating technology "&amp;$AJ$12&amp;" "&amp;RIGHT(H156,2)&amp;" - Gas boiler (Hot Water - condensing) - new 4"</f>
        <v>Industrial heating technology Transport PH - Gas boiler (Hot Water - condensing) - new 4</v>
      </c>
      <c r="F156" s="224" t="s">
        <v>1149</v>
      </c>
      <c r="G156" s="173" t="s">
        <v>2080</v>
      </c>
      <c r="H156" s="708" t="str">
        <f>$AI$14</f>
        <v>ITDPH</v>
      </c>
      <c r="I156" s="708" t="str">
        <f t="shared" si="142"/>
        <v>INDTWH</v>
      </c>
      <c r="J156" s="224">
        <f t="shared" si="145"/>
        <v>2011</v>
      </c>
      <c r="K156" s="299">
        <f>J156</f>
        <v>2011</v>
      </c>
      <c r="L156" s="199">
        <f t="shared" ref="L156:L161" ca="1" si="206">VLOOKUP($AD156,INDIRECT("'"&amp;$B156&amp;"'!"&amp;"$P$279:$AD$282"),3,FALSE)</f>
        <v>1.01</v>
      </c>
      <c r="M156" s="199"/>
      <c r="N156" s="81">
        <f ca="1">VLOOKUP($AD156,INDIRECT("'"&amp;$B156&amp;"'!"&amp;"$P$279:$AD$282"),5,FALSE)</f>
        <v>25</v>
      </c>
      <c r="O156" s="723">
        <f t="shared" ref="O156:O161" ca="1" si="207">VLOOKUP($AD156,INDIRECT("'"&amp;$B156&amp;"'!"&amp;"$P$279:$AD$282"),6,FALSE)/1000</f>
        <v>0.35760000000000003</v>
      </c>
      <c r="P156" s="723">
        <f t="shared" ref="P156:P161" ca="1" si="208">VLOOKUP($AD156,INDIRECT("'"&amp;$B156&amp;"'!"&amp;"$P$279:$AD$282"),7,FALSE)/1000</f>
        <v>1.49E-2</v>
      </c>
      <c r="Q156" s="81">
        <f t="shared" ref="Q156:Q161" ca="1" si="209">VLOOKUP($AD156,INDIRECT("'"&amp;$B156&amp;"'!"&amp;"$P$279:$AD$282"),8,FALSE)</f>
        <v>2.276388888888889</v>
      </c>
      <c r="R156" s="81">
        <v>3.1536000000000002E-2</v>
      </c>
      <c r="S156" s="199">
        <v>0.5</v>
      </c>
      <c r="T156" s="199">
        <f ca="1">HLOOKUP($T$2,INDIRECT("'"&amp;$B156&amp;"'!"&amp;"$P$246:$AC$259"),IF(H156=$AI$13,6,IF(H156=$AI$14,9,14)),FALSE)</f>
        <v>0</v>
      </c>
      <c r="U156" s="773"/>
      <c r="V156" s="199">
        <f t="shared" ref="V156" ca="1" si="210">IF(IF(RIGHT(H156,2)="PH",(1-L156)+$W$2,IF(RIGHT(H156,2)="HT",(1-L156)+$W$1,IF(RIGHT(H156,2)="SH",(1-L156)+$W$3,"")))&gt;0,IF(RIGHT(H156,2)="PH",(1-L156)+$W$2,IF(RIGHT(H156,2)="HT",(1-L156)+$W$1,IF(RIGHT(H156,2)="SH",(1-L156)+$W$3,""))),0)</f>
        <v>0.19</v>
      </c>
      <c r="W156" s="709"/>
      <c r="X156" s="698">
        <f t="shared" ca="1" si="144"/>
        <v>0.3</v>
      </c>
      <c r="Y156" s="698">
        <f t="shared" ref="Y156:Y161" ca="1" si="211">VLOOKUP($AD156,INDIRECT("'"&amp;$B156&amp;"'!"&amp;"$P$279:$AD$282"),12,FALSE)</f>
        <v>9</v>
      </c>
      <c r="Z156" s="698">
        <f t="shared" ref="Z156:Z161" ca="1" si="212">VLOOKUP($AD156,INDIRECT("'"&amp;$B156&amp;"'!"&amp;"$P$279:$AD$282"),13,FALSE)</f>
        <v>3</v>
      </c>
      <c r="AA156" s="698">
        <f t="shared" ref="AA156:AA161" ca="1" si="213">VLOOKUP($AD156,INDIRECT("'"&amp;$B156&amp;"'!"&amp;"$P$279:$AD$282"),14,FALSE)</f>
        <v>1</v>
      </c>
      <c r="AB156" s="698">
        <f t="shared" ref="AB156:AB161" ca="1" si="214">VLOOKUP($AD156,INDIRECT("'"&amp;$B156&amp;"'!"&amp;"$P$279:$AD$282"),15,FALSE)</f>
        <v>0.1</v>
      </c>
      <c r="AC156" s="55"/>
      <c r="AD156" s="81">
        <v>2020</v>
      </c>
      <c r="AE156" s="81"/>
      <c r="AF156" s="700"/>
    </row>
    <row r="157" spans="1:32">
      <c r="B157" s="718" t="s">
        <v>1010</v>
      </c>
      <c r="C157" s="64"/>
      <c r="E157" s="261"/>
      <c r="F157" s="224" t="s">
        <v>1149</v>
      </c>
      <c r="G157" s="55"/>
      <c r="H157" s="174"/>
      <c r="I157" s="174" t="str">
        <f t="shared" si="142"/>
        <v>INDTWH</v>
      </c>
      <c r="J157" s="224">
        <f t="shared" si="145"/>
        <v>2030</v>
      </c>
      <c r="K157" s="81"/>
      <c r="L157" s="199">
        <f t="shared" ca="1" si="206"/>
        <v>1.03</v>
      </c>
      <c r="M157" s="199"/>
      <c r="N157" s="81"/>
      <c r="O157" s="723">
        <f t="shared" ca="1" si="207"/>
        <v>0.29800000000000004</v>
      </c>
      <c r="P157" s="723">
        <f t="shared" ca="1" si="208"/>
        <v>1.4154999999999999E-2</v>
      </c>
      <c r="Q157" s="81">
        <f t="shared" ca="1" si="209"/>
        <v>2.0694444444444446</v>
      </c>
      <c r="R157" s="300"/>
      <c r="S157" s="300"/>
      <c r="T157" s="300"/>
      <c r="U157" s="300"/>
      <c r="V157" s="199">
        <f t="shared" ref="V157" ca="1" si="215">IF(IF(RIGHT(H156,2)="PH",(1-L157)+$W$2,IF(RIGHT(H156,2)="HT",(1-L157)+$W$1,IF(RIGHT(H156,2)="SH",(1-L157)+$W$3,"")))&gt;0,IF(RIGHT(H156,2)="PH",(1-L157)+$W$2,IF(RIGHT(H156,2)="HT",(1-L157)+$W$1,IF(RIGHT(H156,2)="SH",(1-L157)+$W$3,""))),0)</f>
        <v>0.16999999999999998</v>
      </c>
      <c r="W157" s="298"/>
      <c r="X157" s="698">
        <f t="shared" ca="1" si="144"/>
        <v>0.3</v>
      </c>
      <c r="Y157" s="698">
        <f t="shared" ca="1" si="211"/>
        <v>7</v>
      </c>
      <c r="Z157" s="698">
        <f t="shared" ca="1" si="212"/>
        <v>2</v>
      </c>
      <c r="AA157" s="698">
        <f t="shared" ca="1" si="213"/>
        <v>1</v>
      </c>
      <c r="AB157" s="698">
        <f t="shared" ca="1" si="214"/>
        <v>0.1</v>
      </c>
      <c r="AC157" s="55"/>
      <c r="AD157" s="81">
        <v>2030</v>
      </c>
      <c r="AE157" s="81"/>
      <c r="AF157" s="700"/>
    </row>
    <row r="158" spans="1:32">
      <c r="B158" s="718" t="s">
        <v>1010</v>
      </c>
      <c r="C158" s="64"/>
      <c r="E158" s="261"/>
      <c r="F158" s="224" t="s">
        <v>1149</v>
      </c>
      <c r="G158" s="55"/>
      <c r="H158" s="174"/>
      <c r="I158" s="174" t="str">
        <f t="shared" si="142"/>
        <v>INDTWH</v>
      </c>
      <c r="J158" s="224">
        <f t="shared" si="145"/>
        <v>2050</v>
      </c>
      <c r="K158" s="81"/>
      <c r="L158" s="199">
        <f t="shared" ca="1" si="206"/>
        <v>1.03</v>
      </c>
      <c r="M158" s="199"/>
      <c r="N158" s="81"/>
      <c r="O158" s="723">
        <f t="shared" ca="1" si="207"/>
        <v>0.29800000000000004</v>
      </c>
      <c r="P158" s="723">
        <f t="shared" ca="1" si="208"/>
        <v>1.2664999999999999E-2</v>
      </c>
      <c r="Q158" s="81">
        <f t="shared" ca="1" si="209"/>
        <v>2.0694444444444446</v>
      </c>
      <c r="R158" s="300"/>
      <c r="S158" s="300"/>
      <c r="T158" s="300"/>
      <c r="U158" s="300"/>
      <c r="V158" s="199">
        <f t="shared" ref="V158" ca="1" si="216">IF(IF(RIGHT(H156,2)="PH",(1-L158)+$W$2,IF(RIGHT(H156,2)="HT",(1-L158)+$W$1,IF(RIGHT(H156,2)="SH",(1-L158)+$W$3,"")))&gt;0,IF(RIGHT(H156,2)="PH",(1-L158)+$W$2,IF(RIGHT(H156,2)="HT",(1-L158)+$W$1,IF(RIGHT(H156,2)="SH",(1-L158)+$W$3,""))),0)</f>
        <v>0.16999999999999998</v>
      </c>
      <c r="W158" s="298"/>
      <c r="X158" s="698">
        <f t="shared" ca="1" si="144"/>
        <v>0.3</v>
      </c>
      <c r="Y158" s="698">
        <f t="shared" ca="1" si="211"/>
        <v>6</v>
      </c>
      <c r="Z158" s="698">
        <f t="shared" ca="1" si="212"/>
        <v>2</v>
      </c>
      <c r="AA158" s="698">
        <f t="shared" ca="1" si="213"/>
        <v>1</v>
      </c>
      <c r="AB158" s="698">
        <f t="shared" ca="1" si="214"/>
        <v>0.1</v>
      </c>
      <c r="AC158" s="203"/>
      <c r="AD158" s="81">
        <v>2050</v>
      </c>
      <c r="AE158" s="81"/>
      <c r="AF158" s="705"/>
    </row>
    <row r="159" spans="1:32">
      <c r="A159" s="226"/>
      <c r="B159" s="718" t="s">
        <v>1010</v>
      </c>
      <c r="C159" s="64"/>
      <c r="D159" s="212" t="str">
        <f>"IND"&amp;RIGHT(H159,4)&amp;"GAS"&amp;"N"&amp;RIGHT(E159,1)</f>
        <v>INDTDSHGASN4</v>
      </c>
      <c r="E159" s="261" t="str">
        <f>"Industrial heating technology "&amp;$AJ$12&amp;" "&amp;RIGHT(H159,2)&amp;" - Gas boiler (Hot Water- condensing) - new 4"</f>
        <v>Industrial heating technology Transport SH - Gas boiler (Hot Water- condensing) - new 4</v>
      </c>
      <c r="F159" s="224" t="s">
        <v>1149</v>
      </c>
      <c r="G159" s="173" t="s">
        <v>2080</v>
      </c>
      <c r="H159" s="174" t="str">
        <f>$AI$15</f>
        <v>ITDSH</v>
      </c>
      <c r="I159" s="174" t="str">
        <f t="shared" si="142"/>
        <v>INDTWH</v>
      </c>
      <c r="J159" s="224">
        <f t="shared" si="145"/>
        <v>2011</v>
      </c>
      <c r="K159" s="299">
        <f>J159</f>
        <v>2011</v>
      </c>
      <c r="L159" s="199">
        <f t="shared" ca="1" si="206"/>
        <v>1.01</v>
      </c>
      <c r="M159" s="199"/>
      <c r="N159" s="81">
        <f ca="1">VLOOKUP($AD159,INDIRECT("'"&amp;$B159&amp;"'!"&amp;"$P$279:$AD$282"),5,FALSE)</f>
        <v>25</v>
      </c>
      <c r="O159" s="723">
        <f t="shared" ca="1" si="207"/>
        <v>0.35760000000000003</v>
      </c>
      <c r="P159" s="723">
        <f t="shared" ca="1" si="208"/>
        <v>1.49E-2</v>
      </c>
      <c r="Q159" s="81">
        <f t="shared" ca="1" si="209"/>
        <v>2.276388888888889</v>
      </c>
      <c r="R159" s="81">
        <v>3.1536000000000002E-2</v>
      </c>
      <c r="S159" s="199">
        <v>0.5</v>
      </c>
      <c r="T159" s="199">
        <f ca="1">HLOOKUP($T$2,INDIRECT("'"&amp;$B159&amp;"'!"&amp;"$P$246:$AC$259"),IF(H159=$AI$13,6,IF(H159=$AI$14,9,14)),FALSE)</f>
        <v>0</v>
      </c>
      <c r="U159" s="773"/>
      <c r="V159" s="199">
        <f t="shared" ref="V159" ca="1" si="217">IF(IF(RIGHT(H159,2)="PH",(1-L159)+$W$2,IF(RIGHT(H159,2)="HT",(1-L159)+$W$1,IF(RIGHT(H159,2)="SH",(1-L159)+$W$3,"")))&gt;0,IF(RIGHT(H159,2)="PH",(1-L159)+$W$2,IF(RIGHT(H159,2)="HT",(1-L159)+$W$1,IF(RIGHT(H159,2)="SH",(1-L159)+$W$3,""))),0)</f>
        <v>0</v>
      </c>
      <c r="W159" s="709"/>
      <c r="X159" s="698">
        <f t="shared" ref="X159:X177" ca="1" si="218">IF(VLOOKUP($AD159,INDIRECT("'"&amp;$B159&amp;"'!"&amp;"$P$39:$AD$42"),11,FALSE)="Cf. the utilized electricity",0,VLOOKUP($AD159,INDIRECT("'"&amp;$B159&amp;"'!"&amp;"$P$39:$AD$42"),11,FALSE))</f>
        <v>0.3</v>
      </c>
      <c r="Y159" s="698">
        <f t="shared" ca="1" si="211"/>
        <v>9</v>
      </c>
      <c r="Z159" s="698">
        <f t="shared" ca="1" si="212"/>
        <v>3</v>
      </c>
      <c r="AA159" s="698">
        <f t="shared" ca="1" si="213"/>
        <v>1</v>
      </c>
      <c r="AB159" s="698">
        <f t="shared" ca="1" si="214"/>
        <v>0.1</v>
      </c>
      <c r="AC159" s="296"/>
      <c r="AD159" s="81">
        <v>2020</v>
      </c>
      <c r="AE159" s="81"/>
      <c r="AF159" s="710"/>
    </row>
    <row r="160" spans="1:32">
      <c r="B160" s="718" t="s">
        <v>1010</v>
      </c>
      <c r="C160" s="64"/>
      <c r="E160" s="261"/>
      <c r="F160" s="224" t="s">
        <v>1149</v>
      </c>
      <c r="G160" s="55"/>
      <c r="H160" s="174"/>
      <c r="I160" s="174" t="str">
        <f t="shared" si="142"/>
        <v>INDTWH</v>
      </c>
      <c r="J160" s="224">
        <f t="shared" si="145"/>
        <v>2030</v>
      </c>
      <c r="K160" s="81"/>
      <c r="L160" s="199">
        <f t="shared" ca="1" si="206"/>
        <v>1.03</v>
      </c>
      <c r="M160" s="199"/>
      <c r="N160" s="81"/>
      <c r="O160" s="723">
        <f t="shared" ca="1" si="207"/>
        <v>0.29800000000000004</v>
      </c>
      <c r="P160" s="723">
        <f t="shared" ca="1" si="208"/>
        <v>1.4154999999999999E-2</v>
      </c>
      <c r="Q160" s="81">
        <f t="shared" ca="1" si="209"/>
        <v>2.0694444444444446</v>
      </c>
      <c r="R160" s="300"/>
      <c r="S160" s="300"/>
      <c r="T160" s="300"/>
      <c r="U160" s="300"/>
      <c r="V160" s="199">
        <f t="shared" ref="V160" ca="1" si="219">IF(IF(RIGHT(H159,2)="PH",(1-L160)+$W$2,IF(RIGHT(H159,2)="HT",(1-L160)+$W$1,IF(RIGHT(H159,2)="SH",(1-L160)+$W$3,"")))&gt;0,IF(RIGHT(H159,2)="PH",(1-L160)+$W$2,IF(RIGHT(H159,2)="HT",(1-L160)+$W$1,IF(RIGHT(H159,2)="SH",(1-L160)+$W$3,""))),0)</f>
        <v>0</v>
      </c>
      <c r="W160" s="298"/>
      <c r="X160" s="698">
        <f t="shared" ca="1" si="218"/>
        <v>0.3</v>
      </c>
      <c r="Y160" s="698">
        <f t="shared" ca="1" si="211"/>
        <v>7</v>
      </c>
      <c r="Z160" s="698">
        <f t="shared" ca="1" si="212"/>
        <v>2</v>
      </c>
      <c r="AA160" s="698">
        <f t="shared" ca="1" si="213"/>
        <v>1</v>
      </c>
      <c r="AB160" s="698">
        <f t="shared" ca="1" si="214"/>
        <v>0.1</v>
      </c>
      <c r="AC160" s="55"/>
      <c r="AD160" s="81">
        <v>2030</v>
      </c>
      <c r="AE160" s="81"/>
      <c r="AF160" s="700"/>
    </row>
    <row r="161" spans="1:32">
      <c r="B161" s="719" t="s">
        <v>1010</v>
      </c>
      <c r="C161" s="713"/>
      <c r="D161" s="701"/>
      <c r="E161" s="701"/>
      <c r="F161" s="224" t="s">
        <v>1149</v>
      </c>
      <c r="G161" s="203"/>
      <c r="H161" s="702"/>
      <c r="I161" s="702" t="str">
        <f t="shared" si="142"/>
        <v>INDTWH</v>
      </c>
      <c r="J161" s="224">
        <f t="shared" si="145"/>
        <v>2050</v>
      </c>
      <c r="K161" s="81"/>
      <c r="L161" s="199">
        <f t="shared" ca="1" si="206"/>
        <v>1.03</v>
      </c>
      <c r="M161" s="199"/>
      <c r="N161" s="81"/>
      <c r="O161" s="723">
        <f t="shared" ca="1" si="207"/>
        <v>0.29800000000000004</v>
      </c>
      <c r="P161" s="723">
        <f t="shared" ca="1" si="208"/>
        <v>1.2664999999999999E-2</v>
      </c>
      <c r="Q161" s="81">
        <f t="shared" ca="1" si="209"/>
        <v>2.0694444444444446</v>
      </c>
      <c r="R161" s="300"/>
      <c r="S161" s="300"/>
      <c r="T161" s="300"/>
      <c r="U161" s="300"/>
      <c r="V161" s="199">
        <f t="shared" ref="V161" ca="1" si="220">IF(IF(RIGHT(H159,2)="PH",(1-L161)+$W$2,IF(RIGHT(H159,2)="HT",(1-L161)+$W$1,IF(RIGHT(H159,2)="SH",(1-L161)+$W$3,"")))&gt;0,IF(RIGHT(H159,2)="PH",(1-L161)+$W$2,IF(RIGHT(H159,2)="HT",(1-L161)+$W$1,IF(RIGHT(H159,2)="SH",(1-L161)+$W$3,""))),0)</f>
        <v>0</v>
      </c>
      <c r="W161" s="714"/>
      <c r="X161" s="698">
        <f t="shared" ca="1" si="218"/>
        <v>0.3</v>
      </c>
      <c r="Y161" s="698">
        <f t="shared" ca="1" si="211"/>
        <v>6</v>
      </c>
      <c r="Z161" s="698">
        <f t="shared" ca="1" si="212"/>
        <v>2</v>
      </c>
      <c r="AA161" s="698">
        <f t="shared" ca="1" si="213"/>
        <v>1</v>
      </c>
      <c r="AB161" s="698">
        <f t="shared" ca="1" si="214"/>
        <v>0.1</v>
      </c>
      <c r="AC161" s="55"/>
      <c r="AD161" s="81">
        <v>2050</v>
      </c>
      <c r="AE161" s="81"/>
      <c r="AF161" s="700"/>
    </row>
    <row r="162" spans="1:32">
      <c r="B162" s="718" t="s">
        <v>1010</v>
      </c>
      <c r="C162" s="64"/>
      <c r="D162" s="212" t="str">
        <f>"IND"&amp;RIGHT(H162,4)&amp;"GAS"&amp;"N"&amp;RIGHT(E162,1)</f>
        <v>INDTDPHGASN5</v>
      </c>
      <c r="E162" s="707" t="str">
        <f>"Industrial heating technology "&amp;$AJ$12&amp;" "&amp;RIGHT(H162,2)&amp;" - Gas boiler (Direct firing) - new 5"</f>
        <v>Industrial heating technology Transport PH - Gas boiler (Direct firing) - new 5</v>
      </c>
      <c r="F162" s="224" t="s">
        <v>1149</v>
      </c>
      <c r="G162" s="173" t="s">
        <v>2080</v>
      </c>
      <c r="H162" s="174" t="str">
        <f>$AI$13</f>
        <v>ITDPH</v>
      </c>
      <c r="I162" s="174" t="str">
        <f t="shared" si="142"/>
        <v>INDTWH</v>
      </c>
      <c r="J162" s="224">
        <f t="shared" si="145"/>
        <v>2011</v>
      </c>
      <c r="K162" s="299">
        <f>J162</f>
        <v>2011</v>
      </c>
      <c r="L162" s="199">
        <f t="shared" ref="L162:L167" ca="1" si="221">VLOOKUP($AD162,INDIRECT("'"&amp;$B162&amp;"'!"&amp;"$P$345:$AD$348"),3,FALSE)</f>
        <v>1</v>
      </c>
      <c r="M162" s="199"/>
      <c r="N162" s="81">
        <f ca="1">VLOOKUP($AD162,INDIRECT("'"&amp;$B162&amp;"'!"&amp;"$P$345:$AD$348"),5,FALSE)</f>
        <v>15</v>
      </c>
      <c r="O162" s="723">
        <f t="shared" ref="O162:O167" ca="1" si="222">VLOOKUP($AD162,INDIRECT("'"&amp;$B162&amp;"'!"&amp;"$P$345:$AD$348"),6,FALSE)/1000</f>
        <v>0.11175</v>
      </c>
      <c r="P162" s="723">
        <f t="shared" ref="P162:P167" ca="1" si="223">VLOOKUP($AD162,INDIRECT("'"&amp;$B162&amp;"'!"&amp;"$P$345:$AD$348"),7,FALSE)/1000</f>
        <v>1.3545454545454561E-3</v>
      </c>
      <c r="Q162" s="81">
        <f t="shared" ref="Q162:Q167" ca="1" si="224">VLOOKUP($AD162,INDIRECT("'"&amp;$B162&amp;"'!"&amp;"$P$345:$AD$348"),8,FALSE)</f>
        <v>0.58461805555555546</v>
      </c>
      <c r="R162" s="81">
        <v>3.1536000000000002E-2</v>
      </c>
      <c r="S162" s="199">
        <v>0.5</v>
      </c>
      <c r="T162" s="199">
        <f ca="1">HLOOKUP($S$2,INDIRECT("'"&amp;$B162&amp;"'!"&amp;"$P$312:$AC$325"),IF(H162=$AI$13,6,IF(H162=$AI$14,9,14)),FALSE)</f>
        <v>1</v>
      </c>
      <c r="U162" s="773"/>
      <c r="V162" s="199">
        <f t="shared" ref="V162" ca="1" si="225">IF(IF(RIGHT(H162,2)="PH",(1-L162)+$W$2,IF(RIGHT(H162,2)="HT",(1-L162)+$W$1,IF(RIGHT(H162,2)="SH",(1-L162)+$W$3,"")))&gt;0,IF(RIGHT(H162,2)="PH",(1-L162)+$W$2,IF(RIGHT(H162,2)="HT",(1-L162)+$W$1,IF(RIGHT(H162,2)="SH",(1-L162)+$W$3,""))),0)</f>
        <v>0.2</v>
      </c>
      <c r="W162" s="709"/>
      <c r="X162" s="698">
        <f t="shared" ca="1" si="218"/>
        <v>0.3</v>
      </c>
      <c r="Y162" s="698">
        <f t="shared" ref="Y162:Y167" ca="1" si="226">VLOOKUP($AD162,INDIRECT("'"&amp;$B162&amp;"'!"&amp;"$P$345:$AD$348"),12,FALSE)</f>
        <v>9</v>
      </c>
      <c r="Z162" s="698">
        <f t="shared" ref="Z162:Z167" ca="1" si="227">VLOOKUP($AD162,INDIRECT("'"&amp;$B162&amp;"'!"&amp;"$P$345:$AD$348"),13,FALSE)</f>
        <v>3</v>
      </c>
      <c r="AA162" s="698">
        <f t="shared" ref="AA162:AA167" ca="1" si="228">VLOOKUP($AD162,INDIRECT("'"&amp;$B162&amp;"'!"&amp;"$P$345:$AD$348"),14,FALSE)</f>
        <v>1</v>
      </c>
      <c r="AB162" s="698">
        <f t="shared" ref="AB162:AB167" ca="1" si="229">VLOOKUP($AD162,INDIRECT("'"&amp;$B162&amp;"'!"&amp;"$P$345:$AD$348"),15,FALSE)</f>
        <v>0.1</v>
      </c>
      <c r="AC162" s="55"/>
      <c r="AD162" s="81">
        <v>2020</v>
      </c>
      <c r="AE162" s="81"/>
      <c r="AF162" s="700"/>
    </row>
    <row r="163" spans="1:32">
      <c r="B163" s="718" t="s">
        <v>1010</v>
      </c>
      <c r="C163" s="64"/>
      <c r="E163" s="261"/>
      <c r="F163" s="224" t="s">
        <v>1149</v>
      </c>
      <c r="G163" s="55"/>
      <c r="H163" s="174"/>
      <c r="I163" s="174" t="str">
        <f t="shared" si="142"/>
        <v>INDTWH</v>
      </c>
      <c r="J163" s="224">
        <f t="shared" si="145"/>
        <v>2030</v>
      </c>
      <c r="K163" s="81"/>
      <c r="L163" s="199">
        <f t="shared" ca="1" si="221"/>
        <v>1</v>
      </c>
      <c r="M163" s="199"/>
      <c r="N163" s="81"/>
      <c r="O163" s="723">
        <f t="shared" ca="1" si="222"/>
        <v>0.11175</v>
      </c>
      <c r="P163" s="723">
        <f t="shared" ca="1" si="223"/>
        <v>1.3206818181818161E-3</v>
      </c>
      <c r="Q163" s="81">
        <f t="shared" ca="1" si="224"/>
        <v>0.5742708333333334</v>
      </c>
      <c r="R163" s="300"/>
      <c r="S163" s="300"/>
      <c r="T163" s="300"/>
      <c r="U163" s="300"/>
      <c r="V163" s="199">
        <f t="shared" ref="V163" ca="1" si="230">IF(IF(RIGHT(H162,2)="PH",(1-L163)+$W$2,IF(RIGHT(H162,2)="HT",(1-L163)+$W$1,IF(RIGHT(H162,2)="SH",(1-L163)+$W$3,"")))&gt;0,IF(RIGHT(H162,2)="PH",(1-L163)+$W$2,IF(RIGHT(H162,2)="HT",(1-L163)+$W$1,IF(RIGHT(H162,2)="SH",(1-L163)+$W$3,""))),0)</f>
        <v>0.2</v>
      </c>
      <c r="W163" s="298"/>
      <c r="X163" s="698">
        <f t="shared" ca="1" si="218"/>
        <v>0.3</v>
      </c>
      <c r="Y163" s="698">
        <f t="shared" ca="1" si="226"/>
        <v>7</v>
      </c>
      <c r="Z163" s="698">
        <f t="shared" ca="1" si="227"/>
        <v>2</v>
      </c>
      <c r="AA163" s="698">
        <f t="shared" ca="1" si="228"/>
        <v>1</v>
      </c>
      <c r="AB163" s="698">
        <f t="shared" ca="1" si="229"/>
        <v>0.1</v>
      </c>
      <c r="AC163" s="55"/>
      <c r="AD163" s="81">
        <v>2030</v>
      </c>
      <c r="AE163" s="81"/>
      <c r="AF163" s="700"/>
    </row>
    <row r="164" spans="1:32">
      <c r="B164" s="718" t="s">
        <v>1010</v>
      </c>
      <c r="C164" s="64"/>
      <c r="E164" s="261"/>
      <c r="F164" s="224" t="s">
        <v>1149</v>
      </c>
      <c r="G164" s="55"/>
      <c r="H164" s="174"/>
      <c r="I164" s="174" t="str">
        <f t="shared" si="142"/>
        <v>INDTWH</v>
      </c>
      <c r="J164" s="224">
        <f t="shared" si="145"/>
        <v>2050</v>
      </c>
      <c r="K164" s="81"/>
      <c r="L164" s="199">
        <f t="shared" ca="1" si="221"/>
        <v>1</v>
      </c>
      <c r="M164" s="199"/>
      <c r="N164" s="81"/>
      <c r="O164" s="723">
        <f t="shared" ca="1" si="222"/>
        <v>0.11175</v>
      </c>
      <c r="P164" s="723">
        <f t="shared" ca="1" si="223"/>
        <v>1.1513636363636396E-3</v>
      </c>
      <c r="Q164" s="81">
        <f t="shared" ca="1" si="224"/>
        <v>0.57944444444444443</v>
      </c>
      <c r="R164" s="300"/>
      <c r="S164" s="300"/>
      <c r="T164" s="300"/>
      <c r="U164" s="300"/>
      <c r="V164" s="199">
        <f t="shared" ref="V164" ca="1" si="231">IF(IF(RIGHT(H162,2)="PH",(1-L164)+$W$2,IF(RIGHT(H162,2)="HT",(1-L164)+$W$1,IF(RIGHT(H162,2)="SH",(1-L164)+$W$3,"")))&gt;0,IF(RIGHT(H162,2)="PH",(1-L164)+$W$2,IF(RIGHT(H162,2)="HT",(1-L164)+$W$1,IF(RIGHT(H162,2)="SH",(1-L164)+$W$3,""))),0)</f>
        <v>0.2</v>
      </c>
      <c r="W164" s="298"/>
      <c r="X164" s="698">
        <f t="shared" ca="1" si="218"/>
        <v>0.3</v>
      </c>
      <c r="Y164" s="698">
        <f t="shared" ca="1" si="226"/>
        <v>6</v>
      </c>
      <c r="Z164" s="698">
        <f t="shared" ca="1" si="227"/>
        <v>2</v>
      </c>
      <c r="AA164" s="698">
        <f t="shared" ca="1" si="228"/>
        <v>1</v>
      </c>
      <c r="AB164" s="698">
        <f t="shared" ca="1" si="229"/>
        <v>0.1</v>
      </c>
      <c r="AC164" s="203"/>
      <c r="AD164" s="81">
        <v>2050</v>
      </c>
      <c r="AE164" s="81"/>
      <c r="AF164" s="700"/>
    </row>
    <row r="165" spans="1:32">
      <c r="B165" s="718" t="s">
        <v>1010</v>
      </c>
      <c r="C165" s="64"/>
      <c r="D165" s="212" t="str">
        <f>"IND"&amp;RIGHT(H165,4)&amp;"GAS"&amp;"N"&amp;RIGHT(E165,1)</f>
        <v>INDTDPHGASN5</v>
      </c>
      <c r="E165" s="261" t="str">
        <f>"Industrial heating technology "&amp;$AJ$12&amp;" "&amp;RIGHT(H165,2)&amp;" - Gas boiler (Direct firing) - new 5"</f>
        <v>Industrial heating technology Transport PH - Gas boiler (Direct firing) - new 5</v>
      </c>
      <c r="F165" s="224" t="s">
        <v>1149</v>
      </c>
      <c r="G165" s="173" t="s">
        <v>2080</v>
      </c>
      <c r="H165" s="174" t="str">
        <f>$AI$14</f>
        <v>ITDPH</v>
      </c>
      <c r="I165" s="721" t="str">
        <f t="shared" si="142"/>
        <v>INDTWH</v>
      </c>
      <c r="J165" s="224">
        <f t="shared" si="145"/>
        <v>2011</v>
      </c>
      <c r="K165" s="299">
        <f>J165</f>
        <v>2011</v>
      </c>
      <c r="L165" s="199">
        <f t="shared" ca="1" si="221"/>
        <v>1</v>
      </c>
      <c r="M165" s="199"/>
      <c r="N165" s="81">
        <f ca="1">VLOOKUP($AD165,INDIRECT("'"&amp;$B165&amp;"'!"&amp;"$P$279:$AD$282"),5,FALSE)</f>
        <v>25</v>
      </c>
      <c r="O165" s="723">
        <f t="shared" ca="1" si="222"/>
        <v>0.11175</v>
      </c>
      <c r="P165" s="723">
        <f t="shared" ca="1" si="223"/>
        <v>1.3545454545454561E-3</v>
      </c>
      <c r="Q165" s="81">
        <f t="shared" ca="1" si="224"/>
        <v>0.58461805555555546</v>
      </c>
      <c r="R165" s="81">
        <v>3.1536000000000002E-2</v>
      </c>
      <c r="S165" s="199">
        <v>0.5</v>
      </c>
      <c r="T165" s="199">
        <f ca="1">HLOOKUP($S$2,INDIRECT("'"&amp;$B165&amp;"'!"&amp;"$P$312:$AC$325"),IF(H165=$AI$13,6,IF(H165=$AI$14,9,14)),FALSE)</f>
        <v>1</v>
      </c>
      <c r="U165" s="773"/>
      <c r="V165" s="199">
        <f t="shared" ref="V165" ca="1" si="232">IF(IF(RIGHT(H165,2)="PH",(1-L165)+$W$2,IF(RIGHT(H165,2)="HT",(1-L165)+$W$1,IF(RIGHT(H165,2)="SH",(1-L165)+$W$3,"")))&gt;0,IF(RIGHT(H165,2)="PH",(1-L165)+$W$2,IF(RIGHT(H165,2)="HT",(1-L165)+$W$1,IF(RIGHT(H165,2)="SH",(1-L165)+$W$3,""))),0)</f>
        <v>0.2</v>
      </c>
      <c r="W165" s="709"/>
      <c r="X165" s="698">
        <f t="shared" ca="1" si="218"/>
        <v>0.3</v>
      </c>
      <c r="Y165" s="698">
        <f t="shared" ca="1" si="226"/>
        <v>9</v>
      </c>
      <c r="Z165" s="698">
        <f t="shared" ca="1" si="227"/>
        <v>3</v>
      </c>
      <c r="AA165" s="698">
        <f t="shared" ca="1" si="228"/>
        <v>1</v>
      </c>
      <c r="AB165" s="698">
        <f t="shared" ca="1" si="229"/>
        <v>0.1</v>
      </c>
      <c r="AD165" s="277">
        <v>2020</v>
      </c>
      <c r="AE165" s="273"/>
      <c r="AF165" s="830"/>
    </row>
    <row r="166" spans="1:32">
      <c r="B166" s="718" t="s">
        <v>1010</v>
      </c>
      <c r="C166" s="64"/>
      <c r="E166" s="261"/>
      <c r="F166" s="224" t="s">
        <v>1149</v>
      </c>
      <c r="G166" s="55"/>
      <c r="H166" s="174"/>
      <c r="I166" s="174" t="str">
        <f t="shared" si="142"/>
        <v>INDTWH</v>
      </c>
      <c r="J166" s="224">
        <f t="shared" si="145"/>
        <v>2030</v>
      </c>
      <c r="K166" s="81"/>
      <c r="L166" s="199">
        <f t="shared" ca="1" si="221"/>
        <v>1</v>
      </c>
      <c r="M166" s="199"/>
      <c r="N166" s="81"/>
      <c r="O166" s="723">
        <f t="shared" ca="1" si="222"/>
        <v>0.11175</v>
      </c>
      <c r="P166" s="723">
        <f t="shared" ca="1" si="223"/>
        <v>1.3206818181818161E-3</v>
      </c>
      <c r="Q166" s="81">
        <f t="shared" ca="1" si="224"/>
        <v>0.5742708333333334</v>
      </c>
      <c r="R166" s="300"/>
      <c r="S166" s="300"/>
      <c r="T166" s="300"/>
      <c r="U166" s="300"/>
      <c r="V166" s="199">
        <f t="shared" ref="V166" ca="1" si="233">IF(IF(RIGHT(H165,2)="PH",(1-L166)+$W$2,IF(RIGHT(H165,2)="HT",(1-L166)+$W$1,IF(RIGHT(H165,2)="SH",(1-L166)+$W$3,"")))&gt;0,IF(RIGHT(H165,2)="PH",(1-L166)+$W$2,IF(RIGHT(H165,2)="HT",(1-L166)+$W$1,IF(RIGHT(H165,2)="SH",(1-L166)+$W$3,""))),0)</f>
        <v>0.2</v>
      </c>
      <c r="W166" s="298"/>
      <c r="X166" s="698">
        <f t="shared" ca="1" si="218"/>
        <v>0.3</v>
      </c>
      <c r="Y166" s="698">
        <f t="shared" ca="1" si="226"/>
        <v>7</v>
      </c>
      <c r="Z166" s="698">
        <f t="shared" ca="1" si="227"/>
        <v>2</v>
      </c>
      <c r="AA166" s="698">
        <f t="shared" ca="1" si="228"/>
        <v>1</v>
      </c>
      <c r="AB166" s="698">
        <f t="shared" ca="1" si="229"/>
        <v>0.1</v>
      </c>
      <c r="AD166" s="81">
        <v>2030</v>
      </c>
      <c r="AE166" s="273"/>
      <c r="AF166" s="828"/>
    </row>
    <row r="167" spans="1:32">
      <c r="A167" s="169"/>
      <c r="B167" s="719" t="s">
        <v>1010</v>
      </c>
      <c r="C167" s="713"/>
      <c r="D167" s="701"/>
      <c r="E167" s="701"/>
      <c r="F167" s="224" t="s">
        <v>1149</v>
      </c>
      <c r="G167" s="203"/>
      <c r="H167" s="702"/>
      <c r="I167" s="702" t="str">
        <f t="shared" si="142"/>
        <v>INDTWH</v>
      </c>
      <c r="J167" s="224">
        <f t="shared" si="145"/>
        <v>2050</v>
      </c>
      <c r="K167" s="81"/>
      <c r="L167" s="199">
        <f t="shared" ca="1" si="221"/>
        <v>1</v>
      </c>
      <c r="M167" s="199"/>
      <c r="N167" s="81"/>
      <c r="O167" s="723">
        <f t="shared" ca="1" si="222"/>
        <v>0.11175</v>
      </c>
      <c r="P167" s="723">
        <f t="shared" ca="1" si="223"/>
        <v>1.1513636363636396E-3</v>
      </c>
      <c r="Q167" s="81">
        <f t="shared" ca="1" si="224"/>
        <v>0.57944444444444443</v>
      </c>
      <c r="R167" s="722"/>
      <c r="S167" s="703"/>
      <c r="T167" s="703"/>
      <c r="U167" s="703"/>
      <c r="V167" s="199">
        <f t="shared" ref="V167" ca="1" si="234">IF(IF(RIGHT(H165,2)="PH",(1-L167)+$W$2,IF(RIGHT(H165,2)="HT",(1-L167)+$W$1,IF(RIGHT(H165,2)="SH",(1-L167)+$W$3,"")))&gt;0,IF(RIGHT(H165,2)="PH",(1-L167)+$W$2,IF(RIGHT(H165,2)="HT",(1-L167)+$W$1,IF(RIGHT(H165,2)="SH",(1-L167)+$W$3,""))),0)</f>
        <v>0.2</v>
      </c>
      <c r="W167" s="714"/>
      <c r="X167" s="698">
        <f t="shared" ca="1" si="218"/>
        <v>0.3</v>
      </c>
      <c r="Y167" s="698">
        <f t="shared" ca="1" si="226"/>
        <v>6</v>
      </c>
      <c r="Z167" s="698">
        <f t="shared" ca="1" si="227"/>
        <v>2</v>
      </c>
      <c r="AA167" s="698">
        <f t="shared" ca="1" si="228"/>
        <v>1</v>
      </c>
      <c r="AB167" s="698">
        <f t="shared" ca="1" si="229"/>
        <v>0.1</v>
      </c>
      <c r="AD167" s="81">
        <v>2050</v>
      </c>
      <c r="AE167" s="273"/>
      <c r="AF167" s="828"/>
    </row>
    <row r="168" spans="1:32">
      <c r="A168" s="169"/>
      <c r="B168" s="718" t="s">
        <v>1099</v>
      </c>
      <c r="C168" s="226"/>
      <c r="D168" s="707" t="str">
        <f>"IND"&amp;RIGHT(H168,4)&amp;RIGHT(G168,3)&amp;"N"&amp;RIGHT(E168,1)</f>
        <v>INDTDPHCOAN1</v>
      </c>
      <c r="E168" s="261" t="str">
        <f>"Industrial heating technology "&amp;$AJ$12&amp;" "&amp;RIGHT(H168,2)&amp;" - Coal boiler (Steam) - new 1"</f>
        <v>Industrial heating technology Transport PH - Coal boiler (Steam) - new 1</v>
      </c>
      <c r="F168" s="224" t="s">
        <v>1149</v>
      </c>
      <c r="G168" s="55" t="s">
        <v>617</v>
      </c>
      <c r="H168" s="174" t="str">
        <f>$AI$13</f>
        <v>ITDPH</v>
      </c>
      <c r="I168" s="174" t="str">
        <f t="shared" si="142"/>
        <v>INDTWH</v>
      </c>
      <c r="J168" s="224">
        <f t="shared" si="145"/>
        <v>2011</v>
      </c>
      <c r="K168" s="299">
        <v>2025</v>
      </c>
      <c r="L168" s="199">
        <f t="shared" ref="L168:L176" ca="1" si="235">VLOOKUP($AD168,INDIRECT("'"&amp;$B168&amp;"'!"&amp;"$P$39:$AD$42"),3,FALSE)</f>
        <v>0.89</v>
      </c>
      <c r="M168" s="699"/>
      <c r="N168" s="299">
        <f ca="1">VLOOKUP($AD168,INDIRECT("'"&amp;$B168&amp;"'!"&amp;"$P$39:$AD$42"),5,FALSE)</f>
        <v>25</v>
      </c>
      <c r="O168" s="725">
        <f t="shared" ref="O168:O176" ca="1" si="236">VLOOKUP($AD168,INDIRECT("'"&amp;$B168&amp;"'!"&amp;"$P$39:$AD$42"),6,FALSE)/1000</f>
        <v>3.7250000000000001</v>
      </c>
      <c r="P168" s="725">
        <f t="shared" ref="P168:P176" ca="1" si="237">VLOOKUP($AD168,INDIRECT("'"&amp;$B168&amp;"'!"&amp;"$P$39:$AD$42"),7,FALSE)/1000</f>
        <v>0.25106499999999998</v>
      </c>
      <c r="Q168" s="299">
        <f t="shared" ref="Q168:Q176" ca="1" si="238">VLOOKUP($AD168,INDIRECT("'"&amp;$B168&amp;"'!"&amp;"$P$39:$AD$42"),8,FALSE)</f>
        <v>3.9381527777777778</v>
      </c>
      <c r="R168" s="299">
        <v>3.1536000000000002E-2</v>
      </c>
      <c r="S168" s="699">
        <v>0.5</v>
      </c>
      <c r="T168" s="699">
        <f ca="1">HLOOKUP($T$2,INDIRECT("'"&amp;$B168&amp;"'!"&amp;"$P$6:$AC$19"),IF(H168=$AI$13,6,IF(H168=$AI$14,9,14)),FALSE)</f>
        <v>1</v>
      </c>
      <c r="U168" s="772"/>
      <c r="V168" s="199">
        <f t="shared" ref="V168" ca="1" si="239">IF(IF(RIGHT(H168,2)="PH",(1-L168)+$W$2,IF(RIGHT(H168,2)="HT",(1-L168)+$W$1,IF(RIGHT(H168,2)="SH",(1-L168)+$W$3,"")))&gt;0,IF(RIGHT(H168,2)="PH",(1-L168)+$W$2,IF(RIGHT(H168,2)="HT",(1-L168)+$W$1,IF(RIGHT(H168,2)="SH",(1-L168)+$W$3,""))),0)</f>
        <v>0.31</v>
      </c>
      <c r="W168" s="298"/>
      <c r="X168" s="698">
        <f t="shared" ca="1" si="218"/>
        <v>8</v>
      </c>
      <c r="Y168" s="299">
        <f t="shared" ref="Y168:Y176" ca="1" si="240">VLOOKUP($AD168,INDIRECT("'"&amp;$B168&amp;"'!"&amp;"$P$39:$AD$42"),12,FALSE)</f>
        <v>35</v>
      </c>
      <c r="Z168" s="299">
        <f t="shared" ref="Z168:Z176" ca="1" si="241">VLOOKUP($AD168,INDIRECT("'"&amp;$B168&amp;"'!"&amp;"$P$39:$AD$42"),13,FALSE)</f>
        <v>1.5</v>
      </c>
      <c r="AA168" s="299">
        <f t="shared" ref="AA168:AA176" ca="1" si="242">VLOOKUP($AD168,INDIRECT("'"&amp;$B168&amp;"'!"&amp;"$P$39:$AD$42"),14,FALSE)</f>
        <v>0.8</v>
      </c>
      <c r="AB168" s="299">
        <f t="shared" ref="AB168:AB176" ca="1" si="243">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2"/>
        <v>INDTWH</v>
      </c>
      <c r="J169" s="224">
        <f t="shared" si="145"/>
        <v>2030</v>
      </c>
      <c r="K169" s="81"/>
      <c r="L169" s="199">
        <f t="shared" ca="1" si="235"/>
        <v>0.89</v>
      </c>
      <c r="M169" s="772"/>
      <c r="N169" s="200"/>
      <c r="O169" s="725">
        <f t="shared" ca="1" si="236"/>
        <v>3.4699403462447704</v>
      </c>
      <c r="P169" s="725">
        <f t="shared" ca="1" si="237"/>
        <v>0.24287</v>
      </c>
      <c r="Q169" s="299">
        <f t="shared" ca="1" si="238"/>
        <v>3.9836805555555559</v>
      </c>
      <c r="R169" s="823"/>
      <c r="S169" s="300"/>
      <c r="T169" s="300"/>
      <c r="U169" s="300"/>
      <c r="V169" s="199">
        <f t="shared" ref="V169" ca="1" si="244">IF(IF(RIGHT(H168,2)="PH",(1-L169)+$W$2,IF(RIGHT(H168,2)="HT",(1-L169)+$W$1,IF(RIGHT(H168,2)="SH",(1-L169)+$W$3,"")))&gt;0,IF(RIGHT(H168,2)="PH",(1-L169)+$W$2,IF(RIGHT(H168,2)="HT",(1-L169)+$W$1,IF(RIGHT(H168,2)="SH",(1-L169)+$W$3,""))),0)</f>
        <v>0.31</v>
      </c>
      <c r="W169" s="298"/>
      <c r="X169" s="698">
        <f t="shared" ca="1" si="218"/>
        <v>8</v>
      </c>
      <c r="Y169" s="299">
        <f t="shared" ca="1" si="240"/>
        <v>35</v>
      </c>
      <c r="Z169" s="299">
        <f t="shared" ca="1" si="241"/>
        <v>1.5</v>
      </c>
      <c r="AA169" s="299">
        <f t="shared" ca="1" si="242"/>
        <v>0.8</v>
      </c>
      <c r="AB169" s="299">
        <f t="shared" ca="1" si="243"/>
        <v>2.1</v>
      </c>
      <c r="AD169" s="81">
        <v>2030</v>
      </c>
      <c r="AE169" s="273"/>
      <c r="AF169" s="828"/>
    </row>
    <row r="170" spans="1:32">
      <c r="A170" s="169"/>
      <c r="B170" s="718" t="s">
        <v>1099</v>
      </c>
      <c r="C170" s="226"/>
      <c r="D170" s="261"/>
      <c r="E170" s="261"/>
      <c r="F170" s="224" t="s">
        <v>1149</v>
      </c>
      <c r="G170" s="55"/>
      <c r="H170" s="174"/>
      <c r="I170" s="174" t="str">
        <f t="shared" si="142"/>
        <v>INDTWH</v>
      </c>
      <c r="J170" s="224">
        <f t="shared" si="145"/>
        <v>2050</v>
      </c>
      <c r="K170" s="81"/>
      <c r="L170" s="199">
        <f t="shared" ca="1" si="235"/>
        <v>0.91</v>
      </c>
      <c r="M170" s="772"/>
      <c r="N170" s="200"/>
      <c r="O170" s="725">
        <f t="shared" ca="1" si="236"/>
        <v>3.2813985758696647</v>
      </c>
      <c r="P170" s="725">
        <f t="shared" ca="1" si="237"/>
        <v>0.22797000000000001</v>
      </c>
      <c r="Q170" s="299">
        <f t="shared" ca="1" si="238"/>
        <v>4.0064444444444449</v>
      </c>
      <c r="R170" s="823"/>
      <c r="S170" s="300"/>
      <c r="T170" s="300"/>
      <c r="U170" s="300"/>
      <c r="V170" s="199">
        <f t="shared" ref="V170" ca="1" si="245">IF(IF(RIGHT(H168,2)="PH",(1-L170)+$W$2,IF(RIGHT(H168,2)="HT",(1-L170)+$W$1,IF(RIGHT(H168,2)="SH",(1-L170)+$W$3,"")))&gt;0,IF(RIGHT(H168,2)="PH",(1-L170)+$W$2,IF(RIGHT(H168,2)="HT",(1-L170)+$W$1,IF(RIGHT(H168,2)="SH",(1-L170)+$W$3,""))),0)</f>
        <v>0.28999999999999998</v>
      </c>
      <c r="W170" s="298"/>
      <c r="X170" s="698">
        <f t="shared" ca="1" si="218"/>
        <v>8</v>
      </c>
      <c r="Y170" s="299">
        <f t="shared" ca="1" si="240"/>
        <v>35</v>
      </c>
      <c r="Z170" s="299">
        <f t="shared" ca="1" si="241"/>
        <v>1.5</v>
      </c>
      <c r="AA170" s="299">
        <f t="shared" ca="1" si="242"/>
        <v>0.8</v>
      </c>
      <c r="AB170" s="299">
        <f t="shared" ca="1" si="243"/>
        <v>2.1</v>
      </c>
      <c r="AD170" s="81">
        <v>2050</v>
      </c>
      <c r="AE170" s="273"/>
      <c r="AF170" s="828"/>
    </row>
    <row r="171" spans="1:32">
      <c r="A171" s="169"/>
      <c r="B171" s="718" t="s">
        <v>1099</v>
      </c>
      <c r="C171" s="226"/>
      <c r="D171" s="261" t="str">
        <f>"IND"&amp;RIGHT(H171,4)&amp;RIGHT(G171,3)&amp;"N"&amp;RIGHT(E171,1)</f>
        <v>INDTDPHCOAN1</v>
      </c>
      <c r="E171" s="261" t="str">
        <f>"Industrial heating technology "&amp;$AJ$12&amp;" "&amp;RIGHT(H171,2)&amp;" - Coal boiler (Steam) - new 1"</f>
        <v>Industrial heating technology Transport PH - Coal boiler (Steam) - new 1</v>
      </c>
      <c r="F171" s="224" t="s">
        <v>1149</v>
      </c>
      <c r="G171" s="55" t="s">
        <v>617</v>
      </c>
      <c r="H171" s="174" t="str">
        <f>$AI$14</f>
        <v>ITDPH</v>
      </c>
      <c r="I171" s="174" t="str">
        <f t="shared" si="142"/>
        <v>INDTWH</v>
      </c>
      <c r="J171" s="224">
        <f t="shared" si="145"/>
        <v>2011</v>
      </c>
      <c r="K171" s="299">
        <v>2025</v>
      </c>
      <c r="L171" s="199">
        <f t="shared" ca="1" si="235"/>
        <v>0.89</v>
      </c>
      <c r="M171" s="199"/>
      <c r="N171" s="81">
        <f ca="1">VLOOKUP($AD171,INDIRECT("'"&amp;$B171&amp;"'!"&amp;"$P$39:$AD$42"),5,FALSE)</f>
        <v>25</v>
      </c>
      <c r="O171" s="725">
        <f t="shared" ca="1" si="236"/>
        <v>3.7250000000000001</v>
      </c>
      <c r="P171" s="725">
        <f t="shared" ca="1" si="237"/>
        <v>0.25106499999999998</v>
      </c>
      <c r="Q171" s="299">
        <f t="shared" ca="1" si="238"/>
        <v>3.9381527777777778</v>
      </c>
      <c r="R171" s="81">
        <v>3.1536000000000002E-2</v>
      </c>
      <c r="S171" s="199">
        <v>0.5</v>
      </c>
      <c r="T171" s="199">
        <f ca="1">HLOOKUP($T$2,INDIRECT("'"&amp;$B171&amp;"'!"&amp;"$P$6:$AC$19"),IF(H171=$AI$13,6,IF(H171=$AI$14,9,14)),FALSE)</f>
        <v>1</v>
      </c>
      <c r="U171" s="772"/>
      <c r="V171" s="199">
        <f t="shared" ref="V171" ca="1" si="246">IF(IF(RIGHT(H171,2)="PH",(1-L171)+$W$2,IF(RIGHT(H171,2)="HT",(1-L171)+$W$1,IF(RIGHT(H171,2)="SH",(1-L171)+$W$3,"")))&gt;0,IF(RIGHT(H171,2)="PH",(1-L171)+$W$2,IF(RIGHT(H171,2)="HT",(1-L171)+$W$1,IF(RIGHT(H171,2)="SH",(1-L171)+$W$3,""))),0)</f>
        <v>0.31</v>
      </c>
      <c r="W171" s="298"/>
      <c r="X171" s="698">
        <f t="shared" ca="1" si="218"/>
        <v>8</v>
      </c>
      <c r="Y171" s="299">
        <f t="shared" ca="1" si="240"/>
        <v>35</v>
      </c>
      <c r="Z171" s="299">
        <f t="shared" ca="1" si="241"/>
        <v>1.5</v>
      </c>
      <c r="AA171" s="299">
        <f t="shared" ca="1" si="242"/>
        <v>0.8</v>
      </c>
      <c r="AB171" s="299">
        <f t="shared" ca="1" si="243"/>
        <v>2.1</v>
      </c>
      <c r="AD171" s="81">
        <v>2020</v>
      </c>
      <c r="AE171" s="273"/>
      <c r="AF171" s="828"/>
    </row>
    <row r="172" spans="1:32">
      <c r="A172" s="169"/>
      <c r="B172" s="718" t="s">
        <v>1099</v>
      </c>
      <c r="C172" s="226"/>
      <c r="D172" s="261"/>
      <c r="E172" s="261"/>
      <c r="F172" s="224" t="s">
        <v>1149</v>
      </c>
      <c r="G172" s="55"/>
      <c r="H172" s="174"/>
      <c r="I172" s="174" t="str">
        <f t="shared" si="142"/>
        <v>INDTWH</v>
      </c>
      <c r="J172" s="224">
        <f t="shared" si="145"/>
        <v>2030</v>
      </c>
      <c r="K172" s="81"/>
      <c r="L172" s="199">
        <f t="shared" ca="1" si="235"/>
        <v>0.89</v>
      </c>
      <c r="M172" s="772"/>
      <c r="N172" s="200"/>
      <c r="O172" s="725">
        <f t="shared" ca="1" si="236"/>
        <v>3.4699403462447704</v>
      </c>
      <c r="P172" s="725">
        <f t="shared" ca="1" si="237"/>
        <v>0.24287</v>
      </c>
      <c r="Q172" s="299">
        <f t="shared" ca="1" si="238"/>
        <v>3.9836805555555559</v>
      </c>
      <c r="R172" s="823"/>
      <c r="S172" s="300"/>
      <c r="T172" s="300"/>
      <c r="U172" s="300"/>
      <c r="V172" s="199">
        <f t="shared" ref="V172" ca="1" si="247">IF(IF(RIGHT(H171,2)="PH",(1-L172)+$W$2,IF(RIGHT(H171,2)="HT",(1-L172)+$W$1,IF(RIGHT(H171,2)="SH",(1-L172)+$W$3,"")))&gt;0,IF(RIGHT(H171,2)="PH",(1-L172)+$W$2,IF(RIGHT(H171,2)="HT",(1-L172)+$W$1,IF(RIGHT(H171,2)="SH",(1-L172)+$W$3,""))),0)</f>
        <v>0.31</v>
      </c>
      <c r="W172" s="298"/>
      <c r="X172" s="698">
        <f t="shared" ca="1" si="218"/>
        <v>8</v>
      </c>
      <c r="Y172" s="299">
        <f t="shared" ca="1" si="240"/>
        <v>35</v>
      </c>
      <c r="Z172" s="299">
        <f t="shared" ca="1" si="241"/>
        <v>1.5</v>
      </c>
      <c r="AA172" s="299">
        <f t="shared" ca="1" si="242"/>
        <v>0.8</v>
      </c>
      <c r="AB172" s="299">
        <f t="shared" ca="1" si="243"/>
        <v>2.1</v>
      </c>
      <c r="AD172" s="81">
        <v>2030</v>
      </c>
      <c r="AE172" s="273"/>
      <c r="AF172" s="828"/>
    </row>
    <row r="173" spans="1:32">
      <c r="A173" s="169"/>
      <c r="B173" s="718" t="s">
        <v>1099</v>
      </c>
      <c r="C173" s="226"/>
      <c r="D173" s="261"/>
      <c r="E173" s="261"/>
      <c r="F173" s="224" t="s">
        <v>1149</v>
      </c>
      <c r="G173" s="55"/>
      <c r="H173" s="174"/>
      <c r="I173" s="174" t="str">
        <f t="shared" si="142"/>
        <v>INDTWH</v>
      </c>
      <c r="J173" s="224">
        <f t="shared" si="145"/>
        <v>2050</v>
      </c>
      <c r="K173" s="81"/>
      <c r="L173" s="199">
        <f t="shared" ca="1" si="235"/>
        <v>0.91</v>
      </c>
      <c r="M173" s="772"/>
      <c r="N173" s="200"/>
      <c r="O173" s="725">
        <f t="shared" ca="1" si="236"/>
        <v>3.2813985758696647</v>
      </c>
      <c r="P173" s="725">
        <f t="shared" ca="1" si="237"/>
        <v>0.22797000000000001</v>
      </c>
      <c r="Q173" s="299">
        <f t="shared" ca="1" si="238"/>
        <v>4.0064444444444449</v>
      </c>
      <c r="R173" s="823"/>
      <c r="S173" s="300"/>
      <c r="T173" s="300"/>
      <c r="U173" s="300"/>
      <c r="V173" s="199">
        <f t="shared" ref="V173" ca="1" si="248">IF(IF(RIGHT(H171,2)="PH",(1-L173)+$W$2,IF(RIGHT(H171,2)="HT",(1-L173)+$W$1,IF(RIGHT(H171,2)="SH",(1-L173)+$W$3,"")))&gt;0,IF(RIGHT(H171,2)="PH",(1-L173)+$W$2,IF(RIGHT(H171,2)="HT",(1-L173)+$W$1,IF(RIGHT(H171,2)="SH",(1-L173)+$W$3,""))),0)</f>
        <v>0.28999999999999998</v>
      </c>
      <c r="W173" s="298"/>
      <c r="X173" s="698">
        <f t="shared" ca="1" si="218"/>
        <v>8</v>
      </c>
      <c r="Y173" s="299">
        <f t="shared" ca="1" si="240"/>
        <v>35</v>
      </c>
      <c r="Z173" s="299">
        <f t="shared" ca="1" si="241"/>
        <v>1.5</v>
      </c>
      <c r="AA173" s="299">
        <f t="shared" ca="1" si="242"/>
        <v>0.8</v>
      </c>
      <c r="AB173" s="299">
        <f t="shared" ca="1" si="243"/>
        <v>2.1</v>
      </c>
      <c r="AD173" s="81">
        <v>2050</v>
      </c>
      <c r="AE173" s="273"/>
      <c r="AF173" s="828"/>
    </row>
    <row r="174" spans="1:32">
      <c r="A174" s="169"/>
      <c r="B174" s="718" t="s">
        <v>1099</v>
      </c>
      <c r="C174" s="226"/>
      <c r="D174" s="261" t="str">
        <f>"IND"&amp;RIGHT(H174,4)&amp;RIGHT(G174,3)&amp;"N"&amp;RIGHT(E174,1)</f>
        <v>INDTDSHCOAN1</v>
      </c>
      <c r="E174" s="261" t="str">
        <f>"Industrial heating technology "&amp;$AJ$12&amp;" "&amp;RIGHT(H174,2)&amp;" - Coal boiler (Steam) - new 1"</f>
        <v>Industrial heating technology Transport SH - Coal boiler (Steam) - new 1</v>
      </c>
      <c r="F174" s="224" t="s">
        <v>1149</v>
      </c>
      <c r="G174" s="55" t="s">
        <v>617</v>
      </c>
      <c r="H174" s="174" t="str">
        <f>$AI$15</f>
        <v>ITDSH</v>
      </c>
      <c r="I174" s="174" t="str">
        <f t="shared" si="142"/>
        <v>INDTWH</v>
      </c>
      <c r="J174" s="224">
        <f t="shared" si="145"/>
        <v>2011</v>
      </c>
      <c r="K174" s="299">
        <v>2025</v>
      </c>
      <c r="L174" s="199">
        <f t="shared" ca="1" si="235"/>
        <v>0.89</v>
      </c>
      <c r="M174" s="199"/>
      <c r="N174" s="81">
        <f ca="1">VLOOKUP($AD174,INDIRECT("'"&amp;$B174&amp;"'!"&amp;"$P$39:$AD$42"),5,FALSE)</f>
        <v>25</v>
      </c>
      <c r="O174" s="725">
        <f t="shared" ca="1" si="236"/>
        <v>3.7250000000000001</v>
      </c>
      <c r="P174" s="725">
        <f t="shared" ca="1" si="237"/>
        <v>0.25106499999999998</v>
      </c>
      <c r="Q174" s="299">
        <f t="shared" ca="1" si="238"/>
        <v>3.9381527777777778</v>
      </c>
      <c r="R174" s="81">
        <v>3.1536000000000002E-2</v>
      </c>
      <c r="S174" s="199">
        <v>0.5</v>
      </c>
      <c r="T174" s="199">
        <f ca="1">HLOOKUP($T$2,INDIRECT("'"&amp;$B174&amp;"'!"&amp;"$P$6:$AC$19"),IF(H174=$AI$13,6,IF(H174=$AI$14,9,14)),FALSE)</f>
        <v>1</v>
      </c>
      <c r="U174" s="772"/>
      <c r="V174" s="199">
        <f t="shared" ref="V174" ca="1" si="249">IF(IF(RIGHT(H174,2)="PH",(1-L174)+$W$2,IF(RIGHT(H174,2)="HT",(1-L174)+$W$1,IF(RIGHT(H174,2)="SH",(1-L174)+$W$3,"")))&gt;0,IF(RIGHT(H174,2)="PH",(1-L174)+$W$2,IF(RIGHT(H174,2)="HT",(1-L174)+$W$1,IF(RIGHT(H174,2)="SH",(1-L174)+$W$3,""))),0)</f>
        <v>0.10999999999999999</v>
      </c>
      <c r="W174" s="298"/>
      <c r="X174" s="698">
        <f t="shared" ca="1" si="218"/>
        <v>8</v>
      </c>
      <c r="Y174" s="299">
        <f t="shared" ca="1" si="240"/>
        <v>35</v>
      </c>
      <c r="Z174" s="299">
        <f t="shared" ca="1" si="241"/>
        <v>1.5</v>
      </c>
      <c r="AA174" s="299">
        <f t="shared" ca="1" si="242"/>
        <v>0.8</v>
      </c>
      <c r="AB174" s="299">
        <f t="shared" ca="1" si="243"/>
        <v>2.1</v>
      </c>
      <c r="AD174" s="81">
        <v>2020</v>
      </c>
      <c r="AE174" s="273"/>
      <c r="AF174" s="828"/>
    </row>
    <row r="175" spans="1:32">
      <c r="A175" s="169"/>
      <c r="B175" s="718" t="s">
        <v>1099</v>
      </c>
      <c r="C175" s="226"/>
      <c r="D175" s="261"/>
      <c r="E175" s="261"/>
      <c r="F175" s="224" t="s">
        <v>1149</v>
      </c>
      <c r="G175" s="55"/>
      <c r="H175" s="174"/>
      <c r="I175" s="174" t="str">
        <f t="shared" si="142"/>
        <v>INDTWH</v>
      </c>
      <c r="J175" s="224">
        <f t="shared" si="145"/>
        <v>2030</v>
      </c>
      <c r="K175" s="81"/>
      <c r="L175" s="199">
        <f t="shared" ca="1" si="235"/>
        <v>0.89</v>
      </c>
      <c r="M175" s="772"/>
      <c r="N175" s="200"/>
      <c r="O175" s="725">
        <f t="shared" ca="1" si="236"/>
        <v>3.4699403462447704</v>
      </c>
      <c r="P175" s="725">
        <f t="shared" ca="1" si="237"/>
        <v>0.24287</v>
      </c>
      <c r="Q175" s="299">
        <f t="shared" ca="1" si="238"/>
        <v>3.9836805555555559</v>
      </c>
      <c r="R175" s="823"/>
      <c r="S175" s="300"/>
      <c r="T175" s="300"/>
      <c r="U175" s="300"/>
      <c r="V175" s="199">
        <f t="shared" ref="V175" ca="1" si="250">IF(IF(RIGHT(H174,2)="PH",(1-L175)+$W$2,IF(RIGHT(H174,2)="HT",(1-L175)+$W$1,IF(RIGHT(H174,2)="SH",(1-L175)+$W$3,"")))&gt;0,IF(RIGHT(H174,2)="PH",(1-L175)+$W$2,IF(RIGHT(H174,2)="HT",(1-L175)+$W$1,IF(RIGHT(H174,2)="SH",(1-L175)+$W$3,""))),0)</f>
        <v>0.10999999999999999</v>
      </c>
      <c r="W175" s="298"/>
      <c r="X175" s="698">
        <f t="shared" ca="1" si="218"/>
        <v>8</v>
      </c>
      <c r="Y175" s="299">
        <f t="shared" ca="1" si="240"/>
        <v>35</v>
      </c>
      <c r="Z175" s="299">
        <f t="shared" ca="1" si="241"/>
        <v>1.5</v>
      </c>
      <c r="AA175" s="299">
        <f t="shared" ca="1" si="242"/>
        <v>0.8</v>
      </c>
      <c r="AB175" s="299">
        <f t="shared" ca="1" si="243"/>
        <v>2.1</v>
      </c>
      <c r="AD175" s="81">
        <v>2030</v>
      </c>
      <c r="AE175" s="273"/>
      <c r="AF175" s="828"/>
    </row>
    <row r="176" spans="1:32">
      <c r="A176" s="169"/>
      <c r="B176" s="719" t="s">
        <v>1099</v>
      </c>
      <c r="C176" s="713"/>
      <c r="D176" s="701"/>
      <c r="E176" s="701"/>
      <c r="F176" s="224" t="s">
        <v>1149</v>
      </c>
      <c r="G176" s="203"/>
      <c r="H176" s="702"/>
      <c r="I176" s="702" t="str">
        <f t="shared" si="142"/>
        <v>INDTWH</v>
      </c>
      <c r="J176" s="224">
        <f t="shared" si="145"/>
        <v>2050</v>
      </c>
      <c r="K176" s="81"/>
      <c r="L176" s="199">
        <f t="shared" ca="1" si="235"/>
        <v>0.91</v>
      </c>
      <c r="M176" s="826"/>
      <c r="N176" s="825"/>
      <c r="O176" s="725">
        <f t="shared" ca="1" si="236"/>
        <v>3.2813985758696647</v>
      </c>
      <c r="P176" s="725">
        <f t="shared" ca="1" si="237"/>
        <v>0.22797000000000001</v>
      </c>
      <c r="Q176" s="299">
        <f t="shared" ca="1" si="238"/>
        <v>4.0064444444444449</v>
      </c>
      <c r="R176" s="722"/>
      <c r="S176" s="703"/>
      <c r="T176" s="703"/>
      <c r="U176" s="703"/>
      <c r="V176" s="199">
        <f t="shared" ref="V176" ca="1" si="251">IF(IF(RIGHT(H174,2)="PH",(1-L176)+$W$2,IF(RIGHT(H174,2)="HT",(1-L176)+$W$1,IF(RIGHT(H174,2)="SH",(1-L176)+$W$3,"")))&gt;0,IF(RIGHT(H174,2)="PH",(1-L176)+$W$2,IF(RIGHT(H174,2)="HT",(1-L176)+$W$1,IF(RIGHT(H174,2)="SH",(1-L176)+$W$3,""))),0)</f>
        <v>8.9999999999999969E-2</v>
      </c>
      <c r="W176" s="704"/>
      <c r="X176" s="698">
        <f t="shared" ca="1" si="218"/>
        <v>8</v>
      </c>
      <c r="Y176" s="299">
        <f t="shared" ca="1" si="240"/>
        <v>35</v>
      </c>
      <c r="Z176" s="299">
        <f t="shared" ca="1" si="241"/>
        <v>1.5</v>
      </c>
      <c r="AA176" s="299">
        <f t="shared" ca="1" si="242"/>
        <v>0.8</v>
      </c>
      <c r="AB176" s="299">
        <f t="shared" ca="1" si="243"/>
        <v>2.1</v>
      </c>
      <c r="AC176" s="203"/>
      <c r="AD176" s="81">
        <v>2050</v>
      </c>
      <c r="AE176" s="273"/>
      <c r="AF176" s="829"/>
    </row>
    <row r="177" spans="1:32">
      <c r="A177" s="169"/>
      <c r="B177" s="718" t="s">
        <v>1099</v>
      </c>
      <c r="C177" s="226"/>
      <c r="D177" s="707" t="str">
        <f>"IND"&amp;RIGHT(H177,4)&amp;RIGHT(G177,3)&amp;"N"&amp;RIGHT(E177,1)</f>
        <v>INDTDPHCOAN2</v>
      </c>
      <c r="E177" s="261" t="str">
        <f>"Industrial heating technology "&amp;$AJ$12&amp;" "&amp;RIGHT(H177,2)&amp;" - Coal boiler (Hot Water) - new 2"</f>
        <v>Industrial heating technology Transport PH - Coal boiler (Hot Water) - new 2</v>
      </c>
      <c r="F177" s="224" t="s">
        <v>1149</v>
      </c>
      <c r="G177" s="55" t="s">
        <v>617</v>
      </c>
      <c r="H177" s="174" t="str">
        <f>$AI$14</f>
        <v>ITDPH</v>
      </c>
      <c r="I177" s="174" t="str">
        <f t="shared" si="142"/>
        <v>INDTWH</v>
      </c>
      <c r="J177" s="224">
        <f t="shared" si="145"/>
        <v>2011</v>
      </c>
      <c r="K177" s="299">
        <v>2025</v>
      </c>
      <c r="L177" s="199">
        <f t="shared" ref="L177:L182" ca="1" si="252">VLOOKUP($AD177,INDIRECT("'"&amp;$B177&amp;"'!"&amp;"$P$118:$AD$121"),3,FALSE)</f>
        <v>0.89</v>
      </c>
      <c r="M177" s="199"/>
      <c r="N177" s="81">
        <f ca="1">VLOOKUP($AD177,INDIRECT("'"&amp;$B177&amp;"'!"&amp;"$P$118:$AD$121"),5,FALSE)</f>
        <v>25</v>
      </c>
      <c r="O177" s="723">
        <f t="shared" ref="O177:O182" ca="1" si="253">VLOOKUP($AD177,INDIRECT("'"&amp;$B177&amp;"'!"&amp;"$P$118:$AD$121"),6,FALSE)/1000</f>
        <v>3.7250000000000001</v>
      </c>
      <c r="P177" s="723">
        <f t="shared" ref="P177:P182" ca="1" si="254">VLOOKUP($AD177,INDIRECT("'"&amp;$B177&amp;"'!"&amp;"$P$118:$AD$121"),7,FALSE)/1000</f>
        <v>0.25106499999999998</v>
      </c>
      <c r="Q177" s="81">
        <f t="shared" ref="Q177:Q182" ca="1" si="255">VLOOKUP($AD177,INDIRECT("'"&amp;$B177&amp;"'!"&amp;"$P$118:$AD$121"),8,FALSE)</f>
        <v>3.9381527777777778</v>
      </c>
      <c r="R177" s="81">
        <v>3.1536000000000002E-2</v>
      </c>
      <c r="S177" s="199">
        <v>0.5</v>
      </c>
      <c r="T177" s="199">
        <f ca="1">HLOOKUP($T$2,INDIRECT("'"&amp;$B177&amp;"'!"&amp;"$P$85:$AC$98"),IF(H177=$AI$13,6,IF(H177=$AI$14,9,14)),FALSE)</f>
        <v>0</v>
      </c>
      <c r="U177" s="773"/>
      <c r="V177" s="199">
        <f t="shared" ref="V177" ca="1" si="256">IF(IF(RIGHT(H177,2)="PH",(1-L177)+$W$2,IF(RIGHT(H177,2)="HT",(1-L177)+$W$1,IF(RIGHT(H177,2)="SH",(1-L177)+$W$3,"")))&gt;0,IF(RIGHT(H177,2)="PH",(1-L177)+$W$2,IF(RIGHT(H177,2)="HT",(1-L177)+$W$1,IF(RIGHT(H177,2)="SH",(1-L177)+$W$3,""))),0)</f>
        <v>0.31</v>
      </c>
      <c r="W177" s="709"/>
      <c r="X177" s="698">
        <f t="shared" ca="1" si="218"/>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2"/>
        <v>INDTWH</v>
      </c>
      <c r="J178" s="224">
        <f t="shared" si="145"/>
        <v>2030</v>
      </c>
      <c r="K178" s="81"/>
      <c r="L178" s="199">
        <f t="shared" ca="1" si="252"/>
        <v>0.89</v>
      </c>
      <c r="M178" s="772"/>
      <c r="N178" s="200"/>
      <c r="O178" s="723">
        <f t="shared" ca="1" si="253"/>
        <v>3.7250000000000001</v>
      </c>
      <c r="P178" s="723">
        <f t="shared" ca="1" si="254"/>
        <v>0.24287</v>
      </c>
      <c r="Q178" s="81">
        <f t="shared" ca="1" si="255"/>
        <v>3.9836805555555559</v>
      </c>
      <c r="R178" s="823"/>
      <c r="S178" s="300"/>
      <c r="T178" s="300"/>
      <c r="U178" s="300"/>
      <c r="V178" s="199">
        <f t="shared" ref="V178" ca="1" si="257">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2"/>
        <v>INDTWH</v>
      </c>
      <c r="J179" s="224">
        <f t="shared" si="145"/>
        <v>2050</v>
      </c>
      <c r="K179" s="81"/>
      <c r="L179" s="199">
        <f t="shared" ca="1" si="252"/>
        <v>0.91</v>
      </c>
      <c r="M179" s="772"/>
      <c r="N179" s="200"/>
      <c r="O179" s="723">
        <f t="shared" ca="1" si="253"/>
        <v>3.7250000000000001</v>
      </c>
      <c r="P179" s="723">
        <f t="shared" ca="1" si="254"/>
        <v>0.22797000000000001</v>
      </c>
      <c r="Q179" s="81">
        <f t="shared" ca="1" si="255"/>
        <v>4.0064444444444449</v>
      </c>
      <c r="R179" s="823"/>
      <c r="S179" s="300"/>
      <c r="T179" s="300"/>
      <c r="U179" s="300"/>
      <c r="V179" s="199">
        <f t="shared" ref="V179" ca="1" si="258">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INDTDSHCOAN2</v>
      </c>
      <c r="E180" s="261" t="str">
        <f>"Industrial heating technology "&amp;$AJ$12&amp;" "&amp;RIGHT(H180,2)&amp;" - Coal boiler (Hot Water) - new 2"</f>
        <v>Industrial heating technology Transport SH - Coal boiler (Hot Water) - new 2</v>
      </c>
      <c r="F180" s="224" t="s">
        <v>1149</v>
      </c>
      <c r="G180" s="55" t="s">
        <v>617</v>
      </c>
      <c r="H180" s="174" t="str">
        <f>$AI$15</f>
        <v>ITDSH</v>
      </c>
      <c r="I180" s="174" t="str">
        <f t="shared" si="142"/>
        <v>INDTWH</v>
      </c>
      <c r="J180" s="224">
        <f t="shared" si="145"/>
        <v>2011</v>
      </c>
      <c r="K180" s="299">
        <v>2025</v>
      </c>
      <c r="L180" s="199">
        <f t="shared" ca="1" si="252"/>
        <v>0.89</v>
      </c>
      <c r="M180" s="199"/>
      <c r="N180" s="81">
        <f ca="1">VLOOKUP($AD180,INDIRECT("'"&amp;$B180&amp;"'!"&amp;"$P$118:$AD$121"),5,FALSE)</f>
        <v>25</v>
      </c>
      <c r="O180" s="723">
        <f t="shared" ca="1" si="253"/>
        <v>3.7250000000000001</v>
      </c>
      <c r="P180" s="723">
        <f t="shared" ca="1" si="254"/>
        <v>0.25106499999999998</v>
      </c>
      <c r="Q180" s="81">
        <f t="shared" ca="1" si="255"/>
        <v>3.9381527777777778</v>
      </c>
      <c r="R180" s="81">
        <v>3.1536000000000002E-2</v>
      </c>
      <c r="S180" s="199">
        <v>0.5</v>
      </c>
      <c r="T180" s="199">
        <f ca="1">HLOOKUP($T$2,INDIRECT("'"&amp;$B180&amp;"'!"&amp;"$P$85:$AC$98"),IF(H180=$AI$13,6,IF(H180=$AI$14,9,14)),FALSE)</f>
        <v>1</v>
      </c>
      <c r="U180" s="773"/>
      <c r="V180" s="199">
        <f t="shared" ref="V180" ca="1" si="259">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2"/>
        <v>INDTWH</v>
      </c>
      <c r="J181" s="224">
        <f t="shared" si="145"/>
        <v>2030</v>
      </c>
      <c r="K181" s="200"/>
      <c r="L181" s="199">
        <f t="shared" ca="1" si="252"/>
        <v>0.89</v>
      </c>
      <c r="M181" s="772"/>
      <c r="N181" s="200"/>
      <c r="O181" s="723">
        <f t="shared" ca="1" si="253"/>
        <v>3.7250000000000001</v>
      </c>
      <c r="P181" s="723">
        <f t="shared" ca="1" si="254"/>
        <v>0.24287</v>
      </c>
      <c r="Q181" s="81">
        <f t="shared" ca="1" si="255"/>
        <v>3.9836805555555559</v>
      </c>
      <c r="R181" s="823"/>
      <c r="S181" s="300"/>
      <c r="T181" s="300"/>
      <c r="U181" s="300"/>
      <c r="V181" s="199">
        <f t="shared" ref="V181" ca="1" si="260">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2"/>
        <v>INDTWH</v>
      </c>
      <c r="J182" s="224">
        <f t="shared" si="145"/>
        <v>2050</v>
      </c>
      <c r="K182" s="825"/>
      <c r="L182" s="199">
        <f t="shared" ca="1" si="252"/>
        <v>0.91</v>
      </c>
      <c r="M182" s="826"/>
      <c r="N182" s="825"/>
      <c r="O182" s="723">
        <f t="shared" ca="1" si="253"/>
        <v>3.7250000000000001</v>
      </c>
      <c r="P182" s="723">
        <f t="shared" ca="1" si="254"/>
        <v>0.22797000000000001</v>
      </c>
      <c r="Q182" s="81">
        <f t="shared" ca="1" si="255"/>
        <v>4.0064444444444449</v>
      </c>
      <c r="R182" s="722"/>
      <c r="S182" s="703"/>
      <c r="T182" s="703"/>
      <c r="U182" s="703"/>
      <c r="V182" s="199">
        <f t="shared" ref="V182" ca="1" si="261">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INDTDSHSOLN1</v>
      </c>
      <c r="E183" s="261" t="str">
        <f>"Industrial heating technology "&amp;$AJ$12&amp;" "&amp;RIGHT(H183,2)&amp;" - Solar - new 1"</f>
        <v>Industrial heating technology Transport SH - Solar - new 1</v>
      </c>
      <c r="F183" s="224" t="s">
        <v>1149</v>
      </c>
      <c r="G183" s="55" t="s">
        <v>500</v>
      </c>
      <c r="H183" s="174" t="str">
        <f>$AI$15</f>
        <v>ITDSH</v>
      </c>
      <c r="I183" s="174"/>
      <c r="J183" s="224">
        <f t="shared" si="145"/>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5"/>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5"/>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5"/>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2">"IND"&amp;RIGHT(H187,4)&amp;RIGHT(G187,3)&amp;"N"&amp;RIGHT(E187,1)</f>
        <v>INDTDSHHCEN1</v>
      </c>
      <c r="E187" s="224" t="str">
        <f>"Industrial heating technology "&amp;$AJ$12&amp;" "&amp;RIGHT(H187,2)&amp;" - central district heating - within DH area - new 1"</f>
        <v>Industrial heating technology Transport SH - central district heating - within DH area - new 1</v>
      </c>
      <c r="F187" s="224" t="s">
        <v>1149</v>
      </c>
      <c r="G187" s="225" t="s">
        <v>501</v>
      </c>
      <c r="H187" s="225" t="str">
        <f>AI15</f>
        <v>ITDSH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2"/>
        <v>INDTDPHHCEN1</v>
      </c>
      <c r="E188" s="224" t="str">
        <f>"Industrial heating technology "&amp;$AJ$12&amp;" "&amp;RIGHT(H188,2)&amp;" - central district heating - within DH area - new 1"</f>
        <v>Industrial heating technology Transport PH - central district heating - within DH area - new 1</v>
      </c>
      <c r="F188" s="224" t="s">
        <v>1149</v>
      </c>
      <c r="G188" s="225" t="s">
        <v>501</v>
      </c>
      <c r="H188" s="281" t="str">
        <f>AI14</f>
        <v>ITDPH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2"/>
        <v>INDTDSHHSEN1</v>
      </c>
      <c r="E189" s="224" t="str">
        <f>"Industrial heating technology "&amp;$AJ$12&amp;" "&amp;RIGHT(H189,2)&amp;" - central district heating - within DH area - new 1"</f>
        <v>Industrial heating technology Transport SH - central district heating - within DH area - new 1</v>
      </c>
      <c r="F189" s="224" t="s">
        <v>1149</v>
      </c>
      <c r="G189" s="225" t="s">
        <v>2125</v>
      </c>
      <c r="H189" s="225" t="str">
        <f>H187</f>
        <v>ITDSH</v>
      </c>
      <c r="I189" s="225"/>
      <c r="J189" s="81">
        <f t="shared" ref="J189:L190" si="263">J187</f>
        <v>2011</v>
      </c>
      <c r="K189" s="81">
        <f t="shared" si="263"/>
        <v>2025</v>
      </c>
      <c r="L189" s="81">
        <f t="shared" si="263"/>
        <v>0.96</v>
      </c>
      <c r="M189" s="81"/>
      <c r="N189" s="81">
        <f t="shared" ref="N189:S190" si="264">N187</f>
        <v>30</v>
      </c>
      <c r="O189" s="81">
        <f t="shared" si="264"/>
        <v>1.17</v>
      </c>
      <c r="P189" s="81">
        <f t="shared" si="264"/>
        <v>5.8735799999999998E-2</v>
      </c>
      <c r="Q189" s="81">
        <f t="shared" ca="1" si="264"/>
        <v>1.9463124999999999</v>
      </c>
      <c r="R189" s="81">
        <f t="shared" si="264"/>
        <v>3.1536000000000002E-2</v>
      </c>
      <c r="S189" s="81">
        <f t="shared" si="264"/>
        <v>0.5</v>
      </c>
      <c r="T189" s="228"/>
      <c r="U189" s="228"/>
      <c r="V189" s="228"/>
      <c r="W189" s="287"/>
      <c r="X189" s="278"/>
      <c r="Y189" s="61"/>
      <c r="Z189" s="61"/>
      <c r="AA189" s="61"/>
      <c r="AB189" s="61"/>
    </row>
    <row r="190" spans="1:32">
      <c r="A190" s="169"/>
      <c r="D190" s="212" t="str">
        <f t="shared" si="262"/>
        <v>INDTDPHHSEN1</v>
      </c>
      <c r="E190" s="224" t="str">
        <f>"Industrial heating technology "&amp;$AJ$12&amp;" "&amp;RIGHT(H190,2)&amp;" - central district heating - within DH area - new 1"</f>
        <v>Industrial heating technology Transport PH - central district heating - within DH area - new 1</v>
      </c>
      <c r="F190" s="224" t="s">
        <v>1149</v>
      </c>
      <c r="G190" s="225" t="s">
        <v>2125</v>
      </c>
      <c r="H190" s="225" t="str">
        <f>H188</f>
        <v>ITDPH</v>
      </c>
      <c r="I190" s="281"/>
      <c r="J190" s="81">
        <f t="shared" si="263"/>
        <v>2011</v>
      </c>
      <c r="K190" s="81">
        <f t="shared" si="263"/>
        <v>2025</v>
      </c>
      <c r="L190" s="81">
        <f t="shared" si="263"/>
        <v>0.96</v>
      </c>
      <c r="M190" s="81"/>
      <c r="N190" s="81">
        <f t="shared" si="264"/>
        <v>30</v>
      </c>
      <c r="O190" s="81">
        <f t="shared" si="264"/>
        <v>1.17</v>
      </c>
      <c r="P190" s="81">
        <f t="shared" si="264"/>
        <v>5.8735799999999998E-2</v>
      </c>
      <c r="Q190" s="81">
        <f t="shared" ca="1" si="264"/>
        <v>6.4090694444444436</v>
      </c>
      <c r="R190" s="81">
        <f t="shared" si="264"/>
        <v>3.1536000000000002E-2</v>
      </c>
      <c r="S190" s="81">
        <f t="shared" si="264"/>
        <v>0.5</v>
      </c>
      <c r="T190" s="81">
        <f>T188</f>
        <v>0.05</v>
      </c>
      <c r="U190" s="228"/>
      <c r="V190" s="228"/>
      <c r="W190" s="287"/>
      <c r="X190" s="278"/>
      <c r="Y190" s="61"/>
      <c r="Z190" s="61"/>
      <c r="AA190" s="61"/>
      <c r="AB190" s="61"/>
      <c r="AC190" s="226"/>
      <c r="AD190" s="226"/>
      <c r="AE190" s="226"/>
      <c r="AF190" s="226"/>
    </row>
    <row r="191" spans="1:32">
      <c r="A191" s="169"/>
      <c r="D191" s="212" t="str">
        <f t="shared" si="262"/>
        <v>INDTDSHHDEN1</v>
      </c>
      <c r="E191" s="224" t="str">
        <f>"Industrial heating technology "&amp;$AJ$12&amp;" "&amp;RIGHT(H191,2)&amp;" - decentral district heating - within DH area - new 1"</f>
        <v>Industrial heating technology Transport SH - decentral district heating - within DH area - new 1</v>
      </c>
      <c r="F191" s="224" t="s">
        <v>1149</v>
      </c>
      <c r="G191" s="259" t="s">
        <v>502</v>
      </c>
      <c r="H191" s="265" t="str">
        <f>AI15</f>
        <v>ITDSH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2"/>
        <v>INDTDPHHDEN1</v>
      </c>
      <c r="E192" s="224" t="str">
        <f>"Industrial heating technology "&amp;$AJ$12&amp;" "&amp;RIGHT(H192,2)&amp;" - decentral district heating - within DH area - new 1"</f>
        <v>Industrial heating technology Transport PH - decentral district heating - within DH area - new 1</v>
      </c>
      <c r="F192" s="224" t="s">
        <v>1149</v>
      </c>
      <c r="G192" s="259" t="s">
        <v>502</v>
      </c>
      <c r="H192" s="225" t="str">
        <f>AI14</f>
        <v>ITDPH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INDTDLAELCN1</v>
      </c>
      <c r="E194" s="224" t="str">
        <f>"Industry "&amp;$AJ$12&amp;" "&amp;RIGHT(H194,2)&amp;" Electricity Light Appliance - New 1"</f>
        <v>Industry Transport LA Electricity Light Appliance - New 1</v>
      </c>
      <c r="F194" s="224" t="s">
        <v>1149</v>
      </c>
      <c r="G194" s="225" t="s">
        <v>499</v>
      </c>
      <c r="H194" s="225" t="str">
        <f>AI16</f>
        <v>ITDLA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INDTDEMELCN1</v>
      </c>
      <c r="E198" s="224" t="str">
        <f>"Industry "&amp;$AJ$12&amp;" "&amp;RIGHT(H198,2)&amp;" Electricity Motors - New 1"</f>
        <v>Industry Transport EM Electricity Motors - New 1</v>
      </c>
      <c r="F198" s="224" t="s">
        <v>1149</v>
      </c>
      <c r="G198" s="225" t="s">
        <v>499</v>
      </c>
      <c r="H198" s="225" t="str">
        <f>AI17</f>
        <v>ITDEM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INDTDTFDSLN1</v>
      </c>
      <c r="E202" s="224" t="str">
        <f>"Industry "&amp;$AJ$12&amp;" "&amp;RIGHT(H202,2)&amp;" Tractors, Trucks, Fishing boats - New 1"</f>
        <v>Industry Transport TF Tractors, Trucks, Fishing boats - New 1</v>
      </c>
      <c r="F202" s="224" t="s">
        <v>1149</v>
      </c>
      <c r="G202" s="173" t="s">
        <v>2081</v>
      </c>
      <c r="H202" s="174" t="str">
        <f>$AI$18</f>
        <v>ITDTF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INDTDTFH2GN2</v>
      </c>
      <c r="E206" s="224" t="str">
        <f>"Industry "&amp;$AJ$12&amp;" "&amp;RIGHT(H206,2)&amp;" Tractors, Trucks, Fishing boats - New 2"</f>
        <v>Industry Transport TF Tractors, Trucks, Fishing boats - New 2</v>
      </c>
      <c r="F206" s="224" t="s">
        <v>1149</v>
      </c>
      <c r="G206" s="55" t="s">
        <v>2077</v>
      </c>
      <c r="H206" s="174" t="str">
        <f>$AI$18</f>
        <v>ITDTF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INDTDTFELCN3</v>
      </c>
      <c r="E210" s="224" t="str">
        <f>"Industry "&amp;$AJ$12&amp;" "&amp;RIGHT(H210,2)&amp;" Tractors, Trucks, Fishing boats - New 3"</f>
        <v>Industry Transport TF Tractors, Trucks, Fishing boats - New 3</v>
      </c>
      <c r="F210" s="224" t="s">
        <v>1149</v>
      </c>
      <c r="G210" s="55" t="s">
        <v>499</v>
      </c>
      <c r="H210" s="174" t="str">
        <f>$AI$18</f>
        <v>ITDTF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INDTDFLSYNN1</v>
      </c>
      <c r="E214" s="224" t="str">
        <f>"Industry "&amp;$AJ$12&amp;" "&amp;RIGHT(H202,2)&amp;" Forklifts - New 1"</f>
        <v>Industry Transport TF Forklifts - New 1</v>
      </c>
      <c r="F214" s="224" t="s">
        <v>1149</v>
      </c>
      <c r="G214" s="173" t="s">
        <v>2082</v>
      </c>
      <c r="H214" s="224" t="str">
        <f>AI19</f>
        <v>ITDFL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INDTDCOELCN1</v>
      </c>
      <c r="E218" s="224" t="str">
        <f>"Industry "&amp;$AJ$12&amp;" "&amp;RIGHT(H218,2)&amp;" Cooling - New 1"</f>
        <v>Industry Transport CO Cooling - New 1</v>
      </c>
      <c r="F218" s="224" t="s">
        <v>1149</v>
      </c>
      <c r="G218" s="173" t="s">
        <v>499</v>
      </c>
      <c r="H218" s="224" t="str">
        <f>AI21</f>
        <v>ITDCO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INDTDPHELCN1</v>
      </c>
      <c r="E229" s="212" t="str">
        <f t="shared" ref="E229:E260" si="265">VLOOKUP(D229,$D$9:$E$222,2,FALSE)</f>
        <v>Industrial heating technology Transport PH - Heat pump utilizing waste heat - new 1</v>
      </c>
      <c r="F229" s="211" t="s">
        <v>450</v>
      </c>
      <c r="G229" s="211" t="s">
        <v>449</v>
      </c>
      <c r="H229" s="263" t="s">
        <v>620</v>
      </c>
      <c r="I229" s="301"/>
      <c r="J229" s="208" t="s">
        <v>469</v>
      </c>
    </row>
    <row r="230" spans="1:10">
      <c r="A230" s="169"/>
      <c r="B230" s="301"/>
      <c r="C230" s="301"/>
      <c r="D230" s="212" t="str">
        <f t="shared" ref="D230:D238" ca="1" si="266">OFFSET($D$9,(ROW(D1)*6),0)</f>
        <v>INDTDSHELCN1</v>
      </c>
      <c r="E230" s="212" t="str">
        <f t="shared" ca="1" si="265"/>
        <v>Industrial heating technology Transport SH - Heat pump utilizing waste heat - new 1</v>
      </c>
      <c r="F230" s="262" t="s">
        <v>450</v>
      </c>
      <c r="G230" s="262" t="s">
        <v>449</v>
      </c>
      <c r="H230" s="263" t="s">
        <v>620</v>
      </c>
      <c r="I230" s="301"/>
      <c r="J230" s="264" t="s">
        <v>469</v>
      </c>
    </row>
    <row r="231" spans="1:10">
      <c r="A231" s="169"/>
      <c r="D231" s="212" t="str">
        <f t="shared" ca="1" si="266"/>
        <v>INDTDPHELCN2</v>
      </c>
      <c r="E231" s="212" t="str">
        <f t="shared" ca="1" si="265"/>
        <v>Industrial heating technology Transport PH - Heat driven heat pump utilizing waste heat - new 2</v>
      </c>
      <c r="F231" s="211" t="s">
        <v>450</v>
      </c>
      <c r="G231" s="211" t="s">
        <v>449</v>
      </c>
      <c r="H231" s="263" t="s">
        <v>620</v>
      </c>
      <c r="I231" s="208"/>
      <c r="J231" s="264" t="s">
        <v>469</v>
      </c>
    </row>
    <row r="232" spans="1:10">
      <c r="A232" s="169"/>
      <c r="B232" s="211"/>
      <c r="C232" s="211"/>
      <c r="D232" s="212" t="str">
        <f t="shared" ca="1" si="266"/>
        <v>INDTDSHELCN2</v>
      </c>
      <c r="E232" s="212" t="str">
        <f t="shared" ca="1" si="265"/>
        <v>Industrial heating technology Transport SH - Heat driven heat pump utilizing waste heat - new 2</v>
      </c>
      <c r="F232" s="262" t="s">
        <v>450</v>
      </c>
      <c r="G232" s="262" t="s">
        <v>449</v>
      </c>
      <c r="H232" s="263" t="s">
        <v>620</v>
      </c>
      <c r="I232" s="264"/>
      <c r="J232" s="264" t="s">
        <v>469</v>
      </c>
    </row>
    <row r="233" spans="1:10">
      <c r="A233" s="169"/>
      <c r="B233" s="211"/>
      <c r="C233" s="211"/>
      <c r="D233" s="212" t="str">
        <f t="shared" ca="1" si="266"/>
        <v>INDTDPHELCN3</v>
      </c>
      <c r="E233" s="212" t="str">
        <f t="shared" ca="1" si="265"/>
        <v>Industrial heating technology Transport PH - High Temp abs. Heat pump utilizing waste heat - new 3</v>
      </c>
      <c r="F233" s="262" t="s">
        <v>450</v>
      </c>
      <c r="G233" s="262" t="s">
        <v>449</v>
      </c>
      <c r="H233" s="263" t="s">
        <v>620</v>
      </c>
      <c r="I233" s="264"/>
      <c r="J233" s="264" t="s">
        <v>469</v>
      </c>
    </row>
    <row r="234" spans="1:10">
      <c r="A234" s="169"/>
      <c r="B234" s="211"/>
      <c r="C234" s="211"/>
      <c r="D234" s="212" t="str">
        <f t="shared" ca="1" si="266"/>
        <v>INDTDSHELCN3</v>
      </c>
      <c r="E234" s="212" t="str">
        <f t="shared" ca="1" si="265"/>
        <v>Industrial heating technology Transport SH - High Temp abs. Heat pump utilizing waste heat - new 3</v>
      </c>
      <c r="F234" s="262" t="s">
        <v>450</v>
      </c>
      <c r="G234" s="262" t="s">
        <v>449</v>
      </c>
      <c r="H234" s="263" t="s">
        <v>620</v>
      </c>
      <c r="I234" s="264"/>
      <c r="J234" s="264" t="s">
        <v>469</v>
      </c>
    </row>
    <row r="235" spans="1:10">
      <c r="A235" s="169"/>
      <c r="B235" s="211"/>
      <c r="C235" s="211"/>
      <c r="D235" s="212" t="str">
        <f t="shared" ca="1" si="266"/>
        <v>INDTDPHELCN4</v>
      </c>
      <c r="E235" s="212" t="str">
        <f t="shared" ca="1" si="265"/>
        <v>Industrial heating technology Transport PH - Booster Heat pump utilizing waste heat - new 4</v>
      </c>
      <c r="F235" s="262" t="s">
        <v>450</v>
      </c>
      <c r="G235" s="262" t="s">
        <v>449</v>
      </c>
      <c r="H235" s="263" t="s">
        <v>620</v>
      </c>
      <c r="I235" s="264"/>
      <c r="J235" s="264" t="s">
        <v>469</v>
      </c>
    </row>
    <row r="236" spans="1:10">
      <c r="A236" s="169"/>
      <c r="B236" s="211"/>
      <c r="C236" s="211"/>
      <c r="D236" s="212" t="str">
        <f t="shared" ca="1" si="266"/>
        <v>INDTDSHELCN4</v>
      </c>
      <c r="E236" s="212" t="str">
        <f t="shared" ca="1" si="265"/>
        <v>Industrial heating technology Transport SH - Booster Heat pump utilizing waste heat - new 4</v>
      </c>
      <c r="F236" s="262" t="s">
        <v>450</v>
      </c>
      <c r="G236" s="262" t="s">
        <v>449</v>
      </c>
      <c r="H236" s="263" t="s">
        <v>620</v>
      </c>
      <c r="I236" s="264"/>
      <c r="J236" s="264" t="s">
        <v>469</v>
      </c>
    </row>
    <row r="237" spans="1:10">
      <c r="A237" s="169"/>
      <c r="B237" s="211"/>
      <c r="C237" s="211"/>
      <c r="D237" s="212" t="str">
        <f t="shared" ca="1" si="266"/>
        <v>INDTDPHELCN5</v>
      </c>
      <c r="E237" s="212" t="str">
        <f t="shared" ca="1" si="265"/>
        <v>Industrial heating technology Transport PH - MVR utilizing waste heat - new 5</v>
      </c>
      <c r="F237" s="262" t="s">
        <v>450</v>
      </c>
      <c r="G237" s="262" t="s">
        <v>449</v>
      </c>
      <c r="H237" s="263"/>
      <c r="I237" s="264"/>
      <c r="J237" s="264" t="s">
        <v>469</v>
      </c>
    </row>
    <row r="238" spans="1:10">
      <c r="A238" s="169"/>
      <c r="B238" s="211"/>
      <c r="C238" s="211"/>
      <c r="D238" s="212" t="str">
        <f t="shared" ca="1" si="266"/>
        <v>INDTDPHWSTN1</v>
      </c>
      <c r="E238" s="212" t="str">
        <f t="shared" ca="1" si="265"/>
        <v>Industrial heating technology Transport PH - Hotdisc - new 1</v>
      </c>
      <c r="F238" s="262" t="s">
        <v>450</v>
      </c>
      <c r="G238" s="262" t="s">
        <v>449</v>
      </c>
      <c r="H238" s="263" t="s">
        <v>620</v>
      </c>
      <c r="I238" s="264"/>
      <c r="J238" s="264" t="s">
        <v>469</v>
      </c>
    </row>
    <row r="239" spans="1:10">
      <c r="A239" s="169"/>
      <c r="B239" s="211"/>
      <c r="C239" s="211"/>
      <c r="D239" s="212" t="str">
        <f t="shared" ref="D239:D278" ca="1" si="267">OFFSET($D$9,(ROW(D19)*3),0)</f>
        <v>INDTDPHELCN6</v>
      </c>
      <c r="E239" s="212" t="str">
        <f t="shared" ca="1" si="265"/>
        <v>Industrial heating technology Transport PH - Dielectric heating - new 6</v>
      </c>
      <c r="F239" s="262" t="s">
        <v>450</v>
      </c>
      <c r="G239" s="262" t="s">
        <v>449</v>
      </c>
      <c r="H239" s="263" t="s">
        <v>620</v>
      </c>
      <c r="I239" s="264"/>
      <c r="J239" s="264" t="s">
        <v>469</v>
      </c>
    </row>
    <row r="240" spans="1:10">
      <c r="A240" s="169"/>
      <c r="B240" s="211"/>
      <c r="C240" s="211"/>
      <c r="D240" s="212" t="str">
        <f t="shared" ca="1" si="267"/>
        <v>INDTDPHELCN7</v>
      </c>
      <c r="E240" s="212" t="str">
        <f t="shared" ca="1" si="265"/>
        <v>Industrial heating technology Transport PH - Infrared heating - new 7</v>
      </c>
      <c r="F240" s="262" t="s">
        <v>450</v>
      </c>
      <c r="G240" s="262" t="s">
        <v>449</v>
      </c>
      <c r="H240" s="263" t="s">
        <v>620</v>
      </c>
      <c r="I240" s="264"/>
      <c r="J240" s="264" t="s">
        <v>469</v>
      </c>
    </row>
    <row r="241" spans="1:16">
      <c r="A241" s="169"/>
      <c r="B241" s="211"/>
      <c r="C241" s="211"/>
      <c r="D241" s="212" t="str">
        <f t="shared" ca="1" si="267"/>
        <v>INDTDPHELCN8</v>
      </c>
      <c r="E241" s="212" t="str">
        <f t="shared" ca="1" si="265"/>
        <v>Industrial heating technology Transport PH - Electric boiler (Steam) - new 8</v>
      </c>
      <c r="F241" s="262" t="s">
        <v>450</v>
      </c>
      <c r="G241" s="262" t="s">
        <v>449</v>
      </c>
      <c r="H241" s="263" t="s">
        <v>620</v>
      </c>
      <c r="I241" s="264"/>
      <c r="J241" s="264" t="s">
        <v>469</v>
      </c>
    </row>
    <row r="242" spans="1:16">
      <c r="A242" s="169"/>
      <c r="B242" s="211"/>
      <c r="C242" s="211"/>
      <c r="D242" s="212" t="str">
        <f t="shared" ca="1" si="267"/>
        <v>INDTDPHELCN8</v>
      </c>
      <c r="E242" s="212" t="str">
        <f t="shared" ca="1" si="265"/>
        <v>Industrial heating technology Transport PH - Electric boiler (Steam) - new 8</v>
      </c>
      <c r="F242" s="262" t="s">
        <v>450</v>
      </c>
      <c r="G242" s="262" t="s">
        <v>449</v>
      </c>
      <c r="H242" s="263" t="s">
        <v>620</v>
      </c>
      <c r="I242" s="264"/>
      <c r="J242" s="264" t="s">
        <v>469</v>
      </c>
    </row>
    <row r="243" spans="1:16">
      <c r="A243" s="169"/>
      <c r="B243" s="211"/>
      <c r="C243" s="211"/>
      <c r="D243" s="212" t="str">
        <f t="shared" ca="1" si="267"/>
        <v>INDTDSHELCN8</v>
      </c>
      <c r="E243" s="212" t="str">
        <f t="shared" ca="1" si="265"/>
        <v>Industrial heating technology Transport SH - Electric boiler (Steam) - new 8</v>
      </c>
      <c r="F243" s="262" t="s">
        <v>450</v>
      </c>
      <c r="G243" s="262" t="s">
        <v>449</v>
      </c>
      <c r="H243" s="263" t="s">
        <v>620</v>
      </c>
      <c r="I243" s="264"/>
      <c r="J243" s="264" t="s">
        <v>469</v>
      </c>
      <c r="P243" s="173"/>
    </row>
    <row r="244" spans="1:16">
      <c r="A244" s="169"/>
      <c r="B244" s="211"/>
      <c r="C244" s="211"/>
      <c r="D244" s="212" t="str">
        <f t="shared" ca="1" si="267"/>
        <v>INDTDPHELCN9</v>
      </c>
      <c r="E244" s="212" t="str">
        <f t="shared" ca="1" si="265"/>
        <v>Industrial heating technology Transport PH - Electric boiler (Hot Water) - new 9</v>
      </c>
      <c r="F244" s="262" t="s">
        <v>450</v>
      </c>
      <c r="G244" s="262" t="s">
        <v>449</v>
      </c>
      <c r="H244" s="263" t="s">
        <v>620</v>
      </c>
      <c r="I244" s="264"/>
      <c r="J244" s="264" t="s">
        <v>469</v>
      </c>
      <c r="P244" s="173"/>
    </row>
    <row r="245" spans="1:16">
      <c r="A245" s="169"/>
      <c r="B245" s="211"/>
      <c r="C245" s="211"/>
      <c r="D245" s="212" t="str">
        <f t="shared" ca="1" si="267"/>
        <v>INDTDSHELCN9</v>
      </c>
      <c r="E245" s="212" t="str">
        <f t="shared" ca="1" si="265"/>
        <v>Industrial heating technology Transport SH - Electric boiler (Hot Water) - new 9</v>
      </c>
      <c r="F245" s="262" t="s">
        <v>450</v>
      </c>
      <c r="G245" s="262" t="s">
        <v>449</v>
      </c>
      <c r="H245" s="263" t="s">
        <v>620</v>
      </c>
      <c r="I245" s="264"/>
      <c r="J245" s="264" t="s">
        <v>469</v>
      </c>
      <c r="P245" s="173"/>
    </row>
    <row r="246" spans="1:16">
      <c r="A246" s="169"/>
      <c r="B246" s="211"/>
      <c r="C246" s="211"/>
      <c r="D246" s="212" t="str">
        <f t="shared" ca="1" si="267"/>
        <v>INDTDPHWCHN1</v>
      </c>
      <c r="E246" s="212" t="str">
        <f t="shared" ca="1" si="265"/>
        <v>Industrial heating technology Transport PH - Wood chip boiler (Steam) - new 1</v>
      </c>
      <c r="F246" s="262" t="s">
        <v>450</v>
      </c>
      <c r="G246" s="262" t="s">
        <v>449</v>
      </c>
      <c r="H246" s="263"/>
      <c r="I246" s="264"/>
      <c r="J246" s="264" t="s">
        <v>469</v>
      </c>
      <c r="P246" s="173"/>
    </row>
    <row r="247" spans="1:16">
      <c r="A247" s="169"/>
      <c r="B247" s="211"/>
      <c r="C247" s="211"/>
      <c r="D247" s="212" t="str">
        <f t="shared" ca="1" si="267"/>
        <v>INDTDPHWCHN1</v>
      </c>
      <c r="E247" s="212" t="str">
        <f t="shared" ca="1" si="265"/>
        <v>Industrial heating technology Transport PH - Wood chip boiler (Steam) - new 1</v>
      </c>
      <c r="F247" s="262" t="s">
        <v>450</v>
      </c>
      <c r="G247" s="262" t="s">
        <v>449</v>
      </c>
      <c r="H247" s="263"/>
      <c r="I247" s="264"/>
      <c r="J247" s="264" t="s">
        <v>469</v>
      </c>
      <c r="M247" s="171"/>
      <c r="N247" s="171"/>
      <c r="P247" s="173"/>
    </row>
    <row r="248" spans="1:16">
      <c r="A248" s="169"/>
      <c r="B248" s="211"/>
      <c r="C248" s="211"/>
      <c r="D248" s="212" t="str">
        <f t="shared" ca="1" si="267"/>
        <v>INDTDSHWCHN1</v>
      </c>
      <c r="E248" s="212" t="str">
        <f t="shared" ca="1" si="265"/>
        <v>Industrial heating technology Transport SH - Wood chip boiler (Steam) - new 1</v>
      </c>
      <c r="F248" s="262" t="s">
        <v>450</v>
      </c>
      <c r="G248" s="262" t="s">
        <v>449</v>
      </c>
      <c r="H248" s="263"/>
      <c r="I248" s="264"/>
      <c r="J248" s="264" t="s">
        <v>469</v>
      </c>
      <c r="M248" s="171"/>
      <c r="N248" s="171"/>
      <c r="P248" s="173"/>
    </row>
    <row r="249" spans="1:16">
      <c r="A249" s="169"/>
      <c r="B249" s="211"/>
      <c r="C249" s="211"/>
      <c r="D249" s="212" t="str">
        <f t="shared" ca="1" si="267"/>
        <v>INDTDPHWCHN2</v>
      </c>
      <c r="E249" s="212" t="str">
        <f t="shared" ca="1" si="265"/>
        <v>Industrial heating technology Transport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7"/>
        <v>INDTDSHWCHN2</v>
      </c>
      <c r="E250" s="212" t="str">
        <f t="shared" ca="1" si="265"/>
        <v>Industrial heating technology Transport SH - Wood chip boiler (Steam - condensing) - new 2</v>
      </c>
      <c r="F250" s="262" t="s">
        <v>450</v>
      </c>
      <c r="G250" s="262" t="s">
        <v>449</v>
      </c>
      <c r="H250" s="263"/>
      <c r="I250" s="264"/>
      <c r="J250" s="264" t="s">
        <v>469</v>
      </c>
    </row>
    <row r="251" spans="1:16">
      <c r="A251" s="169"/>
      <c r="B251" s="212"/>
      <c r="C251" s="212"/>
      <c r="D251" s="212" t="str">
        <f t="shared" ca="1" si="267"/>
        <v>INDTDPHWCHN3</v>
      </c>
      <c r="E251" s="212" t="str">
        <f t="shared" ca="1" si="265"/>
        <v>Industrial heating technology Transport PH - Wood chip boiler (Hot Water) - new 3</v>
      </c>
      <c r="F251" s="262" t="s">
        <v>450</v>
      </c>
      <c r="G251" s="262" t="s">
        <v>449</v>
      </c>
      <c r="H251" s="261"/>
      <c r="I251" s="261"/>
      <c r="J251" s="264" t="s">
        <v>469</v>
      </c>
    </row>
    <row r="252" spans="1:16">
      <c r="A252" s="169"/>
      <c r="B252" s="212"/>
      <c r="C252" s="212"/>
      <c r="D252" s="212" t="str">
        <f t="shared" ca="1" si="267"/>
        <v>INDTDSHWCHN3</v>
      </c>
      <c r="E252" s="212" t="str">
        <f t="shared" ca="1" si="265"/>
        <v>Industrial heating technology Transport SH - Wood chip boiler (Hot Water) - new 3</v>
      </c>
      <c r="F252" s="262" t="s">
        <v>450</v>
      </c>
      <c r="G252" s="262" t="s">
        <v>449</v>
      </c>
      <c r="H252" s="261"/>
      <c r="I252" s="261"/>
      <c r="J252" s="264" t="s">
        <v>469</v>
      </c>
    </row>
    <row r="253" spans="1:16">
      <c r="A253" s="169"/>
      <c r="B253" s="212"/>
      <c r="C253" s="212"/>
      <c r="D253" s="212" t="str">
        <f t="shared" ca="1" si="267"/>
        <v>INDTDPHWCHN4</v>
      </c>
      <c r="E253" s="212" t="str">
        <f t="shared" ca="1" si="265"/>
        <v>Industrial heating technology Transport PH - Wood chip boiler (Hot Water - condensing) - new 4</v>
      </c>
      <c r="F253" s="262" t="s">
        <v>450</v>
      </c>
      <c r="G253" s="262" t="s">
        <v>449</v>
      </c>
      <c r="H253" s="261"/>
      <c r="I253" s="261"/>
      <c r="J253" s="264" t="s">
        <v>469</v>
      </c>
    </row>
    <row r="254" spans="1:16">
      <c r="A254" s="169"/>
      <c r="B254" s="212"/>
      <c r="C254" s="212"/>
      <c r="D254" s="212" t="str">
        <f t="shared" ca="1" si="267"/>
        <v>INDTDSHWCHN4</v>
      </c>
      <c r="E254" s="212" t="str">
        <f t="shared" ca="1" si="265"/>
        <v>Industrial heating technology Transport SH - Wood chip boiler (Hot Water- condensing) - new 4</v>
      </c>
      <c r="F254" s="262" t="s">
        <v>450</v>
      </c>
      <c r="G254" s="262" t="s">
        <v>449</v>
      </c>
      <c r="H254" s="261"/>
      <c r="I254" s="261"/>
      <c r="J254" s="264" t="s">
        <v>469</v>
      </c>
    </row>
    <row r="255" spans="1:16">
      <c r="B255" s="212"/>
      <c r="C255" s="212"/>
      <c r="D255" s="212" t="str">
        <f t="shared" ca="1" si="267"/>
        <v>INDTDPHELCN10</v>
      </c>
      <c r="E255" s="212" t="str">
        <f t="shared" ca="1" si="265"/>
        <v>Industrial heating technology Transport PH - Direct electric heating - new 10</v>
      </c>
      <c r="F255" s="262" t="s">
        <v>450</v>
      </c>
      <c r="G255" s="262" t="s">
        <v>449</v>
      </c>
      <c r="H255" s="261"/>
      <c r="I255" s="261"/>
      <c r="J255" s="264" t="s">
        <v>469</v>
      </c>
    </row>
    <row r="256" spans="1:16">
      <c r="B256" s="212"/>
      <c r="C256" s="212"/>
      <c r="D256" s="212" t="str">
        <f t="shared" ca="1" si="267"/>
        <v>INDTDPHELCN10</v>
      </c>
      <c r="E256" s="212" t="str">
        <f t="shared" ca="1" si="265"/>
        <v>Industrial heating technology Transport PH - Direct electric heating - new 10</v>
      </c>
      <c r="F256" s="262" t="s">
        <v>450</v>
      </c>
      <c r="G256" s="262" t="s">
        <v>449</v>
      </c>
      <c r="H256" s="261"/>
      <c r="I256" s="261"/>
      <c r="J256" s="264" t="s">
        <v>469</v>
      </c>
    </row>
    <row r="257" spans="1:10">
      <c r="B257" s="212"/>
      <c r="C257" s="212"/>
      <c r="D257" s="212" t="str">
        <f t="shared" ca="1" si="267"/>
        <v>INDTDPHDSLN1</v>
      </c>
      <c r="E257" s="212" t="str">
        <f t="shared" ca="1" si="265"/>
        <v>Industrial heating technology Transport PH - Oil boiler (Steam) - new 1</v>
      </c>
      <c r="F257" s="262" t="s">
        <v>450</v>
      </c>
      <c r="G257" s="262" t="s">
        <v>449</v>
      </c>
      <c r="H257" s="261"/>
      <c r="I257" s="261"/>
      <c r="J257" s="264" t="s">
        <v>469</v>
      </c>
    </row>
    <row r="258" spans="1:10">
      <c r="B258" s="212"/>
      <c r="C258" s="212"/>
      <c r="D258" s="212" t="str">
        <f t="shared" ca="1" si="267"/>
        <v>INDTDPHDSLN1</v>
      </c>
      <c r="E258" s="212" t="str">
        <f t="shared" ca="1" si="265"/>
        <v>Industrial heating technology Transport PH - Oil boiler (Steam) - new 1</v>
      </c>
      <c r="F258" s="262" t="s">
        <v>450</v>
      </c>
      <c r="G258" s="262" t="s">
        <v>449</v>
      </c>
      <c r="H258" s="261"/>
      <c r="I258" s="261"/>
      <c r="J258" s="264" t="s">
        <v>469</v>
      </c>
    </row>
    <row r="259" spans="1:10">
      <c r="B259" s="212"/>
      <c r="C259" s="212"/>
      <c r="D259" s="212" t="str">
        <f t="shared" ca="1" si="267"/>
        <v>INDTDSHDSLN1</v>
      </c>
      <c r="E259" s="212" t="str">
        <f t="shared" ca="1" si="265"/>
        <v>Industrial heating technology Transport SH - Oil boiler (Steam) - new 1</v>
      </c>
      <c r="F259" s="262" t="s">
        <v>450</v>
      </c>
      <c r="G259" s="262" t="s">
        <v>449</v>
      </c>
      <c r="H259" s="261"/>
      <c r="I259" s="261"/>
      <c r="J259" s="264" t="s">
        <v>469</v>
      </c>
    </row>
    <row r="260" spans="1:10">
      <c r="A260" s="214"/>
      <c r="B260" s="212"/>
      <c r="C260" s="212"/>
      <c r="D260" s="212" t="str">
        <f t="shared" ca="1" si="267"/>
        <v>INDTDPHDSLN2</v>
      </c>
      <c r="E260" s="212" t="str">
        <f t="shared" ca="1" si="265"/>
        <v>Industrial heating technology Transport PH - Oil boiler (Steam - condensing) - new 2</v>
      </c>
      <c r="F260" s="262" t="s">
        <v>450</v>
      </c>
      <c r="G260" s="262" t="s">
        <v>449</v>
      </c>
      <c r="H260" s="261"/>
      <c r="I260" s="261"/>
      <c r="J260" s="264" t="s">
        <v>469</v>
      </c>
    </row>
    <row r="261" spans="1:10">
      <c r="A261" s="214"/>
      <c r="B261" s="212"/>
      <c r="C261" s="212"/>
      <c r="D261" s="212" t="str">
        <f t="shared" ca="1" si="267"/>
        <v>INDTDSHDSLN2</v>
      </c>
      <c r="E261" s="212" t="str">
        <f t="shared" ref="E261:E290" ca="1" si="268">VLOOKUP(D261,$D$9:$E$222,2,FALSE)</f>
        <v>Industrial heating technology Transport SH - Oil boiler (Steam - condensing) - new 2</v>
      </c>
      <c r="F261" s="262" t="s">
        <v>450</v>
      </c>
      <c r="G261" s="262" t="s">
        <v>449</v>
      </c>
      <c r="H261" s="261"/>
      <c r="I261" s="261"/>
      <c r="J261" s="264" t="s">
        <v>469</v>
      </c>
    </row>
    <row r="262" spans="1:10">
      <c r="A262" s="214"/>
      <c r="B262" s="212"/>
      <c r="C262" s="212"/>
      <c r="D262" s="212" t="str">
        <f t="shared" ca="1" si="267"/>
        <v>INDTDPHGASN1</v>
      </c>
      <c r="E262" s="212" t="str">
        <f t="shared" ca="1" si="268"/>
        <v>Industrial heating technology Transport PH - Gas boiler (Steam) - new 1</v>
      </c>
      <c r="F262" s="262" t="s">
        <v>450</v>
      </c>
      <c r="G262" s="262" t="s">
        <v>449</v>
      </c>
      <c r="H262" s="261"/>
      <c r="I262" s="261"/>
      <c r="J262" s="264" t="s">
        <v>469</v>
      </c>
    </row>
    <row r="263" spans="1:10">
      <c r="A263" s="214"/>
      <c r="B263" s="212"/>
      <c r="C263" s="212"/>
      <c r="D263" s="212" t="str">
        <f t="shared" ca="1" si="267"/>
        <v>INDTDPHGASN1</v>
      </c>
      <c r="E263" s="212" t="str">
        <f t="shared" ca="1" si="268"/>
        <v>Industrial heating technology Transport PH - Gas boiler (Steam) - new 1</v>
      </c>
      <c r="F263" s="262" t="s">
        <v>450</v>
      </c>
      <c r="G263" s="262" t="s">
        <v>449</v>
      </c>
      <c r="H263" s="261"/>
      <c r="I263" s="261"/>
      <c r="J263" s="264" t="s">
        <v>469</v>
      </c>
    </row>
    <row r="264" spans="1:10">
      <c r="B264" s="212"/>
      <c r="C264" s="212"/>
      <c r="D264" s="212" t="str">
        <f t="shared" ca="1" si="267"/>
        <v>INDTDSHGASN1</v>
      </c>
      <c r="E264" s="212" t="str">
        <f t="shared" ca="1" si="268"/>
        <v>Industrial heating technology Transport SH - Gas boiler (Steam) - new 1</v>
      </c>
      <c r="F264" s="262" t="s">
        <v>450</v>
      </c>
      <c r="G264" s="262" t="s">
        <v>449</v>
      </c>
      <c r="H264" s="261"/>
      <c r="I264" s="261"/>
      <c r="J264" s="264" t="s">
        <v>469</v>
      </c>
    </row>
    <row r="265" spans="1:10">
      <c r="B265" s="212"/>
      <c r="C265" s="212"/>
      <c r="D265" s="212" t="str">
        <f t="shared" ca="1" si="267"/>
        <v>INDTDPHGASN2</v>
      </c>
      <c r="E265" s="212" t="str">
        <f t="shared" ca="1" si="268"/>
        <v>Industrial heating technology Transport PH - Gas boiler (Steam - condensing) - new 2</v>
      </c>
      <c r="F265" s="262" t="s">
        <v>450</v>
      </c>
      <c r="G265" s="262" t="s">
        <v>449</v>
      </c>
      <c r="H265" s="261"/>
      <c r="I265" s="261"/>
      <c r="J265" s="264" t="s">
        <v>469</v>
      </c>
    </row>
    <row r="266" spans="1:10">
      <c r="B266" s="212"/>
      <c r="C266" s="212"/>
      <c r="D266" s="212" t="str">
        <f t="shared" ca="1" si="267"/>
        <v>INDTDSHGASN2</v>
      </c>
      <c r="E266" s="212" t="str">
        <f t="shared" ca="1" si="268"/>
        <v>Industrial heating technology Transport SH - Gas boiler (Steam - condensing) - new 2</v>
      </c>
      <c r="F266" s="262" t="s">
        <v>450</v>
      </c>
      <c r="G266" s="262" t="s">
        <v>449</v>
      </c>
      <c r="H266" s="261"/>
      <c r="I266" s="261"/>
      <c r="J266" s="264" t="s">
        <v>469</v>
      </c>
    </row>
    <row r="267" spans="1:10">
      <c r="B267" s="212"/>
      <c r="C267" s="212"/>
      <c r="D267" s="212" t="str">
        <f t="shared" ca="1" si="267"/>
        <v>INDTDPHGASN3</v>
      </c>
      <c r="E267" s="212" t="str">
        <f t="shared" ca="1" si="268"/>
        <v>Industrial heating technology Transport PH - Gas boiler (Hot Water) - new 3</v>
      </c>
      <c r="F267" s="262" t="s">
        <v>450</v>
      </c>
      <c r="G267" s="262" t="s">
        <v>449</v>
      </c>
      <c r="H267" s="261"/>
      <c r="I267" s="261"/>
      <c r="J267" s="264" t="s">
        <v>469</v>
      </c>
    </row>
    <row r="268" spans="1:10">
      <c r="B268" s="212"/>
      <c r="C268" s="212"/>
      <c r="D268" s="212" t="str">
        <f t="shared" ca="1" si="267"/>
        <v>INDTDSHGASN3</v>
      </c>
      <c r="E268" s="212" t="str">
        <f t="shared" ca="1" si="268"/>
        <v>Industrial heating technology Transport SH - Gas boiler (Hot Water) - new 3</v>
      </c>
      <c r="F268" s="262" t="s">
        <v>450</v>
      </c>
      <c r="G268" s="262" t="s">
        <v>449</v>
      </c>
      <c r="H268" s="261"/>
      <c r="I268" s="261"/>
      <c r="J268" s="264" t="s">
        <v>469</v>
      </c>
    </row>
    <row r="269" spans="1:10">
      <c r="B269" s="212"/>
      <c r="C269" s="212"/>
      <c r="D269" s="212" t="str">
        <f t="shared" ca="1" si="267"/>
        <v>INDTDPHGASN4</v>
      </c>
      <c r="E269" s="212" t="str">
        <f t="shared" ca="1" si="268"/>
        <v>Industrial heating technology Transport PH - Gas boiler (Hot Water - condensing) - new 4</v>
      </c>
      <c r="F269" s="262" t="s">
        <v>450</v>
      </c>
      <c r="G269" s="262" t="s">
        <v>449</v>
      </c>
      <c r="H269" s="261"/>
      <c r="I269" s="261"/>
      <c r="J269" s="264" t="s">
        <v>469</v>
      </c>
    </row>
    <row r="270" spans="1:10">
      <c r="B270" s="212"/>
      <c r="C270" s="212"/>
      <c r="D270" s="212" t="str">
        <f t="shared" ca="1" si="267"/>
        <v>INDTDSHGASN4</v>
      </c>
      <c r="E270" s="212" t="str">
        <f t="shared" ca="1" si="268"/>
        <v>Industrial heating technology Transport SH - Gas boiler (Hot Water- condensing) - new 4</v>
      </c>
      <c r="F270" s="262" t="s">
        <v>450</v>
      </c>
      <c r="G270" s="262" t="s">
        <v>449</v>
      </c>
      <c r="H270" s="261"/>
      <c r="I270" s="261"/>
      <c r="J270" s="264" t="s">
        <v>469</v>
      </c>
    </row>
    <row r="271" spans="1:10">
      <c r="B271" s="212"/>
      <c r="C271" s="212"/>
      <c r="D271" s="212" t="str">
        <f t="shared" ca="1" si="267"/>
        <v>INDTDPHGASN5</v>
      </c>
      <c r="E271" s="212" t="str">
        <f t="shared" ca="1" si="268"/>
        <v>Industrial heating technology Transport PH - Gas boiler (Direct firing) - new 5</v>
      </c>
      <c r="F271" s="262" t="s">
        <v>450</v>
      </c>
      <c r="G271" s="262" t="s">
        <v>449</v>
      </c>
      <c r="H271" s="261"/>
      <c r="I271" s="261"/>
      <c r="J271" s="264" t="s">
        <v>469</v>
      </c>
    </row>
    <row r="272" spans="1:10">
      <c r="B272" s="212"/>
      <c r="C272" s="212"/>
      <c r="D272" s="212" t="str">
        <f t="shared" ca="1" si="267"/>
        <v>INDTDPHGASN5</v>
      </c>
      <c r="E272" s="212" t="str">
        <f t="shared" ca="1" si="268"/>
        <v>Industrial heating technology Transport PH - Gas boiler (Direct firing) - new 5</v>
      </c>
      <c r="F272" s="262" t="s">
        <v>450</v>
      </c>
      <c r="G272" s="262" t="s">
        <v>449</v>
      </c>
      <c r="H272" s="261"/>
      <c r="I272" s="261"/>
      <c r="J272" s="264" t="s">
        <v>469</v>
      </c>
    </row>
    <row r="273" spans="2:10">
      <c r="B273" s="212"/>
      <c r="C273" s="212"/>
      <c r="D273" s="212" t="str">
        <f t="shared" ca="1" si="267"/>
        <v>INDTDPHCOAN1</v>
      </c>
      <c r="E273" s="212" t="str">
        <f t="shared" ca="1" si="268"/>
        <v>Industrial heating technology Transport PH - Coal boiler (Steam) - new 1</v>
      </c>
      <c r="F273" s="262" t="s">
        <v>450</v>
      </c>
      <c r="G273" s="262" t="s">
        <v>449</v>
      </c>
      <c r="H273" s="261"/>
      <c r="I273" s="261"/>
      <c r="J273" s="264" t="s">
        <v>469</v>
      </c>
    </row>
    <row r="274" spans="2:10">
      <c r="B274" s="212"/>
      <c r="C274" s="212"/>
      <c r="D274" s="212" t="str">
        <f t="shared" ca="1" si="267"/>
        <v>INDTDPHCOAN1</v>
      </c>
      <c r="E274" s="212" t="str">
        <f t="shared" ca="1" si="268"/>
        <v>Industrial heating technology Transport PH - Coal boiler (Steam) - new 1</v>
      </c>
      <c r="F274" s="262" t="s">
        <v>450</v>
      </c>
      <c r="G274" s="262" t="s">
        <v>449</v>
      </c>
      <c r="H274" s="261"/>
      <c r="I274" s="261"/>
      <c r="J274" s="264" t="s">
        <v>469</v>
      </c>
    </row>
    <row r="275" spans="2:10">
      <c r="B275" s="212"/>
      <c r="C275" s="212"/>
      <c r="D275" s="212" t="str">
        <f t="shared" ca="1" si="267"/>
        <v>INDTDSHCOAN1</v>
      </c>
      <c r="E275" s="212" t="str">
        <f t="shared" ca="1" si="268"/>
        <v>Industrial heating technology Transport SH - Coal boiler (Steam) - new 1</v>
      </c>
      <c r="F275" s="262" t="s">
        <v>450</v>
      </c>
      <c r="G275" s="262" t="s">
        <v>449</v>
      </c>
      <c r="H275" s="261"/>
      <c r="I275" s="261"/>
      <c r="J275" s="264" t="s">
        <v>469</v>
      </c>
    </row>
    <row r="276" spans="2:10">
      <c r="B276" s="212"/>
      <c r="C276" s="212"/>
      <c r="D276" s="212" t="str">
        <f t="shared" ca="1" si="267"/>
        <v>INDTDPHCOAN2</v>
      </c>
      <c r="E276" s="212" t="str">
        <f t="shared" ca="1" si="268"/>
        <v>Industrial heating technology Transport PH - Coal boiler (Hot Water) - new 2</v>
      </c>
      <c r="F276" s="262" t="s">
        <v>450</v>
      </c>
      <c r="G276" s="262" t="s">
        <v>449</v>
      </c>
      <c r="H276" s="261"/>
      <c r="I276" s="261"/>
      <c r="J276" s="264" t="s">
        <v>469</v>
      </c>
    </row>
    <row r="277" spans="2:10">
      <c r="B277" s="212"/>
      <c r="C277" s="212"/>
      <c r="D277" s="212" t="str">
        <f t="shared" ca="1" si="267"/>
        <v>INDTDSHCOAN2</v>
      </c>
      <c r="E277" s="212" t="str">
        <f t="shared" ca="1" si="268"/>
        <v>Industrial heating technology Transport SH - Coal boiler (Hot Water) - new 2</v>
      </c>
      <c r="F277" s="262" t="s">
        <v>450</v>
      </c>
      <c r="G277" s="262" t="s">
        <v>449</v>
      </c>
      <c r="H277" s="261"/>
      <c r="I277" s="261"/>
      <c r="J277" s="264" t="s">
        <v>469</v>
      </c>
    </row>
    <row r="278" spans="2:10">
      <c r="B278" s="212"/>
      <c r="C278" s="212"/>
      <c r="D278" s="212" t="str">
        <f t="shared" ca="1" si="267"/>
        <v>INDTDSHSOLN1</v>
      </c>
      <c r="E278" s="212" t="str">
        <f t="shared" ca="1" si="268"/>
        <v>Industrial heating technology Transport SH - Solar - new 1</v>
      </c>
      <c r="F278" s="262" t="s">
        <v>450</v>
      </c>
      <c r="G278" s="262" t="s">
        <v>449</v>
      </c>
      <c r="H278" s="263" t="s">
        <v>620</v>
      </c>
      <c r="I278" s="261"/>
      <c r="J278" s="264" t="s">
        <v>469</v>
      </c>
    </row>
    <row r="279" spans="2:10">
      <c r="B279" s="212"/>
      <c r="C279" s="212"/>
      <c r="D279" s="889" t="str">
        <f>D187</f>
        <v>INDTDSHHCEN1</v>
      </c>
      <c r="E279" s="889" t="str">
        <f t="shared" si="268"/>
        <v>Industrial heating technology Transport SH - central district heating - within DH area - new 1</v>
      </c>
      <c r="F279" s="262" t="s">
        <v>450</v>
      </c>
      <c r="G279" s="262" t="s">
        <v>449</v>
      </c>
      <c r="H279" s="890"/>
      <c r="I279" s="890"/>
      <c r="J279" s="263" t="s">
        <v>469</v>
      </c>
    </row>
    <row r="280" spans="2:10">
      <c r="B280" s="212"/>
      <c r="C280" s="212"/>
      <c r="D280" s="889" t="str">
        <f>D188</f>
        <v>INDTDPHHCEN1</v>
      </c>
      <c r="E280" s="889" t="str">
        <f t="shared" si="268"/>
        <v>Industrial heating technology Transport PH - central district heating - within DH area - new 1</v>
      </c>
      <c r="F280" s="262" t="s">
        <v>450</v>
      </c>
      <c r="G280" s="262" t="s">
        <v>449</v>
      </c>
      <c r="H280" s="890"/>
      <c r="I280" s="890"/>
      <c r="J280" s="263" t="s">
        <v>469</v>
      </c>
    </row>
    <row r="281" spans="2:10">
      <c r="B281" s="212"/>
      <c r="C281" s="212"/>
      <c r="D281" s="889" t="str">
        <f>D189</f>
        <v>INDTDSHHSEN1</v>
      </c>
      <c r="E281" s="889" t="str">
        <f t="shared" si="268"/>
        <v>Industrial heating technology Transport SH - central district heating - within DH area - new 1</v>
      </c>
      <c r="F281" s="262" t="s">
        <v>450</v>
      </c>
      <c r="G281" s="262" t="s">
        <v>449</v>
      </c>
      <c r="H281" s="890"/>
      <c r="I281" s="890"/>
      <c r="J281" s="263" t="s">
        <v>469</v>
      </c>
    </row>
    <row r="282" spans="2:10">
      <c r="B282" s="212"/>
      <c r="C282" s="212"/>
      <c r="D282" s="889" t="str">
        <f>D190</f>
        <v>INDTDPHHSEN1</v>
      </c>
      <c r="E282" s="889" t="str">
        <f t="shared" si="268"/>
        <v>Industrial heating technology Transport PH - central district heating - within DH area - new 1</v>
      </c>
      <c r="F282" s="262" t="s">
        <v>450</v>
      </c>
      <c r="G282" s="262" t="s">
        <v>449</v>
      </c>
      <c r="H282" s="890"/>
      <c r="I282" s="890"/>
      <c r="J282" s="263" t="s">
        <v>469</v>
      </c>
    </row>
    <row r="283" spans="2:10">
      <c r="B283" s="212"/>
      <c r="C283" s="212"/>
      <c r="D283" s="212" t="str">
        <f t="shared" ref="D283" si="269">D191</f>
        <v>INDTDSHHDEN1</v>
      </c>
      <c r="E283" s="212" t="str">
        <f t="shared" si="268"/>
        <v>Industrial heating technology Transport SH - decentral district heating - within DH area - new 1</v>
      </c>
      <c r="F283" s="262" t="s">
        <v>450</v>
      </c>
      <c r="G283" s="262" t="s">
        <v>449</v>
      </c>
      <c r="H283" s="261"/>
      <c r="I283" s="261"/>
      <c r="J283" s="264" t="s">
        <v>469</v>
      </c>
    </row>
    <row r="284" spans="2:10">
      <c r="B284" s="212"/>
      <c r="C284" s="212"/>
      <c r="D284" s="212" t="str">
        <f>D192</f>
        <v>INDTDPHHDEN1</v>
      </c>
      <c r="E284" s="212" t="str">
        <f t="shared" si="268"/>
        <v>Industrial heating technology Transport PH - decentral district heating - within DH area - new 1</v>
      </c>
      <c r="F284" s="262" t="s">
        <v>450</v>
      </c>
      <c r="G284" s="262" t="s">
        <v>449</v>
      </c>
      <c r="H284" s="261"/>
      <c r="I284" s="261"/>
      <c r="J284" s="264" t="s">
        <v>469</v>
      </c>
    </row>
    <row r="285" spans="2:10">
      <c r="B285" s="212"/>
      <c r="C285" s="212"/>
      <c r="D285" s="212" t="str">
        <f>D194</f>
        <v>INDTDLAELCN1</v>
      </c>
      <c r="E285" s="212" t="str">
        <f t="shared" si="268"/>
        <v>Industry Transport LA Electricity Light Appliance - New 1</v>
      </c>
      <c r="F285" s="262" t="s">
        <v>450</v>
      </c>
      <c r="G285" s="262" t="s">
        <v>449</v>
      </c>
      <c r="H285" s="261"/>
      <c r="I285" s="261"/>
      <c r="J285" s="264" t="s">
        <v>469</v>
      </c>
    </row>
    <row r="286" spans="2:10">
      <c r="B286" s="212"/>
      <c r="C286" s="212"/>
      <c r="D286" s="212" t="str">
        <f>D198</f>
        <v>INDTDEMELCN1</v>
      </c>
      <c r="E286" s="212" t="str">
        <f t="shared" si="268"/>
        <v>Industry Transport EM Electricity Motors - New 1</v>
      </c>
      <c r="F286" s="262" t="s">
        <v>450</v>
      </c>
      <c r="G286" s="262" t="s">
        <v>449</v>
      </c>
      <c r="H286" s="261"/>
      <c r="I286" s="261"/>
      <c r="J286" s="264" t="s">
        <v>469</v>
      </c>
    </row>
    <row r="287" spans="2:10">
      <c r="B287" s="212"/>
      <c r="C287" s="212"/>
      <c r="D287" s="212" t="str">
        <f>D202</f>
        <v>INDTDTFDSLN1</v>
      </c>
      <c r="E287" s="212" t="str">
        <f t="shared" si="268"/>
        <v>Industry Transport TF Tractors, Trucks, Fishing boats - New 1</v>
      </c>
      <c r="F287" s="262" t="s">
        <v>450</v>
      </c>
      <c r="G287" s="262" t="s">
        <v>2078</v>
      </c>
      <c r="H287" s="261"/>
      <c r="I287" s="261"/>
      <c r="J287" s="264" t="s">
        <v>469</v>
      </c>
    </row>
    <row r="288" spans="2:10">
      <c r="B288" s="212"/>
      <c r="C288" s="212"/>
      <c r="D288" s="212" t="str">
        <f>D206</f>
        <v>INDTDTFH2GN2</v>
      </c>
      <c r="E288" s="212" t="str">
        <f t="shared" si="268"/>
        <v>Industry Transport TF Tractors, Trucks, Fishing boats - New 2</v>
      </c>
      <c r="F288" s="262" t="s">
        <v>450</v>
      </c>
      <c r="G288" s="262" t="s">
        <v>2078</v>
      </c>
      <c r="H288" s="261"/>
      <c r="I288" s="261"/>
      <c r="J288" s="264" t="s">
        <v>469</v>
      </c>
    </row>
    <row r="289" spans="2:10">
      <c r="B289" s="212"/>
      <c r="C289" s="212"/>
      <c r="D289" s="212" t="str">
        <f>D210</f>
        <v>INDTDTFELCN3</v>
      </c>
      <c r="E289" s="212" t="str">
        <f t="shared" si="268"/>
        <v>Industry Transport TF Tractors, Trucks, Fishing boats - New 3</v>
      </c>
      <c r="F289" s="262" t="s">
        <v>450</v>
      </c>
      <c r="G289" s="262" t="s">
        <v>2078</v>
      </c>
      <c r="H289" s="261"/>
      <c r="I289" s="261"/>
      <c r="J289" s="264" t="s">
        <v>469</v>
      </c>
    </row>
    <row r="290" spans="2:10">
      <c r="B290" s="212"/>
      <c r="C290" s="212"/>
      <c r="D290" s="212" t="str">
        <f>D214</f>
        <v>INDTDFLSYNN1</v>
      </c>
      <c r="E290" s="212" t="str">
        <f t="shared" si="268"/>
        <v>Industry Transport TF Forklifts - New 1</v>
      </c>
      <c r="F290" s="262" t="s">
        <v>450</v>
      </c>
      <c r="G290" s="262" t="s">
        <v>449</v>
      </c>
      <c r="H290" s="261"/>
      <c r="I290" s="261"/>
      <c r="J290" s="264" t="s">
        <v>469</v>
      </c>
    </row>
    <row r="291" spans="2:10">
      <c r="B291" s="212"/>
      <c r="C291" s="212"/>
      <c r="D291" s="212" t="str">
        <f>D218</f>
        <v>INDTDCOELCN1</v>
      </c>
      <c r="E291" s="212" t="str">
        <f>E218</f>
        <v>Industry Transport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ITDSOx</v>
      </c>
      <c r="E296" s="270" t="str">
        <f>"Industrial heating  heating technology "&amp;$AJ$12&amp;" - SOx emission"</f>
        <v>Industrial heating  heating technology Transport - SOx emission</v>
      </c>
      <c r="F296" s="219" t="s">
        <v>352</v>
      </c>
      <c r="G296" s="211"/>
      <c r="H296" s="211"/>
      <c r="I296" s="211"/>
      <c r="J296" s="211"/>
    </row>
    <row r="297" spans="2:10">
      <c r="B297" s="214"/>
      <c r="C297" s="214"/>
      <c r="D297" s="260" t="str">
        <f>"I"&amp;LEFT($AJ$12,1)&amp;"DNOx"</f>
        <v>ITDNOx</v>
      </c>
      <c r="E297" s="270" t="str">
        <f>"Industrial heating  heating technology "&amp;$AJ$12&amp;" - NOx emission"</f>
        <v>Industrial heating  heating technology Transport - NOx emission</v>
      </c>
      <c r="F297" s="219" t="s">
        <v>352</v>
      </c>
      <c r="G297" s="211"/>
      <c r="H297" s="214"/>
      <c r="I297" s="214"/>
      <c r="J297" s="214"/>
    </row>
    <row r="298" spans="2:10">
      <c r="B298" s="214"/>
      <c r="C298" s="214"/>
      <c r="D298" s="260" t="str">
        <f>"I"&amp;LEFT($AJ$12,1)&amp;"DCH4"</f>
        <v>ITDCH4</v>
      </c>
      <c r="E298" s="270" t="str">
        <f>"Industrial heating  heating technology "&amp;$AJ$12&amp;" - CH4 emission"</f>
        <v>Industrial heating  heating technology Transport - CH4 emission</v>
      </c>
      <c r="F298" s="219" t="s">
        <v>352</v>
      </c>
      <c r="G298" s="211"/>
      <c r="H298" s="214"/>
      <c r="I298" s="214"/>
      <c r="J298" s="214"/>
    </row>
    <row r="299" spans="2:10">
      <c r="B299" s="214"/>
      <c r="C299" s="214"/>
      <c r="D299" s="260" t="str">
        <f>"I"&amp;LEFT($AJ$12,1)&amp;"DNO2"</f>
        <v>ITDNO2</v>
      </c>
      <c r="E299" s="270" t="str">
        <f>"Industrial heating  heating technology "&amp;$AJ$12&amp;" - NO2 emission"</f>
        <v>Industrial heating  heating technology Transport - NO2 emission</v>
      </c>
      <c r="F299" s="219" t="s">
        <v>352</v>
      </c>
      <c r="G299" s="211"/>
      <c r="H299" s="214"/>
      <c r="I299" s="214"/>
      <c r="J299" s="214"/>
    </row>
    <row r="300" spans="2:10">
      <c r="B300" s="214"/>
      <c r="C300" s="214"/>
      <c r="D300" s="260" t="str">
        <f>"I"&amp;LEFT($AJ$12,1)&amp;"DPM"</f>
        <v>ITDPM</v>
      </c>
      <c r="E300" s="270" t="str">
        <f>"Industrial heating  heating technology "&amp;$AJ$12&amp;" - Particle emission"</f>
        <v>Industrial heating  heating technology Transport - Particle emission</v>
      </c>
      <c r="F300" s="219" t="s">
        <v>352</v>
      </c>
      <c r="G300" s="211"/>
      <c r="H300" s="214"/>
      <c r="I300" s="214"/>
      <c r="J300" s="214"/>
    </row>
    <row r="301" spans="2:10">
      <c r="B301" s="224" t="s">
        <v>1057</v>
      </c>
      <c r="D301" s="224" t="str">
        <f>AI20</f>
        <v>INDTWH</v>
      </c>
      <c r="E301" s="270" t="str">
        <f>"Industrial heating technology "&amp;$AJ$12&amp;" - Waste heat"</f>
        <v>Industrial heating technology Transport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AE2F8FF-0AE3-4F75-A812-6EBFB44F3796}">
          <x14:formula1>
            <xm:f>'Oil-fired boiler_NEW'!$T$4:$X$4</xm:f>
          </x14:formula1>
          <xm:sqref>E1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1D02-BE75-4EFB-B97F-D3EE64D18BEC}">
  <sheetPr>
    <tabColor rgb="FF00B050"/>
  </sheetPr>
  <dimension ref="A1:AP301"/>
  <sheetViews>
    <sheetView topLeftCell="V1"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716</v>
      </c>
      <c r="N1" s="64"/>
      <c r="O1" s="64"/>
      <c r="P1" s="64"/>
      <c r="S1" s="727" t="s">
        <v>1004</v>
      </c>
      <c r="T1" s="776" t="s">
        <v>1003</v>
      </c>
      <c r="U1" s="775" t="s">
        <v>1053</v>
      </c>
      <c r="V1" s="776" t="s">
        <v>1054</v>
      </c>
      <c r="W1" s="780">
        <v>0.3</v>
      </c>
    </row>
    <row r="2" spans="2:42" ht="15" thickBot="1">
      <c r="E2" s="730" t="s">
        <v>692</v>
      </c>
      <c r="N2" s="731"/>
      <c r="O2" s="731"/>
      <c r="P2" s="731"/>
      <c r="S2" s="726">
        <f>MATCH($E$1,$AJ$22:$AJ$35)</f>
        <v>7</v>
      </c>
      <c r="T2" s="778">
        <f>MATCH($E$1,$AJ$22:$AJ$35)+1</f>
        <v>8</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FEMIS~IPDSOx</v>
      </c>
      <c r="Y6" s="280" t="str">
        <f>"FEMIS~"&amp;D297</f>
        <v>FEMIS~IPDNOx</v>
      </c>
      <c r="Z6" s="280" t="str">
        <f>"FEMIS~"&amp;D298</f>
        <v>FEMIS~IPDCH4</v>
      </c>
      <c r="AA6" s="280" t="str">
        <f>"FEMIS~"&amp;D299</f>
        <v>FEMIS~IPDNO2</v>
      </c>
      <c r="AB6" s="280" t="str">
        <f>"FEMIS~"&amp;D300</f>
        <v>FEMIS~IPDPM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INDRDPHELCN1</v>
      </c>
      <c r="E9" s="261" t="str">
        <f>"Industrial heating technology "&amp;$AJ$12&amp;" "&amp;RIGHT(H9,2)&amp;" - Heat pump utilizing waste heat - new 1"</f>
        <v>Industrial heating technology Paper &amp; Pulp PH - Heat pump utilizing waste heat - new 1</v>
      </c>
      <c r="F9" s="224" t="s">
        <v>1149</v>
      </c>
      <c r="G9" s="173" t="s">
        <v>499</v>
      </c>
      <c r="H9" s="174" t="str">
        <f>$AI$14</f>
        <v>IRDPH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INDRWH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IRDPH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INDRWH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Paper &amp; Pulp</v>
      </c>
    </row>
    <row r="13" spans="2:42">
      <c r="B13" s="357" t="s">
        <v>998</v>
      </c>
      <c r="D13" s="212"/>
      <c r="E13" s="212"/>
      <c r="F13" s="224" t="s">
        <v>1149</v>
      </c>
      <c r="G13" s="173" t="s">
        <v>499</v>
      </c>
      <c r="H13" s="174" t="str">
        <f>$AI$14</f>
        <v>IRDPH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IRDPH</v>
      </c>
      <c r="AJ13" s="224" t="str">
        <f>AP14</f>
        <v>Paper &amp; Pulp industry Demand Heat High Temp. over 150C</v>
      </c>
      <c r="AO13" s="224" t="s">
        <v>2099</v>
      </c>
      <c r="AP13" s="224" t="s">
        <v>1245</v>
      </c>
    </row>
    <row r="14" spans="2:42">
      <c r="B14" s="357" t="s">
        <v>998</v>
      </c>
      <c r="D14" s="212"/>
      <c r="E14" s="212"/>
      <c r="F14" s="224" t="s">
        <v>1149</v>
      </c>
      <c r="G14" s="173" t="str">
        <f>$AI$20</f>
        <v>INDRWH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IRDPH</v>
      </c>
      <c r="AJ14" s="224" t="str">
        <f>AP13</f>
        <v>Paper &amp; Pulp industry Demand Heat Medium Temp. up to 150C</v>
      </c>
      <c r="AO14" s="224" t="s">
        <v>2099</v>
      </c>
      <c r="AP14" s="224" t="s">
        <v>1246</v>
      </c>
    </row>
    <row r="15" spans="2:42">
      <c r="B15" s="357" t="s">
        <v>998</v>
      </c>
      <c r="D15" s="212" t="str">
        <f>"IND"&amp;RIGHT(H15,4)&amp;RIGHT(G15,3)&amp;"N"&amp;RIGHT(E15,1)</f>
        <v>INDRDSHELCN1</v>
      </c>
      <c r="E15" s="261" t="str">
        <f>"Industrial heating technology "&amp;$AJ$12&amp;" "&amp;RIGHT(H15,2)&amp;" - Heat pump utilizing waste heat - new 1"</f>
        <v>Industrial heating technology Paper &amp; Pulp SH - Heat pump utilizing waste heat - new 1</v>
      </c>
      <c r="F15" s="224" t="s">
        <v>1149</v>
      </c>
      <c r="G15" s="173" t="s">
        <v>499</v>
      </c>
      <c r="H15" s="174" t="str">
        <f>$AI$15</f>
        <v>IRDSH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IRDSH</v>
      </c>
      <c r="AJ15" s="224" t="str">
        <f>AP15</f>
        <v>Paper &amp; Pulp industry Demand Heat Room Heat</v>
      </c>
      <c r="AO15" s="224" t="s">
        <v>2100</v>
      </c>
      <c r="AP15" s="224" t="s">
        <v>1247</v>
      </c>
    </row>
    <row r="16" spans="2:42">
      <c r="B16" s="357" t="s">
        <v>998</v>
      </c>
      <c r="D16" s="212"/>
      <c r="E16" s="261"/>
      <c r="F16" s="224" t="s">
        <v>1149</v>
      </c>
      <c r="G16" s="173" t="str">
        <f>$AI$20</f>
        <v>INDRWH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IRDLA</v>
      </c>
      <c r="AJ16" s="224" t="str">
        <f t="shared" si="0"/>
        <v>Paper &amp; Pulp industry Demand Light</v>
      </c>
      <c r="AO16" s="224" t="s">
        <v>1248</v>
      </c>
      <c r="AP16" s="224" t="s">
        <v>1249</v>
      </c>
    </row>
    <row r="17" spans="2:42">
      <c r="B17" s="357" t="s">
        <v>998</v>
      </c>
      <c r="D17" s="212"/>
      <c r="E17" s="212"/>
      <c r="F17" s="224" t="s">
        <v>1149</v>
      </c>
      <c r="G17" s="173" t="s">
        <v>499</v>
      </c>
      <c r="H17" s="174" t="str">
        <f>$AI$15</f>
        <v>IRDSH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IRDEM</v>
      </c>
      <c r="AJ17" s="224" t="str">
        <f t="shared" si="0"/>
        <v>Paper &amp; Pulp industry Demand Electric Motors</v>
      </c>
      <c r="AO17" s="224" t="s">
        <v>1250</v>
      </c>
      <c r="AP17" s="224" t="s">
        <v>1251</v>
      </c>
    </row>
    <row r="18" spans="2:42">
      <c r="B18" s="357" t="s">
        <v>998</v>
      </c>
      <c r="D18" s="212"/>
      <c r="E18" s="212"/>
      <c r="F18" s="224" t="s">
        <v>1149</v>
      </c>
      <c r="G18" s="173" t="str">
        <f>$AI$20</f>
        <v>INDRWH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IRDTF</v>
      </c>
      <c r="AJ18" s="224" t="str">
        <f t="shared" si="0"/>
        <v>Paper &amp; Pulp industry Demand Haulage Tractors, Trucks, Fishing boats, Forest machines</v>
      </c>
      <c r="AO18" s="224" t="s">
        <v>1252</v>
      </c>
      <c r="AP18" s="224" t="s">
        <v>1253</v>
      </c>
    </row>
    <row r="19" spans="2:42">
      <c r="B19" s="357" t="s">
        <v>998</v>
      </c>
      <c r="D19" s="212"/>
      <c r="E19" s="212"/>
      <c r="F19" s="224" t="s">
        <v>1149</v>
      </c>
      <c r="G19" s="173" t="s">
        <v>499</v>
      </c>
      <c r="H19" s="174" t="str">
        <f>$AI$15</f>
        <v>IRDSH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IRDFL</v>
      </c>
      <c r="AJ19" s="224" t="str">
        <f t="shared" si="0"/>
        <v>Paper &amp; Pulp industry Demand Haulage Forklifts</v>
      </c>
      <c r="AO19" s="224" t="s">
        <v>1254</v>
      </c>
      <c r="AP19" s="224" t="s">
        <v>1255</v>
      </c>
    </row>
    <row r="20" spans="2:42">
      <c r="B20" s="357" t="s">
        <v>998</v>
      </c>
      <c r="D20" s="212"/>
      <c r="E20" s="212"/>
      <c r="F20" s="224" t="s">
        <v>1149</v>
      </c>
      <c r="G20" s="173" t="str">
        <f>$AI$20</f>
        <v>INDRWH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INDRWH</v>
      </c>
      <c r="AJ20" s="224" t="str">
        <f>$AJ$12&amp;" Industrial Waste Heat"</f>
        <v>Paper &amp; Pulp Industrial Waste Heat</v>
      </c>
    </row>
    <row r="21" spans="2:42">
      <c r="B21" s="357" t="s">
        <v>999</v>
      </c>
      <c r="D21" s="212" t="str">
        <f>"IND"&amp;RIGHT(H21,4)&amp;RIGHT(G21,3)&amp;"N"&amp;RIGHT(E21,1)</f>
        <v>INDRDPHELCN2</v>
      </c>
      <c r="E21" s="261" t="str">
        <f>"Industrial heating technology "&amp;$AJ$12&amp;" "&amp;RIGHT(H21,2)&amp;" - Heat driven heat pump utilizing waste heat - new 2"</f>
        <v>Industrial heating technology Paper &amp; Pulp PH - Heat driven heat pump utilizing waste heat - new 2</v>
      </c>
      <c r="F21" s="224" t="s">
        <v>1149</v>
      </c>
      <c r="G21" s="173" t="s">
        <v>499</v>
      </c>
      <c r="H21" s="174" t="str">
        <f>$AI$14</f>
        <v>IRDPH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2110</v>
      </c>
      <c r="AJ21" s="224" t="s">
        <v>2111</v>
      </c>
    </row>
    <row r="22" spans="2:42">
      <c r="B22" s="357" t="s">
        <v>999</v>
      </c>
      <c r="D22" s="212"/>
      <c r="E22" s="261"/>
      <c r="F22" s="224" t="s">
        <v>1149</v>
      </c>
      <c r="G22" s="173" t="str">
        <f>$AI$20</f>
        <v>INDRWH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IRDPH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INDRWH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IRDPH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INDRWH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INDRDSHELCN2</v>
      </c>
      <c r="E27" s="261" t="str">
        <f>"Industrial heating technology "&amp;$AJ$12&amp;" "&amp;RIGHT(H27,2)&amp;" - Heat driven heat pump utilizing waste heat - new 2"</f>
        <v>Industrial heating technology Paper &amp; Pulp SH - Heat driven heat pump utilizing waste heat - new 2</v>
      </c>
      <c r="F27" s="224" t="s">
        <v>1149</v>
      </c>
      <c r="G27" s="173" t="s">
        <v>499</v>
      </c>
      <c r="H27" s="174" t="str">
        <f>$AI$15</f>
        <v>IRDSH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INDRWH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IRDSH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INDRWH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IRDSH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INDRWH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INDRDPHELCN3</v>
      </c>
      <c r="E33" s="261" t="str">
        <f>"Industrial heating technology "&amp;$AJ$12&amp;" "&amp;RIGHT(H33,2)&amp;" - High Temp abs. Heat pump utilizing waste heat - new 3"</f>
        <v>Industrial heating technology Paper &amp; Pulp PH - High Temp abs. Heat pump utilizing waste heat - new 3</v>
      </c>
      <c r="F33" s="224" t="s">
        <v>1149</v>
      </c>
      <c r="G33" s="173" t="s">
        <v>499</v>
      </c>
      <c r="H33" s="174" t="str">
        <f>$AI$14</f>
        <v>IRDPH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INDRWH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IRDPH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INDRWH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IRDPH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INDRWH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INDRDSHELCN3</v>
      </c>
      <c r="E39" s="261" t="str">
        <f>"Industrial heating technology "&amp;$AJ$12&amp;" "&amp;RIGHT(H39,2)&amp;" - High Temp abs. Heat pump utilizing waste heat - new 3"</f>
        <v>Industrial heating technology Paper &amp; Pulp SH - High Temp abs. Heat pump utilizing waste heat - new 3</v>
      </c>
      <c r="F39" s="224" t="s">
        <v>1149</v>
      </c>
      <c r="G39" s="173" t="s">
        <v>499</v>
      </c>
      <c r="H39" s="174" t="str">
        <f>$AI$15</f>
        <v>IRDSH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INDRWH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IRDSH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INDRWH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IRDSH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INDRWH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INDRDPHELCN4</v>
      </c>
      <c r="E45" s="261" t="str">
        <f>"Industrial heating technology "&amp;$AJ$12&amp;" "&amp;RIGHT(H45,2)&amp;" - Booster Heat pump utilizing waste heat - new 4"</f>
        <v>Industrial heating technology Paper &amp; Pulp PH - Booster Heat pump utilizing waste heat - new 4</v>
      </c>
      <c r="F45" s="224" t="s">
        <v>1149</v>
      </c>
      <c r="G45" s="173" t="s">
        <v>499</v>
      </c>
      <c r="H45" s="174" t="str">
        <f>$AI$14</f>
        <v>IRDPH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INDRWH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IRDPH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INDRWH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IRDPH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INDRWH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INDRDSHELCN4</v>
      </c>
      <c r="E51" s="261" t="str">
        <f>"Industrial heating technology "&amp;$AJ$12&amp;" "&amp;RIGHT(H51,2)&amp;" - Booster Heat pump utilizing waste heat - new 4"</f>
        <v>Industrial heating technology Paper &amp; Pulp SH - Booster Heat pump utilizing waste heat - new 4</v>
      </c>
      <c r="F51" s="224" t="s">
        <v>1149</v>
      </c>
      <c r="G51" s="173" t="s">
        <v>499</v>
      </c>
      <c r="H51" s="174" t="str">
        <f>$AI$15</f>
        <v>IRDSH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INDRWH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IRDSH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INDRWH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IRDSH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INDRWH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INDRDPHELCN5</v>
      </c>
      <c r="E57" s="261" t="str">
        <f>"Industrial heating technology "&amp;$AJ$12&amp;" "&amp;RIGHT(H57,2)&amp;" - MVR utilizing waste heat - new 5"</f>
        <v>Industrial heating technology Paper &amp; Pulp PH - MVR utilizing waste heat - new 5</v>
      </c>
      <c r="F57" s="224" t="s">
        <v>1149</v>
      </c>
      <c r="G57" s="173" t="s">
        <v>499</v>
      </c>
      <c r="H57" s="174" t="str">
        <f>$AI$14</f>
        <v>IRDPH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INDRWH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IRDPH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INDRWH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IRDPH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INDRWH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INDRDPHWSTN1</v>
      </c>
      <c r="E63" s="261" t="str">
        <f>"Industrial heating technology "&amp;$AJ$12&amp;" "&amp;RIGHT(H63,2)&amp;" - Hotdisc - new 1"</f>
        <v>Industrial heating technology Paper &amp; Pulp PH - Hotdisc - new 1</v>
      </c>
      <c r="F63" s="224" t="s">
        <v>1149</v>
      </c>
      <c r="G63" s="832" t="s">
        <v>1005</v>
      </c>
      <c r="H63" s="174" t="str">
        <f>$AI$13</f>
        <v>IRDPH</v>
      </c>
      <c r="I63" s="173" t="str">
        <f t="shared" ref="I63:I126" si="22">$AI$20</f>
        <v>INDRWH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INDRWH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INDRWH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INDRDPHELCN6</v>
      </c>
      <c r="E66" s="261" t="str">
        <f>"Industrial heating technology "&amp;$AJ$12&amp;" "&amp;RIGHT(H66,2)&amp;" - Dielectric heating - new 6"</f>
        <v>Industrial heating technology Paper &amp; Pulp PH - Dielectric heating - new 6</v>
      </c>
      <c r="F66" s="224" t="s">
        <v>1149</v>
      </c>
      <c r="G66" s="173" t="s">
        <v>499</v>
      </c>
      <c r="H66" s="174" t="str">
        <f>$AI$14</f>
        <v>IRDPH</v>
      </c>
      <c r="I66" s="173" t="str">
        <f t="shared" si="22"/>
        <v>INDRWH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INDRWH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INDRWH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INDRDPHELCN7</v>
      </c>
      <c r="E69" s="261" t="str">
        <f>"Industrial heating technology "&amp;$AJ$12&amp;" "&amp;RIGHT(H69,2)&amp;" - Infrared heating - new 7"</f>
        <v>Industrial heating technology Paper &amp; Pulp PH - Infrared heating - new 7</v>
      </c>
      <c r="F69" s="224" t="s">
        <v>1149</v>
      </c>
      <c r="G69" s="173" t="s">
        <v>499</v>
      </c>
      <c r="H69" s="174" t="str">
        <f>$AI$14</f>
        <v>IRDPH</v>
      </c>
      <c r="I69" s="173" t="str">
        <f t="shared" si="22"/>
        <v>INDRWH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INDRWH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INDRWH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INDRDPHELCN8</v>
      </c>
      <c r="E72" s="261" t="str">
        <f>"Industrial heating technology "&amp;$AJ$12&amp;" "&amp;RIGHT(H72,2)&amp;" - Electric boiler (Steam) - new 8"</f>
        <v>Industrial heating technology Paper &amp; Pulp PH - Electric boiler (Steam) - new 8</v>
      </c>
      <c r="F72" s="224" t="s">
        <v>1149</v>
      </c>
      <c r="G72" s="173" t="s">
        <v>499</v>
      </c>
      <c r="H72" s="174" t="str">
        <f>$AI$13</f>
        <v>IRDPH</v>
      </c>
      <c r="I72" s="174" t="str">
        <f t="shared" si="22"/>
        <v>INDRWH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INDRWH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INDRWH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INDRDPHELCN8</v>
      </c>
      <c r="E75" s="261" t="str">
        <f>"Industrial heating technology "&amp;$AJ$12&amp;" "&amp;RIGHT(H75,2)&amp;" - Electric boiler (Steam) - new 8"</f>
        <v>Industrial heating technology Paper &amp; Pulp PH - Electric boiler (Steam) - new 8</v>
      </c>
      <c r="F75" s="224" t="s">
        <v>1149</v>
      </c>
      <c r="G75" s="173" t="s">
        <v>499</v>
      </c>
      <c r="H75" s="174" t="str">
        <f>$AI$14</f>
        <v>IRDPH</v>
      </c>
      <c r="I75" s="174" t="str">
        <f t="shared" si="22"/>
        <v>INDRWH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INDRWH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INDRWH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INDRDSHELCN8</v>
      </c>
      <c r="E78" s="261" t="str">
        <f>"Industrial heating technology "&amp;$AJ$12&amp;" "&amp;RIGHT(H78,2)&amp;" - Electric boiler (Steam) - new 8"</f>
        <v>Industrial heating technology Paper &amp; Pulp SH - Electric boiler (Steam) - new 8</v>
      </c>
      <c r="F78" s="224" t="s">
        <v>1149</v>
      </c>
      <c r="G78" s="173" t="s">
        <v>499</v>
      </c>
      <c r="H78" s="174" t="str">
        <f>$AI$15</f>
        <v>IRDSH</v>
      </c>
      <c r="I78" s="174" t="str">
        <f t="shared" si="22"/>
        <v>INDRWH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INDRWH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INDRWH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INDRDPHELCN9</v>
      </c>
      <c r="E81" s="707" t="str">
        <f>"Industrial heating technology "&amp;$AJ$12&amp;" "&amp;RIGHT(H81,2)&amp;" - Electric boiler (Hot Water) - new 9"</f>
        <v>Industrial heating technology Paper &amp; Pulp PH - Electric boiler (Hot Water) - new 9</v>
      </c>
      <c r="F81" s="224" t="s">
        <v>1149</v>
      </c>
      <c r="G81" s="708" t="s">
        <v>499</v>
      </c>
      <c r="H81" s="708" t="str">
        <f>$AI$14</f>
        <v>IRDPH</v>
      </c>
      <c r="I81" s="708" t="str">
        <f t="shared" si="22"/>
        <v>INDRWH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INDRWH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INDRWH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INDRDSHELCN9</v>
      </c>
      <c r="E84" s="261" t="str">
        <f>"Industrial heating technology "&amp;$AJ$12&amp;" "&amp;RIGHT(H84,2)&amp;" - Electric boiler (Hot Water) - new 9"</f>
        <v>Industrial heating technology Paper &amp; Pulp SH - Electric boiler (Hot Water) - new 9</v>
      </c>
      <c r="F84" s="224" t="s">
        <v>1149</v>
      </c>
      <c r="G84" s="174" t="s">
        <v>499</v>
      </c>
      <c r="H84" s="174" t="str">
        <f>$AI$15</f>
        <v>IRDSH</v>
      </c>
      <c r="I84" s="174" t="str">
        <f t="shared" si="22"/>
        <v>INDRWH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INDRWH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INDRWH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INDRDPHWCHN1</v>
      </c>
      <c r="E87" s="261" t="str">
        <f>"Industrial heating technology "&amp;$AJ$12&amp;" "&amp;RIGHT(H87,2)&amp;" - Wood chip boiler (Steam) - new 1"</f>
        <v>Industrial heating technology Paper &amp; Pulp PH - Wood chip boiler (Steam) - new 1</v>
      </c>
      <c r="F87" s="224" t="s">
        <v>1149</v>
      </c>
      <c r="G87" s="173" t="s">
        <v>498</v>
      </c>
      <c r="H87" s="174" t="str">
        <f>$AI$13</f>
        <v>IRDPH</v>
      </c>
      <c r="I87" s="174" t="str">
        <f t="shared" si="22"/>
        <v>INDRWH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INDRWH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INDRWH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INDRDPHWCHN1</v>
      </c>
      <c r="E90" s="261" t="str">
        <f>"Industrial heating technology "&amp;$AJ$12&amp;" "&amp;RIGHT(H90,2)&amp;" - Wood chip boiler (Steam) - new 1"</f>
        <v>Industrial heating technology Paper &amp; Pulp PH - Wood chip boiler (Steam) - new 1</v>
      </c>
      <c r="F90" s="224" t="s">
        <v>1149</v>
      </c>
      <c r="G90" s="173" t="s">
        <v>498</v>
      </c>
      <c r="H90" s="174" t="str">
        <f>$AI$14</f>
        <v>IRDPH</v>
      </c>
      <c r="I90" s="174" t="str">
        <f t="shared" si="22"/>
        <v>INDRWH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INDRWH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INDRWH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INDRDSHWCHN1</v>
      </c>
      <c r="E93" s="261" t="str">
        <f>"Industrial heating technology "&amp;$AJ$12&amp;" "&amp;RIGHT(H93,2)&amp;" - Wood chip boiler (Steam) - new 1"</f>
        <v>Industrial heating technology Paper &amp; Pulp SH - Wood chip boiler (Steam) - new 1</v>
      </c>
      <c r="F93" s="224" t="s">
        <v>1149</v>
      </c>
      <c r="G93" s="173" t="s">
        <v>498</v>
      </c>
      <c r="H93" s="174" t="str">
        <f>$AI$15</f>
        <v>IRDSH</v>
      </c>
      <c r="I93" s="174" t="str">
        <f t="shared" si="22"/>
        <v>INDRWH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INDRWH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INDRWH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INDRDPHWCHN2</v>
      </c>
      <c r="E96" s="707" t="str">
        <f>"Industrial heating technology "&amp;$AJ$12&amp;" "&amp;RIGHT(H96,2)&amp;" - Wood chip boiler (Steam - condensing) - new 2"</f>
        <v>Industrial heating technology Paper &amp; Pulp PH - Wood chip boiler (Steam - condensing) - new 2</v>
      </c>
      <c r="F96" s="224" t="s">
        <v>1149</v>
      </c>
      <c r="G96" s="708" t="s">
        <v>498</v>
      </c>
      <c r="H96" s="708" t="str">
        <f>$AI$14</f>
        <v>IRDPH</v>
      </c>
      <c r="I96" s="708" t="str">
        <f t="shared" si="22"/>
        <v>INDRWH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INDRWH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INDRWH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INDRDSHWCHN2</v>
      </c>
      <c r="E99" s="261" t="str">
        <f>"Industrial heating technology "&amp;$AJ$12&amp;" "&amp;RIGHT(H99,2)&amp;" - Wood chip boiler (Steam - condensing) - new 2"</f>
        <v>Industrial heating technology Paper &amp; Pulp SH - Wood chip boiler (Steam - condensing) - new 2</v>
      </c>
      <c r="F99" s="224" t="s">
        <v>1149</v>
      </c>
      <c r="G99" s="174" t="s">
        <v>498</v>
      </c>
      <c r="H99" s="174" t="str">
        <f>$AI$15</f>
        <v>IRDSH</v>
      </c>
      <c r="I99" s="174" t="str">
        <f t="shared" si="22"/>
        <v>INDRWH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INDRWH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INDRWH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INDRDPHWCHN3</v>
      </c>
      <c r="E102" s="707" t="str">
        <f>"Industrial heating technology "&amp;$AJ$12&amp;" "&amp;RIGHT(H102,2)&amp;" - Wood chip boiler (Hot Water) - new 3"</f>
        <v>Industrial heating technology Paper &amp; Pulp PH - Wood chip boiler (Hot Water) - new 3</v>
      </c>
      <c r="F102" s="224" t="s">
        <v>1149</v>
      </c>
      <c r="G102" s="708" t="s">
        <v>498</v>
      </c>
      <c r="H102" s="708" t="str">
        <f>$AI$14</f>
        <v>IRDPH</v>
      </c>
      <c r="I102" s="708" t="str">
        <f t="shared" si="22"/>
        <v>INDRWH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INDRWH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INDRWH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INDRDSHWCHN3</v>
      </c>
      <c r="E105" s="261" t="str">
        <f>"Industrial heating technology "&amp;$AJ$12&amp;" "&amp;RIGHT(H105,2)&amp;" - Wood chip boiler (Hot Water) - new 3"</f>
        <v>Industrial heating technology Paper &amp; Pulp SH - Wood chip boiler (Hot Water) - new 3</v>
      </c>
      <c r="F105" s="224" t="s">
        <v>1149</v>
      </c>
      <c r="G105" s="174" t="s">
        <v>498</v>
      </c>
      <c r="H105" s="174" t="str">
        <f>$AI$15</f>
        <v>IRDSH</v>
      </c>
      <c r="I105" s="174" t="str">
        <f t="shared" si="22"/>
        <v>INDRWH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INDRWH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INDRWH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INDRDPHWCHN4</v>
      </c>
      <c r="E108" s="707" t="str">
        <f>"Industrial heating technology "&amp;$AJ$12&amp;" "&amp;RIGHT(H108,2)&amp;" - Wood chip boiler (Hot Water - condensing) - new 4"</f>
        <v>Industrial heating technology Paper &amp; Pulp PH - Wood chip boiler (Hot Water - condensing) - new 4</v>
      </c>
      <c r="F108" s="224" t="s">
        <v>1149</v>
      </c>
      <c r="G108" s="708" t="s">
        <v>498</v>
      </c>
      <c r="H108" s="708" t="str">
        <f>$AI$14</f>
        <v>IRDPH</v>
      </c>
      <c r="I108" s="708" t="str">
        <f t="shared" si="22"/>
        <v>INDRWH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INDRWH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INDRWH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INDRDSHWCHN4</v>
      </c>
      <c r="E111" s="261" t="str">
        <f>"Industrial heating technology "&amp;$AJ$12&amp;" "&amp;RIGHT(H111,2)&amp;" - Wood chip boiler (Hot Water- condensing) - new 4"</f>
        <v>Industrial heating technology Paper &amp; Pulp SH - Wood chip boiler (Hot Water- condensing) - new 4</v>
      </c>
      <c r="F111" s="224" t="s">
        <v>1149</v>
      </c>
      <c r="G111" s="174" t="s">
        <v>498</v>
      </c>
      <c r="H111" s="174" t="str">
        <f>$AI$15</f>
        <v>IRDSH</v>
      </c>
      <c r="I111" s="174" t="str">
        <f t="shared" si="22"/>
        <v>INDRWH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INDRWH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INDRWH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INDRDPHELCN10</v>
      </c>
      <c r="E114" s="261" t="str">
        <f>"Industrial heating technology "&amp;$AJ$12&amp;" "&amp;RIGHT(H114,2)&amp;" - Direct electric heating - new 10"</f>
        <v>Industrial heating technology Paper &amp; Pulp PH - Direct electric heating - new 10</v>
      </c>
      <c r="F114" s="224" t="s">
        <v>1149</v>
      </c>
      <c r="G114" s="173" t="s">
        <v>499</v>
      </c>
      <c r="H114" s="174" t="str">
        <f>$AI$13</f>
        <v>IRDPH</v>
      </c>
      <c r="I114" s="174" t="str">
        <f t="shared" si="22"/>
        <v>INDRWH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INDRWH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INDRWH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INDRDPHELCN10</v>
      </c>
      <c r="E117" s="261" t="str">
        <f>"Industrial heating technology "&amp;$AJ$12&amp;" "&amp;RIGHT(H117,2)&amp;" - Direct electric heating - new 10"</f>
        <v>Industrial heating technology Paper &amp; Pulp PH - Direct electric heating - new 10</v>
      </c>
      <c r="F117" s="224" t="s">
        <v>1149</v>
      </c>
      <c r="G117" s="173" t="s">
        <v>499</v>
      </c>
      <c r="H117" s="174" t="str">
        <f>$AI$14</f>
        <v>IRDPH</v>
      </c>
      <c r="I117" s="174" t="str">
        <f t="shared" si="22"/>
        <v>INDRWH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INDRWH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INDRWH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INDRDPHDSLN1</v>
      </c>
      <c r="E120" s="261" t="str">
        <f>"Industrial heating technology "&amp;$AJ$12&amp;" "&amp;RIGHT(H120,2)&amp;" - Oil boiler (Steam) - new 1"</f>
        <v>Industrial heating technology Paper &amp; Pulp PH - Oil boiler (Steam) - new 1</v>
      </c>
      <c r="F120" s="224" t="s">
        <v>1149</v>
      </c>
      <c r="G120" s="173" t="s">
        <v>2081</v>
      </c>
      <c r="H120" s="174" t="str">
        <f>$AI$13</f>
        <v>IRDPH</v>
      </c>
      <c r="I120" s="174" t="str">
        <f t="shared" si="22"/>
        <v>INDRWH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INDRWH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INDRWH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INDRDPHDSLN1</v>
      </c>
      <c r="E123" s="261" t="str">
        <f>"Industrial heating technology "&amp;$AJ$12&amp;" "&amp;RIGHT(H123,2)&amp;" - Oil boiler (Steam) - new 1"</f>
        <v>Industrial heating technology Paper &amp; Pulp PH - Oil boiler (Steam) - new 1</v>
      </c>
      <c r="F123" s="224" t="s">
        <v>1149</v>
      </c>
      <c r="G123" s="173" t="s">
        <v>2081</v>
      </c>
      <c r="H123" s="174" t="str">
        <f>$AI$14</f>
        <v>IRDPH</v>
      </c>
      <c r="I123" s="174" t="str">
        <f t="shared" si="22"/>
        <v>INDRWH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INDRWH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INDRWH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INDRDSHDSLN1</v>
      </c>
      <c r="E126" s="261" t="str">
        <f>"Industrial heating technology "&amp;$AJ$12&amp;" "&amp;RIGHT(H126,2)&amp;" - Oil boiler (Steam) - new 1"</f>
        <v>Industrial heating technology Paper &amp; Pulp SH - Oil boiler (Steam) - new 1</v>
      </c>
      <c r="F126" s="224" t="s">
        <v>1149</v>
      </c>
      <c r="G126" s="173" t="s">
        <v>2081</v>
      </c>
      <c r="H126" s="174" t="str">
        <f>$AI$15</f>
        <v>IRDSH</v>
      </c>
      <c r="I126" s="174" t="str">
        <f t="shared" si="22"/>
        <v>INDRWH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INDRWH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INDRWH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INDRDPHDSLN2</v>
      </c>
      <c r="E129" s="707" t="str">
        <f>"Industrial heating technology "&amp;$AJ$12&amp;" "&amp;RIGHT(H129,2)&amp;" - Oil boiler (Steam - condensing) - new 2"</f>
        <v>Industrial heating technology Paper &amp; Pulp PH - Oil boiler (Steam - condensing) - new 2</v>
      </c>
      <c r="F129" s="224" t="s">
        <v>1149</v>
      </c>
      <c r="G129" s="173" t="s">
        <v>2081</v>
      </c>
      <c r="H129" s="708" t="str">
        <f>$AI$14</f>
        <v>IRDPH</v>
      </c>
      <c r="I129" s="708" t="str">
        <f t="shared" si="143"/>
        <v>INDRWH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INDRWH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INDRWH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INDRDSHDSLN2</v>
      </c>
      <c r="E132" s="261" t="str">
        <f>"Industrial heating technology "&amp;$AJ$12&amp;" "&amp;RIGHT(H132,2)&amp;" - Oil boiler (Steam - condensing) - new 2"</f>
        <v>Industrial heating technology Paper &amp; Pulp SH - Oil boiler (Steam - condensing) - new 2</v>
      </c>
      <c r="F132" s="224" t="s">
        <v>1149</v>
      </c>
      <c r="G132" s="173" t="s">
        <v>2081</v>
      </c>
      <c r="H132" s="174" t="str">
        <f>$AI$15</f>
        <v>IRDSH</v>
      </c>
      <c r="I132" s="174" t="str">
        <f t="shared" si="143"/>
        <v>INDRWH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INDRWH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INDRWH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INDRDPHGASN1</v>
      </c>
      <c r="E135" s="261" t="str">
        <f>"Industrial heating technology "&amp;$AJ$12&amp;" "&amp;RIGHT(H135,2)&amp;" - Gas boiler (Steam) - new 1"</f>
        <v>Industrial heating technology Paper &amp; Pulp PH - Gas boiler (Steam) - new 1</v>
      </c>
      <c r="F135" s="224" t="s">
        <v>1149</v>
      </c>
      <c r="G135" s="173" t="s">
        <v>2080</v>
      </c>
      <c r="H135" s="174" t="str">
        <f>$AI$13</f>
        <v>IRDPH</v>
      </c>
      <c r="I135" s="174" t="str">
        <f t="shared" si="143"/>
        <v>INDRWH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INDRWH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INDRWH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INDRDPHGASN1</v>
      </c>
      <c r="E138" s="261" t="str">
        <f>"Industrial heating technology "&amp;$AJ$12&amp;" "&amp;RIGHT(H138,2)&amp;" - Gas boiler (Steam) - new 1"</f>
        <v>Industrial heating technology Paper &amp; Pulp PH - Gas boiler (Steam) - new 1</v>
      </c>
      <c r="F138" s="224" t="s">
        <v>1149</v>
      </c>
      <c r="G138" s="173" t="s">
        <v>2080</v>
      </c>
      <c r="H138" s="174" t="str">
        <f>$AI$14</f>
        <v>IRDPH</v>
      </c>
      <c r="I138" s="174" t="str">
        <f t="shared" si="143"/>
        <v>INDRWH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INDRWH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INDRWH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INDRDSHGASN1</v>
      </c>
      <c r="E141" s="261" t="str">
        <f>"Industrial heating technology "&amp;$AJ$12&amp;" "&amp;RIGHT(H141,2)&amp;" - Gas boiler (Steam) - new 1"</f>
        <v>Industrial heating technology Paper &amp; Pulp SH - Gas boiler (Steam) - new 1</v>
      </c>
      <c r="F141" s="224" t="s">
        <v>1149</v>
      </c>
      <c r="G141" s="173" t="s">
        <v>2080</v>
      </c>
      <c r="H141" s="174" t="str">
        <f>$AI$15</f>
        <v>IRDSH</v>
      </c>
      <c r="I141" s="174" t="str">
        <f t="shared" si="143"/>
        <v>INDRWH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INDRWH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INDRWH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INDRDPHGASN2</v>
      </c>
      <c r="E144" s="707" t="str">
        <f>"Industrial heating technology "&amp;$AJ$12&amp;" "&amp;RIGHT(H144,2)&amp;" - Gas boiler (Steam - condensing) - new 2"</f>
        <v>Industrial heating technology Paper &amp; Pulp PH - Gas boiler (Steam - condensing) - new 2</v>
      </c>
      <c r="F144" s="224" t="s">
        <v>1149</v>
      </c>
      <c r="G144" s="173" t="s">
        <v>2080</v>
      </c>
      <c r="H144" s="708" t="str">
        <f>$AI$14</f>
        <v>IRDPH</v>
      </c>
      <c r="I144" s="708" t="str">
        <f t="shared" si="143"/>
        <v>INDRWH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INDRWH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INDRWH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INDRDSHGASN2</v>
      </c>
      <c r="E147" s="261" t="str">
        <f>"Industrial heating technology "&amp;$AJ$12&amp;" "&amp;RIGHT(H147,2)&amp;" - Gas boiler (Steam - condensing) - new 2"</f>
        <v>Industrial heating technology Paper &amp; Pulp SH - Gas boiler (Steam - condensing) - new 2</v>
      </c>
      <c r="F147" s="224" t="s">
        <v>1149</v>
      </c>
      <c r="G147" s="173" t="s">
        <v>2080</v>
      </c>
      <c r="H147" s="174" t="str">
        <f>$AI$15</f>
        <v>IRDSH</v>
      </c>
      <c r="I147" s="174" t="str">
        <f t="shared" si="143"/>
        <v>INDRWH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INDRWH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INDRWH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INDRDPHGASN3</v>
      </c>
      <c r="E150" s="707" t="str">
        <f>"Industrial heating technology "&amp;$AJ$12&amp;" "&amp;RIGHT(H150,2)&amp;" - Gas boiler (Hot Water) - new 3"</f>
        <v>Industrial heating technology Paper &amp; Pulp PH - Gas boiler (Hot Water) - new 3</v>
      </c>
      <c r="F150" s="224" t="s">
        <v>1149</v>
      </c>
      <c r="G150" s="173" t="s">
        <v>2080</v>
      </c>
      <c r="H150" s="708" t="str">
        <f>$AI$14</f>
        <v>IRDPH</v>
      </c>
      <c r="I150" s="708" t="str">
        <f t="shared" si="143"/>
        <v>INDRWH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INDRWH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INDRWH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INDRDSHGASN3</v>
      </c>
      <c r="E153" s="261" t="str">
        <f>"Industrial heating technology "&amp;$AJ$12&amp;" "&amp;RIGHT(H153,2)&amp;" - Gas boiler (Hot Water) - new 3"</f>
        <v>Industrial heating technology Paper &amp; Pulp SH - Gas boiler (Hot Water) - new 3</v>
      </c>
      <c r="F153" s="224" t="s">
        <v>1149</v>
      </c>
      <c r="G153" s="173" t="s">
        <v>2080</v>
      </c>
      <c r="H153" s="174" t="str">
        <f>$AI$15</f>
        <v>IRDSH</v>
      </c>
      <c r="I153" s="174" t="str">
        <f t="shared" si="143"/>
        <v>INDRWH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INDRWH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INDRWH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INDRDPHGASN4</v>
      </c>
      <c r="E156" s="707" t="str">
        <f>"Industrial heating technology "&amp;$AJ$12&amp;" "&amp;RIGHT(H156,2)&amp;" - Gas boiler (Hot Water - condensing) - new 4"</f>
        <v>Industrial heating technology Paper &amp; Pulp PH - Gas boiler (Hot Water - condensing) - new 4</v>
      </c>
      <c r="F156" s="224" t="s">
        <v>1149</v>
      </c>
      <c r="G156" s="173" t="s">
        <v>2080</v>
      </c>
      <c r="H156" s="708" t="str">
        <f>$AI$14</f>
        <v>IRDPH</v>
      </c>
      <c r="I156" s="708" t="str">
        <f t="shared" si="143"/>
        <v>INDRWH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INDRWH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INDRWH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INDRDSHGASN4</v>
      </c>
      <c r="E159" s="261" t="str">
        <f>"Industrial heating technology "&amp;$AJ$12&amp;" "&amp;RIGHT(H159,2)&amp;" - Gas boiler (Hot Water- condensing) - new 4"</f>
        <v>Industrial heating technology Paper &amp; Pulp SH - Gas boiler (Hot Water- condensing) - new 4</v>
      </c>
      <c r="F159" s="224" t="s">
        <v>1149</v>
      </c>
      <c r="G159" s="173" t="s">
        <v>2080</v>
      </c>
      <c r="H159" s="174" t="str">
        <f>$AI$15</f>
        <v>IRDSH</v>
      </c>
      <c r="I159" s="174" t="str">
        <f t="shared" si="143"/>
        <v>INDRWH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INDRWH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INDRWH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INDRDPHGASN5</v>
      </c>
      <c r="E162" s="707" t="str">
        <f>"Industrial heating technology "&amp;$AJ$12&amp;" "&amp;RIGHT(H162,2)&amp;" - Gas boiler (Direct firing) - new 5"</f>
        <v>Industrial heating technology Paper &amp; Pulp PH - Gas boiler (Direct firing) - new 5</v>
      </c>
      <c r="F162" s="224" t="s">
        <v>1149</v>
      </c>
      <c r="G162" s="173" t="s">
        <v>2080</v>
      </c>
      <c r="H162" s="174" t="str">
        <f>$AI$13</f>
        <v>IRDPH</v>
      </c>
      <c r="I162" s="174" t="str">
        <f t="shared" si="143"/>
        <v>INDRWH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INDRWH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INDRWH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INDRDPHGASN5</v>
      </c>
      <c r="E165" s="261" t="str">
        <f>"Industrial heating technology "&amp;$AJ$12&amp;" "&amp;RIGHT(H165,2)&amp;" - Gas boiler (Direct firing) - new 5"</f>
        <v>Industrial heating technology Paper &amp; Pulp PH - Gas boiler (Direct firing) - new 5</v>
      </c>
      <c r="F165" s="224" t="s">
        <v>1149</v>
      </c>
      <c r="G165" s="173" t="s">
        <v>2080</v>
      </c>
      <c r="H165" s="174" t="str">
        <f>$AI$14</f>
        <v>IRDPH</v>
      </c>
      <c r="I165" s="721" t="str">
        <f t="shared" si="143"/>
        <v>INDRWH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INDRWH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INDRWH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INDRDPHCOAN1</v>
      </c>
      <c r="E168" s="261" t="str">
        <f>"Industrial heating technology "&amp;$AJ$12&amp;" "&amp;RIGHT(H168,2)&amp;" - Coal boiler (Steam) - new 1"</f>
        <v>Industrial heating technology Paper &amp; Pulp PH - Coal boiler (Steam) - new 1</v>
      </c>
      <c r="F168" s="224" t="s">
        <v>1149</v>
      </c>
      <c r="G168" s="55" t="s">
        <v>617</v>
      </c>
      <c r="H168" s="174" t="str">
        <f>$AI$13</f>
        <v>IRDPH</v>
      </c>
      <c r="I168" s="174" t="str">
        <f t="shared" si="143"/>
        <v>INDRWH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INDRWH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INDRWH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INDRDPHCOAN1</v>
      </c>
      <c r="E171" s="261" t="str">
        <f>"Industrial heating technology "&amp;$AJ$12&amp;" "&amp;RIGHT(H171,2)&amp;" - Coal boiler (Steam) - new 1"</f>
        <v>Industrial heating technology Paper &amp; Pulp PH - Coal boiler (Steam) - new 1</v>
      </c>
      <c r="F171" s="224" t="s">
        <v>1149</v>
      </c>
      <c r="G171" s="55" t="s">
        <v>617</v>
      </c>
      <c r="H171" s="174" t="str">
        <f>$AI$14</f>
        <v>IRDPH</v>
      </c>
      <c r="I171" s="174" t="str">
        <f t="shared" si="143"/>
        <v>INDRWH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INDRWH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INDRWH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INDRDSHCOAN1</v>
      </c>
      <c r="E174" s="261" t="str">
        <f>"Industrial heating technology "&amp;$AJ$12&amp;" "&amp;RIGHT(H174,2)&amp;" - Coal boiler (Steam) - new 1"</f>
        <v>Industrial heating technology Paper &amp; Pulp SH - Coal boiler (Steam) - new 1</v>
      </c>
      <c r="F174" s="224" t="s">
        <v>1149</v>
      </c>
      <c r="G174" s="55" t="s">
        <v>617</v>
      </c>
      <c r="H174" s="174" t="str">
        <f>$AI$15</f>
        <v>IRDSH</v>
      </c>
      <c r="I174" s="174" t="str">
        <f t="shared" si="143"/>
        <v>INDRWH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INDRWH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INDRWH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INDRDPHCOAN2</v>
      </c>
      <c r="E177" s="261" t="str">
        <f>"Industrial heating technology "&amp;$AJ$12&amp;" "&amp;RIGHT(H177,2)&amp;" - Coal boiler (Hot Water) - new 2"</f>
        <v>Industrial heating technology Paper &amp; Pulp PH - Coal boiler (Hot Water) - new 2</v>
      </c>
      <c r="F177" s="224" t="s">
        <v>1149</v>
      </c>
      <c r="G177" s="55" t="s">
        <v>617</v>
      </c>
      <c r="H177" s="174" t="str">
        <f>$AI$14</f>
        <v>IRDPH</v>
      </c>
      <c r="I177" s="174" t="str">
        <f t="shared" si="143"/>
        <v>INDRWH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INDRWH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INDRWH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INDRDSHCOAN2</v>
      </c>
      <c r="E180" s="261" t="str">
        <f>"Industrial heating technology "&amp;$AJ$12&amp;" "&amp;RIGHT(H180,2)&amp;" - Coal boiler (Hot Water) - new 2"</f>
        <v>Industrial heating technology Paper &amp; Pulp SH - Coal boiler (Hot Water) - new 2</v>
      </c>
      <c r="F180" s="224" t="s">
        <v>1149</v>
      </c>
      <c r="G180" s="55" t="s">
        <v>617</v>
      </c>
      <c r="H180" s="174" t="str">
        <f>$AI$15</f>
        <v>IRDSH</v>
      </c>
      <c r="I180" s="174" t="str">
        <f t="shared" si="143"/>
        <v>INDRWH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INDRWH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INDRWH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INDRDSHSOLN1</v>
      </c>
      <c r="E183" s="261" t="str">
        <f>"Industrial heating technology "&amp;$AJ$12&amp;" "&amp;RIGHT(H183,2)&amp;" - Solar - new 1"</f>
        <v>Industrial heating technology Paper &amp; Pulp SH - Solar - new 1</v>
      </c>
      <c r="F183" s="224" t="s">
        <v>1149</v>
      </c>
      <c r="G183" s="55" t="s">
        <v>500</v>
      </c>
      <c r="H183" s="174" t="str">
        <f>$AI$15</f>
        <v>IRDSH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INDRDSHHCEN1</v>
      </c>
      <c r="E187" s="224" t="str">
        <f>"Industrial heating technology "&amp;$AJ$12&amp;" "&amp;RIGHT(H187,2)&amp;" - central district heating - within DH area - new 1"</f>
        <v>Industrial heating technology Paper &amp; Pulp SH - central district heating - within DH area - new 1</v>
      </c>
      <c r="F187" s="224" t="s">
        <v>1149</v>
      </c>
      <c r="G187" s="225" t="s">
        <v>501</v>
      </c>
      <c r="H187" s="225" t="str">
        <f>AI15</f>
        <v>IRDSH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INDRDPHHCEN1</v>
      </c>
      <c r="E188" s="224" t="str">
        <f>"Industrial heating technology "&amp;$AJ$12&amp;" "&amp;RIGHT(H188,2)&amp;" - central district heating - within DH area - new 1"</f>
        <v>Industrial heating technology Paper &amp; Pulp PH - central district heating - within DH area - new 1</v>
      </c>
      <c r="F188" s="224" t="s">
        <v>1149</v>
      </c>
      <c r="G188" s="225" t="s">
        <v>501</v>
      </c>
      <c r="H188" s="281" t="str">
        <f>AI14</f>
        <v>IRDPH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INDRDSHHSEN1</v>
      </c>
      <c r="E189" s="224" t="str">
        <f>"Industrial heating technology "&amp;$AJ$12&amp;" "&amp;RIGHT(H189,2)&amp;" - central district heating - within DH area - new 1"</f>
        <v>Industrial heating technology Paper &amp; Pulp SH - central district heating - within DH area - new 1</v>
      </c>
      <c r="F189" s="224" t="s">
        <v>1149</v>
      </c>
      <c r="G189" s="225" t="s">
        <v>2125</v>
      </c>
      <c r="H189" s="225" t="str">
        <f>H187</f>
        <v>IRDSH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INDRDPHHSEN1</v>
      </c>
      <c r="E190" s="224" t="str">
        <f>"Industrial heating technology "&amp;$AJ$12&amp;" "&amp;RIGHT(H190,2)&amp;" - central district heating - within DH area - new 1"</f>
        <v>Industrial heating technology Paper &amp; Pulp PH - central district heating - within DH area - new 1</v>
      </c>
      <c r="F190" s="224" t="s">
        <v>1149</v>
      </c>
      <c r="G190" s="225" t="s">
        <v>2125</v>
      </c>
      <c r="H190" s="225" t="str">
        <f>H188</f>
        <v>IRDPH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INDRDSHHDEN1</v>
      </c>
      <c r="E191" s="224" t="str">
        <f>"Industrial heating technology "&amp;$AJ$12&amp;" "&amp;RIGHT(H191,2)&amp;" - decentral district heating - within DH area - new 1"</f>
        <v>Industrial heating technology Paper &amp; Pulp SH - decentral district heating - within DH area - new 1</v>
      </c>
      <c r="F191" s="224" t="s">
        <v>1149</v>
      </c>
      <c r="G191" s="259" t="s">
        <v>502</v>
      </c>
      <c r="H191" s="265" t="str">
        <f>AI15</f>
        <v>IRDSH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INDRDPHHDEN1</v>
      </c>
      <c r="E192" s="224" t="str">
        <f>"Industrial heating technology "&amp;$AJ$12&amp;" "&amp;RIGHT(H192,2)&amp;" - decentral district heating - within DH area - new 1"</f>
        <v>Industrial heating technology Paper &amp; Pulp PH - decentral district heating - within DH area - new 1</v>
      </c>
      <c r="F192" s="224" t="s">
        <v>1149</v>
      </c>
      <c r="G192" s="259" t="s">
        <v>502</v>
      </c>
      <c r="H192" s="225" t="str">
        <f>AI14</f>
        <v>IRDPH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INDRDLAELCN1</v>
      </c>
      <c r="E194" s="224" t="str">
        <f>"Industry "&amp;$AJ$12&amp;" "&amp;RIGHT(H194,2)&amp;" Electricity Light Appliance - New 1"</f>
        <v>Industry Paper &amp; Pulp LA Electricity Light Appliance - New 1</v>
      </c>
      <c r="F194" s="224" t="s">
        <v>1149</v>
      </c>
      <c r="G194" s="225" t="s">
        <v>499</v>
      </c>
      <c r="H194" s="225" t="str">
        <f>AI16</f>
        <v>IRDLA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INDRDEMELCN1</v>
      </c>
      <c r="E198" s="224" t="str">
        <f>"Industry "&amp;$AJ$12&amp;" "&amp;RIGHT(H198,2)&amp;" Electricity Motors - New 1"</f>
        <v>Industry Paper &amp; Pulp EM Electricity Motors - New 1</v>
      </c>
      <c r="F198" s="224" t="s">
        <v>1149</v>
      </c>
      <c r="G198" s="225" t="s">
        <v>499</v>
      </c>
      <c r="H198" s="225" t="str">
        <f>AI17</f>
        <v>IRDEM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INDRDTFDSLN1</v>
      </c>
      <c r="E202" s="224" t="str">
        <f>"Industry "&amp;$AJ$12&amp;" "&amp;RIGHT(H202,2)&amp;" Tractors, Trucks, Fishing boats - New 1"</f>
        <v>Industry Paper &amp; Pulp TF Tractors, Trucks, Fishing boats - New 1</v>
      </c>
      <c r="F202" s="224" t="s">
        <v>1149</v>
      </c>
      <c r="G202" s="173" t="s">
        <v>2081</v>
      </c>
      <c r="H202" s="174" t="str">
        <f>$AI$18</f>
        <v>IRDTF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INDRDTFH2GN2</v>
      </c>
      <c r="E206" s="224" t="str">
        <f>"Industry "&amp;$AJ$12&amp;" "&amp;RIGHT(H206,2)&amp;" Tractors, Trucks, Fishing boats - New 2"</f>
        <v>Industry Paper &amp; Pulp TF Tractors, Trucks, Fishing boats - New 2</v>
      </c>
      <c r="F206" s="224" t="s">
        <v>1149</v>
      </c>
      <c r="G206" s="55" t="s">
        <v>2077</v>
      </c>
      <c r="H206" s="174" t="str">
        <f>$AI$18</f>
        <v>IRDTF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INDRDTFELCN3</v>
      </c>
      <c r="E210" s="224" t="str">
        <f>"Industry "&amp;$AJ$12&amp;" "&amp;RIGHT(H210,2)&amp;" Tractors, Trucks, Fishing boats - New 3"</f>
        <v>Industry Paper &amp; Pulp TF Tractors, Trucks, Fishing boats - New 3</v>
      </c>
      <c r="F210" s="224" t="s">
        <v>1149</v>
      </c>
      <c r="G210" s="55" t="s">
        <v>499</v>
      </c>
      <c r="H210" s="174" t="str">
        <f>$AI$18</f>
        <v>IRDTF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INDRDFLSYNN1</v>
      </c>
      <c r="E214" s="224" t="str">
        <f>"Industry "&amp;$AJ$12&amp;" "&amp;RIGHT(H202,2)&amp;" Forklifts - New 1"</f>
        <v>Industry Paper &amp; Pulp TF Forklifts - New 1</v>
      </c>
      <c r="F214" s="224" t="s">
        <v>1149</v>
      </c>
      <c r="G214" s="173" t="s">
        <v>2082</v>
      </c>
      <c r="H214" s="224" t="str">
        <f>AI19</f>
        <v>IRDFL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INDRDCOELCN1</v>
      </c>
      <c r="E218" s="224" t="str">
        <f>"Industry "&amp;$AJ$12&amp;" "&amp;RIGHT(H218,2)&amp;" Cooling - New 1"</f>
        <v>Industry Paper &amp; Pulp CO Cooling - New 1</v>
      </c>
      <c r="F218" s="224" t="s">
        <v>1149</v>
      </c>
      <c r="G218" s="173" t="s">
        <v>499</v>
      </c>
      <c r="H218" s="224" t="str">
        <f>AI21</f>
        <v>IRDCO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INDRDPHELCN1</v>
      </c>
      <c r="E229" s="212" t="str">
        <f t="shared" ref="E229:E260" si="266">VLOOKUP(D229,$D$9:$E$222,2,FALSE)</f>
        <v>Industrial heating technology Paper &amp; Pulp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INDRDSHELCN1</v>
      </c>
      <c r="E230" s="212" t="str">
        <f t="shared" ca="1" si="266"/>
        <v>Industrial heating technology Paper &amp; Pulp SH - Heat pump utilizing waste heat - new 1</v>
      </c>
      <c r="F230" s="262" t="s">
        <v>450</v>
      </c>
      <c r="G230" s="262" t="s">
        <v>449</v>
      </c>
      <c r="H230" s="263" t="s">
        <v>620</v>
      </c>
      <c r="I230" s="301"/>
      <c r="J230" s="264" t="s">
        <v>469</v>
      </c>
    </row>
    <row r="231" spans="1:10">
      <c r="A231" s="169"/>
      <c r="D231" s="212" t="str">
        <f t="shared" ca="1" si="267"/>
        <v>INDRDPHELCN2</v>
      </c>
      <c r="E231" s="212" t="str">
        <f t="shared" ca="1" si="266"/>
        <v>Industrial heating technology Paper &amp; Pulp PH - Heat driven heat pump utilizing waste heat - new 2</v>
      </c>
      <c r="F231" s="211" t="s">
        <v>450</v>
      </c>
      <c r="G231" s="211" t="s">
        <v>449</v>
      </c>
      <c r="H231" s="263" t="s">
        <v>620</v>
      </c>
      <c r="I231" s="208"/>
      <c r="J231" s="264" t="s">
        <v>469</v>
      </c>
    </row>
    <row r="232" spans="1:10">
      <c r="A232" s="169"/>
      <c r="B232" s="211"/>
      <c r="C232" s="211"/>
      <c r="D232" s="212" t="str">
        <f t="shared" ca="1" si="267"/>
        <v>INDRDSHELCN2</v>
      </c>
      <c r="E232" s="212" t="str">
        <f t="shared" ca="1" si="266"/>
        <v>Industrial heating technology Paper &amp; Pulp SH - Heat driven heat pump utilizing waste heat - new 2</v>
      </c>
      <c r="F232" s="262" t="s">
        <v>450</v>
      </c>
      <c r="G232" s="262" t="s">
        <v>449</v>
      </c>
      <c r="H232" s="263" t="s">
        <v>620</v>
      </c>
      <c r="I232" s="264"/>
      <c r="J232" s="264" t="s">
        <v>469</v>
      </c>
    </row>
    <row r="233" spans="1:10">
      <c r="A233" s="169"/>
      <c r="B233" s="211"/>
      <c r="C233" s="211"/>
      <c r="D233" s="212" t="str">
        <f t="shared" ca="1" si="267"/>
        <v>INDRDPHELCN3</v>
      </c>
      <c r="E233" s="212" t="str">
        <f t="shared" ca="1" si="266"/>
        <v>Industrial heating technology Paper &amp; Pulp PH - High Temp abs. Heat pump utilizing waste heat - new 3</v>
      </c>
      <c r="F233" s="262" t="s">
        <v>450</v>
      </c>
      <c r="G233" s="262" t="s">
        <v>449</v>
      </c>
      <c r="H233" s="263" t="s">
        <v>620</v>
      </c>
      <c r="I233" s="264"/>
      <c r="J233" s="264" t="s">
        <v>469</v>
      </c>
    </row>
    <row r="234" spans="1:10">
      <c r="A234" s="169"/>
      <c r="B234" s="211"/>
      <c r="C234" s="211"/>
      <c r="D234" s="212" t="str">
        <f t="shared" ca="1" si="267"/>
        <v>INDRDSHELCN3</v>
      </c>
      <c r="E234" s="212" t="str">
        <f t="shared" ca="1" si="266"/>
        <v>Industrial heating technology Paper &amp; Pulp SH - High Temp abs. Heat pump utilizing waste heat - new 3</v>
      </c>
      <c r="F234" s="262" t="s">
        <v>450</v>
      </c>
      <c r="G234" s="262" t="s">
        <v>449</v>
      </c>
      <c r="H234" s="263" t="s">
        <v>620</v>
      </c>
      <c r="I234" s="264"/>
      <c r="J234" s="264" t="s">
        <v>469</v>
      </c>
    </row>
    <row r="235" spans="1:10">
      <c r="A235" s="169"/>
      <c r="B235" s="211"/>
      <c r="C235" s="211"/>
      <c r="D235" s="212" t="str">
        <f t="shared" ca="1" si="267"/>
        <v>INDRDPHELCN4</v>
      </c>
      <c r="E235" s="212" t="str">
        <f t="shared" ca="1" si="266"/>
        <v>Industrial heating technology Paper &amp; Pulp PH - Booster Heat pump utilizing waste heat - new 4</v>
      </c>
      <c r="F235" s="262" t="s">
        <v>450</v>
      </c>
      <c r="G235" s="262" t="s">
        <v>449</v>
      </c>
      <c r="H235" s="263" t="s">
        <v>620</v>
      </c>
      <c r="I235" s="264"/>
      <c r="J235" s="264" t="s">
        <v>469</v>
      </c>
    </row>
    <row r="236" spans="1:10">
      <c r="A236" s="169"/>
      <c r="B236" s="211"/>
      <c r="C236" s="211"/>
      <c r="D236" s="212" t="str">
        <f t="shared" ca="1" si="267"/>
        <v>INDRDSHELCN4</v>
      </c>
      <c r="E236" s="212" t="str">
        <f t="shared" ca="1" si="266"/>
        <v>Industrial heating technology Paper &amp; Pulp SH - Booster Heat pump utilizing waste heat - new 4</v>
      </c>
      <c r="F236" s="262" t="s">
        <v>450</v>
      </c>
      <c r="G236" s="262" t="s">
        <v>449</v>
      </c>
      <c r="H236" s="263" t="s">
        <v>620</v>
      </c>
      <c r="I236" s="264"/>
      <c r="J236" s="264" t="s">
        <v>469</v>
      </c>
    </row>
    <row r="237" spans="1:10">
      <c r="A237" s="169"/>
      <c r="B237" s="211"/>
      <c r="C237" s="211"/>
      <c r="D237" s="212" t="str">
        <f t="shared" ca="1" si="267"/>
        <v>INDRDPHELCN5</v>
      </c>
      <c r="E237" s="212" t="str">
        <f t="shared" ca="1" si="266"/>
        <v>Industrial heating technology Paper &amp; Pulp PH - MVR utilizing waste heat - new 5</v>
      </c>
      <c r="F237" s="262" t="s">
        <v>450</v>
      </c>
      <c r="G237" s="262" t="s">
        <v>449</v>
      </c>
      <c r="H237" s="263"/>
      <c r="I237" s="264"/>
      <c r="J237" s="264" t="s">
        <v>469</v>
      </c>
    </row>
    <row r="238" spans="1:10">
      <c r="A238" s="169"/>
      <c r="B238" s="211"/>
      <c r="C238" s="211"/>
      <c r="D238" s="212" t="str">
        <f t="shared" ca="1" si="267"/>
        <v>INDRDPHWSTN1</v>
      </c>
      <c r="E238" s="212" t="str">
        <f t="shared" ca="1" si="266"/>
        <v>Industrial heating technology Paper &amp; Pulp PH - Hotdisc - new 1</v>
      </c>
      <c r="F238" s="262" t="s">
        <v>450</v>
      </c>
      <c r="G238" s="262" t="s">
        <v>449</v>
      </c>
      <c r="H238" s="263" t="s">
        <v>620</v>
      </c>
      <c r="I238" s="264"/>
      <c r="J238" s="264" t="s">
        <v>469</v>
      </c>
    </row>
    <row r="239" spans="1:10">
      <c r="A239" s="169"/>
      <c r="B239" s="211"/>
      <c r="C239" s="211"/>
      <c r="D239" s="212" t="str">
        <f t="shared" ref="D239:D278" ca="1" si="268">OFFSET($D$9,(ROW(D19)*3),0)</f>
        <v>INDRDPHELCN6</v>
      </c>
      <c r="E239" s="212" t="str">
        <f t="shared" ca="1" si="266"/>
        <v>Industrial heating technology Paper &amp; Pulp PH - Dielectric heating - new 6</v>
      </c>
      <c r="F239" s="262" t="s">
        <v>450</v>
      </c>
      <c r="G239" s="262" t="s">
        <v>449</v>
      </c>
      <c r="H239" s="263" t="s">
        <v>620</v>
      </c>
      <c r="I239" s="264"/>
      <c r="J239" s="264" t="s">
        <v>469</v>
      </c>
    </row>
    <row r="240" spans="1:10">
      <c r="A240" s="169"/>
      <c r="B240" s="211"/>
      <c r="C240" s="211"/>
      <c r="D240" s="212" t="str">
        <f t="shared" ca="1" si="268"/>
        <v>INDRDPHELCN7</v>
      </c>
      <c r="E240" s="212" t="str">
        <f t="shared" ca="1" si="266"/>
        <v>Industrial heating technology Paper &amp; Pulp PH - Infrared heating - new 7</v>
      </c>
      <c r="F240" s="262" t="s">
        <v>450</v>
      </c>
      <c r="G240" s="262" t="s">
        <v>449</v>
      </c>
      <c r="H240" s="263" t="s">
        <v>620</v>
      </c>
      <c r="I240" s="264"/>
      <c r="J240" s="264" t="s">
        <v>469</v>
      </c>
    </row>
    <row r="241" spans="1:16">
      <c r="A241" s="169"/>
      <c r="B241" s="211"/>
      <c r="C241" s="211"/>
      <c r="D241" s="212" t="str">
        <f t="shared" ca="1" si="268"/>
        <v>INDRDPHELCN8</v>
      </c>
      <c r="E241" s="212" t="str">
        <f t="shared" ca="1" si="266"/>
        <v>Industrial heating technology Paper &amp; Pulp PH - Electric boiler (Steam) - new 8</v>
      </c>
      <c r="F241" s="262" t="s">
        <v>450</v>
      </c>
      <c r="G241" s="262" t="s">
        <v>449</v>
      </c>
      <c r="H241" s="263" t="s">
        <v>620</v>
      </c>
      <c r="I241" s="264"/>
      <c r="J241" s="264" t="s">
        <v>469</v>
      </c>
    </row>
    <row r="242" spans="1:16">
      <c r="A242" s="169"/>
      <c r="B242" s="211"/>
      <c r="C242" s="211"/>
      <c r="D242" s="212" t="str">
        <f t="shared" ca="1" si="268"/>
        <v>INDRDPHELCN8</v>
      </c>
      <c r="E242" s="212" t="str">
        <f t="shared" ca="1" si="266"/>
        <v>Industrial heating technology Paper &amp; Pulp PH - Electric boiler (Steam) - new 8</v>
      </c>
      <c r="F242" s="262" t="s">
        <v>450</v>
      </c>
      <c r="G242" s="262" t="s">
        <v>449</v>
      </c>
      <c r="H242" s="263" t="s">
        <v>620</v>
      </c>
      <c r="I242" s="264"/>
      <c r="J242" s="264" t="s">
        <v>469</v>
      </c>
    </row>
    <row r="243" spans="1:16">
      <c r="A243" s="169"/>
      <c r="B243" s="211"/>
      <c r="C243" s="211"/>
      <c r="D243" s="212" t="str">
        <f t="shared" ca="1" si="268"/>
        <v>INDRDSHELCN8</v>
      </c>
      <c r="E243" s="212" t="str">
        <f t="shared" ca="1" si="266"/>
        <v>Industrial heating technology Paper &amp; Pulp SH - Electric boiler (Steam) - new 8</v>
      </c>
      <c r="F243" s="262" t="s">
        <v>450</v>
      </c>
      <c r="G243" s="262" t="s">
        <v>449</v>
      </c>
      <c r="H243" s="263" t="s">
        <v>620</v>
      </c>
      <c r="I243" s="264"/>
      <c r="J243" s="264" t="s">
        <v>469</v>
      </c>
      <c r="P243" s="173"/>
    </row>
    <row r="244" spans="1:16">
      <c r="A244" s="169"/>
      <c r="B244" s="211"/>
      <c r="C244" s="211"/>
      <c r="D244" s="212" t="str">
        <f t="shared" ca="1" si="268"/>
        <v>INDRDPHELCN9</v>
      </c>
      <c r="E244" s="212" t="str">
        <f t="shared" ca="1" si="266"/>
        <v>Industrial heating technology Paper &amp; Pulp PH - Electric boiler (Hot Water) - new 9</v>
      </c>
      <c r="F244" s="262" t="s">
        <v>450</v>
      </c>
      <c r="G244" s="262" t="s">
        <v>449</v>
      </c>
      <c r="H244" s="263" t="s">
        <v>620</v>
      </c>
      <c r="I244" s="264"/>
      <c r="J244" s="264" t="s">
        <v>469</v>
      </c>
      <c r="P244" s="173"/>
    </row>
    <row r="245" spans="1:16">
      <c r="A245" s="169"/>
      <c r="B245" s="211"/>
      <c r="C245" s="211"/>
      <c r="D245" s="212" t="str">
        <f t="shared" ca="1" si="268"/>
        <v>INDRDSHELCN9</v>
      </c>
      <c r="E245" s="212" t="str">
        <f t="shared" ca="1" si="266"/>
        <v>Industrial heating technology Paper &amp; Pulp SH - Electric boiler (Hot Water) - new 9</v>
      </c>
      <c r="F245" s="262" t="s">
        <v>450</v>
      </c>
      <c r="G245" s="262" t="s">
        <v>449</v>
      </c>
      <c r="H245" s="263" t="s">
        <v>620</v>
      </c>
      <c r="I245" s="264"/>
      <c r="J245" s="264" t="s">
        <v>469</v>
      </c>
      <c r="P245" s="173"/>
    </row>
    <row r="246" spans="1:16">
      <c r="A246" s="169"/>
      <c r="B246" s="211"/>
      <c r="C246" s="211"/>
      <c r="D246" s="212" t="str">
        <f t="shared" ca="1" si="268"/>
        <v>INDRDPHWCHN1</v>
      </c>
      <c r="E246" s="212" t="str">
        <f t="shared" ca="1" si="266"/>
        <v>Industrial heating technology Paper &amp; Pulp PH - Wood chip boiler (Steam) - new 1</v>
      </c>
      <c r="F246" s="262" t="s">
        <v>450</v>
      </c>
      <c r="G246" s="262" t="s">
        <v>449</v>
      </c>
      <c r="H246" s="263"/>
      <c r="I246" s="264"/>
      <c r="J246" s="264" t="s">
        <v>469</v>
      </c>
      <c r="P246" s="173"/>
    </row>
    <row r="247" spans="1:16">
      <c r="A247" s="169"/>
      <c r="B247" s="211"/>
      <c r="C247" s="211"/>
      <c r="D247" s="212" t="str">
        <f t="shared" ca="1" si="268"/>
        <v>INDRDPHWCHN1</v>
      </c>
      <c r="E247" s="212" t="str">
        <f t="shared" ca="1" si="266"/>
        <v>Industrial heating technology Paper &amp; Pulp PH - Wood chip boiler (Steam) - new 1</v>
      </c>
      <c r="F247" s="262" t="s">
        <v>450</v>
      </c>
      <c r="G247" s="262" t="s">
        <v>449</v>
      </c>
      <c r="H247" s="263"/>
      <c r="I247" s="264"/>
      <c r="J247" s="264" t="s">
        <v>469</v>
      </c>
      <c r="M247" s="171"/>
      <c r="N247" s="171"/>
      <c r="P247" s="173"/>
    </row>
    <row r="248" spans="1:16">
      <c r="A248" s="169"/>
      <c r="B248" s="211"/>
      <c r="C248" s="211"/>
      <c r="D248" s="212" t="str">
        <f t="shared" ca="1" si="268"/>
        <v>INDRDSHWCHN1</v>
      </c>
      <c r="E248" s="212" t="str">
        <f t="shared" ca="1" si="266"/>
        <v>Industrial heating technology Paper &amp; Pulp SH - Wood chip boiler (Steam) - new 1</v>
      </c>
      <c r="F248" s="262" t="s">
        <v>450</v>
      </c>
      <c r="G248" s="262" t="s">
        <v>449</v>
      </c>
      <c r="H248" s="263"/>
      <c r="I248" s="264"/>
      <c r="J248" s="264" t="s">
        <v>469</v>
      </c>
      <c r="M248" s="171"/>
      <c r="N248" s="171"/>
      <c r="P248" s="173"/>
    </row>
    <row r="249" spans="1:16">
      <c r="A249" s="169"/>
      <c r="B249" s="211"/>
      <c r="C249" s="211"/>
      <c r="D249" s="212" t="str">
        <f t="shared" ca="1" si="268"/>
        <v>INDRDPHWCHN2</v>
      </c>
      <c r="E249" s="212" t="str">
        <f t="shared" ca="1" si="266"/>
        <v>Industrial heating technology Paper &amp; Pulp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INDRDSHWCHN2</v>
      </c>
      <c r="E250" s="212" t="str">
        <f t="shared" ca="1" si="266"/>
        <v>Industrial heating technology Paper &amp; Pulp SH - Wood chip boiler (Steam - condensing) - new 2</v>
      </c>
      <c r="F250" s="262" t="s">
        <v>450</v>
      </c>
      <c r="G250" s="262" t="s">
        <v>449</v>
      </c>
      <c r="H250" s="263"/>
      <c r="I250" s="264"/>
      <c r="J250" s="264" t="s">
        <v>469</v>
      </c>
    </row>
    <row r="251" spans="1:16">
      <c r="A251" s="169"/>
      <c r="B251" s="212"/>
      <c r="C251" s="212"/>
      <c r="D251" s="212" t="str">
        <f t="shared" ca="1" si="268"/>
        <v>INDRDPHWCHN3</v>
      </c>
      <c r="E251" s="212" t="str">
        <f t="shared" ca="1" si="266"/>
        <v>Industrial heating technology Paper &amp; Pulp PH - Wood chip boiler (Hot Water) - new 3</v>
      </c>
      <c r="F251" s="262" t="s">
        <v>450</v>
      </c>
      <c r="G251" s="262" t="s">
        <v>449</v>
      </c>
      <c r="H251" s="261"/>
      <c r="I251" s="261"/>
      <c r="J251" s="264" t="s">
        <v>469</v>
      </c>
    </row>
    <row r="252" spans="1:16">
      <c r="A252" s="169"/>
      <c r="B252" s="212"/>
      <c r="C252" s="212"/>
      <c r="D252" s="212" t="str">
        <f t="shared" ca="1" si="268"/>
        <v>INDRDSHWCHN3</v>
      </c>
      <c r="E252" s="212" t="str">
        <f t="shared" ca="1" si="266"/>
        <v>Industrial heating technology Paper &amp; Pulp SH - Wood chip boiler (Hot Water) - new 3</v>
      </c>
      <c r="F252" s="262" t="s">
        <v>450</v>
      </c>
      <c r="G252" s="262" t="s">
        <v>449</v>
      </c>
      <c r="H252" s="261"/>
      <c r="I252" s="261"/>
      <c r="J252" s="264" t="s">
        <v>469</v>
      </c>
    </row>
    <row r="253" spans="1:16">
      <c r="A253" s="169"/>
      <c r="B253" s="212"/>
      <c r="C253" s="212"/>
      <c r="D253" s="212" t="str">
        <f t="shared" ca="1" si="268"/>
        <v>INDRDPHWCHN4</v>
      </c>
      <c r="E253" s="212" t="str">
        <f t="shared" ca="1" si="266"/>
        <v>Industrial heating technology Paper &amp; Pulp PH - Wood chip boiler (Hot Water - condensing) - new 4</v>
      </c>
      <c r="F253" s="262" t="s">
        <v>450</v>
      </c>
      <c r="G253" s="262" t="s">
        <v>449</v>
      </c>
      <c r="H253" s="261"/>
      <c r="I253" s="261"/>
      <c r="J253" s="264" t="s">
        <v>469</v>
      </c>
    </row>
    <row r="254" spans="1:16">
      <c r="A254" s="169"/>
      <c r="B254" s="212"/>
      <c r="C254" s="212"/>
      <c r="D254" s="212" t="str">
        <f t="shared" ca="1" si="268"/>
        <v>INDRDSHWCHN4</v>
      </c>
      <c r="E254" s="212" t="str">
        <f t="shared" ca="1" si="266"/>
        <v>Industrial heating technology Paper &amp; Pulp SH - Wood chip boiler (Hot Water- condensing) - new 4</v>
      </c>
      <c r="F254" s="262" t="s">
        <v>450</v>
      </c>
      <c r="G254" s="262" t="s">
        <v>449</v>
      </c>
      <c r="H254" s="261"/>
      <c r="I254" s="261"/>
      <c r="J254" s="264" t="s">
        <v>469</v>
      </c>
    </row>
    <row r="255" spans="1:16">
      <c r="B255" s="212"/>
      <c r="C255" s="212"/>
      <c r="D255" s="212" t="str">
        <f t="shared" ca="1" si="268"/>
        <v>INDRDPHELCN10</v>
      </c>
      <c r="E255" s="212" t="str">
        <f t="shared" ca="1" si="266"/>
        <v>Industrial heating technology Paper &amp; Pulp PH - Direct electric heating - new 10</v>
      </c>
      <c r="F255" s="262" t="s">
        <v>450</v>
      </c>
      <c r="G255" s="262" t="s">
        <v>449</v>
      </c>
      <c r="H255" s="261"/>
      <c r="I255" s="261"/>
      <c r="J255" s="264" t="s">
        <v>469</v>
      </c>
    </row>
    <row r="256" spans="1:16">
      <c r="B256" s="212"/>
      <c r="C256" s="212"/>
      <c r="D256" s="212" t="str">
        <f t="shared" ca="1" si="268"/>
        <v>INDRDPHELCN10</v>
      </c>
      <c r="E256" s="212" t="str">
        <f t="shared" ca="1" si="266"/>
        <v>Industrial heating technology Paper &amp; Pulp PH - Direct electric heating - new 10</v>
      </c>
      <c r="F256" s="262" t="s">
        <v>450</v>
      </c>
      <c r="G256" s="262" t="s">
        <v>449</v>
      </c>
      <c r="H256" s="261"/>
      <c r="I256" s="261"/>
      <c r="J256" s="264" t="s">
        <v>469</v>
      </c>
    </row>
    <row r="257" spans="1:10">
      <c r="B257" s="212"/>
      <c r="C257" s="212"/>
      <c r="D257" s="212" t="str">
        <f t="shared" ca="1" si="268"/>
        <v>INDRDPHDSLN1</v>
      </c>
      <c r="E257" s="212" t="str">
        <f t="shared" ca="1" si="266"/>
        <v>Industrial heating technology Paper &amp; Pulp PH - Oil boiler (Steam) - new 1</v>
      </c>
      <c r="F257" s="262" t="s">
        <v>450</v>
      </c>
      <c r="G257" s="262" t="s">
        <v>449</v>
      </c>
      <c r="H257" s="261"/>
      <c r="I257" s="261"/>
      <c r="J257" s="264" t="s">
        <v>469</v>
      </c>
    </row>
    <row r="258" spans="1:10">
      <c r="B258" s="212"/>
      <c r="C258" s="212"/>
      <c r="D258" s="212" t="str">
        <f t="shared" ca="1" si="268"/>
        <v>INDRDPHDSLN1</v>
      </c>
      <c r="E258" s="212" t="str">
        <f t="shared" ca="1" si="266"/>
        <v>Industrial heating technology Paper &amp; Pulp PH - Oil boiler (Steam) - new 1</v>
      </c>
      <c r="F258" s="262" t="s">
        <v>450</v>
      </c>
      <c r="G258" s="262" t="s">
        <v>449</v>
      </c>
      <c r="H258" s="261"/>
      <c r="I258" s="261"/>
      <c r="J258" s="264" t="s">
        <v>469</v>
      </c>
    </row>
    <row r="259" spans="1:10">
      <c r="B259" s="212"/>
      <c r="C259" s="212"/>
      <c r="D259" s="212" t="str">
        <f t="shared" ca="1" si="268"/>
        <v>INDRDSHDSLN1</v>
      </c>
      <c r="E259" s="212" t="str">
        <f t="shared" ca="1" si="266"/>
        <v>Industrial heating technology Paper &amp; Pulp SH - Oil boiler (Steam) - new 1</v>
      </c>
      <c r="F259" s="262" t="s">
        <v>450</v>
      </c>
      <c r="G259" s="262" t="s">
        <v>449</v>
      </c>
      <c r="H259" s="261"/>
      <c r="I259" s="261"/>
      <c r="J259" s="264" t="s">
        <v>469</v>
      </c>
    </row>
    <row r="260" spans="1:10">
      <c r="A260" s="214"/>
      <c r="B260" s="212"/>
      <c r="C260" s="212"/>
      <c r="D260" s="212" t="str">
        <f t="shared" ca="1" si="268"/>
        <v>INDRDPHDSLN2</v>
      </c>
      <c r="E260" s="212" t="str">
        <f t="shared" ca="1" si="266"/>
        <v>Industrial heating technology Paper &amp; Pulp PH - Oil boiler (Steam - condensing) - new 2</v>
      </c>
      <c r="F260" s="262" t="s">
        <v>450</v>
      </c>
      <c r="G260" s="262" t="s">
        <v>449</v>
      </c>
      <c r="H260" s="261"/>
      <c r="I260" s="261"/>
      <c r="J260" s="264" t="s">
        <v>469</v>
      </c>
    </row>
    <row r="261" spans="1:10">
      <c r="A261" s="214"/>
      <c r="B261" s="212"/>
      <c r="C261" s="212"/>
      <c r="D261" s="212" t="str">
        <f t="shared" ca="1" si="268"/>
        <v>INDRDSHDSLN2</v>
      </c>
      <c r="E261" s="212" t="str">
        <f t="shared" ref="E261:E290" ca="1" si="269">VLOOKUP(D261,$D$9:$E$222,2,FALSE)</f>
        <v>Industrial heating technology Paper &amp; Pulp SH - Oil boiler (Steam - condensing) - new 2</v>
      </c>
      <c r="F261" s="262" t="s">
        <v>450</v>
      </c>
      <c r="G261" s="262" t="s">
        <v>449</v>
      </c>
      <c r="H261" s="261"/>
      <c r="I261" s="261"/>
      <c r="J261" s="264" t="s">
        <v>469</v>
      </c>
    </row>
    <row r="262" spans="1:10">
      <c r="A262" s="214"/>
      <c r="B262" s="212"/>
      <c r="C262" s="212"/>
      <c r="D262" s="212" t="str">
        <f t="shared" ca="1" si="268"/>
        <v>INDRDPHGASN1</v>
      </c>
      <c r="E262" s="212" t="str">
        <f t="shared" ca="1" si="269"/>
        <v>Industrial heating technology Paper &amp; Pulp PH - Gas boiler (Steam) - new 1</v>
      </c>
      <c r="F262" s="262" t="s">
        <v>450</v>
      </c>
      <c r="G262" s="262" t="s">
        <v>449</v>
      </c>
      <c r="H262" s="261"/>
      <c r="I262" s="261"/>
      <c r="J262" s="264" t="s">
        <v>469</v>
      </c>
    </row>
    <row r="263" spans="1:10">
      <c r="A263" s="214"/>
      <c r="B263" s="212"/>
      <c r="C263" s="212"/>
      <c r="D263" s="212" t="str">
        <f t="shared" ca="1" si="268"/>
        <v>INDRDPHGASN1</v>
      </c>
      <c r="E263" s="212" t="str">
        <f t="shared" ca="1" si="269"/>
        <v>Industrial heating technology Paper &amp; Pulp PH - Gas boiler (Steam) - new 1</v>
      </c>
      <c r="F263" s="262" t="s">
        <v>450</v>
      </c>
      <c r="G263" s="262" t="s">
        <v>449</v>
      </c>
      <c r="H263" s="261"/>
      <c r="I263" s="261"/>
      <c r="J263" s="264" t="s">
        <v>469</v>
      </c>
    </row>
    <row r="264" spans="1:10">
      <c r="B264" s="212"/>
      <c r="C264" s="212"/>
      <c r="D264" s="212" t="str">
        <f t="shared" ca="1" si="268"/>
        <v>INDRDSHGASN1</v>
      </c>
      <c r="E264" s="212" t="str">
        <f t="shared" ca="1" si="269"/>
        <v>Industrial heating technology Paper &amp; Pulp SH - Gas boiler (Steam) - new 1</v>
      </c>
      <c r="F264" s="262" t="s">
        <v>450</v>
      </c>
      <c r="G264" s="262" t="s">
        <v>449</v>
      </c>
      <c r="H264" s="261"/>
      <c r="I264" s="261"/>
      <c r="J264" s="264" t="s">
        <v>469</v>
      </c>
    </row>
    <row r="265" spans="1:10">
      <c r="B265" s="212"/>
      <c r="C265" s="212"/>
      <c r="D265" s="212" t="str">
        <f t="shared" ca="1" si="268"/>
        <v>INDRDPHGASN2</v>
      </c>
      <c r="E265" s="212" t="str">
        <f t="shared" ca="1" si="269"/>
        <v>Industrial heating technology Paper &amp; Pulp PH - Gas boiler (Steam - condensing) - new 2</v>
      </c>
      <c r="F265" s="262" t="s">
        <v>450</v>
      </c>
      <c r="G265" s="262" t="s">
        <v>449</v>
      </c>
      <c r="H265" s="261"/>
      <c r="I265" s="261"/>
      <c r="J265" s="264" t="s">
        <v>469</v>
      </c>
    </row>
    <row r="266" spans="1:10">
      <c r="B266" s="212"/>
      <c r="C266" s="212"/>
      <c r="D266" s="212" t="str">
        <f t="shared" ca="1" si="268"/>
        <v>INDRDSHGASN2</v>
      </c>
      <c r="E266" s="212" t="str">
        <f t="shared" ca="1" si="269"/>
        <v>Industrial heating technology Paper &amp; Pulp SH - Gas boiler (Steam - condensing) - new 2</v>
      </c>
      <c r="F266" s="262" t="s">
        <v>450</v>
      </c>
      <c r="G266" s="262" t="s">
        <v>449</v>
      </c>
      <c r="H266" s="261"/>
      <c r="I266" s="261"/>
      <c r="J266" s="264" t="s">
        <v>469</v>
      </c>
    </row>
    <row r="267" spans="1:10">
      <c r="B267" s="212"/>
      <c r="C267" s="212"/>
      <c r="D267" s="212" t="str">
        <f t="shared" ca="1" si="268"/>
        <v>INDRDPHGASN3</v>
      </c>
      <c r="E267" s="212" t="str">
        <f t="shared" ca="1" si="269"/>
        <v>Industrial heating technology Paper &amp; Pulp PH - Gas boiler (Hot Water) - new 3</v>
      </c>
      <c r="F267" s="262" t="s">
        <v>450</v>
      </c>
      <c r="G267" s="262" t="s">
        <v>449</v>
      </c>
      <c r="H267" s="261"/>
      <c r="I267" s="261"/>
      <c r="J267" s="264" t="s">
        <v>469</v>
      </c>
    </row>
    <row r="268" spans="1:10">
      <c r="B268" s="212"/>
      <c r="C268" s="212"/>
      <c r="D268" s="212" t="str">
        <f t="shared" ca="1" si="268"/>
        <v>INDRDSHGASN3</v>
      </c>
      <c r="E268" s="212" t="str">
        <f t="shared" ca="1" si="269"/>
        <v>Industrial heating technology Paper &amp; Pulp SH - Gas boiler (Hot Water) - new 3</v>
      </c>
      <c r="F268" s="262" t="s">
        <v>450</v>
      </c>
      <c r="G268" s="262" t="s">
        <v>449</v>
      </c>
      <c r="H268" s="261"/>
      <c r="I268" s="261"/>
      <c r="J268" s="264" t="s">
        <v>469</v>
      </c>
    </row>
    <row r="269" spans="1:10">
      <c r="B269" s="212"/>
      <c r="C269" s="212"/>
      <c r="D269" s="212" t="str">
        <f t="shared" ca="1" si="268"/>
        <v>INDRDPHGASN4</v>
      </c>
      <c r="E269" s="212" t="str">
        <f t="shared" ca="1" si="269"/>
        <v>Industrial heating technology Paper &amp; Pulp PH - Gas boiler (Hot Water - condensing) - new 4</v>
      </c>
      <c r="F269" s="262" t="s">
        <v>450</v>
      </c>
      <c r="G269" s="262" t="s">
        <v>449</v>
      </c>
      <c r="H269" s="261"/>
      <c r="I269" s="261"/>
      <c r="J269" s="264" t="s">
        <v>469</v>
      </c>
    </row>
    <row r="270" spans="1:10">
      <c r="B270" s="212"/>
      <c r="C270" s="212"/>
      <c r="D270" s="212" t="str">
        <f t="shared" ca="1" si="268"/>
        <v>INDRDSHGASN4</v>
      </c>
      <c r="E270" s="212" t="str">
        <f t="shared" ca="1" si="269"/>
        <v>Industrial heating technology Paper &amp; Pulp SH - Gas boiler (Hot Water- condensing) - new 4</v>
      </c>
      <c r="F270" s="262" t="s">
        <v>450</v>
      </c>
      <c r="G270" s="262" t="s">
        <v>449</v>
      </c>
      <c r="H270" s="261"/>
      <c r="I270" s="261"/>
      <c r="J270" s="264" t="s">
        <v>469</v>
      </c>
    </row>
    <row r="271" spans="1:10">
      <c r="B271" s="212"/>
      <c r="C271" s="212"/>
      <c r="D271" s="212" t="str">
        <f t="shared" ca="1" si="268"/>
        <v>INDRDPHGASN5</v>
      </c>
      <c r="E271" s="212" t="str">
        <f t="shared" ca="1" si="269"/>
        <v>Industrial heating technology Paper &amp; Pulp PH - Gas boiler (Direct firing) - new 5</v>
      </c>
      <c r="F271" s="262" t="s">
        <v>450</v>
      </c>
      <c r="G271" s="262" t="s">
        <v>449</v>
      </c>
      <c r="H271" s="261"/>
      <c r="I271" s="261"/>
      <c r="J271" s="264" t="s">
        <v>469</v>
      </c>
    </row>
    <row r="272" spans="1:10">
      <c r="B272" s="212"/>
      <c r="C272" s="212"/>
      <c r="D272" s="212" t="str">
        <f t="shared" ca="1" si="268"/>
        <v>INDRDPHGASN5</v>
      </c>
      <c r="E272" s="212" t="str">
        <f t="shared" ca="1" si="269"/>
        <v>Industrial heating technology Paper &amp; Pulp PH - Gas boiler (Direct firing) - new 5</v>
      </c>
      <c r="F272" s="262" t="s">
        <v>450</v>
      </c>
      <c r="G272" s="262" t="s">
        <v>449</v>
      </c>
      <c r="H272" s="261"/>
      <c r="I272" s="261"/>
      <c r="J272" s="264" t="s">
        <v>469</v>
      </c>
    </row>
    <row r="273" spans="2:10">
      <c r="B273" s="212"/>
      <c r="C273" s="212"/>
      <c r="D273" s="212" t="str">
        <f t="shared" ca="1" si="268"/>
        <v>INDRDPHCOAN1</v>
      </c>
      <c r="E273" s="212" t="str">
        <f t="shared" ca="1" si="269"/>
        <v>Industrial heating technology Paper &amp; Pulp PH - Coal boiler (Steam) - new 1</v>
      </c>
      <c r="F273" s="262" t="s">
        <v>450</v>
      </c>
      <c r="G273" s="262" t="s">
        <v>449</v>
      </c>
      <c r="H273" s="261"/>
      <c r="I273" s="261"/>
      <c r="J273" s="264" t="s">
        <v>469</v>
      </c>
    </row>
    <row r="274" spans="2:10">
      <c r="B274" s="212"/>
      <c r="C274" s="212"/>
      <c r="D274" s="212" t="str">
        <f t="shared" ca="1" si="268"/>
        <v>INDRDPHCOAN1</v>
      </c>
      <c r="E274" s="212" t="str">
        <f t="shared" ca="1" si="269"/>
        <v>Industrial heating technology Paper &amp; Pulp PH - Coal boiler (Steam) - new 1</v>
      </c>
      <c r="F274" s="262" t="s">
        <v>450</v>
      </c>
      <c r="G274" s="262" t="s">
        <v>449</v>
      </c>
      <c r="H274" s="261"/>
      <c r="I274" s="261"/>
      <c r="J274" s="264" t="s">
        <v>469</v>
      </c>
    </row>
    <row r="275" spans="2:10">
      <c r="B275" s="212"/>
      <c r="C275" s="212"/>
      <c r="D275" s="212" t="str">
        <f t="shared" ca="1" si="268"/>
        <v>INDRDSHCOAN1</v>
      </c>
      <c r="E275" s="212" t="str">
        <f t="shared" ca="1" si="269"/>
        <v>Industrial heating technology Paper &amp; Pulp SH - Coal boiler (Steam) - new 1</v>
      </c>
      <c r="F275" s="262" t="s">
        <v>450</v>
      </c>
      <c r="G275" s="262" t="s">
        <v>449</v>
      </c>
      <c r="H275" s="261"/>
      <c r="I275" s="261"/>
      <c r="J275" s="264" t="s">
        <v>469</v>
      </c>
    </row>
    <row r="276" spans="2:10">
      <c r="B276" s="212"/>
      <c r="C276" s="212"/>
      <c r="D276" s="212" t="str">
        <f t="shared" ca="1" si="268"/>
        <v>INDRDPHCOAN2</v>
      </c>
      <c r="E276" s="212" t="str">
        <f t="shared" ca="1" si="269"/>
        <v>Industrial heating technology Paper &amp; Pulp PH - Coal boiler (Hot Water) - new 2</v>
      </c>
      <c r="F276" s="262" t="s">
        <v>450</v>
      </c>
      <c r="G276" s="262" t="s">
        <v>449</v>
      </c>
      <c r="H276" s="261"/>
      <c r="I276" s="261"/>
      <c r="J276" s="264" t="s">
        <v>469</v>
      </c>
    </row>
    <row r="277" spans="2:10">
      <c r="B277" s="212"/>
      <c r="C277" s="212"/>
      <c r="D277" s="212" t="str">
        <f t="shared" ca="1" si="268"/>
        <v>INDRDSHCOAN2</v>
      </c>
      <c r="E277" s="212" t="str">
        <f t="shared" ca="1" si="269"/>
        <v>Industrial heating technology Paper &amp; Pulp SH - Coal boiler (Hot Water) - new 2</v>
      </c>
      <c r="F277" s="262" t="s">
        <v>450</v>
      </c>
      <c r="G277" s="262" t="s">
        <v>449</v>
      </c>
      <c r="H277" s="261"/>
      <c r="I277" s="261"/>
      <c r="J277" s="264" t="s">
        <v>469</v>
      </c>
    </row>
    <row r="278" spans="2:10">
      <c r="B278" s="212"/>
      <c r="C278" s="212"/>
      <c r="D278" s="212" t="str">
        <f t="shared" ca="1" si="268"/>
        <v>INDRDSHSOLN1</v>
      </c>
      <c r="E278" s="212" t="str">
        <f t="shared" ca="1" si="269"/>
        <v>Industrial heating technology Paper &amp; Pulp SH - Solar - new 1</v>
      </c>
      <c r="F278" s="262" t="s">
        <v>450</v>
      </c>
      <c r="G278" s="262" t="s">
        <v>449</v>
      </c>
      <c r="H278" s="263" t="s">
        <v>620</v>
      </c>
      <c r="I278" s="261"/>
      <c r="J278" s="264" t="s">
        <v>469</v>
      </c>
    </row>
    <row r="279" spans="2:10">
      <c r="B279" s="212"/>
      <c r="C279" s="212"/>
      <c r="D279" s="889" t="str">
        <f>D187</f>
        <v>INDRDSHHCEN1</v>
      </c>
      <c r="E279" s="889" t="str">
        <f t="shared" si="269"/>
        <v>Industrial heating technology Paper &amp; Pulp SH - central district heating - within DH area - new 1</v>
      </c>
      <c r="F279" s="262" t="s">
        <v>450</v>
      </c>
      <c r="G279" s="262" t="s">
        <v>449</v>
      </c>
      <c r="H279" s="890"/>
      <c r="I279" s="890"/>
      <c r="J279" s="263" t="s">
        <v>469</v>
      </c>
    </row>
    <row r="280" spans="2:10">
      <c r="B280" s="212"/>
      <c r="C280" s="212"/>
      <c r="D280" s="889" t="str">
        <f>D188</f>
        <v>INDRDPHHCEN1</v>
      </c>
      <c r="E280" s="889" t="str">
        <f t="shared" si="269"/>
        <v>Industrial heating technology Paper &amp; Pulp PH - central district heating - within DH area - new 1</v>
      </c>
      <c r="F280" s="262" t="s">
        <v>450</v>
      </c>
      <c r="G280" s="262" t="s">
        <v>449</v>
      </c>
      <c r="H280" s="890"/>
      <c r="I280" s="890"/>
      <c r="J280" s="263" t="s">
        <v>469</v>
      </c>
    </row>
    <row r="281" spans="2:10">
      <c r="B281" s="212"/>
      <c r="C281" s="212"/>
      <c r="D281" s="889" t="str">
        <f>D189</f>
        <v>INDRDSHHSEN1</v>
      </c>
      <c r="E281" s="889" t="str">
        <f t="shared" si="269"/>
        <v>Industrial heating technology Paper &amp; Pulp SH - central district heating - within DH area - new 1</v>
      </c>
      <c r="F281" s="262" t="s">
        <v>450</v>
      </c>
      <c r="G281" s="262" t="s">
        <v>449</v>
      </c>
      <c r="H281" s="890"/>
      <c r="I281" s="890"/>
      <c r="J281" s="263" t="s">
        <v>469</v>
      </c>
    </row>
    <row r="282" spans="2:10">
      <c r="B282" s="212"/>
      <c r="C282" s="212"/>
      <c r="D282" s="889" t="str">
        <f>D190</f>
        <v>INDRDPHHSEN1</v>
      </c>
      <c r="E282" s="889" t="str">
        <f t="shared" si="269"/>
        <v>Industrial heating technology Paper &amp; Pulp PH - central district heating - within DH area - new 1</v>
      </c>
      <c r="F282" s="262" t="s">
        <v>450</v>
      </c>
      <c r="G282" s="262" t="s">
        <v>449</v>
      </c>
      <c r="H282" s="890"/>
      <c r="I282" s="890"/>
      <c r="J282" s="263" t="s">
        <v>469</v>
      </c>
    </row>
    <row r="283" spans="2:10">
      <c r="B283" s="212"/>
      <c r="C283" s="212"/>
      <c r="D283" s="212" t="str">
        <f t="shared" ref="D283" si="270">D191</f>
        <v>INDRDSHHDEN1</v>
      </c>
      <c r="E283" s="212" t="str">
        <f t="shared" si="269"/>
        <v>Industrial heating technology Paper &amp; Pulp SH - decentral district heating - within DH area - new 1</v>
      </c>
      <c r="F283" s="262" t="s">
        <v>450</v>
      </c>
      <c r="G283" s="262" t="s">
        <v>449</v>
      </c>
      <c r="H283" s="261"/>
      <c r="I283" s="261"/>
      <c r="J283" s="264" t="s">
        <v>469</v>
      </c>
    </row>
    <row r="284" spans="2:10">
      <c r="B284" s="212"/>
      <c r="C284" s="212"/>
      <c r="D284" s="212" t="str">
        <f>D192</f>
        <v>INDRDPHHDEN1</v>
      </c>
      <c r="E284" s="212" t="str">
        <f t="shared" si="269"/>
        <v>Industrial heating technology Paper &amp; Pulp PH - decentral district heating - within DH area - new 1</v>
      </c>
      <c r="F284" s="262" t="s">
        <v>450</v>
      </c>
      <c r="G284" s="262" t="s">
        <v>449</v>
      </c>
      <c r="H284" s="261"/>
      <c r="I284" s="261"/>
      <c r="J284" s="264" t="s">
        <v>469</v>
      </c>
    </row>
    <row r="285" spans="2:10">
      <c r="B285" s="212"/>
      <c r="C285" s="212"/>
      <c r="D285" s="212" t="str">
        <f>D194</f>
        <v>INDRDLAELCN1</v>
      </c>
      <c r="E285" s="212" t="str">
        <f t="shared" si="269"/>
        <v>Industry Paper &amp; Pulp LA Electricity Light Appliance - New 1</v>
      </c>
      <c r="F285" s="262" t="s">
        <v>450</v>
      </c>
      <c r="G285" s="262" t="s">
        <v>449</v>
      </c>
      <c r="H285" s="261"/>
      <c r="I285" s="261"/>
      <c r="J285" s="264" t="s">
        <v>469</v>
      </c>
    </row>
    <row r="286" spans="2:10">
      <c r="B286" s="212"/>
      <c r="C286" s="212"/>
      <c r="D286" s="212" t="str">
        <f>D198</f>
        <v>INDRDEMELCN1</v>
      </c>
      <c r="E286" s="212" t="str">
        <f t="shared" si="269"/>
        <v>Industry Paper &amp; Pulp EM Electricity Motors - New 1</v>
      </c>
      <c r="F286" s="262" t="s">
        <v>450</v>
      </c>
      <c r="G286" s="262" t="s">
        <v>449</v>
      </c>
      <c r="H286" s="261"/>
      <c r="I286" s="261"/>
      <c r="J286" s="264" t="s">
        <v>469</v>
      </c>
    </row>
    <row r="287" spans="2:10">
      <c r="B287" s="212"/>
      <c r="C287" s="212"/>
      <c r="D287" s="212" t="str">
        <f>D202</f>
        <v>INDRDTFDSLN1</v>
      </c>
      <c r="E287" s="212" t="str">
        <f t="shared" si="269"/>
        <v>Industry Paper &amp; Pulp TF Tractors, Trucks, Fishing boats - New 1</v>
      </c>
      <c r="F287" s="262" t="s">
        <v>450</v>
      </c>
      <c r="G287" s="262" t="s">
        <v>2078</v>
      </c>
      <c r="H287" s="261"/>
      <c r="I287" s="261"/>
      <c r="J287" s="264" t="s">
        <v>469</v>
      </c>
    </row>
    <row r="288" spans="2:10">
      <c r="B288" s="212"/>
      <c r="C288" s="212"/>
      <c r="D288" s="212" t="str">
        <f>D206</f>
        <v>INDRDTFH2GN2</v>
      </c>
      <c r="E288" s="212" t="str">
        <f t="shared" si="269"/>
        <v>Industry Paper &amp; Pulp TF Tractors, Trucks, Fishing boats - New 2</v>
      </c>
      <c r="F288" s="262" t="s">
        <v>450</v>
      </c>
      <c r="G288" s="262" t="s">
        <v>2078</v>
      </c>
      <c r="H288" s="261"/>
      <c r="I288" s="261"/>
      <c r="J288" s="264" t="s">
        <v>469</v>
      </c>
    </row>
    <row r="289" spans="2:10">
      <c r="B289" s="212"/>
      <c r="C289" s="212"/>
      <c r="D289" s="212" t="str">
        <f>D210</f>
        <v>INDRDTFELCN3</v>
      </c>
      <c r="E289" s="212" t="str">
        <f t="shared" si="269"/>
        <v>Industry Paper &amp; Pulp TF Tractors, Trucks, Fishing boats - New 3</v>
      </c>
      <c r="F289" s="262" t="s">
        <v>450</v>
      </c>
      <c r="G289" s="262" t="s">
        <v>2078</v>
      </c>
      <c r="H289" s="261"/>
      <c r="I289" s="261"/>
      <c r="J289" s="264" t="s">
        <v>469</v>
      </c>
    </row>
    <row r="290" spans="2:10">
      <c r="B290" s="212"/>
      <c r="C290" s="212"/>
      <c r="D290" s="212" t="str">
        <f>D214</f>
        <v>INDRDFLSYNN1</v>
      </c>
      <c r="E290" s="212" t="str">
        <f t="shared" si="269"/>
        <v>Industry Paper &amp; Pulp TF Forklifts - New 1</v>
      </c>
      <c r="F290" s="262" t="s">
        <v>450</v>
      </c>
      <c r="G290" s="262" t="s">
        <v>449</v>
      </c>
      <c r="H290" s="261"/>
      <c r="I290" s="261"/>
      <c r="J290" s="264" t="s">
        <v>469</v>
      </c>
    </row>
    <row r="291" spans="2:10">
      <c r="B291" s="212"/>
      <c r="C291" s="212"/>
      <c r="D291" s="212" t="str">
        <f>D218</f>
        <v>INDRDCOELCN1</v>
      </c>
      <c r="E291" s="212" t="str">
        <f>E218</f>
        <v>Industry Paper &amp; Pulp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IPDSOx</v>
      </c>
      <c r="E296" s="270" t="str">
        <f>"Industrial heating  heating technology "&amp;$AJ$12&amp;" - SOx emission"</f>
        <v>Industrial heating  heating technology Paper &amp; Pulp - SOx emission</v>
      </c>
      <c r="F296" s="219" t="s">
        <v>352</v>
      </c>
      <c r="G296" s="211"/>
      <c r="H296" s="211"/>
      <c r="I296" s="211"/>
      <c r="J296" s="211"/>
    </row>
    <row r="297" spans="2:10">
      <c r="B297" s="214"/>
      <c r="C297" s="214"/>
      <c r="D297" s="260" t="str">
        <f>"I"&amp;LEFT($AJ$12,1)&amp;"DNOx"</f>
        <v>IPDNOx</v>
      </c>
      <c r="E297" s="270" t="str">
        <f>"Industrial heating  heating technology "&amp;$AJ$12&amp;" - NOx emission"</f>
        <v>Industrial heating  heating technology Paper &amp; Pulp - NOx emission</v>
      </c>
      <c r="F297" s="219" t="s">
        <v>352</v>
      </c>
      <c r="G297" s="211"/>
      <c r="H297" s="214"/>
      <c r="I297" s="214"/>
      <c r="J297" s="214"/>
    </row>
    <row r="298" spans="2:10">
      <c r="B298" s="214"/>
      <c r="C298" s="214"/>
      <c r="D298" s="260" t="str">
        <f>"I"&amp;LEFT($AJ$12,1)&amp;"DCH4"</f>
        <v>IPDCH4</v>
      </c>
      <c r="E298" s="270" t="str">
        <f>"Industrial heating  heating technology "&amp;$AJ$12&amp;" - CH4 emission"</f>
        <v>Industrial heating  heating technology Paper &amp; Pulp - CH4 emission</v>
      </c>
      <c r="F298" s="219" t="s">
        <v>352</v>
      </c>
      <c r="G298" s="211"/>
      <c r="H298" s="214"/>
      <c r="I298" s="214"/>
      <c r="J298" s="214"/>
    </row>
    <row r="299" spans="2:10">
      <c r="B299" s="214"/>
      <c r="C299" s="214"/>
      <c r="D299" s="260" t="str">
        <f>"I"&amp;LEFT($AJ$12,1)&amp;"DNO2"</f>
        <v>IPDNO2</v>
      </c>
      <c r="E299" s="270" t="str">
        <f>"Industrial heating  heating technology "&amp;$AJ$12&amp;" - NO2 emission"</f>
        <v>Industrial heating  heating technology Paper &amp; Pulp - NO2 emission</v>
      </c>
      <c r="F299" s="219" t="s">
        <v>352</v>
      </c>
      <c r="G299" s="211"/>
      <c r="H299" s="214"/>
      <c r="I299" s="214"/>
      <c r="J299" s="214"/>
    </row>
    <row r="300" spans="2:10">
      <c r="B300" s="214"/>
      <c r="C300" s="214"/>
      <c r="D300" s="260" t="str">
        <f>"I"&amp;LEFT($AJ$12,1)&amp;"DPM"</f>
        <v>IPDPM</v>
      </c>
      <c r="E300" s="270" t="str">
        <f>"Industrial heating  heating technology "&amp;$AJ$12&amp;" - Particle emission"</f>
        <v>Industrial heating  heating technology Paper &amp; Pulp - Particle emission</v>
      </c>
      <c r="F300" s="219" t="s">
        <v>352</v>
      </c>
      <c r="G300" s="211"/>
      <c r="H300" s="214"/>
      <c r="I300" s="214"/>
      <c r="J300" s="214"/>
    </row>
    <row r="301" spans="2:10">
      <c r="B301" s="224" t="s">
        <v>1057</v>
      </c>
      <c r="D301" s="224" t="str">
        <f>AI20</f>
        <v>INDRWH</v>
      </c>
      <c r="E301" s="270" t="str">
        <f>"Industrial heating technology "&amp;$AJ$12&amp;" - Waste heat"</f>
        <v>Industrial heating technology Paper &amp; Pulp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6800020-93E0-4B93-9BA4-1763BE2C01EC}">
          <x14:formula1>
            <xm:f>'Oil-fired boiler_NEW'!$T$4:$X$4</xm:f>
          </x14:formula1>
          <xm:sqref>E1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E9998-164B-4976-8107-9F99D05D7716}">
  <sheetPr>
    <tabColor rgb="FF00B050"/>
  </sheetPr>
  <dimension ref="A1:AP301"/>
  <sheetViews>
    <sheetView topLeftCell="W6"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716</v>
      </c>
      <c r="N1" s="64"/>
      <c r="O1" s="64"/>
      <c r="P1" s="64"/>
      <c r="S1" s="727" t="s">
        <v>1004</v>
      </c>
      <c r="T1" s="776" t="s">
        <v>1003</v>
      </c>
      <c r="U1" s="775" t="s">
        <v>1053</v>
      </c>
      <c r="V1" s="776" t="s">
        <v>1054</v>
      </c>
      <c r="W1" s="780">
        <v>0.3</v>
      </c>
    </row>
    <row r="2" spans="2:42" ht="15" thickBot="1">
      <c r="E2" s="730" t="s">
        <v>695</v>
      </c>
      <c r="N2" s="731"/>
      <c r="O2" s="731"/>
      <c r="P2" s="731"/>
      <c r="S2" s="726">
        <f>MATCH($E$1,$AJ$22:$AJ$35)</f>
        <v>7</v>
      </c>
      <c r="T2" s="778">
        <f>MATCH($E$1,$AJ$22:$AJ$35)+1</f>
        <v>8</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FEMIS~IWDSOx</v>
      </c>
      <c r="Y6" s="280" t="str">
        <f>"FEMIS~"&amp;D297</f>
        <v>FEMIS~IWDNOx</v>
      </c>
      <c r="Z6" s="280" t="str">
        <f>"FEMIS~"&amp;D298</f>
        <v>FEMIS~IWDCH4</v>
      </c>
      <c r="AA6" s="280" t="str">
        <f>"FEMIS~"&amp;D299</f>
        <v>FEMIS~IWDNO2</v>
      </c>
      <c r="AB6" s="280" t="str">
        <f>"FEMIS~"&amp;D300</f>
        <v>FEMIS~IWDPM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INDWDPHELCN1</v>
      </c>
      <c r="E9" s="261" t="str">
        <f>"Industrial heating technology "&amp;$AJ$12&amp;" "&amp;RIGHT(H9,2)&amp;" - Heat pump utilizing waste heat - new 1"</f>
        <v>Industrial heating technology Wood products PH - Heat pump utilizing waste heat - new 1</v>
      </c>
      <c r="F9" s="224" t="s">
        <v>1149</v>
      </c>
      <c r="G9" s="173" t="s">
        <v>499</v>
      </c>
      <c r="H9" s="174" t="str">
        <f>$AI$14</f>
        <v>IWDPH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INDWWH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IWDPH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INDWWH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Wood products</v>
      </c>
    </row>
    <row r="13" spans="2:42">
      <c r="B13" s="357" t="s">
        <v>998</v>
      </c>
      <c r="D13" s="212"/>
      <c r="E13" s="212"/>
      <c r="F13" s="224" t="s">
        <v>1149</v>
      </c>
      <c r="G13" s="173" t="s">
        <v>499</v>
      </c>
      <c r="H13" s="174" t="str">
        <f>$AI$14</f>
        <v>IWDPH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IWDPH</v>
      </c>
      <c r="AJ13" s="224" t="str">
        <f>AP14</f>
        <v>Wood products industry Demand Heat High Temp. over 150C</v>
      </c>
      <c r="AO13" s="224" t="s">
        <v>2097</v>
      </c>
      <c r="AP13" s="224" t="s">
        <v>1234</v>
      </c>
    </row>
    <row r="14" spans="2:42">
      <c r="B14" s="357" t="s">
        <v>998</v>
      </c>
      <c r="D14" s="212"/>
      <c r="E14" s="212"/>
      <c r="F14" s="224" t="s">
        <v>1149</v>
      </c>
      <c r="G14" s="173" t="str">
        <f>$AI$20</f>
        <v>INDWWH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IWDPH</v>
      </c>
      <c r="AJ14" s="224" t="str">
        <f>AP13</f>
        <v>Wood products industry Demand Heat Medium Temp. up to 150C</v>
      </c>
      <c r="AO14" s="224" t="s">
        <v>2097</v>
      </c>
      <c r="AP14" s="224" t="s">
        <v>1235</v>
      </c>
    </row>
    <row r="15" spans="2:42">
      <c r="B15" s="357" t="s">
        <v>998</v>
      </c>
      <c r="D15" s="212" t="str">
        <f>"IND"&amp;RIGHT(H15,4)&amp;RIGHT(G15,3)&amp;"N"&amp;RIGHT(E15,1)</f>
        <v>INDWDSHELCN1</v>
      </c>
      <c r="E15" s="261" t="str">
        <f>"Industrial heating technology "&amp;$AJ$12&amp;" "&amp;RIGHT(H15,2)&amp;" - Heat pump utilizing waste heat - new 1"</f>
        <v>Industrial heating technology Wood products SH - Heat pump utilizing waste heat - new 1</v>
      </c>
      <c r="F15" s="224" t="s">
        <v>1149</v>
      </c>
      <c r="G15" s="173" t="s">
        <v>499</v>
      </c>
      <c r="H15" s="174" t="str">
        <f>$AI$15</f>
        <v>IWDSH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IWDSH</v>
      </c>
      <c r="AJ15" s="224" t="str">
        <f>AP15</f>
        <v>Wood products industry Demand Heat Room Heat</v>
      </c>
      <c r="AO15" s="224" t="s">
        <v>2098</v>
      </c>
      <c r="AP15" s="224" t="s">
        <v>1236</v>
      </c>
    </row>
    <row r="16" spans="2:42">
      <c r="B16" s="357" t="s">
        <v>998</v>
      </c>
      <c r="D16" s="212"/>
      <c r="E16" s="261"/>
      <c r="F16" s="224" t="s">
        <v>1149</v>
      </c>
      <c r="G16" s="173" t="str">
        <f>$AI$20</f>
        <v>INDWWH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IWDLA</v>
      </c>
      <c r="AJ16" s="224" t="str">
        <f t="shared" si="0"/>
        <v>Wood products industry Demand Light</v>
      </c>
      <c r="AO16" s="224" t="s">
        <v>1237</v>
      </c>
      <c r="AP16" s="224" t="s">
        <v>1238</v>
      </c>
    </row>
    <row r="17" spans="2:42">
      <c r="B17" s="357" t="s">
        <v>998</v>
      </c>
      <c r="D17" s="212"/>
      <c r="E17" s="212"/>
      <c r="F17" s="224" t="s">
        <v>1149</v>
      </c>
      <c r="G17" s="173" t="s">
        <v>499</v>
      </c>
      <c r="H17" s="174" t="str">
        <f>$AI$15</f>
        <v>IWDSH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IWDEM</v>
      </c>
      <c r="AJ17" s="224" t="str">
        <f t="shared" si="0"/>
        <v>Wood products industry Demand Electric Motors</v>
      </c>
      <c r="AO17" s="224" t="s">
        <v>1239</v>
      </c>
      <c r="AP17" s="224" t="s">
        <v>1240</v>
      </c>
    </row>
    <row r="18" spans="2:42">
      <c r="B18" s="357" t="s">
        <v>998</v>
      </c>
      <c r="D18" s="212"/>
      <c r="E18" s="212"/>
      <c r="F18" s="224" t="s">
        <v>1149</v>
      </c>
      <c r="G18" s="173" t="str">
        <f>$AI$20</f>
        <v>INDWWH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IWDTF</v>
      </c>
      <c r="AJ18" s="224" t="str">
        <f t="shared" si="0"/>
        <v>Wood products industry Demand Haulage Tractors, Trucks, Fishing boats, Forest machines</v>
      </c>
      <c r="AO18" s="224" t="s">
        <v>1241</v>
      </c>
      <c r="AP18" s="224" t="s">
        <v>1242</v>
      </c>
    </row>
    <row r="19" spans="2:42">
      <c r="B19" s="357" t="s">
        <v>998</v>
      </c>
      <c r="D19" s="212"/>
      <c r="E19" s="212"/>
      <c r="F19" s="224" t="s">
        <v>1149</v>
      </c>
      <c r="G19" s="173" t="s">
        <v>499</v>
      </c>
      <c r="H19" s="174" t="str">
        <f>$AI$15</f>
        <v>IWDSH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IWDFL</v>
      </c>
      <c r="AJ19" s="224" t="str">
        <f t="shared" si="0"/>
        <v>Wood products industry Demand Haulage Forklifts</v>
      </c>
      <c r="AO19" s="224" t="s">
        <v>1243</v>
      </c>
      <c r="AP19" s="224" t="s">
        <v>1244</v>
      </c>
    </row>
    <row r="20" spans="2:42">
      <c r="B20" s="357" t="s">
        <v>998</v>
      </c>
      <c r="D20" s="212"/>
      <c r="E20" s="212"/>
      <c r="F20" s="224" t="s">
        <v>1149</v>
      </c>
      <c r="G20" s="173" t="str">
        <f>$AI$20</f>
        <v>INDWWH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INDWWH</v>
      </c>
      <c r="AJ20" s="224" t="str">
        <f>$AJ$12&amp;" Industrial Waste Heat"</f>
        <v>Wood products Industrial Waste Heat</v>
      </c>
    </row>
    <row r="21" spans="2:42">
      <c r="B21" s="357" t="s">
        <v>999</v>
      </c>
      <c r="D21" s="212" t="str">
        <f>"IND"&amp;RIGHT(H21,4)&amp;RIGHT(G21,3)&amp;"N"&amp;RIGHT(E21,1)</f>
        <v>INDWDPHELCN2</v>
      </c>
      <c r="E21" s="261" t="str">
        <f>"Industrial heating technology "&amp;$AJ$12&amp;" "&amp;RIGHT(H21,2)&amp;" - Heat driven heat pump utilizing waste heat - new 2"</f>
        <v>Industrial heating technology Wood products PH - Heat driven heat pump utilizing waste heat - new 2</v>
      </c>
      <c r="F21" s="224" t="s">
        <v>1149</v>
      </c>
      <c r="G21" s="173" t="s">
        <v>499</v>
      </c>
      <c r="H21" s="174" t="str">
        <f>$AI$14</f>
        <v>IWDPH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IWDCO</v>
      </c>
      <c r="AJ21" s="224" t="s">
        <v>2112</v>
      </c>
    </row>
    <row r="22" spans="2:42">
      <c r="B22" s="357" t="s">
        <v>999</v>
      </c>
      <c r="D22" s="212"/>
      <c r="E22" s="261"/>
      <c r="F22" s="224" t="s">
        <v>1149</v>
      </c>
      <c r="G22" s="173" t="str">
        <f>$AI$20</f>
        <v>INDWWH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IWDPH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INDWWH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IWDPH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INDWWH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INDWDSHELCN2</v>
      </c>
      <c r="E27" s="261" t="str">
        <f>"Industrial heating technology "&amp;$AJ$12&amp;" "&amp;RIGHT(H27,2)&amp;" - Heat driven heat pump utilizing waste heat - new 2"</f>
        <v>Industrial heating technology Wood products SH - Heat driven heat pump utilizing waste heat - new 2</v>
      </c>
      <c r="F27" s="224" t="s">
        <v>1149</v>
      </c>
      <c r="G27" s="173" t="s">
        <v>499</v>
      </c>
      <c r="H27" s="174" t="str">
        <f>$AI$15</f>
        <v>IWDSH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INDWWH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IWDSH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INDWWH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IWDSH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INDWWH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INDWDPHELCN3</v>
      </c>
      <c r="E33" s="261" t="str">
        <f>"Industrial heating technology "&amp;$AJ$12&amp;" "&amp;RIGHT(H33,2)&amp;" - High Temp abs. Heat pump utilizing waste heat - new 3"</f>
        <v>Industrial heating technology Wood products PH - High Temp abs. Heat pump utilizing waste heat - new 3</v>
      </c>
      <c r="F33" s="224" t="s">
        <v>1149</v>
      </c>
      <c r="G33" s="173" t="s">
        <v>499</v>
      </c>
      <c r="H33" s="174" t="str">
        <f>$AI$14</f>
        <v>IWDPH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INDWWH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IWDPH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INDWWH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IWDPH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INDWWH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INDWDSHELCN3</v>
      </c>
      <c r="E39" s="261" t="str">
        <f>"Industrial heating technology "&amp;$AJ$12&amp;" "&amp;RIGHT(H39,2)&amp;" - High Temp abs. Heat pump utilizing waste heat - new 3"</f>
        <v>Industrial heating technology Wood products SH - High Temp abs. Heat pump utilizing waste heat - new 3</v>
      </c>
      <c r="F39" s="224" t="s">
        <v>1149</v>
      </c>
      <c r="G39" s="173" t="s">
        <v>499</v>
      </c>
      <c r="H39" s="174" t="str">
        <f>$AI$15</f>
        <v>IWDSH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INDWWH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IWDSH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INDWWH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IWDSH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INDWWH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INDWDPHELCN4</v>
      </c>
      <c r="E45" s="261" t="str">
        <f>"Industrial heating technology "&amp;$AJ$12&amp;" "&amp;RIGHT(H45,2)&amp;" - Booster Heat pump utilizing waste heat - new 4"</f>
        <v>Industrial heating technology Wood products PH - Booster Heat pump utilizing waste heat - new 4</v>
      </c>
      <c r="F45" s="224" t="s">
        <v>1149</v>
      </c>
      <c r="G45" s="173" t="s">
        <v>499</v>
      </c>
      <c r="H45" s="174" t="str">
        <f>$AI$14</f>
        <v>IWDPH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INDWWH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IWDPH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INDWWH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IWDPH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INDWWH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INDWDSHELCN4</v>
      </c>
      <c r="E51" s="261" t="str">
        <f>"Industrial heating technology "&amp;$AJ$12&amp;" "&amp;RIGHT(H51,2)&amp;" - Booster Heat pump utilizing waste heat - new 4"</f>
        <v>Industrial heating technology Wood products SH - Booster Heat pump utilizing waste heat - new 4</v>
      </c>
      <c r="F51" s="224" t="s">
        <v>1149</v>
      </c>
      <c r="G51" s="173" t="s">
        <v>499</v>
      </c>
      <c r="H51" s="174" t="str">
        <f>$AI$15</f>
        <v>IWDSH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INDWWH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IWDSH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INDWWH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IWDSH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INDWWH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INDWDPHELCN5</v>
      </c>
      <c r="E57" s="261" t="str">
        <f>"Industrial heating technology "&amp;$AJ$12&amp;" "&amp;RIGHT(H57,2)&amp;" - MVR utilizing waste heat - new 5"</f>
        <v>Industrial heating technology Wood products PH - MVR utilizing waste heat - new 5</v>
      </c>
      <c r="F57" s="224" t="s">
        <v>1149</v>
      </c>
      <c r="G57" s="173" t="s">
        <v>499</v>
      </c>
      <c r="H57" s="174" t="str">
        <f>$AI$14</f>
        <v>IWDPH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INDWWH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IWDPH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INDWWH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IWDPH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INDWWH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INDWDPHWSTN1</v>
      </c>
      <c r="E63" s="261" t="str">
        <f>"Industrial heating technology "&amp;$AJ$12&amp;" "&amp;RIGHT(H63,2)&amp;" - Hotdisc - new 1"</f>
        <v>Industrial heating technology Wood products PH - Hotdisc - new 1</v>
      </c>
      <c r="F63" s="224" t="s">
        <v>1149</v>
      </c>
      <c r="G63" s="832" t="s">
        <v>1005</v>
      </c>
      <c r="H63" s="174" t="str">
        <f>$AI$13</f>
        <v>IWDPH</v>
      </c>
      <c r="I63" s="173" t="str">
        <f t="shared" ref="I63:I126" si="22">$AI$20</f>
        <v>INDWWH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INDWWH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INDWWH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INDWDPHELCN6</v>
      </c>
      <c r="E66" s="261" t="str">
        <f>"Industrial heating technology "&amp;$AJ$12&amp;" "&amp;RIGHT(H66,2)&amp;" - Dielectric heating - new 6"</f>
        <v>Industrial heating technology Wood products PH - Dielectric heating - new 6</v>
      </c>
      <c r="F66" s="224" t="s">
        <v>1149</v>
      </c>
      <c r="G66" s="173" t="s">
        <v>499</v>
      </c>
      <c r="H66" s="174" t="str">
        <f>$AI$14</f>
        <v>IWDPH</v>
      </c>
      <c r="I66" s="173" t="str">
        <f t="shared" si="22"/>
        <v>INDWWH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INDWWH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INDWWH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INDWDPHELCN7</v>
      </c>
      <c r="E69" s="261" t="str">
        <f>"Industrial heating technology "&amp;$AJ$12&amp;" "&amp;RIGHT(H69,2)&amp;" - Infrared heating - new 7"</f>
        <v>Industrial heating technology Wood products PH - Infrared heating - new 7</v>
      </c>
      <c r="F69" s="224" t="s">
        <v>1149</v>
      </c>
      <c r="G69" s="173" t="s">
        <v>499</v>
      </c>
      <c r="H69" s="174" t="str">
        <f>$AI$14</f>
        <v>IWDPH</v>
      </c>
      <c r="I69" s="173" t="str">
        <f t="shared" si="22"/>
        <v>INDWWH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INDWWH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INDWWH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INDWDPHELCN8</v>
      </c>
      <c r="E72" s="261" t="str">
        <f>"Industrial heating technology "&amp;$AJ$12&amp;" "&amp;RIGHT(H72,2)&amp;" - Electric boiler (Steam) - new 8"</f>
        <v>Industrial heating technology Wood products PH - Electric boiler (Steam) - new 8</v>
      </c>
      <c r="F72" s="224" t="s">
        <v>1149</v>
      </c>
      <c r="G72" s="173" t="s">
        <v>499</v>
      </c>
      <c r="H72" s="174" t="str">
        <f>$AI$13</f>
        <v>IWDPH</v>
      </c>
      <c r="I72" s="174" t="str">
        <f t="shared" si="22"/>
        <v>INDWWH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INDWWH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INDWWH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INDWDPHELCN8</v>
      </c>
      <c r="E75" s="261" t="str">
        <f>"Industrial heating technology "&amp;$AJ$12&amp;" "&amp;RIGHT(H75,2)&amp;" - Electric boiler (Steam) - new 8"</f>
        <v>Industrial heating technology Wood products PH - Electric boiler (Steam) - new 8</v>
      </c>
      <c r="F75" s="224" t="s">
        <v>1149</v>
      </c>
      <c r="G75" s="173" t="s">
        <v>499</v>
      </c>
      <c r="H75" s="174" t="str">
        <f>$AI$14</f>
        <v>IWDPH</v>
      </c>
      <c r="I75" s="174" t="str">
        <f t="shared" si="22"/>
        <v>INDWWH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INDWWH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INDWWH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INDWDSHELCN8</v>
      </c>
      <c r="E78" s="261" t="str">
        <f>"Industrial heating technology "&amp;$AJ$12&amp;" "&amp;RIGHT(H78,2)&amp;" - Electric boiler (Steam) - new 8"</f>
        <v>Industrial heating technology Wood products SH - Electric boiler (Steam) - new 8</v>
      </c>
      <c r="F78" s="224" t="s">
        <v>1149</v>
      </c>
      <c r="G78" s="173" t="s">
        <v>499</v>
      </c>
      <c r="H78" s="174" t="str">
        <f>$AI$15</f>
        <v>IWDSH</v>
      </c>
      <c r="I78" s="174" t="str">
        <f t="shared" si="22"/>
        <v>INDWWH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INDWWH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INDWWH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INDWDPHELCN9</v>
      </c>
      <c r="E81" s="707" t="str">
        <f>"Industrial heating technology "&amp;$AJ$12&amp;" "&amp;RIGHT(H81,2)&amp;" - Electric boiler (Hot Water) - new 9"</f>
        <v>Industrial heating technology Wood products PH - Electric boiler (Hot Water) - new 9</v>
      </c>
      <c r="F81" s="224" t="s">
        <v>1149</v>
      </c>
      <c r="G81" s="708" t="s">
        <v>499</v>
      </c>
      <c r="H81" s="708" t="str">
        <f>$AI$14</f>
        <v>IWDPH</v>
      </c>
      <c r="I81" s="708" t="str">
        <f t="shared" si="22"/>
        <v>INDWWH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INDWWH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INDWWH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INDWDSHELCN9</v>
      </c>
      <c r="E84" s="261" t="str">
        <f>"Industrial heating technology "&amp;$AJ$12&amp;" "&amp;RIGHT(H84,2)&amp;" - Electric boiler (Hot Water) - new 9"</f>
        <v>Industrial heating technology Wood products SH - Electric boiler (Hot Water) - new 9</v>
      </c>
      <c r="F84" s="224" t="s">
        <v>1149</v>
      </c>
      <c r="G84" s="174" t="s">
        <v>499</v>
      </c>
      <c r="H84" s="174" t="str">
        <f>$AI$15</f>
        <v>IWDSH</v>
      </c>
      <c r="I84" s="174" t="str">
        <f t="shared" si="22"/>
        <v>INDWWH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INDWWH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INDWWH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INDWDPHWCHN1</v>
      </c>
      <c r="E87" s="261" t="str">
        <f>"Industrial heating technology "&amp;$AJ$12&amp;" "&amp;RIGHT(H87,2)&amp;" - Wood chip boiler (Steam) - new 1"</f>
        <v>Industrial heating technology Wood products PH - Wood chip boiler (Steam) - new 1</v>
      </c>
      <c r="F87" s="224" t="s">
        <v>1149</v>
      </c>
      <c r="G87" s="173" t="s">
        <v>498</v>
      </c>
      <c r="H87" s="174" t="str">
        <f>$AI$13</f>
        <v>IWDPH</v>
      </c>
      <c r="I87" s="174" t="str">
        <f t="shared" si="22"/>
        <v>INDWWH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INDWWH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INDWWH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INDWDPHWCHN1</v>
      </c>
      <c r="E90" s="261" t="str">
        <f>"Industrial heating technology "&amp;$AJ$12&amp;" "&amp;RIGHT(H90,2)&amp;" - Wood chip boiler (Steam) - new 1"</f>
        <v>Industrial heating technology Wood products PH - Wood chip boiler (Steam) - new 1</v>
      </c>
      <c r="F90" s="224" t="s">
        <v>1149</v>
      </c>
      <c r="G90" s="173" t="s">
        <v>498</v>
      </c>
      <c r="H90" s="174" t="str">
        <f>$AI$14</f>
        <v>IWDPH</v>
      </c>
      <c r="I90" s="174" t="str">
        <f t="shared" si="22"/>
        <v>INDWWH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INDWWH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INDWWH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INDWDSHWCHN1</v>
      </c>
      <c r="E93" s="261" t="str">
        <f>"Industrial heating technology "&amp;$AJ$12&amp;" "&amp;RIGHT(H93,2)&amp;" - Wood chip boiler (Steam) - new 1"</f>
        <v>Industrial heating technology Wood products SH - Wood chip boiler (Steam) - new 1</v>
      </c>
      <c r="F93" s="224" t="s">
        <v>1149</v>
      </c>
      <c r="G93" s="173" t="s">
        <v>498</v>
      </c>
      <c r="H93" s="174" t="str">
        <f>$AI$15</f>
        <v>IWDSH</v>
      </c>
      <c r="I93" s="174" t="str">
        <f t="shared" si="22"/>
        <v>INDWWH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INDWWH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INDWWH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INDWDPHWCHN2</v>
      </c>
      <c r="E96" s="707" t="str">
        <f>"Industrial heating technology "&amp;$AJ$12&amp;" "&amp;RIGHT(H96,2)&amp;" - Wood chip boiler (Steam - condensing) - new 2"</f>
        <v>Industrial heating technology Wood products PH - Wood chip boiler (Steam - condensing) - new 2</v>
      </c>
      <c r="F96" s="224" t="s">
        <v>1149</v>
      </c>
      <c r="G96" s="708" t="s">
        <v>498</v>
      </c>
      <c r="H96" s="708" t="str">
        <f>$AI$14</f>
        <v>IWDPH</v>
      </c>
      <c r="I96" s="708" t="str">
        <f t="shared" si="22"/>
        <v>INDWWH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INDWWH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INDWWH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INDWDSHWCHN2</v>
      </c>
      <c r="E99" s="261" t="str">
        <f>"Industrial heating technology "&amp;$AJ$12&amp;" "&amp;RIGHT(H99,2)&amp;" - Wood chip boiler (Steam - condensing) - new 2"</f>
        <v>Industrial heating technology Wood products SH - Wood chip boiler (Steam - condensing) - new 2</v>
      </c>
      <c r="F99" s="224" t="s">
        <v>1149</v>
      </c>
      <c r="G99" s="174" t="s">
        <v>498</v>
      </c>
      <c r="H99" s="174" t="str">
        <f>$AI$15</f>
        <v>IWDSH</v>
      </c>
      <c r="I99" s="174" t="str">
        <f t="shared" si="22"/>
        <v>INDWWH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INDWWH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INDWWH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INDWDPHWCHN3</v>
      </c>
      <c r="E102" s="707" t="str">
        <f>"Industrial heating technology "&amp;$AJ$12&amp;" "&amp;RIGHT(H102,2)&amp;" - Wood chip boiler (Hot Water) - new 3"</f>
        <v>Industrial heating technology Wood products PH - Wood chip boiler (Hot Water) - new 3</v>
      </c>
      <c r="F102" s="224" t="s">
        <v>1149</v>
      </c>
      <c r="G102" s="708" t="s">
        <v>498</v>
      </c>
      <c r="H102" s="708" t="str">
        <f>$AI$14</f>
        <v>IWDPH</v>
      </c>
      <c r="I102" s="708" t="str">
        <f t="shared" si="22"/>
        <v>INDWWH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INDWWH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INDWWH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INDWDSHWCHN3</v>
      </c>
      <c r="E105" s="261" t="str">
        <f>"Industrial heating technology "&amp;$AJ$12&amp;" "&amp;RIGHT(H105,2)&amp;" - Wood chip boiler (Hot Water) - new 3"</f>
        <v>Industrial heating technology Wood products SH - Wood chip boiler (Hot Water) - new 3</v>
      </c>
      <c r="F105" s="224" t="s">
        <v>1149</v>
      </c>
      <c r="G105" s="174" t="s">
        <v>498</v>
      </c>
      <c r="H105" s="174" t="str">
        <f>$AI$15</f>
        <v>IWDSH</v>
      </c>
      <c r="I105" s="174" t="str">
        <f t="shared" si="22"/>
        <v>INDWWH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INDWWH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INDWWH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INDWDPHWCHN4</v>
      </c>
      <c r="E108" s="707" t="str">
        <f>"Industrial heating technology "&amp;$AJ$12&amp;" "&amp;RIGHT(H108,2)&amp;" - Wood chip boiler (Hot Water - condensing) - new 4"</f>
        <v>Industrial heating technology Wood products PH - Wood chip boiler (Hot Water - condensing) - new 4</v>
      </c>
      <c r="F108" s="224" t="s">
        <v>1149</v>
      </c>
      <c r="G108" s="708" t="s">
        <v>498</v>
      </c>
      <c r="H108" s="708" t="str">
        <f>$AI$14</f>
        <v>IWDPH</v>
      </c>
      <c r="I108" s="708" t="str">
        <f t="shared" si="22"/>
        <v>INDWWH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INDWWH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INDWWH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INDWDSHWCHN4</v>
      </c>
      <c r="E111" s="261" t="str">
        <f>"Industrial heating technology "&amp;$AJ$12&amp;" "&amp;RIGHT(H111,2)&amp;" - Wood chip boiler (Hot Water- condensing) - new 4"</f>
        <v>Industrial heating technology Wood products SH - Wood chip boiler (Hot Water- condensing) - new 4</v>
      </c>
      <c r="F111" s="224" t="s">
        <v>1149</v>
      </c>
      <c r="G111" s="174" t="s">
        <v>498</v>
      </c>
      <c r="H111" s="174" t="str">
        <f>$AI$15</f>
        <v>IWDSH</v>
      </c>
      <c r="I111" s="174" t="str">
        <f t="shared" si="22"/>
        <v>INDWWH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INDWWH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INDWWH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INDWDPHELCN10</v>
      </c>
      <c r="E114" s="261" t="str">
        <f>"Industrial heating technology "&amp;$AJ$12&amp;" "&amp;RIGHT(H114,2)&amp;" - Direct electric heating - new 10"</f>
        <v>Industrial heating technology Wood products PH - Direct electric heating - new 10</v>
      </c>
      <c r="F114" s="224" t="s">
        <v>1149</v>
      </c>
      <c r="G114" s="173" t="s">
        <v>499</v>
      </c>
      <c r="H114" s="174" t="str">
        <f>$AI$13</f>
        <v>IWDPH</v>
      </c>
      <c r="I114" s="174" t="str">
        <f t="shared" si="22"/>
        <v>INDWWH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INDWWH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INDWWH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INDWDPHELCN10</v>
      </c>
      <c r="E117" s="261" t="str">
        <f>"Industrial heating technology "&amp;$AJ$12&amp;" "&amp;RIGHT(H117,2)&amp;" - Direct electric heating - new 10"</f>
        <v>Industrial heating technology Wood products PH - Direct electric heating - new 10</v>
      </c>
      <c r="F117" s="224" t="s">
        <v>1149</v>
      </c>
      <c r="G117" s="173" t="s">
        <v>499</v>
      </c>
      <c r="H117" s="174" t="str">
        <f>$AI$14</f>
        <v>IWDPH</v>
      </c>
      <c r="I117" s="174" t="str">
        <f t="shared" si="22"/>
        <v>INDWWH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INDWWH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INDWWH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INDWDPHDSLN1</v>
      </c>
      <c r="E120" s="261" t="str">
        <f>"Industrial heating technology "&amp;$AJ$12&amp;" "&amp;RIGHT(H120,2)&amp;" - Oil boiler (Steam) - new 1"</f>
        <v>Industrial heating technology Wood products PH - Oil boiler (Steam) - new 1</v>
      </c>
      <c r="F120" s="224" t="s">
        <v>1149</v>
      </c>
      <c r="G120" s="173" t="s">
        <v>2081</v>
      </c>
      <c r="H120" s="174" t="str">
        <f>$AI$13</f>
        <v>IWDPH</v>
      </c>
      <c r="I120" s="174" t="str">
        <f t="shared" si="22"/>
        <v>INDWWH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INDWWH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INDWWH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INDWDPHDSLN1</v>
      </c>
      <c r="E123" s="261" t="str">
        <f>"Industrial heating technology "&amp;$AJ$12&amp;" "&amp;RIGHT(H123,2)&amp;" - Oil boiler (Steam) - new 1"</f>
        <v>Industrial heating technology Wood products PH - Oil boiler (Steam) - new 1</v>
      </c>
      <c r="F123" s="224" t="s">
        <v>1149</v>
      </c>
      <c r="G123" s="173" t="s">
        <v>2081</v>
      </c>
      <c r="H123" s="174" t="str">
        <f>$AI$14</f>
        <v>IWDPH</v>
      </c>
      <c r="I123" s="174" t="str">
        <f t="shared" si="22"/>
        <v>INDWWH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INDWWH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INDWWH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INDWDSHDSLN1</v>
      </c>
      <c r="E126" s="261" t="str">
        <f>"Industrial heating technology "&amp;$AJ$12&amp;" "&amp;RIGHT(H126,2)&amp;" - Oil boiler (Steam) - new 1"</f>
        <v>Industrial heating technology Wood products SH - Oil boiler (Steam) - new 1</v>
      </c>
      <c r="F126" s="224" t="s">
        <v>1149</v>
      </c>
      <c r="G126" s="173" t="s">
        <v>2081</v>
      </c>
      <c r="H126" s="174" t="str">
        <f>$AI$15</f>
        <v>IWDSH</v>
      </c>
      <c r="I126" s="174" t="str">
        <f t="shared" si="22"/>
        <v>INDWWH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INDWWH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INDWWH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INDWDPHDSLN2</v>
      </c>
      <c r="E129" s="707" t="str">
        <f>"Industrial heating technology "&amp;$AJ$12&amp;" "&amp;RIGHT(H129,2)&amp;" - Oil boiler (Steam - condensing) - new 2"</f>
        <v>Industrial heating technology Wood products PH - Oil boiler (Steam - condensing) - new 2</v>
      </c>
      <c r="F129" s="224" t="s">
        <v>1149</v>
      </c>
      <c r="G129" s="173" t="s">
        <v>2081</v>
      </c>
      <c r="H129" s="708" t="str">
        <f>$AI$14</f>
        <v>IWDPH</v>
      </c>
      <c r="I129" s="708" t="str">
        <f t="shared" si="143"/>
        <v>INDWWH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INDWWH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INDWWH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INDWDSHDSLN2</v>
      </c>
      <c r="E132" s="261" t="str">
        <f>"Industrial heating technology "&amp;$AJ$12&amp;" "&amp;RIGHT(H132,2)&amp;" - Oil boiler (Steam - condensing) - new 2"</f>
        <v>Industrial heating technology Wood products SH - Oil boiler (Steam - condensing) - new 2</v>
      </c>
      <c r="F132" s="224" t="s">
        <v>1149</v>
      </c>
      <c r="G132" s="173" t="s">
        <v>2081</v>
      </c>
      <c r="H132" s="174" t="str">
        <f>$AI$15</f>
        <v>IWDSH</v>
      </c>
      <c r="I132" s="174" t="str">
        <f t="shared" si="143"/>
        <v>INDWWH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INDWWH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INDWWH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INDWDPHGASN1</v>
      </c>
      <c r="E135" s="261" t="str">
        <f>"Industrial heating technology "&amp;$AJ$12&amp;" "&amp;RIGHT(H135,2)&amp;" - Gas boiler (Steam) - new 1"</f>
        <v>Industrial heating technology Wood products PH - Gas boiler (Steam) - new 1</v>
      </c>
      <c r="F135" s="224" t="s">
        <v>1149</v>
      </c>
      <c r="G135" s="173" t="s">
        <v>2080</v>
      </c>
      <c r="H135" s="174" t="str">
        <f>$AI$13</f>
        <v>IWDPH</v>
      </c>
      <c r="I135" s="174" t="str">
        <f t="shared" si="143"/>
        <v>INDWWH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INDWWH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INDWWH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INDWDPHGASN1</v>
      </c>
      <c r="E138" s="261" t="str">
        <f>"Industrial heating technology "&amp;$AJ$12&amp;" "&amp;RIGHT(H138,2)&amp;" - Gas boiler (Steam) - new 1"</f>
        <v>Industrial heating technology Wood products PH - Gas boiler (Steam) - new 1</v>
      </c>
      <c r="F138" s="224" t="s">
        <v>1149</v>
      </c>
      <c r="G138" s="173" t="s">
        <v>2080</v>
      </c>
      <c r="H138" s="174" t="str">
        <f>$AI$14</f>
        <v>IWDPH</v>
      </c>
      <c r="I138" s="174" t="str">
        <f t="shared" si="143"/>
        <v>INDWWH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INDWWH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INDWWH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INDWDSHGASN1</v>
      </c>
      <c r="E141" s="261" t="str">
        <f>"Industrial heating technology "&amp;$AJ$12&amp;" "&amp;RIGHT(H141,2)&amp;" - Gas boiler (Steam) - new 1"</f>
        <v>Industrial heating technology Wood products SH - Gas boiler (Steam) - new 1</v>
      </c>
      <c r="F141" s="224" t="s">
        <v>1149</v>
      </c>
      <c r="G141" s="173" t="s">
        <v>2080</v>
      </c>
      <c r="H141" s="174" t="str">
        <f>$AI$15</f>
        <v>IWDSH</v>
      </c>
      <c r="I141" s="174" t="str">
        <f t="shared" si="143"/>
        <v>INDWWH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INDWWH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INDWWH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INDWDPHGASN2</v>
      </c>
      <c r="E144" s="707" t="str">
        <f>"Industrial heating technology "&amp;$AJ$12&amp;" "&amp;RIGHT(H144,2)&amp;" - Gas boiler (Steam - condensing) - new 2"</f>
        <v>Industrial heating technology Wood products PH - Gas boiler (Steam - condensing) - new 2</v>
      </c>
      <c r="F144" s="224" t="s">
        <v>1149</v>
      </c>
      <c r="G144" s="173" t="s">
        <v>2080</v>
      </c>
      <c r="H144" s="708" t="str">
        <f>$AI$14</f>
        <v>IWDPH</v>
      </c>
      <c r="I144" s="708" t="str">
        <f t="shared" si="143"/>
        <v>INDWWH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INDWWH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INDWWH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INDWDSHGASN2</v>
      </c>
      <c r="E147" s="261" t="str">
        <f>"Industrial heating technology "&amp;$AJ$12&amp;" "&amp;RIGHT(H147,2)&amp;" - Gas boiler (Steam - condensing) - new 2"</f>
        <v>Industrial heating technology Wood products SH - Gas boiler (Steam - condensing) - new 2</v>
      </c>
      <c r="F147" s="224" t="s">
        <v>1149</v>
      </c>
      <c r="G147" s="173" t="s">
        <v>2080</v>
      </c>
      <c r="H147" s="174" t="str">
        <f>$AI$15</f>
        <v>IWDSH</v>
      </c>
      <c r="I147" s="174" t="str">
        <f t="shared" si="143"/>
        <v>INDWWH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INDWWH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INDWWH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INDWDPHGASN3</v>
      </c>
      <c r="E150" s="707" t="str">
        <f>"Industrial heating technology "&amp;$AJ$12&amp;" "&amp;RIGHT(H150,2)&amp;" - Gas boiler (Hot Water) - new 3"</f>
        <v>Industrial heating technology Wood products PH - Gas boiler (Hot Water) - new 3</v>
      </c>
      <c r="F150" s="224" t="s">
        <v>1149</v>
      </c>
      <c r="G150" s="173" t="s">
        <v>2080</v>
      </c>
      <c r="H150" s="708" t="str">
        <f>$AI$14</f>
        <v>IWDPH</v>
      </c>
      <c r="I150" s="708" t="str">
        <f t="shared" si="143"/>
        <v>INDWWH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INDWWH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INDWWH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INDWDSHGASN3</v>
      </c>
      <c r="E153" s="261" t="str">
        <f>"Industrial heating technology "&amp;$AJ$12&amp;" "&amp;RIGHT(H153,2)&amp;" - Gas boiler (Hot Water) - new 3"</f>
        <v>Industrial heating technology Wood products SH - Gas boiler (Hot Water) - new 3</v>
      </c>
      <c r="F153" s="224" t="s">
        <v>1149</v>
      </c>
      <c r="G153" s="173" t="s">
        <v>2080</v>
      </c>
      <c r="H153" s="174" t="str">
        <f>$AI$15</f>
        <v>IWDSH</v>
      </c>
      <c r="I153" s="174" t="str">
        <f t="shared" si="143"/>
        <v>INDWWH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INDWWH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INDWWH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INDWDPHGASN4</v>
      </c>
      <c r="E156" s="707" t="str">
        <f>"Industrial heating technology "&amp;$AJ$12&amp;" "&amp;RIGHT(H156,2)&amp;" - Gas boiler (Hot Water - condensing) - new 4"</f>
        <v>Industrial heating technology Wood products PH - Gas boiler (Hot Water - condensing) - new 4</v>
      </c>
      <c r="F156" s="224" t="s">
        <v>1149</v>
      </c>
      <c r="G156" s="173" t="s">
        <v>2080</v>
      </c>
      <c r="H156" s="708" t="str">
        <f>$AI$14</f>
        <v>IWDPH</v>
      </c>
      <c r="I156" s="708" t="str">
        <f t="shared" si="143"/>
        <v>INDWWH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INDWWH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INDWWH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INDWDSHGASN4</v>
      </c>
      <c r="E159" s="261" t="str">
        <f>"Industrial heating technology "&amp;$AJ$12&amp;" "&amp;RIGHT(H159,2)&amp;" - Gas boiler (Hot Water- condensing) - new 4"</f>
        <v>Industrial heating technology Wood products SH - Gas boiler (Hot Water- condensing) - new 4</v>
      </c>
      <c r="F159" s="224" t="s">
        <v>1149</v>
      </c>
      <c r="G159" s="173" t="s">
        <v>2080</v>
      </c>
      <c r="H159" s="174" t="str">
        <f>$AI$15</f>
        <v>IWDSH</v>
      </c>
      <c r="I159" s="174" t="str">
        <f t="shared" si="143"/>
        <v>INDWWH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INDWWH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INDWWH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INDWDPHGASN5</v>
      </c>
      <c r="E162" s="707" t="str">
        <f>"Industrial heating technology "&amp;$AJ$12&amp;" "&amp;RIGHT(H162,2)&amp;" - Gas boiler (Direct firing) - new 5"</f>
        <v>Industrial heating technology Wood products PH - Gas boiler (Direct firing) - new 5</v>
      </c>
      <c r="F162" s="224" t="s">
        <v>1149</v>
      </c>
      <c r="G162" s="173" t="s">
        <v>2080</v>
      </c>
      <c r="H162" s="174" t="str">
        <f>$AI$13</f>
        <v>IWDPH</v>
      </c>
      <c r="I162" s="174" t="str">
        <f t="shared" si="143"/>
        <v>INDWWH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INDWWH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INDWWH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INDWDPHGASN5</v>
      </c>
      <c r="E165" s="261" t="str">
        <f>"Industrial heating technology "&amp;$AJ$12&amp;" "&amp;RIGHT(H165,2)&amp;" - Gas boiler (Direct firing) - new 5"</f>
        <v>Industrial heating technology Wood products PH - Gas boiler (Direct firing) - new 5</v>
      </c>
      <c r="F165" s="224" t="s">
        <v>1149</v>
      </c>
      <c r="G165" s="173" t="s">
        <v>2080</v>
      </c>
      <c r="H165" s="174" t="str">
        <f>$AI$14</f>
        <v>IWDPH</v>
      </c>
      <c r="I165" s="721" t="str">
        <f t="shared" si="143"/>
        <v>INDWWH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INDWWH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INDWWH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INDWDPHCOAN1</v>
      </c>
      <c r="E168" s="261" t="str">
        <f>"Industrial heating technology "&amp;$AJ$12&amp;" "&amp;RIGHT(H168,2)&amp;" - Coal boiler (Steam) - new 1"</f>
        <v>Industrial heating technology Wood products PH - Coal boiler (Steam) - new 1</v>
      </c>
      <c r="F168" s="224" t="s">
        <v>1149</v>
      </c>
      <c r="G168" s="55" t="s">
        <v>617</v>
      </c>
      <c r="H168" s="174" t="str">
        <f>$AI$13</f>
        <v>IWDPH</v>
      </c>
      <c r="I168" s="174" t="str">
        <f t="shared" si="143"/>
        <v>INDWWH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INDWWH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INDWWH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INDWDPHCOAN1</v>
      </c>
      <c r="E171" s="261" t="str">
        <f>"Industrial heating technology "&amp;$AJ$12&amp;" "&amp;RIGHT(H171,2)&amp;" - Coal boiler (Steam) - new 1"</f>
        <v>Industrial heating technology Wood products PH - Coal boiler (Steam) - new 1</v>
      </c>
      <c r="F171" s="224" t="s">
        <v>1149</v>
      </c>
      <c r="G171" s="55" t="s">
        <v>617</v>
      </c>
      <c r="H171" s="174" t="str">
        <f>$AI$14</f>
        <v>IWDPH</v>
      </c>
      <c r="I171" s="174" t="str">
        <f t="shared" si="143"/>
        <v>INDWWH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INDWWH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INDWWH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INDWDSHCOAN1</v>
      </c>
      <c r="E174" s="261" t="str">
        <f>"Industrial heating technology "&amp;$AJ$12&amp;" "&amp;RIGHT(H174,2)&amp;" - Coal boiler (Steam) - new 1"</f>
        <v>Industrial heating technology Wood products SH - Coal boiler (Steam) - new 1</v>
      </c>
      <c r="F174" s="224" t="s">
        <v>1149</v>
      </c>
      <c r="G174" s="55" t="s">
        <v>617</v>
      </c>
      <c r="H174" s="174" t="str">
        <f>$AI$15</f>
        <v>IWDSH</v>
      </c>
      <c r="I174" s="174" t="str">
        <f t="shared" si="143"/>
        <v>INDWWH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INDWWH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INDWWH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INDWDPHCOAN2</v>
      </c>
      <c r="E177" s="261" t="str">
        <f>"Industrial heating technology "&amp;$AJ$12&amp;" "&amp;RIGHT(H177,2)&amp;" - Coal boiler (Hot Water) - new 2"</f>
        <v>Industrial heating technology Wood products PH - Coal boiler (Hot Water) - new 2</v>
      </c>
      <c r="F177" s="224" t="s">
        <v>1149</v>
      </c>
      <c r="G177" s="55" t="s">
        <v>617</v>
      </c>
      <c r="H177" s="174" t="str">
        <f>$AI$14</f>
        <v>IWDPH</v>
      </c>
      <c r="I177" s="174" t="str">
        <f t="shared" si="143"/>
        <v>INDWWH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INDWWH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INDWWH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INDWDSHCOAN2</v>
      </c>
      <c r="E180" s="261" t="str">
        <f>"Industrial heating technology "&amp;$AJ$12&amp;" "&amp;RIGHT(H180,2)&amp;" - Coal boiler (Hot Water) - new 2"</f>
        <v>Industrial heating technology Wood products SH - Coal boiler (Hot Water) - new 2</v>
      </c>
      <c r="F180" s="224" t="s">
        <v>1149</v>
      </c>
      <c r="G180" s="55" t="s">
        <v>617</v>
      </c>
      <c r="H180" s="174" t="str">
        <f>$AI$15</f>
        <v>IWDSH</v>
      </c>
      <c r="I180" s="174" t="str">
        <f t="shared" si="143"/>
        <v>INDWWH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INDWWH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INDWWH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INDWDSHSOLN1</v>
      </c>
      <c r="E183" s="261" t="str">
        <f>"Industrial heating technology "&amp;$AJ$12&amp;" "&amp;RIGHT(H183,2)&amp;" - Solar - new 1"</f>
        <v>Industrial heating technology Wood products SH - Solar - new 1</v>
      </c>
      <c r="F183" s="224" t="s">
        <v>1149</v>
      </c>
      <c r="G183" s="55" t="s">
        <v>500</v>
      </c>
      <c r="H183" s="174" t="str">
        <f>$AI$15</f>
        <v>IWDSH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INDWDSHHCEN1</v>
      </c>
      <c r="E187" s="224" t="str">
        <f>"Industrial heating technology "&amp;$AJ$12&amp;" "&amp;RIGHT(H187,2)&amp;" - central district heating - within DH area - new 1"</f>
        <v>Industrial heating technology Wood products SH - central district heating - within DH area - new 1</v>
      </c>
      <c r="F187" s="224" t="s">
        <v>1149</v>
      </c>
      <c r="G187" s="225" t="s">
        <v>501</v>
      </c>
      <c r="H187" s="225" t="str">
        <f>AI15</f>
        <v>IWDSH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INDWDPHHCEN1</v>
      </c>
      <c r="E188" s="224" t="str">
        <f>"Industrial heating technology "&amp;$AJ$12&amp;" "&amp;RIGHT(H188,2)&amp;" - central district heating - within DH area - new 1"</f>
        <v>Industrial heating technology Wood products PH - central district heating - within DH area - new 1</v>
      </c>
      <c r="F188" s="224" t="s">
        <v>1149</v>
      </c>
      <c r="G188" s="225" t="s">
        <v>501</v>
      </c>
      <c r="H188" s="281" t="str">
        <f>AI14</f>
        <v>IWDPH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INDWDSHHSEN1</v>
      </c>
      <c r="E189" s="224" t="str">
        <f>"Industrial heating technology "&amp;$AJ$12&amp;" "&amp;RIGHT(H189,2)&amp;" - central district heating - within DH area - new 1"</f>
        <v>Industrial heating technology Wood products SH - central district heating - within DH area - new 1</v>
      </c>
      <c r="F189" s="224" t="s">
        <v>1149</v>
      </c>
      <c r="G189" s="225" t="s">
        <v>2125</v>
      </c>
      <c r="H189" s="225" t="str">
        <f>H187</f>
        <v>IWDSH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INDWDPHHSEN1</v>
      </c>
      <c r="E190" s="224" t="str">
        <f>"Industrial heating technology "&amp;$AJ$12&amp;" "&amp;RIGHT(H190,2)&amp;" - central district heating - within DH area - new 1"</f>
        <v>Industrial heating technology Wood products PH - central district heating - within DH area - new 1</v>
      </c>
      <c r="F190" s="224" t="s">
        <v>1149</v>
      </c>
      <c r="G190" s="225" t="s">
        <v>2125</v>
      </c>
      <c r="H190" s="225" t="str">
        <f>H188</f>
        <v>IWDPH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INDWDSHHDEN1</v>
      </c>
      <c r="E191" s="224" t="str">
        <f>"Industrial heating technology "&amp;$AJ$12&amp;" "&amp;RIGHT(H191,2)&amp;" - decentral district heating - within DH area - new 1"</f>
        <v>Industrial heating technology Wood products SH - decentral district heating - within DH area - new 1</v>
      </c>
      <c r="F191" s="224" t="s">
        <v>1149</v>
      </c>
      <c r="G191" s="259" t="s">
        <v>502</v>
      </c>
      <c r="H191" s="265" t="str">
        <f>AI15</f>
        <v>IWDSH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INDWDPHHDEN1</v>
      </c>
      <c r="E192" s="224" t="str">
        <f>"Industrial heating technology "&amp;$AJ$12&amp;" "&amp;RIGHT(H192,2)&amp;" - decentral district heating - within DH area - new 1"</f>
        <v>Industrial heating technology Wood products PH - decentral district heating - within DH area - new 1</v>
      </c>
      <c r="F192" s="224" t="s">
        <v>1149</v>
      </c>
      <c r="G192" s="259" t="s">
        <v>502</v>
      </c>
      <c r="H192" s="225" t="str">
        <f>AI14</f>
        <v>IWDPH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INDWDLAELCN1</v>
      </c>
      <c r="E194" s="224" t="str">
        <f>"Industry "&amp;$AJ$12&amp;" "&amp;RIGHT(H194,2)&amp;" Electricity Light Appliance - New 1"</f>
        <v>Industry Wood products LA Electricity Light Appliance - New 1</v>
      </c>
      <c r="F194" s="224" t="s">
        <v>1149</v>
      </c>
      <c r="G194" s="225" t="s">
        <v>499</v>
      </c>
      <c r="H194" s="225" t="str">
        <f>AI16</f>
        <v>IWDLA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INDWDEMELCN1</v>
      </c>
      <c r="E198" s="224" t="str">
        <f>"Industry "&amp;$AJ$12&amp;" "&amp;RIGHT(H198,2)&amp;" Electricity Motors - New 1"</f>
        <v>Industry Wood products EM Electricity Motors - New 1</v>
      </c>
      <c r="F198" s="224" t="s">
        <v>1149</v>
      </c>
      <c r="G198" s="225" t="s">
        <v>499</v>
      </c>
      <c r="H198" s="225" t="str">
        <f>AI17</f>
        <v>IWDEM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INDWDTFDSLN1</v>
      </c>
      <c r="E202" s="224" t="str">
        <f>"Industry "&amp;$AJ$12&amp;" "&amp;RIGHT(H202,2)&amp;" Tractors, Trucks, Fishing boats - New 1"</f>
        <v>Industry Wood products TF Tractors, Trucks, Fishing boats - New 1</v>
      </c>
      <c r="F202" s="224" t="s">
        <v>1149</v>
      </c>
      <c r="G202" s="173" t="s">
        <v>2081</v>
      </c>
      <c r="H202" s="174" t="str">
        <f>$AI$18</f>
        <v>IWDTF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INDWDTFH2GN2</v>
      </c>
      <c r="E206" s="224" t="str">
        <f>"Industry "&amp;$AJ$12&amp;" "&amp;RIGHT(H206,2)&amp;" Tractors, Trucks, Fishing boats - New 2"</f>
        <v>Industry Wood products TF Tractors, Trucks, Fishing boats - New 2</v>
      </c>
      <c r="F206" s="224" t="s">
        <v>1149</v>
      </c>
      <c r="G206" s="55" t="s">
        <v>2077</v>
      </c>
      <c r="H206" s="174" t="str">
        <f>$AI$18</f>
        <v>IWDTF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INDWDTFELCN3</v>
      </c>
      <c r="E210" s="224" t="str">
        <f>"Industry "&amp;$AJ$12&amp;" "&amp;RIGHT(H210,2)&amp;" Tractors, Trucks, Fishing boats - New 3"</f>
        <v>Industry Wood products TF Tractors, Trucks, Fishing boats - New 3</v>
      </c>
      <c r="F210" s="224" t="s">
        <v>1149</v>
      </c>
      <c r="G210" s="55" t="s">
        <v>499</v>
      </c>
      <c r="H210" s="174" t="str">
        <f>$AI$18</f>
        <v>IWDTF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INDWDFLSYNN1</v>
      </c>
      <c r="E214" s="224" t="str">
        <f>"Industry "&amp;$AJ$12&amp;" "&amp;RIGHT(H202,2)&amp;" Forklifts - New 1"</f>
        <v>Industry Wood products TF Forklifts - New 1</v>
      </c>
      <c r="F214" s="224" t="s">
        <v>1149</v>
      </c>
      <c r="G214" s="173" t="s">
        <v>2082</v>
      </c>
      <c r="H214" s="224" t="str">
        <f>AI19</f>
        <v>IWDFL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INDWDCOELCN1</v>
      </c>
      <c r="E218" s="224" t="str">
        <f>"Industry "&amp;$AJ$12&amp;" "&amp;RIGHT(H218,2)&amp;" Cooling - New 1"</f>
        <v>Industry Wood products CO Cooling - New 1</v>
      </c>
      <c r="F218" s="224" t="s">
        <v>1149</v>
      </c>
      <c r="G218" s="173" t="s">
        <v>499</v>
      </c>
      <c r="H218" s="224" t="str">
        <f>AI21</f>
        <v>IWDCO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INDWDPHELCN1</v>
      </c>
      <c r="E229" s="212" t="str">
        <f t="shared" ref="E229:E260" si="266">VLOOKUP(D229,$D$9:$E$222,2,FALSE)</f>
        <v>Industrial heating technology Wood products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INDWDSHELCN1</v>
      </c>
      <c r="E230" s="212" t="str">
        <f t="shared" ca="1" si="266"/>
        <v>Industrial heating technology Wood products SH - Heat pump utilizing waste heat - new 1</v>
      </c>
      <c r="F230" s="262" t="s">
        <v>450</v>
      </c>
      <c r="G230" s="262" t="s">
        <v>449</v>
      </c>
      <c r="H230" s="263" t="s">
        <v>620</v>
      </c>
      <c r="I230" s="301"/>
      <c r="J230" s="264" t="s">
        <v>469</v>
      </c>
    </row>
    <row r="231" spans="1:10">
      <c r="A231" s="169"/>
      <c r="D231" s="212" t="str">
        <f t="shared" ca="1" si="267"/>
        <v>INDWDPHELCN2</v>
      </c>
      <c r="E231" s="212" t="str">
        <f t="shared" ca="1" si="266"/>
        <v>Industrial heating technology Wood products PH - Heat driven heat pump utilizing waste heat - new 2</v>
      </c>
      <c r="F231" s="211" t="s">
        <v>450</v>
      </c>
      <c r="G231" s="211" t="s">
        <v>449</v>
      </c>
      <c r="H231" s="263" t="s">
        <v>620</v>
      </c>
      <c r="I231" s="208"/>
      <c r="J231" s="264" t="s">
        <v>469</v>
      </c>
    </row>
    <row r="232" spans="1:10">
      <c r="A232" s="169"/>
      <c r="B232" s="211"/>
      <c r="C232" s="211"/>
      <c r="D232" s="212" t="str">
        <f t="shared" ca="1" si="267"/>
        <v>INDWDSHELCN2</v>
      </c>
      <c r="E232" s="212" t="str">
        <f t="shared" ca="1" si="266"/>
        <v>Industrial heating technology Wood products SH - Heat driven heat pump utilizing waste heat - new 2</v>
      </c>
      <c r="F232" s="262" t="s">
        <v>450</v>
      </c>
      <c r="G232" s="262" t="s">
        <v>449</v>
      </c>
      <c r="H232" s="263" t="s">
        <v>620</v>
      </c>
      <c r="I232" s="264"/>
      <c r="J232" s="264" t="s">
        <v>469</v>
      </c>
    </row>
    <row r="233" spans="1:10">
      <c r="A233" s="169"/>
      <c r="B233" s="211"/>
      <c r="C233" s="211"/>
      <c r="D233" s="212" t="str">
        <f t="shared" ca="1" si="267"/>
        <v>INDWDPHELCN3</v>
      </c>
      <c r="E233" s="212" t="str">
        <f t="shared" ca="1" si="266"/>
        <v>Industrial heating technology Wood products PH - High Temp abs. Heat pump utilizing waste heat - new 3</v>
      </c>
      <c r="F233" s="262" t="s">
        <v>450</v>
      </c>
      <c r="G233" s="262" t="s">
        <v>449</v>
      </c>
      <c r="H233" s="263" t="s">
        <v>620</v>
      </c>
      <c r="I233" s="264"/>
      <c r="J233" s="264" t="s">
        <v>469</v>
      </c>
    </row>
    <row r="234" spans="1:10">
      <c r="A234" s="169"/>
      <c r="B234" s="211"/>
      <c r="C234" s="211"/>
      <c r="D234" s="212" t="str">
        <f t="shared" ca="1" si="267"/>
        <v>INDWDSHELCN3</v>
      </c>
      <c r="E234" s="212" t="str">
        <f t="shared" ca="1" si="266"/>
        <v>Industrial heating technology Wood products SH - High Temp abs. Heat pump utilizing waste heat - new 3</v>
      </c>
      <c r="F234" s="262" t="s">
        <v>450</v>
      </c>
      <c r="G234" s="262" t="s">
        <v>449</v>
      </c>
      <c r="H234" s="263" t="s">
        <v>620</v>
      </c>
      <c r="I234" s="264"/>
      <c r="J234" s="264" t="s">
        <v>469</v>
      </c>
    </row>
    <row r="235" spans="1:10">
      <c r="A235" s="169"/>
      <c r="B235" s="211"/>
      <c r="C235" s="211"/>
      <c r="D235" s="212" t="str">
        <f t="shared" ca="1" si="267"/>
        <v>INDWDPHELCN4</v>
      </c>
      <c r="E235" s="212" t="str">
        <f t="shared" ca="1" si="266"/>
        <v>Industrial heating technology Wood products PH - Booster Heat pump utilizing waste heat - new 4</v>
      </c>
      <c r="F235" s="262" t="s">
        <v>450</v>
      </c>
      <c r="G235" s="262" t="s">
        <v>449</v>
      </c>
      <c r="H235" s="263" t="s">
        <v>620</v>
      </c>
      <c r="I235" s="264"/>
      <c r="J235" s="264" t="s">
        <v>469</v>
      </c>
    </row>
    <row r="236" spans="1:10">
      <c r="A236" s="169"/>
      <c r="B236" s="211"/>
      <c r="C236" s="211"/>
      <c r="D236" s="212" t="str">
        <f t="shared" ca="1" si="267"/>
        <v>INDWDSHELCN4</v>
      </c>
      <c r="E236" s="212" t="str">
        <f t="shared" ca="1" si="266"/>
        <v>Industrial heating technology Wood products SH - Booster Heat pump utilizing waste heat - new 4</v>
      </c>
      <c r="F236" s="262" t="s">
        <v>450</v>
      </c>
      <c r="G236" s="262" t="s">
        <v>449</v>
      </c>
      <c r="H236" s="263" t="s">
        <v>620</v>
      </c>
      <c r="I236" s="264"/>
      <c r="J236" s="264" t="s">
        <v>469</v>
      </c>
    </row>
    <row r="237" spans="1:10">
      <c r="A237" s="169"/>
      <c r="B237" s="211"/>
      <c r="C237" s="211"/>
      <c r="D237" s="212" t="str">
        <f t="shared" ca="1" si="267"/>
        <v>INDWDPHELCN5</v>
      </c>
      <c r="E237" s="212" t="str">
        <f t="shared" ca="1" si="266"/>
        <v>Industrial heating technology Wood products PH - MVR utilizing waste heat - new 5</v>
      </c>
      <c r="F237" s="262" t="s">
        <v>450</v>
      </c>
      <c r="G237" s="262" t="s">
        <v>449</v>
      </c>
      <c r="H237" s="263"/>
      <c r="I237" s="264"/>
      <c r="J237" s="264" t="s">
        <v>469</v>
      </c>
    </row>
    <row r="238" spans="1:10">
      <c r="A238" s="169"/>
      <c r="B238" s="211"/>
      <c r="C238" s="211"/>
      <c r="D238" s="212" t="str">
        <f t="shared" ca="1" si="267"/>
        <v>INDWDPHWSTN1</v>
      </c>
      <c r="E238" s="212" t="str">
        <f t="shared" ca="1" si="266"/>
        <v>Industrial heating technology Wood products PH - Hotdisc - new 1</v>
      </c>
      <c r="F238" s="262" t="s">
        <v>450</v>
      </c>
      <c r="G238" s="262" t="s">
        <v>449</v>
      </c>
      <c r="H238" s="263" t="s">
        <v>620</v>
      </c>
      <c r="I238" s="264"/>
      <c r="J238" s="264" t="s">
        <v>469</v>
      </c>
    </row>
    <row r="239" spans="1:10">
      <c r="A239" s="169"/>
      <c r="B239" s="211"/>
      <c r="C239" s="211"/>
      <c r="D239" s="212" t="str">
        <f t="shared" ref="D239:D278" ca="1" si="268">OFFSET($D$9,(ROW(D19)*3),0)</f>
        <v>INDWDPHELCN6</v>
      </c>
      <c r="E239" s="212" t="str">
        <f t="shared" ca="1" si="266"/>
        <v>Industrial heating technology Wood products PH - Dielectric heating - new 6</v>
      </c>
      <c r="F239" s="262" t="s">
        <v>450</v>
      </c>
      <c r="G239" s="262" t="s">
        <v>449</v>
      </c>
      <c r="H239" s="263" t="s">
        <v>620</v>
      </c>
      <c r="I239" s="264"/>
      <c r="J239" s="264" t="s">
        <v>469</v>
      </c>
    </row>
    <row r="240" spans="1:10">
      <c r="A240" s="169"/>
      <c r="B240" s="211"/>
      <c r="C240" s="211"/>
      <c r="D240" s="212" t="str">
        <f t="shared" ca="1" si="268"/>
        <v>INDWDPHELCN7</v>
      </c>
      <c r="E240" s="212" t="str">
        <f t="shared" ca="1" si="266"/>
        <v>Industrial heating technology Wood products PH - Infrared heating - new 7</v>
      </c>
      <c r="F240" s="262" t="s">
        <v>450</v>
      </c>
      <c r="G240" s="262" t="s">
        <v>449</v>
      </c>
      <c r="H240" s="263" t="s">
        <v>620</v>
      </c>
      <c r="I240" s="264"/>
      <c r="J240" s="264" t="s">
        <v>469</v>
      </c>
    </row>
    <row r="241" spans="1:16">
      <c r="A241" s="169"/>
      <c r="B241" s="211"/>
      <c r="C241" s="211"/>
      <c r="D241" s="212" t="str">
        <f t="shared" ca="1" si="268"/>
        <v>INDWDPHELCN8</v>
      </c>
      <c r="E241" s="212" t="str">
        <f t="shared" ca="1" si="266"/>
        <v>Industrial heating technology Wood products PH - Electric boiler (Steam) - new 8</v>
      </c>
      <c r="F241" s="262" t="s">
        <v>450</v>
      </c>
      <c r="G241" s="262" t="s">
        <v>449</v>
      </c>
      <c r="H241" s="263" t="s">
        <v>620</v>
      </c>
      <c r="I241" s="264"/>
      <c r="J241" s="264" t="s">
        <v>469</v>
      </c>
    </row>
    <row r="242" spans="1:16">
      <c r="A242" s="169"/>
      <c r="B242" s="211"/>
      <c r="C242" s="211"/>
      <c r="D242" s="212" t="str">
        <f t="shared" ca="1" si="268"/>
        <v>INDWDPHELCN8</v>
      </c>
      <c r="E242" s="212" t="str">
        <f t="shared" ca="1" si="266"/>
        <v>Industrial heating technology Wood products PH - Electric boiler (Steam) - new 8</v>
      </c>
      <c r="F242" s="262" t="s">
        <v>450</v>
      </c>
      <c r="G242" s="262" t="s">
        <v>449</v>
      </c>
      <c r="H242" s="263" t="s">
        <v>620</v>
      </c>
      <c r="I242" s="264"/>
      <c r="J242" s="264" t="s">
        <v>469</v>
      </c>
    </row>
    <row r="243" spans="1:16">
      <c r="A243" s="169"/>
      <c r="B243" s="211"/>
      <c r="C243" s="211"/>
      <c r="D243" s="212" t="str">
        <f t="shared" ca="1" si="268"/>
        <v>INDWDSHELCN8</v>
      </c>
      <c r="E243" s="212" t="str">
        <f t="shared" ca="1" si="266"/>
        <v>Industrial heating technology Wood products SH - Electric boiler (Steam) - new 8</v>
      </c>
      <c r="F243" s="262" t="s">
        <v>450</v>
      </c>
      <c r="G243" s="262" t="s">
        <v>449</v>
      </c>
      <c r="H243" s="263" t="s">
        <v>620</v>
      </c>
      <c r="I243" s="264"/>
      <c r="J243" s="264" t="s">
        <v>469</v>
      </c>
      <c r="P243" s="173"/>
    </row>
    <row r="244" spans="1:16">
      <c r="A244" s="169"/>
      <c r="B244" s="211"/>
      <c r="C244" s="211"/>
      <c r="D244" s="212" t="str">
        <f t="shared" ca="1" si="268"/>
        <v>INDWDPHELCN9</v>
      </c>
      <c r="E244" s="212" t="str">
        <f t="shared" ca="1" si="266"/>
        <v>Industrial heating technology Wood products PH - Electric boiler (Hot Water) - new 9</v>
      </c>
      <c r="F244" s="262" t="s">
        <v>450</v>
      </c>
      <c r="G244" s="262" t="s">
        <v>449</v>
      </c>
      <c r="H244" s="263" t="s">
        <v>620</v>
      </c>
      <c r="I244" s="264"/>
      <c r="J244" s="264" t="s">
        <v>469</v>
      </c>
      <c r="P244" s="173"/>
    </row>
    <row r="245" spans="1:16">
      <c r="A245" s="169"/>
      <c r="B245" s="211"/>
      <c r="C245" s="211"/>
      <c r="D245" s="212" t="str">
        <f t="shared" ca="1" si="268"/>
        <v>INDWDSHELCN9</v>
      </c>
      <c r="E245" s="212" t="str">
        <f t="shared" ca="1" si="266"/>
        <v>Industrial heating technology Wood products SH - Electric boiler (Hot Water) - new 9</v>
      </c>
      <c r="F245" s="262" t="s">
        <v>450</v>
      </c>
      <c r="G245" s="262" t="s">
        <v>449</v>
      </c>
      <c r="H245" s="263" t="s">
        <v>620</v>
      </c>
      <c r="I245" s="264"/>
      <c r="J245" s="264" t="s">
        <v>469</v>
      </c>
      <c r="P245" s="173"/>
    </row>
    <row r="246" spans="1:16">
      <c r="A246" s="169"/>
      <c r="B246" s="211"/>
      <c r="C246" s="211"/>
      <c r="D246" s="212" t="str">
        <f t="shared" ca="1" si="268"/>
        <v>INDWDPHWCHN1</v>
      </c>
      <c r="E246" s="212" t="str">
        <f t="shared" ca="1" si="266"/>
        <v>Industrial heating technology Wood products PH - Wood chip boiler (Steam) - new 1</v>
      </c>
      <c r="F246" s="262" t="s">
        <v>450</v>
      </c>
      <c r="G246" s="262" t="s">
        <v>449</v>
      </c>
      <c r="H246" s="263"/>
      <c r="I246" s="264"/>
      <c r="J246" s="264" t="s">
        <v>469</v>
      </c>
      <c r="P246" s="173"/>
    </row>
    <row r="247" spans="1:16">
      <c r="A247" s="169"/>
      <c r="B247" s="211"/>
      <c r="C247" s="211"/>
      <c r="D247" s="212" t="str">
        <f t="shared" ca="1" si="268"/>
        <v>INDWDPHWCHN1</v>
      </c>
      <c r="E247" s="212" t="str">
        <f t="shared" ca="1" si="266"/>
        <v>Industrial heating technology Wood products PH - Wood chip boiler (Steam) - new 1</v>
      </c>
      <c r="F247" s="262" t="s">
        <v>450</v>
      </c>
      <c r="G247" s="262" t="s">
        <v>449</v>
      </c>
      <c r="H247" s="263"/>
      <c r="I247" s="264"/>
      <c r="J247" s="264" t="s">
        <v>469</v>
      </c>
      <c r="M247" s="171"/>
      <c r="N247" s="171"/>
      <c r="P247" s="173"/>
    </row>
    <row r="248" spans="1:16">
      <c r="A248" s="169"/>
      <c r="B248" s="211"/>
      <c r="C248" s="211"/>
      <c r="D248" s="212" t="str">
        <f t="shared" ca="1" si="268"/>
        <v>INDWDSHWCHN1</v>
      </c>
      <c r="E248" s="212" t="str">
        <f t="shared" ca="1" si="266"/>
        <v>Industrial heating technology Wood products SH - Wood chip boiler (Steam) - new 1</v>
      </c>
      <c r="F248" s="262" t="s">
        <v>450</v>
      </c>
      <c r="G248" s="262" t="s">
        <v>449</v>
      </c>
      <c r="H248" s="263"/>
      <c r="I248" s="264"/>
      <c r="J248" s="264" t="s">
        <v>469</v>
      </c>
      <c r="M248" s="171"/>
      <c r="N248" s="171"/>
      <c r="P248" s="173"/>
    </row>
    <row r="249" spans="1:16">
      <c r="A249" s="169"/>
      <c r="B249" s="211"/>
      <c r="C249" s="211"/>
      <c r="D249" s="212" t="str">
        <f t="shared" ca="1" si="268"/>
        <v>INDWDPHWCHN2</v>
      </c>
      <c r="E249" s="212" t="str">
        <f t="shared" ca="1" si="266"/>
        <v>Industrial heating technology Wood products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INDWDSHWCHN2</v>
      </c>
      <c r="E250" s="212" t="str">
        <f t="shared" ca="1" si="266"/>
        <v>Industrial heating technology Wood products SH - Wood chip boiler (Steam - condensing) - new 2</v>
      </c>
      <c r="F250" s="262" t="s">
        <v>450</v>
      </c>
      <c r="G250" s="262" t="s">
        <v>449</v>
      </c>
      <c r="H250" s="263"/>
      <c r="I250" s="264"/>
      <c r="J250" s="264" t="s">
        <v>469</v>
      </c>
    </row>
    <row r="251" spans="1:16">
      <c r="A251" s="169"/>
      <c r="B251" s="212"/>
      <c r="C251" s="212"/>
      <c r="D251" s="212" t="str">
        <f t="shared" ca="1" si="268"/>
        <v>INDWDPHWCHN3</v>
      </c>
      <c r="E251" s="212" t="str">
        <f t="shared" ca="1" si="266"/>
        <v>Industrial heating technology Wood products PH - Wood chip boiler (Hot Water) - new 3</v>
      </c>
      <c r="F251" s="262" t="s">
        <v>450</v>
      </c>
      <c r="G251" s="262" t="s">
        <v>449</v>
      </c>
      <c r="H251" s="261"/>
      <c r="I251" s="261"/>
      <c r="J251" s="264" t="s">
        <v>469</v>
      </c>
    </row>
    <row r="252" spans="1:16">
      <c r="A252" s="169"/>
      <c r="B252" s="212"/>
      <c r="C252" s="212"/>
      <c r="D252" s="212" t="str">
        <f t="shared" ca="1" si="268"/>
        <v>INDWDSHWCHN3</v>
      </c>
      <c r="E252" s="212" t="str">
        <f t="shared" ca="1" si="266"/>
        <v>Industrial heating technology Wood products SH - Wood chip boiler (Hot Water) - new 3</v>
      </c>
      <c r="F252" s="262" t="s">
        <v>450</v>
      </c>
      <c r="G252" s="262" t="s">
        <v>449</v>
      </c>
      <c r="H252" s="261"/>
      <c r="I252" s="261"/>
      <c r="J252" s="264" t="s">
        <v>469</v>
      </c>
    </row>
    <row r="253" spans="1:16">
      <c r="A253" s="169"/>
      <c r="B253" s="212"/>
      <c r="C253" s="212"/>
      <c r="D253" s="212" t="str">
        <f t="shared" ca="1" si="268"/>
        <v>INDWDPHWCHN4</v>
      </c>
      <c r="E253" s="212" t="str">
        <f t="shared" ca="1" si="266"/>
        <v>Industrial heating technology Wood products PH - Wood chip boiler (Hot Water - condensing) - new 4</v>
      </c>
      <c r="F253" s="262" t="s">
        <v>450</v>
      </c>
      <c r="G253" s="262" t="s">
        <v>449</v>
      </c>
      <c r="H253" s="261"/>
      <c r="I253" s="261"/>
      <c r="J253" s="264" t="s">
        <v>469</v>
      </c>
    </row>
    <row r="254" spans="1:16">
      <c r="A254" s="169"/>
      <c r="B254" s="212"/>
      <c r="C254" s="212"/>
      <c r="D254" s="212" t="str">
        <f t="shared" ca="1" si="268"/>
        <v>INDWDSHWCHN4</v>
      </c>
      <c r="E254" s="212" t="str">
        <f t="shared" ca="1" si="266"/>
        <v>Industrial heating technology Wood products SH - Wood chip boiler (Hot Water- condensing) - new 4</v>
      </c>
      <c r="F254" s="262" t="s">
        <v>450</v>
      </c>
      <c r="G254" s="262" t="s">
        <v>449</v>
      </c>
      <c r="H254" s="261"/>
      <c r="I254" s="261"/>
      <c r="J254" s="264" t="s">
        <v>469</v>
      </c>
    </row>
    <row r="255" spans="1:16">
      <c r="B255" s="212"/>
      <c r="C255" s="212"/>
      <c r="D255" s="212" t="str">
        <f t="shared" ca="1" si="268"/>
        <v>INDWDPHELCN10</v>
      </c>
      <c r="E255" s="212" t="str">
        <f t="shared" ca="1" si="266"/>
        <v>Industrial heating technology Wood products PH - Direct electric heating - new 10</v>
      </c>
      <c r="F255" s="262" t="s">
        <v>450</v>
      </c>
      <c r="G255" s="262" t="s">
        <v>449</v>
      </c>
      <c r="H255" s="261"/>
      <c r="I255" s="261"/>
      <c r="J255" s="264" t="s">
        <v>469</v>
      </c>
    </row>
    <row r="256" spans="1:16">
      <c r="B256" s="212"/>
      <c r="C256" s="212"/>
      <c r="D256" s="212" t="str">
        <f t="shared" ca="1" si="268"/>
        <v>INDWDPHELCN10</v>
      </c>
      <c r="E256" s="212" t="str">
        <f t="shared" ca="1" si="266"/>
        <v>Industrial heating technology Wood products PH - Direct electric heating - new 10</v>
      </c>
      <c r="F256" s="262" t="s">
        <v>450</v>
      </c>
      <c r="G256" s="262" t="s">
        <v>449</v>
      </c>
      <c r="H256" s="261"/>
      <c r="I256" s="261"/>
      <c r="J256" s="264" t="s">
        <v>469</v>
      </c>
    </row>
    <row r="257" spans="1:10">
      <c r="B257" s="212"/>
      <c r="C257" s="212"/>
      <c r="D257" s="212" t="str">
        <f t="shared" ca="1" si="268"/>
        <v>INDWDPHDSLN1</v>
      </c>
      <c r="E257" s="212" t="str">
        <f t="shared" ca="1" si="266"/>
        <v>Industrial heating technology Wood products PH - Oil boiler (Steam) - new 1</v>
      </c>
      <c r="F257" s="262" t="s">
        <v>450</v>
      </c>
      <c r="G257" s="262" t="s">
        <v>449</v>
      </c>
      <c r="H257" s="261"/>
      <c r="I257" s="261"/>
      <c r="J257" s="264" t="s">
        <v>469</v>
      </c>
    </row>
    <row r="258" spans="1:10">
      <c r="B258" s="212"/>
      <c r="C258" s="212"/>
      <c r="D258" s="212" t="str">
        <f t="shared" ca="1" si="268"/>
        <v>INDWDPHDSLN1</v>
      </c>
      <c r="E258" s="212" t="str">
        <f t="shared" ca="1" si="266"/>
        <v>Industrial heating technology Wood products PH - Oil boiler (Steam) - new 1</v>
      </c>
      <c r="F258" s="262" t="s">
        <v>450</v>
      </c>
      <c r="G258" s="262" t="s">
        <v>449</v>
      </c>
      <c r="H258" s="261"/>
      <c r="I258" s="261"/>
      <c r="J258" s="264" t="s">
        <v>469</v>
      </c>
    </row>
    <row r="259" spans="1:10">
      <c r="B259" s="212"/>
      <c r="C259" s="212"/>
      <c r="D259" s="212" t="str">
        <f t="shared" ca="1" si="268"/>
        <v>INDWDSHDSLN1</v>
      </c>
      <c r="E259" s="212" t="str">
        <f t="shared" ca="1" si="266"/>
        <v>Industrial heating technology Wood products SH - Oil boiler (Steam) - new 1</v>
      </c>
      <c r="F259" s="262" t="s">
        <v>450</v>
      </c>
      <c r="G259" s="262" t="s">
        <v>449</v>
      </c>
      <c r="H259" s="261"/>
      <c r="I259" s="261"/>
      <c r="J259" s="264" t="s">
        <v>469</v>
      </c>
    </row>
    <row r="260" spans="1:10">
      <c r="A260" s="214"/>
      <c r="B260" s="212"/>
      <c r="C260" s="212"/>
      <c r="D260" s="212" t="str">
        <f t="shared" ca="1" si="268"/>
        <v>INDWDPHDSLN2</v>
      </c>
      <c r="E260" s="212" t="str">
        <f t="shared" ca="1" si="266"/>
        <v>Industrial heating technology Wood products PH - Oil boiler (Steam - condensing) - new 2</v>
      </c>
      <c r="F260" s="262" t="s">
        <v>450</v>
      </c>
      <c r="G260" s="262" t="s">
        <v>449</v>
      </c>
      <c r="H260" s="261"/>
      <c r="I260" s="261"/>
      <c r="J260" s="264" t="s">
        <v>469</v>
      </c>
    </row>
    <row r="261" spans="1:10">
      <c r="A261" s="214"/>
      <c r="B261" s="212"/>
      <c r="C261" s="212"/>
      <c r="D261" s="212" t="str">
        <f t="shared" ca="1" si="268"/>
        <v>INDWDSHDSLN2</v>
      </c>
      <c r="E261" s="212" t="str">
        <f t="shared" ref="E261:E290" ca="1" si="269">VLOOKUP(D261,$D$9:$E$222,2,FALSE)</f>
        <v>Industrial heating technology Wood products SH - Oil boiler (Steam - condensing) - new 2</v>
      </c>
      <c r="F261" s="262" t="s">
        <v>450</v>
      </c>
      <c r="G261" s="262" t="s">
        <v>449</v>
      </c>
      <c r="H261" s="261"/>
      <c r="I261" s="261"/>
      <c r="J261" s="264" t="s">
        <v>469</v>
      </c>
    </row>
    <row r="262" spans="1:10">
      <c r="A262" s="214"/>
      <c r="B262" s="212"/>
      <c r="C262" s="212"/>
      <c r="D262" s="212" t="str">
        <f t="shared" ca="1" si="268"/>
        <v>INDWDPHGASN1</v>
      </c>
      <c r="E262" s="212" t="str">
        <f t="shared" ca="1" si="269"/>
        <v>Industrial heating technology Wood products PH - Gas boiler (Steam) - new 1</v>
      </c>
      <c r="F262" s="262" t="s">
        <v>450</v>
      </c>
      <c r="G262" s="262" t="s">
        <v>449</v>
      </c>
      <c r="H262" s="261"/>
      <c r="I262" s="261"/>
      <c r="J262" s="264" t="s">
        <v>469</v>
      </c>
    </row>
    <row r="263" spans="1:10">
      <c r="A263" s="214"/>
      <c r="B263" s="212"/>
      <c r="C263" s="212"/>
      <c r="D263" s="212" t="str">
        <f t="shared" ca="1" si="268"/>
        <v>INDWDPHGASN1</v>
      </c>
      <c r="E263" s="212" t="str">
        <f t="shared" ca="1" si="269"/>
        <v>Industrial heating technology Wood products PH - Gas boiler (Steam) - new 1</v>
      </c>
      <c r="F263" s="262" t="s">
        <v>450</v>
      </c>
      <c r="G263" s="262" t="s">
        <v>449</v>
      </c>
      <c r="H263" s="261"/>
      <c r="I263" s="261"/>
      <c r="J263" s="264" t="s">
        <v>469</v>
      </c>
    </row>
    <row r="264" spans="1:10">
      <c r="B264" s="212"/>
      <c r="C264" s="212"/>
      <c r="D264" s="212" t="str">
        <f t="shared" ca="1" si="268"/>
        <v>INDWDSHGASN1</v>
      </c>
      <c r="E264" s="212" t="str">
        <f t="shared" ca="1" si="269"/>
        <v>Industrial heating technology Wood products SH - Gas boiler (Steam) - new 1</v>
      </c>
      <c r="F264" s="262" t="s">
        <v>450</v>
      </c>
      <c r="G264" s="262" t="s">
        <v>449</v>
      </c>
      <c r="H264" s="261"/>
      <c r="I264" s="261"/>
      <c r="J264" s="264" t="s">
        <v>469</v>
      </c>
    </row>
    <row r="265" spans="1:10">
      <c r="B265" s="212"/>
      <c r="C265" s="212"/>
      <c r="D265" s="212" t="str">
        <f t="shared" ca="1" si="268"/>
        <v>INDWDPHGASN2</v>
      </c>
      <c r="E265" s="212" t="str">
        <f t="shared" ca="1" si="269"/>
        <v>Industrial heating technology Wood products PH - Gas boiler (Steam - condensing) - new 2</v>
      </c>
      <c r="F265" s="262" t="s">
        <v>450</v>
      </c>
      <c r="G265" s="262" t="s">
        <v>449</v>
      </c>
      <c r="H265" s="261"/>
      <c r="I265" s="261"/>
      <c r="J265" s="264" t="s">
        <v>469</v>
      </c>
    </row>
    <row r="266" spans="1:10">
      <c r="B266" s="212"/>
      <c r="C266" s="212"/>
      <c r="D266" s="212" t="str">
        <f t="shared" ca="1" si="268"/>
        <v>INDWDSHGASN2</v>
      </c>
      <c r="E266" s="212" t="str">
        <f t="shared" ca="1" si="269"/>
        <v>Industrial heating technology Wood products SH - Gas boiler (Steam - condensing) - new 2</v>
      </c>
      <c r="F266" s="262" t="s">
        <v>450</v>
      </c>
      <c r="G266" s="262" t="s">
        <v>449</v>
      </c>
      <c r="H266" s="261"/>
      <c r="I266" s="261"/>
      <c r="J266" s="264" t="s">
        <v>469</v>
      </c>
    </row>
    <row r="267" spans="1:10">
      <c r="B267" s="212"/>
      <c r="C267" s="212"/>
      <c r="D267" s="212" t="str">
        <f t="shared" ca="1" si="268"/>
        <v>INDWDPHGASN3</v>
      </c>
      <c r="E267" s="212" t="str">
        <f t="shared" ca="1" si="269"/>
        <v>Industrial heating technology Wood products PH - Gas boiler (Hot Water) - new 3</v>
      </c>
      <c r="F267" s="262" t="s">
        <v>450</v>
      </c>
      <c r="G267" s="262" t="s">
        <v>449</v>
      </c>
      <c r="H267" s="261"/>
      <c r="I267" s="261"/>
      <c r="J267" s="264" t="s">
        <v>469</v>
      </c>
    </row>
    <row r="268" spans="1:10">
      <c r="B268" s="212"/>
      <c r="C268" s="212"/>
      <c r="D268" s="212" t="str">
        <f t="shared" ca="1" si="268"/>
        <v>INDWDSHGASN3</v>
      </c>
      <c r="E268" s="212" t="str">
        <f t="shared" ca="1" si="269"/>
        <v>Industrial heating technology Wood products SH - Gas boiler (Hot Water) - new 3</v>
      </c>
      <c r="F268" s="262" t="s">
        <v>450</v>
      </c>
      <c r="G268" s="262" t="s">
        <v>449</v>
      </c>
      <c r="H268" s="261"/>
      <c r="I268" s="261"/>
      <c r="J268" s="264" t="s">
        <v>469</v>
      </c>
    </row>
    <row r="269" spans="1:10">
      <c r="B269" s="212"/>
      <c r="C269" s="212"/>
      <c r="D269" s="212" t="str">
        <f t="shared" ca="1" si="268"/>
        <v>INDWDPHGASN4</v>
      </c>
      <c r="E269" s="212" t="str">
        <f t="shared" ca="1" si="269"/>
        <v>Industrial heating technology Wood products PH - Gas boiler (Hot Water - condensing) - new 4</v>
      </c>
      <c r="F269" s="262" t="s">
        <v>450</v>
      </c>
      <c r="G269" s="262" t="s">
        <v>449</v>
      </c>
      <c r="H269" s="261"/>
      <c r="I269" s="261"/>
      <c r="J269" s="264" t="s">
        <v>469</v>
      </c>
    </row>
    <row r="270" spans="1:10">
      <c r="B270" s="212"/>
      <c r="C270" s="212"/>
      <c r="D270" s="212" t="str">
        <f t="shared" ca="1" si="268"/>
        <v>INDWDSHGASN4</v>
      </c>
      <c r="E270" s="212" t="str">
        <f t="shared" ca="1" si="269"/>
        <v>Industrial heating technology Wood products SH - Gas boiler (Hot Water- condensing) - new 4</v>
      </c>
      <c r="F270" s="262" t="s">
        <v>450</v>
      </c>
      <c r="G270" s="262" t="s">
        <v>449</v>
      </c>
      <c r="H270" s="261"/>
      <c r="I270" s="261"/>
      <c r="J270" s="264" t="s">
        <v>469</v>
      </c>
    </row>
    <row r="271" spans="1:10">
      <c r="B271" s="212"/>
      <c r="C271" s="212"/>
      <c r="D271" s="212" t="str">
        <f t="shared" ca="1" si="268"/>
        <v>INDWDPHGASN5</v>
      </c>
      <c r="E271" s="212" t="str">
        <f t="shared" ca="1" si="269"/>
        <v>Industrial heating technology Wood products PH - Gas boiler (Direct firing) - new 5</v>
      </c>
      <c r="F271" s="262" t="s">
        <v>450</v>
      </c>
      <c r="G271" s="262" t="s">
        <v>449</v>
      </c>
      <c r="H271" s="261"/>
      <c r="I271" s="261"/>
      <c r="J271" s="264" t="s">
        <v>469</v>
      </c>
    </row>
    <row r="272" spans="1:10">
      <c r="B272" s="212"/>
      <c r="C272" s="212"/>
      <c r="D272" s="212" t="str">
        <f t="shared" ca="1" si="268"/>
        <v>INDWDPHGASN5</v>
      </c>
      <c r="E272" s="212" t="str">
        <f t="shared" ca="1" si="269"/>
        <v>Industrial heating technology Wood products PH - Gas boiler (Direct firing) - new 5</v>
      </c>
      <c r="F272" s="262" t="s">
        <v>450</v>
      </c>
      <c r="G272" s="262" t="s">
        <v>449</v>
      </c>
      <c r="H272" s="261"/>
      <c r="I272" s="261"/>
      <c r="J272" s="264" t="s">
        <v>469</v>
      </c>
    </row>
    <row r="273" spans="2:10">
      <c r="B273" s="212"/>
      <c r="C273" s="212"/>
      <c r="D273" s="212" t="str">
        <f t="shared" ca="1" si="268"/>
        <v>INDWDPHCOAN1</v>
      </c>
      <c r="E273" s="212" t="str">
        <f t="shared" ca="1" si="269"/>
        <v>Industrial heating technology Wood products PH - Coal boiler (Steam) - new 1</v>
      </c>
      <c r="F273" s="262" t="s">
        <v>450</v>
      </c>
      <c r="G273" s="262" t="s">
        <v>449</v>
      </c>
      <c r="H273" s="261"/>
      <c r="I273" s="261"/>
      <c r="J273" s="264" t="s">
        <v>469</v>
      </c>
    </row>
    <row r="274" spans="2:10">
      <c r="B274" s="212"/>
      <c r="C274" s="212"/>
      <c r="D274" s="212" t="str">
        <f t="shared" ca="1" si="268"/>
        <v>INDWDPHCOAN1</v>
      </c>
      <c r="E274" s="212" t="str">
        <f t="shared" ca="1" si="269"/>
        <v>Industrial heating technology Wood products PH - Coal boiler (Steam) - new 1</v>
      </c>
      <c r="F274" s="262" t="s">
        <v>450</v>
      </c>
      <c r="G274" s="262" t="s">
        <v>449</v>
      </c>
      <c r="H274" s="261"/>
      <c r="I274" s="261"/>
      <c r="J274" s="264" t="s">
        <v>469</v>
      </c>
    </row>
    <row r="275" spans="2:10">
      <c r="B275" s="212"/>
      <c r="C275" s="212"/>
      <c r="D275" s="212" t="str">
        <f t="shared" ca="1" si="268"/>
        <v>INDWDSHCOAN1</v>
      </c>
      <c r="E275" s="212" t="str">
        <f t="shared" ca="1" si="269"/>
        <v>Industrial heating technology Wood products SH - Coal boiler (Steam) - new 1</v>
      </c>
      <c r="F275" s="262" t="s">
        <v>450</v>
      </c>
      <c r="G275" s="262" t="s">
        <v>449</v>
      </c>
      <c r="H275" s="261"/>
      <c r="I275" s="261"/>
      <c r="J275" s="264" t="s">
        <v>469</v>
      </c>
    </row>
    <row r="276" spans="2:10">
      <c r="B276" s="212"/>
      <c r="C276" s="212"/>
      <c r="D276" s="212" t="str">
        <f t="shared" ca="1" si="268"/>
        <v>INDWDPHCOAN2</v>
      </c>
      <c r="E276" s="212" t="str">
        <f t="shared" ca="1" si="269"/>
        <v>Industrial heating technology Wood products PH - Coal boiler (Hot Water) - new 2</v>
      </c>
      <c r="F276" s="262" t="s">
        <v>450</v>
      </c>
      <c r="G276" s="262" t="s">
        <v>449</v>
      </c>
      <c r="H276" s="261"/>
      <c r="I276" s="261"/>
      <c r="J276" s="264" t="s">
        <v>469</v>
      </c>
    </row>
    <row r="277" spans="2:10">
      <c r="B277" s="212"/>
      <c r="C277" s="212"/>
      <c r="D277" s="212" t="str">
        <f t="shared" ca="1" si="268"/>
        <v>INDWDSHCOAN2</v>
      </c>
      <c r="E277" s="212" t="str">
        <f t="shared" ca="1" si="269"/>
        <v>Industrial heating technology Wood products SH - Coal boiler (Hot Water) - new 2</v>
      </c>
      <c r="F277" s="262" t="s">
        <v>450</v>
      </c>
      <c r="G277" s="262" t="s">
        <v>449</v>
      </c>
      <c r="H277" s="261"/>
      <c r="I277" s="261"/>
      <c r="J277" s="264" t="s">
        <v>469</v>
      </c>
    </row>
    <row r="278" spans="2:10">
      <c r="B278" s="212"/>
      <c r="C278" s="212"/>
      <c r="D278" s="212" t="str">
        <f t="shared" ca="1" si="268"/>
        <v>INDWDSHSOLN1</v>
      </c>
      <c r="E278" s="212" t="str">
        <f t="shared" ca="1" si="269"/>
        <v>Industrial heating technology Wood products SH - Solar - new 1</v>
      </c>
      <c r="F278" s="262" t="s">
        <v>450</v>
      </c>
      <c r="G278" s="262" t="s">
        <v>449</v>
      </c>
      <c r="H278" s="263" t="s">
        <v>620</v>
      </c>
      <c r="I278" s="261"/>
      <c r="J278" s="264" t="s">
        <v>469</v>
      </c>
    </row>
    <row r="279" spans="2:10">
      <c r="B279" s="212"/>
      <c r="C279" s="212"/>
      <c r="D279" s="889" t="str">
        <f>D187</f>
        <v>INDWDSHHCEN1</v>
      </c>
      <c r="E279" s="889" t="str">
        <f t="shared" si="269"/>
        <v>Industrial heating technology Wood products SH - central district heating - within DH area - new 1</v>
      </c>
      <c r="F279" s="262" t="s">
        <v>450</v>
      </c>
      <c r="G279" s="262" t="s">
        <v>449</v>
      </c>
      <c r="H279" s="890"/>
      <c r="I279" s="890"/>
      <c r="J279" s="263" t="s">
        <v>469</v>
      </c>
    </row>
    <row r="280" spans="2:10">
      <c r="B280" s="212"/>
      <c r="C280" s="212"/>
      <c r="D280" s="889" t="str">
        <f>D188</f>
        <v>INDWDPHHCEN1</v>
      </c>
      <c r="E280" s="889" t="str">
        <f t="shared" si="269"/>
        <v>Industrial heating technology Wood products PH - central district heating - within DH area - new 1</v>
      </c>
      <c r="F280" s="262" t="s">
        <v>450</v>
      </c>
      <c r="G280" s="262" t="s">
        <v>449</v>
      </c>
      <c r="H280" s="890"/>
      <c r="I280" s="890"/>
      <c r="J280" s="263" t="s">
        <v>469</v>
      </c>
    </row>
    <row r="281" spans="2:10">
      <c r="B281" s="212"/>
      <c r="C281" s="212"/>
      <c r="D281" s="889" t="str">
        <f>D189</f>
        <v>INDWDSHHSEN1</v>
      </c>
      <c r="E281" s="889" t="str">
        <f t="shared" si="269"/>
        <v>Industrial heating technology Wood products SH - central district heating - within DH area - new 1</v>
      </c>
      <c r="F281" s="262" t="s">
        <v>450</v>
      </c>
      <c r="G281" s="262" t="s">
        <v>449</v>
      </c>
      <c r="H281" s="890"/>
      <c r="I281" s="890"/>
      <c r="J281" s="263" t="s">
        <v>469</v>
      </c>
    </row>
    <row r="282" spans="2:10">
      <c r="B282" s="212"/>
      <c r="C282" s="212"/>
      <c r="D282" s="889" t="str">
        <f>D190</f>
        <v>INDWDPHHSEN1</v>
      </c>
      <c r="E282" s="889" t="str">
        <f t="shared" si="269"/>
        <v>Industrial heating technology Wood products PH - central district heating - within DH area - new 1</v>
      </c>
      <c r="F282" s="262" t="s">
        <v>450</v>
      </c>
      <c r="G282" s="262" t="s">
        <v>449</v>
      </c>
      <c r="H282" s="890"/>
      <c r="I282" s="890"/>
      <c r="J282" s="263" t="s">
        <v>469</v>
      </c>
    </row>
    <row r="283" spans="2:10">
      <c r="B283" s="212"/>
      <c r="C283" s="212"/>
      <c r="D283" s="212" t="str">
        <f t="shared" ref="D283" si="270">D191</f>
        <v>INDWDSHHDEN1</v>
      </c>
      <c r="E283" s="212" t="str">
        <f t="shared" si="269"/>
        <v>Industrial heating technology Wood products SH - decentral district heating - within DH area - new 1</v>
      </c>
      <c r="F283" s="262" t="s">
        <v>450</v>
      </c>
      <c r="G283" s="262" t="s">
        <v>449</v>
      </c>
      <c r="H283" s="261"/>
      <c r="I283" s="261"/>
      <c r="J283" s="264" t="s">
        <v>469</v>
      </c>
    </row>
    <row r="284" spans="2:10">
      <c r="B284" s="212"/>
      <c r="C284" s="212"/>
      <c r="D284" s="212" t="str">
        <f>D192</f>
        <v>INDWDPHHDEN1</v>
      </c>
      <c r="E284" s="212" t="str">
        <f t="shared" si="269"/>
        <v>Industrial heating technology Wood products PH - decentral district heating - within DH area - new 1</v>
      </c>
      <c r="F284" s="262" t="s">
        <v>450</v>
      </c>
      <c r="G284" s="262" t="s">
        <v>449</v>
      </c>
      <c r="H284" s="261"/>
      <c r="I284" s="261"/>
      <c r="J284" s="264" t="s">
        <v>469</v>
      </c>
    </row>
    <row r="285" spans="2:10">
      <c r="B285" s="212"/>
      <c r="C285" s="212"/>
      <c r="D285" s="212" t="str">
        <f>D194</f>
        <v>INDWDLAELCN1</v>
      </c>
      <c r="E285" s="212" t="str">
        <f t="shared" si="269"/>
        <v>Industry Wood products LA Electricity Light Appliance - New 1</v>
      </c>
      <c r="F285" s="262" t="s">
        <v>450</v>
      </c>
      <c r="G285" s="262" t="s">
        <v>449</v>
      </c>
      <c r="H285" s="261"/>
      <c r="I285" s="261"/>
      <c r="J285" s="264" t="s">
        <v>469</v>
      </c>
    </row>
    <row r="286" spans="2:10">
      <c r="B286" s="212"/>
      <c r="C286" s="212"/>
      <c r="D286" s="212" t="str">
        <f>D198</f>
        <v>INDWDEMELCN1</v>
      </c>
      <c r="E286" s="212" t="str">
        <f t="shared" si="269"/>
        <v>Industry Wood products EM Electricity Motors - New 1</v>
      </c>
      <c r="F286" s="262" t="s">
        <v>450</v>
      </c>
      <c r="G286" s="262" t="s">
        <v>449</v>
      </c>
      <c r="H286" s="261"/>
      <c r="I286" s="261"/>
      <c r="J286" s="264" t="s">
        <v>469</v>
      </c>
    </row>
    <row r="287" spans="2:10">
      <c r="B287" s="212"/>
      <c r="C287" s="212"/>
      <c r="D287" s="212" t="str">
        <f>D202</f>
        <v>INDWDTFDSLN1</v>
      </c>
      <c r="E287" s="212" t="str">
        <f t="shared" si="269"/>
        <v>Industry Wood products TF Tractors, Trucks, Fishing boats - New 1</v>
      </c>
      <c r="F287" s="262" t="s">
        <v>450</v>
      </c>
      <c r="G287" s="262" t="s">
        <v>2078</v>
      </c>
      <c r="H287" s="261"/>
      <c r="I287" s="261"/>
      <c r="J287" s="264" t="s">
        <v>469</v>
      </c>
    </row>
    <row r="288" spans="2:10">
      <c r="B288" s="212"/>
      <c r="C288" s="212"/>
      <c r="D288" s="212" t="str">
        <f>D206</f>
        <v>INDWDTFH2GN2</v>
      </c>
      <c r="E288" s="212" t="str">
        <f t="shared" si="269"/>
        <v>Industry Wood products TF Tractors, Trucks, Fishing boats - New 2</v>
      </c>
      <c r="F288" s="262" t="s">
        <v>450</v>
      </c>
      <c r="G288" s="262" t="s">
        <v>2078</v>
      </c>
      <c r="H288" s="261"/>
      <c r="I288" s="261"/>
      <c r="J288" s="264" t="s">
        <v>469</v>
      </c>
    </row>
    <row r="289" spans="2:10">
      <c r="B289" s="212"/>
      <c r="C289" s="212"/>
      <c r="D289" s="212" t="str">
        <f>D210</f>
        <v>INDWDTFELCN3</v>
      </c>
      <c r="E289" s="212" t="str">
        <f t="shared" si="269"/>
        <v>Industry Wood products TF Tractors, Trucks, Fishing boats - New 3</v>
      </c>
      <c r="F289" s="262" t="s">
        <v>450</v>
      </c>
      <c r="G289" s="262" t="s">
        <v>2078</v>
      </c>
      <c r="H289" s="261"/>
      <c r="I289" s="261"/>
      <c r="J289" s="264" t="s">
        <v>469</v>
      </c>
    </row>
    <row r="290" spans="2:10">
      <c r="B290" s="212"/>
      <c r="C290" s="212"/>
      <c r="D290" s="212" t="str">
        <f>D214</f>
        <v>INDWDFLSYNN1</v>
      </c>
      <c r="E290" s="212" t="str">
        <f t="shared" si="269"/>
        <v>Industry Wood products TF Forklifts - New 1</v>
      </c>
      <c r="F290" s="262" t="s">
        <v>450</v>
      </c>
      <c r="G290" s="262" t="s">
        <v>449</v>
      </c>
      <c r="H290" s="261"/>
      <c r="I290" s="261"/>
      <c r="J290" s="264" t="s">
        <v>469</v>
      </c>
    </row>
    <row r="291" spans="2:10">
      <c r="B291" s="212"/>
      <c r="C291" s="212"/>
      <c r="D291" s="212" t="str">
        <f>D218</f>
        <v>INDWDCOELCN1</v>
      </c>
      <c r="E291" s="212" t="str">
        <f>E218</f>
        <v>Industry Wood products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IWDSOx</v>
      </c>
      <c r="E296" s="270" t="str">
        <f>"Industrial heating  heating technology "&amp;$AJ$12&amp;" - SOx emission"</f>
        <v>Industrial heating  heating technology Wood products - SOx emission</v>
      </c>
      <c r="F296" s="219" t="s">
        <v>352</v>
      </c>
      <c r="G296" s="211"/>
      <c r="H296" s="211"/>
      <c r="I296" s="211"/>
      <c r="J296" s="211"/>
    </row>
    <row r="297" spans="2:10">
      <c r="B297" s="214"/>
      <c r="C297" s="214"/>
      <c r="D297" s="260" t="str">
        <f>"I"&amp;LEFT($AJ$12,1)&amp;"DNOx"</f>
        <v>IWDNOx</v>
      </c>
      <c r="E297" s="270" t="str">
        <f>"Industrial heating  heating technology "&amp;$AJ$12&amp;" - NOx emission"</f>
        <v>Industrial heating  heating technology Wood products - NOx emission</v>
      </c>
      <c r="F297" s="219" t="s">
        <v>352</v>
      </c>
      <c r="G297" s="211"/>
      <c r="H297" s="214"/>
      <c r="I297" s="214"/>
      <c r="J297" s="214"/>
    </row>
    <row r="298" spans="2:10">
      <c r="B298" s="214"/>
      <c r="C298" s="214"/>
      <c r="D298" s="260" t="str">
        <f>"I"&amp;LEFT($AJ$12,1)&amp;"DCH4"</f>
        <v>IWDCH4</v>
      </c>
      <c r="E298" s="270" t="str">
        <f>"Industrial heating  heating technology "&amp;$AJ$12&amp;" - CH4 emission"</f>
        <v>Industrial heating  heating technology Wood products - CH4 emission</v>
      </c>
      <c r="F298" s="219" t="s">
        <v>352</v>
      </c>
      <c r="G298" s="211"/>
      <c r="H298" s="214"/>
      <c r="I298" s="214"/>
      <c r="J298" s="214"/>
    </row>
    <row r="299" spans="2:10">
      <c r="B299" s="214"/>
      <c r="C299" s="214"/>
      <c r="D299" s="260" t="str">
        <f>"I"&amp;LEFT($AJ$12,1)&amp;"DNO2"</f>
        <v>IWDNO2</v>
      </c>
      <c r="E299" s="270" t="str">
        <f>"Industrial heating  heating technology "&amp;$AJ$12&amp;" - NO2 emission"</f>
        <v>Industrial heating  heating technology Wood products - NO2 emission</v>
      </c>
      <c r="F299" s="219" t="s">
        <v>352</v>
      </c>
      <c r="G299" s="211"/>
      <c r="H299" s="214"/>
      <c r="I299" s="214"/>
      <c r="J299" s="214"/>
    </row>
    <row r="300" spans="2:10">
      <c r="B300" s="214"/>
      <c r="C300" s="214"/>
      <c r="D300" s="260" t="str">
        <f>"I"&amp;LEFT($AJ$12,1)&amp;"DPM"</f>
        <v>IWDPM</v>
      </c>
      <c r="E300" s="270" t="str">
        <f>"Industrial heating  heating technology "&amp;$AJ$12&amp;" - Particle emission"</f>
        <v>Industrial heating  heating technology Wood products - Particle emission</v>
      </c>
      <c r="F300" s="219" t="s">
        <v>352</v>
      </c>
      <c r="G300" s="211"/>
      <c r="H300" s="214"/>
      <c r="I300" s="214"/>
      <c r="J300" s="214"/>
    </row>
    <row r="301" spans="2:10">
      <c r="B301" s="224" t="s">
        <v>1057</v>
      </c>
      <c r="D301" s="224" t="str">
        <f>AI20</f>
        <v>INDWWH</v>
      </c>
      <c r="E301" s="270" t="str">
        <f>"Industrial heating technology "&amp;$AJ$12&amp;" - Waste heat"</f>
        <v>Industrial heating technology Wood products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DF68587-C75D-476C-A912-E553714A9C0B}">
          <x14:formula1>
            <xm:f>'Oil-fired boiler_NEW'!$T$4:$X$4</xm:f>
          </x14:formula1>
          <xm:sqref>E1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09155-C92C-4FFC-9121-81EEA92FE344}">
  <sheetPr>
    <tabColor rgb="FF00B050"/>
  </sheetPr>
  <dimension ref="A1:AP301"/>
  <sheetViews>
    <sheetView topLeftCell="T1"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716</v>
      </c>
      <c r="N1" s="64"/>
      <c r="O1" s="64"/>
      <c r="P1" s="64"/>
      <c r="S1" s="727" t="s">
        <v>1004</v>
      </c>
      <c r="T1" s="776" t="s">
        <v>1003</v>
      </c>
      <c r="U1" s="775" t="s">
        <v>1053</v>
      </c>
      <c r="V1" s="776" t="s">
        <v>1054</v>
      </c>
      <c r="W1" s="780">
        <v>0.3</v>
      </c>
    </row>
    <row r="2" spans="2:42" ht="15" thickBot="1">
      <c r="E2" s="730" t="s">
        <v>1146</v>
      </c>
      <c r="N2" s="731"/>
      <c r="O2" s="731"/>
      <c r="P2" s="731"/>
      <c r="S2" s="726">
        <f>MATCH($E$1,$AJ$22:$AJ$35)</f>
        <v>7</v>
      </c>
      <c r="T2" s="778">
        <f>MATCH($E$1,$AJ$22:$AJ$35)+1</f>
        <v>8</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FEMIS~IODSOx</v>
      </c>
      <c r="Y6" s="280" t="str">
        <f>"FEMIS~"&amp;D297</f>
        <v>FEMIS~IODNOx</v>
      </c>
      <c r="Z6" s="280" t="str">
        <f>"FEMIS~"&amp;D298</f>
        <v>FEMIS~IODCH4</v>
      </c>
      <c r="AA6" s="280" t="str">
        <f>"FEMIS~"&amp;D299</f>
        <v>FEMIS~IODNO2</v>
      </c>
      <c r="AB6" s="280" t="str">
        <f>"FEMIS~"&amp;D300</f>
        <v>FEMIS~IODPM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INDODPHELCN1</v>
      </c>
      <c r="E9" s="261" t="str">
        <f>"Industrial heating technology "&amp;$AJ$12&amp;" "&amp;RIGHT(H9,2)&amp;" - Heat pump utilizing waste heat - new 1"</f>
        <v>Industrial heating technology Other PH - Heat pump utilizing waste heat - new 1</v>
      </c>
      <c r="F9" s="224" t="s">
        <v>1149</v>
      </c>
      <c r="G9" s="173" t="s">
        <v>499</v>
      </c>
      <c r="H9" s="174" t="str">
        <f>$AI$14</f>
        <v>IODPH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INDOWH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IODPH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INDOWH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Other</v>
      </c>
    </row>
    <row r="13" spans="2:42">
      <c r="B13" s="357" t="s">
        <v>998</v>
      </c>
      <c r="D13" s="212"/>
      <c r="E13" s="212"/>
      <c r="F13" s="224" t="s">
        <v>1149</v>
      </c>
      <c r="G13" s="173" t="s">
        <v>499</v>
      </c>
      <c r="H13" s="174" t="str">
        <f>$AI$14</f>
        <v>IODPH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IODPH</v>
      </c>
      <c r="AJ13" s="224" t="str">
        <f>AP14</f>
        <v>Other comm Demand Heat High Temp. over 150C</v>
      </c>
      <c r="AO13" s="224" t="s">
        <v>2095</v>
      </c>
      <c r="AP13" s="224" t="s">
        <v>1223</v>
      </c>
    </row>
    <row r="14" spans="2:42">
      <c r="B14" s="357" t="s">
        <v>998</v>
      </c>
      <c r="D14" s="212"/>
      <c r="E14" s="212"/>
      <c r="F14" s="224" t="s">
        <v>1149</v>
      </c>
      <c r="G14" s="173" t="str">
        <f>$AI$20</f>
        <v>INDOWH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IODPH</v>
      </c>
      <c r="AJ14" s="224" t="str">
        <f>AP13</f>
        <v>Other comm Demand Heat Medium Temp. up to 150C</v>
      </c>
      <c r="AO14" s="224" t="s">
        <v>2095</v>
      </c>
      <c r="AP14" s="224" t="s">
        <v>1224</v>
      </c>
    </row>
    <row r="15" spans="2:42">
      <c r="B15" s="357" t="s">
        <v>998</v>
      </c>
      <c r="D15" s="212" t="str">
        <f>"IND"&amp;RIGHT(H15,4)&amp;RIGHT(G15,3)&amp;"N"&amp;RIGHT(E15,1)</f>
        <v>INDODSHELCN1</v>
      </c>
      <c r="E15" s="261" t="str">
        <f>"Industrial heating technology "&amp;$AJ$12&amp;" "&amp;RIGHT(H15,2)&amp;" - Heat pump utilizing waste heat - new 1"</f>
        <v>Industrial heating technology Other SH - Heat pump utilizing waste heat - new 1</v>
      </c>
      <c r="F15" s="224" t="s">
        <v>1149</v>
      </c>
      <c r="G15" s="173" t="s">
        <v>499</v>
      </c>
      <c r="H15" s="174" t="str">
        <f>$AI$15</f>
        <v>IODSH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IODSH</v>
      </c>
      <c r="AJ15" s="224" t="str">
        <f>AP15</f>
        <v>Other comm Demand Heat Room Heat</v>
      </c>
      <c r="AO15" s="224" t="s">
        <v>2096</v>
      </c>
      <c r="AP15" s="224" t="s">
        <v>1225</v>
      </c>
    </row>
    <row r="16" spans="2:42">
      <c r="B16" s="357" t="s">
        <v>998</v>
      </c>
      <c r="D16" s="212"/>
      <c r="E16" s="261"/>
      <c r="F16" s="224" t="s">
        <v>1149</v>
      </c>
      <c r="G16" s="173" t="str">
        <f>$AI$20</f>
        <v>INDOWH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IODLA</v>
      </c>
      <c r="AJ16" s="224" t="str">
        <f t="shared" si="0"/>
        <v>Other comm Demand Light</v>
      </c>
      <c r="AO16" s="224" t="s">
        <v>1226</v>
      </c>
      <c r="AP16" s="224" t="s">
        <v>1227</v>
      </c>
    </row>
    <row r="17" spans="2:42">
      <c r="B17" s="357" t="s">
        <v>998</v>
      </c>
      <c r="D17" s="212"/>
      <c r="E17" s="212"/>
      <c r="F17" s="224" t="s">
        <v>1149</v>
      </c>
      <c r="G17" s="173" t="s">
        <v>499</v>
      </c>
      <c r="H17" s="174" t="str">
        <f>$AI$15</f>
        <v>IODSH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IODEM</v>
      </c>
      <c r="AJ17" s="224" t="str">
        <f t="shared" si="0"/>
        <v>Other comm Demand Electric Motors</v>
      </c>
      <c r="AO17" s="224" t="s">
        <v>1228</v>
      </c>
      <c r="AP17" s="224" t="s">
        <v>1229</v>
      </c>
    </row>
    <row r="18" spans="2:42">
      <c r="B18" s="357" t="s">
        <v>998</v>
      </c>
      <c r="D18" s="212"/>
      <c r="E18" s="212"/>
      <c r="F18" s="224" t="s">
        <v>1149</v>
      </c>
      <c r="G18" s="173" t="str">
        <f>$AI$20</f>
        <v>INDOWH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IODTF</v>
      </c>
      <c r="AJ18" s="224" t="str">
        <f t="shared" si="0"/>
        <v>Other comm Demand Haulage Tractors, Trucks, Fishing boats, Forest machines</v>
      </c>
      <c r="AO18" s="224" t="s">
        <v>1230</v>
      </c>
      <c r="AP18" s="224" t="s">
        <v>1231</v>
      </c>
    </row>
    <row r="19" spans="2:42">
      <c r="B19" s="357" t="s">
        <v>998</v>
      </c>
      <c r="D19" s="212"/>
      <c r="E19" s="212"/>
      <c r="F19" s="224" t="s">
        <v>1149</v>
      </c>
      <c r="G19" s="173" t="s">
        <v>499</v>
      </c>
      <c r="H19" s="174" t="str">
        <f>$AI$15</f>
        <v>IODSH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IODFL</v>
      </c>
      <c r="AJ19" s="224" t="str">
        <f t="shared" si="0"/>
        <v>Other comm Demand Haulage Forklifts</v>
      </c>
      <c r="AO19" s="224" t="s">
        <v>1232</v>
      </c>
      <c r="AP19" s="224" t="s">
        <v>1233</v>
      </c>
    </row>
    <row r="20" spans="2:42">
      <c r="B20" s="357" t="s">
        <v>998</v>
      </c>
      <c r="D20" s="212"/>
      <c r="E20" s="212"/>
      <c r="F20" s="224" t="s">
        <v>1149</v>
      </c>
      <c r="G20" s="173" t="str">
        <f>$AI$20</f>
        <v>INDOWH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INDOWH</v>
      </c>
      <c r="AJ20" s="224" t="str">
        <f>$AJ$12&amp;" Industrial Waste Heat"</f>
        <v>Other Industrial Waste Heat</v>
      </c>
    </row>
    <row r="21" spans="2:42">
      <c r="B21" s="357" t="s">
        <v>999</v>
      </c>
      <c r="D21" s="212" t="str">
        <f>"IND"&amp;RIGHT(H21,4)&amp;RIGHT(G21,3)&amp;"N"&amp;RIGHT(E21,1)</f>
        <v>INDODPHELCN2</v>
      </c>
      <c r="E21" s="261" t="str">
        <f>"Industrial heating technology "&amp;$AJ$12&amp;" "&amp;RIGHT(H21,2)&amp;" - Heat driven heat pump utilizing waste heat - new 2"</f>
        <v>Industrial heating technology Other PH - Heat driven heat pump utilizing waste heat - new 2</v>
      </c>
      <c r="F21" s="224" t="s">
        <v>1149</v>
      </c>
      <c r="G21" s="173" t="s">
        <v>499</v>
      </c>
      <c r="H21" s="174" t="str">
        <f>$AI$14</f>
        <v>IODPH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IODCO</v>
      </c>
      <c r="AJ21" s="224" t="s">
        <v>2113</v>
      </c>
    </row>
    <row r="22" spans="2:42">
      <c r="B22" s="357" t="s">
        <v>999</v>
      </c>
      <c r="D22" s="212"/>
      <c r="E22" s="261"/>
      <c r="F22" s="224" t="s">
        <v>1149</v>
      </c>
      <c r="G22" s="173" t="str">
        <f>$AI$20</f>
        <v>INDOWH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IODPH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INDOWH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IODPH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INDOWH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INDODSHELCN2</v>
      </c>
      <c r="E27" s="261" t="str">
        <f>"Industrial heating technology "&amp;$AJ$12&amp;" "&amp;RIGHT(H27,2)&amp;" - Heat driven heat pump utilizing waste heat - new 2"</f>
        <v>Industrial heating technology Other SH - Heat driven heat pump utilizing waste heat - new 2</v>
      </c>
      <c r="F27" s="224" t="s">
        <v>1149</v>
      </c>
      <c r="G27" s="173" t="s">
        <v>499</v>
      </c>
      <c r="H27" s="174" t="str">
        <f>$AI$15</f>
        <v>IODSH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INDOWH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IODSH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INDOWH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IODSH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INDOWH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INDODPHELCN3</v>
      </c>
      <c r="E33" s="261" t="str">
        <f>"Industrial heating technology "&amp;$AJ$12&amp;" "&amp;RIGHT(H33,2)&amp;" - High Temp abs. Heat pump utilizing waste heat - new 3"</f>
        <v>Industrial heating technology Other PH - High Temp abs. Heat pump utilizing waste heat - new 3</v>
      </c>
      <c r="F33" s="224" t="s">
        <v>1149</v>
      </c>
      <c r="G33" s="173" t="s">
        <v>499</v>
      </c>
      <c r="H33" s="174" t="str">
        <f>$AI$14</f>
        <v>IODPH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INDOWH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IODPH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INDOWH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IODPH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INDOWH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INDODSHELCN3</v>
      </c>
      <c r="E39" s="261" t="str">
        <f>"Industrial heating technology "&amp;$AJ$12&amp;" "&amp;RIGHT(H39,2)&amp;" - High Temp abs. Heat pump utilizing waste heat - new 3"</f>
        <v>Industrial heating technology Other SH - High Temp abs. Heat pump utilizing waste heat - new 3</v>
      </c>
      <c r="F39" s="224" t="s">
        <v>1149</v>
      </c>
      <c r="G39" s="173" t="s">
        <v>499</v>
      </c>
      <c r="H39" s="174" t="str">
        <f>$AI$15</f>
        <v>IODSH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INDOWH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IODSH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INDOWH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IODSH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INDOWH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INDODPHELCN4</v>
      </c>
      <c r="E45" s="261" t="str">
        <f>"Industrial heating technology "&amp;$AJ$12&amp;" "&amp;RIGHT(H45,2)&amp;" - Booster Heat pump utilizing waste heat - new 4"</f>
        <v>Industrial heating technology Other PH - Booster Heat pump utilizing waste heat - new 4</v>
      </c>
      <c r="F45" s="224" t="s">
        <v>1149</v>
      </c>
      <c r="G45" s="173" t="s">
        <v>499</v>
      </c>
      <c r="H45" s="174" t="str">
        <f>$AI$14</f>
        <v>IODPH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INDOWH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IODPH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INDOWH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IODPH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INDOWH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INDODSHELCN4</v>
      </c>
      <c r="E51" s="261" t="str">
        <f>"Industrial heating technology "&amp;$AJ$12&amp;" "&amp;RIGHT(H51,2)&amp;" - Booster Heat pump utilizing waste heat - new 4"</f>
        <v>Industrial heating technology Other SH - Booster Heat pump utilizing waste heat - new 4</v>
      </c>
      <c r="F51" s="224" t="s">
        <v>1149</v>
      </c>
      <c r="G51" s="173" t="s">
        <v>499</v>
      </c>
      <c r="H51" s="174" t="str">
        <f>$AI$15</f>
        <v>IODSH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INDOWH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IODSH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INDOWH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IODSH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INDOWH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INDODPHELCN5</v>
      </c>
      <c r="E57" s="261" t="str">
        <f>"Industrial heating technology "&amp;$AJ$12&amp;" "&amp;RIGHT(H57,2)&amp;" - MVR utilizing waste heat - new 5"</f>
        <v>Industrial heating technology Other PH - MVR utilizing waste heat - new 5</v>
      </c>
      <c r="F57" s="224" t="s">
        <v>1149</v>
      </c>
      <c r="G57" s="173" t="s">
        <v>499</v>
      </c>
      <c r="H57" s="174" t="str">
        <f>$AI$14</f>
        <v>IODPH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INDOWH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IODPH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INDOWH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IODPH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INDOWH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INDODPHWSTN1</v>
      </c>
      <c r="E63" s="261" t="str">
        <f>"Industrial heating technology "&amp;$AJ$12&amp;" "&amp;RIGHT(H63,2)&amp;" - Hotdisc - new 1"</f>
        <v>Industrial heating technology Other PH - Hotdisc - new 1</v>
      </c>
      <c r="F63" s="224" t="s">
        <v>1149</v>
      </c>
      <c r="G63" s="832" t="s">
        <v>1005</v>
      </c>
      <c r="H63" s="174" t="str">
        <f>$AI$13</f>
        <v>IODPH</v>
      </c>
      <c r="I63" s="173" t="str">
        <f t="shared" ref="I63:I126" si="22">$AI$20</f>
        <v>INDOWH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INDOWH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INDOWH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INDODPHELCN6</v>
      </c>
      <c r="E66" s="261" t="str">
        <f>"Industrial heating technology "&amp;$AJ$12&amp;" "&amp;RIGHT(H66,2)&amp;" - Dielectric heating - new 6"</f>
        <v>Industrial heating technology Other PH - Dielectric heating - new 6</v>
      </c>
      <c r="F66" s="224" t="s">
        <v>1149</v>
      </c>
      <c r="G66" s="173" t="s">
        <v>499</v>
      </c>
      <c r="H66" s="174" t="str">
        <f>$AI$14</f>
        <v>IODPH</v>
      </c>
      <c r="I66" s="173" t="str">
        <f t="shared" si="22"/>
        <v>INDOWH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INDOWH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INDOWH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INDODPHELCN7</v>
      </c>
      <c r="E69" s="261" t="str">
        <f>"Industrial heating technology "&amp;$AJ$12&amp;" "&amp;RIGHT(H69,2)&amp;" - Infrared heating - new 7"</f>
        <v>Industrial heating technology Other PH - Infrared heating - new 7</v>
      </c>
      <c r="F69" s="224" t="s">
        <v>1149</v>
      </c>
      <c r="G69" s="173" t="s">
        <v>499</v>
      </c>
      <c r="H69" s="174" t="str">
        <f>$AI$14</f>
        <v>IODPH</v>
      </c>
      <c r="I69" s="173" t="str">
        <f t="shared" si="22"/>
        <v>INDOWH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INDOWH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INDOWH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INDODPHELCN8</v>
      </c>
      <c r="E72" s="261" t="str">
        <f>"Industrial heating technology "&amp;$AJ$12&amp;" "&amp;RIGHT(H72,2)&amp;" - Electric boiler (Steam) - new 8"</f>
        <v>Industrial heating technology Other PH - Electric boiler (Steam) - new 8</v>
      </c>
      <c r="F72" s="224" t="s">
        <v>1149</v>
      </c>
      <c r="G72" s="173" t="s">
        <v>499</v>
      </c>
      <c r="H72" s="174" t="str">
        <f>$AI$13</f>
        <v>IODPH</v>
      </c>
      <c r="I72" s="174" t="str">
        <f t="shared" si="22"/>
        <v>INDOWH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INDOWH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INDOWH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INDODPHELCN8</v>
      </c>
      <c r="E75" s="261" t="str">
        <f>"Industrial heating technology "&amp;$AJ$12&amp;" "&amp;RIGHT(H75,2)&amp;" - Electric boiler (Steam) - new 8"</f>
        <v>Industrial heating technology Other PH - Electric boiler (Steam) - new 8</v>
      </c>
      <c r="F75" s="224" t="s">
        <v>1149</v>
      </c>
      <c r="G75" s="173" t="s">
        <v>499</v>
      </c>
      <c r="H75" s="174" t="str">
        <f>$AI$14</f>
        <v>IODPH</v>
      </c>
      <c r="I75" s="174" t="str">
        <f t="shared" si="22"/>
        <v>INDOWH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INDOWH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INDOWH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INDODSHELCN8</v>
      </c>
      <c r="E78" s="261" t="str">
        <f>"Industrial heating technology "&amp;$AJ$12&amp;" "&amp;RIGHT(H78,2)&amp;" - Electric boiler (Steam) - new 8"</f>
        <v>Industrial heating technology Other SH - Electric boiler (Steam) - new 8</v>
      </c>
      <c r="F78" s="224" t="s">
        <v>1149</v>
      </c>
      <c r="G78" s="173" t="s">
        <v>499</v>
      </c>
      <c r="H78" s="174" t="str">
        <f>$AI$15</f>
        <v>IODSH</v>
      </c>
      <c r="I78" s="174" t="str">
        <f t="shared" si="22"/>
        <v>INDOWH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INDOWH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INDOWH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INDODPHELCN9</v>
      </c>
      <c r="E81" s="707" t="str">
        <f>"Industrial heating technology "&amp;$AJ$12&amp;" "&amp;RIGHT(H81,2)&amp;" - Electric boiler (Hot Water) - new 9"</f>
        <v>Industrial heating technology Other PH - Electric boiler (Hot Water) - new 9</v>
      </c>
      <c r="F81" s="224" t="s">
        <v>1149</v>
      </c>
      <c r="G81" s="708" t="s">
        <v>499</v>
      </c>
      <c r="H81" s="708" t="str">
        <f>$AI$14</f>
        <v>IODPH</v>
      </c>
      <c r="I81" s="708" t="str">
        <f t="shared" si="22"/>
        <v>INDOWH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INDOWH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INDOWH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INDODSHELCN9</v>
      </c>
      <c r="E84" s="261" t="str">
        <f>"Industrial heating technology "&amp;$AJ$12&amp;" "&amp;RIGHT(H84,2)&amp;" - Electric boiler (Hot Water) - new 9"</f>
        <v>Industrial heating technology Other SH - Electric boiler (Hot Water) - new 9</v>
      </c>
      <c r="F84" s="224" t="s">
        <v>1149</v>
      </c>
      <c r="G84" s="174" t="s">
        <v>499</v>
      </c>
      <c r="H84" s="174" t="str">
        <f>$AI$15</f>
        <v>IODSH</v>
      </c>
      <c r="I84" s="174" t="str">
        <f t="shared" si="22"/>
        <v>INDOWH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INDOWH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INDOWH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INDODPHWCHN1</v>
      </c>
      <c r="E87" s="261" t="str">
        <f>"Industrial heating technology "&amp;$AJ$12&amp;" "&amp;RIGHT(H87,2)&amp;" - Wood chip boiler (Steam) - new 1"</f>
        <v>Industrial heating technology Other PH - Wood chip boiler (Steam) - new 1</v>
      </c>
      <c r="F87" s="224" t="s">
        <v>1149</v>
      </c>
      <c r="G87" s="173" t="s">
        <v>498</v>
      </c>
      <c r="H87" s="174" t="str">
        <f>$AI$13</f>
        <v>IODPH</v>
      </c>
      <c r="I87" s="174" t="str">
        <f t="shared" si="22"/>
        <v>INDOWH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INDOWH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INDOWH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INDODPHWCHN1</v>
      </c>
      <c r="E90" s="261" t="str">
        <f>"Industrial heating technology "&amp;$AJ$12&amp;" "&amp;RIGHT(H90,2)&amp;" - Wood chip boiler (Steam) - new 1"</f>
        <v>Industrial heating technology Other PH - Wood chip boiler (Steam) - new 1</v>
      </c>
      <c r="F90" s="224" t="s">
        <v>1149</v>
      </c>
      <c r="G90" s="173" t="s">
        <v>498</v>
      </c>
      <c r="H90" s="174" t="str">
        <f>$AI$14</f>
        <v>IODPH</v>
      </c>
      <c r="I90" s="174" t="str">
        <f t="shared" si="22"/>
        <v>INDOWH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INDOWH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INDOWH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INDODSHWCHN1</v>
      </c>
      <c r="E93" s="261" t="str">
        <f>"Industrial heating technology "&amp;$AJ$12&amp;" "&amp;RIGHT(H93,2)&amp;" - Wood chip boiler (Steam) - new 1"</f>
        <v>Industrial heating technology Other SH - Wood chip boiler (Steam) - new 1</v>
      </c>
      <c r="F93" s="224" t="s">
        <v>1149</v>
      </c>
      <c r="G93" s="173" t="s">
        <v>498</v>
      </c>
      <c r="H93" s="174" t="str">
        <f>$AI$15</f>
        <v>IODSH</v>
      </c>
      <c r="I93" s="174" t="str">
        <f t="shared" si="22"/>
        <v>INDOWH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INDOWH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INDOWH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INDODPHWCHN2</v>
      </c>
      <c r="E96" s="707" t="str">
        <f>"Industrial heating technology "&amp;$AJ$12&amp;" "&amp;RIGHT(H96,2)&amp;" - Wood chip boiler (Steam - condensing) - new 2"</f>
        <v>Industrial heating technology Other PH - Wood chip boiler (Steam - condensing) - new 2</v>
      </c>
      <c r="F96" s="224" t="s">
        <v>1149</v>
      </c>
      <c r="G96" s="708" t="s">
        <v>498</v>
      </c>
      <c r="H96" s="708" t="str">
        <f>$AI$14</f>
        <v>IODPH</v>
      </c>
      <c r="I96" s="708" t="str">
        <f t="shared" si="22"/>
        <v>INDOWH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INDOWH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INDOWH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INDODSHWCHN2</v>
      </c>
      <c r="E99" s="261" t="str">
        <f>"Industrial heating technology "&amp;$AJ$12&amp;" "&amp;RIGHT(H99,2)&amp;" - Wood chip boiler (Steam - condensing) - new 2"</f>
        <v>Industrial heating technology Other SH - Wood chip boiler (Steam - condensing) - new 2</v>
      </c>
      <c r="F99" s="224" t="s">
        <v>1149</v>
      </c>
      <c r="G99" s="174" t="s">
        <v>498</v>
      </c>
      <c r="H99" s="174" t="str">
        <f>$AI$15</f>
        <v>IODSH</v>
      </c>
      <c r="I99" s="174" t="str">
        <f t="shared" si="22"/>
        <v>INDOWH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INDOWH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INDOWH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INDODPHWCHN3</v>
      </c>
      <c r="E102" s="707" t="str">
        <f>"Industrial heating technology "&amp;$AJ$12&amp;" "&amp;RIGHT(H102,2)&amp;" - Wood chip boiler (Hot Water) - new 3"</f>
        <v>Industrial heating technology Other PH - Wood chip boiler (Hot Water) - new 3</v>
      </c>
      <c r="F102" s="224" t="s">
        <v>1149</v>
      </c>
      <c r="G102" s="708" t="s">
        <v>498</v>
      </c>
      <c r="H102" s="708" t="str">
        <f>$AI$14</f>
        <v>IODPH</v>
      </c>
      <c r="I102" s="708" t="str">
        <f t="shared" si="22"/>
        <v>INDOWH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INDOWH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INDOWH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INDODSHWCHN3</v>
      </c>
      <c r="E105" s="261" t="str">
        <f>"Industrial heating technology "&amp;$AJ$12&amp;" "&amp;RIGHT(H105,2)&amp;" - Wood chip boiler (Hot Water) - new 3"</f>
        <v>Industrial heating technology Other SH - Wood chip boiler (Hot Water) - new 3</v>
      </c>
      <c r="F105" s="224" t="s">
        <v>1149</v>
      </c>
      <c r="G105" s="174" t="s">
        <v>498</v>
      </c>
      <c r="H105" s="174" t="str">
        <f>$AI$15</f>
        <v>IODSH</v>
      </c>
      <c r="I105" s="174" t="str">
        <f t="shared" si="22"/>
        <v>INDOWH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INDOWH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INDOWH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INDODPHWCHN4</v>
      </c>
      <c r="E108" s="707" t="str">
        <f>"Industrial heating technology "&amp;$AJ$12&amp;" "&amp;RIGHT(H108,2)&amp;" - Wood chip boiler (Hot Water - condensing) - new 4"</f>
        <v>Industrial heating technology Other PH - Wood chip boiler (Hot Water - condensing) - new 4</v>
      </c>
      <c r="F108" s="224" t="s">
        <v>1149</v>
      </c>
      <c r="G108" s="708" t="s">
        <v>498</v>
      </c>
      <c r="H108" s="708" t="str">
        <f>$AI$14</f>
        <v>IODPH</v>
      </c>
      <c r="I108" s="708" t="str">
        <f t="shared" si="22"/>
        <v>INDOWH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INDOWH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INDOWH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INDODSHWCHN4</v>
      </c>
      <c r="E111" s="261" t="str">
        <f>"Industrial heating technology "&amp;$AJ$12&amp;" "&amp;RIGHT(H111,2)&amp;" - Wood chip boiler (Hot Water- condensing) - new 4"</f>
        <v>Industrial heating technology Other SH - Wood chip boiler (Hot Water- condensing) - new 4</v>
      </c>
      <c r="F111" s="224" t="s">
        <v>1149</v>
      </c>
      <c r="G111" s="174" t="s">
        <v>498</v>
      </c>
      <c r="H111" s="174" t="str">
        <f>$AI$15</f>
        <v>IODSH</v>
      </c>
      <c r="I111" s="174" t="str">
        <f t="shared" si="22"/>
        <v>INDOWH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INDOWH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INDOWH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INDODPHELCN10</v>
      </c>
      <c r="E114" s="261" t="str">
        <f>"Industrial heating technology "&amp;$AJ$12&amp;" "&amp;RIGHT(H114,2)&amp;" - Direct electric heating - new 10"</f>
        <v>Industrial heating technology Other PH - Direct electric heating - new 10</v>
      </c>
      <c r="F114" s="224" t="s">
        <v>1149</v>
      </c>
      <c r="G114" s="173" t="s">
        <v>499</v>
      </c>
      <c r="H114" s="174" t="str">
        <f>$AI$13</f>
        <v>IODPH</v>
      </c>
      <c r="I114" s="174" t="str">
        <f t="shared" si="22"/>
        <v>INDOWH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INDOWH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INDOWH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INDODPHELCN10</v>
      </c>
      <c r="E117" s="261" t="str">
        <f>"Industrial heating technology "&amp;$AJ$12&amp;" "&amp;RIGHT(H117,2)&amp;" - Direct electric heating - new 10"</f>
        <v>Industrial heating technology Other PH - Direct electric heating - new 10</v>
      </c>
      <c r="F117" s="224" t="s">
        <v>1149</v>
      </c>
      <c r="G117" s="173" t="s">
        <v>499</v>
      </c>
      <c r="H117" s="174" t="str">
        <f>$AI$14</f>
        <v>IODPH</v>
      </c>
      <c r="I117" s="174" t="str">
        <f t="shared" si="22"/>
        <v>INDOWH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INDOWH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INDOWH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INDODPHDSLN1</v>
      </c>
      <c r="E120" s="261" t="str">
        <f>"Industrial heating technology "&amp;$AJ$12&amp;" "&amp;RIGHT(H120,2)&amp;" - Oil boiler (Steam) - new 1"</f>
        <v>Industrial heating technology Other PH - Oil boiler (Steam) - new 1</v>
      </c>
      <c r="F120" s="224" t="s">
        <v>1149</v>
      </c>
      <c r="G120" s="173" t="s">
        <v>2081</v>
      </c>
      <c r="H120" s="174" t="str">
        <f>$AI$13</f>
        <v>IODPH</v>
      </c>
      <c r="I120" s="174" t="str">
        <f t="shared" si="22"/>
        <v>INDOWH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INDOWH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INDOWH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INDODPHDSLN1</v>
      </c>
      <c r="E123" s="261" t="str">
        <f>"Industrial heating technology "&amp;$AJ$12&amp;" "&amp;RIGHT(H123,2)&amp;" - Oil boiler (Steam) - new 1"</f>
        <v>Industrial heating technology Other PH - Oil boiler (Steam) - new 1</v>
      </c>
      <c r="F123" s="224" t="s">
        <v>1149</v>
      </c>
      <c r="G123" s="173" t="s">
        <v>2081</v>
      </c>
      <c r="H123" s="174" t="str">
        <f>$AI$14</f>
        <v>IODPH</v>
      </c>
      <c r="I123" s="174" t="str">
        <f t="shared" si="22"/>
        <v>INDOWH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INDOWH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INDOWH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INDODSHDSLN1</v>
      </c>
      <c r="E126" s="261" t="str">
        <f>"Industrial heating technology "&amp;$AJ$12&amp;" "&amp;RIGHT(H126,2)&amp;" - Oil boiler (Steam) - new 1"</f>
        <v>Industrial heating technology Other SH - Oil boiler (Steam) - new 1</v>
      </c>
      <c r="F126" s="224" t="s">
        <v>1149</v>
      </c>
      <c r="G126" s="173" t="s">
        <v>2081</v>
      </c>
      <c r="H126" s="174" t="str">
        <f>$AI$15</f>
        <v>IODSH</v>
      </c>
      <c r="I126" s="174" t="str">
        <f t="shared" si="22"/>
        <v>INDOWH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INDOWH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INDOWH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INDODPHDSLN2</v>
      </c>
      <c r="E129" s="707" t="str">
        <f>"Industrial heating technology "&amp;$AJ$12&amp;" "&amp;RIGHT(H129,2)&amp;" - Oil boiler (Steam - condensing) - new 2"</f>
        <v>Industrial heating technology Other PH - Oil boiler (Steam - condensing) - new 2</v>
      </c>
      <c r="F129" s="224" t="s">
        <v>1149</v>
      </c>
      <c r="G129" s="173" t="s">
        <v>2081</v>
      </c>
      <c r="H129" s="708" t="str">
        <f>$AI$14</f>
        <v>IODPH</v>
      </c>
      <c r="I129" s="708" t="str">
        <f t="shared" si="143"/>
        <v>INDOWH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INDOWH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INDOWH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INDODSHDSLN2</v>
      </c>
      <c r="E132" s="261" t="str">
        <f>"Industrial heating technology "&amp;$AJ$12&amp;" "&amp;RIGHT(H132,2)&amp;" - Oil boiler (Steam - condensing) - new 2"</f>
        <v>Industrial heating technology Other SH - Oil boiler (Steam - condensing) - new 2</v>
      </c>
      <c r="F132" s="224" t="s">
        <v>1149</v>
      </c>
      <c r="G132" s="173" t="s">
        <v>2081</v>
      </c>
      <c r="H132" s="174" t="str">
        <f>$AI$15</f>
        <v>IODSH</v>
      </c>
      <c r="I132" s="174" t="str">
        <f t="shared" si="143"/>
        <v>INDOWH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INDOWH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INDOWH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INDODPHGASN1</v>
      </c>
      <c r="E135" s="261" t="str">
        <f>"Industrial heating technology "&amp;$AJ$12&amp;" "&amp;RIGHT(H135,2)&amp;" - Gas boiler (Steam) - new 1"</f>
        <v>Industrial heating technology Other PH - Gas boiler (Steam) - new 1</v>
      </c>
      <c r="F135" s="224" t="s">
        <v>1149</v>
      </c>
      <c r="G135" s="173" t="s">
        <v>2080</v>
      </c>
      <c r="H135" s="174" t="str">
        <f>$AI$13</f>
        <v>IODPH</v>
      </c>
      <c r="I135" s="174" t="str">
        <f t="shared" si="143"/>
        <v>INDOWH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INDOWH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INDOWH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INDODPHGASN1</v>
      </c>
      <c r="E138" s="261" t="str">
        <f>"Industrial heating technology "&amp;$AJ$12&amp;" "&amp;RIGHT(H138,2)&amp;" - Gas boiler (Steam) - new 1"</f>
        <v>Industrial heating technology Other PH - Gas boiler (Steam) - new 1</v>
      </c>
      <c r="F138" s="224" t="s">
        <v>1149</v>
      </c>
      <c r="G138" s="173" t="s">
        <v>2080</v>
      </c>
      <c r="H138" s="174" t="str">
        <f>$AI$14</f>
        <v>IODPH</v>
      </c>
      <c r="I138" s="174" t="str">
        <f t="shared" si="143"/>
        <v>INDOWH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INDOWH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INDOWH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INDODSHGASN1</v>
      </c>
      <c r="E141" s="261" t="str">
        <f>"Industrial heating technology "&amp;$AJ$12&amp;" "&amp;RIGHT(H141,2)&amp;" - Gas boiler (Steam) - new 1"</f>
        <v>Industrial heating technology Other SH - Gas boiler (Steam) - new 1</v>
      </c>
      <c r="F141" s="224" t="s">
        <v>1149</v>
      </c>
      <c r="G141" s="173" t="s">
        <v>2080</v>
      </c>
      <c r="H141" s="174" t="str">
        <f>$AI$15</f>
        <v>IODSH</v>
      </c>
      <c r="I141" s="174" t="str">
        <f t="shared" si="143"/>
        <v>INDOWH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INDOWH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INDOWH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INDODPHGASN2</v>
      </c>
      <c r="E144" s="707" t="str">
        <f>"Industrial heating technology "&amp;$AJ$12&amp;" "&amp;RIGHT(H144,2)&amp;" - Gas boiler (Steam - condensing) - new 2"</f>
        <v>Industrial heating technology Other PH - Gas boiler (Steam - condensing) - new 2</v>
      </c>
      <c r="F144" s="224" t="s">
        <v>1149</v>
      </c>
      <c r="G144" s="173" t="s">
        <v>2080</v>
      </c>
      <c r="H144" s="708" t="str">
        <f>$AI$14</f>
        <v>IODPH</v>
      </c>
      <c r="I144" s="708" t="str">
        <f t="shared" si="143"/>
        <v>INDOWH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INDOWH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INDOWH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INDODSHGASN2</v>
      </c>
      <c r="E147" s="261" t="str">
        <f>"Industrial heating technology "&amp;$AJ$12&amp;" "&amp;RIGHT(H147,2)&amp;" - Gas boiler (Steam - condensing) - new 2"</f>
        <v>Industrial heating technology Other SH - Gas boiler (Steam - condensing) - new 2</v>
      </c>
      <c r="F147" s="224" t="s">
        <v>1149</v>
      </c>
      <c r="G147" s="173" t="s">
        <v>2080</v>
      </c>
      <c r="H147" s="174" t="str">
        <f>$AI$15</f>
        <v>IODSH</v>
      </c>
      <c r="I147" s="174" t="str">
        <f t="shared" si="143"/>
        <v>INDOWH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INDOWH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INDOWH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INDODPHGASN3</v>
      </c>
      <c r="E150" s="707" t="str">
        <f>"Industrial heating technology "&amp;$AJ$12&amp;" "&amp;RIGHT(H150,2)&amp;" - Gas boiler (Hot Water) - new 3"</f>
        <v>Industrial heating technology Other PH - Gas boiler (Hot Water) - new 3</v>
      </c>
      <c r="F150" s="224" t="s">
        <v>1149</v>
      </c>
      <c r="G150" s="173" t="s">
        <v>2080</v>
      </c>
      <c r="H150" s="708" t="str">
        <f>$AI$14</f>
        <v>IODPH</v>
      </c>
      <c r="I150" s="708" t="str">
        <f t="shared" si="143"/>
        <v>INDOWH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INDOWH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INDOWH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INDODSHGASN3</v>
      </c>
      <c r="E153" s="261" t="str">
        <f>"Industrial heating technology "&amp;$AJ$12&amp;" "&amp;RIGHT(H153,2)&amp;" - Gas boiler (Hot Water) - new 3"</f>
        <v>Industrial heating technology Other SH - Gas boiler (Hot Water) - new 3</v>
      </c>
      <c r="F153" s="224" t="s">
        <v>1149</v>
      </c>
      <c r="G153" s="173" t="s">
        <v>2080</v>
      </c>
      <c r="H153" s="174" t="str">
        <f>$AI$15</f>
        <v>IODSH</v>
      </c>
      <c r="I153" s="174" t="str">
        <f t="shared" si="143"/>
        <v>INDOWH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INDOWH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INDOWH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INDODPHGASN4</v>
      </c>
      <c r="E156" s="707" t="str">
        <f>"Industrial heating technology "&amp;$AJ$12&amp;" "&amp;RIGHT(H156,2)&amp;" - Gas boiler (Hot Water - condensing) - new 4"</f>
        <v>Industrial heating technology Other PH - Gas boiler (Hot Water - condensing) - new 4</v>
      </c>
      <c r="F156" s="224" t="s">
        <v>1149</v>
      </c>
      <c r="G156" s="173" t="s">
        <v>2080</v>
      </c>
      <c r="H156" s="708" t="str">
        <f>$AI$14</f>
        <v>IODPH</v>
      </c>
      <c r="I156" s="708" t="str">
        <f t="shared" si="143"/>
        <v>INDOWH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INDOWH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INDOWH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INDODSHGASN4</v>
      </c>
      <c r="E159" s="261" t="str">
        <f>"Industrial heating technology "&amp;$AJ$12&amp;" "&amp;RIGHT(H159,2)&amp;" - Gas boiler (Hot Water- condensing) - new 4"</f>
        <v>Industrial heating technology Other SH - Gas boiler (Hot Water- condensing) - new 4</v>
      </c>
      <c r="F159" s="224" t="s">
        <v>1149</v>
      </c>
      <c r="G159" s="173" t="s">
        <v>2080</v>
      </c>
      <c r="H159" s="174" t="str">
        <f>$AI$15</f>
        <v>IODSH</v>
      </c>
      <c r="I159" s="174" t="str">
        <f t="shared" si="143"/>
        <v>INDOWH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INDOWH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INDOWH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INDODPHGASN5</v>
      </c>
      <c r="E162" s="707" t="str">
        <f>"Industrial heating technology "&amp;$AJ$12&amp;" "&amp;RIGHT(H162,2)&amp;" - Gas boiler (Direct firing) - new 5"</f>
        <v>Industrial heating technology Other PH - Gas boiler (Direct firing) - new 5</v>
      </c>
      <c r="F162" s="224" t="s">
        <v>1149</v>
      </c>
      <c r="G162" s="173" t="s">
        <v>2080</v>
      </c>
      <c r="H162" s="174" t="str">
        <f>$AI$13</f>
        <v>IODPH</v>
      </c>
      <c r="I162" s="174" t="str">
        <f t="shared" si="143"/>
        <v>INDOWH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INDOWH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INDOWH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INDODPHGASN5</v>
      </c>
      <c r="E165" s="261" t="str">
        <f>"Industrial heating technology "&amp;$AJ$12&amp;" "&amp;RIGHT(H165,2)&amp;" - Gas boiler (Direct firing) - new 5"</f>
        <v>Industrial heating technology Other PH - Gas boiler (Direct firing) - new 5</v>
      </c>
      <c r="F165" s="224" t="s">
        <v>1149</v>
      </c>
      <c r="G165" s="173" t="s">
        <v>2080</v>
      </c>
      <c r="H165" s="174" t="str">
        <f>$AI$14</f>
        <v>IODPH</v>
      </c>
      <c r="I165" s="721" t="str">
        <f t="shared" si="143"/>
        <v>INDOWH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INDOWH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INDOWH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INDODPHCOAN1</v>
      </c>
      <c r="E168" s="261" t="str">
        <f>"Industrial heating technology "&amp;$AJ$12&amp;" "&amp;RIGHT(H168,2)&amp;" - Coal boiler (Steam) - new 1"</f>
        <v>Industrial heating technology Other PH - Coal boiler (Steam) - new 1</v>
      </c>
      <c r="F168" s="224" t="s">
        <v>1149</v>
      </c>
      <c r="G168" s="55" t="s">
        <v>617</v>
      </c>
      <c r="H168" s="174" t="str">
        <f>$AI$13</f>
        <v>IODPH</v>
      </c>
      <c r="I168" s="174" t="str">
        <f t="shared" si="143"/>
        <v>INDOWH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INDOWH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INDOWH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INDODPHCOAN1</v>
      </c>
      <c r="E171" s="261" t="str">
        <f>"Industrial heating technology "&amp;$AJ$12&amp;" "&amp;RIGHT(H171,2)&amp;" - Coal boiler (Steam) - new 1"</f>
        <v>Industrial heating technology Other PH - Coal boiler (Steam) - new 1</v>
      </c>
      <c r="F171" s="224" t="s">
        <v>1149</v>
      </c>
      <c r="G171" s="55" t="s">
        <v>617</v>
      </c>
      <c r="H171" s="174" t="str">
        <f>$AI$14</f>
        <v>IODPH</v>
      </c>
      <c r="I171" s="174" t="str">
        <f t="shared" si="143"/>
        <v>INDOWH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INDOWH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INDOWH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INDODSHCOAN1</v>
      </c>
      <c r="E174" s="261" t="str">
        <f>"Industrial heating technology "&amp;$AJ$12&amp;" "&amp;RIGHT(H174,2)&amp;" - Coal boiler (Steam) - new 1"</f>
        <v>Industrial heating technology Other SH - Coal boiler (Steam) - new 1</v>
      </c>
      <c r="F174" s="224" t="s">
        <v>1149</v>
      </c>
      <c r="G174" s="55" t="s">
        <v>617</v>
      </c>
      <c r="H174" s="174" t="str">
        <f>$AI$15</f>
        <v>IODSH</v>
      </c>
      <c r="I174" s="174" t="str">
        <f t="shared" si="143"/>
        <v>INDOWH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INDOWH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INDOWH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INDODPHCOAN2</v>
      </c>
      <c r="E177" s="261" t="str">
        <f>"Industrial heating technology "&amp;$AJ$12&amp;" "&amp;RIGHT(H177,2)&amp;" - Coal boiler (Hot Water) - new 2"</f>
        <v>Industrial heating technology Other PH - Coal boiler (Hot Water) - new 2</v>
      </c>
      <c r="F177" s="224" t="s">
        <v>1149</v>
      </c>
      <c r="G177" s="55" t="s">
        <v>617</v>
      </c>
      <c r="H177" s="174" t="str">
        <f>$AI$14</f>
        <v>IODPH</v>
      </c>
      <c r="I177" s="174" t="str">
        <f t="shared" si="143"/>
        <v>INDOWH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INDOWH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INDOWH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INDODSHCOAN2</v>
      </c>
      <c r="E180" s="261" t="str">
        <f>"Industrial heating technology "&amp;$AJ$12&amp;" "&amp;RIGHT(H180,2)&amp;" - Coal boiler (Hot Water) - new 2"</f>
        <v>Industrial heating technology Other SH - Coal boiler (Hot Water) - new 2</v>
      </c>
      <c r="F180" s="224" t="s">
        <v>1149</v>
      </c>
      <c r="G180" s="55" t="s">
        <v>617</v>
      </c>
      <c r="H180" s="174" t="str">
        <f>$AI$15</f>
        <v>IODSH</v>
      </c>
      <c r="I180" s="174" t="str">
        <f t="shared" si="143"/>
        <v>INDOWH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INDOWH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INDOWH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INDODSHSOLN1</v>
      </c>
      <c r="E183" s="261" t="str">
        <f>"Industrial heating technology "&amp;$AJ$12&amp;" "&amp;RIGHT(H183,2)&amp;" - Solar - new 1"</f>
        <v>Industrial heating technology Other SH - Solar - new 1</v>
      </c>
      <c r="F183" s="224" t="s">
        <v>1149</v>
      </c>
      <c r="G183" s="55" t="s">
        <v>500</v>
      </c>
      <c r="H183" s="174" t="str">
        <f>$AI$15</f>
        <v>IODSH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INDODSHHCEN1</v>
      </c>
      <c r="E187" s="224" t="str">
        <f>"Industrial heating technology "&amp;$AJ$12&amp;" "&amp;RIGHT(H187,2)&amp;" - central district heating - within DH area - new 1"</f>
        <v>Industrial heating technology Other SH - central district heating - within DH area - new 1</v>
      </c>
      <c r="F187" s="224" t="s">
        <v>1149</v>
      </c>
      <c r="G187" s="225" t="s">
        <v>501</v>
      </c>
      <c r="H187" s="225" t="str">
        <f>AI15</f>
        <v>IODSH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INDODPHHCEN1</v>
      </c>
      <c r="E188" s="224" t="str">
        <f>"Industrial heating technology "&amp;$AJ$12&amp;" "&amp;RIGHT(H188,2)&amp;" - central district heating - within DH area - new 1"</f>
        <v>Industrial heating technology Other PH - central district heating - within DH area - new 1</v>
      </c>
      <c r="F188" s="224" t="s">
        <v>1149</v>
      </c>
      <c r="G188" s="225" t="s">
        <v>501</v>
      </c>
      <c r="H188" s="281" t="str">
        <f>AI14</f>
        <v>IODPH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INDODSHHSEN1</v>
      </c>
      <c r="E189" s="224" t="str">
        <f>"Industrial heating technology "&amp;$AJ$12&amp;" "&amp;RIGHT(H189,2)&amp;" - central district heating - within DH area - new 1"</f>
        <v>Industrial heating technology Other SH - central district heating - within DH area - new 1</v>
      </c>
      <c r="F189" s="224" t="s">
        <v>1149</v>
      </c>
      <c r="G189" s="225" t="s">
        <v>2125</v>
      </c>
      <c r="H189" s="225" t="str">
        <f>H187</f>
        <v>IODSH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INDODPHHSEN1</v>
      </c>
      <c r="E190" s="224" t="str">
        <f>"Industrial heating technology "&amp;$AJ$12&amp;" "&amp;RIGHT(H190,2)&amp;" - central district heating - within DH area - new 1"</f>
        <v>Industrial heating technology Other PH - central district heating - within DH area - new 1</v>
      </c>
      <c r="F190" s="224" t="s">
        <v>1149</v>
      </c>
      <c r="G190" s="225" t="s">
        <v>2125</v>
      </c>
      <c r="H190" s="225" t="str">
        <f>H188</f>
        <v>IODPH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INDODSHHDEN1</v>
      </c>
      <c r="E191" s="224" t="str">
        <f>"Industrial heating technology "&amp;$AJ$12&amp;" "&amp;RIGHT(H191,2)&amp;" - decentral district heating - within DH area - new 1"</f>
        <v>Industrial heating technology Other SH - decentral district heating - within DH area - new 1</v>
      </c>
      <c r="F191" s="224" t="s">
        <v>1149</v>
      </c>
      <c r="G191" s="259" t="s">
        <v>502</v>
      </c>
      <c r="H191" s="265" t="str">
        <f>AI15</f>
        <v>IODSH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INDODPHHDEN1</v>
      </c>
      <c r="E192" s="224" t="str">
        <f>"Industrial heating technology "&amp;$AJ$12&amp;" "&amp;RIGHT(H192,2)&amp;" - decentral district heating - within DH area - new 1"</f>
        <v>Industrial heating technology Other PH - decentral district heating - within DH area - new 1</v>
      </c>
      <c r="F192" s="224" t="s">
        <v>1149</v>
      </c>
      <c r="G192" s="259" t="s">
        <v>502</v>
      </c>
      <c r="H192" s="225" t="str">
        <f>AI14</f>
        <v>IODPH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INDODLAELCN1</v>
      </c>
      <c r="E194" s="224" t="str">
        <f>"Industry "&amp;$AJ$12&amp;" "&amp;RIGHT(H194,2)&amp;" Electricity Light Appliance - New 1"</f>
        <v>Industry Other LA Electricity Light Appliance - New 1</v>
      </c>
      <c r="F194" s="224" t="s">
        <v>1149</v>
      </c>
      <c r="G194" s="225" t="s">
        <v>499</v>
      </c>
      <c r="H194" s="225" t="str">
        <f>AI16</f>
        <v>IODLA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INDODEMELCN1</v>
      </c>
      <c r="E198" s="224" t="str">
        <f>"Industry "&amp;$AJ$12&amp;" "&amp;RIGHT(H198,2)&amp;" Electricity Motors - New 1"</f>
        <v>Industry Other EM Electricity Motors - New 1</v>
      </c>
      <c r="F198" s="224" t="s">
        <v>1149</v>
      </c>
      <c r="G198" s="225" t="s">
        <v>499</v>
      </c>
      <c r="H198" s="225" t="str">
        <f>AI17</f>
        <v>IODEM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INDODTFDSLN1</v>
      </c>
      <c r="E202" s="224" t="str">
        <f>"Industry "&amp;$AJ$12&amp;" "&amp;RIGHT(H202,2)&amp;" Tractors, Trucks, Fishing boats - New 1"</f>
        <v>Industry Other TF Tractors, Trucks, Fishing boats - New 1</v>
      </c>
      <c r="F202" s="224" t="s">
        <v>1149</v>
      </c>
      <c r="G202" s="173" t="s">
        <v>2081</v>
      </c>
      <c r="H202" s="174" t="str">
        <f>$AI$18</f>
        <v>IODTF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INDODTFH2GN2</v>
      </c>
      <c r="E206" s="224" t="str">
        <f>"Industry "&amp;$AJ$12&amp;" "&amp;RIGHT(H206,2)&amp;" Tractors, Trucks, Fishing boats - New 2"</f>
        <v>Industry Other TF Tractors, Trucks, Fishing boats - New 2</v>
      </c>
      <c r="F206" s="224" t="s">
        <v>1149</v>
      </c>
      <c r="G206" s="55" t="s">
        <v>2077</v>
      </c>
      <c r="H206" s="174" t="str">
        <f>$AI$18</f>
        <v>IODTF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INDODTFELCN3</v>
      </c>
      <c r="E210" s="224" t="str">
        <f>"Industry "&amp;$AJ$12&amp;" "&amp;RIGHT(H210,2)&amp;" Tractors, Trucks, Fishing boats - New 3"</f>
        <v>Industry Other TF Tractors, Trucks, Fishing boats - New 3</v>
      </c>
      <c r="F210" s="224" t="s">
        <v>1149</v>
      </c>
      <c r="G210" s="55" t="s">
        <v>499</v>
      </c>
      <c r="H210" s="174" t="str">
        <f>$AI$18</f>
        <v>IODTF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INDODFLSYNN1</v>
      </c>
      <c r="E214" s="224" t="str">
        <f>"Industry "&amp;$AJ$12&amp;" "&amp;RIGHT(H202,2)&amp;" Forklifts - New 1"</f>
        <v>Industry Other TF Forklifts - New 1</v>
      </c>
      <c r="F214" s="224" t="s">
        <v>1149</v>
      </c>
      <c r="G214" s="173" t="s">
        <v>2082</v>
      </c>
      <c r="H214" s="224" t="str">
        <f>AI19</f>
        <v>IODFL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INDODCOELCN1</v>
      </c>
      <c r="E218" s="224" t="str">
        <f>"Industry "&amp;$AJ$12&amp;" "&amp;RIGHT(H218,2)&amp;" Cooling - New 1"</f>
        <v>Industry Other CO Cooling - New 1</v>
      </c>
      <c r="F218" s="224" t="s">
        <v>1149</v>
      </c>
      <c r="G218" s="173" t="s">
        <v>499</v>
      </c>
      <c r="H218" s="224" t="str">
        <f>AI21</f>
        <v>IODCO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INDODPHELCN1</v>
      </c>
      <c r="E229" s="212" t="str">
        <f t="shared" ref="E229:E260" si="266">VLOOKUP(D229,$D$9:$E$222,2,FALSE)</f>
        <v>Industrial heating technology Other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INDODSHELCN1</v>
      </c>
      <c r="E230" s="212" t="str">
        <f t="shared" ca="1" si="266"/>
        <v>Industrial heating technology Other SH - Heat pump utilizing waste heat - new 1</v>
      </c>
      <c r="F230" s="262" t="s">
        <v>450</v>
      </c>
      <c r="G230" s="262" t="s">
        <v>449</v>
      </c>
      <c r="H230" s="263" t="s">
        <v>620</v>
      </c>
      <c r="I230" s="301"/>
      <c r="J230" s="264" t="s">
        <v>469</v>
      </c>
    </row>
    <row r="231" spans="1:10">
      <c r="A231" s="169"/>
      <c r="D231" s="212" t="str">
        <f t="shared" ca="1" si="267"/>
        <v>INDODPHELCN2</v>
      </c>
      <c r="E231" s="212" t="str">
        <f t="shared" ca="1" si="266"/>
        <v>Industrial heating technology Other PH - Heat driven heat pump utilizing waste heat - new 2</v>
      </c>
      <c r="F231" s="211" t="s">
        <v>450</v>
      </c>
      <c r="G231" s="211" t="s">
        <v>449</v>
      </c>
      <c r="H231" s="263" t="s">
        <v>620</v>
      </c>
      <c r="I231" s="208"/>
      <c r="J231" s="264" t="s">
        <v>469</v>
      </c>
    </row>
    <row r="232" spans="1:10">
      <c r="A232" s="169"/>
      <c r="B232" s="211"/>
      <c r="C232" s="211"/>
      <c r="D232" s="212" t="str">
        <f t="shared" ca="1" si="267"/>
        <v>INDODSHELCN2</v>
      </c>
      <c r="E232" s="212" t="str">
        <f t="shared" ca="1" si="266"/>
        <v>Industrial heating technology Other SH - Heat driven heat pump utilizing waste heat - new 2</v>
      </c>
      <c r="F232" s="262" t="s">
        <v>450</v>
      </c>
      <c r="G232" s="262" t="s">
        <v>449</v>
      </c>
      <c r="H232" s="263" t="s">
        <v>620</v>
      </c>
      <c r="I232" s="264"/>
      <c r="J232" s="264" t="s">
        <v>469</v>
      </c>
    </row>
    <row r="233" spans="1:10">
      <c r="A233" s="169"/>
      <c r="B233" s="211"/>
      <c r="C233" s="211"/>
      <c r="D233" s="212" t="str">
        <f t="shared" ca="1" si="267"/>
        <v>INDODPHELCN3</v>
      </c>
      <c r="E233" s="212" t="str">
        <f t="shared" ca="1" si="266"/>
        <v>Industrial heating technology Other PH - High Temp abs. Heat pump utilizing waste heat - new 3</v>
      </c>
      <c r="F233" s="262" t="s">
        <v>450</v>
      </c>
      <c r="G233" s="262" t="s">
        <v>449</v>
      </c>
      <c r="H233" s="263" t="s">
        <v>620</v>
      </c>
      <c r="I233" s="264"/>
      <c r="J233" s="264" t="s">
        <v>469</v>
      </c>
    </row>
    <row r="234" spans="1:10">
      <c r="A234" s="169"/>
      <c r="B234" s="211"/>
      <c r="C234" s="211"/>
      <c r="D234" s="212" t="str">
        <f t="shared" ca="1" si="267"/>
        <v>INDODSHELCN3</v>
      </c>
      <c r="E234" s="212" t="str">
        <f t="shared" ca="1" si="266"/>
        <v>Industrial heating technology Other SH - High Temp abs. Heat pump utilizing waste heat - new 3</v>
      </c>
      <c r="F234" s="262" t="s">
        <v>450</v>
      </c>
      <c r="G234" s="262" t="s">
        <v>449</v>
      </c>
      <c r="H234" s="263" t="s">
        <v>620</v>
      </c>
      <c r="I234" s="264"/>
      <c r="J234" s="264" t="s">
        <v>469</v>
      </c>
    </row>
    <row r="235" spans="1:10">
      <c r="A235" s="169"/>
      <c r="B235" s="211"/>
      <c r="C235" s="211"/>
      <c r="D235" s="212" t="str">
        <f t="shared" ca="1" si="267"/>
        <v>INDODPHELCN4</v>
      </c>
      <c r="E235" s="212" t="str">
        <f t="shared" ca="1" si="266"/>
        <v>Industrial heating technology Other PH - Booster Heat pump utilizing waste heat - new 4</v>
      </c>
      <c r="F235" s="262" t="s">
        <v>450</v>
      </c>
      <c r="G235" s="262" t="s">
        <v>449</v>
      </c>
      <c r="H235" s="263" t="s">
        <v>620</v>
      </c>
      <c r="I235" s="264"/>
      <c r="J235" s="264" t="s">
        <v>469</v>
      </c>
    </row>
    <row r="236" spans="1:10">
      <c r="A236" s="169"/>
      <c r="B236" s="211"/>
      <c r="C236" s="211"/>
      <c r="D236" s="212" t="str">
        <f t="shared" ca="1" si="267"/>
        <v>INDODSHELCN4</v>
      </c>
      <c r="E236" s="212" t="str">
        <f t="shared" ca="1" si="266"/>
        <v>Industrial heating technology Other SH - Booster Heat pump utilizing waste heat - new 4</v>
      </c>
      <c r="F236" s="262" t="s">
        <v>450</v>
      </c>
      <c r="G236" s="262" t="s">
        <v>449</v>
      </c>
      <c r="H236" s="263" t="s">
        <v>620</v>
      </c>
      <c r="I236" s="264"/>
      <c r="J236" s="264" t="s">
        <v>469</v>
      </c>
    </row>
    <row r="237" spans="1:10">
      <c r="A237" s="169"/>
      <c r="B237" s="211"/>
      <c r="C237" s="211"/>
      <c r="D237" s="212" t="str">
        <f t="shared" ca="1" si="267"/>
        <v>INDODPHELCN5</v>
      </c>
      <c r="E237" s="212" t="str">
        <f t="shared" ca="1" si="266"/>
        <v>Industrial heating technology Other PH - MVR utilizing waste heat - new 5</v>
      </c>
      <c r="F237" s="262" t="s">
        <v>450</v>
      </c>
      <c r="G237" s="262" t="s">
        <v>449</v>
      </c>
      <c r="H237" s="263"/>
      <c r="I237" s="264"/>
      <c r="J237" s="264" t="s">
        <v>469</v>
      </c>
    </row>
    <row r="238" spans="1:10">
      <c r="A238" s="169"/>
      <c r="B238" s="211"/>
      <c r="C238" s="211"/>
      <c r="D238" s="212" t="str">
        <f t="shared" ca="1" si="267"/>
        <v>INDODPHWSTN1</v>
      </c>
      <c r="E238" s="212" t="str">
        <f t="shared" ca="1" si="266"/>
        <v>Industrial heating technology Other PH - Hotdisc - new 1</v>
      </c>
      <c r="F238" s="262" t="s">
        <v>450</v>
      </c>
      <c r="G238" s="262" t="s">
        <v>449</v>
      </c>
      <c r="H238" s="263" t="s">
        <v>620</v>
      </c>
      <c r="I238" s="264"/>
      <c r="J238" s="264" t="s">
        <v>469</v>
      </c>
    </row>
    <row r="239" spans="1:10">
      <c r="A239" s="169"/>
      <c r="B239" s="211"/>
      <c r="C239" s="211"/>
      <c r="D239" s="212" t="str">
        <f t="shared" ref="D239:D278" ca="1" si="268">OFFSET($D$9,(ROW(D19)*3),0)</f>
        <v>INDODPHELCN6</v>
      </c>
      <c r="E239" s="212" t="str">
        <f t="shared" ca="1" si="266"/>
        <v>Industrial heating technology Other PH - Dielectric heating - new 6</v>
      </c>
      <c r="F239" s="262" t="s">
        <v>450</v>
      </c>
      <c r="G239" s="262" t="s">
        <v>449</v>
      </c>
      <c r="H239" s="263" t="s">
        <v>620</v>
      </c>
      <c r="I239" s="264"/>
      <c r="J239" s="264" t="s">
        <v>469</v>
      </c>
    </row>
    <row r="240" spans="1:10">
      <c r="A240" s="169"/>
      <c r="B240" s="211"/>
      <c r="C240" s="211"/>
      <c r="D240" s="212" t="str">
        <f t="shared" ca="1" si="268"/>
        <v>INDODPHELCN7</v>
      </c>
      <c r="E240" s="212" t="str">
        <f t="shared" ca="1" si="266"/>
        <v>Industrial heating technology Other PH - Infrared heating - new 7</v>
      </c>
      <c r="F240" s="262" t="s">
        <v>450</v>
      </c>
      <c r="G240" s="262" t="s">
        <v>449</v>
      </c>
      <c r="H240" s="263" t="s">
        <v>620</v>
      </c>
      <c r="I240" s="264"/>
      <c r="J240" s="264" t="s">
        <v>469</v>
      </c>
    </row>
    <row r="241" spans="1:16">
      <c r="A241" s="169"/>
      <c r="B241" s="211"/>
      <c r="C241" s="211"/>
      <c r="D241" s="212" t="str">
        <f t="shared" ca="1" si="268"/>
        <v>INDODPHELCN8</v>
      </c>
      <c r="E241" s="212" t="str">
        <f t="shared" ca="1" si="266"/>
        <v>Industrial heating technology Other PH - Electric boiler (Steam) - new 8</v>
      </c>
      <c r="F241" s="262" t="s">
        <v>450</v>
      </c>
      <c r="G241" s="262" t="s">
        <v>449</v>
      </c>
      <c r="H241" s="263" t="s">
        <v>620</v>
      </c>
      <c r="I241" s="264"/>
      <c r="J241" s="264" t="s">
        <v>469</v>
      </c>
    </row>
    <row r="242" spans="1:16">
      <c r="A242" s="169"/>
      <c r="B242" s="211"/>
      <c r="C242" s="211"/>
      <c r="D242" s="212" t="str">
        <f t="shared" ca="1" si="268"/>
        <v>INDODPHELCN8</v>
      </c>
      <c r="E242" s="212" t="str">
        <f t="shared" ca="1" si="266"/>
        <v>Industrial heating technology Other PH - Electric boiler (Steam) - new 8</v>
      </c>
      <c r="F242" s="262" t="s">
        <v>450</v>
      </c>
      <c r="G242" s="262" t="s">
        <v>449</v>
      </c>
      <c r="H242" s="263" t="s">
        <v>620</v>
      </c>
      <c r="I242" s="264"/>
      <c r="J242" s="264" t="s">
        <v>469</v>
      </c>
    </row>
    <row r="243" spans="1:16">
      <c r="A243" s="169"/>
      <c r="B243" s="211"/>
      <c r="C243" s="211"/>
      <c r="D243" s="212" t="str">
        <f t="shared" ca="1" si="268"/>
        <v>INDODSHELCN8</v>
      </c>
      <c r="E243" s="212" t="str">
        <f t="shared" ca="1" si="266"/>
        <v>Industrial heating technology Other SH - Electric boiler (Steam) - new 8</v>
      </c>
      <c r="F243" s="262" t="s">
        <v>450</v>
      </c>
      <c r="G243" s="262" t="s">
        <v>449</v>
      </c>
      <c r="H243" s="263" t="s">
        <v>620</v>
      </c>
      <c r="I243" s="264"/>
      <c r="J243" s="264" t="s">
        <v>469</v>
      </c>
      <c r="P243" s="173"/>
    </row>
    <row r="244" spans="1:16">
      <c r="A244" s="169"/>
      <c r="B244" s="211"/>
      <c r="C244" s="211"/>
      <c r="D244" s="212" t="str">
        <f t="shared" ca="1" si="268"/>
        <v>INDODPHELCN9</v>
      </c>
      <c r="E244" s="212" t="str">
        <f t="shared" ca="1" si="266"/>
        <v>Industrial heating technology Other PH - Electric boiler (Hot Water) - new 9</v>
      </c>
      <c r="F244" s="262" t="s">
        <v>450</v>
      </c>
      <c r="G244" s="262" t="s">
        <v>449</v>
      </c>
      <c r="H244" s="263" t="s">
        <v>620</v>
      </c>
      <c r="I244" s="264"/>
      <c r="J244" s="264" t="s">
        <v>469</v>
      </c>
      <c r="P244" s="173"/>
    </row>
    <row r="245" spans="1:16">
      <c r="A245" s="169"/>
      <c r="B245" s="211"/>
      <c r="C245" s="211"/>
      <c r="D245" s="212" t="str">
        <f t="shared" ca="1" si="268"/>
        <v>INDODSHELCN9</v>
      </c>
      <c r="E245" s="212" t="str">
        <f t="shared" ca="1" si="266"/>
        <v>Industrial heating technology Other SH - Electric boiler (Hot Water) - new 9</v>
      </c>
      <c r="F245" s="262" t="s">
        <v>450</v>
      </c>
      <c r="G245" s="262" t="s">
        <v>449</v>
      </c>
      <c r="H245" s="263" t="s">
        <v>620</v>
      </c>
      <c r="I245" s="264"/>
      <c r="J245" s="264" t="s">
        <v>469</v>
      </c>
      <c r="P245" s="173"/>
    </row>
    <row r="246" spans="1:16">
      <c r="A246" s="169"/>
      <c r="B246" s="211"/>
      <c r="C246" s="211"/>
      <c r="D246" s="212" t="str">
        <f t="shared" ca="1" si="268"/>
        <v>INDODPHWCHN1</v>
      </c>
      <c r="E246" s="212" t="str">
        <f t="shared" ca="1" si="266"/>
        <v>Industrial heating technology Other PH - Wood chip boiler (Steam) - new 1</v>
      </c>
      <c r="F246" s="262" t="s">
        <v>450</v>
      </c>
      <c r="G246" s="262" t="s">
        <v>449</v>
      </c>
      <c r="H246" s="263"/>
      <c r="I246" s="264"/>
      <c r="J246" s="264" t="s">
        <v>469</v>
      </c>
      <c r="P246" s="173"/>
    </row>
    <row r="247" spans="1:16">
      <c r="A247" s="169"/>
      <c r="B247" s="211"/>
      <c r="C247" s="211"/>
      <c r="D247" s="212" t="str">
        <f t="shared" ca="1" si="268"/>
        <v>INDODPHWCHN1</v>
      </c>
      <c r="E247" s="212" t="str">
        <f t="shared" ca="1" si="266"/>
        <v>Industrial heating technology Other PH - Wood chip boiler (Steam) - new 1</v>
      </c>
      <c r="F247" s="262" t="s">
        <v>450</v>
      </c>
      <c r="G247" s="262" t="s">
        <v>449</v>
      </c>
      <c r="H247" s="263"/>
      <c r="I247" s="264"/>
      <c r="J247" s="264" t="s">
        <v>469</v>
      </c>
      <c r="M247" s="171"/>
      <c r="N247" s="171"/>
      <c r="P247" s="173"/>
    </row>
    <row r="248" spans="1:16">
      <c r="A248" s="169"/>
      <c r="B248" s="211"/>
      <c r="C248" s="211"/>
      <c r="D248" s="212" t="str">
        <f t="shared" ca="1" si="268"/>
        <v>INDODSHWCHN1</v>
      </c>
      <c r="E248" s="212" t="str">
        <f t="shared" ca="1" si="266"/>
        <v>Industrial heating technology Other SH - Wood chip boiler (Steam) - new 1</v>
      </c>
      <c r="F248" s="262" t="s">
        <v>450</v>
      </c>
      <c r="G248" s="262" t="s">
        <v>449</v>
      </c>
      <c r="H248" s="263"/>
      <c r="I248" s="264"/>
      <c r="J248" s="264" t="s">
        <v>469</v>
      </c>
      <c r="M248" s="171"/>
      <c r="N248" s="171"/>
      <c r="P248" s="173"/>
    </row>
    <row r="249" spans="1:16">
      <c r="A249" s="169"/>
      <c r="B249" s="211"/>
      <c r="C249" s="211"/>
      <c r="D249" s="212" t="str">
        <f t="shared" ca="1" si="268"/>
        <v>INDODPHWCHN2</v>
      </c>
      <c r="E249" s="212" t="str">
        <f t="shared" ca="1" si="266"/>
        <v>Industrial heating technology Other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INDODSHWCHN2</v>
      </c>
      <c r="E250" s="212" t="str">
        <f t="shared" ca="1" si="266"/>
        <v>Industrial heating technology Other SH - Wood chip boiler (Steam - condensing) - new 2</v>
      </c>
      <c r="F250" s="262" t="s">
        <v>450</v>
      </c>
      <c r="G250" s="262" t="s">
        <v>449</v>
      </c>
      <c r="H250" s="263"/>
      <c r="I250" s="264"/>
      <c r="J250" s="264" t="s">
        <v>469</v>
      </c>
    </row>
    <row r="251" spans="1:16">
      <c r="A251" s="169"/>
      <c r="B251" s="212"/>
      <c r="C251" s="212"/>
      <c r="D251" s="212" t="str">
        <f t="shared" ca="1" si="268"/>
        <v>INDODPHWCHN3</v>
      </c>
      <c r="E251" s="212" t="str">
        <f t="shared" ca="1" si="266"/>
        <v>Industrial heating technology Other PH - Wood chip boiler (Hot Water) - new 3</v>
      </c>
      <c r="F251" s="262" t="s">
        <v>450</v>
      </c>
      <c r="G251" s="262" t="s">
        <v>449</v>
      </c>
      <c r="H251" s="261"/>
      <c r="I251" s="261"/>
      <c r="J251" s="264" t="s">
        <v>469</v>
      </c>
    </row>
    <row r="252" spans="1:16">
      <c r="A252" s="169"/>
      <c r="B252" s="212"/>
      <c r="C252" s="212"/>
      <c r="D252" s="212" t="str">
        <f t="shared" ca="1" si="268"/>
        <v>INDODSHWCHN3</v>
      </c>
      <c r="E252" s="212" t="str">
        <f t="shared" ca="1" si="266"/>
        <v>Industrial heating technology Other SH - Wood chip boiler (Hot Water) - new 3</v>
      </c>
      <c r="F252" s="262" t="s">
        <v>450</v>
      </c>
      <c r="G252" s="262" t="s">
        <v>449</v>
      </c>
      <c r="H252" s="261"/>
      <c r="I252" s="261"/>
      <c r="J252" s="264" t="s">
        <v>469</v>
      </c>
    </row>
    <row r="253" spans="1:16">
      <c r="A253" s="169"/>
      <c r="B253" s="212"/>
      <c r="C253" s="212"/>
      <c r="D253" s="212" t="str">
        <f t="shared" ca="1" si="268"/>
        <v>INDODPHWCHN4</v>
      </c>
      <c r="E253" s="212" t="str">
        <f t="shared" ca="1" si="266"/>
        <v>Industrial heating technology Other PH - Wood chip boiler (Hot Water - condensing) - new 4</v>
      </c>
      <c r="F253" s="262" t="s">
        <v>450</v>
      </c>
      <c r="G253" s="262" t="s">
        <v>449</v>
      </c>
      <c r="H253" s="261"/>
      <c r="I253" s="261"/>
      <c r="J253" s="264" t="s">
        <v>469</v>
      </c>
    </row>
    <row r="254" spans="1:16">
      <c r="A254" s="169"/>
      <c r="B254" s="212"/>
      <c r="C254" s="212"/>
      <c r="D254" s="212" t="str">
        <f t="shared" ca="1" si="268"/>
        <v>INDODSHWCHN4</v>
      </c>
      <c r="E254" s="212" t="str">
        <f t="shared" ca="1" si="266"/>
        <v>Industrial heating technology Other SH - Wood chip boiler (Hot Water- condensing) - new 4</v>
      </c>
      <c r="F254" s="262" t="s">
        <v>450</v>
      </c>
      <c r="G254" s="262" t="s">
        <v>449</v>
      </c>
      <c r="H254" s="261"/>
      <c r="I254" s="261"/>
      <c r="J254" s="264" t="s">
        <v>469</v>
      </c>
    </row>
    <row r="255" spans="1:16">
      <c r="B255" s="212"/>
      <c r="C255" s="212"/>
      <c r="D255" s="212" t="str">
        <f t="shared" ca="1" si="268"/>
        <v>INDODPHELCN10</v>
      </c>
      <c r="E255" s="212" t="str">
        <f t="shared" ca="1" si="266"/>
        <v>Industrial heating technology Other PH - Direct electric heating - new 10</v>
      </c>
      <c r="F255" s="262" t="s">
        <v>450</v>
      </c>
      <c r="G255" s="262" t="s">
        <v>449</v>
      </c>
      <c r="H255" s="261"/>
      <c r="I255" s="261"/>
      <c r="J255" s="264" t="s">
        <v>469</v>
      </c>
    </row>
    <row r="256" spans="1:16">
      <c r="B256" s="212"/>
      <c r="C256" s="212"/>
      <c r="D256" s="212" t="str">
        <f t="shared" ca="1" si="268"/>
        <v>INDODPHELCN10</v>
      </c>
      <c r="E256" s="212" t="str">
        <f t="shared" ca="1" si="266"/>
        <v>Industrial heating technology Other PH - Direct electric heating - new 10</v>
      </c>
      <c r="F256" s="262" t="s">
        <v>450</v>
      </c>
      <c r="G256" s="262" t="s">
        <v>449</v>
      </c>
      <c r="H256" s="261"/>
      <c r="I256" s="261"/>
      <c r="J256" s="264" t="s">
        <v>469</v>
      </c>
    </row>
    <row r="257" spans="1:10">
      <c r="B257" s="212"/>
      <c r="C257" s="212"/>
      <c r="D257" s="212" t="str">
        <f t="shared" ca="1" si="268"/>
        <v>INDODPHDSLN1</v>
      </c>
      <c r="E257" s="212" t="str">
        <f t="shared" ca="1" si="266"/>
        <v>Industrial heating technology Other PH - Oil boiler (Steam) - new 1</v>
      </c>
      <c r="F257" s="262" t="s">
        <v>450</v>
      </c>
      <c r="G257" s="262" t="s">
        <v>449</v>
      </c>
      <c r="H257" s="261"/>
      <c r="I257" s="261"/>
      <c r="J257" s="264" t="s">
        <v>469</v>
      </c>
    </row>
    <row r="258" spans="1:10">
      <c r="B258" s="212"/>
      <c r="C258" s="212"/>
      <c r="D258" s="212" t="str">
        <f t="shared" ca="1" si="268"/>
        <v>INDODPHDSLN1</v>
      </c>
      <c r="E258" s="212" t="str">
        <f t="shared" ca="1" si="266"/>
        <v>Industrial heating technology Other PH - Oil boiler (Steam) - new 1</v>
      </c>
      <c r="F258" s="262" t="s">
        <v>450</v>
      </c>
      <c r="G258" s="262" t="s">
        <v>449</v>
      </c>
      <c r="H258" s="261"/>
      <c r="I258" s="261"/>
      <c r="J258" s="264" t="s">
        <v>469</v>
      </c>
    </row>
    <row r="259" spans="1:10">
      <c r="B259" s="212"/>
      <c r="C259" s="212"/>
      <c r="D259" s="212" t="str">
        <f t="shared" ca="1" si="268"/>
        <v>INDODSHDSLN1</v>
      </c>
      <c r="E259" s="212" t="str">
        <f t="shared" ca="1" si="266"/>
        <v>Industrial heating technology Other SH - Oil boiler (Steam) - new 1</v>
      </c>
      <c r="F259" s="262" t="s">
        <v>450</v>
      </c>
      <c r="G259" s="262" t="s">
        <v>449</v>
      </c>
      <c r="H259" s="261"/>
      <c r="I259" s="261"/>
      <c r="J259" s="264" t="s">
        <v>469</v>
      </c>
    </row>
    <row r="260" spans="1:10">
      <c r="A260" s="214"/>
      <c r="B260" s="212"/>
      <c r="C260" s="212"/>
      <c r="D260" s="212" t="str">
        <f t="shared" ca="1" si="268"/>
        <v>INDODPHDSLN2</v>
      </c>
      <c r="E260" s="212" t="str">
        <f t="shared" ca="1" si="266"/>
        <v>Industrial heating technology Other PH - Oil boiler (Steam - condensing) - new 2</v>
      </c>
      <c r="F260" s="262" t="s">
        <v>450</v>
      </c>
      <c r="G260" s="262" t="s">
        <v>449</v>
      </c>
      <c r="H260" s="261"/>
      <c r="I260" s="261"/>
      <c r="J260" s="264" t="s">
        <v>469</v>
      </c>
    </row>
    <row r="261" spans="1:10">
      <c r="A261" s="214"/>
      <c r="B261" s="212"/>
      <c r="C261" s="212"/>
      <c r="D261" s="212" t="str">
        <f t="shared" ca="1" si="268"/>
        <v>INDODSHDSLN2</v>
      </c>
      <c r="E261" s="212" t="str">
        <f t="shared" ref="E261:E290" ca="1" si="269">VLOOKUP(D261,$D$9:$E$222,2,FALSE)</f>
        <v>Industrial heating technology Other SH - Oil boiler (Steam - condensing) - new 2</v>
      </c>
      <c r="F261" s="262" t="s">
        <v>450</v>
      </c>
      <c r="G261" s="262" t="s">
        <v>449</v>
      </c>
      <c r="H261" s="261"/>
      <c r="I261" s="261"/>
      <c r="J261" s="264" t="s">
        <v>469</v>
      </c>
    </row>
    <row r="262" spans="1:10">
      <c r="A262" s="214"/>
      <c r="B262" s="212"/>
      <c r="C262" s="212"/>
      <c r="D262" s="212" t="str">
        <f t="shared" ca="1" si="268"/>
        <v>INDODPHGASN1</v>
      </c>
      <c r="E262" s="212" t="str">
        <f t="shared" ca="1" si="269"/>
        <v>Industrial heating technology Other PH - Gas boiler (Steam) - new 1</v>
      </c>
      <c r="F262" s="262" t="s">
        <v>450</v>
      </c>
      <c r="G262" s="262" t="s">
        <v>449</v>
      </c>
      <c r="H262" s="261"/>
      <c r="I262" s="261"/>
      <c r="J262" s="264" t="s">
        <v>469</v>
      </c>
    </row>
    <row r="263" spans="1:10">
      <c r="A263" s="214"/>
      <c r="B263" s="212"/>
      <c r="C263" s="212"/>
      <c r="D263" s="212" t="str">
        <f t="shared" ca="1" si="268"/>
        <v>INDODPHGASN1</v>
      </c>
      <c r="E263" s="212" t="str">
        <f t="shared" ca="1" si="269"/>
        <v>Industrial heating technology Other PH - Gas boiler (Steam) - new 1</v>
      </c>
      <c r="F263" s="262" t="s">
        <v>450</v>
      </c>
      <c r="G263" s="262" t="s">
        <v>449</v>
      </c>
      <c r="H263" s="261"/>
      <c r="I263" s="261"/>
      <c r="J263" s="264" t="s">
        <v>469</v>
      </c>
    </row>
    <row r="264" spans="1:10">
      <c r="B264" s="212"/>
      <c r="C264" s="212"/>
      <c r="D264" s="212" t="str">
        <f t="shared" ca="1" si="268"/>
        <v>INDODSHGASN1</v>
      </c>
      <c r="E264" s="212" t="str">
        <f t="shared" ca="1" si="269"/>
        <v>Industrial heating technology Other SH - Gas boiler (Steam) - new 1</v>
      </c>
      <c r="F264" s="262" t="s">
        <v>450</v>
      </c>
      <c r="G264" s="262" t="s">
        <v>449</v>
      </c>
      <c r="H264" s="261"/>
      <c r="I264" s="261"/>
      <c r="J264" s="264" t="s">
        <v>469</v>
      </c>
    </row>
    <row r="265" spans="1:10">
      <c r="B265" s="212"/>
      <c r="C265" s="212"/>
      <c r="D265" s="212" t="str">
        <f t="shared" ca="1" si="268"/>
        <v>INDODPHGASN2</v>
      </c>
      <c r="E265" s="212" t="str">
        <f t="shared" ca="1" si="269"/>
        <v>Industrial heating technology Other PH - Gas boiler (Steam - condensing) - new 2</v>
      </c>
      <c r="F265" s="262" t="s">
        <v>450</v>
      </c>
      <c r="G265" s="262" t="s">
        <v>449</v>
      </c>
      <c r="H265" s="261"/>
      <c r="I265" s="261"/>
      <c r="J265" s="264" t="s">
        <v>469</v>
      </c>
    </row>
    <row r="266" spans="1:10">
      <c r="B266" s="212"/>
      <c r="C266" s="212"/>
      <c r="D266" s="212" t="str">
        <f t="shared" ca="1" si="268"/>
        <v>INDODSHGASN2</v>
      </c>
      <c r="E266" s="212" t="str">
        <f t="shared" ca="1" si="269"/>
        <v>Industrial heating technology Other SH - Gas boiler (Steam - condensing) - new 2</v>
      </c>
      <c r="F266" s="262" t="s">
        <v>450</v>
      </c>
      <c r="G266" s="262" t="s">
        <v>449</v>
      </c>
      <c r="H266" s="261"/>
      <c r="I266" s="261"/>
      <c r="J266" s="264" t="s">
        <v>469</v>
      </c>
    </row>
    <row r="267" spans="1:10">
      <c r="B267" s="212"/>
      <c r="C267" s="212"/>
      <c r="D267" s="212" t="str">
        <f t="shared" ca="1" si="268"/>
        <v>INDODPHGASN3</v>
      </c>
      <c r="E267" s="212" t="str">
        <f t="shared" ca="1" si="269"/>
        <v>Industrial heating technology Other PH - Gas boiler (Hot Water) - new 3</v>
      </c>
      <c r="F267" s="262" t="s">
        <v>450</v>
      </c>
      <c r="G267" s="262" t="s">
        <v>449</v>
      </c>
      <c r="H267" s="261"/>
      <c r="I267" s="261"/>
      <c r="J267" s="264" t="s">
        <v>469</v>
      </c>
    </row>
    <row r="268" spans="1:10">
      <c r="B268" s="212"/>
      <c r="C268" s="212"/>
      <c r="D268" s="212" t="str">
        <f t="shared" ca="1" si="268"/>
        <v>INDODSHGASN3</v>
      </c>
      <c r="E268" s="212" t="str">
        <f t="shared" ca="1" si="269"/>
        <v>Industrial heating technology Other SH - Gas boiler (Hot Water) - new 3</v>
      </c>
      <c r="F268" s="262" t="s">
        <v>450</v>
      </c>
      <c r="G268" s="262" t="s">
        <v>449</v>
      </c>
      <c r="H268" s="261"/>
      <c r="I268" s="261"/>
      <c r="J268" s="264" t="s">
        <v>469</v>
      </c>
    </row>
    <row r="269" spans="1:10">
      <c r="B269" s="212"/>
      <c r="C269" s="212"/>
      <c r="D269" s="212" t="str">
        <f t="shared" ca="1" si="268"/>
        <v>INDODPHGASN4</v>
      </c>
      <c r="E269" s="212" t="str">
        <f t="shared" ca="1" si="269"/>
        <v>Industrial heating technology Other PH - Gas boiler (Hot Water - condensing) - new 4</v>
      </c>
      <c r="F269" s="262" t="s">
        <v>450</v>
      </c>
      <c r="G269" s="262" t="s">
        <v>449</v>
      </c>
      <c r="H269" s="261"/>
      <c r="I269" s="261"/>
      <c r="J269" s="264" t="s">
        <v>469</v>
      </c>
    </row>
    <row r="270" spans="1:10">
      <c r="B270" s="212"/>
      <c r="C270" s="212"/>
      <c r="D270" s="212" t="str">
        <f t="shared" ca="1" si="268"/>
        <v>INDODSHGASN4</v>
      </c>
      <c r="E270" s="212" t="str">
        <f t="shared" ca="1" si="269"/>
        <v>Industrial heating technology Other SH - Gas boiler (Hot Water- condensing) - new 4</v>
      </c>
      <c r="F270" s="262" t="s">
        <v>450</v>
      </c>
      <c r="G270" s="262" t="s">
        <v>449</v>
      </c>
      <c r="H270" s="261"/>
      <c r="I270" s="261"/>
      <c r="J270" s="264" t="s">
        <v>469</v>
      </c>
    </row>
    <row r="271" spans="1:10">
      <c r="B271" s="212"/>
      <c r="C271" s="212"/>
      <c r="D271" s="212" t="str">
        <f t="shared" ca="1" si="268"/>
        <v>INDODPHGASN5</v>
      </c>
      <c r="E271" s="212" t="str">
        <f t="shared" ca="1" si="269"/>
        <v>Industrial heating technology Other PH - Gas boiler (Direct firing) - new 5</v>
      </c>
      <c r="F271" s="262" t="s">
        <v>450</v>
      </c>
      <c r="G271" s="262" t="s">
        <v>449</v>
      </c>
      <c r="H271" s="261"/>
      <c r="I271" s="261"/>
      <c r="J271" s="264" t="s">
        <v>469</v>
      </c>
    </row>
    <row r="272" spans="1:10">
      <c r="B272" s="212"/>
      <c r="C272" s="212"/>
      <c r="D272" s="212" t="str">
        <f t="shared" ca="1" si="268"/>
        <v>INDODPHGASN5</v>
      </c>
      <c r="E272" s="212" t="str">
        <f t="shared" ca="1" si="269"/>
        <v>Industrial heating technology Other PH - Gas boiler (Direct firing) - new 5</v>
      </c>
      <c r="F272" s="262" t="s">
        <v>450</v>
      </c>
      <c r="G272" s="262" t="s">
        <v>449</v>
      </c>
      <c r="H272" s="261"/>
      <c r="I272" s="261"/>
      <c r="J272" s="264" t="s">
        <v>469</v>
      </c>
    </row>
    <row r="273" spans="2:10">
      <c r="B273" s="212"/>
      <c r="C273" s="212"/>
      <c r="D273" s="212" t="str">
        <f t="shared" ca="1" si="268"/>
        <v>INDODPHCOAN1</v>
      </c>
      <c r="E273" s="212" t="str">
        <f t="shared" ca="1" si="269"/>
        <v>Industrial heating technology Other PH - Coal boiler (Steam) - new 1</v>
      </c>
      <c r="F273" s="262" t="s">
        <v>450</v>
      </c>
      <c r="G273" s="262" t="s">
        <v>449</v>
      </c>
      <c r="H273" s="261"/>
      <c r="I273" s="261"/>
      <c r="J273" s="264" t="s">
        <v>469</v>
      </c>
    </row>
    <row r="274" spans="2:10">
      <c r="B274" s="212"/>
      <c r="C274" s="212"/>
      <c r="D274" s="212" t="str">
        <f t="shared" ca="1" si="268"/>
        <v>INDODPHCOAN1</v>
      </c>
      <c r="E274" s="212" t="str">
        <f t="shared" ca="1" si="269"/>
        <v>Industrial heating technology Other PH - Coal boiler (Steam) - new 1</v>
      </c>
      <c r="F274" s="262" t="s">
        <v>450</v>
      </c>
      <c r="G274" s="262" t="s">
        <v>449</v>
      </c>
      <c r="H274" s="261"/>
      <c r="I274" s="261"/>
      <c r="J274" s="264" t="s">
        <v>469</v>
      </c>
    </row>
    <row r="275" spans="2:10">
      <c r="B275" s="212"/>
      <c r="C275" s="212"/>
      <c r="D275" s="212" t="str">
        <f t="shared" ca="1" si="268"/>
        <v>INDODSHCOAN1</v>
      </c>
      <c r="E275" s="212" t="str">
        <f t="shared" ca="1" si="269"/>
        <v>Industrial heating technology Other SH - Coal boiler (Steam) - new 1</v>
      </c>
      <c r="F275" s="262" t="s">
        <v>450</v>
      </c>
      <c r="G275" s="262" t="s">
        <v>449</v>
      </c>
      <c r="H275" s="261"/>
      <c r="I275" s="261"/>
      <c r="J275" s="264" t="s">
        <v>469</v>
      </c>
    </row>
    <row r="276" spans="2:10">
      <c r="B276" s="212"/>
      <c r="C276" s="212"/>
      <c r="D276" s="212" t="str">
        <f t="shared" ca="1" si="268"/>
        <v>INDODPHCOAN2</v>
      </c>
      <c r="E276" s="212" t="str">
        <f t="shared" ca="1" si="269"/>
        <v>Industrial heating technology Other PH - Coal boiler (Hot Water) - new 2</v>
      </c>
      <c r="F276" s="262" t="s">
        <v>450</v>
      </c>
      <c r="G276" s="262" t="s">
        <v>449</v>
      </c>
      <c r="H276" s="261"/>
      <c r="I276" s="261"/>
      <c r="J276" s="264" t="s">
        <v>469</v>
      </c>
    </row>
    <row r="277" spans="2:10">
      <c r="B277" s="212"/>
      <c r="C277" s="212"/>
      <c r="D277" s="212" t="str">
        <f t="shared" ca="1" si="268"/>
        <v>INDODSHCOAN2</v>
      </c>
      <c r="E277" s="212" t="str">
        <f t="shared" ca="1" si="269"/>
        <v>Industrial heating technology Other SH - Coal boiler (Hot Water) - new 2</v>
      </c>
      <c r="F277" s="262" t="s">
        <v>450</v>
      </c>
      <c r="G277" s="262" t="s">
        <v>449</v>
      </c>
      <c r="H277" s="261"/>
      <c r="I277" s="261"/>
      <c r="J277" s="264" t="s">
        <v>469</v>
      </c>
    </row>
    <row r="278" spans="2:10">
      <c r="B278" s="212"/>
      <c r="C278" s="212"/>
      <c r="D278" s="212" t="str">
        <f t="shared" ca="1" si="268"/>
        <v>INDODSHSOLN1</v>
      </c>
      <c r="E278" s="212" t="str">
        <f t="shared" ca="1" si="269"/>
        <v>Industrial heating technology Other SH - Solar - new 1</v>
      </c>
      <c r="F278" s="262" t="s">
        <v>450</v>
      </c>
      <c r="G278" s="262" t="s">
        <v>449</v>
      </c>
      <c r="H278" s="263" t="s">
        <v>620</v>
      </c>
      <c r="I278" s="261"/>
      <c r="J278" s="264" t="s">
        <v>469</v>
      </c>
    </row>
    <row r="279" spans="2:10">
      <c r="B279" s="212"/>
      <c r="C279" s="212"/>
      <c r="D279" s="889" t="str">
        <f>D187</f>
        <v>INDODSHHCEN1</v>
      </c>
      <c r="E279" s="889" t="str">
        <f t="shared" si="269"/>
        <v>Industrial heating technology Other SH - central district heating - within DH area - new 1</v>
      </c>
      <c r="F279" s="262" t="s">
        <v>450</v>
      </c>
      <c r="G279" s="262" t="s">
        <v>449</v>
      </c>
      <c r="H279" s="890"/>
      <c r="I279" s="890"/>
      <c r="J279" s="263" t="s">
        <v>469</v>
      </c>
    </row>
    <row r="280" spans="2:10">
      <c r="B280" s="212"/>
      <c r="C280" s="212"/>
      <c r="D280" s="889" t="str">
        <f>D188</f>
        <v>INDODPHHCEN1</v>
      </c>
      <c r="E280" s="889" t="str">
        <f t="shared" si="269"/>
        <v>Industrial heating technology Other PH - central district heating - within DH area - new 1</v>
      </c>
      <c r="F280" s="262" t="s">
        <v>450</v>
      </c>
      <c r="G280" s="262" t="s">
        <v>449</v>
      </c>
      <c r="H280" s="890"/>
      <c r="I280" s="890"/>
      <c r="J280" s="263" t="s">
        <v>469</v>
      </c>
    </row>
    <row r="281" spans="2:10">
      <c r="B281" s="212"/>
      <c r="C281" s="212"/>
      <c r="D281" s="889" t="str">
        <f>D189</f>
        <v>INDODSHHSEN1</v>
      </c>
      <c r="E281" s="889" t="str">
        <f t="shared" si="269"/>
        <v>Industrial heating technology Other SH - central district heating - within DH area - new 1</v>
      </c>
      <c r="F281" s="262" t="s">
        <v>450</v>
      </c>
      <c r="G281" s="262" t="s">
        <v>449</v>
      </c>
      <c r="H281" s="890"/>
      <c r="I281" s="890"/>
      <c r="J281" s="263" t="s">
        <v>469</v>
      </c>
    </row>
    <row r="282" spans="2:10">
      <c r="B282" s="212"/>
      <c r="C282" s="212"/>
      <c r="D282" s="889" t="str">
        <f>D190</f>
        <v>INDODPHHSEN1</v>
      </c>
      <c r="E282" s="889" t="str">
        <f t="shared" si="269"/>
        <v>Industrial heating technology Other PH - central district heating - within DH area - new 1</v>
      </c>
      <c r="F282" s="262" t="s">
        <v>450</v>
      </c>
      <c r="G282" s="262" t="s">
        <v>449</v>
      </c>
      <c r="H282" s="890"/>
      <c r="I282" s="890"/>
      <c r="J282" s="263" t="s">
        <v>469</v>
      </c>
    </row>
    <row r="283" spans="2:10">
      <c r="B283" s="212"/>
      <c r="C283" s="212"/>
      <c r="D283" s="212" t="str">
        <f t="shared" ref="D283" si="270">D191</f>
        <v>INDODSHHDEN1</v>
      </c>
      <c r="E283" s="212" t="str">
        <f t="shared" si="269"/>
        <v>Industrial heating technology Other SH - decentral district heating - within DH area - new 1</v>
      </c>
      <c r="F283" s="262" t="s">
        <v>450</v>
      </c>
      <c r="G283" s="262" t="s">
        <v>449</v>
      </c>
      <c r="H283" s="261"/>
      <c r="I283" s="261"/>
      <c r="J283" s="264" t="s">
        <v>469</v>
      </c>
    </row>
    <row r="284" spans="2:10">
      <c r="B284" s="212"/>
      <c r="C284" s="212"/>
      <c r="D284" s="212" t="str">
        <f>D192</f>
        <v>INDODPHHDEN1</v>
      </c>
      <c r="E284" s="212" t="str">
        <f t="shared" si="269"/>
        <v>Industrial heating technology Other PH - decentral district heating - within DH area - new 1</v>
      </c>
      <c r="F284" s="262" t="s">
        <v>450</v>
      </c>
      <c r="G284" s="262" t="s">
        <v>449</v>
      </c>
      <c r="H284" s="261"/>
      <c r="I284" s="261"/>
      <c r="J284" s="264" t="s">
        <v>469</v>
      </c>
    </row>
    <row r="285" spans="2:10">
      <c r="B285" s="212"/>
      <c r="C285" s="212"/>
      <c r="D285" s="212" t="str">
        <f>D194</f>
        <v>INDODLAELCN1</v>
      </c>
      <c r="E285" s="212" t="str">
        <f t="shared" si="269"/>
        <v>Industry Other LA Electricity Light Appliance - New 1</v>
      </c>
      <c r="F285" s="262" t="s">
        <v>450</v>
      </c>
      <c r="G285" s="262" t="s">
        <v>449</v>
      </c>
      <c r="H285" s="261"/>
      <c r="I285" s="261"/>
      <c r="J285" s="264" t="s">
        <v>469</v>
      </c>
    </row>
    <row r="286" spans="2:10">
      <c r="B286" s="212"/>
      <c r="C286" s="212"/>
      <c r="D286" s="212" t="str">
        <f>D198</f>
        <v>INDODEMELCN1</v>
      </c>
      <c r="E286" s="212" t="str">
        <f t="shared" si="269"/>
        <v>Industry Other EM Electricity Motors - New 1</v>
      </c>
      <c r="F286" s="262" t="s">
        <v>450</v>
      </c>
      <c r="G286" s="262" t="s">
        <v>449</v>
      </c>
      <c r="H286" s="261"/>
      <c r="I286" s="261"/>
      <c r="J286" s="264" t="s">
        <v>469</v>
      </c>
    </row>
    <row r="287" spans="2:10">
      <c r="B287" s="212"/>
      <c r="C287" s="212"/>
      <c r="D287" s="212" t="str">
        <f>D202</f>
        <v>INDODTFDSLN1</v>
      </c>
      <c r="E287" s="212" t="str">
        <f t="shared" si="269"/>
        <v>Industry Other TF Tractors, Trucks, Fishing boats - New 1</v>
      </c>
      <c r="F287" s="262" t="s">
        <v>450</v>
      </c>
      <c r="G287" s="262" t="s">
        <v>2078</v>
      </c>
      <c r="H287" s="261"/>
      <c r="I287" s="261"/>
      <c r="J287" s="264" t="s">
        <v>469</v>
      </c>
    </row>
    <row r="288" spans="2:10">
      <c r="B288" s="212"/>
      <c r="C288" s="212"/>
      <c r="D288" s="212" t="str">
        <f>D206</f>
        <v>INDODTFH2GN2</v>
      </c>
      <c r="E288" s="212" t="str">
        <f t="shared" si="269"/>
        <v>Industry Other TF Tractors, Trucks, Fishing boats - New 2</v>
      </c>
      <c r="F288" s="262" t="s">
        <v>450</v>
      </c>
      <c r="G288" s="262" t="s">
        <v>2078</v>
      </c>
      <c r="H288" s="261"/>
      <c r="I288" s="261"/>
      <c r="J288" s="264" t="s">
        <v>469</v>
      </c>
    </row>
    <row r="289" spans="2:10">
      <c r="B289" s="212"/>
      <c r="C289" s="212"/>
      <c r="D289" s="212" t="str">
        <f>D210</f>
        <v>INDODTFELCN3</v>
      </c>
      <c r="E289" s="212" t="str">
        <f t="shared" si="269"/>
        <v>Industry Other TF Tractors, Trucks, Fishing boats - New 3</v>
      </c>
      <c r="F289" s="262" t="s">
        <v>450</v>
      </c>
      <c r="G289" s="262" t="s">
        <v>2078</v>
      </c>
      <c r="H289" s="261"/>
      <c r="I289" s="261"/>
      <c r="J289" s="264" t="s">
        <v>469</v>
      </c>
    </row>
    <row r="290" spans="2:10">
      <c r="B290" s="212"/>
      <c r="C290" s="212"/>
      <c r="D290" s="212" t="str">
        <f>D214</f>
        <v>INDODFLSYNN1</v>
      </c>
      <c r="E290" s="212" t="str">
        <f t="shared" si="269"/>
        <v>Industry Other TF Forklifts - New 1</v>
      </c>
      <c r="F290" s="262" t="s">
        <v>450</v>
      </c>
      <c r="G290" s="262" t="s">
        <v>449</v>
      </c>
      <c r="H290" s="261"/>
      <c r="I290" s="261"/>
      <c r="J290" s="264" t="s">
        <v>469</v>
      </c>
    </row>
    <row r="291" spans="2:10">
      <c r="B291" s="212"/>
      <c r="C291" s="212"/>
      <c r="D291" s="212" t="str">
        <f>D218</f>
        <v>INDODCOELCN1</v>
      </c>
      <c r="E291" s="212" t="str">
        <f>E218</f>
        <v>Industry Other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IODSOx</v>
      </c>
      <c r="E296" s="270" t="str">
        <f>"Industrial heating  heating technology "&amp;$AJ$12&amp;" - SOx emission"</f>
        <v>Industrial heating  heating technology Other - SOx emission</v>
      </c>
      <c r="F296" s="219" t="s">
        <v>352</v>
      </c>
      <c r="G296" s="211"/>
      <c r="H296" s="211"/>
      <c r="I296" s="211"/>
      <c r="J296" s="211"/>
    </row>
    <row r="297" spans="2:10">
      <c r="B297" s="214"/>
      <c r="C297" s="214"/>
      <c r="D297" s="260" t="str">
        <f>"I"&amp;LEFT($AJ$12,1)&amp;"DNOx"</f>
        <v>IODNOx</v>
      </c>
      <c r="E297" s="270" t="str">
        <f>"Industrial heating  heating technology "&amp;$AJ$12&amp;" - NOx emission"</f>
        <v>Industrial heating  heating technology Other - NOx emission</v>
      </c>
      <c r="F297" s="219" t="s">
        <v>352</v>
      </c>
      <c r="G297" s="211"/>
      <c r="H297" s="214"/>
      <c r="I297" s="214"/>
      <c r="J297" s="214"/>
    </row>
    <row r="298" spans="2:10">
      <c r="B298" s="214"/>
      <c r="C298" s="214"/>
      <c r="D298" s="260" t="str">
        <f>"I"&amp;LEFT($AJ$12,1)&amp;"DCH4"</f>
        <v>IODCH4</v>
      </c>
      <c r="E298" s="270" t="str">
        <f>"Industrial heating  heating technology "&amp;$AJ$12&amp;" - CH4 emission"</f>
        <v>Industrial heating  heating technology Other - CH4 emission</v>
      </c>
      <c r="F298" s="219" t="s">
        <v>352</v>
      </c>
      <c r="G298" s="211"/>
      <c r="H298" s="214"/>
      <c r="I298" s="214"/>
      <c r="J298" s="214"/>
    </row>
    <row r="299" spans="2:10">
      <c r="B299" s="214"/>
      <c r="C299" s="214"/>
      <c r="D299" s="260" t="str">
        <f>"I"&amp;LEFT($AJ$12,1)&amp;"DNO2"</f>
        <v>IODNO2</v>
      </c>
      <c r="E299" s="270" t="str">
        <f>"Industrial heating  heating technology "&amp;$AJ$12&amp;" - NO2 emission"</f>
        <v>Industrial heating  heating technology Other - NO2 emission</v>
      </c>
      <c r="F299" s="219" t="s">
        <v>352</v>
      </c>
      <c r="G299" s="211"/>
      <c r="H299" s="214"/>
      <c r="I299" s="214"/>
      <c r="J299" s="214"/>
    </row>
    <row r="300" spans="2:10">
      <c r="B300" s="214"/>
      <c r="C300" s="214"/>
      <c r="D300" s="260" t="str">
        <f>"I"&amp;LEFT($AJ$12,1)&amp;"DPM"</f>
        <v>IODPM</v>
      </c>
      <c r="E300" s="270" t="str">
        <f>"Industrial heating  heating technology "&amp;$AJ$12&amp;" - Particle emission"</f>
        <v>Industrial heating  heating technology Other - Particle emission</v>
      </c>
      <c r="F300" s="219" t="s">
        <v>352</v>
      </c>
      <c r="G300" s="211"/>
      <c r="H300" s="214"/>
      <c r="I300" s="214"/>
      <c r="J300" s="214"/>
    </row>
    <row r="301" spans="2:10">
      <c r="B301" s="224" t="s">
        <v>1057</v>
      </c>
      <c r="D301" s="224" t="str">
        <f>AI20</f>
        <v>INDOWH</v>
      </c>
      <c r="E301" s="270" t="str">
        <f>"Industrial heating technology "&amp;$AJ$12&amp;" - Waste heat"</f>
        <v>Industrial heating technology Other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713A1C-4A00-4FAF-BC1C-CBDFE8F01AD6}">
          <x14:formula1>
            <xm:f>'Oil-fired boiler_NEW'!$T$4:$X$4</xm:f>
          </x14:formula1>
          <xm:sqref>E1</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5CB2D-FFD3-4070-83C7-083FC5BBB422}">
  <sheetPr>
    <tabColor rgb="FF00B050"/>
  </sheetPr>
  <dimension ref="A1:AP301"/>
  <sheetViews>
    <sheetView topLeftCell="AH6"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717</v>
      </c>
      <c r="N1" s="64"/>
      <c r="O1" s="64"/>
      <c r="P1" s="64"/>
      <c r="S1" s="727" t="s">
        <v>1004</v>
      </c>
      <c r="T1" s="776" t="s">
        <v>1003</v>
      </c>
      <c r="U1" s="775" t="s">
        <v>1053</v>
      </c>
      <c r="V1" s="776" t="s">
        <v>1054</v>
      </c>
      <c r="W1" s="780">
        <v>0.3</v>
      </c>
    </row>
    <row r="2" spans="2:42" ht="15" thickBot="1">
      <c r="E2" s="730" t="s">
        <v>696</v>
      </c>
      <c r="N2" s="731"/>
      <c r="O2" s="731"/>
      <c r="P2" s="731"/>
      <c r="S2" s="726">
        <f>MATCH($E$1,$AJ$22:$AJ$35)</f>
        <v>9</v>
      </c>
      <c r="T2" s="778">
        <f>MATCH($E$1,$AJ$22:$AJ$35)+1</f>
        <v>10</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FEMIS~IMDSOx</v>
      </c>
      <c r="Y6" s="280" t="str">
        <f>"FEMIS~"&amp;D297</f>
        <v>FEMIS~IMDNOx</v>
      </c>
      <c r="Z6" s="280" t="str">
        <f>"FEMIS~"&amp;D298</f>
        <v>FEMIS~IMDCH4</v>
      </c>
      <c r="AA6" s="280" t="str">
        <f>"FEMIS~"&amp;D299</f>
        <v>FEMIS~IMDNO2</v>
      </c>
      <c r="AB6" s="280" t="str">
        <f>"FEMIS~"&amp;D300</f>
        <v>FEMIS~IMDPM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INDIDPHELCN1</v>
      </c>
      <c r="E9" s="261" t="str">
        <f>"Industrial heating technology "&amp;$AJ$12&amp;" "&amp;RIGHT(H9,2)&amp;" - Heat pump utilizing waste heat - new 1"</f>
        <v>Industrial heating technology Mining PH - Heat pump utilizing waste heat - new 1</v>
      </c>
      <c r="F9" s="224" t="s">
        <v>1149</v>
      </c>
      <c r="G9" s="173" t="s">
        <v>499</v>
      </c>
      <c r="H9" s="174" t="str">
        <f>$AI$14</f>
        <v>IIDPH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INDIWH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IIDPH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INDIWH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Mining</v>
      </c>
    </row>
    <row r="13" spans="2:42">
      <c r="B13" s="357" t="s">
        <v>998</v>
      </c>
      <c r="D13" s="212"/>
      <c r="E13" s="212"/>
      <c r="F13" s="224" t="s">
        <v>1149</v>
      </c>
      <c r="G13" s="173" t="s">
        <v>499</v>
      </c>
      <c r="H13" s="174" t="str">
        <f>$AI$14</f>
        <v>IIDPH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IIDPH</v>
      </c>
      <c r="AJ13" s="224" t="str">
        <f>AP14</f>
        <v>Mining Demand Heat High Temp. over 150C</v>
      </c>
      <c r="AO13" s="224" t="s">
        <v>2093</v>
      </c>
      <c r="AP13" s="224" t="s">
        <v>1212</v>
      </c>
    </row>
    <row r="14" spans="2:42">
      <c r="B14" s="357" t="s">
        <v>998</v>
      </c>
      <c r="D14" s="212"/>
      <c r="E14" s="212"/>
      <c r="F14" s="224" t="s">
        <v>1149</v>
      </c>
      <c r="G14" s="173" t="str">
        <f>$AI$20</f>
        <v>INDIWH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IIDPH</v>
      </c>
      <c r="AJ14" s="224" t="str">
        <f>AP13</f>
        <v>Mining Demand Heat Medium Temp. up to 150C</v>
      </c>
      <c r="AO14" s="224" t="s">
        <v>2093</v>
      </c>
      <c r="AP14" s="224" t="s">
        <v>1213</v>
      </c>
    </row>
    <row r="15" spans="2:42">
      <c r="B15" s="357" t="s">
        <v>998</v>
      </c>
      <c r="D15" s="212" t="str">
        <f>"IND"&amp;RIGHT(H15,4)&amp;RIGHT(G15,3)&amp;"N"&amp;RIGHT(E15,1)</f>
        <v>INDIDSHELCN1</v>
      </c>
      <c r="E15" s="261" t="str">
        <f>"Industrial heating technology "&amp;$AJ$12&amp;" "&amp;RIGHT(H15,2)&amp;" - Heat pump utilizing waste heat - new 1"</f>
        <v>Industrial heating technology Mining SH - Heat pump utilizing waste heat - new 1</v>
      </c>
      <c r="F15" s="224" t="s">
        <v>1149</v>
      </c>
      <c r="G15" s="173" t="s">
        <v>499</v>
      </c>
      <c r="H15" s="174" t="str">
        <f>$AI$15</f>
        <v>IIDSH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IIDSH</v>
      </c>
      <c r="AJ15" s="224" t="str">
        <f>AP15</f>
        <v>Mining Demand Heat Room Heat</v>
      </c>
      <c r="AO15" s="224" t="s">
        <v>2094</v>
      </c>
      <c r="AP15" s="224" t="s">
        <v>1214</v>
      </c>
    </row>
    <row r="16" spans="2:42">
      <c r="B16" s="357" t="s">
        <v>998</v>
      </c>
      <c r="D16" s="212"/>
      <c r="E16" s="261"/>
      <c r="F16" s="224" t="s">
        <v>1149</v>
      </c>
      <c r="G16" s="173" t="str">
        <f>$AI$20</f>
        <v>INDIWH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IIDLA</v>
      </c>
      <c r="AJ16" s="224" t="str">
        <f t="shared" si="0"/>
        <v>Mining Demand Light</v>
      </c>
      <c r="AO16" s="224" t="s">
        <v>1215</v>
      </c>
      <c r="AP16" s="224" t="s">
        <v>1216</v>
      </c>
    </row>
    <row r="17" spans="2:42">
      <c r="B17" s="357" t="s">
        <v>998</v>
      </c>
      <c r="D17" s="212"/>
      <c r="E17" s="212"/>
      <c r="F17" s="224" t="s">
        <v>1149</v>
      </c>
      <c r="G17" s="173" t="s">
        <v>499</v>
      </c>
      <c r="H17" s="174" t="str">
        <f>$AI$15</f>
        <v>IIDSH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IIDEM</v>
      </c>
      <c r="AJ17" s="224" t="str">
        <f t="shared" si="0"/>
        <v>Mining Demand Electric Motors</v>
      </c>
      <c r="AO17" s="224" t="s">
        <v>1217</v>
      </c>
      <c r="AP17" s="224" t="s">
        <v>1218</v>
      </c>
    </row>
    <row r="18" spans="2:42">
      <c r="B18" s="357" t="s">
        <v>998</v>
      </c>
      <c r="D18" s="212"/>
      <c r="E18" s="212"/>
      <c r="F18" s="224" t="s">
        <v>1149</v>
      </c>
      <c r="G18" s="173" t="str">
        <f>$AI$20</f>
        <v>INDIWH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IIDTF</v>
      </c>
      <c r="AJ18" s="224" t="str">
        <f t="shared" si="0"/>
        <v>Mining Demand Haulage Tractors, Trucks, Fishing boats, Forest machines</v>
      </c>
      <c r="AO18" s="224" t="s">
        <v>1219</v>
      </c>
      <c r="AP18" s="224" t="s">
        <v>1220</v>
      </c>
    </row>
    <row r="19" spans="2:42">
      <c r="B19" s="357" t="s">
        <v>998</v>
      </c>
      <c r="D19" s="212"/>
      <c r="E19" s="212"/>
      <c r="F19" s="224" t="s">
        <v>1149</v>
      </c>
      <c r="G19" s="173" t="s">
        <v>499</v>
      </c>
      <c r="H19" s="174" t="str">
        <f>$AI$15</f>
        <v>IIDSH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IIDFL</v>
      </c>
      <c r="AJ19" s="224" t="str">
        <f t="shared" si="0"/>
        <v>Mining Demand Haulage Forklifts</v>
      </c>
      <c r="AO19" s="224" t="s">
        <v>1221</v>
      </c>
      <c r="AP19" s="224" t="s">
        <v>1222</v>
      </c>
    </row>
    <row r="20" spans="2:42">
      <c r="B20" s="357" t="s">
        <v>998</v>
      </c>
      <c r="D20" s="212"/>
      <c r="E20" s="212"/>
      <c r="F20" s="224" t="s">
        <v>1149</v>
      </c>
      <c r="G20" s="173" t="str">
        <f>$AI$20</f>
        <v>INDIWH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INDIWH</v>
      </c>
      <c r="AJ20" s="224" t="str">
        <f>$AJ$12&amp;" Industrial Waste Heat"</f>
        <v>Mining Industrial Waste Heat</v>
      </c>
    </row>
    <row r="21" spans="2:42">
      <c r="B21" s="357" t="s">
        <v>999</v>
      </c>
      <c r="D21" s="212" t="str">
        <f>"IND"&amp;RIGHT(H21,4)&amp;RIGHT(G21,3)&amp;"N"&amp;RIGHT(E21,1)</f>
        <v>INDIDPHELCN2</v>
      </c>
      <c r="E21" s="261" t="str">
        <f>"Industrial heating technology "&amp;$AJ$12&amp;" "&amp;RIGHT(H21,2)&amp;" - Heat driven heat pump utilizing waste heat - new 2"</f>
        <v>Industrial heating technology Mining PH - Heat driven heat pump utilizing waste heat - new 2</v>
      </c>
      <c r="F21" s="224" t="s">
        <v>1149</v>
      </c>
      <c r="G21" s="173" t="s">
        <v>499</v>
      </c>
      <c r="H21" s="174" t="str">
        <f>$AI$14</f>
        <v>IIDPH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2115</v>
      </c>
      <c r="AJ21" s="224" t="s">
        <v>2114</v>
      </c>
    </row>
    <row r="22" spans="2:42">
      <c r="B22" s="357" t="s">
        <v>999</v>
      </c>
      <c r="D22" s="212"/>
      <c r="E22" s="261"/>
      <c r="F22" s="224" t="s">
        <v>1149</v>
      </c>
      <c r="G22" s="173" t="str">
        <f>$AI$20</f>
        <v>INDIWH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IIDPH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INDIWH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IIDPH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INDIWH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INDIDSHELCN2</v>
      </c>
      <c r="E27" s="261" t="str">
        <f>"Industrial heating technology "&amp;$AJ$12&amp;" "&amp;RIGHT(H27,2)&amp;" - Heat driven heat pump utilizing waste heat - new 2"</f>
        <v>Industrial heating technology Mining SH - Heat driven heat pump utilizing waste heat - new 2</v>
      </c>
      <c r="F27" s="224" t="s">
        <v>1149</v>
      </c>
      <c r="G27" s="173" t="s">
        <v>499</v>
      </c>
      <c r="H27" s="174" t="str">
        <f>$AI$15</f>
        <v>IIDSH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INDIWH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IIDSH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INDIWH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IIDSH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INDIWH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INDIDPHELCN3</v>
      </c>
      <c r="E33" s="261" t="str">
        <f>"Industrial heating technology "&amp;$AJ$12&amp;" "&amp;RIGHT(H33,2)&amp;" - High Temp abs. Heat pump utilizing waste heat - new 3"</f>
        <v>Industrial heating technology Mining PH - High Temp abs. Heat pump utilizing waste heat - new 3</v>
      </c>
      <c r="F33" s="224" t="s">
        <v>1149</v>
      </c>
      <c r="G33" s="173" t="s">
        <v>499</v>
      </c>
      <c r="H33" s="174" t="str">
        <f>$AI$14</f>
        <v>IIDPH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INDIWH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IIDPH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INDIWH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IIDPH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INDIWH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INDIDSHELCN3</v>
      </c>
      <c r="E39" s="261" t="str">
        <f>"Industrial heating technology "&amp;$AJ$12&amp;" "&amp;RIGHT(H39,2)&amp;" - High Temp abs. Heat pump utilizing waste heat - new 3"</f>
        <v>Industrial heating technology Mining SH - High Temp abs. Heat pump utilizing waste heat - new 3</v>
      </c>
      <c r="F39" s="224" t="s">
        <v>1149</v>
      </c>
      <c r="G39" s="173" t="s">
        <v>499</v>
      </c>
      <c r="H39" s="174" t="str">
        <f>$AI$15</f>
        <v>IIDSH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INDIWH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IIDSH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INDIWH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IIDSH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INDIWH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INDIDPHELCN4</v>
      </c>
      <c r="E45" s="261" t="str">
        <f>"Industrial heating technology "&amp;$AJ$12&amp;" "&amp;RIGHT(H45,2)&amp;" - Booster Heat pump utilizing waste heat - new 4"</f>
        <v>Industrial heating technology Mining PH - Booster Heat pump utilizing waste heat - new 4</v>
      </c>
      <c r="F45" s="224" t="s">
        <v>1149</v>
      </c>
      <c r="G45" s="173" t="s">
        <v>499</v>
      </c>
      <c r="H45" s="174" t="str">
        <f>$AI$14</f>
        <v>IIDPH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INDIWH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IIDPH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INDIWH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IIDPH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INDIWH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INDIDSHELCN4</v>
      </c>
      <c r="E51" s="261" t="str">
        <f>"Industrial heating technology "&amp;$AJ$12&amp;" "&amp;RIGHT(H51,2)&amp;" - Booster Heat pump utilizing waste heat - new 4"</f>
        <v>Industrial heating technology Mining SH - Booster Heat pump utilizing waste heat - new 4</v>
      </c>
      <c r="F51" s="224" t="s">
        <v>1149</v>
      </c>
      <c r="G51" s="173" t="s">
        <v>499</v>
      </c>
      <c r="H51" s="174" t="str">
        <f>$AI$15</f>
        <v>IIDSH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INDIWH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IIDSH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INDIWH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IIDSH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INDIWH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INDIDPHELCN5</v>
      </c>
      <c r="E57" s="261" t="str">
        <f>"Industrial heating technology "&amp;$AJ$12&amp;" "&amp;RIGHT(H57,2)&amp;" - MVR utilizing waste heat - new 5"</f>
        <v>Industrial heating technology Mining PH - MVR utilizing waste heat - new 5</v>
      </c>
      <c r="F57" s="224" t="s">
        <v>1149</v>
      </c>
      <c r="G57" s="173" t="s">
        <v>499</v>
      </c>
      <c r="H57" s="174" t="str">
        <f>$AI$14</f>
        <v>IIDPH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INDIWH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IIDPH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INDIWH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IIDPH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INDIWH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INDIDPHWSTN1</v>
      </c>
      <c r="E63" s="261" t="str">
        <f>"Industrial heating technology "&amp;$AJ$12&amp;" "&amp;RIGHT(H63,2)&amp;" - Hotdisc - new 1"</f>
        <v>Industrial heating technology Mining PH - Hotdisc - new 1</v>
      </c>
      <c r="F63" s="224" t="s">
        <v>1149</v>
      </c>
      <c r="G63" s="832" t="s">
        <v>1005</v>
      </c>
      <c r="H63" s="174" t="str">
        <f>$AI$13</f>
        <v>IIDPH</v>
      </c>
      <c r="I63" s="173" t="str">
        <f t="shared" ref="I63:I126" si="22">$AI$20</f>
        <v>INDIWH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0.15</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INDIWH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INDIWH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INDIDPHELCN6</v>
      </c>
      <c r="E66" s="261" t="str">
        <f>"Industrial heating technology "&amp;$AJ$12&amp;" "&amp;RIGHT(H66,2)&amp;" - Dielectric heating - new 6"</f>
        <v>Industrial heating technology Mining PH - Dielectric heating - new 6</v>
      </c>
      <c r="F66" s="224" t="s">
        <v>1149</v>
      </c>
      <c r="G66" s="173" t="s">
        <v>499</v>
      </c>
      <c r="H66" s="174" t="str">
        <f>$AI$14</f>
        <v>IIDPH</v>
      </c>
      <c r="I66" s="173" t="str">
        <f t="shared" si="22"/>
        <v>INDIWH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INDIWH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INDIWH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INDIDPHELCN7</v>
      </c>
      <c r="E69" s="261" t="str">
        <f>"Industrial heating technology "&amp;$AJ$12&amp;" "&amp;RIGHT(H69,2)&amp;" - Infrared heating - new 7"</f>
        <v>Industrial heating technology Mining PH - Infrared heating - new 7</v>
      </c>
      <c r="F69" s="224" t="s">
        <v>1149</v>
      </c>
      <c r="G69" s="173" t="s">
        <v>499</v>
      </c>
      <c r="H69" s="174" t="str">
        <f>$AI$14</f>
        <v>IIDPH</v>
      </c>
      <c r="I69" s="173" t="str">
        <f t="shared" si="22"/>
        <v>INDIWH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INDIWH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INDIWH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INDIDPHELCN8</v>
      </c>
      <c r="E72" s="261" t="str">
        <f>"Industrial heating technology "&amp;$AJ$12&amp;" "&amp;RIGHT(H72,2)&amp;" - Electric boiler (Steam) - new 8"</f>
        <v>Industrial heating technology Mining PH - Electric boiler (Steam) - new 8</v>
      </c>
      <c r="F72" s="224" t="s">
        <v>1149</v>
      </c>
      <c r="G72" s="173" t="s">
        <v>499</v>
      </c>
      <c r="H72" s="174" t="str">
        <f>$AI$13</f>
        <v>IIDPH</v>
      </c>
      <c r="I72" s="174" t="str">
        <f t="shared" si="22"/>
        <v>INDIWH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INDIWH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INDIWH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INDIDPHELCN8</v>
      </c>
      <c r="E75" s="261" t="str">
        <f>"Industrial heating technology "&amp;$AJ$12&amp;" "&amp;RIGHT(H75,2)&amp;" - Electric boiler (Steam) - new 8"</f>
        <v>Industrial heating technology Mining PH - Electric boiler (Steam) - new 8</v>
      </c>
      <c r="F75" s="224" t="s">
        <v>1149</v>
      </c>
      <c r="G75" s="173" t="s">
        <v>499</v>
      </c>
      <c r="H75" s="174" t="str">
        <f>$AI$14</f>
        <v>IIDPH</v>
      </c>
      <c r="I75" s="174" t="str">
        <f t="shared" si="22"/>
        <v>INDIWH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INDIWH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INDIWH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INDIDSHELCN8</v>
      </c>
      <c r="E78" s="261" t="str">
        <f>"Industrial heating technology "&amp;$AJ$12&amp;" "&amp;RIGHT(H78,2)&amp;" - Electric boiler (Steam) - new 8"</f>
        <v>Industrial heating technology Mining SH - Electric boiler (Steam) - new 8</v>
      </c>
      <c r="F78" s="224" t="s">
        <v>1149</v>
      </c>
      <c r="G78" s="173" t="s">
        <v>499</v>
      </c>
      <c r="H78" s="174" t="str">
        <f>$AI$15</f>
        <v>IIDSH</v>
      </c>
      <c r="I78" s="174" t="str">
        <f t="shared" si="22"/>
        <v>INDIWH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INDIWH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INDIWH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INDIDPHELCN9</v>
      </c>
      <c r="E81" s="707" t="str">
        <f>"Industrial heating technology "&amp;$AJ$12&amp;" "&amp;RIGHT(H81,2)&amp;" - Electric boiler (Hot Water) - new 9"</f>
        <v>Industrial heating technology Mining PH - Electric boiler (Hot Water) - new 9</v>
      </c>
      <c r="F81" s="224" t="s">
        <v>1149</v>
      </c>
      <c r="G81" s="708" t="s">
        <v>499</v>
      </c>
      <c r="H81" s="708" t="str">
        <f>$AI$14</f>
        <v>IIDPH</v>
      </c>
      <c r="I81" s="708" t="str">
        <f t="shared" si="22"/>
        <v>INDIWH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INDIWH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INDIWH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INDIDSHELCN9</v>
      </c>
      <c r="E84" s="261" t="str">
        <f>"Industrial heating technology "&amp;$AJ$12&amp;" "&amp;RIGHT(H84,2)&amp;" - Electric boiler (Hot Water) - new 9"</f>
        <v>Industrial heating technology Mining SH - Electric boiler (Hot Water) - new 9</v>
      </c>
      <c r="F84" s="224" t="s">
        <v>1149</v>
      </c>
      <c r="G84" s="174" t="s">
        <v>499</v>
      </c>
      <c r="H84" s="174" t="str">
        <f>$AI$15</f>
        <v>IIDSH</v>
      </c>
      <c r="I84" s="174" t="str">
        <f t="shared" si="22"/>
        <v>INDIWH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INDIWH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INDIWH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INDIDPHWCHN1</v>
      </c>
      <c r="E87" s="261" t="str">
        <f>"Industrial heating technology "&amp;$AJ$12&amp;" "&amp;RIGHT(H87,2)&amp;" - Wood chip boiler (Steam) - new 1"</f>
        <v>Industrial heating technology Mining PH - Wood chip boiler (Steam) - new 1</v>
      </c>
      <c r="F87" s="224" t="s">
        <v>1149</v>
      </c>
      <c r="G87" s="173" t="s">
        <v>498</v>
      </c>
      <c r="H87" s="174" t="str">
        <f>$AI$13</f>
        <v>IIDPH</v>
      </c>
      <c r="I87" s="174" t="str">
        <f t="shared" si="22"/>
        <v>INDIWH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INDIWH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INDIWH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INDIDPHWCHN1</v>
      </c>
      <c r="E90" s="261" t="str">
        <f>"Industrial heating technology "&amp;$AJ$12&amp;" "&amp;RIGHT(H90,2)&amp;" - Wood chip boiler (Steam) - new 1"</f>
        <v>Industrial heating technology Mining PH - Wood chip boiler (Steam) - new 1</v>
      </c>
      <c r="F90" s="224" t="s">
        <v>1149</v>
      </c>
      <c r="G90" s="173" t="s">
        <v>498</v>
      </c>
      <c r="H90" s="174" t="str">
        <f>$AI$14</f>
        <v>IIDPH</v>
      </c>
      <c r="I90" s="174" t="str">
        <f t="shared" si="22"/>
        <v>INDIWH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INDIWH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INDIWH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INDIDSHWCHN1</v>
      </c>
      <c r="E93" s="261" t="str">
        <f>"Industrial heating technology "&amp;$AJ$12&amp;" "&amp;RIGHT(H93,2)&amp;" - Wood chip boiler (Steam) - new 1"</f>
        <v>Industrial heating technology Mining SH - Wood chip boiler (Steam) - new 1</v>
      </c>
      <c r="F93" s="224" t="s">
        <v>1149</v>
      </c>
      <c r="G93" s="173" t="s">
        <v>498</v>
      </c>
      <c r="H93" s="174" t="str">
        <f>$AI$15</f>
        <v>IIDSH</v>
      </c>
      <c r="I93" s="174" t="str">
        <f t="shared" si="22"/>
        <v>INDIWH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INDIWH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INDIWH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INDIDPHWCHN2</v>
      </c>
      <c r="E96" s="707" t="str">
        <f>"Industrial heating technology "&amp;$AJ$12&amp;" "&amp;RIGHT(H96,2)&amp;" - Wood chip boiler (Steam - condensing) - new 2"</f>
        <v>Industrial heating technology Mining PH - Wood chip boiler (Steam - condensing) - new 2</v>
      </c>
      <c r="F96" s="224" t="s">
        <v>1149</v>
      </c>
      <c r="G96" s="708" t="s">
        <v>498</v>
      </c>
      <c r="H96" s="708" t="str">
        <f>$AI$14</f>
        <v>IIDPH</v>
      </c>
      <c r="I96" s="708" t="str">
        <f t="shared" si="22"/>
        <v>INDIWH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INDIWH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INDIWH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INDIDSHWCHN2</v>
      </c>
      <c r="E99" s="261" t="str">
        <f>"Industrial heating technology "&amp;$AJ$12&amp;" "&amp;RIGHT(H99,2)&amp;" - Wood chip boiler (Steam - condensing) - new 2"</f>
        <v>Industrial heating technology Mining SH - Wood chip boiler (Steam - condensing) - new 2</v>
      </c>
      <c r="F99" s="224" t="s">
        <v>1149</v>
      </c>
      <c r="G99" s="174" t="s">
        <v>498</v>
      </c>
      <c r="H99" s="174" t="str">
        <f>$AI$15</f>
        <v>IIDSH</v>
      </c>
      <c r="I99" s="174" t="str">
        <f t="shared" si="22"/>
        <v>INDIWH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INDIWH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INDIWH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INDIDPHWCHN3</v>
      </c>
      <c r="E102" s="707" t="str">
        <f>"Industrial heating technology "&amp;$AJ$12&amp;" "&amp;RIGHT(H102,2)&amp;" - Wood chip boiler (Hot Water) - new 3"</f>
        <v>Industrial heating technology Mining PH - Wood chip boiler (Hot Water) - new 3</v>
      </c>
      <c r="F102" s="224" t="s">
        <v>1149</v>
      </c>
      <c r="G102" s="708" t="s">
        <v>498</v>
      </c>
      <c r="H102" s="708" t="str">
        <f>$AI$14</f>
        <v>IIDPH</v>
      </c>
      <c r="I102" s="708" t="str">
        <f t="shared" si="22"/>
        <v>INDIWH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INDIWH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INDIWH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INDIDSHWCHN3</v>
      </c>
      <c r="E105" s="261" t="str">
        <f>"Industrial heating technology "&amp;$AJ$12&amp;" "&amp;RIGHT(H105,2)&amp;" - Wood chip boiler (Hot Water) - new 3"</f>
        <v>Industrial heating technology Mining SH - Wood chip boiler (Hot Water) - new 3</v>
      </c>
      <c r="F105" s="224" t="s">
        <v>1149</v>
      </c>
      <c r="G105" s="174" t="s">
        <v>498</v>
      </c>
      <c r="H105" s="174" t="str">
        <f>$AI$15</f>
        <v>IIDSH</v>
      </c>
      <c r="I105" s="174" t="str">
        <f t="shared" si="22"/>
        <v>INDIWH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INDIWH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INDIWH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INDIDPHWCHN4</v>
      </c>
      <c r="E108" s="707" t="str">
        <f>"Industrial heating technology "&amp;$AJ$12&amp;" "&amp;RIGHT(H108,2)&amp;" - Wood chip boiler (Hot Water - condensing) - new 4"</f>
        <v>Industrial heating technology Mining PH - Wood chip boiler (Hot Water - condensing) - new 4</v>
      </c>
      <c r="F108" s="224" t="s">
        <v>1149</v>
      </c>
      <c r="G108" s="708" t="s">
        <v>498</v>
      </c>
      <c r="H108" s="708" t="str">
        <f>$AI$14</f>
        <v>IIDPH</v>
      </c>
      <c r="I108" s="708" t="str">
        <f t="shared" si="22"/>
        <v>INDIWH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INDIWH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INDIWH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INDIDSHWCHN4</v>
      </c>
      <c r="E111" s="261" t="str">
        <f>"Industrial heating technology "&amp;$AJ$12&amp;" "&amp;RIGHT(H111,2)&amp;" - Wood chip boiler (Hot Water- condensing) - new 4"</f>
        <v>Industrial heating technology Mining SH - Wood chip boiler (Hot Water- condensing) - new 4</v>
      </c>
      <c r="F111" s="224" t="s">
        <v>1149</v>
      </c>
      <c r="G111" s="174" t="s">
        <v>498</v>
      </c>
      <c r="H111" s="174" t="str">
        <f>$AI$15</f>
        <v>IIDSH</v>
      </c>
      <c r="I111" s="174" t="str">
        <f t="shared" si="22"/>
        <v>INDIWH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INDIWH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INDIWH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INDIDPHELCN10</v>
      </c>
      <c r="E114" s="261" t="str">
        <f>"Industrial heating technology "&amp;$AJ$12&amp;" "&amp;RIGHT(H114,2)&amp;" - Direct electric heating - new 10"</f>
        <v>Industrial heating technology Mining PH - Direct electric heating - new 10</v>
      </c>
      <c r="F114" s="224" t="s">
        <v>1149</v>
      </c>
      <c r="G114" s="173" t="s">
        <v>499</v>
      </c>
      <c r="H114" s="174" t="str">
        <f>$AI$13</f>
        <v>IIDPH</v>
      </c>
      <c r="I114" s="174" t="str">
        <f t="shared" si="22"/>
        <v>INDIWH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INDIWH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INDIWH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INDIDPHELCN10</v>
      </c>
      <c r="E117" s="261" t="str">
        <f>"Industrial heating technology "&amp;$AJ$12&amp;" "&amp;RIGHT(H117,2)&amp;" - Direct electric heating - new 10"</f>
        <v>Industrial heating technology Mining PH - Direct electric heating - new 10</v>
      </c>
      <c r="F117" s="224" t="s">
        <v>1149</v>
      </c>
      <c r="G117" s="173" t="s">
        <v>499</v>
      </c>
      <c r="H117" s="174" t="str">
        <f>$AI$14</f>
        <v>IIDPH</v>
      </c>
      <c r="I117" s="174" t="str">
        <f t="shared" si="22"/>
        <v>INDIWH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INDIWH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INDIWH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INDIDPHDSLN1</v>
      </c>
      <c r="E120" s="261" t="str">
        <f>"Industrial heating technology "&amp;$AJ$12&amp;" "&amp;RIGHT(H120,2)&amp;" - Oil boiler (Steam) - new 1"</f>
        <v>Industrial heating technology Mining PH - Oil boiler (Steam) - new 1</v>
      </c>
      <c r="F120" s="224" t="s">
        <v>1149</v>
      </c>
      <c r="G120" s="173" t="s">
        <v>2081</v>
      </c>
      <c r="H120" s="174" t="str">
        <f>$AI$13</f>
        <v>IIDPH</v>
      </c>
      <c r="I120" s="174" t="str">
        <f t="shared" si="22"/>
        <v>INDIWH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INDIWH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INDIWH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INDIDPHDSLN1</v>
      </c>
      <c r="E123" s="261" t="str">
        <f>"Industrial heating technology "&amp;$AJ$12&amp;" "&amp;RIGHT(H123,2)&amp;" - Oil boiler (Steam) - new 1"</f>
        <v>Industrial heating technology Mining PH - Oil boiler (Steam) - new 1</v>
      </c>
      <c r="F123" s="224" t="s">
        <v>1149</v>
      </c>
      <c r="G123" s="173" t="s">
        <v>2081</v>
      </c>
      <c r="H123" s="174" t="str">
        <f>$AI$14</f>
        <v>IIDPH</v>
      </c>
      <c r="I123" s="174" t="str">
        <f t="shared" si="22"/>
        <v>INDIWH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INDIWH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INDIWH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INDIDSHDSLN1</v>
      </c>
      <c r="E126" s="261" t="str">
        <f>"Industrial heating technology "&amp;$AJ$12&amp;" "&amp;RIGHT(H126,2)&amp;" - Oil boiler (Steam) - new 1"</f>
        <v>Industrial heating technology Mining SH - Oil boiler (Steam) - new 1</v>
      </c>
      <c r="F126" s="224" t="s">
        <v>1149</v>
      </c>
      <c r="G126" s="173" t="s">
        <v>2081</v>
      </c>
      <c r="H126" s="174" t="str">
        <f>$AI$15</f>
        <v>IIDSH</v>
      </c>
      <c r="I126" s="174" t="str">
        <f t="shared" si="22"/>
        <v>INDIWH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INDIWH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INDIWH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INDIDPHDSLN2</v>
      </c>
      <c r="E129" s="707" t="str">
        <f>"Industrial heating technology "&amp;$AJ$12&amp;" "&amp;RIGHT(H129,2)&amp;" - Oil boiler (Steam - condensing) - new 2"</f>
        <v>Industrial heating technology Mining PH - Oil boiler (Steam - condensing) - new 2</v>
      </c>
      <c r="F129" s="224" t="s">
        <v>1149</v>
      </c>
      <c r="G129" s="173" t="s">
        <v>2081</v>
      </c>
      <c r="H129" s="708" t="str">
        <f>$AI$14</f>
        <v>IIDPH</v>
      </c>
      <c r="I129" s="708" t="str">
        <f t="shared" si="143"/>
        <v>INDIWH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INDIWH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INDIWH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INDIDSHDSLN2</v>
      </c>
      <c r="E132" s="261" t="str">
        <f>"Industrial heating technology "&amp;$AJ$12&amp;" "&amp;RIGHT(H132,2)&amp;" - Oil boiler (Steam - condensing) - new 2"</f>
        <v>Industrial heating technology Mining SH - Oil boiler (Steam - condensing) - new 2</v>
      </c>
      <c r="F132" s="224" t="s">
        <v>1149</v>
      </c>
      <c r="G132" s="173" t="s">
        <v>2081</v>
      </c>
      <c r="H132" s="174" t="str">
        <f>$AI$15</f>
        <v>IIDSH</v>
      </c>
      <c r="I132" s="174" t="str">
        <f t="shared" si="143"/>
        <v>INDIWH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INDIWH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INDIWH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INDIDPHGASN1</v>
      </c>
      <c r="E135" s="261" t="str">
        <f>"Industrial heating technology "&amp;$AJ$12&amp;" "&amp;RIGHT(H135,2)&amp;" - Gas boiler (Steam) - new 1"</f>
        <v>Industrial heating technology Mining PH - Gas boiler (Steam) - new 1</v>
      </c>
      <c r="F135" s="224" t="s">
        <v>1149</v>
      </c>
      <c r="G135" s="173" t="s">
        <v>2080</v>
      </c>
      <c r="H135" s="174" t="str">
        <f>$AI$13</f>
        <v>IIDPH</v>
      </c>
      <c r="I135" s="174" t="str">
        <f t="shared" si="143"/>
        <v>INDIWH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INDIWH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INDIWH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INDIDPHGASN1</v>
      </c>
      <c r="E138" s="261" t="str">
        <f>"Industrial heating technology "&amp;$AJ$12&amp;" "&amp;RIGHT(H138,2)&amp;" - Gas boiler (Steam) - new 1"</f>
        <v>Industrial heating technology Mining PH - Gas boiler (Steam) - new 1</v>
      </c>
      <c r="F138" s="224" t="s">
        <v>1149</v>
      </c>
      <c r="G138" s="173" t="s">
        <v>2080</v>
      </c>
      <c r="H138" s="174" t="str">
        <f>$AI$14</f>
        <v>IIDPH</v>
      </c>
      <c r="I138" s="174" t="str">
        <f t="shared" si="143"/>
        <v>INDIWH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INDIWH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INDIWH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INDIDSHGASN1</v>
      </c>
      <c r="E141" s="261" t="str">
        <f>"Industrial heating technology "&amp;$AJ$12&amp;" "&amp;RIGHT(H141,2)&amp;" - Gas boiler (Steam) - new 1"</f>
        <v>Industrial heating technology Mining SH - Gas boiler (Steam) - new 1</v>
      </c>
      <c r="F141" s="224" t="s">
        <v>1149</v>
      </c>
      <c r="G141" s="173" t="s">
        <v>2080</v>
      </c>
      <c r="H141" s="174" t="str">
        <f>$AI$15</f>
        <v>IIDSH</v>
      </c>
      <c r="I141" s="174" t="str">
        <f t="shared" si="143"/>
        <v>INDIWH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INDIWH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INDIWH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INDIDPHGASN2</v>
      </c>
      <c r="E144" s="707" t="str">
        <f>"Industrial heating technology "&amp;$AJ$12&amp;" "&amp;RIGHT(H144,2)&amp;" - Gas boiler (Steam - condensing) - new 2"</f>
        <v>Industrial heating technology Mining PH - Gas boiler (Steam - condensing) - new 2</v>
      </c>
      <c r="F144" s="224" t="s">
        <v>1149</v>
      </c>
      <c r="G144" s="173" t="s">
        <v>2080</v>
      </c>
      <c r="H144" s="708" t="str">
        <f>$AI$14</f>
        <v>IIDPH</v>
      </c>
      <c r="I144" s="708" t="str">
        <f t="shared" si="143"/>
        <v>INDIWH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INDIWH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INDIWH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INDIDSHGASN2</v>
      </c>
      <c r="E147" s="261" t="str">
        <f>"Industrial heating technology "&amp;$AJ$12&amp;" "&amp;RIGHT(H147,2)&amp;" - Gas boiler (Steam - condensing) - new 2"</f>
        <v>Industrial heating technology Mining SH - Gas boiler (Steam - condensing) - new 2</v>
      </c>
      <c r="F147" s="224" t="s">
        <v>1149</v>
      </c>
      <c r="G147" s="173" t="s">
        <v>2080</v>
      </c>
      <c r="H147" s="174" t="str">
        <f>$AI$15</f>
        <v>IIDSH</v>
      </c>
      <c r="I147" s="174" t="str">
        <f t="shared" si="143"/>
        <v>INDIWH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INDIWH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INDIWH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INDIDPHGASN3</v>
      </c>
      <c r="E150" s="707" t="str">
        <f>"Industrial heating technology "&amp;$AJ$12&amp;" "&amp;RIGHT(H150,2)&amp;" - Gas boiler (Hot Water) - new 3"</f>
        <v>Industrial heating technology Mining PH - Gas boiler (Hot Water) - new 3</v>
      </c>
      <c r="F150" s="224" t="s">
        <v>1149</v>
      </c>
      <c r="G150" s="173" t="s">
        <v>2080</v>
      </c>
      <c r="H150" s="708" t="str">
        <f>$AI$14</f>
        <v>IIDPH</v>
      </c>
      <c r="I150" s="708" t="str">
        <f t="shared" si="143"/>
        <v>INDIWH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INDIWH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INDIWH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INDIDSHGASN3</v>
      </c>
      <c r="E153" s="261" t="str">
        <f>"Industrial heating technology "&amp;$AJ$12&amp;" "&amp;RIGHT(H153,2)&amp;" - Gas boiler (Hot Water) - new 3"</f>
        <v>Industrial heating technology Mining SH - Gas boiler (Hot Water) - new 3</v>
      </c>
      <c r="F153" s="224" t="s">
        <v>1149</v>
      </c>
      <c r="G153" s="173" t="s">
        <v>2080</v>
      </c>
      <c r="H153" s="174" t="str">
        <f>$AI$15</f>
        <v>IIDSH</v>
      </c>
      <c r="I153" s="174" t="str">
        <f t="shared" si="143"/>
        <v>INDIWH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INDIWH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INDIWH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INDIDPHGASN4</v>
      </c>
      <c r="E156" s="707" t="str">
        <f>"Industrial heating technology "&amp;$AJ$12&amp;" "&amp;RIGHT(H156,2)&amp;" - Gas boiler (Hot Water - condensing) - new 4"</f>
        <v>Industrial heating technology Mining PH - Gas boiler (Hot Water - condensing) - new 4</v>
      </c>
      <c r="F156" s="224" t="s">
        <v>1149</v>
      </c>
      <c r="G156" s="173" t="s">
        <v>2080</v>
      </c>
      <c r="H156" s="708" t="str">
        <f>$AI$14</f>
        <v>IIDPH</v>
      </c>
      <c r="I156" s="708" t="str">
        <f t="shared" si="143"/>
        <v>INDIWH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INDIWH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INDIWH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INDIDSHGASN4</v>
      </c>
      <c r="E159" s="261" t="str">
        <f>"Industrial heating technology "&amp;$AJ$12&amp;" "&amp;RIGHT(H159,2)&amp;" - Gas boiler (Hot Water- condensing) - new 4"</f>
        <v>Industrial heating technology Mining SH - Gas boiler (Hot Water- condensing) - new 4</v>
      </c>
      <c r="F159" s="224" t="s">
        <v>1149</v>
      </c>
      <c r="G159" s="173" t="s">
        <v>2080</v>
      </c>
      <c r="H159" s="174" t="str">
        <f>$AI$15</f>
        <v>IIDSH</v>
      </c>
      <c r="I159" s="174" t="str">
        <f t="shared" si="143"/>
        <v>INDIWH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INDIWH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INDIWH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INDIDPHGASN5</v>
      </c>
      <c r="E162" s="707" t="str">
        <f>"Industrial heating technology "&amp;$AJ$12&amp;" "&amp;RIGHT(H162,2)&amp;" - Gas boiler (Direct firing) - new 5"</f>
        <v>Industrial heating technology Mining PH - Gas boiler (Direct firing) - new 5</v>
      </c>
      <c r="F162" s="224" t="s">
        <v>1149</v>
      </c>
      <c r="G162" s="173" t="s">
        <v>2080</v>
      </c>
      <c r="H162" s="174" t="str">
        <f>$AI$13</f>
        <v>IIDPH</v>
      </c>
      <c r="I162" s="174" t="str">
        <f t="shared" si="143"/>
        <v>INDIWH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INDIWH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INDIWH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INDIDPHGASN5</v>
      </c>
      <c r="E165" s="261" t="str">
        <f>"Industrial heating technology "&amp;$AJ$12&amp;" "&amp;RIGHT(H165,2)&amp;" - Gas boiler (Direct firing) - new 5"</f>
        <v>Industrial heating technology Mining PH - Gas boiler (Direct firing) - new 5</v>
      </c>
      <c r="F165" s="224" t="s">
        <v>1149</v>
      </c>
      <c r="G165" s="173" t="s">
        <v>2080</v>
      </c>
      <c r="H165" s="174" t="str">
        <f>$AI$14</f>
        <v>IIDPH</v>
      </c>
      <c r="I165" s="721" t="str">
        <f t="shared" si="143"/>
        <v>INDIWH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INDIWH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INDIWH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INDIDPHCOAN1</v>
      </c>
      <c r="E168" s="261" t="str">
        <f>"Industrial heating technology "&amp;$AJ$12&amp;" "&amp;RIGHT(H168,2)&amp;" - Coal boiler (Steam) - new 1"</f>
        <v>Industrial heating technology Mining PH - Coal boiler (Steam) - new 1</v>
      </c>
      <c r="F168" s="224" t="s">
        <v>1149</v>
      </c>
      <c r="G168" s="55" t="s">
        <v>617</v>
      </c>
      <c r="H168" s="174" t="str">
        <f>$AI$13</f>
        <v>IIDPH</v>
      </c>
      <c r="I168" s="174" t="str">
        <f t="shared" si="143"/>
        <v>INDIWH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INDIWH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INDIWH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INDIDPHCOAN1</v>
      </c>
      <c r="E171" s="261" t="str">
        <f>"Industrial heating technology "&amp;$AJ$12&amp;" "&amp;RIGHT(H171,2)&amp;" - Coal boiler (Steam) - new 1"</f>
        <v>Industrial heating technology Mining PH - Coal boiler (Steam) - new 1</v>
      </c>
      <c r="F171" s="224" t="s">
        <v>1149</v>
      </c>
      <c r="G171" s="55" t="s">
        <v>617</v>
      </c>
      <c r="H171" s="174" t="str">
        <f>$AI$14</f>
        <v>IIDPH</v>
      </c>
      <c r="I171" s="174" t="str">
        <f t="shared" si="143"/>
        <v>INDIWH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INDIWH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INDIWH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INDIDSHCOAN1</v>
      </c>
      <c r="E174" s="261" t="str">
        <f>"Industrial heating technology "&amp;$AJ$12&amp;" "&amp;RIGHT(H174,2)&amp;" - Coal boiler (Steam) - new 1"</f>
        <v>Industrial heating technology Mining SH - Coal boiler (Steam) - new 1</v>
      </c>
      <c r="F174" s="224" t="s">
        <v>1149</v>
      </c>
      <c r="G174" s="55" t="s">
        <v>617</v>
      </c>
      <c r="H174" s="174" t="str">
        <f>$AI$15</f>
        <v>IIDSH</v>
      </c>
      <c r="I174" s="174" t="str">
        <f t="shared" si="143"/>
        <v>INDIWH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INDIWH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INDIWH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INDIDPHCOAN2</v>
      </c>
      <c r="E177" s="261" t="str">
        <f>"Industrial heating technology "&amp;$AJ$12&amp;" "&amp;RIGHT(H177,2)&amp;" - Coal boiler (Hot Water) - new 2"</f>
        <v>Industrial heating technology Mining PH - Coal boiler (Hot Water) - new 2</v>
      </c>
      <c r="F177" s="224" t="s">
        <v>1149</v>
      </c>
      <c r="G177" s="55" t="s">
        <v>617</v>
      </c>
      <c r="H177" s="174" t="str">
        <f>$AI$14</f>
        <v>IIDPH</v>
      </c>
      <c r="I177" s="174" t="str">
        <f t="shared" si="143"/>
        <v>INDIWH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INDIWH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INDIWH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INDIDSHCOAN2</v>
      </c>
      <c r="E180" s="261" t="str">
        <f>"Industrial heating technology "&amp;$AJ$12&amp;" "&amp;RIGHT(H180,2)&amp;" - Coal boiler (Hot Water) - new 2"</f>
        <v>Industrial heating technology Mining SH - Coal boiler (Hot Water) - new 2</v>
      </c>
      <c r="F180" s="224" t="s">
        <v>1149</v>
      </c>
      <c r="G180" s="55" t="s">
        <v>617</v>
      </c>
      <c r="H180" s="174" t="str">
        <f>$AI$15</f>
        <v>IIDSH</v>
      </c>
      <c r="I180" s="174" t="str">
        <f t="shared" si="143"/>
        <v>INDIWH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INDIWH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INDIWH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INDIDSHSOLN1</v>
      </c>
      <c r="E183" s="261" t="str">
        <f>"Industrial heating technology "&amp;$AJ$12&amp;" "&amp;RIGHT(H183,2)&amp;" - Solar - new 1"</f>
        <v>Industrial heating technology Mining SH - Solar - new 1</v>
      </c>
      <c r="F183" s="224" t="s">
        <v>1149</v>
      </c>
      <c r="G183" s="55" t="s">
        <v>500</v>
      </c>
      <c r="H183" s="174" t="str">
        <f>$AI$15</f>
        <v>IIDSH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INDIDSHHCEN1</v>
      </c>
      <c r="E187" s="224" t="str">
        <f>"Industrial heating technology "&amp;$AJ$12&amp;" "&amp;RIGHT(H187,2)&amp;" - central district heating - within DH area - new 1"</f>
        <v>Industrial heating technology Mining SH - central district heating - within DH area - new 1</v>
      </c>
      <c r="F187" s="224" t="s">
        <v>1149</v>
      </c>
      <c r="G187" s="225" t="s">
        <v>501</v>
      </c>
      <c r="H187" s="225" t="str">
        <f>AI15</f>
        <v>IIDSH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INDIDPHHCEN1</v>
      </c>
      <c r="E188" s="224" t="str">
        <f>"Industrial heating technology "&amp;$AJ$12&amp;" "&amp;RIGHT(H188,2)&amp;" - central district heating - within DH area - new 1"</f>
        <v>Industrial heating technology Mining PH - central district heating - within DH area - new 1</v>
      </c>
      <c r="F188" s="224" t="s">
        <v>1149</v>
      </c>
      <c r="G188" s="225" t="s">
        <v>501</v>
      </c>
      <c r="H188" s="281" t="str">
        <f>AI14</f>
        <v>IIDPH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INDIDSHHSEN1</v>
      </c>
      <c r="E189" s="224" t="str">
        <f>"Industrial heating technology "&amp;$AJ$12&amp;" "&amp;RIGHT(H189,2)&amp;" - central district heating - within DH area - new 1"</f>
        <v>Industrial heating technology Mining SH - central district heating - within DH area - new 1</v>
      </c>
      <c r="F189" s="224" t="s">
        <v>1149</v>
      </c>
      <c r="G189" s="225" t="s">
        <v>2125</v>
      </c>
      <c r="H189" s="225" t="str">
        <f>H187</f>
        <v>IIDSH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INDIDPHHSEN1</v>
      </c>
      <c r="E190" s="224" t="str">
        <f>"Industrial heating technology "&amp;$AJ$12&amp;" "&amp;RIGHT(H190,2)&amp;" - central district heating - within DH area - new 1"</f>
        <v>Industrial heating technology Mining PH - central district heating - within DH area - new 1</v>
      </c>
      <c r="F190" s="224" t="s">
        <v>1149</v>
      </c>
      <c r="G190" s="225" t="s">
        <v>2125</v>
      </c>
      <c r="H190" s="225" t="str">
        <f>H188</f>
        <v>IIDPH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INDIDSHHDEN1</v>
      </c>
      <c r="E191" s="224" t="str">
        <f>"Industrial heating technology "&amp;$AJ$12&amp;" "&amp;RIGHT(H191,2)&amp;" - decentral district heating - within DH area - new 1"</f>
        <v>Industrial heating technology Mining SH - decentral district heating - within DH area - new 1</v>
      </c>
      <c r="F191" s="224" t="s">
        <v>1149</v>
      </c>
      <c r="G191" s="259" t="s">
        <v>502</v>
      </c>
      <c r="H191" s="265" t="str">
        <f>AI15</f>
        <v>IIDSH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INDIDPHHDEN1</v>
      </c>
      <c r="E192" s="224" t="str">
        <f>"Industrial heating technology "&amp;$AJ$12&amp;" "&amp;RIGHT(H192,2)&amp;" - decentral district heating - within DH area - new 1"</f>
        <v>Industrial heating technology Mining PH - decentral district heating - within DH area - new 1</v>
      </c>
      <c r="F192" s="224" t="s">
        <v>1149</v>
      </c>
      <c r="G192" s="259" t="s">
        <v>502</v>
      </c>
      <c r="H192" s="225" t="str">
        <f>AI14</f>
        <v>IIDPH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INDIDLAELCN1</v>
      </c>
      <c r="E194" s="224" t="str">
        <f>"Industry "&amp;$AJ$12&amp;" "&amp;RIGHT(H194,2)&amp;" Electricity Light Appliance - New 1"</f>
        <v>Industry Mining LA Electricity Light Appliance - New 1</v>
      </c>
      <c r="F194" s="224" t="s">
        <v>1149</v>
      </c>
      <c r="G194" s="225" t="s">
        <v>499</v>
      </c>
      <c r="H194" s="225" t="str">
        <f>AI16</f>
        <v>IIDLA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INDIDEMELCN1</v>
      </c>
      <c r="E198" s="224" t="str">
        <f>"Industry "&amp;$AJ$12&amp;" "&amp;RIGHT(H198,2)&amp;" Electricity Motors - New 1"</f>
        <v>Industry Mining EM Electricity Motors - New 1</v>
      </c>
      <c r="F198" s="224" t="s">
        <v>1149</v>
      </c>
      <c r="G198" s="225" t="s">
        <v>499</v>
      </c>
      <c r="H198" s="225" t="str">
        <f>AI17</f>
        <v>IIDEM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INDIDTFDSLN1</v>
      </c>
      <c r="E202" s="224" t="str">
        <f>"Industry "&amp;$AJ$12&amp;" "&amp;RIGHT(H202,2)&amp;" Tractors, Trucks, Fishing boats - New 1"</f>
        <v>Industry Mining TF Tractors, Trucks, Fishing boats - New 1</v>
      </c>
      <c r="F202" s="224" t="s">
        <v>1149</v>
      </c>
      <c r="G202" s="173" t="s">
        <v>2081</v>
      </c>
      <c r="H202" s="174" t="str">
        <f>$AI$18</f>
        <v>IIDTF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INDIDTFH2GN2</v>
      </c>
      <c r="E206" s="224" t="str">
        <f>"Industry "&amp;$AJ$12&amp;" "&amp;RIGHT(H206,2)&amp;" Tractors, Trucks, Fishing boats - New 2"</f>
        <v>Industry Mining TF Tractors, Trucks, Fishing boats - New 2</v>
      </c>
      <c r="F206" s="224" t="s">
        <v>1149</v>
      </c>
      <c r="G206" s="55" t="s">
        <v>2077</v>
      </c>
      <c r="H206" s="174" t="str">
        <f>$AI$18</f>
        <v>IIDTF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INDIDTFELCN3</v>
      </c>
      <c r="E210" s="224" t="str">
        <f>"Industry "&amp;$AJ$12&amp;" "&amp;RIGHT(H210,2)&amp;" Tractors, Trucks, Fishing boats - New 3"</f>
        <v>Industry Mining TF Tractors, Trucks, Fishing boats - New 3</v>
      </c>
      <c r="F210" s="224" t="s">
        <v>1149</v>
      </c>
      <c r="G210" s="55" t="s">
        <v>499</v>
      </c>
      <c r="H210" s="174" t="str">
        <f>$AI$18</f>
        <v>IIDTF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INDIDFLSYNN1</v>
      </c>
      <c r="E214" s="224" t="str">
        <f>"Industry "&amp;$AJ$12&amp;" "&amp;RIGHT(H202,2)&amp;" Forklifts - New 1"</f>
        <v>Industry Mining TF Forklifts - New 1</v>
      </c>
      <c r="F214" s="224" t="s">
        <v>1149</v>
      </c>
      <c r="G214" s="173" t="s">
        <v>2082</v>
      </c>
      <c r="H214" s="224" t="str">
        <f>AI19</f>
        <v>IIDFL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INDIDCOELCN1</v>
      </c>
      <c r="E218" s="224" t="str">
        <f>"Industry "&amp;$AJ$12&amp;" "&amp;RIGHT(H218,2)&amp;" Cooling - New 1"</f>
        <v>Industry Mining CO Cooling - New 1</v>
      </c>
      <c r="F218" s="224" t="s">
        <v>1149</v>
      </c>
      <c r="G218" s="173" t="s">
        <v>499</v>
      </c>
      <c r="H218" s="224" t="str">
        <f>AI21</f>
        <v>IIDCO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INDIDPHELCN1</v>
      </c>
      <c r="E229" s="212" t="str">
        <f t="shared" ref="E229:E260" si="266">VLOOKUP(D229,$D$9:$E$222,2,FALSE)</f>
        <v>Industrial heating technology Mining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INDIDSHELCN1</v>
      </c>
      <c r="E230" s="212" t="str">
        <f t="shared" ca="1" si="266"/>
        <v>Industrial heating technology Mining SH - Heat pump utilizing waste heat - new 1</v>
      </c>
      <c r="F230" s="262" t="s">
        <v>450</v>
      </c>
      <c r="G230" s="262" t="s">
        <v>449</v>
      </c>
      <c r="H230" s="263" t="s">
        <v>620</v>
      </c>
      <c r="I230" s="301"/>
      <c r="J230" s="264" t="s">
        <v>469</v>
      </c>
    </row>
    <row r="231" spans="1:10">
      <c r="A231" s="169"/>
      <c r="D231" s="212" t="str">
        <f t="shared" ca="1" si="267"/>
        <v>INDIDPHELCN2</v>
      </c>
      <c r="E231" s="212" t="str">
        <f t="shared" ca="1" si="266"/>
        <v>Industrial heating technology Mining PH - Heat driven heat pump utilizing waste heat - new 2</v>
      </c>
      <c r="F231" s="211" t="s">
        <v>450</v>
      </c>
      <c r="G231" s="211" t="s">
        <v>449</v>
      </c>
      <c r="H231" s="263" t="s">
        <v>620</v>
      </c>
      <c r="I231" s="208"/>
      <c r="J231" s="264" t="s">
        <v>469</v>
      </c>
    </row>
    <row r="232" spans="1:10">
      <c r="A232" s="169"/>
      <c r="B232" s="211"/>
      <c r="C232" s="211"/>
      <c r="D232" s="212" t="str">
        <f t="shared" ca="1" si="267"/>
        <v>INDIDSHELCN2</v>
      </c>
      <c r="E232" s="212" t="str">
        <f t="shared" ca="1" si="266"/>
        <v>Industrial heating technology Mining SH - Heat driven heat pump utilizing waste heat - new 2</v>
      </c>
      <c r="F232" s="262" t="s">
        <v>450</v>
      </c>
      <c r="G232" s="262" t="s">
        <v>449</v>
      </c>
      <c r="H232" s="263" t="s">
        <v>620</v>
      </c>
      <c r="I232" s="264"/>
      <c r="J232" s="264" t="s">
        <v>469</v>
      </c>
    </row>
    <row r="233" spans="1:10">
      <c r="A233" s="169"/>
      <c r="B233" s="211"/>
      <c r="C233" s="211"/>
      <c r="D233" s="212" t="str">
        <f t="shared" ca="1" si="267"/>
        <v>INDIDPHELCN3</v>
      </c>
      <c r="E233" s="212" t="str">
        <f t="shared" ca="1" si="266"/>
        <v>Industrial heating technology Mining PH - High Temp abs. Heat pump utilizing waste heat - new 3</v>
      </c>
      <c r="F233" s="262" t="s">
        <v>450</v>
      </c>
      <c r="G233" s="262" t="s">
        <v>449</v>
      </c>
      <c r="H233" s="263" t="s">
        <v>620</v>
      </c>
      <c r="I233" s="264"/>
      <c r="J233" s="264" t="s">
        <v>469</v>
      </c>
    </row>
    <row r="234" spans="1:10">
      <c r="A234" s="169"/>
      <c r="B234" s="211"/>
      <c r="C234" s="211"/>
      <c r="D234" s="212" t="str">
        <f t="shared" ca="1" si="267"/>
        <v>INDIDSHELCN3</v>
      </c>
      <c r="E234" s="212" t="str">
        <f t="shared" ca="1" si="266"/>
        <v>Industrial heating technology Mining SH - High Temp abs. Heat pump utilizing waste heat - new 3</v>
      </c>
      <c r="F234" s="262" t="s">
        <v>450</v>
      </c>
      <c r="G234" s="262" t="s">
        <v>449</v>
      </c>
      <c r="H234" s="263" t="s">
        <v>620</v>
      </c>
      <c r="I234" s="264"/>
      <c r="J234" s="264" t="s">
        <v>469</v>
      </c>
    </row>
    <row r="235" spans="1:10">
      <c r="A235" s="169"/>
      <c r="B235" s="211"/>
      <c r="C235" s="211"/>
      <c r="D235" s="212" t="str">
        <f t="shared" ca="1" si="267"/>
        <v>INDIDPHELCN4</v>
      </c>
      <c r="E235" s="212" t="str">
        <f t="shared" ca="1" si="266"/>
        <v>Industrial heating technology Mining PH - Booster Heat pump utilizing waste heat - new 4</v>
      </c>
      <c r="F235" s="262" t="s">
        <v>450</v>
      </c>
      <c r="G235" s="262" t="s">
        <v>449</v>
      </c>
      <c r="H235" s="263" t="s">
        <v>620</v>
      </c>
      <c r="I235" s="264"/>
      <c r="J235" s="264" t="s">
        <v>469</v>
      </c>
    </row>
    <row r="236" spans="1:10">
      <c r="A236" s="169"/>
      <c r="B236" s="211"/>
      <c r="C236" s="211"/>
      <c r="D236" s="212" t="str">
        <f t="shared" ca="1" si="267"/>
        <v>INDIDSHELCN4</v>
      </c>
      <c r="E236" s="212" t="str">
        <f t="shared" ca="1" si="266"/>
        <v>Industrial heating technology Mining SH - Booster Heat pump utilizing waste heat - new 4</v>
      </c>
      <c r="F236" s="262" t="s">
        <v>450</v>
      </c>
      <c r="G236" s="262" t="s">
        <v>449</v>
      </c>
      <c r="H236" s="263" t="s">
        <v>620</v>
      </c>
      <c r="I236" s="264"/>
      <c r="J236" s="264" t="s">
        <v>469</v>
      </c>
    </row>
    <row r="237" spans="1:10">
      <c r="A237" s="169"/>
      <c r="B237" s="211"/>
      <c r="C237" s="211"/>
      <c r="D237" s="212" t="str">
        <f t="shared" ca="1" si="267"/>
        <v>INDIDPHELCN5</v>
      </c>
      <c r="E237" s="212" t="str">
        <f t="shared" ca="1" si="266"/>
        <v>Industrial heating technology Mining PH - MVR utilizing waste heat - new 5</v>
      </c>
      <c r="F237" s="262" t="s">
        <v>450</v>
      </c>
      <c r="G237" s="262" t="s">
        <v>449</v>
      </c>
      <c r="H237" s="263"/>
      <c r="I237" s="264"/>
      <c r="J237" s="264" t="s">
        <v>469</v>
      </c>
    </row>
    <row r="238" spans="1:10">
      <c r="A238" s="169"/>
      <c r="B238" s="211"/>
      <c r="C238" s="211"/>
      <c r="D238" s="212" t="str">
        <f t="shared" ca="1" si="267"/>
        <v>INDIDPHWSTN1</v>
      </c>
      <c r="E238" s="212" t="str">
        <f t="shared" ca="1" si="266"/>
        <v>Industrial heating technology Mining PH - Hotdisc - new 1</v>
      </c>
      <c r="F238" s="262" t="s">
        <v>450</v>
      </c>
      <c r="G238" s="262" t="s">
        <v>449</v>
      </c>
      <c r="H238" s="263" t="s">
        <v>620</v>
      </c>
      <c r="I238" s="264"/>
      <c r="J238" s="264" t="s">
        <v>469</v>
      </c>
    </row>
    <row r="239" spans="1:10">
      <c r="A239" s="169"/>
      <c r="B239" s="211"/>
      <c r="C239" s="211"/>
      <c r="D239" s="212" t="str">
        <f t="shared" ref="D239:D278" ca="1" si="268">OFFSET($D$9,(ROW(D19)*3),0)</f>
        <v>INDIDPHELCN6</v>
      </c>
      <c r="E239" s="212" t="str">
        <f t="shared" ca="1" si="266"/>
        <v>Industrial heating technology Mining PH - Dielectric heating - new 6</v>
      </c>
      <c r="F239" s="262" t="s">
        <v>450</v>
      </c>
      <c r="G239" s="262" t="s">
        <v>449</v>
      </c>
      <c r="H239" s="263" t="s">
        <v>620</v>
      </c>
      <c r="I239" s="264"/>
      <c r="J239" s="264" t="s">
        <v>469</v>
      </c>
    </row>
    <row r="240" spans="1:10">
      <c r="A240" s="169"/>
      <c r="B240" s="211"/>
      <c r="C240" s="211"/>
      <c r="D240" s="212" t="str">
        <f t="shared" ca="1" si="268"/>
        <v>INDIDPHELCN7</v>
      </c>
      <c r="E240" s="212" t="str">
        <f t="shared" ca="1" si="266"/>
        <v>Industrial heating technology Mining PH - Infrared heating - new 7</v>
      </c>
      <c r="F240" s="262" t="s">
        <v>450</v>
      </c>
      <c r="G240" s="262" t="s">
        <v>449</v>
      </c>
      <c r="H240" s="263" t="s">
        <v>620</v>
      </c>
      <c r="I240" s="264"/>
      <c r="J240" s="264" t="s">
        <v>469</v>
      </c>
    </row>
    <row r="241" spans="1:16">
      <c r="A241" s="169"/>
      <c r="B241" s="211"/>
      <c r="C241" s="211"/>
      <c r="D241" s="212" t="str">
        <f t="shared" ca="1" si="268"/>
        <v>INDIDPHELCN8</v>
      </c>
      <c r="E241" s="212" t="str">
        <f t="shared" ca="1" si="266"/>
        <v>Industrial heating technology Mining PH - Electric boiler (Steam) - new 8</v>
      </c>
      <c r="F241" s="262" t="s">
        <v>450</v>
      </c>
      <c r="G241" s="262" t="s">
        <v>449</v>
      </c>
      <c r="H241" s="263" t="s">
        <v>620</v>
      </c>
      <c r="I241" s="264"/>
      <c r="J241" s="264" t="s">
        <v>469</v>
      </c>
    </row>
    <row r="242" spans="1:16">
      <c r="A242" s="169"/>
      <c r="B242" s="211"/>
      <c r="C242" s="211"/>
      <c r="D242" s="212" t="str">
        <f t="shared" ca="1" si="268"/>
        <v>INDIDPHELCN8</v>
      </c>
      <c r="E242" s="212" t="str">
        <f t="shared" ca="1" si="266"/>
        <v>Industrial heating technology Mining PH - Electric boiler (Steam) - new 8</v>
      </c>
      <c r="F242" s="262" t="s">
        <v>450</v>
      </c>
      <c r="G242" s="262" t="s">
        <v>449</v>
      </c>
      <c r="H242" s="263" t="s">
        <v>620</v>
      </c>
      <c r="I242" s="264"/>
      <c r="J242" s="264" t="s">
        <v>469</v>
      </c>
    </row>
    <row r="243" spans="1:16">
      <c r="A243" s="169"/>
      <c r="B243" s="211"/>
      <c r="C243" s="211"/>
      <c r="D243" s="212" t="str">
        <f t="shared" ca="1" si="268"/>
        <v>INDIDSHELCN8</v>
      </c>
      <c r="E243" s="212" t="str">
        <f t="shared" ca="1" si="266"/>
        <v>Industrial heating technology Mining SH - Electric boiler (Steam) - new 8</v>
      </c>
      <c r="F243" s="262" t="s">
        <v>450</v>
      </c>
      <c r="G243" s="262" t="s">
        <v>449</v>
      </c>
      <c r="H243" s="263" t="s">
        <v>620</v>
      </c>
      <c r="I243" s="264"/>
      <c r="J243" s="264" t="s">
        <v>469</v>
      </c>
      <c r="P243" s="173"/>
    </row>
    <row r="244" spans="1:16">
      <c r="A244" s="169"/>
      <c r="B244" s="211"/>
      <c r="C244" s="211"/>
      <c r="D244" s="212" t="str">
        <f t="shared" ca="1" si="268"/>
        <v>INDIDPHELCN9</v>
      </c>
      <c r="E244" s="212" t="str">
        <f t="shared" ca="1" si="266"/>
        <v>Industrial heating technology Mining PH - Electric boiler (Hot Water) - new 9</v>
      </c>
      <c r="F244" s="262" t="s">
        <v>450</v>
      </c>
      <c r="G244" s="262" t="s">
        <v>449</v>
      </c>
      <c r="H244" s="263" t="s">
        <v>620</v>
      </c>
      <c r="I244" s="264"/>
      <c r="J244" s="264" t="s">
        <v>469</v>
      </c>
      <c r="P244" s="173"/>
    </row>
    <row r="245" spans="1:16">
      <c r="A245" s="169"/>
      <c r="B245" s="211"/>
      <c r="C245" s="211"/>
      <c r="D245" s="212" t="str">
        <f t="shared" ca="1" si="268"/>
        <v>INDIDSHELCN9</v>
      </c>
      <c r="E245" s="212" t="str">
        <f t="shared" ca="1" si="266"/>
        <v>Industrial heating technology Mining SH - Electric boiler (Hot Water) - new 9</v>
      </c>
      <c r="F245" s="262" t="s">
        <v>450</v>
      </c>
      <c r="G245" s="262" t="s">
        <v>449</v>
      </c>
      <c r="H245" s="263" t="s">
        <v>620</v>
      </c>
      <c r="I245" s="264"/>
      <c r="J245" s="264" t="s">
        <v>469</v>
      </c>
      <c r="P245" s="173"/>
    </row>
    <row r="246" spans="1:16">
      <c r="A246" s="169"/>
      <c r="B246" s="211"/>
      <c r="C246" s="211"/>
      <c r="D246" s="212" t="str">
        <f t="shared" ca="1" si="268"/>
        <v>INDIDPHWCHN1</v>
      </c>
      <c r="E246" s="212" t="str">
        <f t="shared" ca="1" si="266"/>
        <v>Industrial heating technology Mining PH - Wood chip boiler (Steam) - new 1</v>
      </c>
      <c r="F246" s="262" t="s">
        <v>450</v>
      </c>
      <c r="G246" s="262" t="s">
        <v>449</v>
      </c>
      <c r="H246" s="263"/>
      <c r="I246" s="264"/>
      <c r="J246" s="264" t="s">
        <v>469</v>
      </c>
      <c r="P246" s="173"/>
    </row>
    <row r="247" spans="1:16">
      <c r="A247" s="169"/>
      <c r="B247" s="211"/>
      <c r="C247" s="211"/>
      <c r="D247" s="212" t="str">
        <f t="shared" ca="1" si="268"/>
        <v>INDIDPHWCHN1</v>
      </c>
      <c r="E247" s="212" t="str">
        <f t="shared" ca="1" si="266"/>
        <v>Industrial heating technology Mining PH - Wood chip boiler (Steam) - new 1</v>
      </c>
      <c r="F247" s="262" t="s">
        <v>450</v>
      </c>
      <c r="G247" s="262" t="s">
        <v>449</v>
      </c>
      <c r="H247" s="263"/>
      <c r="I247" s="264"/>
      <c r="J247" s="264" t="s">
        <v>469</v>
      </c>
      <c r="M247" s="171"/>
      <c r="N247" s="171"/>
      <c r="P247" s="173"/>
    </row>
    <row r="248" spans="1:16">
      <c r="A248" s="169"/>
      <c r="B248" s="211"/>
      <c r="C248" s="211"/>
      <c r="D248" s="212" t="str">
        <f t="shared" ca="1" si="268"/>
        <v>INDIDSHWCHN1</v>
      </c>
      <c r="E248" s="212" t="str">
        <f t="shared" ca="1" si="266"/>
        <v>Industrial heating technology Mining SH - Wood chip boiler (Steam) - new 1</v>
      </c>
      <c r="F248" s="262" t="s">
        <v>450</v>
      </c>
      <c r="G248" s="262" t="s">
        <v>449</v>
      </c>
      <c r="H248" s="263"/>
      <c r="I248" s="264"/>
      <c r="J248" s="264" t="s">
        <v>469</v>
      </c>
      <c r="M248" s="171"/>
      <c r="N248" s="171"/>
      <c r="P248" s="173"/>
    </row>
    <row r="249" spans="1:16">
      <c r="A249" s="169"/>
      <c r="B249" s="211"/>
      <c r="C249" s="211"/>
      <c r="D249" s="212" t="str">
        <f t="shared" ca="1" si="268"/>
        <v>INDIDPHWCHN2</v>
      </c>
      <c r="E249" s="212" t="str">
        <f t="shared" ca="1" si="266"/>
        <v>Industrial heating technology Mining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INDIDSHWCHN2</v>
      </c>
      <c r="E250" s="212" t="str">
        <f t="shared" ca="1" si="266"/>
        <v>Industrial heating technology Mining SH - Wood chip boiler (Steam - condensing) - new 2</v>
      </c>
      <c r="F250" s="262" t="s">
        <v>450</v>
      </c>
      <c r="G250" s="262" t="s">
        <v>449</v>
      </c>
      <c r="H250" s="263"/>
      <c r="I250" s="264"/>
      <c r="J250" s="264" t="s">
        <v>469</v>
      </c>
    </row>
    <row r="251" spans="1:16">
      <c r="A251" s="169"/>
      <c r="B251" s="212"/>
      <c r="C251" s="212"/>
      <c r="D251" s="212" t="str">
        <f t="shared" ca="1" si="268"/>
        <v>INDIDPHWCHN3</v>
      </c>
      <c r="E251" s="212" t="str">
        <f t="shared" ca="1" si="266"/>
        <v>Industrial heating technology Mining PH - Wood chip boiler (Hot Water) - new 3</v>
      </c>
      <c r="F251" s="262" t="s">
        <v>450</v>
      </c>
      <c r="G251" s="262" t="s">
        <v>449</v>
      </c>
      <c r="H251" s="261"/>
      <c r="I251" s="261"/>
      <c r="J251" s="264" t="s">
        <v>469</v>
      </c>
    </row>
    <row r="252" spans="1:16">
      <c r="A252" s="169"/>
      <c r="B252" s="212"/>
      <c r="C252" s="212"/>
      <c r="D252" s="212" t="str">
        <f t="shared" ca="1" si="268"/>
        <v>INDIDSHWCHN3</v>
      </c>
      <c r="E252" s="212" t="str">
        <f t="shared" ca="1" si="266"/>
        <v>Industrial heating technology Mining SH - Wood chip boiler (Hot Water) - new 3</v>
      </c>
      <c r="F252" s="262" t="s">
        <v>450</v>
      </c>
      <c r="G252" s="262" t="s">
        <v>449</v>
      </c>
      <c r="H252" s="261"/>
      <c r="I252" s="261"/>
      <c r="J252" s="264" t="s">
        <v>469</v>
      </c>
    </row>
    <row r="253" spans="1:16">
      <c r="A253" s="169"/>
      <c r="B253" s="212"/>
      <c r="C253" s="212"/>
      <c r="D253" s="212" t="str">
        <f t="shared" ca="1" si="268"/>
        <v>INDIDPHWCHN4</v>
      </c>
      <c r="E253" s="212" t="str">
        <f t="shared" ca="1" si="266"/>
        <v>Industrial heating technology Mining PH - Wood chip boiler (Hot Water - condensing) - new 4</v>
      </c>
      <c r="F253" s="262" t="s">
        <v>450</v>
      </c>
      <c r="G253" s="262" t="s">
        <v>449</v>
      </c>
      <c r="H253" s="261"/>
      <c r="I253" s="261"/>
      <c r="J253" s="264" t="s">
        <v>469</v>
      </c>
    </row>
    <row r="254" spans="1:16">
      <c r="A254" s="169"/>
      <c r="B254" s="212"/>
      <c r="C254" s="212"/>
      <c r="D254" s="212" t="str">
        <f t="shared" ca="1" si="268"/>
        <v>INDIDSHWCHN4</v>
      </c>
      <c r="E254" s="212" t="str">
        <f t="shared" ca="1" si="266"/>
        <v>Industrial heating technology Mining SH - Wood chip boiler (Hot Water- condensing) - new 4</v>
      </c>
      <c r="F254" s="262" t="s">
        <v>450</v>
      </c>
      <c r="G254" s="262" t="s">
        <v>449</v>
      </c>
      <c r="H254" s="261"/>
      <c r="I254" s="261"/>
      <c r="J254" s="264" t="s">
        <v>469</v>
      </c>
    </row>
    <row r="255" spans="1:16">
      <c r="B255" s="212"/>
      <c r="C255" s="212"/>
      <c r="D255" s="212" t="str">
        <f t="shared" ca="1" si="268"/>
        <v>INDIDPHELCN10</v>
      </c>
      <c r="E255" s="212" t="str">
        <f t="shared" ca="1" si="266"/>
        <v>Industrial heating technology Mining PH - Direct electric heating - new 10</v>
      </c>
      <c r="F255" s="262" t="s">
        <v>450</v>
      </c>
      <c r="G255" s="262" t="s">
        <v>449</v>
      </c>
      <c r="H255" s="261"/>
      <c r="I255" s="261"/>
      <c r="J255" s="264" t="s">
        <v>469</v>
      </c>
    </row>
    <row r="256" spans="1:16">
      <c r="B256" s="212"/>
      <c r="C256" s="212"/>
      <c r="D256" s="212" t="str">
        <f t="shared" ca="1" si="268"/>
        <v>INDIDPHELCN10</v>
      </c>
      <c r="E256" s="212" t="str">
        <f t="shared" ca="1" si="266"/>
        <v>Industrial heating technology Mining PH - Direct electric heating - new 10</v>
      </c>
      <c r="F256" s="262" t="s">
        <v>450</v>
      </c>
      <c r="G256" s="262" t="s">
        <v>449</v>
      </c>
      <c r="H256" s="261"/>
      <c r="I256" s="261"/>
      <c r="J256" s="264" t="s">
        <v>469</v>
      </c>
    </row>
    <row r="257" spans="1:10">
      <c r="B257" s="212"/>
      <c r="C257" s="212"/>
      <c r="D257" s="212" t="str">
        <f t="shared" ca="1" si="268"/>
        <v>INDIDPHDSLN1</v>
      </c>
      <c r="E257" s="212" t="str">
        <f t="shared" ca="1" si="266"/>
        <v>Industrial heating technology Mining PH - Oil boiler (Steam) - new 1</v>
      </c>
      <c r="F257" s="262" t="s">
        <v>450</v>
      </c>
      <c r="G257" s="262" t="s">
        <v>449</v>
      </c>
      <c r="H257" s="261"/>
      <c r="I257" s="261"/>
      <c r="J257" s="264" t="s">
        <v>469</v>
      </c>
    </row>
    <row r="258" spans="1:10">
      <c r="B258" s="212"/>
      <c r="C258" s="212"/>
      <c r="D258" s="212" t="str">
        <f t="shared" ca="1" si="268"/>
        <v>INDIDPHDSLN1</v>
      </c>
      <c r="E258" s="212" t="str">
        <f t="shared" ca="1" si="266"/>
        <v>Industrial heating technology Mining PH - Oil boiler (Steam) - new 1</v>
      </c>
      <c r="F258" s="262" t="s">
        <v>450</v>
      </c>
      <c r="G258" s="262" t="s">
        <v>449</v>
      </c>
      <c r="H258" s="261"/>
      <c r="I258" s="261"/>
      <c r="J258" s="264" t="s">
        <v>469</v>
      </c>
    </row>
    <row r="259" spans="1:10">
      <c r="B259" s="212"/>
      <c r="C259" s="212"/>
      <c r="D259" s="212" t="str">
        <f t="shared" ca="1" si="268"/>
        <v>INDIDSHDSLN1</v>
      </c>
      <c r="E259" s="212" t="str">
        <f t="shared" ca="1" si="266"/>
        <v>Industrial heating technology Mining SH - Oil boiler (Steam) - new 1</v>
      </c>
      <c r="F259" s="262" t="s">
        <v>450</v>
      </c>
      <c r="G259" s="262" t="s">
        <v>449</v>
      </c>
      <c r="H259" s="261"/>
      <c r="I259" s="261"/>
      <c r="J259" s="264" t="s">
        <v>469</v>
      </c>
    </row>
    <row r="260" spans="1:10">
      <c r="A260" s="214"/>
      <c r="B260" s="212"/>
      <c r="C260" s="212"/>
      <c r="D260" s="212" t="str">
        <f t="shared" ca="1" si="268"/>
        <v>INDIDPHDSLN2</v>
      </c>
      <c r="E260" s="212" t="str">
        <f t="shared" ca="1" si="266"/>
        <v>Industrial heating technology Mining PH - Oil boiler (Steam - condensing) - new 2</v>
      </c>
      <c r="F260" s="262" t="s">
        <v>450</v>
      </c>
      <c r="G260" s="262" t="s">
        <v>449</v>
      </c>
      <c r="H260" s="261"/>
      <c r="I260" s="261"/>
      <c r="J260" s="264" t="s">
        <v>469</v>
      </c>
    </row>
    <row r="261" spans="1:10">
      <c r="A261" s="214"/>
      <c r="B261" s="212"/>
      <c r="C261" s="212"/>
      <c r="D261" s="212" t="str">
        <f t="shared" ca="1" si="268"/>
        <v>INDIDSHDSLN2</v>
      </c>
      <c r="E261" s="212" t="str">
        <f t="shared" ref="E261:E290" ca="1" si="269">VLOOKUP(D261,$D$9:$E$222,2,FALSE)</f>
        <v>Industrial heating technology Mining SH - Oil boiler (Steam - condensing) - new 2</v>
      </c>
      <c r="F261" s="262" t="s">
        <v>450</v>
      </c>
      <c r="G261" s="262" t="s">
        <v>449</v>
      </c>
      <c r="H261" s="261"/>
      <c r="I261" s="261"/>
      <c r="J261" s="264" t="s">
        <v>469</v>
      </c>
    </row>
    <row r="262" spans="1:10">
      <c r="A262" s="214"/>
      <c r="B262" s="212"/>
      <c r="C262" s="212"/>
      <c r="D262" s="212" t="str">
        <f t="shared" ca="1" si="268"/>
        <v>INDIDPHGASN1</v>
      </c>
      <c r="E262" s="212" t="str">
        <f t="shared" ca="1" si="269"/>
        <v>Industrial heating technology Mining PH - Gas boiler (Steam) - new 1</v>
      </c>
      <c r="F262" s="262" t="s">
        <v>450</v>
      </c>
      <c r="G262" s="262" t="s">
        <v>449</v>
      </c>
      <c r="H262" s="261"/>
      <c r="I262" s="261"/>
      <c r="J262" s="264" t="s">
        <v>469</v>
      </c>
    </row>
    <row r="263" spans="1:10">
      <c r="A263" s="214"/>
      <c r="B263" s="212"/>
      <c r="C263" s="212"/>
      <c r="D263" s="212" t="str">
        <f t="shared" ca="1" si="268"/>
        <v>INDIDPHGASN1</v>
      </c>
      <c r="E263" s="212" t="str">
        <f t="shared" ca="1" si="269"/>
        <v>Industrial heating technology Mining PH - Gas boiler (Steam) - new 1</v>
      </c>
      <c r="F263" s="262" t="s">
        <v>450</v>
      </c>
      <c r="G263" s="262" t="s">
        <v>449</v>
      </c>
      <c r="H263" s="261"/>
      <c r="I263" s="261"/>
      <c r="J263" s="264" t="s">
        <v>469</v>
      </c>
    </row>
    <row r="264" spans="1:10">
      <c r="B264" s="212"/>
      <c r="C264" s="212"/>
      <c r="D264" s="212" t="str">
        <f t="shared" ca="1" si="268"/>
        <v>INDIDSHGASN1</v>
      </c>
      <c r="E264" s="212" t="str">
        <f t="shared" ca="1" si="269"/>
        <v>Industrial heating technology Mining SH - Gas boiler (Steam) - new 1</v>
      </c>
      <c r="F264" s="262" t="s">
        <v>450</v>
      </c>
      <c r="G264" s="262" t="s">
        <v>449</v>
      </c>
      <c r="H264" s="261"/>
      <c r="I264" s="261"/>
      <c r="J264" s="264" t="s">
        <v>469</v>
      </c>
    </row>
    <row r="265" spans="1:10">
      <c r="B265" s="212"/>
      <c r="C265" s="212"/>
      <c r="D265" s="212" t="str">
        <f t="shared" ca="1" si="268"/>
        <v>INDIDPHGASN2</v>
      </c>
      <c r="E265" s="212" t="str">
        <f t="shared" ca="1" si="269"/>
        <v>Industrial heating technology Mining PH - Gas boiler (Steam - condensing) - new 2</v>
      </c>
      <c r="F265" s="262" t="s">
        <v>450</v>
      </c>
      <c r="G265" s="262" t="s">
        <v>449</v>
      </c>
      <c r="H265" s="261"/>
      <c r="I265" s="261"/>
      <c r="J265" s="264" t="s">
        <v>469</v>
      </c>
    </row>
    <row r="266" spans="1:10">
      <c r="B266" s="212"/>
      <c r="C266" s="212"/>
      <c r="D266" s="212" t="str">
        <f t="shared" ca="1" si="268"/>
        <v>INDIDSHGASN2</v>
      </c>
      <c r="E266" s="212" t="str">
        <f t="shared" ca="1" si="269"/>
        <v>Industrial heating technology Mining SH - Gas boiler (Steam - condensing) - new 2</v>
      </c>
      <c r="F266" s="262" t="s">
        <v>450</v>
      </c>
      <c r="G266" s="262" t="s">
        <v>449</v>
      </c>
      <c r="H266" s="261"/>
      <c r="I266" s="261"/>
      <c r="J266" s="264" t="s">
        <v>469</v>
      </c>
    </row>
    <row r="267" spans="1:10">
      <c r="B267" s="212"/>
      <c r="C267" s="212"/>
      <c r="D267" s="212" t="str">
        <f t="shared" ca="1" si="268"/>
        <v>INDIDPHGASN3</v>
      </c>
      <c r="E267" s="212" t="str">
        <f t="shared" ca="1" si="269"/>
        <v>Industrial heating technology Mining PH - Gas boiler (Hot Water) - new 3</v>
      </c>
      <c r="F267" s="262" t="s">
        <v>450</v>
      </c>
      <c r="G267" s="262" t="s">
        <v>449</v>
      </c>
      <c r="H267" s="261"/>
      <c r="I267" s="261"/>
      <c r="J267" s="264" t="s">
        <v>469</v>
      </c>
    </row>
    <row r="268" spans="1:10">
      <c r="B268" s="212"/>
      <c r="C268" s="212"/>
      <c r="D268" s="212" t="str">
        <f t="shared" ca="1" si="268"/>
        <v>INDIDSHGASN3</v>
      </c>
      <c r="E268" s="212" t="str">
        <f t="shared" ca="1" si="269"/>
        <v>Industrial heating technology Mining SH - Gas boiler (Hot Water) - new 3</v>
      </c>
      <c r="F268" s="262" t="s">
        <v>450</v>
      </c>
      <c r="G268" s="262" t="s">
        <v>449</v>
      </c>
      <c r="H268" s="261"/>
      <c r="I268" s="261"/>
      <c r="J268" s="264" t="s">
        <v>469</v>
      </c>
    </row>
    <row r="269" spans="1:10">
      <c r="B269" s="212"/>
      <c r="C269" s="212"/>
      <c r="D269" s="212" t="str">
        <f t="shared" ca="1" si="268"/>
        <v>INDIDPHGASN4</v>
      </c>
      <c r="E269" s="212" t="str">
        <f t="shared" ca="1" si="269"/>
        <v>Industrial heating technology Mining PH - Gas boiler (Hot Water - condensing) - new 4</v>
      </c>
      <c r="F269" s="262" t="s">
        <v>450</v>
      </c>
      <c r="G269" s="262" t="s">
        <v>449</v>
      </c>
      <c r="H269" s="261"/>
      <c r="I269" s="261"/>
      <c r="J269" s="264" t="s">
        <v>469</v>
      </c>
    </row>
    <row r="270" spans="1:10">
      <c r="B270" s="212"/>
      <c r="C270" s="212"/>
      <c r="D270" s="212" t="str">
        <f t="shared" ca="1" si="268"/>
        <v>INDIDSHGASN4</v>
      </c>
      <c r="E270" s="212" t="str">
        <f t="shared" ca="1" si="269"/>
        <v>Industrial heating technology Mining SH - Gas boiler (Hot Water- condensing) - new 4</v>
      </c>
      <c r="F270" s="262" t="s">
        <v>450</v>
      </c>
      <c r="G270" s="262" t="s">
        <v>449</v>
      </c>
      <c r="H270" s="261"/>
      <c r="I270" s="261"/>
      <c r="J270" s="264" t="s">
        <v>469</v>
      </c>
    </row>
    <row r="271" spans="1:10">
      <c r="B271" s="212"/>
      <c r="C271" s="212"/>
      <c r="D271" s="212" t="str">
        <f t="shared" ca="1" si="268"/>
        <v>INDIDPHGASN5</v>
      </c>
      <c r="E271" s="212" t="str">
        <f t="shared" ca="1" si="269"/>
        <v>Industrial heating technology Mining PH - Gas boiler (Direct firing) - new 5</v>
      </c>
      <c r="F271" s="262" t="s">
        <v>450</v>
      </c>
      <c r="G271" s="262" t="s">
        <v>449</v>
      </c>
      <c r="H271" s="261"/>
      <c r="I271" s="261"/>
      <c r="J271" s="264" t="s">
        <v>469</v>
      </c>
    </row>
    <row r="272" spans="1:10">
      <c r="B272" s="212"/>
      <c r="C272" s="212"/>
      <c r="D272" s="212" t="str">
        <f t="shared" ca="1" si="268"/>
        <v>INDIDPHGASN5</v>
      </c>
      <c r="E272" s="212" t="str">
        <f t="shared" ca="1" si="269"/>
        <v>Industrial heating technology Mining PH - Gas boiler (Direct firing) - new 5</v>
      </c>
      <c r="F272" s="262" t="s">
        <v>450</v>
      </c>
      <c r="G272" s="262" t="s">
        <v>449</v>
      </c>
      <c r="H272" s="261"/>
      <c r="I272" s="261"/>
      <c r="J272" s="264" t="s">
        <v>469</v>
      </c>
    </row>
    <row r="273" spans="2:10">
      <c r="B273" s="212"/>
      <c r="C273" s="212"/>
      <c r="D273" s="212" t="str">
        <f t="shared" ca="1" si="268"/>
        <v>INDIDPHCOAN1</v>
      </c>
      <c r="E273" s="212" t="str">
        <f t="shared" ca="1" si="269"/>
        <v>Industrial heating technology Mining PH - Coal boiler (Steam) - new 1</v>
      </c>
      <c r="F273" s="262" t="s">
        <v>450</v>
      </c>
      <c r="G273" s="262" t="s">
        <v>449</v>
      </c>
      <c r="H273" s="261"/>
      <c r="I273" s="261"/>
      <c r="J273" s="264" t="s">
        <v>469</v>
      </c>
    </row>
    <row r="274" spans="2:10">
      <c r="B274" s="212"/>
      <c r="C274" s="212"/>
      <c r="D274" s="212" t="str">
        <f t="shared" ca="1" si="268"/>
        <v>INDIDPHCOAN1</v>
      </c>
      <c r="E274" s="212" t="str">
        <f t="shared" ca="1" si="269"/>
        <v>Industrial heating technology Mining PH - Coal boiler (Steam) - new 1</v>
      </c>
      <c r="F274" s="262" t="s">
        <v>450</v>
      </c>
      <c r="G274" s="262" t="s">
        <v>449</v>
      </c>
      <c r="H274" s="261"/>
      <c r="I274" s="261"/>
      <c r="J274" s="264" t="s">
        <v>469</v>
      </c>
    </row>
    <row r="275" spans="2:10">
      <c r="B275" s="212"/>
      <c r="C275" s="212"/>
      <c r="D275" s="212" t="str">
        <f t="shared" ca="1" si="268"/>
        <v>INDIDSHCOAN1</v>
      </c>
      <c r="E275" s="212" t="str">
        <f t="shared" ca="1" si="269"/>
        <v>Industrial heating technology Mining SH - Coal boiler (Steam) - new 1</v>
      </c>
      <c r="F275" s="262" t="s">
        <v>450</v>
      </c>
      <c r="G275" s="262" t="s">
        <v>449</v>
      </c>
      <c r="H275" s="261"/>
      <c r="I275" s="261"/>
      <c r="J275" s="264" t="s">
        <v>469</v>
      </c>
    </row>
    <row r="276" spans="2:10">
      <c r="B276" s="212"/>
      <c r="C276" s="212"/>
      <c r="D276" s="212" t="str">
        <f t="shared" ca="1" si="268"/>
        <v>INDIDPHCOAN2</v>
      </c>
      <c r="E276" s="212" t="str">
        <f t="shared" ca="1" si="269"/>
        <v>Industrial heating technology Mining PH - Coal boiler (Hot Water) - new 2</v>
      </c>
      <c r="F276" s="262" t="s">
        <v>450</v>
      </c>
      <c r="G276" s="262" t="s">
        <v>449</v>
      </c>
      <c r="H276" s="261"/>
      <c r="I276" s="261"/>
      <c r="J276" s="264" t="s">
        <v>469</v>
      </c>
    </row>
    <row r="277" spans="2:10">
      <c r="B277" s="212"/>
      <c r="C277" s="212"/>
      <c r="D277" s="212" t="str">
        <f t="shared" ca="1" si="268"/>
        <v>INDIDSHCOAN2</v>
      </c>
      <c r="E277" s="212" t="str">
        <f t="shared" ca="1" si="269"/>
        <v>Industrial heating technology Mining SH - Coal boiler (Hot Water) - new 2</v>
      </c>
      <c r="F277" s="262" t="s">
        <v>450</v>
      </c>
      <c r="G277" s="262" t="s">
        <v>449</v>
      </c>
      <c r="H277" s="261"/>
      <c r="I277" s="261"/>
      <c r="J277" s="264" t="s">
        <v>469</v>
      </c>
    </row>
    <row r="278" spans="2:10">
      <c r="B278" s="212"/>
      <c r="C278" s="212"/>
      <c r="D278" s="212" t="str">
        <f t="shared" ca="1" si="268"/>
        <v>INDIDSHSOLN1</v>
      </c>
      <c r="E278" s="212" t="str">
        <f t="shared" ca="1" si="269"/>
        <v>Industrial heating technology Mining SH - Solar - new 1</v>
      </c>
      <c r="F278" s="262" t="s">
        <v>450</v>
      </c>
      <c r="G278" s="262" t="s">
        <v>449</v>
      </c>
      <c r="H278" s="263" t="s">
        <v>620</v>
      </c>
      <c r="I278" s="261"/>
      <c r="J278" s="264" t="s">
        <v>469</v>
      </c>
    </row>
    <row r="279" spans="2:10">
      <c r="B279" s="212"/>
      <c r="C279" s="212"/>
      <c r="D279" s="889" t="str">
        <f>D187</f>
        <v>INDIDSHHCEN1</v>
      </c>
      <c r="E279" s="889" t="str">
        <f t="shared" si="269"/>
        <v>Industrial heating technology Mining SH - central district heating - within DH area - new 1</v>
      </c>
      <c r="F279" s="262" t="s">
        <v>450</v>
      </c>
      <c r="G279" s="262" t="s">
        <v>449</v>
      </c>
      <c r="H279" s="890"/>
      <c r="I279" s="890"/>
      <c r="J279" s="263" t="s">
        <v>469</v>
      </c>
    </row>
    <row r="280" spans="2:10">
      <c r="B280" s="212"/>
      <c r="C280" s="212"/>
      <c r="D280" s="889" t="str">
        <f>D188</f>
        <v>INDIDPHHCEN1</v>
      </c>
      <c r="E280" s="889" t="str">
        <f t="shared" si="269"/>
        <v>Industrial heating technology Mining PH - central district heating - within DH area - new 1</v>
      </c>
      <c r="F280" s="262" t="s">
        <v>450</v>
      </c>
      <c r="G280" s="262" t="s">
        <v>449</v>
      </c>
      <c r="H280" s="890"/>
      <c r="I280" s="890"/>
      <c r="J280" s="263" t="s">
        <v>469</v>
      </c>
    </row>
    <row r="281" spans="2:10">
      <c r="B281" s="212"/>
      <c r="C281" s="212"/>
      <c r="D281" s="889" t="str">
        <f>D189</f>
        <v>INDIDSHHSEN1</v>
      </c>
      <c r="E281" s="889" t="str">
        <f t="shared" si="269"/>
        <v>Industrial heating technology Mining SH - central district heating - within DH area - new 1</v>
      </c>
      <c r="F281" s="262" t="s">
        <v>450</v>
      </c>
      <c r="G281" s="262" t="s">
        <v>449</v>
      </c>
      <c r="H281" s="890"/>
      <c r="I281" s="890"/>
      <c r="J281" s="263" t="s">
        <v>469</v>
      </c>
    </row>
    <row r="282" spans="2:10">
      <c r="B282" s="212"/>
      <c r="C282" s="212"/>
      <c r="D282" s="889" t="str">
        <f>D190</f>
        <v>INDIDPHHSEN1</v>
      </c>
      <c r="E282" s="889" t="str">
        <f t="shared" si="269"/>
        <v>Industrial heating technology Mining PH - central district heating - within DH area - new 1</v>
      </c>
      <c r="F282" s="262" t="s">
        <v>450</v>
      </c>
      <c r="G282" s="262" t="s">
        <v>449</v>
      </c>
      <c r="H282" s="890"/>
      <c r="I282" s="890"/>
      <c r="J282" s="263" t="s">
        <v>469</v>
      </c>
    </row>
    <row r="283" spans="2:10">
      <c r="B283" s="212"/>
      <c r="C283" s="212"/>
      <c r="D283" s="212" t="str">
        <f t="shared" ref="D283" si="270">D191</f>
        <v>INDIDSHHDEN1</v>
      </c>
      <c r="E283" s="212" t="str">
        <f t="shared" si="269"/>
        <v>Industrial heating technology Mining SH - decentral district heating - within DH area - new 1</v>
      </c>
      <c r="F283" s="262" t="s">
        <v>450</v>
      </c>
      <c r="G283" s="262" t="s">
        <v>449</v>
      </c>
      <c r="H283" s="261"/>
      <c r="I283" s="261"/>
      <c r="J283" s="264" t="s">
        <v>469</v>
      </c>
    </row>
    <row r="284" spans="2:10">
      <c r="B284" s="212"/>
      <c r="C284" s="212"/>
      <c r="D284" s="212" t="str">
        <f>D192</f>
        <v>INDIDPHHDEN1</v>
      </c>
      <c r="E284" s="212" t="str">
        <f t="shared" si="269"/>
        <v>Industrial heating technology Mining PH - decentral district heating - within DH area - new 1</v>
      </c>
      <c r="F284" s="262" t="s">
        <v>450</v>
      </c>
      <c r="G284" s="262" t="s">
        <v>449</v>
      </c>
      <c r="H284" s="261"/>
      <c r="I284" s="261"/>
      <c r="J284" s="264" t="s">
        <v>469</v>
      </c>
    </row>
    <row r="285" spans="2:10">
      <c r="B285" s="212"/>
      <c r="C285" s="212"/>
      <c r="D285" s="212" t="str">
        <f>D194</f>
        <v>INDIDLAELCN1</v>
      </c>
      <c r="E285" s="212" t="str">
        <f t="shared" si="269"/>
        <v>Industry Mining LA Electricity Light Appliance - New 1</v>
      </c>
      <c r="F285" s="262" t="s">
        <v>450</v>
      </c>
      <c r="G285" s="262" t="s">
        <v>449</v>
      </c>
      <c r="H285" s="261"/>
      <c r="I285" s="261"/>
      <c r="J285" s="264" t="s">
        <v>469</v>
      </c>
    </row>
    <row r="286" spans="2:10">
      <c r="B286" s="212"/>
      <c r="C286" s="212"/>
      <c r="D286" s="212" t="str">
        <f>D198</f>
        <v>INDIDEMELCN1</v>
      </c>
      <c r="E286" s="212" t="str">
        <f t="shared" si="269"/>
        <v>Industry Mining EM Electricity Motors - New 1</v>
      </c>
      <c r="F286" s="262" t="s">
        <v>450</v>
      </c>
      <c r="G286" s="262" t="s">
        <v>449</v>
      </c>
      <c r="H286" s="261"/>
      <c r="I286" s="261"/>
      <c r="J286" s="264" t="s">
        <v>469</v>
      </c>
    </row>
    <row r="287" spans="2:10">
      <c r="B287" s="212"/>
      <c r="C287" s="212"/>
      <c r="D287" s="212" t="str">
        <f>D202</f>
        <v>INDIDTFDSLN1</v>
      </c>
      <c r="E287" s="212" t="str">
        <f t="shared" si="269"/>
        <v>Industry Mining TF Tractors, Trucks, Fishing boats - New 1</v>
      </c>
      <c r="F287" s="262" t="s">
        <v>450</v>
      </c>
      <c r="G287" s="262" t="s">
        <v>2078</v>
      </c>
      <c r="H287" s="261"/>
      <c r="I287" s="261"/>
      <c r="J287" s="264" t="s">
        <v>469</v>
      </c>
    </row>
    <row r="288" spans="2:10">
      <c r="B288" s="212"/>
      <c r="C288" s="212"/>
      <c r="D288" s="212" t="str">
        <f>D206</f>
        <v>INDIDTFH2GN2</v>
      </c>
      <c r="E288" s="212" t="str">
        <f t="shared" si="269"/>
        <v>Industry Mining TF Tractors, Trucks, Fishing boats - New 2</v>
      </c>
      <c r="F288" s="262" t="s">
        <v>450</v>
      </c>
      <c r="G288" s="262" t="s">
        <v>2078</v>
      </c>
      <c r="H288" s="261"/>
      <c r="I288" s="261"/>
      <c r="J288" s="264" t="s">
        <v>469</v>
      </c>
    </row>
    <row r="289" spans="2:10">
      <c r="B289" s="212"/>
      <c r="C289" s="212"/>
      <c r="D289" s="212" t="str">
        <f>D210</f>
        <v>INDIDTFELCN3</v>
      </c>
      <c r="E289" s="212" t="str">
        <f t="shared" si="269"/>
        <v>Industry Mining TF Tractors, Trucks, Fishing boats - New 3</v>
      </c>
      <c r="F289" s="262" t="s">
        <v>450</v>
      </c>
      <c r="G289" s="262" t="s">
        <v>2078</v>
      </c>
      <c r="H289" s="261"/>
      <c r="I289" s="261"/>
      <c r="J289" s="264" t="s">
        <v>469</v>
      </c>
    </row>
    <row r="290" spans="2:10">
      <c r="B290" s="212"/>
      <c r="C290" s="212"/>
      <c r="D290" s="212" t="str">
        <f>D214</f>
        <v>INDIDFLSYNN1</v>
      </c>
      <c r="E290" s="212" t="str">
        <f t="shared" si="269"/>
        <v>Industry Mining TF Forklifts - New 1</v>
      </c>
      <c r="F290" s="262" t="s">
        <v>450</v>
      </c>
      <c r="G290" s="262" t="s">
        <v>449</v>
      </c>
      <c r="H290" s="261"/>
      <c r="I290" s="261"/>
      <c r="J290" s="264" t="s">
        <v>469</v>
      </c>
    </row>
    <row r="291" spans="2:10">
      <c r="B291" s="212"/>
      <c r="C291" s="212"/>
      <c r="D291" s="212" t="str">
        <f>D218</f>
        <v>INDIDCOELCN1</v>
      </c>
      <c r="E291" s="212" t="str">
        <f>E218</f>
        <v>Industry Mining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IMDSOx</v>
      </c>
      <c r="E296" s="270" t="str">
        <f>"Industrial heating  heating technology "&amp;$AJ$12&amp;" - SOx emission"</f>
        <v>Industrial heating  heating technology Mining - SOx emission</v>
      </c>
      <c r="F296" s="219" t="s">
        <v>352</v>
      </c>
      <c r="G296" s="211"/>
      <c r="H296" s="211"/>
      <c r="I296" s="211"/>
      <c r="J296" s="211"/>
    </row>
    <row r="297" spans="2:10">
      <c r="B297" s="214"/>
      <c r="C297" s="214"/>
      <c r="D297" s="260" t="str">
        <f>"I"&amp;LEFT($AJ$12,1)&amp;"DNOx"</f>
        <v>IMDNOx</v>
      </c>
      <c r="E297" s="270" t="str">
        <f>"Industrial heating  heating technology "&amp;$AJ$12&amp;" - NOx emission"</f>
        <v>Industrial heating  heating technology Mining - NOx emission</v>
      </c>
      <c r="F297" s="219" t="s">
        <v>352</v>
      </c>
      <c r="G297" s="211"/>
      <c r="H297" s="214"/>
      <c r="I297" s="214"/>
      <c r="J297" s="214"/>
    </row>
    <row r="298" spans="2:10">
      <c r="B298" s="214"/>
      <c r="C298" s="214"/>
      <c r="D298" s="260" t="str">
        <f>"I"&amp;LEFT($AJ$12,1)&amp;"DCH4"</f>
        <v>IMDCH4</v>
      </c>
      <c r="E298" s="270" t="str">
        <f>"Industrial heating  heating technology "&amp;$AJ$12&amp;" - CH4 emission"</f>
        <v>Industrial heating  heating technology Mining - CH4 emission</v>
      </c>
      <c r="F298" s="219" t="s">
        <v>352</v>
      </c>
      <c r="G298" s="211"/>
      <c r="H298" s="214"/>
      <c r="I298" s="214"/>
      <c r="J298" s="214"/>
    </row>
    <row r="299" spans="2:10">
      <c r="B299" s="214"/>
      <c r="C299" s="214"/>
      <c r="D299" s="260" t="str">
        <f>"I"&amp;LEFT($AJ$12,1)&amp;"DNO2"</f>
        <v>IMDNO2</v>
      </c>
      <c r="E299" s="270" t="str">
        <f>"Industrial heating  heating technology "&amp;$AJ$12&amp;" - NO2 emission"</f>
        <v>Industrial heating  heating technology Mining - NO2 emission</v>
      </c>
      <c r="F299" s="219" t="s">
        <v>352</v>
      </c>
      <c r="G299" s="211"/>
      <c r="H299" s="214"/>
      <c r="I299" s="214"/>
      <c r="J299" s="214"/>
    </row>
    <row r="300" spans="2:10">
      <c r="B300" s="214"/>
      <c r="C300" s="214"/>
      <c r="D300" s="260" t="str">
        <f>"I"&amp;LEFT($AJ$12,1)&amp;"DPM"</f>
        <v>IMDPM</v>
      </c>
      <c r="E300" s="270" t="str">
        <f>"Industrial heating  heating technology "&amp;$AJ$12&amp;" - Particle emission"</f>
        <v>Industrial heating  heating technology Mining - Particle emission</v>
      </c>
      <c r="F300" s="219" t="s">
        <v>352</v>
      </c>
      <c r="G300" s="211"/>
      <c r="H300" s="214"/>
      <c r="I300" s="214"/>
      <c r="J300" s="214"/>
    </row>
    <row r="301" spans="2:10">
      <c r="B301" s="224" t="s">
        <v>1057</v>
      </c>
      <c r="D301" s="224" t="str">
        <f>AI20</f>
        <v>INDIWH</v>
      </c>
      <c r="E301" s="270" t="str">
        <f>"Industrial heating technology "&amp;$AJ$12&amp;" - Waste heat"</f>
        <v>Industrial heating technology Mining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366FB9B-FF25-41C5-96C9-CBB893057C75}">
          <x14:formula1>
            <xm:f>'Oil-fired boiler_NEW'!$T$4:$X$4</xm:f>
          </x14:formula1>
          <xm:sqref>E1</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DE50E-67AD-4BD9-B9DD-192AE8B500D6}">
  <sheetPr>
    <tabColor rgb="FF00B050"/>
  </sheetPr>
  <dimension ref="A1:AP301"/>
  <sheetViews>
    <sheetView topLeftCell="J29"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719</v>
      </c>
      <c r="N1" s="64"/>
      <c r="O1" s="64"/>
      <c r="P1" s="64"/>
      <c r="S1" s="727" t="s">
        <v>1004</v>
      </c>
      <c r="T1" s="776" t="s">
        <v>1003</v>
      </c>
      <c r="U1" s="775" t="s">
        <v>1053</v>
      </c>
      <c r="V1" s="776" t="s">
        <v>1054</v>
      </c>
      <c r="W1" s="780">
        <v>0.3</v>
      </c>
    </row>
    <row r="2" spans="2:42" ht="15" thickBot="1">
      <c r="E2" s="730" t="s">
        <v>1138</v>
      </c>
      <c r="N2" s="731"/>
      <c r="O2" s="731"/>
      <c r="P2" s="731"/>
      <c r="S2" s="726">
        <f>MATCH($E$1,$AJ$22:$AJ$35)</f>
        <v>13</v>
      </c>
      <c r="T2" s="778">
        <f>MATCH($E$1,$AJ$22:$AJ$35)+1</f>
        <v>14</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FEMIS~IIDSOx</v>
      </c>
      <c r="Y6" s="280" t="str">
        <f>"FEMIS~"&amp;D297</f>
        <v>FEMIS~IIDNOx</v>
      </c>
      <c r="Z6" s="280" t="str">
        <f>"FEMIS~"&amp;D298</f>
        <v>FEMIS~IIDCH4</v>
      </c>
      <c r="AA6" s="280" t="str">
        <f>"FEMIS~"&amp;D299</f>
        <v>FEMIS~IIDNO2</v>
      </c>
      <c r="AB6" s="280" t="str">
        <f>"FEMIS~"&amp;D300</f>
        <v>FEMIS~IIDPM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INDSDPHELCN1</v>
      </c>
      <c r="E9" s="261" t="str">
        <f>"Industrial heating technology "&amp;$AJ$12&amp;" "&amp;RIGHT(H9,2)&amp;" - Heat pump utilizing waste heat - new 1"</f>
        <v>Industrial heating technology Iron &amp; Steel PH - Heat pump utilizing waste heat - new 1</v>
      </c>
      <c r="F9" s="224" t="s">
        <v>1149</v>
      </c>
      <c r="G9" s="173" t="s">
        <v>499</v>
      </c>
      <c r="H9" s="174" t="str">
        <f>$AI$14</f>
        <v>ISDPH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INDSWH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ISDPH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INDSWH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Iron &amp; Steel</v>
      </c>
    </row>
    <row r="13" spans="2:42">
      <c r="B13" s="357" t="s">
        <v>998</v>
      </c>
      <c r="D13" s="212"/>
      <c r="E13" s="212"/>
      <c r="F13" s="224" t="s">
        <v>1149</v>
      </c>
      <c r="G13" s="173" t="s">
        <v>499</v>
      </c>
      <c r="H13" s="174" t="str">
        <f>$AI$14</f>
        <v>ISDPH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ISDPH</v>
      </c>
      <c r="AJ13" s="224" t="str">
        <f>AP14</f>
        <v>Iron &amp; Steel  Demand Heat High Temp. over 150C</v>
      </c>
      <c r="AO13" s="224" t="s">
        <v>2091</v>
      </c>
      <c r="AP13" s="224" t="s">
        <v>1201</v>
      </c>
    </row>
    <row r="14" spans="2:42">
      <c r="B14" s="357" t="s">
        <v>998</v>
      </c>
      <c r="D14" s="212"/>
      <c r="E14" s="212"/>
      <c r="F14" s="224" t="s">
        <v>1149</v>
      </c>
      <c r="G14" s="173" t="str">
        <f>$AI$20</f>
        <v>INDSWH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ISDPH</v>
      </c>
      <c r="AJ14" s="224" t="str">
        <f>AP13</f>
        <v>Iron &amp; Steel  Demand Heat Medium Temp. up to 150C</v>
      </c>
      <c r="AO14" s="224" t="s">
        <v>2091</v>
      </c>
      <c r="AP14" s="224" t="s">
        <v>1202</v>
      </c>
    </row>
    <row r="15" spans="2:42">
      <c r="B15" s="357" t="s">
        <v>998</v>
      </c>
      <c r="D15" s="212" t="str">
        <f>"IND"&amp;RIGHT(H15,4)&amp;RIGHT(G15,3)&amp;"N"&amp;RIGHT(E15,1)</f>
        <v>INDSDSHELCN1</v>
      </c>
      <c r="E15" s="261" t="str">
        <f>"Industrial heating technology "&amp;$AJ$12&amp;" "&amp;RIGHT(H15,2)&amp;" - Heat pump utilizing waste heat - new 1"</f>
        <v>Industrial heating technology Iron &amp; Steel SH - Heat pump utilizing waste heat - new 1</v>
      </c>
      <c r="F15" s="224" t="s">
        <v>1149</v>
      </c>
      <c r="G15" s="173" t="s">
        <v>499</v>
      </c>
      <c r="H15" s="174" t="str">
        <f>$AI$15</f>
        <v>ISDSH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ISDSH</v>
      </c>
      <c r="AJ15" s="224" t="str">
        <f>AP15</f>
        <v>Iron &amp; Steel  Demand Heat Room Heat</v>
      </c>
      <c r="AO15" s="224" t="s">
        <v>2092</v>
      </c>
      <c r="AP15" s="224" t="s">
        <v>1203</v>
      </c>
    </row>
    <row r="16" spans="2:42">
      <c r="B16" s="357" t="s">
        <v>998</v>
      </c>
      <c r="D16" s="212"/>
      <c r="E16" s="261"/>
      <c r="F16" s="224" t="s">
        <v>1149</v>
      </c>
      <c r="G16" s="173" t="str">
        <f>$AI$20</f>
        <v>INDSWH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ISDLA</v>
      </c>
      <c r="AJ16" s="224" t="str">
        <f t="shared" si="0"/>
        <v>Iron &amp; Steel  Demand Light</v>
      </c>
      <c r="AO16" s="224" t="s">
        <v>1204</v>
      </c>
      <c r="AP16" s="224" t="s">
        <v>1205</v>
      </c>
    </row>
    <row r="17" spans="2:42">
      <c r="B17" s="357" t="s">
        <v>998</v>
      </c>
      <c r="D17" s="212"/>
      <c r="E17" s="212"/>
      <c r="F17" s="224" t="s">
        <v>1149</v>
      </c>
      <c r="G17" s="173" t="s">
        <v>499</v>
      </c>
      <c r="H17" s="174" t="str">
        <f>$AI$15</f>
        <v>ISDSH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ISDEM</v>
      </c>
      <c r="AJ17" s="224" t="str">
        <f t="shared" si="0"/>
        <v>Iron &amp; Steel  Demand Electric Motors</v>
      </c>
      <c r="AO17" s="224" t="s">
        <v>1206</v>
      </c>
      <c r="AP17" s="224" t="s">
        <v>1207</v>
      </c>
    </row>
    <row r="18" spans="2:42">
      <c r="B18" s="357" t="s">
        <v>998</v>
      </c>
      <c r="D18" s="212"/>
      <c r="E18" s="212"/>
      <c r="F18" s="224" t="s">
        <v>1149</v>
      </c>
      <c r="G18" s="173" t="str">
        <f>$AI$20</f>
        <v>INDSWH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ISDTF</v>
      </c>
      <c r="AJ18" s="224" t="str">
        <f t="shared" si="0"/>
        <v>Iron &amp; Steel  Demand Haulage Tractors, Trucks, Fishing boats, Forest machines</v>
      </c>
      <c r="AO18" s="224" t="s">
        <v>1208</v>
      </c>
      <c r="AP18" s="224" t="s">
        <v>1209</v>
      </c>
    </row>
    <row r="19" spans="2:42">
      <c r="B19" s="357" t="s">
        <v>998</v>
      </c>
      <c r="D19" s="212"/>
      <c r="E19" s="212"/>
      <c r="F19" s="224" t="s">
        <v>1149</v>
      </c>
      <c r="G19" s="173" t="s">
        <v>499</v>
      </c>
      <c r="H19" s="174" t="str">
        <f>$AI$15</f>
        <v>ISDSH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ISDFL</v>
      </c>
      <c r="AJ19" s="224" t="str">
        <f t="shared" si="0"/>
        <v>Iron &amp; Steel  Demand Haulage Forklifts</v>
      </c>
      <c r="AO19" s="224" t="s">
        <v>1210</v>
      </c>
      <c r="AP19" s="224" t="s">
        <v>1211</v>
      </c>
    </row>
    <row r="20" spans="2:42">
      <c r="B20" s="357" t="s">
        <v>998</v>
      </c>
      <c r="D20" s="212"/>
      <c r="E20" s="212"/>
      <c r="F20" s="224" t="s">
        <v>1149</v>
      </c>
      <c r="G20" s="173" t="str">
        <f>$AI$20</f>
        <v>INDSWH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INDSWH</v>
      </c>
      <c r="AJ20" s="224" t="str">
        <f>$AJ$12&amp;" Industrial Waste Heat"</f>
        <v>Iron &amp; Steel Industrial Waste Heat</v>
      </c>
    </row>
    <row r="21" spans="2:42">
      <c r="B21" s="357" t="s">
        <v>999</v>
      </c>
      <c r="D21" s="212" t="str">
        <f>"IND"&amp;RIGHT(H21,4)&amp;RIGHT(G21,3)&amp;"N"&amp;RIGHT(E21,1)</f>
        <v>INDSDPHELCN2</v>
      </c>
      <c r="E21" s="261" t="str">
        <f>"Industrial heating technology "&amp;$AJ$12&amp;" "&amp;RIGHT(H21,2)&amp;" - Heat driven heat pump utilizing waste heat - new 2"</f>
        <v>Industrial heating technology Iron &amp; Steel PH - Heat driven heat pump utilizing waste heat - new 2</v>
      </c>
      <c r="F21" s="224" t="s">
        <v>1149</v>
      </c>
      <c r="G21" s="173" t="s">
        <v>499</v>
      </c>
      <c r="H21" s="174" t="str">
        <f>$AI$14</f>
        <v>ISDPH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
        <v>2117</v>
      </c>
      <c r="AJ21" s="224" t="s">
        <v>2116</v>
      </c>
    </row>
    <row r="22" spans="2:42">
      <c r="B22" s="357" t="s">
        <v>999</v>
      </c>
      <c r="D22" s="212"/>
      <c r="E22" s="261"/>
      <c r="F22" s="224" t="s">
        <v>1149</v>
      </c>
      <c r="G22" s="173" t="str">
        <f>$AI$20</f>
        <v>INDSWH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ISDPH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INDSWH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ISDPH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INDSWH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INDSDSHELCN2</v>
      </c>
      <c r="E27" s="261" t="str">
        <f>"Industrial heating technology "&amp;$AJ$12&amp;" "&amp;RIGHT(H27,2)&amp;" - Heat driven heat pump utilizing waste heat - new 2"</f>
        <v>Industrial heating technology Iron &amp; Steel SH - Heat driven heat pump utilizing waste heat - new 2</v>
      </c>
      <c r="F27" s="224" t="s">
        <v>1149</v>
      </c>
      <c r="G27" s="173" t="s">
        <v>499</v>
      </c>
      <c r="H27" s="174" t="str">
        <f>$AI$15</f>
        <v>ISDSH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INDSWH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ISDSH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INDSWH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ISDSH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INDSWH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INDSDPHELCN3</v>
      </c>
      <c r="E33" s="261" t="str">
        <f>"Industrial heating technology "&amp;$AJ$12&amp;" "&amp;RIGHT(H33,2)&amp;" - High Temp abs. Heat pump utilizing waste heat - new 3"</f>
        <v>Industrial heating technology Iron &amp; Steel PH - High Temp abs. Heat pump utilizing waste heat - new 3</v>
      </c>
      <c r="F33" s="224" t="s">
        <v>1149</v>
      </c>
      <c r="G33" s="173" t="s">
        <v>499</v>
      </c>
      <c r="H33" s="174" t="str">
        <f>$AI$14</f>
        <v>ISDPH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INDSWH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ISDPH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INDSWH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ISDPH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INDSWH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INDSDSHELCN3</v>
      </c>
      <c r="E39" s="261" t="str">
        <f>"Industrial heating technology "&amp;$AJ$12&amp;" "&amp;RIGHT(H39,2)&amp;" - High Temp abs. Heat pump utilizing waste heat - new 3"</f>
        <v>Industrial heating technology Iron &amp; Steel SH - High Temp abs. Heat pump utilizing waste heat - new 3</v>
      </c>
      <c r="F39" s="224" t="s">
        <v>1149</v>
      </c>
      <c r="G39" s="173" t="s">
        <v>499</v>
      </c>
      <c r="H39" s="174" t="str">
        <f>$AI$15</f>
        <v>ISDSH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INDSWH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ISDSH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INDSWH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ISDSH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INDSWH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INDSDPHELCN4</v>
      </c>
      <c r="E45" s="261" t="str">
        <f>"Industrial heating technology "&amp;$AJ$12&amp;" "&amp;RIGHT(H45,2)&amp;" - Booster Heat pump utilizing waste heat - new 4"</f>
        <v>Industrial heating technology Iron &amp; Steel PH - Booster Heat pump utilizing waste heat - new 4</v>
      </c>
      <c r="F45" s="224" t="s">
        <v>1149</v>
      </c>
      <c r="G45" s="173" t="s">
        <v>499</v>
      </c>
      <c r="H45" s="174" t="str">
        <f>$AI$14</f>
        <v>ISDPH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INDSWH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ISDPH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INDSWH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ISDPH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INDSWH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INDSDSHELCN4</v>
      </c>
      <c r="E51" s="261" t="str">
        <f>"Industrial heating technology "&amp;$AJ$12&amp;" "&amp;RIGHT(H51,2)&amp;" - Booster Heat pump utilizing waste heat - new 4"</f>
        <v>Industrial heating technology Iron &amp; Steel SH - Booster Heat pump utilizing waste heat - new 4</v>
      </c>
      <c r="F51" s="224" t="s">
        <v>1149</v>
      </c>
      <c r="G51" s="173" t="s">
        <v>499</v>
      </c>
      <c r="H51" s="174" t="str">
        <f>$AI$15</f>
        <v>ISDSH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INDSWH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ISDSH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INDSWH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ISDSH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INDSWH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INDSDPHELCN5</v>
      </c>
      <c r="E57" s="261" t="str">
        <f>"Industrial heating technology "&amp;$AJ$12&amp;" "&amp;RIGHT(H57,2)&amp;" - MVR utilizing waste heat - new 5"</f>
        <v>Industrial heating technology Iron &amp; Steel PH - MVR utilizing waste heat - new 5</v>
      </c>
      <c r="F57" s="224" t="s">
        <v>1149</v>
      </c>
      <c r="G57" s="173" t="s">
        <v>499</v>
      </c>
      <c r="H57" s="174" t="str">
        <f>$AI$14</f>
        <v>ISDPH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INDSWH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ISDPH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INDSWH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ISDPH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INDSWH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INDSDPHWSTN1</v>
      </c>
      <c r="E63" s="261" t="str">
        <f>"Industrial heating technology "&amp;$AJ$12&amp;" "&amp;RIGHT(H63,2)&amp;" - Hotdisc - new 1"</f>
        <v>Industrial heating technology Iron &amp; Steel PH - Hotdisc - new 1</v>
      </c>
      <c r="F63" s="224" t="s">
        <v>1149</v>
      </c>
      <c r="G63" s="832" t="s">
        <v>1005</v>
      </c>
      <c r="H63" s="174" t="str">
        <f>$AI$13</f>
        <v>ISDPH</v>
      </c>
      <c r="I63" s="173" t="str">
        <f t="shared" ref="I63:I126" si="22">$AI$20</f>
        <v>INDSWH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INDSWH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INDSWH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INDSDPHELCN6</v>
      </c>
      <c r="E66" s="261" t="str">
        <f>"Industrial heating technology "&amp;$AJ$12&amp;" "&amp;RIGHT(H66,2)&amp;" - Dielectric heating - new 6"</f>
        <v>Industrial heating technology Iron &amp; Steel PH - Dielectric heating - new 6</v>
      </c>
      <c r="F66" s="224" t="s">
        <v>1149</v>
      </c>
      <c r="G66" s="173" t="s">
        <v>499</v>
      </c>
      <c r="H66" s="174" t="str">
        <f>$AI$14</f>
        <v>ISDPH</v>
      </c>
      <c r="I66" s="173" t="str">
        <f t="shared" si="22"/>
        <v>INDSWH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INDSWH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INDSWH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INDSDPHELCN7</v>
      </c>
      <c r="E69" s="261" t="str">
        <f>"Industrial heating technology "&amp;$AJ$12&amp;" "&amp;RIGHT(H69,2)&amp;" - Infrared heating - new 7"</f>
        <v>Industrial heating technology Iron &amp; Steel PH - Infrared heating - new 7</v>
      </c>
      <c r="F69" s="224" t="s">
        <v>1149</v>
      </c>
      <c r="G69" s="173" t="s">
        <v>499</v>
      </c>
      <c r="H69" s="174" t="str">
        <f>$AI$14</f>
        <v>ISDPH</v>
      </c>
      <c r="I69" s="173" t="str">
        <f t="shared" si="22"/>
        <v>INDSWH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INDSWH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INDSWH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INDSDPHELCN8</v>
      </c>
      <c r="E72" s="261" t="str">
        <f>"Industrial heating technology "&amp;$AJ$12&amp;" "&amp;RIGHT(H72,2)&amp;" - Electric boiler (Steam) - new 8"</f>
        <v>Industrial heating technology Iron &amp; Steel PH - Electric boiler (Steam) - new 8</v>
      </c>
      <c r="F72" s="224" t="s">
        <v>1149</v>
      </c>
      <c r="G72" s="173" t="s">
        <v>499</v>
      </c>
      <c r="H72" s="174" t="str">
        <f>$AI$13</f>
        <v>ISDPH</v>
      </c>
      <c r="I72" s="174" t="str">
        <f t="shared" si="22"/>
        <v>INDSWH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INDSWH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INDSWH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INDSDPHELCN8</v>
      </c>
      <c r="E75" s="261" t="str">
        <f>"Industrial heating technology "&amp;$AJ$12&amp;" "&amp;RIGHT(H75,2)&amp;" - Electric boiler (Steam) - new 8"</f>
        <v>Industrial heating technology Iron &amp; Steel PH - Electric boiler (Steam) - new 8</v>
      </c>
      <c r="F75" s="224" t="s">
        <v>1149</v>
      </c>
      <c r="G75" s="173" t="s">
        <v>499</v>
      </c>
      <c r="H75" s="174" t="str">
        <f>$AI$14</f>
        <v>ISDPH</v>
      </c>
      <c r="I75" s="174" t="str">
        <f t="shared" si="22"/>
        <v>INDSWH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INDSWH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INDSWH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INDSDSHELCN8</v>
      </c>
      <c r="E78" s="261" t="str">
        <f>"Industrial heating technology "&amp;$AJ$12&amp;" "&amp;RIGHT(H78,2)&amp;" - Electric boiler (Steam) - new 8"</f>
        <v>Industrial heating technology Iron &amp; Steel SH - Electric boiler (Steam) - new 8</v>
      </c>
      <c r="F78" s="224" t="s">
        <v>1149</v>
      </c>
      <c r="G78" s="173" t="s">
        <v>499</v>
      </c>
      <c r="H78" s="174" t="str">
        <f>$AI$15</f>
        <v>ISDSH</v>
      </c>
      <c r="I78" s="174" t="str">
        <f t="shared" si="22"/>
        <v>INDSWH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INDSWH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INDSWH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INDSDPHELCN9</v>
      </c>
      <c r="E81" s="707" t="str">
        <f>"Industrial heating technology "&amp;$AJ$12&amp;" "&amp;RIGHT(H81,2)&amp;" - Electric boiler (Hot Water) - new 9"</f>
        <v>Industrial heating technology Iron &amp; Steel PH - Electric boiler (Hot Water) - new 9</v>
      </c>
      <c r="F81" s="224" t="s">
        <v>1149</v>
      </c>
      <c r="G81" s="708" t="s">
        <v>499</v>
      </c>
      <c r="H81" s="708" t="str">
        <f>$AI$14</f>
        <v>ISDPH</v>
      </c>
      <c r="I81" s="708" t="str">
        <f t="shared" si="22"/>
        <v>INDSWH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INDSWH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INDSWH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INDSDSHELCN9</v>
      </c>
      <c r="E84" s="261" t="str">
        <f>"Industrial heating technology "&amp;$AJ$12&amp;" "&amp;RIGHT(H84,2)&amp;" - Electric boiler (Hot Water) - new 9"</f>
        <v>Industrial heating technology Iron &amp; Steel SH - Electric boiler (Hot Water) - new 9</v>
      </c>
      <c r="F84" s="224" t="s">
        <v>1149</v>
      </c>
      <c r="G84" s="174" t="s">
        <v>499</v>
      </c>
      <c r="H84" s="174" t="str">
        <f>$AI$15</f>
        <v>ISDSH</v>
      </c>
      <c r="I84" s="174" t="str">
        <f t="shared" si="22"/>
        <v>INDSWH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INDSWH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INDSWH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INDSDPHWCHN1</v>
      </c>
      <c r="E87" s="261" t="str">
        <f>"Industrial heating technology "&amp;$AJ$12&amp;" "&amp;RIGHT(H87,2)&amp;" - Wood chip boiler (Steam) - new 1"</f>
        <v>Industrial heating technology Iron &amp; Steel PH - Wood chip boiler (Steam) - new 1</v>
      </c>
      <c r="F87" s="224" t="s">
        <v>1149</v>
      </c>
      <c r="G87" s="173" t="s">
        <v>498</v>
      </c>
      <c r="H87" s="174" t="str">
        <f>$AI$13</f>
        <v>ISDPH</v>
      </c>
      <c r="I87" s="174" t="str">
        <f t="shared" si="22"/>
        <v>INDSWH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INDSWH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INDSWH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INDSDPHWCHN1</v>
      </c>
      <c r="E90" s="261" t="str">
        <f>"Industrial heating technology "&amp;$AJ$12&amp;" "&amp;RIGHT(H90,2)&amp;" - Wood chip boiler (Steam) - new 1"</f>
        <v>Industrial heating technology Iron &amp; Steel PH - Wood chip boiler (Steam) - new 1</v>
      </c>
      <c r="F90" s="224" t="s">
        <v>1149</v>
      </c>
      <c r="G90" s="173" t="s">
        <v>498</v>
      </c>
      <c r="H90" s="174" t="str">
        <f>$AI$14</f>
        <v>ISDPH</v>
      </c>
      <c r="I90" s="174" t="str">
        <f t="shared" si="22"/>
        <v>INDSWH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INDSWH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INDSWH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INDSDSHWCHN1</v>
      </c>
      <c r="E93" s="261" t="str">
        <f>"Industrial heating technology "&amp;$AJ$12&amp;" "&amp;RIGHT(H93,2)&amp;" - Wood chip boiler (Steam) - new 1"</f>
        <v>Industrial heating technology Iron &amp; Steel SH - Wood chip boiler (Steam) - new 1</v>
      </c>
      <c r="F93" s="224" t="s">
        <v>1149</v>
      </c>
      <c r="G93" s="173" t="s">
        <v>498</v>
      </c>
      <c r="H93" s="174" t="str">
        <f>$AI$15</f>
        <v>ISDSH</v>
      </c>
      <c r="I93" s="174" t="str">
        <f t="shared" si="22"/>
        <v>INDSWH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INDSWH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INDSWH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INDSDPHWCHN2</v>
      </c>
      <c r="E96" s="707" t="str">
        <f>"Industrial heating technology "&amp;$AJ$12&amp;" "&amp;RIGHT(H96,2)&amp;" - Wood chip boiler (Steam - condensing) - new 2"</f>
        <v>Industrial heating technology Iron &amp; Steel PH - Wood chip boiler (Steam - condensing) - new 2</v>
      </c>
      <c r="F96" s="224" t="s">
        <v>1149</v>
      </c>
      <c r="G96" s="708" t="s">
        <v>498</v>
      </c>
      <c r="H96" s="708" t="str">
        <f>$AI$14</f>
        <v>ISDPH</v>
      </c>
      <c r="I96" s="708" t="str">
        <f t="shared" si="22"/>
        <v>INDSWH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INDSWH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INDSWH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INDSDSHWCHN2</v>
      </c>
      <c r="E99" s="261" t="str">
        <f>"Industrial heating technology "&amp;$AJ$12&amp;" "&amp;RIGHT(H99,2)&amp;" - Wood chip boiler (Steam - condensing) - new 2"</f>
        <v>Industrial heating technology Iron &amp; Steel SH - Wood chip boiler (Steam - condensing) - new 2</v>
      </c>
      <c r="F99" s="224" t="s">
        <v>1149</v>
      </c>
      <c r="G99" s="174" t="s">
        <v>498</v>
      </c>
      <c r="H99" s="174" t="str">
        <f>$AI$15</f>
        <v>ISDSH</v>
      </c>
      <c r="I99" s="174" t="str">
        <f t="shared" si="22"/>
        <v>INDSWH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INDSWH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INDSWH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INDSDPHWCHN3</v>
      </c>
      <c r="E102" s="707" t="str">
        <f>"Industrial heating technology "&amp;$AJ$12&amp;" "&amp;RIGHT(H102,2)&amp;" - Wood chip boiler (Hot Water) - new 3"</f>
        <v>Industrial heating technology Iron &amp; Steel PH - Wood chip boiler (Hot Water) - new 3</v>
      </c>
      <c r="F102" s="224" t="s">
        <v>1149</v>
      </c>
      <c r="G102" s="708" t="s">
        <v>498</v>
      </c>
      <c r="H102" s="708" t="str">
        <f>$AI$14</f>
        <v>ISDPH</v>
      </c>
      <c r="I102" s="708" t="str">
        <f t="shared" si="22"/>
        <v>INDSWH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INDSWH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INDSWH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INDSDSHWCHN3</v>
      </c>
      <c r="E105" s="261" t="str">
        <f>"Industrial heating technology "&amp;$AJ$12&amp;" "&amp;RIGHT(H105,2)&amp;" - Wood chip boiler (Hot Water) - new 3"</f>
        <v>Industrial heating technology Iron &amp; Steel SH - Wood chip boiler (Hot Water) - new 3</v>
      </c>
      <c r="F105" s="224" t="s">
        <v>1149</v>
      </c>
      <c r="G105" s="174" t="s">
        <v>498</v>
      </c>
      <c r="H105" s="174" t="str">
        <f>$AI$15</f>
        <v>ISDSH</v>
      </c>
      <c r="I105" s="174" t="str">
        <f t="shared" si="22"/>
        <v>INDSWH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INDSWH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INDSWH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INDSDPHWCHN4</v>
      </c>
      <c r="E108" s="707" t="str">
        <f>"Industrial heating technology "&amp;$AJ$12&amp;" "&amp;RIGHT(H108,2)&amp;" - Wood chip boiler (Hot Water - condensing) - new 4"</f>
        <v>Industrial heating technology Iron &amp; Steel PH - Wood chip boiler (Hot Water - condensing) - new 4</v>
      </c>
      <c r="F108" s="224" t="s">
        <v>1149</v>
      </c>
      <c r="G108" s="708" t="s">
        <v>498</v>
      </c>
      <c r="H108" s="708" t="str">
        <f>$AI$14</f>
        <v>ISDPH</v>
      </c>
      <c r="I108" s="708" t="str">
        <f t="shared" si="22"/>
        <v>INDSWH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INDSWH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INDSWH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INDSDSHWCHN4</v>
      </c>
      <c r="E111" s="261" t="str">
        <f>"Industrial heating technology "&amp;$AJ$12&amp;" "&amp;RIGHT(H111,2)&amp;" - Wood chip boiler (Hot Water- condensing) - new 4"</f>
        <v>Industrial heating technology Iron &amp; Steel SH - Wood chip boiler (Hot Water- condensing) - new 4</v>
      </c>
      <c r="F111" s="224" t="s">
        <v>1149</v>
      </c>
      <c r="G111" s="174" t="s">
        <v>498</v>
      </c>
      <c r="H111" s="174" t="str">
        <f>$AI$15</f>
        <v>ISDSH</v>
      </c>
      <c r="I111" s="174" t="str">
        <f t="shared" si="22"/>
        <v>INDSWH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INDSWH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INDSWH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INDSDPHELCN10</v>
      </c>
      <c r="E114" s="261" t="str">
        <f>"Industrial heating technology "&amp;$AJ$12&amp;" "&amp;RIGHT(H114,2)&amp;" - Direct electric heating - new 10"</f>
        <v>Industrial heating technology Iron &amp; Steel PH - Direct electric heating - new 10</v>
      </c>
      <c r="F114" s="224" t="s">
        <v>1149</v>
      </c>
      <c r="G114" s="173" t="s">
        <v>499</v>
      </c>
      <c r="H114" s="174" t="str">
        <f>$AI$13</f>
        <v>ISDPH</v>
      </c>
      <c r="I114" s="174" t="str">
        <f t="shared" si="22"/>
        <v>INDSWH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INDSWH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INDSWH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INDSDPHELCN10</v>
      </c>
      <c r="E117" s="261" t="str">
        <f>"Industrial heating technology "&amp;$AJ$12&amp;" "&amp;RIGHT(H117,2)&amp;" - Direct electric heating - new 10"</f>
        <v>Industrial heating technology Iron &amp; Steel PH - Direct electric heating - new 10</v>
      </c>
      <c r="F117" s="224" t="s">
        <v>1149</v>
      </c>
      <c r="G117" s="173" t="s">
        <v>499</v>
      </c>
      <c r="H117" s="174" t="str">
        <f>$AI$14</f>
        <v>ISDPH</v>
      </c>
      <c r="I117" s="174" t="str">
        <f t="shared" si="22"/>
        <v>INDSWH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INDSWH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INDSWH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INDSDPHDSLN1</v>
      </c>
      <c r="E120" s="261" t="str">
        <f>"Industrial heating technology "&amp;$AJ$12&amp;" "&amp;RIGHT(H120,2)&amp;" - Oil boiler (Steam) - new 1"</f>
        <v>Industrial heating technology Iron &amp; Steel PH - Oil boiler (Steam) - new 1</v>
      </c>
      <c r="F120" s="224" t="s">
        <v>1149</v>
      </c>
      <c r="G120" s="173" t="s">
        <v>2081</v>
      </c>
      <c r="H120" s="174" t="str">
        <f>$AI$13</f>
        <v>ISDPH</v>
      </c>
      <c r="I120" s="174" t="str">
        <f t="shared" si="22"/>
        <v>INDSWH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INDSWH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INDSWH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INDSDPHDSLN1</v>
      </c>
      <c r="E123" s="261" t="str">
        <f>"Industrial heating technology "&amp;$AJ$12&amp;" "&amp;RIGHT(H123,2)&amp;" - Oil boiler (Steam) - new 1"</f>
        <v>Industrial heating technology Iron &amp; Steel PH - Oil boiler (Steam) - new 1</v>
      </c>
      <c r="F123" s="224" t="s">
        <v>1149</v>
      </c>
      <c r="G123" s="173" t="s">
        <v>2081</v>
      </c>
      <c r="H123" s="174" t="str">
        <f>$AI$14</f>
        <v>ISDPH</v>
      </c>
      <c r="I123" s="174" t="str">
        <f t="shared" si="22"/>
        <v>INDSWH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INDSWH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INDSWH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INDSDSHDSLN1</v>
      </c>
      <c r="E126" s="261" t="str">
        <f>"Industrial heating technology "&amp;$AJ$12&amp;" "&amp;RIGHT(H126,2)&amp;" - Oil boiler (Steam) - new 1"</f>
        <v>Industrial heating technology Iron &amp; Steel SH - Oil boiler (Steam) - new 1</v>
      </c>
      <c r="F126" s="224" t="s">
        <v>1149</v>
      </c>
      <c r="G126" s="173" t="s">
        <v>2081</v>
      </c>
      <c r="H126" s="174" t="str">
        <f>$AI$15</f>
        <v>ISDSH</v>
      </c>
      <c r="I126" s="174" t="str">
        <f t="shared" si="22"/>
        <v>INDSWH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INDSWH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INDSWH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INDSDPHDSLN2</v>
      </c>
      <c r="E129" s="707" t="str">
        <f>"Industrial heating technology "&amp;$AJ$12&amp;" "&amp;RIGHT(H129,2)&amp;" - Oil boiler (Steam - condensing) - new 2"</f>
        <v>Industrial heating technology Iron &amp; Steel PH - Oil boiler (Steam - condensing) - new 2</v>
      </c>
      <c r="F129" s="224" t="s">
        <v>1149</v>
      </c>
      <c r="G129" s="173" t="s">
        <v>2081</v>
      </c>
      <c r="H129" s="708" t="str">
        <f>$AI$14</f>
        <v>ISDPH</v>
      </c>
      <c r="I129" s="708" t="str">
        <f t="shared" si="143"/>
        <v>INDSWH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INDSWH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INDSWH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INDSDSHDSLN2</v>
      </c>
      <c r="E132" s="261" t="str">
        <f>"Industrial heating technology "&amp;$AJ$12&amp;" "&amp;RIGHT(H132,2)&amp;" - Oil boiler (Steam - condensing) - new 2"</f>
        <v>Industrial heating technology Iron &amp; Steel SH - Oil boiler (Steam - condensing) - new 2</v>
      </c>
      <c r="F132" s="224" t="s">
        <v>1149</v>
      </c>
      <c r="G132" s="173" t="s">
        <v>2081</v>
      </c>
      <c r="H132" s="174" t="str">
        <f>$AI$15</f>
        <v>ISDSH</v>
      </c>
      <c r="I132" s="174" t="str">
        <f t="shared" si="143"/>
        <v>INDSWH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INDSWH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INDSWH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INDSDPHGASN1</v>
      </c>
      <c r="E135" s="261" t="str">
        <f>"Industrial heating technology "&amp;$AJ$12&amp;" "&amp;RIGHT(H135,2)&amp;" - Gas boiler (Steam) - new 1"</f>
        <v>Industrial heating technology Iron &amp; Steel PH - Gas boiler (Steam) - new 1</v>
      </c>
      <c r="F135" s="224" t="s">
        <v>1149</v>
      </c>
      <c r="G135" s="173" t="s">
        <v>2080</v>
      </c>
      <c r="H135" s="174" t="str">
        <f>$AI$13</f>
        <v>ISDPH</v>
      </c>
      <c r="I135" s="174" t="str">
        <f t="shared" si="143"/>
        <v>INDSWH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INDSWH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INDSWH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INDSDPHGASN1</v>
      </c>
      <c r="E138" s="261" t="str">
        <f>"Industrial heating technology "&amp;$AJ$12&amp;" "&amp;RIGHT(H138,2)&amp;" - Gas boiler (Steam) - new 1"</f>
        <v>Industrial heating technology Iron &amp; Steel PH - Gas boiler (Steam) - new 1</v>
      </c>
      <c r="F138" s="224" t="s">
        <v>1149</v>
      </c>
      <c r="G138" s="173" t="s">
        <v>2080</v>
      </c>
      <c r="H138" s="174" t="str">
        <f>$AI$14</f>
        <v>ISDPH</v>
      </c>
      <c r="I138" s="174" t="str">
        <f t="shared" si="143"/>
        <v>INDSWH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INDSWH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INDSWH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INDSDSHGASN1</v>
      </c>
      <c r="E141" s="261" t="str">
        <f>"Industrial heating technology "&amp;$AJ$12&amp;" "&amp;RIGHT(H141,2)&amp;" - Gas boiler (Steam) - new 1"</f>
        <v>Industrial heating technology Iron &amp; Steel SH - Gas boiler (Steam) - new 1</v>
      </c>
      <c r="F141" s="224" t="s">
        <v>1149</v>
      </c>
      <c r="G141" s="173" t="s">
        <v>2080</v>
      </c>
      <c r="H141" s="174" t="str">
        <f>$AI$15</f>
        <v>ISDSH</v>
      </c>
      <c r="I141" s="174" t="str">
        <f t="shared" si="143"/>
        <v>INDSWH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INDSWH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INDSWH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INDSDPHGASN2</v>
      </c>
      <c r="E144" s="707" t="str">
        <f>"Industrial heating technology "&amp;$AJ$12&amp;" "&amp;RIGHT(H144,2)&amp;" - Gas boiler (Steam - condensing) - new 2"</f>
        <v>Industrial heating technology Iron &amp; Steel PH - Gas boiler (Steam - condensing) - new 2</v>
      </c>
      <c r="F144" s="224" t="s">
        <v>1149</v>
      </c>
      <c r="G144" s="173" t="s">
        <v>2080</v>
      </c>
      <c r="H144" s="708" t="str">
        <f>$AI$14</f>
        <v>ISDPH</v>
      </c>
      <c r="I144" s="708" t="str">
        <f t="shared" si="143"/>
        <v>INDSWH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INDSWH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INDSWH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INDSDSHGASN2</v>
      </c>
      <c r="E147" s="261" t="str">
        <f>"Industrial heating technology "&amp;$AJ$12&amp;" "&amp;RIGHT(H147,2)&amp;" - Gas boiler (Steam - condensing) - new 2"</f>
        <v>Industrial heating technology Iron &amp; Steel SH - Gas boiler (Steam - condensing) - new 2</v>
      </c>
      <c r="F147" s="224" t="s">
        <v>1149</v>
      </c>
      <c r="G147" s="173" t="s">
        <v>2080</v>
      </c>
      <c r="H147" s="174" t="str">
        <f>$AI$15</f>
        <v>ISDSH</v>
      </c>
      <c r="I147" s="174" t="str">
        <f t="shared" si="143"/>
        <v>INDSWH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INDSWH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INDSWH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INDSDPHGASN3</v>
      </c>
      <c r="E150" s="707" t="str">
        <f>"Industrial heating technology "&amp;$AJ$12&amp;" "&amp;RIGHT(H150,2)&amp;" - Gas boiler (Hot Water) - new 3"</f>
        <v>Industrial heating technology Iron &amp; Steel PH - Gas boiler (Hot Water) - new 3</v>
      </c>
      <c r="F150" s="224" t="s">
        <v>1149</v>
      </c>
      <c r="G150" s="173" t="s">
        <v>2080</v>
      </c>
      <c r="H150" s="708" t="str">
        <f>$AI$14</f>
        <v>ISDPH</v>
      </c>
      <c r="I150" s="708" t="str">
        <f t="shared" si="143"/>
        <v>INDSWH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INDSWH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INDSWH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INDSDSHGASN3</v>
      </c>
      <c r="E153" s="261" t="str">
        <f>"Industrial heating technology "&amp;$AJ$12&amp;" "&amp;RIGHT(H153,2)&amp;" - Gas boiler (Hot Water) - new 3"</f>
        <v>Industrial heating technology Iron &amp; Steel SH - Gas boiler (Hot Water) - new 3</v>
      </c>
      <c r="F153" s="224" t="s">
        <v>1149</v>
      </c>
      <c r="G153" s="173" t="s">
        <v>2080</v>
      </c>
      <c r="H153" s="174" t="str">
        <f>$AI$15</f>
        <v>ISDSH</v>
      </c>
      <c r="I153" s="174" t="str">
        <f t="shared" si="143"/>
        <v>INDSWH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INDSWH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INDSWH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INDSDPHGASN4</v>
      </c>
      <c r="E156" s="707" t="str">
        <f>"Industrial heating technology "&amp;$AJ$12&amp;" "&amp;RIGHT(H156,2)&amp;" - Gas boiler (Hot Water - condensing) - new 4"</f>
        <v>Industrial heating technology Iron &amp; Steel PH - Gas boiler (Hot Water - condensing) - new 4</v>
      </c>
      <c r="F156" s="224" t="s">
        <v>1149</v>
      </c>
      <c r="G156" s="173" t="s">
        <v>2080</v>
      </c>
      <c r="H156" s="708" t="str">
        <f>$AI$14</f>
        <v>ISDPH</v>
      </c>
      <c r="I156" s="708" t="str">
        <f t="shared" si="143"/>
        <v>INDSWH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INDSWH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INDSWH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INDSDSHGASN4</v>
      </c>
      <c r="E159" s="261" t="str">
        <f>"Industrial heating technology "&amp;$AJ$12&amp;" "&amp;RIGHT(H159,2)&amp;" - Gas boiler (Hot Water- condensing) - new 4"</f>
        <v>Industrial heating technology Iron &amp; Steel SH - Gas boiler (Hot Water- condensing) - new 4</v>
      </c>
      <c r="F159" s="224" t="s">
        <v>1149</v>
      </c>
      <c r="G159" s="173" t="s">
        <v>2080</v>
      </c>
      <c r="H159" s="174" t="str">
        <f>$AI$15</f>
        <v>ISDSH</v>
      </c>
      <c r="I159" s="174" t="str">
        <f t="shared" si="143"/>
        <v>INDSWH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INDSWH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INDSWH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INDSDPHGASN5</v>
      </c>
      <c r="E162" s="707" t="str">
        <f>"Industrial heating technology "&amp;$AJ$12&amp;" "&amp;RIGHT(H162,2)&amp;" - Gas boiler (Direct firing) - new 5"</f>
        <v>Industrial heating technology Iron &amp; Steel PH - Gas boiler (Direct firing) - new 5</v>
      </c>
      <c r="F162" s="224" t="s">
        <v>1149</v>
      </c>
      <c r="G162" s="173" t="s">
        <v>2080</v>
      </c>
      <c r="H162" s="174" t="str">
        <f>$AI$13</f>
        <v>ISDPH</v>
      </c>
      <c r="I162" s="174" t="str">
        <f t="shared" si="143"/>
        <v>INDSWH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INDSWH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INDSWH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INDSDPHGASN5</v>
      </c>
      <c r="E165" s="261" t="str">
        <f>"Industrial heating technology "&amp;$AJ$12&amp;" "&amp;RIGHT(H165,2)&amp;" - Gas boiler (Direct firing) - new 5"</f>
        <v>Industrial heating technology Iron &amp; Steel PH - Gas boiler (Direct firing) - new 5</v>
      </c>
      <c r="F165" s="224" t="s">
        <v>1149</v>
      </c>
      <c r="G165" s="173" t="s">
        <v>2080</v>
      </c>
      <c r="H165" s="174" t="str">
        <f>$AI$14</f>
        <v>ISDPH</v>
      </c>
      <c r="I165" s="721" t="str">
        <f t="shared" si="143"/>
        <v>INDSWH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INDSWH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INDSWH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INDSDPHCOAN1</v>
      </c>
      <c r="E168" s="261" t="str">
        <f>"Industrial heating technology "&amp;$AJ$12&amp;" "&amp;RIGHT(H168,2)&amp;" - Coal boiler (Steam) - new 1"</f>
        <v>Industrial heating technology Iron &amp; Steel PH - Coal boiler (Steam) - new 1</v>
      </c>
      <c r="F168" s="224" t="s">
        <v>1149</v>
      </c>
      <c r="G168" s="55" t="s">
        <v>617</v>
      </c>
      <c r="H168" s="174" t="str">
        <f>$AI$13</f>
        <v>ISDPH</v>
      </c>
      <c r="I168" s="174" t="str">
        <f t="shared" si="143"/>
        <v>INDSWH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INDSWH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INDSWH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INDSDPHCOAN1</v>
      </c>
      <c r="E171" s="261" t="str">
        <f>"Industrial heating technology "&amp;$AJ$12&amp;" "&amp;RIGHT(H171,2)&amp;" - Coal boiler (Steam) - new 1"</f>
        <v>Industrial heating technology Iron &amp; Steel PH - Coal boiler (Steam) - new 1</v>
      </c>
      <c r="F171" s="224" t="s">
        <v>1149</v>
      </c>
      <c r="G171" s="55" t="s">
        <v>617</v>
      </c>
      <c r="H171" s="174" t="str">
        <f>$AI$14</f>
        <v>ISDPH</v>
      </c>
      <c r="I171" s="174" t="str">
        <f t="shared" si="143"/>
        <v>INDSWH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INDSWH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INDSWH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INDSDSHCOAN1</v>
      </c>
      <c r="E174" s="261" t="str">
        <f>"Industrial heating technology "&amp;$AJ$12&amp;" "&amp;RIGHT(H174,2)&amp;" - Coal boiler (Steam) - new 1"</f>
        <v>Industrial heating technology Iron &amp; Steel SH - Coal boiler (Steam) - new 1</v>
      </c>
      <c r="F174" s="224" t="s">
        <v>1149</v>
      </c>
      <c r="G174" s="55" t="s">
        <v>617</v>
      </c>
      <c r="H174" s="174" t="str">
        <f>$AI$15</f>
        <v>ISDSH</v>
      </c>
      <c r="I174" s="174" t="str">
        <f t="shared" si="143"/>
        <v>INDSWH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INDSWH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INDSWH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INDSDPHCOAN2</v>
      </c>
      <c r="E177" s="261" t="str">
        <f>"Industrial heating technology "&amp;$AJ$12&amp;" "&amp;RIGHT(H177,2)&amp;" - Coal boiler (Hot Water) - new 2"</f>
        <v>Industrial heating technology Iron &amp; Steel PH - Coal boiler (Hot Water) - new 2</v>
      </c>
      <c r="F177" s="224" t="s">
        <v>1149</v>
      </c>
      <c r="G177" s="55" t="s">
        <v>617</v>
      </c>
      <c r="H177" s="174" t="str">
        <f>$AI$14</f>
        <v>ISDPH</v>
      </c>
      <c r="I177" s="174" t="str">
        <f t="shared" si="143"/>
        <v>INDSWH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INDSWH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INDSWH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INDSDSHCOAN2</v>
      </c>
      <c r="E180" s="261" t="str">
        <f>"Industrial heating technology "&amp;$AJ$12&amp;" "&amp;RIGHT(H180,2)&amp;" - Coal boiler (Hot Water) - new 2"</f>
        <v>Industrial heating technology Iron &amp; Steel SH - Coal boiler (Hot Water) - new 2</v>
      </c>
      <c r="F180" s="224" t="s">
        <v>1149</v>
      </c>
      <c r="G180" s="55" t="s">
        <v>617</v>
      </c>
      <c r="H180" s="174" t="str">
        <f>$AI$15</f>
        <v>ISDSH</v>
      </c>
      <c r="I180" s="174" t="str">
        <f t="shared" si="143"/>
        <v>INDSWH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INDSWH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INDSWH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INDSDSHSOLN1</v>
      </c>
      <c r="E183" s="261" t="str">
        <f>"Industrial heating technology "&amp;$AJ$12&amp;" "&amp;RIGHT(H183,2)&amp;" - Solar - new 1"</f>
        <v>Industrial heating technology Iron &amp; Steel SH - Solar - new 1</v>
      </c>
      <c r="F183" s="224" t="s">
        <v>1149</v>
      </c>
      <c r="G183" s="55" t="s">
        <v>500</v>
      </c>
      <c r="H183" s="174" t="str">
        <f>$AI$15</f>
        <v>ISDSH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INDSDSHHCEN1</v>
      </c>
      <c r="E187" s="224" t="str">
        <f>"Industrial heating technology "&amp;$AJ$12&amp;" "&amp;RIGHT(H187,2)&amp;" - central district heating - within DH area - new 1"</f>
        <v>Industrial heating technology Iron &amp; Steel SH - central district heating - within DH area - new 1</v>
      </c>
      <c r="F187" s="224" t="s">
        <v>1149</v>
      </c>
      <c r="G187" s="225" t="s">
        <v>501</v>
      </c>
      <c r="H187" s="225" t="str">
        <f>AI15</f>
        <v>ISDSH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INDSDPHHCEN1</v>
      </c>
      <c r="E188" s="224" t="str">
        <f>"Industrial heating technology "&amp;$AJ$12&amp;" "&amp;RIGHT(H188,2)&amp;" - central district heating - within DH area - new 1"</f>
        <v>Industrial heating technology Iron &amp; Steel PH - central district heating - within DH area - new 1</v>
      </c>
      <c r="F188" s="224" t="s">
        <v>1149</v>
      </c>
      <c r="G188" s="225" t="s">
        <v>501</v>
      </c>
      <c r="H188" s="281" t="str">
        <f>AI14</f>
        <v>ISDPH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INDSDSHHSEN1</v>
      </c>
      <c r="E189" s="224" t="str">
        <f>"Industrial heating technology "&amp;$AJ$12&amp;" "&amp;RIGHT(H189,2)&amp;" - central district heating - within DH area - new 1"</f>
        <v>Industrial heating technology Iron &amp; Steel SH - central district heating - within DH area - new 1</v>
      </c>
      <c r="F189" s="224" t="s">
        <v>1149</v>
      </c>
      <c r="G189" s="225" t="s">
        <v>2125</v>
      </c>
      <c r="H189" s="225" t="str">
        <f>H187</f>
        <v>ISDSH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INDSDPHHSEN1</v>
      </c>
      <c r="E190" s="224" t="str">
        <f>"Industrial heating technology "&amp;$AJ$12&amp;" "&amp;RIGHT(H190,2)&amp;" - central district heating - within DH area - new 1"</f>
        <v>Industrial heating technology Iron &amp; Steel PH - central district heating - within DH area - new 1</v>
      </c>
      <c r="F190" s="224" t="s">
        <v>1149</v>
      </c>
      <c r="G190" s="225" t="s">
        <v>2125</v>
      </c>
      <c r="H190" s="225" t="str">
        <f>H188</f>
        <v>ISDPH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INDSDSHHDEN1</v>
      </c>
      <c r="E191" s="224" t="str">
        <f>"Industrial heating technology "&amp;$AJ$12&amp;" "&amp;RIGHT(H191,2)&amp;" - decentral district heating - within DH area - new 1"</f>
        <v>Industrial heating technology Iron &amp; Steel SH - decentral district heating - within DH area - new 1</v>
      </c>
      <c r="F191" s="224" t="s">
        <v>1149</v>
      </c>
      <c r="G191" s="259" t="s">
        <v>502</v>
      </c>
      <c r="H191" s="265" t="str">
        <f>AI15</f>
        <v>ISDSH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INDSDPHHDEN1</v>
      </c>
      <c r="E192" s="224" t="str">
        <f>"Industrial heating technology "&amp;$AJ$12&amp;" "&amp;RIGHT(H192,2)&amp;" - decentral district heating - within DH area - new 1"</f>
        <v>Industrial heating technology Iron &amp; Steel PH - decentral district heating - within DH area - new 1</v>
      </c>
      <c r="F192" s="224" t="s">
        <v>1149</v>
      </c>
      <c r="G192" s="259" t="s">
        <v>502</v>
      </c>
      <c r="H192" s="225" t="str">
        <f>AI14</f>
        <v>ISDPH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INDSDLAELCN1</v>
      </c>
      <c r="E194" s="224" t="str">
        <f>"Industry "&amp;$AJ$12&amp;" "&amp;RIGHT(H194,2)&amp;" Electricity Light Appliance - New 1"</f>
        <v>Industry Iron &amp; Steel LA Electricity Light Appliance - New 1</v>
      </c>
      <c r="F194" s="224" t="s">
        <v>1149</v>
      </c>
      <c r="G194" s="225" t="s">
        <v>499</v>
      </c>
      <c r="H194" s="225" t="str">
        <f>AI16</f>
        <v>ISDLA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INDSDEMELCN1</v>
      </c>
      <c r="E198" s="224" t="str">
        <f>"Industry "&amp;$AJ$12&amp;" "&amp;RIGHT(H198,2)&amp;" Electricity Motors - New 1"</f>
        <v>Industry Iron &amp; Steel EM Electricity Motors - New 1</v>
      </c>
      <c r="F198" s="224" t="s">
        <v>1149</v>
      </c>
      <c r="G198" s="225" t="s">
        <v>499</v>
      </c>
      <c r="H198" s="225" t="str">
        <f>AI17</f>
        <v>ISDEM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INDSDTFDSLN1</v>
      </c>
      <c r="E202" s="224" t="str">
        <f>"Industry "&amp;$AJ$12&amp;" "&amp;RIGHT(H202,2)&amp;" Tractors, Trucks, Fishing boats - New 1"</f>
        <v>Industry Iron &amp; Steel TF Tractors, Trucks, Fishing boats - New 1</v>
      </c>
      <c r="F202" s="224" t="s">
        <v>1149</v>
      </c>
      <c r="G202" s="173" t="s">
        <v>2081</v>
      </c>
      <c r="H202" s="174" t="str">
        <f>$AI$18</f>
        <v>ISDTF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INDSDTFH2GN2</v>
      </c>
      <c r="E206" s="224" t="str">
        <f>"Industry "&amp;$AJ$12&amp;" "&amp;RIGHT(H206,2)&amp;" Tractors, Trucks, Fishing boats - New 2"</f>
        <v>Industry Iron &amp; Steel TF Tractors, Trucks, Fishing boats - New 2</v>
      </c>
      <c r="F206" s="224" t="s">
        <v>1149</v>
      </c>
      <c r="G206" s="55" t="s">
        <v>2077</v>
      </c>
      <c r="H206" s="174" t="str">
        <f>$AI$18</f>
        <v>ISDTF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INDSDTFELCN3</v>
      </c>
      <c r="E210" s="224" t="str">
        <f>"Industry "&amp;$AJ$12&amp;" "&amp;RIGHT(H210,2)&amp;" Tractors, Trucks, Fishing boats - New 3"</f>
        <v>Industry Iron &amp; Steel TF Tractors, Trucks, Fishing boats - New 3</v>
      </c>
      <c r="F210" s="224" t="s">
        <v>1149</v>
      </c>
      <c r="G210" s="55" t="s">
        <v>499</v>
      </c>
      <c r="H210" s="174" t="str">
        <f>$AI$18</f>
        <v>ISDTF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INDSDFLSYNN1</v>
      </c>
      <c r="E214" s="224" t="str">
        <f>"Industry "&amp;$AJ$12&amp;" "&amp;RIGHT(H202,2)&amp;" Forklifts - New 1"</f>
        <v>Industry Iron &amp; Steel TF Forklifts - New 1</v>
      </c>
      <c r="F214" s="224" t="s">
        <v>1149</v>
      </c>
      <c r="G214" s="173" t="s">
        <v>2082</v>
      </c>
      <c r="H214" s="224" t="str">
        <f>AI19</f>
        <v>ISDFL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INDSDCOELCN1</v>
      </c>
      <c r="E218" s="224" t="str">
        <f>"Industry "&amp;$AJ$12&amp;" "&amp;RIGHT(H218,2)&amp;" Cooling - New 1"</f>
        <v>Industry Iron &amp; Steel CO Cooling - New 1</v>
      </c>
      <c r="F218" s="224" t="s">
        <v>1149</v>
      </c>
      <c r="G218" s="173" t="s">
        <v>499</v>
      </c>
      <c r="H218" s="224" t="str">
        <f>AI21</f>
        <v>ISDCO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INDSDPHELCN1</v>
      </c>
      <c r="E229" s="212" t="str">
        <f t="shared" ref="E229:E260" si="266">VLOOKUP(D229,$D$9:$E$222,2,FALSE)</f>
        <v>Industrial heating technology Iron &amp; Steel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INDSDSHELCN1</v>
      </c>
      <c r="E230" s="212" t="str">
        <f t="shared" ca="1" si="266"/>
        <v>Industrial heating technology Iron &amp; Steel SH - Heat pump utilizing waste heat - new 1</v>
      </c>
      <c r="F230" s="262" t="s">
        <v>450</v>
      </c>
      <c r="G230" s="262" t="s">
        <v>449</v>
      </c>
      <c r="H230" s="263" t="s">
        <v>620</v>
      </c>
      <c r="I230" s="301"/>
      <c r="J230" s="264" t="s">
        <v>469</v>
      </c>
    </row>
    <row r="231" spans="1:10">
      <c r="A231" s="169"/>
      <c r="D231" s="212" t="str">
        <f t="shared" ca="1" si="267"/>
        <v>INDSDPHELCN2</v>
      </c>
      <c r="E231" s="212" t="str">
        <f t="shared" ca="1" si="266"/>
        <v>Industrial heating technology Iron &amp; Steel PH - Heat driven heat pump utilizing waste heat - new 2</v>
      </c>
      <c r="F231" s="211" t="s">
        <v>450</v>
      </c>
      <c r="G231" s="211" t="s">
        <v>449</v>
      </c>
      <c r="H231" s="263" t="s">
        <v>620</v>
      </c>
      <c r="I231" s="208"/>
      <c r="J231" s="264" t="s">
        <v>469</v>
      </c>
    </row>
    <row r="232" spans="1:10">
      <c r="A232" s="169"/>
      <c r="B232" s="211"/>
      <c r="C232" s="211"/>
      <c r="D232" s="212" t="str">
        <f t="shared" ca="1" si="267"/>
        <v>INDSDSHELCN2</v>
      </c>
      <c r="E232" s="212" t="str">
        <f t="shared" ca="1" si="266"/>
        <v>Industrial heating technology Iron &amp; Steel SH - Heat driven heat pump utilizing waste heat - new 2</v>
      </c>
      <c r="F232" s="262" t="s">
        <v>450</v>
      </c>
      <c r="G232" s="262" t="s">
        <v>449</v>
      </c>
      <c r="H232" s="263" t="s">
        <v>620</v>
      </c>
      <c r="I232" s="264"/>
      <c r="J232" s="264" t="s">
        <v>469</v>
      </c>
    </row>
    <row r="233" spans="1:10">
      <c r="A233" s="169"/>
      <c r="B233" s="211"/>
      <c r="C233" s="211"/>
      <c r="D233" s="212" t="str">
        <f t="shared" ca="1" si="267"/>
        <v>INDSDPHELCN3</v>
      </c>
      <c r="E233" s="212" t="str">
        <f t="shared" ca="1" si="266"/>
        <v>Industrial heating technology Iron &amp; Steel PH - High Temp abs. Heat pump utilizing waste heat - new 3</v>
      </c>
      <c r="F233" s="262" t="s">
        <v>450</v>
      </c>
      <c r="G233" s="262" t="s">
        <v>449</v>
      </c>
      <c r="H233" s="263" t="s">
        <v>620</v>
      </c>
      <c r="I233" s="264"/>
      <c r="J233" s="264" t="s">
        <v>469</v>
      </c>
    </row>
    <row r="234" spans="1:10">
      <c r="A234" s="169"/>
      <c r="B234" s="211"/>
      <c r="C234" s="211"/>
      <c r="D234" s="212" t="str">
        <f t="shared" ca="1" si="267"/>
        <v>INDSDSHELCN3</v>
      </c>
      <c r="E234" s="212" t="str">
        <f t="shared" ca="1" si="266"/>
        <v>Industrial heating technology Iron &amp; Steel SH - High Temp abs. Heat pump utilizing waste heat - new 3</v>
      </c>
      <c r="F234" s="262" t="s">
        <v>450</v>
      </c>
      <c r="G234" s="262" t="s">
        <v>449</v>
      </c>
      <c r="H234" s="263" t="s">
        <v>620</v>
      </c>
      <c r="I234" s="264"/>
      <c r="J234" s="264" t="s">
        <v>469</v>
      </c>
    </row>
    <row r="235" spans="1:10">
      <c r="A235" s="169"/>
      <c r="B235" s="211"/>
      <c r="C235" s="211"/>
      <c r="D235" s="212" t="str">
        <f t="shared" ca="1" si="267"/>
        <v>INDSDPHELCN4</v>
      </c>
      <c r="E235" s="212" t="str">
        <f t="shared" ca="1" si="266"/>
        <v>Industrial heating technology Iron &amp; Steel PH - Booster Heat pump utilizing waste heat - new 4</v>
      </c>
      <c r="F235" s="262" t="s">
        <v>450</v>
      </c>
      <c r="G235" s="262" t="s">
        <v>449</v>
      </c>
      <c r="H235" s="263" t="s">
        <v>620</v>
      </c>
      <c r="I235" s="264"/>
      <c r="J235" s="264" t="s">
        <v>469</v>
      </c>
    </row>
    <row r="236" spans="1:10">
      <c r="A236" s="169"/>
      <c r="B236" s="211"/>
      <c r="C236" s="211"/>
      <c r="D236" s="212" t="str">
        <f t="shared" ca="1" si="267"/>
        <v>INDSDSHELCN4</v>
      </c>
      <c r="E236" s="212" t="str">
        <f t="shared" ca="1" si="266"/>
        <v>Industrial heating technology Iron &amp; Steel SH - Booster Heat pump utilizing waste heat - new 4</v>
      </c>
      <c r="F236" s="262" t="s">
        <v>450</v>
      </c>
      <c r="G236" s="262" t="s">
        <v>449</v>
      </c>
      <c r="H236" s="263" t="s">
        <v>620</v>
      </c>
      <c r="I236" s="264"/>
      <c r="J236" s="264" t="s">
        <v>469</v>
      </c>
    </row>
    <row r="237" spans="1:10">
      <c r="A237" s="169"/>
      <c r="B237" s="211"/>
      <c r="C237" s="211"/>
      <c r="D237" s="212" t="str">
        <f t="shared" ca="1" si="267"/>
        <v>INDSDPHELCN5</v>
      </c>
      <c r="E237" s="212" t="str">
        <f t="shared" ca="1" si="266"/>
        <v>Industrial heating technology Iron &amp; Steel PH - MVR utilizing waste heat - new 5</v>
      </c>
      <c r="F237" s="262" t="s">
        <v>450</v>
      </c>
      <c r="G237" s="262" t="s">
        <v>449</v>
      </c>
      <c r="H237" s="263"/>
      <c r="I237" s="264"/>
      <c r="J237" s="264" t="s">
        <v>469</v>
      </c>
    </row>
    <row r="238" spans="1:10">
      <c r="A238" s="169"/>
      <c r="B238" s="211"/>
      <c r="C238" s="211"/>
      <c r="D238" s="212" t="str">
        <f t="shared" ca="1" si="267"/>
        <v>INDSDPHWSTN1</v>
      </c>
      <c r="E238" s="212" t="str">
        <f t="shared" ca="1" si="266"/>
        <v>Industrial heating technology Iron &amp; Steel PH - Hotdisc - new 1</v>
      </c>
      <c r="F238" s="262" t="s">
        <v>450</v>
      </c>
      <c r="G238" s="262" t="s">
        <v>449</v>
      </c>
      <c r="H238" s="263" t="s">
        <v>620</v>
      </c>
      <c r="I238" s="264"/>
      <c r="J238" s="264" t="s">
        <v>469</v>
      </c>
    </row>
    <row r="239" spans="1:10">
      <c r="A239" s="169"/>
      <c r="B239" s="211"/>
      <c r="C239" s="211"/>
      <c r="D239" s="212" t="str">
        <f t="shared" ref="D239:D278" ca="1" si="268">OFFSET($D$9,(ROW(D19)*3),0)</f>
        <v>INDSDPHELCN6</v>
      </c>
      <c r="E239" s="212" t="str">
        <f t="shared" ca="1" si="266"/>
        <v>Industrial heating technology Iron &amp; Steel PH - Dielectric heating - new 6</v>
      </c>
      <c r="F239" s="262" t="s">
        <v>450</v>
      </c>
      <c r="G239" s="262" t="s">
        <v>449</v>
      </c>
      <c r="H239" s="263" t="s">
        <v>620</v>
      </c>
      <c r="I239" s="264"/>
      <c r="J239" s="264" t="s">
        <v>469</v>
      </c>
    </row>
    <row r="240" spans="1:10">
      <c r="A240" s="169"/>
      <c r="B240" s="211"/>
      <c r="C240" s="211"/>
      <c r="D240" s="212" t="str">
        <f t="shared" ca="1" si="268"/>
        <v>INDSDPHELCN7</v>
      </c>
      <c r="E240" s="212" t="str">
        <f t="shared" ca="1" si="266"/>
        <v>Industrial heating technology Iron &amp; Steel PH - Infrared heating - new 7</v>
      </c>
      <c r="F240" s="262" t="s">
        <v>450</v>
      </c>
      <c r="G240" s="262" t="s">
        <v>449</v>
      </c>
      <c r="H240" s="263" t="s">
        <v>620</v>
      </c>
      <c r="I240" s="264"/>
      <c r="J240" s="264" t="s">
        <v>469</v>
      </c>
    </row>
    <row r="241" spans="1:16">
      <c r="A241" s="169"/>
      <c r="B241" s="211"/>
      <c r="C241" s="211"/>
      <c r="D241" s="212" t="str">
        <f t="shared" ca="1" si="268"/>
        <v>INDSDPHELCN8</v>
      </c>
      <c r="E241" s="212" t="str">
        <f t="shared" ca="1" si="266"/>
        <v>Industrial heating technology Iron &amp; Steel PH - Electric boiler (Steam) - new 8</v>
      </c>
      <c r="F241" s="262" t="s">
        <v>450</v>
      </c>
      <c r="G241" s="262" t="s">
        <v>449</v>
      </c>
      <c r="H241" s="263" t="s">
        <v>620</v>
      </c>
      <c r="I241" s="264"/>
      <c r="J241" s="264" t="s">
        <v>469</v>
      </c>
    </row>
    <row r="242" spans="1:16">
      <c r="A242" s="169"/>
      <c r="B242" s="211"/>
      <c r="C242" s="211"/>
      <c r="D242" s="212" t="str">
        <f t="shared" ca="1" si="268"/>
        <v>INDSDPHELCN8</v>
      </c>
      <c r="E242" s="212" t="str">
        <f t="shared" ca="1" si="266"/>
        <v>Industrial heating technology Iron &amp; Steel PH - Electric boiler (Steam) - new 8</v>
      </c>
      <c r="F242" s="262" t="s">
        <v>450</v>
      </c>
      <c r="G242" s="262" t="s">
        <v>449</v>
      </c>
      <c r="H242" s="263" t="s">
        <v>620</v>
      </c>
      <c r="I242" s="264"/>
      <c r="J242" s="264" t="s">
        <v>469</v>
      </c>
    </row>
    <row r="243" spans="1:16">
      <c r="A243" s="169"/>
      <c r="B243" s="211"/>
      <c r="C243" s="211"/>
      <c r="D243" s="212" t="str">
        <f t="shared" ca="1" si="268"/>
        <v>INDSDSHELCN8</v>
      </c>
      <c r="E243" s="212" t="str">
        <f t="shared" ca="1" si="266"/>
        <v>Industrial heating technology Iron &amp; Steel SH - Electric boiler (Steam) - new 8</v>
      </c>
      <c r="F243" s="262" t="s">
        <v>450</v>
      </c>
      <c r="G243" s="262" t="s">
        <v>449</v>
      </c>
      <c r="H243" s="263" t="s">
        <v>620</v>
      </c>
      <c r="I243" s="264"/>
      <c r="J243" s="264" t="s">
        <v>469</v>
      </c>
      <c r="P243" s="173"/>
    </row>
    <row r="244" spans="1:16">
      <c r="A244" s="169"/>
      <c r="B244" s="211"/>
      <c r="C244" s="211"/>
      <c r="D244" s="212" t="str">
        <f t="shared" ca="1" si="268"/>
        <v>INDSDPHELCN9</v>
      </c>
      <c r="E244" s="212" t="str">
        <f t="shared" ca="1" si="266"/>
        <v>Industrial heating technology Iron &amp; Steel PH - Electric boiler (Hot Water) - new 9</v>
      </c>
      <c r="F244" s="262" t="s">
        <v>450</v>
      </c>
      <c r="G244" s="262" t="s">
        <v>449</v>
      </c>
      <c r="H244" s="263" t="s">
        <v>620</v>
      </c>
      <c r="I244" s="264"/>
      <c r="J244" s="264" t="s">
        <v>469</v>
      </c>
      <c r="P244" s="173"/>
    </row>
    <row r="245" spans="1:16">
      <c r="A245" s="169"/>
      <c r="B245" s="211"/>
      <c r="C245" s="211"/>
      <c r="D245" s="212" t="str">
        <f t="shared" ca="1" si="268"/>
        <v>INDSDSHELCN9</v>
      </c>
      <c r="E245" s="212" t="str">
        <f t="shared" ca="1" si="266"/>
        <v>Industrial heating technology Iron &amp; Steel SH - Electric boiler (Hot Water) - new 9</v>
      </c>
      <c r="F245" s="262" t="s">
        <v>450</v>
      </c>
      <c r="G245" s="262" t="s">
        <v>449</v>
      </c>
      <c r="H245" s="263" t="s">
        <v>620</v>
      </c>
      <c r="I245" s="264"/>
      <c r="J245" s="264" t="s">
        <v>469</v>
      </c>
      <c r="P245" s="173"/>
    </row>
    <row r="246" spans="1:16">
      <c r="A246" s="169"/>
      <c r="B246" s="211"/>
      <c r="C246" s="211"/>
      <c r="D246" s="212" t="str">
        <f t="shared" ca="1" si="268"/>
        <v>INDSDPHWCHN1</v>
      </c>
      <c r="E246" s="212" t="str">
        <f t="shared" ca="1" si="266"/>
        <v>Industrial heating technology Iron &amp; Steel PH - Wood chip boiler (Steam) - new 1</v>
      </c>
      <c r="F246" s="262" t="s">
        <v>450</v>
      </c>
      <c r="G246" s="262" t="s">
        <v>449</v>
      </c>
      <c r="H246" s="263"/>
      <c r="I246" s="264"/>
      <c r="J246" s="264" t="s">
        <v>469</v>
      </c>
      <c r="P246" s="173"/>
    </row>
    <row r="247" spans="1:16">
      <c r="A247" s="169"/>
      <c r="B247" s="211"/>
      <c r="C247" s="211"/>
      <c r="D247" s="212" t="str">
        <f t="shared" ca="1" si="268"/>
        <v>INDSDPHWCHN1</v>
      </c>
      <c r="E247" s="212" t="str">
        <f t="shared" ca="1" si="266"/>
        <v>Industrial heating technology Iron &amp; Steel PH - Wood chip boiler (Steam) - new 1</v>
      </c>
      <c r="F247" s="262" t="s">
        <v>450</v>
      </c>
      <c r="G247" s="262" t="s">
        <v>449</v>
      </c>
      <c r="H247" s="263"/>
      <c r="I247" s="264"/>
      <c r="J247" s="264" t="s">
        <v>469</v>
      </c>
      <c r="M247" s="171"/>
      <c r="N247" s="171"/>
      <c r="P247" s="173"/>
    </row>
    <row r="248" spans="1:16">
      <c r="A248" s="169"/>
      <c r="B248" s="211"/>
      <c r="C248" s="211"/>
      <c r="D248" s="212" t="str">
        <f t="shared" ca="1" si="268"/>
        <v>INDSDSHWCHN1</v>
      </c>
      <c r="E248" s="212" t="str">
        <f t="shared" ca="1" si="266"/>
        <v>Industrial heating technology Iron &amp; Steel SH - Wood chip boiler (Steam) - new 1</v>
      </c>
      <c r="F248" s="262" t="s">
        <v>450</v>
      </c>
      <c r="G248" s="262" t="s">
        <v>449</v>
      </c>
      <c r="H248" s="263"/>
      <c r="I248" s="264"/>
      <c r="J248" s="264" t="s">
        <v>469</v>
      </c>
      <c r="M248" s="171"/>
      <c r="N248" s="171"/>
      <c r="P248" s="173"/>
    </row>
    <row r="249" spans="1:16">
      <c r="A249" s="169"/>
      <c r="B249" s="211"/>
      <c r="C249" s="211"/>
      <c r="D249" s="212" t="str">
        <f t="shared" ca="1" si="268"/>
        <v>INDSDPHWCHN2</v>
      </c>
      <c r="E249" s="212" t="str">
        <f t="shared" ca="1" si="266"/>
        <v>Industrial heating technology Iron &amp; Steel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INDSDSHWCHN2</v>
      </c>
      <c r="E250" s="212" t="str">
        <f t="shared" ca="1" si="266"/>
        <v>Industrial heating technology Iron &amp; Steel SH - Wood chip boiler (Steam - condensing) - new 2</v>
      </c>
      <c r="F250" s="262" t="s">
        <v>450</v>
      </c>
      <c r="G250" s="262" t="s">
        <v>449</v>
      </c>
      <c r="H250" s="263"/>
      <c r="I250" s="264"/>
      <c r="J250" s="264" t="s">
        <v>469</v>
      </c>
    </row>
    <row r="251" spans="1:16">
      <c r="A251" s="169"/>
      <c r="B251" s="212"/>
      <c r="C251" s="212"/>
      <c r="D251" s="212" t="str">
        <f t="shared" ca="1" si="268"/>
        <v>INDSDPHWCHN3</v>
      </c>
      <c r="E251" s="212" t="str">
        <f t="shared" ca="1" si="266"/>
        <v>Industrial heating technology Iron &amp; Steel PH - Wood chip boiler (Hot Water) - new 3</v>
      </c>
      <c r="F251" s="262" t="s">
        <v>450</v>
      </c>
      <c r="G251" s="262" t="s">
        <v>449</v>
      </c>
      <c r="H251" s="261"/>
      <c r="I251" s="261"/>
      <c r="J251" s="264" t="s">
        <v>469</v>
      </c>
    </row>
    <row r="252" spans="1:16">
      <c r="A252" s="169"/>
      <c r="B252" s="212"/>
      <c r="C252" s="212"/>
      <c r="D252" s="212" t="str">
        <f t="shared" ca="1" si="268"/>
        <v>INDSDSHWCHN3</v>
      </c>
      <c r="E252" s="212" t="str">
        <f t="shared" ca="1" si="266"/>
        <v>Industrial heating technology Iron &amp; Steel SH - Wood chip boiler (Hot Water) - new 3</v>
      </c>
      <c r="F252" s="262" t="s">
        <v>450</v>
      </c>
      <c r="G252" s="262" t="s">
        <v>449</v>
      </c>
      <c r="H252" s="261"/>
      <c r="I252" s="261"/>
      <c r="J252" s="264" t="s">
        <v>469</v>
      </c>
    </row>
    <row r="253" spans="1:16">
      <c r="A253" s="169"/>
      <c r="B253" s="212"/>
      <c r="C253" s="212"/>
      <c r="D253" s="212" t="str">
        <f t="shared" ca="1" si="268"/>
        <v>INDSDPHWCHN4</v>
      </c>
      <c r="E253" s="212" t="str">
        <f t="shared" ca="1" si="266"/>
        <v>Industrial heating technology Iron &amp; Steel PH - Wood chip boiler (Hot Water - condensing) - new 4</v>
      </c>
      <c r="F253" s="262" t="s">
        <v>450</v>
      </c>
      <c r="G253" s="262" t="s">
        <v>449</v>
      </c>
      <c r="H253" s="261"/>
      <c r="I253" s="261"/>
      <c r="J253" s="264" t="s">
        <v>469</v>
      </c>
    </row>
    <row r="254" spans="1:16">
      <c r="A254" s="169"/>
      <c r="B254" s="212"/>
      <c r="C254" s="212"/>
      <c r="D254" s="212" t="str">
        <f t="shared" ca="1" si="268"/>
        <v>INDSDSHWCHN4</v>
      </c>
      <c r="E254" s="212" t="str">
        <f t="shared" ca="1" si="266"/>
        <v>Industrial heating technology Iron &amp; Steel SH - Wood chip boiler (Hot Water- condensing) - new 4</v>
      </c>
      <c r="F254" s="262" t="s">
        <v>450</v>
      </c>
      <c r="G254" s="262" t="s">
        <v>449</v>
      </c>
      <c r="H254" s="261"/>
      <c r="I254" s="261"/>
      <c r="J254" s="264" t="s">
        <v>469</v>
      </c>
    </row>
    <row r="255" spans="1:16">
      <c r="B255" s="212"/>
      <c r="C255" s="212"/>
      <c r="D255" s="212" t="str">
        <f t="shared" ca="1" si="268"/>
        <v>INDSDPHELCN10</v>
      </c>
      <c r="E255" s="212" t="str">
        <f t="shared" ca="1" si="266"/>
        <v>Industrial heating technology Iron &amp; Steel PH - Direct electric heating - new 10</v>
      </c>
      <c r="F255" s="262" t="s">
        <v>450</v>
      </c>
      <c r="G255" s="262" t="s">
        <v>449</v>
      </c>
      <c r="H255" s="261"/>
      <c r="I255" s="261"/>
      <c r="J255" s="264" t="s">
        <v>469</v>
      </c>
    </row>
    <row r="256" spans="1:16">
      <c r="B256" s="212"/>
      <c r="C256" s="212"/>
      <c r="D256" s="212" t="str">
        <f t="shared" ca="1" si="268"/>
        <v>INDSDPHELCN10</v>
      </c>
      <c r="E256" s="212" t="str">
        <f t="shared" ca="1" si="266"/>
        <v>Industrial heating technology Iron &amp; Steel PH - Direct electric heating - new 10</v>
      </c>
      <c r="F256" s="262" t="s">
        <v>450</v>
      </c>
      <c r="G256" s="262" t="s">
        <v>449</v>
      </c>
      <c r="H256" s="261"/>
      <c r="I256" s="261"/>
      <c r="J256" s="264" t="s">
        <v>469</v>
      </c>
    </row>
    <row r="257" spans="1:10">
      <c r="B257" s="212"/>
      <c r="C257" s="212"/>
      <c r="D257" s="212" t="str">
        <f t="shared" ca="1" si="268"/>
        <v>INDSDPHDSLN1</v>
      </c>
      <c r="E257" s="212" t="str">
        <f t="shared" ca="1" si="266"/>
        <v>Industrial heating technology Iron &amp; Steel PH - Oil boiler (Steam) - new 1</v>
      </c>
      <c r="F257" s="262" t="s">
        <v>450</v>
      </c>
      <c r="G257" s="262" t="s">
        <v>449</v>
      </c>
      <c r="H257" s="261"/>
      <c r="I257" s="261"/>
      <c r="J257" s="264" t="s">
        <v>469</v>
      </c>
    </row>
    <row r="258" spans="1:10">
      <c r="B258" s="212"/>
      <c r="C258" s="212"/>
      <c r="D258" s="212" t="str">
        <f t="shared" ca="1" si="268"/>
        <v>INDSDPHDSLN1</v>
      </c>
      <c r="E258" s="212" t="str">
        <f t="shared" ca="1" si="266"/>
        <v>Industrial heating technology Iron &amp; Steel PH - Oil boiler (Steam) - new 1</v>
      </c>
      <c r="F258" s="262" t="s">
        <v>450</v>
      </c>
      <c r="G258" s="262" t="s">
        <v>449</v>
      </c>
      <c r="H258" s="261"/>
      <c r="I258" s="261"/>
      <c r="J258" s="264" t="s">
        <v>469</v>
      </c>
    </row>
    <row r="259" spans="1:10">
      <c r="B259" s="212"/>
      <c r="C259" s="212"/>
      <c r="D259" s="212" t="str">
        <f t="shared" ca="1" si="268"/>
        <v>INDSDSHDSLN1</v>
      </c>
      <c r="E259" s="212" t="str">
        <f t="shared" ca="1" si="266"/>
        <v>Industrial heating technology Iron &amp; Steel SH - Oil boiler (Steam) - new 1</v>
      </c>
      <c r="F259" s="262" t="s">
        <v>450</v>
      </c>
      <c r="G259" s="262" t="s">
        <v>449</v>
      </c>
      <c r="H259" s="261"/>
      <c r="I259" s="261"/>
      <c r="J259" s="264" t="s">
        <v>469</v>
      </c>
    </row>
    <row r="260" spans="1:10">
      <c r="A260" s="214"/>
      <c r="B260" s="212"/>
      <c r="C260" s="212"/>
      <c r="D260" s="212" t="str">
        <f t="shared" ca="1" si="268"/>
        <v>INDSDPHDSLN2</v>
      </c>
      <c r="E260" s="212" t="str">
        <f t="shared" ca="1" si="266"/>
        <v>Industrial heating technology Iron &amp; Steel PH - Oil boiler (Steam - condensing) - new 2</v>
      </c>
      <c r="F260" s="262" t="s">
        <v>450</v>
      </c>
      <c r="G260" s="262" t="s">
        <v>449</v>
      </c>
      <c r="H260" s="261"/>
      <c r="I260" s="261"/>
      <c r="J260" s="264" t="s">
        <v>469</v>
      </c>
    </row>
    <row r="261" spans="1:10">
      <c r="A261" s="214"/>
      <c r="B261" s="212"/>
      <c r="C261" s="212"/>
      <c r="D261" s="212" t="str">
        <f t="shared" ca="1" si="268"/>
        <v>INDSDSHDSLN2</v>
      </c>
      <c r="E261" s="212" t="str">
        <f t="shared" ref="E261:E290" ca="1" si="269">VLOOKUP(D261,$D$9:$E$222,2,FALSE)</f>
        <v>Industrial heating technology Iron &amp; Steel SH - Oil boiler (Steam - condensing) - new 2</v>
      </c>
      <c r="F261" s="262" t="s">
        <v>450</v>
      </c>
      <c r="G261" s="262" t="s">
        <v>449</v>
      </c>
      <c r="H261" s="261"/>
      <c r="I261" s="261"/>
      <c r="J261" s="264" t="s">
        <v>469</v>
      </c>
    </row>
    <row r="262" spans="1:10">
      <c r="A262" s="214"/>
      <c r="B262" s="212"/>
      <c r="C262" s="212"/>
      <c r="D262" s="212" t="str">
        <f t="shared" ca="1" si="268"/>
        <v>INDSDPHGASN1</v>
      </c>
      <c r="E262" s="212" t="str">
        <f t="shared" ca="1" si="269"/>
        <v>Industrial heating technology Iron &amp; Steel PH - Gas boiler (Steam) - new 1</v>
      </c>
      <c r="F262" s="262" t="s">
        <v>450</v>
      </c>
      <c r="G262" s="262" t="s">
        <v>449</v>
      </c>
      <c r="H262" s="261"/>
      <c r="I262" s="261"/>
      <c r="J262" s="264" t="s">
        <v>469</v>
      </c>
    </row>
    <row r="263" spans="1:10">
      <c r="A263" s="214"/>
      <c r="B263" s="212"/>
      <c r="C263" s="212"/>
      <c r="D263" s="212" t="str">
        <f t="shared" ca="1" si="268"/>
        <v>INDSDPHGASN1</v>
      </c>
      <c r="E263" s="212" t="str">
        <f t="shared" ca="1" si="269"/>
        <v>Industrial heating technology Iron &amp; Steel PH - Gas boiler (Steam) - new 1</v>
      </c>
      <c r="F263" s="262" t="s">
        <v>450</v>
      </c>
      <c r="G263" s="262" t="s">
        <v>449</v>
      </c>
      <c r="H263" s="261"/>
      <c r="I263" s="261"/>
      <c r="J263" s="264" t="s">
        <v>469</v>
      </c>
    </row>
    <row r="264" spans="1:10">
      <c r="B264" s="212"/>
      <c r="C264" s="212"/>
      <c r="D264" s="212" t="str">
        <f t="shared" ca="1" si="268"/>
        <v>INDSDSHGASN1</v>
      </c>
      <c r="E264" s="212" t="str">
        <f t="shared" ca="1" si="269"/>
        <v>Industrial heating technology Iron &amp; Steel SH - Gas boiler (Steam) - new 1</v>
      </c>
      <c r="F264" s="262" t="s">
        <v>450</v>
      </c>
      <c r="G264" s="262" t="s">
        <v>449</v>
      </c>
      <c r="H264" s="261"/>
      <c r="I264" s="261"/>
      <c r="J264" s="264" t="s">
        <v>469</v>
      </c>
    </row>
    <row r="265" spans="1:10">
      <c r="B265" s="212"/>
      <c r="C265" s="212"/>
      <c r="D265" s="212" t="str">
        <f t="shared" ca="1" si="268"/>
        <v>INDSDPHGASN2</v>
      </c>
      <c r="E265" s="212" t="str">
        <f t="shared" ca="1" si="269"/>
        <v>Industrial heating technology Iron &amp; Steel PH - Gas boiler (Steam - condensing) - new 2</v>
      </c>
      <c r="F265" s="262" t="s">
        <v>450</v>
      </c>
      <c r="G265" s="262" t="s">
        <v>449</v>
      </c>
      <c r="H265" s="261"/>
      <c r="I265" s="261"/>
      <c r="J265" s="264" t="s">
        <v>469</v>
      </c>
    </row>
    <row r="266" spans="1:10">
      <c r="B266" s="212"/>
      <c r="C266" s="212"/>
      <c r="D266" s="212" t="str">
        <f t="shared" ca="1" si="268"/>
        <v>INDSDSHGASN2</v>
      </c>
      <c r="E266" s="212" t="str">
        <f t="shared" ca="1" si="269"/>
        <v>Industrial heating technology Iron &amp; Steel SH - Gas boiler (Steam - condensing) - new 2</v>
      </c>
      <c r="F266" s="262" t="s">
        <v>450</v>
      </c>
      <c r="G266" s="262" t="s">
        <v>449</v>
      </c>
      <c r="H266" s="261"/>
      <c r="I266" s="261"/>
      <c r="J266" s="264" t="s">
        <v>469</v>
      </c>
    </row>
    <row r="267" spans="1:10">
      <c r="B267" s="212"/>
      <c r="C267" s="212"/>
      <c r="D267" s="212" t="str">
        <f t="shared" ca="1" si="268"/>
        <v>INDSDPHGASN3</v>
      </c>
      <c r="E267" s="212" t="str">
        <f t="shared" ca="1" si="269"/>
        <v>Industrial heating technology Iron &amp; Steel PH - Gas boiler (Hot Water) - new 3</v>
      </c>
      <c r="F267" s="262" t="s">
        <v>450</v>
      </c>
      <c r="G267" s="262" t="s">
        <v>449</v>
      </c>
      <c r="H267" s="261"/>
      <c r="I267" s="261"/>
      <c r="J267" s="264" t="s">
        <v>469</v>
      </c>
    </row>
    <row r="268" spans="1:10">
      <c r="B268" s="212"/>
      <c r="C268" s="212"/>
      <c r="D268" s="212" t="str">
        <f t="shared" ca="1" si="268"/>
        <v>INDSDSHGASN3</v>
      </c>
      <c r="E268" s="212" t="str">
        <f t="shared" ca="1" si="269"/>
        <v>Industrial heating technology Iron &amp; Steel SH - Gas boiler (Hot Water) - new 3</v>
      </c>
      <c r="F268" s="262" t="s">
        <v>450</v>
      </c>
      <c r="G268" s="262" t="s">
        <v>449</v>
      </c>
      <c r="H268" s="261"/>
      <c r="I268" s="261"/>
      <c r="J268" s="264" t="s">
        <v>469</v>
      </c>
    </row>
    <row r="269" spans="1:10">
      <c r="B269" s="212"/>
      <c r="C269" s="212"/>
      <c r="D269" s="212" t="str">
        <f t="shared" ca="1" si="268"/>
        <v>INDSDPHGASN4</v>
      </c>
      <c r="E269" s="212" t="str">
        <f t="shared" ca="1" si="269"/>
        <v>Industrial heating technology Iron &amp; Steel PH - Gas boiler (Hot Water - condensing) - new 4</v>
      </c>
      <c r="F269" s="262" t="s">
        <v>450</v>
      </c>
      <c r="G269" s="262" t="s">
        <v>449</v>
      </c>
      <c r="H269" s="261"/>
      <c r="I269" s="261"/>
      <c r="J269" s="264" t="s">
        <v>469</v>
      </c>
    </row>
    <row r="270" spans="1:10">
      <c r="B270" s="212"/>
      <c r="C270" s="212"/>
      <c r="D270" s="212" t="str">
        <f t="shared" ca="1" si="268"/>
        <v>INDSDSHGASN4</v>
      </c>
      <c r="E270" s="212" t="str">
        <f t="shared" ca="1" si="269"/>
        <v>Industrial heating technology Iron &amp; Steel SH - Gas boiler (Hot Water- condensing) - new 4</v>
      </c>
      <c r="F270" s="262" t="s">
        <v>450</v>
      </c>
      <c r="G270" s="262" t="s">
        <v>449</v>
      </c>
      <c r="H270" s="261"/>
      <c r="I270" s="261"/>
      <c r="J270" s="264" t="s">
        <v>469</v>
      </c>
    </row>
    <row r="271" spans="1:10">
      <c r="B271" s="212"/>
      <c r="C271" s="212"/>
      <c r="D271" s="212" t="str">
        <f t="shared" ca="1" si="268"/>
        <v>INDSDPHGASN5</v>
      </c>
      <c r="E271" s="212" t="str">
        <f t="shared" ca="1" si="269"/>
        <v>Industrial heating technology Iron &amp; Steel PH - Gas boiler (Direct firing) - new 5</v>
      </c>
      <c r="F271" s="262" t="s">
        <v>450</v>
      </c>
      <c r="G271" s="262" t="s">
        <v>449</v>
      </c>
      <c r="H271" s="261"/>
      <c r="I271" s="261"/>
      <c r="J271" s="264" t="s">
        <v>469</v>
      </c>
    </row>
    <row r="272" spans="1:10">
      <c r="B272" s="212"/>
      <c r="C272" s="212"/>
      <c r="D272" s="212" t="str">
        <f t="shared" ca="1" si="268"/>
        <v>INDSDPHGASN5</v>
      </c>
      <c r="E272" s="212" t="str">
        <f t="shared" ca="1" si="269"/>
        <v>Industrial heating technology Iron &amp; Steel PH - Gas boiler (Direct firing) - new 5</v>
      </c>
      <c r="F272" s="262" t="s">
        <v>450</v>
      </c>
      <c r="G272" s="262" t="s">
        <v>449</v>
      </c>
      <c r="H272" s="261"/>
      <c r="I272" s="261"/>
      <c r="J272" s="264" t="s">
        <v>469</v>
      </c>
    </row>
    <row r="273" spans="2:10">
      <c r="B273" s="212"/>
      <c r="C273" s="212"/>
      <c r="D273" s="212" t="str">
        <f t="shared" ca="1" si="268"/>
        <v>INDSDPHCOAN1</v>
      </c>
      <c r="E273" s="212" t="str">
        <f t="shared" ca="1" si="269"/>
        <v>Industrial heating technology Iron &amp; Steel PH - Coal boiler (Steam) - new 1</v>
      </c>
      <c r="F273" s="262" t="s">
        <v>450</v>
      </c>
      <c r="G273" s="262" t="s">
        <v>449</v>
      </c>
      <c r="H273" s="261"/>
      <c r="I273" s="261"/>
      <c r="J273" s="264" t="s">
        <v>469</v>
      </c>
    </row>
    <row r="274" spans="2:10">
      <c r="B274" s="212"/>
      <c r="C274" s="212"/>
      <c r="D274" s="212" t="str">
        <f t="shared" ca="1" si="268"/>
        <v>INDSDPHCOAN1</v>
      </c>
      <c r="E274" s="212" t="str">
        <f t="shared" ca="1" si="269"/>
        <v>Industrial heating technology Iron &amp; Steel PH - Coal boiler (Steam) - new 1</v>
      </c>
      <c r="F274" s="262" t="s">
        <v>450</v>
      </c>
      <c r="G274" s="262" t="s">
        <v>449</v>
      </c>
      <c r="H274" s="261"/>
      <c r="I274" s="261"/>
      <c r="J274" s="264" t="s">
        <v>469</v>
      </c>
    </row>
    <row r="275" spans="2:10">
      <c r="B275" s="212"/>
      <c r="C275" s="212"/>
      <c r="D275" s="212" t="str">
        <f t="shared" ca="1" si="268"/>
        <v>INDSDSHCOAN1</v>
      </c>
      <c r="E275" s="212" t="str">
        <f t="shared" ca="1" si="269"/>
        <v>Industrial heating technology Iron &amp; Steel SH - Coal boiler (Steam) - new 1</v>
      </c>
      <c r="F275" s="262" t="s">
        <v>450</v>
      </c>
      <c r="G275" s="262" t="s">
        <v>449</v>
      </c>
      <c r="H275" s="261"/>
      <c r="I275" s="261"/>
      <c r="J275" s="264" t="s">
        <v>469</v>
      </c>
    </row>
    <row r="276" spans="2:10">
      <c r="B276" s="212"/>
      <c r="C276" s="212"/>
      <c r="D276" s="212" t="str">
        <f t="shared" ca="1" si="268"/>
        <v>INDSDPHCOAN2</v>
      </c>
      <c r="E276" s="212" t="str">
        <f t="shared" ca="1" si="269"/>
        <v>Industrial heating technology Iron &amp; Steel PH - Coal boiler (Hot Water) - new 2</v>
      </c>
      <c r="F276" s="262" t="s">
        <v>450</v>
      </c>
      <c r="G276" s="262" t="s">
        <v>449</v>
      </c>
      <c r="H276" s="261"/>
      <c r="I276" s="261"/>
      <c r="J276" s="264" t="s">
        <v>469</v>
      </c>
    </row>
    <row r="277" spans="2:10">
      <c r="B277" s="212"/>
      <c r="C277" s="212"/>
      <c r="D277" s="212" t="str">
        <f t="shared" ca="1" si="268"/>
        <v>INDSDSHCOAN2</v>
      </c>
      <c r="E277" s="212" t="str">
        <f t="shared" ca="1" si="269"/>
        <v>Industrial heating technology Iron &amp; Steel SH - Coal boiler (Hot Water) - new 2</v>
      </c>
      <c r="F277" s="262" t="s">
        <v>450</v>
      </c>
      <c r="G277" s="262" t="s">
        <v>449</v>
      </c>
      <c r="H277" s="261"/>
      <c r="I277" s="261"/>
      <c r="J277" s="264" t="s">
        <v>469</v>
      </c>
    </row>
    <row r="278" spans="2:10">
      <c r="B278" s="212"/>
      <c r="C278" s="212"/>
      <c r="D278" s="212" t="str">
        <f t="shared" ca="1" si="268"/>
        <v>INDSDSHSOLN1</v>
      </c>
      <c r="E278" s="212" t="str">
        <f t="shared" ca="1" si="269"/>
        <v>Industrial heating technology Iron &amp; Steel SH - Solar - new 1</v>
      </c>
      <c r="F278" s="262" t="s">
        <v>450</v>
      </c>
      <c r="G278" s="262" t="s">
        <v>449</v>
      </c>
      <c r="H278" s="263" t="s">
        <v>620</v>
      </c>
      <c r="I278" s="261"/>
      <c r="J278" s="264" t="s">
        <v>469</v>
      </c>
    </row>
    <row r="279" spans="2:10">
      <c r="B279" s="212"/>
      <c r="C279" s="212"/>
      <c r="D279" s="889" t="str">
        <f>D187</f>
        <v>INDSDSHHCEN1</v>
      </c>
      <c r="E279" s="889" t="str">
        <f t="shared" si="269"/>
        <v>Industrial heating technology Iron &amp; Steel SH - central district heating - within DH area - new 1</v>
      </c>
      <c r="F279" s="262" t="s">
        <v>450</v>
      </c>
      <c r="G279" s="262" t="s">
        <v>449</v>
      </c>
      <c r="H279" s="890"/>
      <c r="I279" s="890"/>
      <c r="J279" s="263" t="s">
        <v>469</v>
      </c>
    </row>
    <row r="280" spans="2:10">
      <c r="B280" s="212"/>
      <c r="C280" s="212"/>
      <c r="D280" s="889" t="str">
        <f>D188</f>
        <v>INDSDPHHCEN1</v>
      </c>
      <c r="E280" s="889" t="str">
        <f t="shared" si="269"/>
        <v>Industrial heating technology Iron &amp; Steel PH - central district heating - within DH area - new 1</v>
      </c>
      <c r="F280" s="262" t="s">
        <v>450</v>
      </c>
      <c r="G280" s="262" t="s">
        <v>449</v>
      </c>
      <c r="H280" s="890"/>
      <c r="I280" s="890"/>
      <c r="J280" s="263" t="s">
        <v>469</v>
      </c>
    </row>
    <row r="281" spans="2:10">
      <c r="B281" s="212"/>
      <c r="C281" s="212"/>
      <c r="D281" s="889" t="str">
        <f>D189</f>
        <v>INDSDSHHSEN1</v>
      </c>
      <c r="E281" s="889" t="str">
        <f t="shared" si="269"/>
        <v>Industrial heating technology Iron &amp; Steel SH - central district heating - within DH area - new 1</v>
      </c>
      <c r="F281" s="262" t="s">
        <v>450</v>
      </c>
      <c r="G281" s="262" t="s">
        <v>449</v>
      </c>
      <c r="H281" s="890"/>
      <c r="I281" s="890"/>
      <c r="J281" s="263" t="s">
        <v>469</v>
      </c>
    </row>
    <row r="282" spans="2:10">
      <c r="B282" s="212"/>
      <c r="C282" s="212"/>
      <c r="D282" s="889" t="str">
        <f>D190</f>
        <v>INDSDPHHSEN1</v>
      </c>
      <c r="E282" s="889" t="str">
        <f t="shared" si="269"/>
        <v>Industrial heating technology Iron &amp; Steel PH - central district heating - within DH area - new 1</v>
      </c>
      <c r="F282" s="262" t="s">
        <v>450</v>
      </c>
      <c r="G282" s="262" t="s">
        <v>449</v>
      </c>
      <c r="H282" s="890"/>
      <c r="I282" s="890"/>
      <c r="J282" s="263" t="s">
        <v>469</v>
      </c>
    </row>
    <row r="283" spans="2:10">
      <c r="B283" s="212"/>
      <c r="C283" s="212"/>
      <c r="D283" s="212" t="str">
        <f t="shared" ref="D283" si="270">D191</f>
        <v>INDSDSHHDEN1</v>
      </c>
      <c r="E283" s="212" t="str">
        <f t="shared" si="269"/>
        <v>Industrial heating technology Iron &amp; Steel SH - decentral district heating - within DH area - new 1</v>
      </c>
      <c r="F283" s="262" t="s">
        <v>450</v>
      </c>
      <c r="G283" s="262" t="s">
        <v>449</v>
      </c>
      <c r="H283" s="261"/>
      <c r="I283" s="261"/>
      <c r="J283" s="264" t="s">
        <v>469</v>
      </c>
    </row>
    <row r="284" spans="2:10">
      <c r="B284" s="212"/>
      <c r="C284" s="212"/>
      <c r="D284" s="212" t="str">
        <f>D192</f>
        <v>INDSDPHHDEN1</v>
      </c>
      <c r="E284" s="212" t="str">
        <f t="shared" si="269"/>
        <v>Industrial heating technology Iron &amp; Steel PH - decentral district heating - within DH area - new 1</v>
      </c>
      <c r="F284" s="262" t="s">
        <v>450</v>
      </c>
      <c r="G284" s="262" t="s">
        <v>449</v>
      </c>
      <c r="H284" s="261"/>
      <c r="I284" s="261"/>
      <c r="J284" s="264" t="s">
        <v>469</v>
      </c>
    </row>
    <row r="285" spans="2:10">
      <c r="B285" s="212"/>
      <c r="C285" s="212"/>
      <c r="D285" s="212" t="str">
        <f>D194</f>
        <v>INDSDLAELCN1</v>
      </c>
      <c r="E285" s="212" t="str">
        <f t="shared" si="269"/>
        <v>Industry Iron &amp; Steel LA Electricity Light Appliance - New 1</v>
      </c>
      <c r="F285" s="262" t="s">
        <v>450</v>
      </c>
      <c r="G285" s="262" t="s">
        <v>449</v>
      </c>
      <c r="H285" s="261"/>
      <c r="I285" s="261"/>
      <c r="J285" s="264" t="s">
        <v>469</v>
      </c>
    </row>
    <row r="286" spans="2:10">
      <c r="B286" s="212"/>
      <c r="C286" s="212"/>
      <c r="D286" s="212" t="str">
        <f>D198</f>
        <v>INDSDEMELCN1</v>
      </c>
      <c r="E286" s="212" t="str">
        <f t="shared" si="269"/>
        <v>Industry Iron &amp; Steel EM Electricity Motors - New 1</v>
      </c>
      <c r="F286" s="262" t="s">
        <v>450</v>
      </c>
      <c r="G286" s="262" t="s">
        <v>449</v>
      </c>
      <c r="H286" s="261"/>
      <c r="I286" s="261"/>
      <c r="J286" s="264" t="s">
        <v>469</v>
      </c>
    </row>
    <row r="287" spans="2:10">
      <c r="B287" s="212"/>
      <c r="C287" s="212"/>
      <c r="D287" s="212" t="str">
        <f>D202</f>
        <v>INDSDTFDSLN1</v>
      </c>
      <c r="E287" s="212" t="str">
        <f t="shared" si="269"/>
        <v>Industry Iron &amp; Steel TF Tractors, Trucks, Fishing boats - New 1</v>
      </c>
      <c r="F287" s="262" t="s">
        <v>450</v>
      </c>
      <c r="G287" s="262" t="s">
        <v>2078</v>
      </c>
      <c r="H287" s="261"/>
      <c r="I287" s="261"/>
      <c r="J287" s="264" t="s">
        <v>469</v>
      </c>
    </row>
    <row r="288" spans="2:10">
      <c r="B288" s="212"/>
      <c r="C288" s="212"/>
      <c r="D288" s="212" t="str">
        <f>D206</f>
        <v>INDSDTFH2GN2</v>
      </c>
      <c r="E288" s="212" t="str">
        <f t="shared" si="269"/>
        <v>Industry Iron &amp; Steel TF Tractors, Trucks, Fishing boats - New 2</v>
      </c>
      <c r="F288" s="262" t="s">
        <v>450</v>
      </c>
      <c r="G288" s="262" t="s">
        <v>2078</v>
      </c>
      <c r="H288" s="261"/>
      <c r="I288" s="261"/>
      <c r="J288" s="264" t="s">
        <v>469</v>
      </c>
    </row>
    <row r="289" spans="2:10">
      <c r="B289" s="212"/>
      <c r="C289" s="212"/>
      <c r="D289" s="212" t="str">
        <f>D210</f>
        <v>INDSDTFELCN3</v>
      </c>
      <c r="E289" s="212" t="str">
        <f t="shared" si="269"/>
        <v>Industry Iron &amp; Steel TF Tractors, Trucks, Fishing boats - New 3</v>
      </c>
      <c r="F289" s="262" t="s">
        <v>450</v>
      </c>
      <c r="G289" s="262" t="s">
        <v>2078</v>
      </c>
      <c r="H289" s="261"/>
      <c r="I289" s="261"/>
      <c r="J289" s="264" t="s">
        <v>469</v>
      </c>
    </row>
    <row r="290" spans="2:10">
      <c r="B290" s="212"/>
      <c r="C290" s="212"/>
      <c r="D290" s="212" t="str">
        <f>D214</f>
        <v>INDSDFLSYNN1</v>
      </c>
      <c r="E290" s="212" t="str">
        <f t="shared" si="269"/>
        <v>Industry Iron &amp; Steel TF Forklifts - New 1</v>
      </c>
      <c r="F290" s="262" t="s">
        <v>450</v>
      </c>
      <c r="G290" s="262" t="s">
        <v>449</v>
      </c>
      <c r="H290" s="261"/>
      <c r="I290" s="261"/>
      <c r="J290" s="264" t="s">
        <v>469</v>
      </c>
    </row>
    <row r="291" spans="2:10">
      <c r="B291" s="212"/>
      <c r="C291" s="212"/>
      <c r="D291" s="212" t="str">
        <f>D218</f>
        <v>INDSDCOELCN1</v>
      </c>
      <c r="E291" s="212" t="str">
        <f>E218</f>
        <v>Industry Iron &amp; Steel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IIDSOx</v>
      </c>
      <c r="E296" s="270" t="str">
        <f>"Industrial heating  heating technology "&amp;$AJ$12&amp;" - SOx emission"</f>
        <v>Industrial heating  heating technology Iron &amp; Steel - SOx emission</v>
      </c>
      <c r="F296" s="219" t="s">
        <v>352</v>
      </c>
      <c r="G296" s="211"/>
      <c r="H296" s="211"/>
      <c r="I296" s="211"/>
      <c r="J296" s="211"/>
    </row>
    <row r="297" spans="2:10">
      <c r="B297" s="214"/>
      <c r="C297" s="214"/>
      <c r="D297" s="260" t="str">
        <f>"I"&amp;LEFT($AJ$12,1)&amp;"DNOx"</f>
        <v>IIDNOx</v>
      </c>
      <c r="E297" s="270" t="str">
        <f>"Industrial heating  heating technology "&amp;$AJ$12&amp;" - NOx emission"</f>
        <v>Industrial heating  heating technology Iron &amp; Steel - NOx emission</v>
      </c>
      <c r="F297" s="219" t="s">
        <v>352</v>
      </c>
      <c r="G297" s="211"/>
      <c r="H297" s="214"/>
      <c r="I297" s="214"/>
      <c r="J297" s="214"/>
    </row>
    <row r="298" spans="2:10">
      <c r="B298" s="214"/>
      <c r="C298" s="214"/>
      <c r="D298" s="260" t="str">
        <f>"I"&amp;LEFT($AJ$12,1)&amp;"DCH4"</f>
        <v>IIDCH4</v>
      </c>
      <c r="E298" s="270" t="str">
        <f>"Industrial heating  heating technology "&amp;$AJ$12&amp;" - CH4 emission"</f>
        <v>Industrial heating  heating technology Iron &amp; Steel - CH4 emission</v>
      </c>
      <c r="F298" s="219" t="s">
        <v>352</v>
      </c>
      <c r="G298" s="211"/>
      <c r="H298" s="214"/>
      <c r="I298" s="214"/>
      <c r="J298" s="214"/>
    </row>
    <row r="299" spans="2:10">
      <c r="B299" s="214"/>
      <c r="C299" s="214"/>
      <c r="D299" s="260" t="str">
        <f>"I"&amp;LEFT($AJ$12,1)&amp;"DNO2"</f>
        <v>IIDNO2</v>
      </c>
      <c r="E299" s="270" t="str">
        <f>"Industrial heating  heating technology "&amp;$AJ$12&amp;" - NO2 emission"</f>
        <v>Industrial heating  heating technology Iron &amp; Steel - NO2 emission</v>
      </c>
      <c r="F299" s="219" t="s">
        <v>352</v>
      </c>
      <c r="G299" s="211"/>
      <c r="H299" s="214"/>
      <c r="I299" s="214"/>
      <c r="J299" s="214"/>
    </row>
    <row r="300" spans="2:10">
      <c r="B300" s="214"/>
      <c r="C300" s="214"/>
      <c r="D300" s="260" t="str">
        <f>"I"&amp;LEFT($AJ$12,1)&amp;"DPM"</f>
        <v>IIDPM</v>
      </c>
      <c r="E300" s="270" t="str">
        <f>"Industrial heating  heating technology "&amp;$AJ$12&amp;" - Particle emission"</f>
        <v>Industrial heating  heating technology Iron &amp; Steel - Particle emission</v>
      </c>
      <c r="F300" s="219" t="s">
        <v>352</v>
      </c>
      <c r="G300" s="211"/>
      <c r="H300" s="214"/>
      <c r="I300" s="214"/>
      <c r="J300" s="214"/>
    </row>
    <row r="301" spans="2:10">
      <c r="B301" s="224" t="s">
        <v>1057</v>
      </c>
      <c r="D301" s="224" t="str">
        <f>AI20</f>
        <v>INDSWH</v>
      </c>
      <c r="E301" s="270" t="str">
        <f>"Industrial heating technology "&amp;$AJ$12&amp;" - Waste heat"</f>
        <v>Industrial heating technology Iron &amp; Steel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9DED474-AF48-46DE-A1FD-C4243301A633}">
          <x14:formula1>
            <xm:f>'Oil-fired boiler_NEW'!$T$4:$X$4</xm:f>
          </x14:formula1>
          <xm:sqref>E1</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6F27B-FF11-492F-89CD-16B6B0FA1056}">
  <sheetPr>
    <tabColor rgb="FF00B050"/>
  </sheetPr>
  <dimension ref="A1:AP301"/>
  <sheetViews>
    <sheetView topLeftCell="J29"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719</v>
      </c>
      <c r="N1" s="64"/>
      <c r="O1" s="64"/>
      <c r="P1" s="64"/>
      <c r="S1" s="727" t="s">
        <v>1004</v>
      </c>
      <c r="T1" s="776" t="s">
        <v>1003</v>
      </c>
      <c r="U1" s="775" t="s">
        <v>1053</v>
      </c>
      <c r="V1" s="776" t="s">
        <v>1054</v>
      </c>
      <c r="W1" s="780">
        <v>0.3</v>
      </c>
    </row>
    <row r="2" spans="2:42" ht="15" thickBot="1">
      <c r="E2" s="730" t="s">
        <v>690</v>
      </c>
      <c r="N2" s="731"/>
      <c r="O2" s="731"/>
      <c r="P2" s="731"/>
      <c r="S2" s="726">
        <f>MATCH($E$1,$AJ$22:$AJ$35)</f>
        <v>13</v>
      </c>
      <c r="T2" s="778">
        <f>MATCH($E$1,$AJ$22:$AJ$35)+1</f>
        <v>14</v>
      </c>
      <c r="U2" s="779"/>
      <c r="V2" s="768" t="s">
        <v>1055</v>
      </c>
      <c r="W2" s="781">
        <v>0.2</v>
      </c>
    </row>
    <row r="3" spans="2:42" ht="15" thickBot="1">
      <c r="E3" s="224" t="s">
        <v>2126</v>
      </c>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FEMIS~IADSOx</v>
      </c>
      <c r="Y6" s="280" t="str">
        <f>"FEMIS~"&amp;D297</f>
        <v>FEMIS~IADNOx</v>
      </c>
      <c r="Z6" s="280" t="str">
        <f>"FEMIS~"&amp;D298</f>
        <v>FEMIS~IADCH4</v>
      </c>
      <c r="AA6" s="280" t="str">
        <f>"FEMIS~"&amp;D299</f>
        <v>FEMIS~IADNO2</v>
      </c>
      <c r="AB6" s="280" t="str">
        <f>"FEMIS~"&amp;D300</f>
        <v>FEMIS~IADPM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INDADPHELCN1</v>
      </c>
      <c r="E9" s="261" t="str">
        <f>"Industrial heating technology "&amp;$AJ$12&amp;" "&amp;RIGHT(H9,2)&amp;" - Heat pump utilizing waste heat - new 1"</f>
        <v>Industrial heating technology Aluminium PH - Heat pump utilizing waste heat - new 1</v>
      </c>
      <c r="F9" s="224" t="s">
        <v>1149</v>
      </c>
      <c r="G9" s="173" t="s">
        <v>499</v>
      </c>
      <c r="H9" s="174" t="str">
        <f>$AI$14</f>
        <v>IADPH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INDAWH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IADPH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c r="AJ11" s="36" t="s">
        <v>690</v>
      </c>
    </row>
    <row r="12" spans="2:42">
      <c r="B12" s="357" t="s">
        <v>998</v>
      </c>
      <c r="D12" s="212"/>
      <c r="E12" s="212"/>
      <c r="F12" s="224" t="s">
        <v>1149</v>
      </c>
      <c r="G12" s="173" t="str">
        <f>$AI$20</f>
        <v>INDAWH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Aluminium</v>
      </c>
    </row>
    <row r="13" spans="2:42">
      <c r="B13" s="357" t="s">
        <v>998</v>
      </c>
      <c r="D13" s="212"/>
      <c r="E13" s="212"/>
      <c r="F13" s="224" t="s">
        <v>1149</v>
      </c>
      <c r="G13" s="173" t="s">
        <v>499</v>
      </c>
      <c r="H13" s="174" t="str">
        <f>$AI$14</f>
        <v>IADPH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IADPH</v>
      </c>
      <c r="AJ13" s="224" t="str">
        <f>AP14</f>
        <v>Aluminium industry Demand Heat High Temp. over 150C</v>
      </c>
      <c r="AO13" s="224" t="s">
        <v>2103</v>
      </c>
      <c r="AP13" s="224" t="s">
        <v>1194</v>
      </c>
    </row>
    <row r="14" spans="2:42">
      <c r="B14" s="357" t="s">
        <v>998</v>
      </c>
      <c r="D14" s="212"/>
      <c r="E14" s="212"/>
      <c r="F14" s="224" t="s">
        <v>1149</v>
      </c>
      <c r="G14" s="173" t="str">
        <f>$AI$20</f>
        <v>INDAWH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IADPH</v>
      </c>
      <c r="AJ14" s="224" t="str">
        <f>AP13</f>
        <v>Aluminium industry Demand Heat Medium Temp. up to 150C</v>
      </c>
      <c r="AO14" s="224" t="s">
        <v>2103</v>
      </c>
      <c r="AP14" s="224" t="s">
        <v>1195</v>
      </c>
    </row>
    <row r="15" spans="2:42">
      <c r="B15" s="357" t="s">
        <v>998</v>
      </c>
      <c r="D15" s="212" t="str">
        <f>"IND"&amp;RIGHT(H15,4)&amp;RIGHT(G15,3)&amp;"N"&amp;RIGHT(E15,1)</f>
        <v>INDADSHELCN1</v>
      </c>
      <c r="E15" s="261" t="str">
        <f>"Industrial heating technology "&amp;$AJ$12&amp;" "&amp;RIGHT(H15,2)&amp;" - Heat pump utilizing waste heat - new 1"</f>
        <v>Industrial heating technology Aluminium SH - Heat pump utilizing waste heat - new 1</v>
      </c>
      <c r="F15" s="224" t="s">
        <v>1149</v>
      </c>
      <c r="G15" s="173" t="s">
        <v>499</v>
      </c>
      <c r="H15" s="174" t="str">
        <f>$AI$15</f>
        <v>IADSH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IADSH</v>
      </c>
      <c r="AJ15" s="224" t="str">
        <f>AP15</f>
        <v>Aluminium industry Demand Heat Room Heat</v>
      </c>
      <c r="AO15" s="224" t="s">
        <v>2104</v>
      </c>
      <c r="AP15" s="224" t="s">
        <v>1196</v>
      </c>
    </row>
    <row r="16" spans="2:42">
      <c r="B16" s="357" t="s">
        <v>998</v>
      </c>
      <c r="D16" s="212"/>
      <c r="E16" s="261"/>
      <c r="F16" s="224" t="s">
        <v>1149</v>
      </c>
      <c r="G16" s="173" t="str">
        <f>$AI$20</f>
        <v>INDAWH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IADLA</v>
      </c>
      <c r="AJ16" s="224" t="str">
        <f t="shared" si="0"/>
        <v>Aluminium industry Demand Light</v>
      </c>
      <c r="AO16" s="224" t="s">
        <v>2105</v>
      </c>
      <c r="AP16" s="224" t="s">
        <v>1197</v>
      </c>
    </row>
    <row r="17" spans="2:42">
      <c r="B17" s="357" t="s">
        <v>998</v>
      </c>
      <c r="D17" s="212"/>
      <c r="E17" s="212"/>
      <c r="F17" s="224" t="s">
        <v>1149</v>
      </c>
      <c r="G17" s="173" t="s">
        <v>499</v>
      </c>
      <c r="H17" s="174" t="str">
        <f>$AI$15</f>
        <v>IADSH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IADEM</v>
      </c>
      <c r="AJ17" s="224" t="str">
        <f t="shared" si="0"/>
        <v>Aluminium industry Demand Electric Motors</v>
      </c>
      <c r="AO17" s="224" t="s">
        <v>2106</v>
      </c>
      <c r="AP17" s="224" t="s">
        <v>1198</v>
      </c>
    </row>
    <row r="18" spans="2:42">
      <c r="B18" s="357" t="s">
        <v>998</v>
      </c>
      <c r="D18" s="212"/>
      <c r="E18" s="212"/>
      <c r="F18" s="224" t="s">
        <v>1149</v>
      </c>
      <c r="G18" s="173" t="str">
        <f>$AI$20</f>
        <v>INDAWH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IADTF</v>
      </c>
      <c r="AJ18" s="224" t="str">
        <f t="shared" si="0"/>
        <v>Aluminium industry Demand Haulage Tractors, Trucks, Fishing boats, Forest machines</v>
      </c>
      <c r="AO18" s="224" t="s">
        <v>2107</v>
      </c>
      <c r="AP18" s="224" t="s">
        <v>1199</v>
      </c>
    </row>
    <row r="19" spans="2:42">
      <c r="B19" s="357" t="s">
        <v>998</v>
      </c>
      <c r="D19" s="212"/>
      <c r="E19" s="212"/>
      <c r="F19" s="224" t="s">
        <v>1149</v>
      </c>
      <c r="G19" s="173" t="s">
        <v>499</v>
      </c>
      <c r="H19" s="174" t="str">
        <f>$AI$15</f>
        <v>IADSH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IADFL</v>
      </c>
      <c r="AJ19" s="224" t="str">
        <f t="shared" si="0"/>
        <v>Aluminium industry Demand Haulage Forklifts</v>
      </c>
      <c r="AO19" s="224" t="s">
        <v>2108</v>
      </c>
      <c r="AP19" s="224" t="s">
        <v>1200</v>
      </c>
    </row>
    <row r="20" spans="2:42">
      <c r="B20" s="357" t="s">
        <v>998</v>
      </c>
      <c r="D20" s="212"/>
      <c r="E20" s="212"/>
      <c r="F20" s="224" t="s">
        <v>1149</v>
      </c>
      <c r="G20" s="173" t="str">
        <f>$AI$20</f>
        <v>INDAWH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INDAWH</v>
      </c>
      <c r="AJ20" s="224" t="str">
        <f>$AJ$12&amp;" Industrial Waste Heat"</f>
        <v>Aluminium Industrial Waste Heat</v>
      </c>
    </row>
    <row r="21" spans="2:42">
      <c r="B21" s="357" t="s">
        <v>999</v>
      </c>
      <c r="D21" s="212" t="str">
        <f>"IND"&amp;RIGHT(H21,4)&amp;RIGHT(G21,3)&amp;"N"&amp;RIGHT(E21,1)</f>
        <v>INDADPHELCN2</v>
      </c>
      <c r="E21" s="261" t="str">
        <f>"Industrial heating technology "&amp;$AJ$12&amp;" "&amp;RIGHT(H21,2)&amp;" - Heat driven heat pump utilizing waste heat - new 2"</f>
        <v>Industrial heating technology Aluminium PH - Heat driven heat pump utilizing waste heat - new 2</v>
      </c>
      <c r="F21" s="224" t="s">
        <v>1149</v>
      </c>
      <c r="G21" s="173" t="s">
        <v>499</v>
      </c>
      <c r="H21" s="174" t="str">
        <f>$AI$14</f>
        <v>IADPH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IADCO</v>
      </c>
      <c r="AJ21" s="224" t="s">
        <v>2118</v>
      </c>
    </row>
    <row r="22" spans="2:42">
      <c r="B22" s="357" t="s">
        <v>999</v>
      </c>
      <c r="D22" s="212"/>
      <c r="E22" s="261"/>
      <c r="F22" s="224" t="s">
        <v>1149</v>
      </c>
      <c r="G22" s="173" t="str">
        <f>$AI$20</f>
        <v>INDAWH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IADPH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INDAWH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IADPH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INDAWH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INDADSHELCN2</v>
      </c>
      <c r="E27" s="261" t="str">
        <f>"Industrial heating technology "&amp;$AJ$12&amp;" "&amp;RIGHT(H27,2)&amp;" - Heat driven heat pump utilizing waste heat - new 2"</f>
        <v>Industrial heating technology Aluminium SH - Heat driven heat pump utilizing waste heat - new 2</v>
      </c>
      <c r="F27" s="224" t="s">
        <v>1149</v>
      </c>
      <c r="G27" s="173" t="s">
        <v>499</v>
      </c>
      <c r="H27" s="174" t="str">
        <f>$AI$15</f>
        <v>IADSH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INDAWH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IADSH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INDAWH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IADSH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INDAWH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INDADPHELCN3</v>
      </c>
      <c r="E33" s="261" t="str">
        <f>"Industrial heating technology "&amp;$AJ$12&amp;" "&amp;RIGHT(H33,2)&amp;" - High Temp abs. Heat pump utilizing waste heat - new 3"</f>
        <v>Industrial heating technology Aluminium PH - High Temp abs. Heat pump utilizing waste heat - new 3</v>
      </c>
      <c r="F33" s="224" t="s">
        <v>1149</v>
      </c>
      <c r="G33" s="173" t="s">
        <v>499</v>
      </c>
      <c r="H33" s="174" t="str">
        <f>$AI$14</f>
        <v>IADPH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INDAWH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IADPH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INDAWH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IADPH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INDAWH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INDADSHELCN3</v>
      </c>
      <c r="E39" s="261" t="str">
        <f>"Industrial heating technology "&amp;$AJ$12&amp;" "&amp;RIGHT(H39,2)&amp;" - High Temp abs. Heat pump utilizing waste heat - new 3"</f>
        <v>Industrial heating technology Aluminium SH - High Temp abs. Heat pump utilizing waste heat - new 3</v>
      </c>
      <c r="F39" s="224" t="s">
        <v>1149</v>
      </c>
      <c r="G39" s="173" t="s">
        <v>499</v>
      </c>
      <c r="H39" s="174" t="str">
        <f>$AI$15</f>
        <v>IADSH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INDAWH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IADSH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INDAWH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IADSH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INDAWH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INDADPHELCN4</v>
      </c>
      <c r="E45" s="261" t="str">
        <f>"Industrial heating technology "&amp;$AJ$12&amp;" "&amp;RIGHT(H45,2)&amp;" - Booster Heat pump utilizing waste heat - new 4"</f>
        <v>Industrial heating technology Aluminium PH - Booster Heat pump utilizing waste heat - new 4</v>
      </c>
      <c r="F45" s="224" t="s">
        <v>1149</v>
      </c>
      <c r="G45" s="173" t="s">
        <v>499</v>
      </c>
      <c r="H45" s="174" t="str">
        <f>$AI$14</f>
        <v>IADPH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INDAWH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IADPH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INDAWH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IADPH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INDAWH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INDADSHELCN4</v>
      </c>
      <c r="E51" s="261" t="str">
        <f>"Industrial heating technology "&amp;$AJ$12&amp;" "&amp;RIGHT(H51,2)&amp;" - Booster Heat pump utilizing waste heat - new 4"</f>
        <v>Industrial heating technology Aluminium SH - Booster Heat pump utilizing waste heat - new 4</v>
      </c>
      <c r="F51" s="224" t="s">
        <v>1149</v>
      </c>
      <c r="G51" s="173" t="s">
        <v>499</v>
      </c>
      <c r="H51" s="174" t="str">
        <f>$AI$15</f>
        <v>IADSH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INDAWH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IADSH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INDAWH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IADSH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INDAWH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INDADPHELCN5</v>
      </c>
      <c r="E57" s="261" t="str">
        <f>"Industrial heating technology "&amp;$AJ$12&amp;" "&amp;RIGHT(H57,2)&amp;" - MVR utilizing waste heat - new 5"</f>
        <v>Industrial heating technology Aluminium PH - MVR utilizing waste heat - new 5</v>
      </c>
      <c r="F57" s="224" t="s">
        <v>1149</v>
      </c>
      <c r="G57" s="173" t="s">
        <v>499</v>
      </c>
      <c r="H57" s="174" t="str">
        <f>$AI$14</f>
        <v>IADPH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INDAWH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IADPH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INDAWH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IADPH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INDAWH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INDADPHWSTN1</v>
      </c>
      <c r="E63" s="261" t="str">
        <f>"Industrial heating technology "&amp;$AJ$12&amp;" "&amp;RIGHT(H63,2)&amp;" - Hotdisc - new 1"</f>
        <v>Industrial heating technology Aluminium PH - Hotdisc - new 1</v>
      </c>
      <c r="F63" s="224" t="s">
        <v>1149</v>
      </c>
      <c r="G63" s="832" t="s">
        <v>1005</v>
      </c>
      <c r="H63" s="174" t="str">
        <f>$AI$13</f>
        <v>IADPH</v>
      </c>
      <c r="I63" s="173" t="str">
        <f t="shared" ref="I63:I126" si="22">$AI$20</f>
        <v>INDAWH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INDAWH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INDAWH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INDADPHELCN6</v>
      </c>
      <c r="E66" s="261" t="str">
        <f>"Industrial heating technology "&amp;$AJ$12&amp;" "&amp;RIGHT(H66,2)&amp;" - Dielectric heating - new 6"</f>
        <v>Industrial heating technology Aluminium PH - Dielectric heating - new 6</v>
      </c>
      <c r="F66" s="224" t="s">
        <v>1149</v>
      </c>
      <c r="G66" s="173" t="s">
        <v>499</v>
      </c>
      <c r="H66" s="174" t="str">
        <f>$AI$14</f>
        <v>IADPH</v>
      </c>
      <c r="I66" s="173" t="str">
        <f t="shared" si="22"/>
        <v>INDAWH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INDAWH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INDAWH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INDADPHELCN7</v>
      </c>
      <c r="E69" s="261" t="str">
        <f>"Industrial heating technology "&amp;$AJ$12&amp;" "&amp;RIGHT(H69,2)&amp;" - Infrared heating - new 7"</f>
        <v>Industrial heating technology Aluminium PH - Infrared heating - new 7</v>
      </c>
      <c r="F69" s="224" t="s">
        <v>1149</v>
      </c>
      <c r="G69" s="173" t="s">
        <v>499</v>
      </c>
      <c r="H69" s="174" t="str">
        <f>$AI$14</f>
        <v>IADPH</v>
      </c>
      <c r="I69" s="173" t="str">
        <f t="shared" si="22"/>
        <v>INDAWH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INDAWH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INDAWH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INDADPHELCN8</v>
      </c>
      <c r="E72" s="261" t="str">
        <f>"Industrial heating technology "&amp;$AJ$12&amp;" "&amp;RIGHT(H72,2)&amp;" - Electric boiler (Steam) - new 8"</f>
        <v>Industrial heating technology Aluminium PH - Electric boiler (Steam) - new 8</v>
      </c>
      <c r="F72" s="224" t="s">
        <v>1149</v>
      </c>
      <c r="G72" s="173" t="s">
        <v>499</v>
      </c>
      <c r="H72" s="174" t="str">
        <f>$AI$13</f>
        <v>IADPH</v>
      </c>
      <c r="I72" s="174" t="str">
        <f t="shared" si="22"/>
        <v>INDAWH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INDAWH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INDAWH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INDADPHELCN8</v>
      </c>
      <c r="E75" s="261" t="str">
        <f>"Industrial heating technology "&amp;$AJ$12&amp;" "&amp;RIGHT(H75,2)&amp;" - Electric boiler (Steam) - new 8"</f>
        <v>Industrial heating technology Aluminium PH - Electric boiler (Steam) - new 8</v>
      </c>
      <c r="F75" s="224" t="s">
        <v>1149</v>
      </c>
      <c r="G75" s="173" t="s">
        <v>499</v>
      </c>
      <c r="H75" s="174" t="str">
        <f>$AI$14</f>
        <v>IADPH</v>
      </c>
      <c r="I75" s="174" t="str">
        <f t="shared" si="22"/>
        <v>INDAWH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INDAWH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INDAWH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INDADSHELCN8</v>
      </c>
      <c r="E78" s="261" t="str">
        <f>"Industrial heating technology "&amp;$AJ$12&amp;" "&amp;RIGHT(H78,2)&amp;" - Electric boiler (Steam) - new 8"</f>
        <v>Industrial heating technology Aluminium SH - Electric boiler (Steam) - new 8</v>
      </c>
      <c r="F78" s="224" t="s">
        <v>1149</v>
      </c>
      <c r="G78" s="173" t="s">
        <v>499</v>
      </c>
      <c r="H78" s="174" t="str">
        <f>$AI$15</f>
        <v>IADSH</v>
      </c>
      <c r="I78" s="174" t="str">
        <f t="shared" si="22"/>
        <v>INDAWH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INDAWH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INDAWH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INDADPHELCN9</v>
      </c>
      <c r="E81" s="707" t="str">
        <f>"Industrial heating technology "&amp;$AJ$12&amp;" "&amp;RIGHT(H81,2)&amp;" - Electric boiler (Hot Water) - new 9"</f>
        <v>Industrial heating technology Aluminium PH - Electric boiler (Hot Water) - new 9</v>
      </c>
      <c r="F81" s="224" t="s">
        <v>1149</v>
      </c>
      <c r="G81" s="708" t="s">
        <v>499</v>
      </c>
      <c r="H81" s="708" t="str">
        <f>$AI$14</f>
        <v>IADPH</v>
      </c>
      <c r="I81" s="708" t="str">
        <f t="shared" si="22"/>
        <v>INDAWH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INDAWH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INDAWH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INDADSHELCN9</v>
      </c>
      <c r="E84" s="261" t="str">
        <f>"Industrial heating technology "&amp;$AJ$12&amp;" "&amp;RIGHT(H84,2)&amp;" - Electric boiler (Hot Water) - new 9"</f>
        <v>Industrial heating technology Aluminium SH - Electric boiler (Hot Water) - new 9</v>
      </c>
      <c r="F84" s="224" t="s">
        <v>1149</v>
      </c>
      <c r="G84" s="174" t="s">
        <v>499</v>
      </c>
      <c r="H84" s="174" t="str">
        <f>$AI$15</f>
        <v>IADSH</v>
      </c>
      <c r="I84" s="174" t="str">
        <f t="shared" si="22"/>
        <v>INDAWH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INDAWH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INDAWH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INDADPHWCHN1</v>
      </c>
      <c r="E87" s="261" t="str">
        <f>"Industrial heating technology "&amp;$AJ$12&amp;" "&amp;RIGHT(H87,2)&amp;" - Wood chip boiler (Steam) - new 1"</f>
        <v>Industrial heating technology Aluminium PH - Wood chip boiler (Steam) - new 1</v>
      </c>
      <c r="F87" s="224" t="s">
        <v>1149</v>
      </c>
      <c r="G87" s="173" t="s">
        <v>498</v>
      </c>
      <c r="H87" s="174" t="str">
        <f>$AI$13</f>
        <v>IADPH</v>
      </c>
      <c r="I87" s="174" t="str">
        <f t="shared" si="22"/>
        <v>INDAWH</v>
      </c>
      <c r="J87" s="224">
        <f t="shared" si="32"/>
        <v>2011</v>
      </c>
      <c r="K87" s="299">
        <v>2025</v>
      </c>
      <c r="L87" s="333">
        <f t="shared" ref="L87:L92" ca="1" si="62">VLOOKUP($AD87,INDIRECT("'"&amp;$B87&amp;"'!"&amp;"$P$39:$AD$42"),3,FALSE)*0.4</f>
        <v>0.35600000000000004</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0.84399999999999986</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INDAWH</v>
      </c>
      <c r="J88" s="224">
        <f t="shared" si="32"/>
        <v>2030</v>
      </c>
      <c r="K88" s="81"/>
      <c r="L88" s="333">
        <f t="shared" ca="1" si="62"/>
        <v>0.35600000000000004</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0.84399999999999986</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INDAWH</v>
      </c>
      <c r="J89" s="224">
        <f t="shared" si="32"/>
        <v>2050</v>
      </c>
      <c r="K89" s="81"/>
      <c r="L89" s="333">
        <f t="shared" ca="1" si="62"/>
        <v>0.36000000000000004</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0.83999999999999986</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INDADPHWCHN1</v>
      </c>
      <c r="E90" s="261" t="str">
        <f>"Industrial heating technology "&amp;$AJ$12&amp;" "&amp;RIGHT(H90,2)&amp;" - Wood chip boiler (Steam) - new 1"</f>
        <v>Industrial heating technology Aluminium PH - Wood chip boiler (Steam) - new 1</v>
      </c>
      <c r="F90" s="224" t="s">
        <v>1149</v>
      </c>
      <c r="G90" s="173" t="s">
        <v>498</v>
      </c>
      <c r="H90" s="174" t="str">
        <f>$AI$14</f>
        <v>IADPH</v>
      </c>
      <c r="I90" s="174" t="str">
        <f t="shared" si="22"/>
        <v>INDAWH</v>
      </c>
      <c r="J90" s="224">
        <f t="shared" si="32"/>
        <v>2011</v>
      </c>
      <c r="K90" s="299">
        <v>2025</v>
      </c>
      <c r="L90" s="333">
        <f t="shared" ca="1" si="62"/>
        <v>0.35600000000000004</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0.84399999999999986</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INDAWH</v>
      </c>
      <c r="J91" s="224">
        <f t="shared" si="32"/>
        <v>2030</v>
      </c>
      <c r="K91" s="81"/>
      <c r="L91" s="333">
        <f t="shared" ca="1" si="62"/>
        <v>0.35600000000000004</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0.84399999999999986</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INDAWH</v>
      </c>
      <c r="J92" s="224">
        <f t="shared" si="32"/>
        <v>2050</v>
      </c>
      <c r="K92" s="81"/>
      <c r="L92" s="333">
        <f t="shared" ca="1" si="62"/>
        <v>0.36000000000000004</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0.83999999999999986</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INDADSHWCHN1</v>
      </c>
      <c r="E93" s="261" t="str">
        <f>"Industrial heating technology "&amp;$AJ$12&amp;" "&amp;RIGHT(H93,2)&amp;" - Wood chip boiler (Steam) - new 1"</f>
        <v>Industrial heating technology Aluminium SH - Wood chip boiler (Steam) - new 1</v>
      </c>
      <c r="F93" s="224" t="s">
        <v>1149</v>
      </c>
      <c r="G93" s="173" t="s">
        <v>498</v>
      </c>
      <c r="H93" s="174" t="str">
        <f>$AI$15</f>
        <v>IADSH</v>
      </c>
      <c r="I93" s="174" t="str">
        <f t="shared" si="22"/>
        <v>INDAWH</v>
      </c>
      <c r="J93" s="224">
        <f t="shared" si="32"/>
        <v>2011</v>
      </c>
      <c r="K93" s="299">
        <v>2025</v>
      </c>
      <c r="L93" s="199">
        <f t="shared" ref="L93:L95" ca="1" si="76">VLOOKUP($AD93,INDIRECT("'"&amp;$B93&amp;"'!"&amp;"$P$39:$AD$42"),3,FALSE)</f>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7">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INDAWH</v>
      </c>
      <c r="J94" s="224">
        <f t="shared" si="32"/>
        <v>2030</v>
      </c>
      <c r="K94" s="81"/>
      <c r="L94" s="199">
        <f t="shared" ca="1" si="76"/>
        <v>0.89</v>
      </c>
      <c r="M94" s="199"/>
      <c r="N94" s="81"/>
      <c r="O94" s="723">
        <f t="shared" ca="1" si="63"/>
        <v>4.4022727272727264</v>
      </c>
      <c r="P94" s="723">
        <f t="shared" ca="1" si="64"/>
        <v>0.267455</v>
      </c>
      <c r="Q94" s="81">
        <f t="shared" ca="1" si="65"/>
        <v>5.8461805555555557</v>
      </c>
      <c r="R94" s="300"/>
      <c r="S94" s="300"/>
      <c r="T94" s="300"/>
      <c r="U94" s="300"/>
      <c r="V94" s="199">
        <f t="shared" ref="V94" ca="1" si="78">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INDAWH</v>
      </c>
      <c r="J95" s="224">
        <f t="shared" si="32"/>
        <v>2050</v>
      </c>
      <c r="K95" s="706"/>
      <c r="L95" s="199">
        <f t="shared" ca="1" si="76"/>
        <v>0.9</v>
      </c>
      <c r="M95" s="774"/>
      <c r="N95" s="706"/>
      <c r="O95" s="724">
        <f t="shared" ca="1" si="63"/>
        <v>3.9959090909090902</v>
      </c>
      <c r="P95" s="724">
        <f t="shared" ca="1" si="64"/>
        <v>0.25106499999999998</v>
      </c>
      <c r="Q95" s="706">
        <f t="shared" ca="1" si="65"/>
        <v>5.8937777777777782</v>
      </c>
      <c r="R95" s="300"/>
      <c r="S95" s="300"/>
      <c r="T95" s="300"/>
      <c r="U95" s="300"/>
      <c r="V95" s="199">
        <f t="shared" ref="V95" ca="1" si="79">IF(IF(RIGHT(H93,2)="PH",(1-L95)+$W$2,IF(RIGHT(H93,2)="HT",(1-L95)+$W$1,IF(RIGHT(H93,2)="SH",(1-L95)+$W$3,"")))&gt;0,IF(RIGHT(H93,2)="PH",(1-L95)+$W$2,IF(RIGHT(H93,2)="HT",(1-L95)+$W$1,IF(RIGHT(H93,2)="SH",(1-L95)+$W$3,""))),0)</f>
        <v>9.9999999999999978E-2</v>
      </c>
      <c r="W95" s="298"/>
      <c r="X95" s="698">
        <f t="shared" ref="X95:X126" ca="1" si="80">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INDADPHWCHN2</v>
      </c>
      <c r="E96" s="707" t="str">
        <f>"Industrial heating technology "&amp;$AJ$12&amp;" "&amp;RIGHT(H96,2)&amp;" - Wood chip boiler (Steam - condensing) - new 2"</f>
        <v>Industrial heating technology Aluminium PH - Wood chip boiler (Steam - condensing) - new 2</v>
      </c>
      <c r="F96" s="224" t="s">
        <v>1149</v>
      </c>
      <c r="G96" s="708" t="s">
        <v>498</v>
      </c>
      <c r="H96" s="708" t="str">
        <f>$AI$14</f>
        <v>IADPH</v>
      </c>
      <c r="I96" s="708" t="str">
        <f t="shared" si="22"/>
        <v>INDAWH</v>
      </c>
      <c r="J96" s="224">
        <f t="shared" si="32"/>
        <v>2011</v>
      </c>
      <c r="K96" s="299">
        <v>2025</v>
      </c>
      <c r="L96" s="333">
        <f ca="1">VLOOKUP($AD96,INDIRECT("'"&amp;$B96&amp;"'!"&amp;"$P$39:$AD$42"),3,FALSE)*0.4</f>
        <v>0.35600000000000004</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0.84399999999999986</v>
      </c>
      <c r="W96" s="709"/>
      <c r="X96" s="698">
        <f t="shared" ca="1" si="80"/>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INDAWH</v>
      </c>
      <c r="J97" s="224">
        <f t="shared" si="32"/>
        <v>2030</v>
      </c>
      <c r="K97" s="81"/>
      <c r="L97" s="333">
        <f ca="1">VLOOKUP($AD97,INDIRECT("'"&amp;$B97&amp;"'!"&amp;"$P$39:$AD$42"),3,FALSE)*0.4</f>
        <v>0.35600000000000004</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0.84399999999999986</v>
      </c>
      <c r="W97" s="298"/>
      <c r="X97" s="698">
        <f t="shared" ca="1" si="80"/>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INDAWH</v>
      </c>
      <c r="J98" s="224">
        <f t="shared" si="32"/>
        <v>2050</v>
      </c>
      <c r="K98" s="81"/>
      <c r="L98" s="333">
        <f ca="1">VLOOKUP($AD98,INDIRECT("'"&amp;$B98&amp;"'!"&amp;"$P$39:$AD$42"),3,FALSE)*0.4</f>
        <v>0.36000000000000004</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0.83999999999999986</v>
      </c>
      <c r="W98" s="298"/>
      <c r="X98" s="698">
        <f t="shared" ca="1" si="80"/>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INDADSHWCHN2</v>
      </c>
      <c r="E99" s="261" t="str">
        <f>"Industrial heating technology "&amp;$AJ$12&amp;" "&amp;RIGHT(H99,2)&amp;" - Wood chip boiler (Steam - condensing) - new 2"</f>
        <v>Industrial heating technology Aluminium SH - Wood chip boiler (Steam - condensing) - new 2</v>
      </c>
      <c r="F99" s="224" t="s">
        <v>1149</v>
      </c>
      <c r="G99" s="174" t="s">
        <v>498</v>
      </c>
      <c r="H99" s="174" t="str">
        <f>$AI$15</f>
        <v>IADSH</v>
      </c>
      <c r="I99" s="174" t="str">
        <f t="shared" si="22"/>
        <v>INDAWH</v>
      </c>
      <c r="J99" s="224">
        <f t="shared" si="32"/>
        <v>2011</v>
      </c>
      <c r="K99" s="299">
        <v>2025</v>
      </c>
      <c r="L99" s="199">
        <f t="shared" ref="L99:L101" ca="1" si="91">VLOOKUP($AD99,INDIRECT("'"&amp;$B99&amp;"'!"&amp;"$P$118:$AD$121"),3,FALSE)</f>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2">IF(IF(RIGHT(H99,2)="PH",(1-L99)+$W$2,IF(RIGHT(H99,2)="HT",(1-L99)+$W$1,IF(RIGHT(H99,2)="SH",(1-L99)+$W$3,"")))&gt;0,IF(RIGHT(H99,2)="PH",(1-L99)+$W$2,IF(RIGHT(H99,2)="HT",(1-L99)+$W$1,IF(RIGHT(H99,2)="SH",(1-L99)+$W$3,""))),0)</f>
        <v>0</v>
      </c>
      <c r="W99" s="298"/>
      <c r="X99" s="698">
        <f t="shared" ca="1" si="80"/>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INDAWH</v>
      </c>
      <c r="J100" s="224">
        <f t="shared" si="32"/>
        <v>2030</v>
      </c>
      <c r="K100" s="81"/>
      <c r="L100" s="199">
        <f t="shared" ca="1" si="91"/>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3">IF(IF(RIGHT(H99,2)="PH",(1-L100)+$W$2,IF(RIGHT(H99,2)="HT",(1-L100)+$W$1,IF(RIGHT(H99,2)="SH",(1-L100)+$W$3,"")))&gt;0,IF(RIGHT(H99,2)="PH",(1-L100)+$W$2,IF(RIGHT(H99,2)="HT",(1-L100)+$W$1,IF(RIGHT(H99,2)="SH",(1-L100)+$W$3,""))),0)</f>
        <v>0</v>
      </c>
      <c r="W100" s="298"/>
      <c r="X100" s="698">
        <f t="shared" ca="1" si="80"/>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INDAWH</v>
      </c>
      <c r="J101" s="224">
        <f t="shared" si="32"/>
        <v>2050</v>
      </c>
      <c r="K101" s="81"/>
      <c r="L101" s="199">
        <f t="shared" ca="1" si="91"/>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4">IF(IF(RIGHT(H99,2)="PH",(1-L101)+$W$2,IF(RIGHT(H99,2)="HT",(1-L101)+$W$1,IF(RIGHT(H99,2)="SH",(1-L101)+$W$3,"")))&gt;0,IF(RIGHT(H99,2)="PH",(1-L101)+$W$2,IF(RIGHT(H99,2)="HT",(1-L101)+$W$1,IF(RIGHT(H99,2)="SH",(1-L101)+$W$3,""))),0)</f>
        <v>0</v>
      </c>
      <c r="W101" s="704"/>
      <c r="X101" s="698">
        <f t="shared" ca="1" si="80"/>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INDADPHWCHN3</v>
      </c>
      <c r="E102" s="707" t="str">
        <f>"Industrial heating technology "&amp;$AJ$12&amp;" "&amp;RIGHT(H102,2)&amp;" - Wood chip boiler (Hot Water) - new 3"</f>
        <v>Industrial heating technology Aluminium PH - Wood chip boiler (Hot Water) - new 3</v>
      </c>
      <c r="F102" s="224" t="s">
        <v>1149</v>
      </c>
      <c r="G102" s="708" t="s">
        <v>498</v>
      </c>
      <c r="H102" s="708" t="str">
        <f>$AI$14</f>
        <v>IADPH</v>
      </c>
      <c r="I102" s="708" t="str">
        <f t="shared" si="22"/>
        <v>INDAWH</v>
      </c>
      <c r="J102" s="224">
        <f t="shared" si="32"/>
        <v>2011</v>
      </c>
      <c r="K102" s="299">
        <v>2025</v>
      </c>
      <c r="L102" s="333">
        <f ca="1">VLOOKUP($AD102,INDIRECT("'"&amp;$B102&amp;"'!"&amp;"$P$39:$AD$42"),3,FALSE)*0.4</f>
        <v>0.35600000000000004</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0.84399999999999986</v>
      </c>
      <c r="W102" s="709"/>
      <c r="X102" s="698">
        <f t="shared" ca="1" si="80"/>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INDAWH</v>
      </c>
      <c r="J103" s="224">
        <f t="shared" si="32"/>
        <v>2030</v>
      </c>
      <c r="K103" s="81"/>
      <c r="L103" s="333">
        <f ca="1">VLOOKUP($AD103,INDIRECT("'"&amp;$B103&amp;"'!"&amp;"$P$39:$AD$42"),3,FALSE)*0.4</f>
        <v>0.35600000000000004</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0.84399999999999986</v>
      </c>
      <c r="W103" s="298"/>
      <c r="X103" s="698">
        <f t="shared" ca="1" si="80"/>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INDAWH</v>
      </c>
      <c r="J104" s="224">
        <f t="shared" si="32"/>
        <v>2050</v>
      </c>
      <c r="K104" s="81"/>
      <c r="L104" s="333">
        <f ca="1">VLOOKUP($AD104,INDIRECT("'"&amp;$B104&amp;"'!"&amp;"$P$39:$AD$42"),3,FALSE)*0.4</f>
        <v>0.36000000000000004</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0.83999999999999986</v>
      </c>
      <c r="W104" s="298"/>
      <c r="X104" s="698">
        <f t="shared" ca="1" si="80"/>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INDADSHWCHN3</v>
      </c>
      <c r="E105" s="261" t="str">
        <f>"Industrial heating technology "&amp;$AJ$12&amp;" "&amp;RIGHT(H105,2)&amp;" - Wood chip boiler (Hot Water) - new 3"</f>
        <v>Industrial heating technology Aluminium SH - Wood chip boiler (Hot Water) - new 3</v>
      </c>
      <c r="F105" s="224" t="s">
        <v>1149</v>
      </c>
      <c r="G105" s="174" t="s">
        <v>498</v>
      </c>
      <c r="H105" s="174" t="str">
        <f>$AI$15</f>
        <v>IADSH</v>
      </c>
      <c r="I105" s="174" t="str">
        <f t="shared" si="22"/>
        <v>INDAWH</v>
      </c>
      <c r="J105" s="224">
        <f t="shared" si="32"/>
        <v>2011</v>
      </c>
      <c r="K105" s="299">
        <v>2025</v>
      </c>
      <c r="L105" s="199">
        <f t="shared" ref="L105:L107" ca="1" si="105">VLOOKUP($AD105,INDIRECT("'"&amp;$B105&amp;"'!"&amp;"$P$200:$AD$203"),3,FALSE)</f>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6">IF(IF(RIGHT(H105,2)="PH",(1-L105)+$W$2,IF(RIGHT(H105,2)="HT",(1-L105)+$W$1,IF(RIGHT(H105,2)="SH",(1-L105)+$W$3,"")))&gt;0,IF(RIGHT(H105,2)="PH",(1-L105)+$W$2,IF(RIGHT(H105,2)="HT",(1-L105)+$W$1,IF(RIGHT(H105,2)="SH",(1-L105)+$W$3,""))),0)</f>
        <v>9.9999999999999978E-2</v>
      </c>
      <c r="W105" s="709"/>
      <c r="X105" s="698">
        <f t="shared" ca="1" si="80"/>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INDAWH</v>
      </c>
      <c r="J106" s="224">
        <f t="shared" si="32"/>
        <v>2030</v>
      </c>
      <c r="K106" s="81"/>
      <c r="L106" s="199">
        <f t="shared" ca="1" si="105"/>
        <v>0.9</v>
      </c>
      <c r="M106" s="199"/>
      <c r="N106" s="81"/>
      <c r="O106" s="723">
        <f t="shared" ca="1" si="95"/>
        <v>4.4022727272727282</v>
      </c>
      <c r="P106" s="723">
        <f t="shared" ca="1" si="96"/>
        <v>0.267455</v>
      </c>
      <c r="Q106" s="81">
        <f t="shared" ca="1" si="97"/>
        <v>5.8461805555555557</v>
      </c>
      <c r="R106" s="300"/>
      <c r="S106" s="300"/>
      <c r="T106" s="300"/>
      <c r="U106" s="300"/>
      <c r="V106" s="199">
        <f t="shared" ref="V106" ca="1" si="107">IF(IF(RIGHT(H105,2)="PH",(1-L106)+$W$2,IF(RIGHT(H105,2)="HT",(1-L106)+$W$1,IF(RIGHT(H105,2)="SH",(1-L106)+$W$3,"")))&gt;0,IF(RIGHT(H105,2)="PH",(1-L106)+$W$2,IF(RIGHT(H105,2)="HT",(1-L106)+$W$1,IF(RIGHT(H105,2)="SH",(1-L106)+$W$3,""))),0)</f>
        <v>9.9999999999999978E-2</v>
      </c>
      <c r="W106" s="298"/>
      <c r="X106" s="698">
        <f t="shared" ca="1" si="80"/>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INDAWH</v>
      </c>
      <c r="J107" s="224">
        <f t="shared" si="32"/>
        <v>2050</v>
      </c>
      <c r="K107" s="81"/>
      <c r="L107" s="199">
        <f t="shared" ca="1" si="105"/>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8">IF(IF(RIGHT(H105,2)="PH",(1-L107)+$W$2,IF(RIGHT(H105,2)="HT",(1-L107)+$W$1,IF(RIGHT(H105,2)="SH",(1-L107)+$W$3,"")))&gt;0,IF(RIGHT(H105,2)="PH",(1-L107)+$W$2,IF(RIGHT(H105,2)="HT",(1-L107)+$W$1,IF(RIGHT(H105,2)="SH",(1-L107)+$W$3,""))),0)</f>
        <v>8.9999999999999969E-2</v>
      </c>
      <c r="W107" s="298"/>
      <c r="X107" s="698">
        <f t="shared" ca="1" si="80"/>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INDADPHWCHN4</v>
      </c>
      <c r="E108" s="707" t="str">
        <f>"Industrial heating technology "&amp;$AJ$12&amp;" "&amp;RIGHT(H108,2)&amp;" - Wood chip boiler (Hot Water - condensing) - new 4"</f>
        <v>Industrial heating technology Aluminium PH - Wood chip boiler (Hot Water - condensing) - new 4</v>
      </c>
      <c r="F108" s="224" t="s">
        <v>1149</v>
      </c>
      <c r="G108" s="708" t="s">
        <v>498</v>
      </c>
      <c r="H108" s="708" t="str">
        <f>$AI$14</f>
        <v>IADPH</v>
      </c>
      <c r="I108" s="708" t="str">
        <f t="shared" si="22"/>
        <v>INDAWH</v>
      </c>
      <c r="J108" s="224">
        <f t="shared" si="32"/>
        <v>2011</v>
      </c>
      <c r="K108" s="299">
        <v>2025</v>
      </c>
      <c r="L108" s="333">
        <f ca="1">VLOOKUP($AD108,INDIRECT("'"&amp;$B108&amp;"'!"&amp;"$P$279:$AD$282"),3,FALSE)*0.4</f>
        <v>0.46475843790907345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0.7352415620909265</v>
      </c>
      <c r="W108" s="709"/>
      <c r="X108" s="698">
        <f t="shared" ca="1" si="80"/>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INDAWH</v>
      </c>
      <c r="J109" s="224">
        <f t="shared" si="32"/>
        <v>2030</v>
      </c>
      <c r="K109" s="81"/>
      <c r="L109" s="333">
        <f ca="1">VLOOKUP($AD109,INDIRECT("'"&amp;$B109&amp;"'!"&amp;"$P$279:$AD$282"),3,FALSE)*0.4</f>
        <v>0.46475843790907345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0.7352415620909265</v>
      </c>
      <c r="W109" s="298"/>
      <c r="X109" s="698">
        <f t="shared" ca="1" si="80"/>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INDAWH</v>
      </c>
      <c r="J110" s="224">
        <f t="shared" si="32"/>
        <v>2050</v>
      </c>
      <c r="K110" s="81"/>
      <c r="L110" s="333">
        <f ca="1">VLOOKUP($AD110,INDIRECT("'"&amp;$B110&amp;"'!"&amp;"$P$279:$AD$282"),3,FALSE)*0.4</f>
        <v>0.46475843790907345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0.7352415620909265</v>
      </c>
      <c r="W110" s="298"/>
      <c r="X110" s="698">
        <f t="shared" ca="1" si="80"/>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INDADSHWCHN4</v>
      </c>
      <c r="E111" s="261" t="str">
        <f>"Industrial heating technology "&amp;$AJ$12&amp;" "&amp;RIGHT(H111,2)&amp;" - Wood chip boiler (Hot Water- condensing) - new 4"</f>
        <v>Industrial heating technology Aluminium SH - Wood chip boiler (Hot Water- condensing) - new 4</v>
      </c>
      <c r="F111" s="224" t="s">
        <v>1149</v>
      </c>
      <c r="G111" s="174" t="s">
        <v>498</v>
      </c>
      <c r="H111" s="174" t="str">
        <f>$AI$15</f>
        <v>IADSH</v>
      </c>
      <c r="I111" s="174" t="str">
        <f t="shared" si="22"/>
        <v>INDAWH</v>
      </c>
      <c r="J111" s="224">
        <f t="shared" si="32"/>
        <v>2011</v>
      </c>
      <c r="K111" s="299">
        <v>2025</v>
      </c>
      <c r="L111" s="199">
        <f t="shared" ref="L111:L113" ca="1" si="119">VLOOKUP($AD111,INDIRECT("'"&amp;$B111&amp;"'!"&amp;"$P$279:$AD$282"),3,FALSE)</f>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20">IF(IF(RIGHT(H111,2)="PH",(1-L111)+$W$2,IF(RIGHT(H111,2)="HT",(1-L111)+$W$1,IF(RIGHT(H111,2)="SH",(1-L111)+$W$3,"")))&gt;0,IF(RIGHT(H111,2)="PH",(1-L111)+$W$2,IF(RIGHT(H111,2)="HT",(1-L111)+$W$1,IF(RIGHT(H111,2)="SH",(1-L111)+$W$3,""))),0)</f>
        <v>0</v>
      </c>
      <c r="W111" s="709"/>
      <c r="X111" s="698">
        <f t="shared" ca="1" si="80"/>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INDAWH</v>
      </c>
      <c r="J112" s="224">
        <f t="shared" si="32"/>
        <v>2030</v>
      </c>
      <c r="K112" s="81"/>
      <c r="L112" s="199">
        <f t="shared" ca="1" si="119"/>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1">IF(IF(RIGHT(H111,2)="PH",(1-L112)+$W$2,IF(RIGHT(H111,2)="HT",(1-L112)+$W$1,IF(RIGHT(H111,2)="SH",(1-L112)+$W$3,"")))&gt;0,IF(RIGHT(H111,2)="PH",(1-L112)+$W$2,IF(RIGHT(H111,2)="HT",(1-L112)+$W$1,IF(RIGHT(H111,2)="SH",(1-L112)+$W$3,""))),0)</f>
        <v>0</v>
      </c>
      <c r="W112" s="298"/>
      <c r="X112" s="698">
        <f t="shared" ca="1" si="80"/>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INDAWH</v>
      </c>
      <c r="J113" s="224">
        <f t="shared" si="32"/>
        <v>2050</v>
      </c>
      <c r="K113" s="81"/>
      <c r="L113" s="199">
        <f t="shared" ca="1" si="119"/>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2">IF(IF(RIGHT(H111,2)="PH",(1-L113)+$W$2,IF(RIGHT(H111,2)="HT",(1-L113)+$W$1,IF(RIGHT(H111,2)="SH",(1-L113)+$W$3,"")))&gt;0,IF(RIGHT(H111,2)="PH",(1-L113)+$W$2,IF(RIGHT(H111,2)="HT",(1-L113)+$W$1,IF(RIGHT(H111,2)="SH",(1-L113)+$W$3,""))),0)</f>
        <v>0</v>
      </c>
      <c r="W113" s="714"/>
      <c r="X113" s="698">
        <f t="shared" ca="1" si="80"/>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INDADPHELCN10</v>
      </c>
      <c r="E114" s="261" t="str">
        <f>"Industrial heating technology "&amp;$AJ$12&amp;" "&amp;RIGHT(H114,2)&amp;" - Direct electric heating - new 10"</f>
        <v>Industrial heating technology Aluminium PH - Direct electric heating - new 10</v>
      </c>
      <c r="F114" s="224" t="s">
        <v>1149</v>
      </c>
      <c r="G114" s="173" t="s">
        <v>499</v>
      </c>
      <c r="H114" s="174" t="str">
        <f>$AI$13</f>
        <v>IADPH</v>
      </c>
      <c r="I114" s="174" t="str">
        <f t="shared" si="22"/>
        <v>INDAWH</v>
      </c>
      <c r="J114" s="224">
        <f t="shared" si="32"/>
        <v>2011</v>
      </c>
      <c r="K114" s="299">
        <v>2020</v>
      </c>
      <c r="L114" s="333">
        <f ca="1">VLOOKUP($AD114,INDIRECT("'"&amp;$B114&amp;"'!"&amp;"$P$39:$AD$42"),3,FALSE)*0.4</f>
        <v>0.4</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0.8</v>
      </c>
      <c r="W114" s="298"/>
      <c r="X114" s="698">
        <f t="shared" ca="1" si="80"/>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INDAWH</v>
      </c>
      <c r="J115" s="224">
        <f t="shared" si="32"/>
        <v>2030</v>
      </c>
      <c r="K115" s="81"/>
      <c r="L115" s="333">
        <f ca="1">VLOOKUP($AD115,INDIRECT("'"&amp;$B115&amp;"'!"&amp;"$P$39:$AD$42"),3,FALSE)*0.4</f>
        <v>0.4</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0.8</v>
      </c>
      <c r="W115" s="298"/>
      <c r="X115" s="698">
        <f t="shared" ca="1" si="80"/>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INDAWH</v>
      </c>
      <c r="J116" s="224">
        <f t="shared" si="32"/>
        <v>2050</v>
      </c>
      <c r="K116" s="81"/>
      <c r="L116" s="333">
        <f ca="1">VLOOKUP($AD116,INDIRECT("'"&amp;$B116&amp;"'!"&amp;"$P$39:$AD$42"),3,FALSE)*0.4</f>
        <v>0.4</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0.8</v>
      </c>
      <c r="W116" s="298"/>
      <c r="X116" s="698">
        <f t="shared" ca="1" si="80"/>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INDADPHELCN10</v>
      </c>
      <c r="E117" s="261" t="str">
        <f>"Industrial heating technology "&amp;$AJ$12&amp;" "&amp;RIGHT(H117,2)&amp;" - Direct electric heating - new 10"</f>
        <v>Industrial heating technology Aluminium PH - Direct electric heating - new 10</v>
      </c>
      <c r="F117" s="224" t="s">
        <v>1149</v>
      </c>
      <c r="G117" s="173" t="s">
        <v>499</v>
      </c>
      <c r="H117" s="174" t="str">
        <f>$AI$14</f>
        <v>IADPH</v>
      </c>
      <c r="I117" s="174" t="str">
        <f t="shared" si="22"/>
        <v>INDAWH</v>
      </c>
      <c r="J117" s="224">
        <f t="shared" si="32"/>
        <v>2011</v>
      </c>
      <c r="K117" s="299">
        <v>2020</v>
      </c>
      <c r="L117" s="199">
        <f t="shared" ref="L117:L128" ca="1" si="133">VLOOKUP($AD117,INDIRECT("'"&amp;$B117&amp;"'!"&amp;"$P$39:$AD$42"),3,FALSE)</f>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4">IF(IF(RIGHT(H117,2)="PH",(1-L117)+$W$2,IF(RIGHT(H117,2)="HT",(1-L117)+$W$1,IF(RIGHT(H117,2)="SH",(1-L117)+$W$3,"")))&gt;0,IF(RIGHT(H117,2)="PH",(1-L117)+$W$2,IF(RIGHT(H117,2)="HT",(1-L117)+$W$1,IF(RIGHT(H117,2)="SH",(1-L117)+$W$3,""))),0)</f>
        <v>0.2</v>
      </c>
      <c r="W117" s="298"/>
      <c r="X117" s="698">
        <f t="shared" ca="1" si="80"/>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INDAWH</v>
      </c>
      <c r="J118" s="224">
        <f t="shared" si="32"/>
        <v>2030</v>
      </c>
      <c r="K118" s="81"/>
      <c r="L118" s="199">
        <f t="shared" ca="1" si="133"/>
        <v>1</v>
      </c>
      <c r="M118" s="199"/>
      <c r="N118" s="81"/>
      <c r="O118" s="723">
        <f t="shared" ca="1" si="123"/>
        <v>0.44700000000000001</v>
      </c>
      <c r="P118" s="723">
        <f t="shared" ca="1" si="124"/>
        <v>0</v>
      </c>
      <c r="Q118" s="81">
        <f t="shared" ca="1" si="125"/>
        <v>0.38802083333333331</v>
      </c>
      <c r="R118" s="300"/>
      <c r="S118" s="300"/>
      <c r="T118" s="300"/>
      <c r="U118" s="300"/>
      <c r="V118" s="199">
        <f t="shared" ref="V118" ca="1" si="135">IF(IF(RIGHT(H117,2)="PH",(1-L118)+$W$2,IF(RIGHT(H117,2)="HT",(1-L118)+$W$1,IF(RIGHT(H117,2)="SH",(1-L118)+$W$3,"")))&gt;0,IF(RIGHT(H117,2)="PH",(1-L118)+$W$2,IF(RIGHT(H117,2)="HT",(1-L118)+$W$1,IF(RIGHT(H117,2)="SH",(1-L118)+$W$3,""))),0)</f>
        <v>0.2</v>
      </c>
      <c r="W118" s="298"/>
      <c r="X118" s="698">
        <f t="shared" ca="1" si="80"/>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INDAWH</v>
      </c>
      <c r="J119" s="224">
        <f t="shared" si="32"/>
        <v>2050</v>
      </c>
      <c r="K119" s="81"/>
      <c r="L119" s="199">
        <f t="shared" ca="1" si="133"/>
        <v>1</v>
      </c>
      <c r="M119" s="199"/>
      <c r="N119" s="81"/>
      <c r="O119" s="723">
        <f t="shared" ca="1" si="123"/>
        <v>0.44700000000000001</v>
      </c>
      <c r="P119" s="723">
        <f t="shared" ca="1" si="124"/>
        <v>0</v>
      </c>
      <c r="Q119" s="81">
        <f t="shared" ca="1" si="125"/>
        <v>0.39319444444444446</v>
      </c>
      <c r="R119" s="703"/>
      <c r="S119" s="703"/>
      <c r="T119" s="703"/>
      <c r="U119" s="703"/>
      <c r="V119" s="199">
        <f t="shared" ref="V119" ca="1" si="136">IF(IF(RIGHT(H117,2)="PH",(1-L119)+$W$2,IF(RIGHT(H117,2)="HT",(1-L119)+$W$1,IF(RIGHT(H117,2)="SH",(1-L119)+$W$3,"")))&gt;0,IF(RIGHT(H117,2)="PH",(1-L119)+$W$2,IF(RIGHT(H117,2)="HT",(1-L119)+$W$1,IF(RIGHT(H117,2)="SH",(1-L119)+$W$3,""))),0)</f>
        <v>0.2</v>
      </c>
      <c r="W119" s="704"/>
      <c r="X119" s="698">
        <f t="shared" ca="1" si="80"/>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INDADPHDSLN1</v>
      </c>
      <c r="E120" s="261" t="str">
        <f>"Industrial heating technology "&amp;$AJ$12&amp;" "&amp;RIGHT(H120,2)&amp;" - Oil boiler (Steam) - new 1"</f>
        <v>Industrial heating technology Aluminium PH - Oil boiler (Steam) - new 1</v>
      </c>
      <c r="F120" s="224" t="s">
        <v>1149</v>
      </c>
      <c r="G120" s="173" t="s">
        <v>2081</v>
      </c>
      <c r="H120" s="174" t="str">
        <f>$AI$13</f>
        <v>IADPH</v>
      </c>
      <c r="I120" s="174" t="str">
        <f t="shared" si="22"/>
        <v>INDAWH</v>
      </c>
      <c r="J120" s="224">
        <f t="shared" si="32"/>
        <v>2011</v>
      </c>
      <c r="K120" s="299">
        <v>2025</v>
      </c>
      <c r="L120" s="333">
        <f t="shared" ref="L120:L125" ca="1" si="137">VLOOKUP($AD120,INDIRECT("'"&amp;$B120&amp;"'!"&amp;"$P$39:$AD$42"),3,FALSE)*0.4</f>
        <v>0.376</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8">IF(IF(RIGHT(H120,2)="PH",(1-L120)+$W$2,IF(RIGHT(H120,2)="HT",(1-L120)+$W$1,IF(RIGHT(H120,2)="SH",(1-L120)+$W$3,"")))&gt;0,IF(RIGHT(H120,2)="PH",(1-L120)+$W$2,IF(RIGHT(H120,2)="HT",(1-L120)+$W$1,IF(RIGHT(H120,2)="SH",(1-L120)+$W$3,""))),0)</f>
        <v>0.82400000000000007</v>
      </c>
      <c r="W120" s="298"/>
      <c r="X120" s="698">
        <f t="shared" ca="1" si="80"/>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INDAWH</v>
      </c>
      <c r="J121" s="224">
        <f t="shared" si="32"/>
        <v>2030</v>
      </c>
      <c r="K121" s="81"/>
      <c r="L121" s="333">
        <f t="shared" ca="1" si="137"/>
        <v>0.38</v>
      </c>
      <c r="M121" s="199"/>
      <c r="N121" s="81"/>
      <c r="O121" s="723">
        <f t="shared" ca="1" si="123"/>
        <v>0.3469940346244772</v>
      </c>
      <c r="P121" s="723">
        <f t="shared" ca="1" si="124"/>
        <v>1.2664999999999999E-2</v>
      </c>
      <c r="Q121" s="81">
        <f t="shared" ca="1" si="125"/>
        <v>1.8625</v>
      </c>
      <c r="R121" s="300"/>
      <c r="S121" s="300"/>
      <c r="T121" s="300"/>
      <c r="U121" s="300"/>
      <c r="V121" s="199">
        <f t="shared" ref="V121" ca="1" si="139">IF(IF(RIGHT(H120,2)="PH",(1-L121)+$W$2,IF(RIGHT(H120,2)="HT",(1-L121)+$W$1,IF(RIGHT(H120,2)="SH",(1-L121)+$W$3,"")))&gt;0,IF(RIGHT(H120,2)="PH",(1-L121)+$W$2,IF(RIGHT(H120,2)="HT",(1-L121)+$W$1,IF(RIGHT(H120,2)="SH",(1-L121)+$W$3,""))),0)</f>
        <v>0.82000000000000006</v>
      </c>
      <c r="W121" s="298"/>
      <c r="X121" s="698">
        <f t="shared" ca="1" si="80"/>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INDAWH</v>
      </c>
      <c r="J122" s="224">
        <f t="shared" si="32"/>
        <v>2050</v>
      </c>
      <c r="K122" s="81"/>
      <c r="L122" s="333">
        <f t="shared" ca="1" si="137"/>
        <v>0.38400000000000001</v>
      </c>
      <c r="M122" s="199"/>
      <c r="N122" s="81"/>
      <c r="O122" s="723">
        <f t="shared" ca="1" si="123"/>
        <v>0.32813985758696651</v>
      </c>
      <c r="P122" s="723">
        <f t="shared" ca="1" si="124"/>
        <v>1.1175000000000001E-2</v>
      </c>
      <c r="Q122" s="81">
        <f t="shared" ca="1" si="125"/>
        <v>1.8625</v>
      </c>
      <c r="R122" s="300"/>
      <c r="S122" s="300"/>
      <c r="T122" s="300"/>
      <c r="U122" s="300"/>
      <c r="V122" s="199">
        <f t="shared" ref="V122" ca="1" si="140">IF(IF(RIGHT(H120,2)="PH",(1-L122)+$W$2,IF(RIGHT(H120,2)="HT",(1-L122)+$W$1,IF(RIGHT(H120,2)="SH",(1-L122)+$W$3,"")))&gt;0,IF(RIGHT(H120,2)="PH",(1-L122)+$W$2,IF(RIGHT(H120,2)="HT",(1-L122)+$W$1,IF(RIGHT(H120,2)="SH",(1-L122)+$W$3,""))),0)</f>
        <v>0.81600000000000006</v>
      </c>
      <c r="W122" s="298"/>
      <c r="X122" s="698">
        <f t="shared" ca="1" si="80"/>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INDADPHDSLN1</v>
      </c>
      <c r="E123" s="261" t="str">
        <f>"Industrial heating technology "&amp;$AJ$12&amp;" "&amp;RIGHT(H123,2)&amp;" - Oil boiler (Steam) - new 1"</f>
        <v>Industrial heating technology Aluminium PH - Oil boiler (Steam) - new 1</v>
      </c>
      <c r="F123" s="224" t="s">
        <v>1149</v>
      </c>
      <c r="G123" s="173" t="s">
        <v>2081</v>
      </c>
      <c r="H123" s="174" t="str">
        <f>$AI$14</f>
        <v>IADPH</v>
      </c>
      <c r="I123" s="174" t="str">
        <f t="shared" si="22"/>
        <v>INDAWH</v>
      </c>
      <c r="J123" s="224">
        <f t="shared" si="32"/>
        <v>2011</v>
      </c>
      <c r="K123" s="299">
        <v>2025</v>
      </c>
      <c r="L123" s="333">
        <f t="shared" ca="1" si="137"/>
        <v>0.376</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41">IF(IF(RIGHT(H123,2)="PH",(1-L123)+$W$2,IF(RIGHT(H123,2)="HT",(1-L123)+$W$1,IF(RIGHT(H123,2)="SH",(1-L123)+$W$3,"")))&gt;0,IF(RIGHT(H123,2)="PH",(1-L123)+$W$2,IF(RIGHT(H123,2)="HT",(1-L123)+$W$1,IF(RIGHT(H123,2)="SH",(1-L123)+$W$3,""))),0)</f>
        <v>0.82400000000000007</v>
      </c>
      <c r="W123" s="298"/>
      <c r="X123" s="698">
        <f t="shared" ca="1" si="80"/>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INDAWH</v>
      </c>
      <c r="J124" s="224">
        <f t="shared" si="32"/>
        <v>2030</v>
      </c>
      <c r="K124" s="81"/>
      <c r="L124" s="333">
        <f t="shared" ca="1" si="137"/>
        <v>0.38</v>
      </c>
      <c r="M124" s="199"/>
      <c r="N124" s="81"/>
      <c r="O124" s="723">
        <f t="shared" ca="1" si="123"/>
        <v>0.3469940346244772</v>
      </c>
      <c r="P124" s="723">
        <f t="shared" ca="1" si="124"/>
        <v>1.2664999999999999E-2</v>
      </c>
      <c r="Q124" s="81">
        <f t="shared" ca="1" si="125"/>
        <v>1.8625</v>
      </c>
      <c r="R124" s="300"/>
      <c r="S124" s="300"/>
      <c r="T124" s="300"/>
      <c r="U124" s="300"/>
      <c r="V124" s="199">
        <f t="shared" ref="V124" ca="1" si="142">IF(IF(RIGHT(H123,2)="PH",(1-L124)+$W$2,IF(RIGHT(H123,2)="HT",(1-L124)+$W$1,IF(RIGHT(H123,2)="SH",(1-L124)+$W$3,"")))&gt;0,IF(RIGHT(H123,2)="PH",(1-L124)+$W$2,IF(RIGHT(H123,2)="HT",(1-L124)+$W$1,IF(RIGHT(H123,2)="SH",(1-L124)+$W$3,""))),0)</f>
        <v>0.82000000000000006</v>
      </c>
      <c r="W124" s="298"/>
      <c r="X124" s="698">
        <f t="shared" ca="1" si="80"/>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INDAWH</v>
      </c>
      <c r="J125" s="224">
        <f t="shared" si="32"/>
        <v>2050</v>
      </c>
      <c r="K125" s="81"/>
      <c r="L125" s="333">
        <f t="shared" ca="1" si="137"/>
        <v>0.38400000000000001</v>
      </c>
      <c r="M125" s="199"/>
      <c r="N125" s="81"/>
      <c r="O125" s="723">
        <f t="shared" ca="1" si="123"/>
        <v>0.32813985758696651</v>
      </c>
      <c r="P125" s="723">
        <f t="shared" ca="1" si="124"/>
        <v>1.1175000000000001E-2</v>
      </c>
      <c r="Q125" s="81">
        <f t="shared" ca="1" si="125"/>
        <v>1.8625</v>
      </c>
      <c r="R125" s="300"/>
      <c r="S125" s="300"/>
      <c r="T125" s="300"/>
      <c r="U125" s="300"/>
      <c r="V125" s="199">
        <f t="shared" ref="V125" ca="1" si="143">IF(IF(RIGHT(H123,2)="PH",(1-L125)+$W$2,IF(RIGHT(H123,2)="HT",(1-L125)+$W$1,IF(RIGHT(H123,2)="SH",(1-L125)+$W$3,"")))&gt;0,IF(RIGHT(H123,2)="PH",(1-L125)+$W$2,IF(RIGHT(H123,2)="HT",(1-L125)+$W$1,IF(RIGHT(H123,2)="SH",(1-L125)+$W$3,""))),0)</f>
        <v>0.81600000000000006</v>
      </c>
      <c r="W125" s="298"/>
      <c r="X125" s="698">
        <f t="shared" ca="1" si="80"/>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INDADSHDSLN1</v>
      </c>
      <c r="E126" s="261" t="str">
        <f>"Industrial heating technology "&amp;$AJ$12&amp;" "&amp;RIGHT(H126,2)&amp;" - Oil boiler (Steam) - new 1"</f>
        <v>Industrial heating technology Aluminium SH - Oil boiler (Steam) - new 1</v>
      </c>
      <c r="F126" s="224" t="s">
        <v>1149</v>
      </c>
      <c r="G126" s="173" t="s">
        <v>2081</v>
      </c>
      <c r="H126" s="174" t="str">
        <f>$AI$15</f>
        <v>IADSH</v>
      </c>
      <c r="I126" s="174" t="str">
        <f t="shared" si="22"/>
        <v>INDAWH</v>
      </c>
      <c r="J126" s="224">
        <f t="shared" si="32"/>
        <v>2011</v>
      </c>
      <c r="K126" s="299">
        <v>2025</v>
      </c>
      <c r="L126" s="199">
        <f t="shared" ca="1" si="133"/>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4">IF(IF(RIGHT(H126,2)="PH",(1-L126)+$W$2,IF(RIGHT(H126,2)="HT",(1-L126)+$W$1,IF(RIGHT(H126,2)="SH",(1-L126)+$W$3,"")))&gt;0,IF(RIGHT(H126,2)="PH",(1-L126)+$W$2,IF(RIGHT(H126,2)="HT",(1-L126)+$W$1,IF(RIGHT(H126,2)="SH",(1-L126)+$W$3,""))),0)</f>
        <v>6.0000000000000053E-2</v>
      </c>
      <c r="W126" s="298"/>
      <c r="X126" s="698">
        <f t="shared" ca="1" si="80"/>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5">$AI$20</f>
        <v>INDAWH</v>
      </c>
      <c r="J127" s="224">
        <f t="shared" si="32"/>
        <v>2030</v>
      </c>
      <c r="K127" s="81"/>
      <c r="L127" s="199">
        <f t="shared" ca="1" si="133"/>
        <v>0.95</v>
      </c>
      <c r="M127" s="199"/>
      <c r="N127" s="81"/>
      <c r="O127" s="723">
        <f t="shared" ca="1" si="123"/>
        <v>0.3469940346244772</v>
      </c>
      <c r="P127" s="723">
        <f t="shared" ca="1" si="124"/>
        <v>1.2664999999999999E-2</v>
      </c>
      <c r="Q127" s="81">
        <f t="shared" ca="1" si="125"/>
        <v>1.8625</v>
      </c>
      <c r="R127" s="300"/>
      <c r="S127" s="300"/>
      <c r="T127" s="300"/>
      <c r="U127" s="300"/>
      <c r="V127" s="199">
        <f t="shared" ref="V127" ca="1" si="146">IF(IF(RIGHT(H126,2)="PH",(1-L127)+$W$2,IF(RIGHT(H126,2)="HT",(1-L127)+$W$1,IF(RIGHT(H126,2)="SH",(1-L127)+$W$3,"")))&gt;0,IF(RIGHT(H126,2)="PH",(1-L127)+$W$2,IF(RIGHT(H126,2)="HT",(1-L127)+$W$1,IF(RIGHT(H126,2)="SH",(1-L127)+$W$3,""))),0)</f>
        <v>5.0000000000000044E-2</v>
      </c>
      <c r="W127" s="298"/>
      <c r="X127" s="698">
        <f t="shared" ref="X127:X158" ca="1" si="147">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5"/>
        <v>INDAWH</v>
      </c>
      <c r="J128" s="224">
        <f t="shared" ref="J128:J186" si="148">IF(AD128=2020,2011,AD128)</f>
        <v>2050</v>
      </c>
      <c r="K128" s="81"/>
      <c r="L128" s="199">
        <f t="shared" ca="1" si="133"/>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9">IF(IF(RIGHT(H126,2)="PH",(1-L128)+$W$2,IF(RIGHT(H126,2)="HT",(1-L128)+$W$1,IF(RIGHT(H126,2)="SH",(1-L128)+$W$3,"")))&gt;0,IF(RIGHT(H126,2)="PH",(1-L128)+$W$2,IF(RIGHT(H126,2)="HT",(1-L128)+$W$1,IF(RIGHT(H126,2)="SH",(1-L128)+$W$3,""))),0)</f>
        <v>4.0000000000000036E-2</v>
      </c>
      <c r="W128" s="704"/>
      <c r="X128" s="698">
        <f t="shared" ca="1" si="147"/>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INDADPHDSLN2</v>
      </c>
      <c r="E129" s="707" t="str">
        <f>"Industrial heating technology "&amp;$AJ$12&amp;" "&amp;RIGHT(H129,2)&amp;" - Oil boiler (Steam - condensing) - new 2"</f>
        <v>Industrial heating technology Aluminium PH - Oil boiler (Steam - condensing) - new 2</v>
      </c>
      <c r="F129" s="224" t="s">
        <v>1149</v>
      </c>
      <c r="G129" s="173" t="s">
        <v>2081</v>
      </c>
      <c r="H129" s="708" t="str">
        <f>$AI$14</f>
        <v>IADPH</v>
      </c>
      <c r="I129" s="708" t="str">
        <f t="shared" si="145"/>
        <v>INDAWH</v>
      </c>
      <c r="J129" s="224">
        <f t="shared" si="148"/>
        <v>2011</v>
      </c>
      <c r="K129" s="299">
        <v>2025</v>
      </c>
      <c r="L129" s="333">
        <f ca="1">VLOOKUP($AD129,INDIRECT("'"&amp;$B129&amp;"'!"&amp;"$P$118:$AD$121"),3,FALSE)*0.4</f>
        <v>0.38</v>
      </c>
      <c r="M129" s="199"/>
      <c r="N129" s="81">
        <f ca="1">VLOOKUP($AD129,INDIRECT("'"&amp;$B129&amp;"'!"&amp;"$P$118:$AD$121"),5,FALSE)</f>
        <v>25</v>
      </c>
      <c r="O129" s="723">
        <f t="shared" ref="O129:O134" ca="1" si="150">VLOOKUP($AD129,INDIRECT("'"&amp;$B129&amp;"'!"&amp;"$P$118:$AD$121"),6,FALSE)/1000</f>
        <v>0.32780000000000004</v>
      </c>
      <c r="P129" s="723">
        <f t="shared" ref="P129:P134" ca="1" si="151">VLOOKUP($AD129,INDIRECT("'"&amp;$B129&amp;"'!"&amp;"$P$118:$AD$121"),7,FALSE)/1000</f>
        <v>1.341E-2</v>
      </c>
      <c r="Q129" s="81">
        <f t="shared" ref="Q129:Q134" ca="1" si="152">VLOOKUP($AD129,INDIRECT("'"&amp;$B129&amp;"'!"&amp;"$P$118:$AD$121"),8,FALSE)</f>
        <v>2.0694444444444446</v>
      </c>
      <c r="R129" s="81">
        <v>3.1536000000000002E-2</v>
      </c>
      <c r="S129" s="199">
        <v>0.5</v>
      </c>
      <c r="T129" s="199">
        <f ca="1">HLOOKUP($T$2,INDIRECT("'"&amp;$B129&amp;"'!"&amp;"$P$85:$AC$98"),IF(H129=$AI$13,6,IF(H129=$AI$14,9,14)),FALSE)</f>
        <v>0</v>
      </c>
      <c r="U129" s="773"/>
      <c r="V129" s="199">
        <f t="shared" ref="V129" ca="1" si="153">IF(IF(RIGHT(H129,2)="PH",(1-L129)+$W$2,IF(RIGHT(H129,2)="HT",(1-L129)+$W$1,IF(RIGHT(H129,2)="SH",(1-L129)+$W$3,"")))&gt;0,IF(RIGHT(H129,2)="PH",(1-L129)+$W$2,IF(RIGHT(H129,2)="HT",(1-L129)+$W$1,IF(RIGHT(H129,2)="SH",(1-L129)+$W$3,""))),0)</f>
        <v>0.82000000000000006</v>
      </c>
      <c r="W129" s="709"/>
      <c r="X129" s="698">
        <f t="shared" ca="1" si="147"/>
        <v>0.5</v>
      </c>
      <c r="Y129" s="698">
        <f t="shared" ref="Y129:Y134" ca="1" si="154">VLOOKUP($AD129,INDIRECT("'"&amp;$B129&amp;"'!"&amp;"$P$118:$AD$121"),12,FALSE)</f>
        <v>25</v>
      </c>
      <c r="Z129" s="698">
        <f t="shared" ref="Z129:Z134" ca="1" si="155">VLOOKUP($AD129,INDIRECT("'"&amp;$B129&amp;"'!"&amp;"$P$118:$AD$121"),13,FALSE)</f>
        <v>0</v>
      </c>
      <c r="AA129" s="698">
        <f t="shared" ref="AA129:AA134" ca="1" si="156">VLOOKUP($AD129,INDIRECT("'"&amp;$B129&amp;"'!"&amp;"$P$118:$AD$121"),14,FALSE)</f>
        <v>0</v>
      </c>
      <c r="AB129" s="698">
        <f t="shared" ref="AB129:AB134" ca="1" si="157">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5"/>
        <v>INDAWH</v>
      </c>
      <c r="J130" s="224">
        <f t="shared" si="148"/>
        <v>2030</v>
      </c>
      <c r="K130" s="81"/>
      <c r="L130" s="333">
        <f ca="1">VLOOKUP($AD130,INDIRECT("'"&amp;$B130&amp;"'!"&amp;"$P$118:$AD$121"),3,FALSE)*0.4</f>
        <v>0.38400000000000001</v>
      </c>
      <c r="M130" s="199"/>
      <c r="N130" s="81"/>
      <c r="O130" s="723">
        <f t="shared" ca="1" si="150"/>
        <v>0.27759522769958173</v>
      </c>
      <c r="P130" s="723">
        <f t="shared" ca="1" si="151"/>
        <v>1.2664999999999999E-2</v>
      </c>
      <c r="Q130" s="81">
        <f t="shared" ca="1" si="152"/>
        <v>1.8625</v>
      </c>
      <c r="R130" s="300"/>
      <c r="S130" s="300"/>
      <c r="T130" s="300"/>
      <c r="U130" s="300"/>
      <c r="V130" s="199">
        <f t="shared" ref="V130" ca="1" si="158">IF(IF(RIGHT(H129,2)="PH",(1-L130)+$W$2,IF(RIGHT(H129,2)="HT",(1-L130)+$W$1,IF(RIGHT(H129,2)="SH",(1-L130)+$W$3,"")))&gt;0,IF(RIGHT(H129,2)="PH",(1-L130)+$W$2,IF(RIGHT(H129,2)="HT",(1-L130)+$W$1,IF(RIGHT(H129,2)="SH",(1-L130)+$W$3,""))),0)</f>
        <v>0.81600000000000006</v>
      </c>
      <c r="W130" s="298"/>
      <c r="X130" s="698">
        <f t="shared" ca="1" si="147"/>
        <v>0.5</v>
      </c>
      <c r="Y130" s="698">
        <f t="shared" ca="1" si="154"/>
        <v>20</v>
      </c>
      <c r="Z130" s="698">
        <f t="shared" ca="1" si="155"/>
        <v>0</v>
      </c>
      <c r="AA130" s="698">
        <f t="shared" ca="1" si="156"/>
        <v>0</v>
      </c>
      <c r="AB130" s="698">
        <f t="shared" ca="1" si="157"/>
        <v>0.1</v>
      </c>
      <c r="AC130" s="55"/>
      <c r="AD130" s="81">
        <v>2030</v>
      </c>
      <c r="AE130" s="81"/>
      <c r="AF130" s="700"/>
    </row>
    <row r="131" spans="2:32">
      <c r="B131" s="718" t="s">
        <v>1009</v>
      </c>
      <c r="C131" s="226"/>
      <c r="E131" s="261"/>
      <c r="F131" s="224" t="s">
        <v>1149</v>
      </c>
      <c r="G131" s="55"/>
      <c r="H131" s="174"/>
      <c r="I131" s="174" t="str">
        <f t="shared" si="145"/>
        <v>INDAWH</v>
      </c>
      <c r="J131" s="224">
        <f t="shared" si="148"/>
        <v>2050</v>
      </c>
      <c r="K131" s="81"/>
      <c r="L131" s="333">
        <f ca="1">VLOOKUP($AD131,INDIRECT("'"&amp;$B131&amp;"'!"&amp;"$P$118:$AD$121"),3,FALSE)*0.4</f>
        <v>0.38800000000000001</v>
      </c>
      <c r="M131" s="199"/>
      <c r="N131" s="81"/>
      <c r="O131" s="723">
        <f t="shared" ca="1" si="150"/>
        <v>0.26251188606957326</v>
      </c>
      <c r="P131" s="723">
        <f t="shared" ca="1" si="151"/>
        <v>1.1175000000000001E-2</v>
      </c>
      <c r="Q131" s="81">
        <f t="shared" ca="1" si="152"/>
        <v>1.8625</v>
      </c>
      <c r="R131" s="300"/>
      <c r="S131" s="300"/>
      <c r="T131" s="300"/>
      <c r="U131" s="300"/>
      <c r="V131" s="199">
        <f t="shared" ref="V131" ca="1" si="159">IF(IF(RIGHT(H129,2)="PH",(1-L131)+$W$2,IF(RIGHT(H129,2)="HT",(1-L131)+$W$1,IF(RIGHT(H129,2)="SH",(1-L131)+$W$3,"")))&gt;0,IF(RIGHT(H129,2)="PH",(1-L131)+$W$2,IF(RIGHT(H129,2)="HT",(1-L131)+$W$1,IF(RIGHT(H129,2)="SH",(1-L131)+$W$3,""))),0)</f>
        <v>0.81200000000000006</v>
      </c>
      <c r="W131" s="298"/>
      <c r="X131" s="698">
        <f t="shared" ca="1" si="147"/>
        <v>0.5</v>
      </c>
      <c r="Y131" s="698">
        <f t="shared" ca="1" si="154"/>
        <v>15</v>
      </c>
      <c r="Z131" s="698">
        <f t="shared" ca="1" si="155"/>
        <v>0</v>
      </c>
      <c r="AA131" s="698">
        <f t="shared" ca="1" si="156"/>
        <v>0</v>
      </c>
      <c r="AB131" s="698">
        <f t="shared" ca="1" si="157"/>
        <v>0.1</v>
      </c>
      <c r="AC131" s="203"/>
      <c r="AD131" s="81">
        <v>2050</v>
      </c>
      <c r="AE131" s="81"/>
      <c r="AF131" s="705"/>
    </row>
    <row r="132" spans="2:32">
      <c r="B132" s="718" t="s">
        <v>1009</v>
      </c>
      <c r="C132" s="226"/>
      <c r="D132" s="212" t="str">
        <f>"IND"&amp;RIGHT(H132,4)&amp;"DSL"&amp;"N"&amp;RIGHT(E132,1)</f>
        <v>INDADSHDSLN2</v>
      </c>
      <c r="E132" s="261" t="str">
        <f>"Industrial heating technology "&amp;$AJ$12&amp;" "&amp;RIGHT(H132,2)&amp;" - Oil boiler (Steam - condensing) - new 2"</f>
        <v>Industrial heating technology Aluminium SH - Oil boiler (Steam - condensing) - new 2</v>
      </c>
      <c r="F132" s="224" t="s">
        <v>1149</v>
      </c>
      <c r="G132" s="173" t="s">
        <v>2081</v>
      </c>
      <c r="H132" s="174" t="str">
        <f>$AI$15</f>
        <v>IADSH</v>
      </c>
      <c r="I132" s="174" t="str">
        <f t="shared" si="145"/>
        <v>INDAWH</v>
      </c>
      <c r="J132" s="224">
        <f t="shared" si="148"/>
        <v>2011</v>
      </c>
      <c r="K132" s="299">
        <v>2025</v>
      </c>
      <c r="L132" s="199">
        <f t="shared" ref="L132:L134" ca="1" si="160">VLOOKUP($AD132,INDIRECT("'"&amp;$B132&amp;"'!"&amp;"$P$118:$AD$121"),3,FALSE)</f>
        <v>0.95</v>
      </c>
      <c r="M132" s="199"/>
      <c r="N132" s="81">
        <f ca="1">VLOOKUP($AD132,INDIRECT("'"&amp;$B132&amp;"'!"&amp;"$P$118:$AD$121"),5,FALSE)</f>
        <v>25</v>
      </c>
      <c r="O132" s="723">
        <f t="shared" ca="1" si="150"/>
        <v>0.32780000000000004</v>
      </c>
      <c r="P132" s="723">
        <f t="shared" ca="1" si="151"/>
        <v>1.341E-2</v>
      </c>
      <c r="Q132" s="81">
        <f t="shared" ca="1" si="152"/>
        <v>2.0694444444444446</v>
      </c>
      <c r="R132" s="81">
        <v>3.1536000000000002E-2</v>
      </c>
      <c r="S132" s="199">
        <v>0.5</v>
      </c>
      <c r="T132" s="199">
        <f ca="1">HLOOKUP($T$2,INDIRECT("'"&amp;$B132&amp;"'!"&amp;"$P$85:$AC$98"),IF(H132=$AI$13,6,IF(H132=$AI$14,9,14)),FALSE)</f>
        <v>1</v>
      </c>
      <c r="U132" s="772"/>
      <c r="V132" s="199">
        <f t="shared" ref="V132" ca="1" si="161">IF(IF(RIGHT(H132,2)="PH",(1-L132)+$W$2,IF(RIGHT(H132,2)="HT",(1-L132)+$W$1,IF(RIGHT(H132,2)="SH",(1-L132)+$W$3,"")))&gt;0,IF(RIGHT(H132,2)="PH",(1-L132)+$W$2,IF(RIGHT(H132,2)="HT",(1-L132)+$W$1,IF(RIGHT(H132,2)="SH",(1-L132)+$W$3,""))),0)</f>
        <v>5.0000000000000044E-2</v>
      </c>
      <c r="W132" s="298"/>
      <c r="X132" s="698">
        <f t="shared" ca="1" si="147"/>
        <v>0.5</v>
      </c>
      <c r="Y132" s="698">
        <f t="shared" ca="1" si="154"/>
        <v>25</v>
      </c>
      <c r="Z132" s="698">
        <f t="shared" ca="1" si="155"/>
        <v>0</v>
      </c>
      <c r="AA132" s="698">
        <f t="shared" ca="1" si="156"/>
        <v>0</v>
      </c>
      <c r="AB132" s="698">
        <f t="shared" ca="1" si="157"/>
        <v>0.1</v>
      </c>
      <c r="AD132" s="81">
        <v>2020</v>
      </c>
      <c r="AE132" s="299"/>
      <c r="AF132" s="220"/>
    </row>
    <row r="133" spans="2:32">
      <c r="B133" s="718" t="s">
        <v>1009</v>
      </c>
      <c r="C133" s="226"/>
      <c r="E133" s="261"/>
      <c r="F133" s="224" t="s">
        <v>1149</v>
      </c>
      <c r="G133" s="55"/>
      <c r="H133" s="174"/>
      <c r="I133" s="174" t="str">
        <f t="shared" si="145"/>
        <v>INDAWH</v>
      </c>
      <c r="J133" s="224">
        <f t="shared" si="148"/>
        <v>2030</v>
      </c>
      <c r="K133" s="81"/>
      <c r="L133" s="199">
        <f t="shared" ca="1" si="160"/>
        <v>0.96</v>
      </c>
      <c r="M133" s="199"/>
      <c r="N133" s="81"/>
      <c r="O133" s="723">
        <f t="shared" ca="1" si="150"/>
        <v>0.27759522769958173</v>
      </c>
      <c r="P133" s="723">
        <f t="shared" ca="1" si="151"/>
        <v>1.2664999999999999E-2</v>
      </c>
      <c r="Q133" s="81">
        <f t="shared" ca="1" si="152"/>
        <v>1.8625</v>
      </c>
      <c r="R133" s="300"/>
      <c r="S133" s="300"/>
      <c r="T133" s="300"/>
      <c r="U133" s="300"/>
      <c r="V133" s="199">
        <f t="shared" ref="V133" ca="1" si="162">IF(IF(RIGHT(H132,2)="PH",(1-L133)+$W$2,IF(RIGHT(H132,2)="HT",(1-L133)+$W$1,IF(RIGHT(H132,2)="SH",(1-L133)+$W$3,"")))&gt;0,IF(RIGHT(H132,2)="PH",(1-L133)+$W$2,IF(RIGHT(H132,2)="HT",(1-L133)+$W$1,IF(RIGHT(H132,2)="SH",(1-L133)+$W$3,""))),0)</f>
        <v>4.0000000000000036E-2</v>
      </c>
      <c r="W133" s="298"/>
      <c r="X133" s="698">
        <f t="shared" ca="1" si="147"/>
        <v>0.5</v>
      </c>
      <c r="Y133" s="698">
        <f t="shared" ca="1" si="154"/>
        <v>20</v>
      </c>
      <c r="Z133" s="698">
        <f t="shared" ca="1" si="155"/>
        <v>0</v>
      </c>
      <c r="AA133" s="698">
        <f t="shared" ca="1" si="156"/>
        <v>0</v>
      </c>
      <c r="AB133" s="698">
        <f t="shared" ca="1" si="157"/>
        <v>0.1</v>
      </c>
      <c r="AD133" s="81">
        <v>2030</v>
      </c>
      <c r="AE133" s="81"/>
      <c r="AF133" s="220"/>
    </row>
    <row r="134" spans="2:32">
      <c r="B134" s="719" t="s">
        <v>1009</v>
      </c>
      <c r="C134" s="713"/>
      <c r="D134" s="701"/>
      <c r="E134" s="701"/>
      <c r="F134" s="224" t="s">
        <v>1149</v>
      </c>
      <c r="G134" s="203"/>
      <c r="H134" s="702"/>
      <c r="I134" s="702" t="str">
        <f t="shared" si="145"/>
        <v>INDAWH</v>
      </c>
      <c r="J134" s="224">
        <f t="shared" si="148"/>
        <v>2050</v>
      </c>
      <c r="K134" s="81"/>
      <c r="L134" s="199">
        <f t="shared" ca="1" si="160"/>
        <v>0.97</v>
      </c>
      <c r="M134" s="199"/>
      <c r="N134" s="81"/>
      <c r="O134" s="723">
        <f t="shared" ca="1" si="150"/>
        <v>0.26251188606957326</v>
      </c>
      <c r="P134" s="723">
        <f t="shared" ca="1" si="151"/>
        <v>1.1175000000000001E-2</v>
      </c>
      <c r="Q134" s="81">
        <f t="shared" ca="1" si="152"/>
        <v>1.8625</v>
      </c>
      <c r="R134" s="703"/>
      <c r="S134" s="703"/>
      <c r="T134" s="703"/>
      <c r="U134" s="703"/>
      <c r="V134" s="199">
        <f t="shared" ref="V134" ca="1" si="163">IF(IF(RIGHT(H132,2)="PH",(1-L134)+$W$2,IF(RIGHT(H132,2)="HT",(1-L134)+$W$1,IF(RIGHT(H132,2)="SH",(1-L134)+$W$3,"")))&gt;0,IF(RIGHT(H132,2)="PH",(1-L134)+$W$2,IF(RIGHT(H132,2)="HT",(1-L134)+$W$1,IF(RIGHT(H132,2)="SH",(1-L134)+$W$3,""))),0)</f>
        <v>3.0000000000000027E-2</v>
      </c>
      <c r="W134" s="704"/>
      <c r="X134" s="698">
        <f t="shared" ca="1" si="147"/>
        <v>0.5</v>
      </c>
      <c r="Y134" s="698">
        <f t="shared" ca="1" si="154"/>
        <v>15</v>
      </c>
      <c r="Z134" s="698">
        <f t="shared" ca="1" si="155"/>
        <v>0</v>
      </c>
      <c r="AA134" s="698">
        <f t="shared" ca="1" si="156"/>
        <v>0</v>
      </c>
      <c r="AB134" s="698">
        <f t="shared" ca="1" si="157"/>
        <v>0.1</v>
      </c>
      <c r="AD134" s="81">
        <v>2050</v>
      </c>
      <c r="AE134" s="81"/>
      <c r="AF134" s="220"/>
    </row>
    <row r="135" spans="2:32">
      <c r="B135" s="718" t="s">
        <v>1010</v>
      </c>
      <c r="C135" s="226"/>
      <c r="D135" s="212" t="str">
        <f>"IND"&amp;RIGHT(H135,4)&amp;"GAS"&amp;"N"&amp;RIGHT(E135,1)</f>
        <v>INDADPHGASN1</v>
      </c>
      <c r="E135" s="261" t="str">
        <f>"Industrial heating technology "&amp;$AJ$12&amp;" "&amp;RIGHT(H135,2)&amp;" - Gas boiler (Steam) - new 1"</f>
        <v>Industrial heating technology Aluminium PH - Gas boiler (Steam) - new 1</v>
      </c>
      <c r="F135" s="224" t="s">
        <v>1149</v>
      </c>
      <c r="G135" s="173" t="s">
        <v>2080</v>
      </c>
      <c r="H135" s="174" t="str">
        <f>$AI$13</f>
        <v>IADPH</v>
      </c>
      <c r="I135" s="174" t="str">
        <f t="shared" si="145"/>
        <v>INDAWH</v>
      </c>
      <c r="J135" s="224">
        <f t="shared" si="148"/>
        <v>2011</v>
      </c>
      <c r="K135" s="299">
        <v>2011</v>
      </c>
      <c r="L135" s="333">
        <f t="shared" ref="L135:L140" ca="1" si="164">VLOOKUP($AD135,INDIRECT("'"&amp;$B135&amp;"'!"&amp;"$P$39:$AD$42"),3,FALSE)*0.4</f>
        <v>0.36800000000000005</v>
      </c>
      <c r="M135" s="699"/>
      <c r="N135" s="299">
        <f ca="1">VLOOKUP($AD135,INDIRECT("'"&amp;$B135&amp;"'!"&amp;"$P$39:$AD$42"),5,FALSE)</f>
        <v>25</v>
      </c>
      <c r="O135" s="725">
        <f t="shared" ref="O135:O143" ca="1" si="165">VLOOKUP($AD135,INDIRECT("'"&amp;$B135&amp;"'!"&amp;"$P$39:$AD$42"),6,FALSE)/1000</f>
        <v>0.40636363636363632</v>
      </c>
      <c r="P135" s="725">
        <f t="shared" ref="P135:P143" ca="1" si="166">VLOOKUP($AD135,INDIRECT("'"&amp;$B135&amp;"'!"&amp;"$P$39:$AD$42"),7,FALSE)/1000</f>
        <v>1.49E-2</v>
      </c>
      <c r="Q135" s="299">
        <f t="shared" ref="Q135:Q143" ca="1" si="167">VLOOKUP($AD135,INDIRECT("'"&amp;$B135&amp;"'!"&amp;"$P$39:$AD$42"),8,FALSE)</f>
        <v>2.276388888888889</v>
      </c>
      <c r="R135" s="299">
        <v>3.1536000000000002E-2</v>
      </c>
      <c r="S135" s="699">
        <v>0.5</v>
      </c>
      <c r="T135" s="699">
        <f ca="1">HLOOKUP($T$2,INDIRECT("'"&amp;$B135&amp;"'!"&amp;"$P$6:$AC$19"),IF(H135=$AI$13,6,IF(H135=$AI$14,9,14)),FALSE)</f>
        <v>1</v>
      </c>
      <c r="U135" s="772"/>
      <c r="V135" s="199">
        <f t="shared" ref="V135" ca="1" si="168">IF(IF(RIGHT(H135,2)="PH",(1-L135)+$W$2,IF(RIGHT(H135,2)="HT",(1-L135)+$W$1,IF(RIGHT(H135,2)="SH",(1-L135)+$W$3,"")))&gt;0,IF(RIGHT(H135,2)="PH",(1-L135)+$W$2,IF(RIGHT(H135,2)="HT",(1-L135)+$W$1,IF(RIGHT(H135,2)="SH",(1-L135)+$W$3,""))),0)</f>
        <v>0.83199999999999985</v>
      </c>
      <c r="W135" s="298"/>
      <c r="X135" s="698">
        <f t="shared" ca="1" si="147"/>
        <v>0.3</v>
      </c>
      <c r="Y135" s="299">
        <f t="shared" ref="Y135:Y143" ca="1" si="169">VLOOKUP($AD135,INDIRECT("'"&amp;$B135&amp;"'!"&amp;"$P$39:$AD$42"),12,FALSE)</f>
        <v>9</v>
      </c>
      <c r="Z135" s="299">
        <f t="shared" ref="Z135:Z143" ca="1" si="170">VLOOKUP($AD135,INDIRECT("'"&amp;$B135&amp;"'!"&amp;"$P$39:$AD$42"),13,FALSE)</f>
        <v>3</v>
      </c>
      <c r="AA135" s="299">
        <f t="shared" ref="AA135:AA143" ca="1" si="171">VLOOKUP($AD135,INDIRECT("'"&amp;$B135&amp;"'!"&amp;"$P$39:$AD$42"),14,FALSE)</f>
        <v>1</v>
      </c>
      <c r="AB135" s="299">
        <f t="shared" ref="AB135:AB143" ca="1" si="172">VLOOKUP($AD135,INDIRECT("'"&amp;$B135&amp;"'!"&amp;"$P$39:$AD$42"),15,FALSE)</f>
        <v>0.1</v>
      </c>
      <c r="AD135" s="299">
        <v>2020</v>
      </c>
      <c r="AE135" s="81"/>
      <c r="AF135" s="220"/>
    </row>
    <row r="136" spans="2:32">
      <c r="B136" s="718" t="s">
        <v>1010</v>
      </c>
      <c r="C136" s="226"/>
      <c r="E136" s="212"/>
      <c r="F136" s="224" t="s">
        <v>1149</v>
      </c>
      <c r="H136" s="174"/>
      <c r="I136" s="174" t="str">
        <f t="shared" si="145"/>
        <v>INDAWH</v>
      </c>
      <c r="J136" s="224">
        <f t="shared" si="148"/>
        <v>2030</v>
      </c>
      <c r="K136" s="81"/>
      <c r="L136" s="333">
        <f t="shared" ca="1" si="164"/>
        <v>0.37200000000000005</v>
      </c>
      <c r="M136" s="199"/>
      <c r="N136" s="81"/>
      <c r="O136" s="723">
        <f t="shared" ca="1" si="165"/>
        <v>0.33863636363636368</v>
      </c>
      <c r="P136" s="723">
        <f t="shared" ca="1" si="166"/>
        <v>1.4154999999999999E-2</v>
      </c>
      <c r="Q136" s="81">
        <f t="shared" ca="1" si="167"/>
        <v>2.0694444444444446</v>
      </c>
      <c r="R136" s="300"/>
      <c r="S136" s="300"/>
      <c r="T136" s="300"/>
      <c r="U136" s="300"/>
      <c r="V136" s="199">
        <f t="shared" ref="V136" ca="1" si="173">IF(IF(RIGHT(H135,2)="PH",(1-L136)+$W$2,IF(RIGHT(H135,2)="HT",(1-L136)+$W$1,IF(RIGHT(H135,2)="SH",(1-L136)+$W$3,"")))&gt;0,IF(RIGHT(H135,2)="PH",(1-L136)+$W$2,IF(RIGHT(H135,2)="HT",(1-L136)+$W$1,IF(RIGHT(H135,2)="SH",(1-L136)+$W$3,""))),0)</f>
        <v>0.82799999999999985</v>
      </c>
      <c r="W136" s="298"/>
      <c r="X136" s="698">
        <f t="shared" ca="1" si="147"/>
        <v>0.3</v>
      </c>
      <c r="Y136" s="81">
        <f t="shared" ca="1" si="169"/>
        <v>7</v>
      </c>
      <c r="Z136" s="81">
        <f t="shared" ca="1" si="170"/>
        <v>2</v>
      </c>
      <c r="AA136" s="81">
        <f t="shared" ca="1" si="171"/>
        <v>1</v>
      </c>
      <c r="AB136" s="81">
        <f t="shared" ca="1" si="172"/>
        <v>0.1</v>
      </c>
      <c r="AD136" s="81">
        <v>2030</v>
      </c>
      <c r="AE136" s="81"/>
      <c r="AF136" s="220"/>
    </row>
    <row r="137" spans="2:32">
      <c r="B137" s="718" t="s">
        <v>1010</v>
      </c>
      <c r="C137" s="226"/>
      <c r="E137" s="212"/>
      <c r="F137" s="224" t="s">
        <v>1149</v>
      </c>
      <c r="H137" s="174"/>
      <c r="I137" s="174" t="str">
        <f t="shared" si="145"/>
        <v>INDAWH</v>
      </c>
      <c r="J137" s="224">
        <f t="shared" si="148"/>
        <v>2050</v>
      </c>
      <c r="K137" s="81"/>
      <c r="L137" s="333">
        <f t="shared" ca="1" si="164"/>
        <v>0.376</v>
      </c>
      <c r="M137" s="199"/>
      <c r="N137" s="81"/>
      <c r="O137" s="723">
        <f t="shared" ca="1" si="165"/>
        <v>0.33863636363636368</v>
      </c>
      <c r="P137" s="723">
        <f t="shared" ca="1" si="166"/>
        <v>1.2664999999999999E-2</v>
      </c>
      <c r="Q137" s="81">
        <f t="shared" ca="1" si="167"/>
        <v>2.0694444444444446</v>
      </c>
      <c r="R137" s="300"/>
      <c r="S137" s="300"/>
      <c r="T137" s="300"/>
      <c r="U137" s="300"/>
      <c r="V137" s="199">
        <f t="shared" ref="V137" ca="1" si="174">IF(IF(RIGHT(H135,2)="PH",(1-L137)+$W$2,IF(RIGHT(H135,2)="HT",(1-L137)+$W$1,IF(RIGHT(H135,2)="SH",(1-L137)+$W$3,"")))&gt;0,IF(RIGHT(H135,2)="PH",(1-L137)+$W$2,IF(RIGHT(H135,2)="HT",(1-L137)+$W$1,IF(RIGHT(H135,2)="SH",(1-L137)+$W$3,""))),0)</f>
        <v>0.82400000000000007</v>
      </c>
      <c r="W137" s="298"/>
      <c r="X137" s="698">
        <f t="shared" ca="1" si="147"/>
        <v>0.3</v>
      </c>
      <c r="Y137" s="81">
        <f t="shared" ca="1" si="169"/>
        <v>6</v>
      </c>
      <c r="Z137" s="81">
        <f t="shared" ca="1" si="170"/>
        <v>2</v>
      </c>
      <c r="AA137" s="81">
        <f t="shared" ca="1" si="171"/>
        <v>1</v>
      </c>
      <c r="AB137" s="81">
        <f t="shared" ca="1" si="172"/>
        <v>0.1</v>
      </c>
      <c r="AD137" s="81">
        <v>2050</v>
      </c>
      <c r="AE137" s="81"/>
      <c r="AF137" s="220"/>
    </row>
    <row r="138" spans="2:32">
      <c r="B138" s="718" t="s">
        <v>1010</v>
      </c>
      <c r="C138" s="226"/>
      <c r="D138" s="212" t="str">
        <f>"IND"&amp;RIGHT(H138,4)&amp;"GAS"&amp;"N"&amp;RIGHT(E138,1)</f>
        <v>INDADPHGASN1</v>
      </c>
      <c r="E138" s="261" t="str">
        <f>"Industrial heating technology "&amp;$AJ$12&amp;" "&amp;RIGHT(H138,2)&amp;" - Gas boiler (Steam) - new 1"</f>
        <v>Industrial heating technology Aluminium PH - Gas boiler (Steam) - new 1</v>
      </c>
      <c r="F138" s="224" t="s">
        <v>1149</v>
      </c>
      <c r="G138" s="173" t="s">
        <v>2080</v>
      </c>
      <c r="H138" s="174" t="str">
        <f>$AI$14</f>
        <v>IADPH</v>
      </c>
      <c r="I138" s="174" t="str">
        <f t="shared" si="145"/>
        <v>INDAWH</v>
      </c>
      <c r="J138" s="224">
        <f t="shared" si="148"/>
        <v>2011</v>
      </c>
      <c r="K138" s="299">
        <v>2020</v>
      </c>
      <c r="L138" s="333">
        <f t="shared" ca="1" si="164"/>
        <v>0.36800000000000005</v>
      </c>
      <c r="M138" s="199"/>
      <c r="N138" s="81">
        <f ca="1">VLOOKUP($AD138,INDIRECT("'"&amp;$B138&amp;"'!"&amp;"$P$39:$AD$42"),5,FALSE)</f>
        <v>25</v>
      </c>
      <c r="O138" s="723">
        <f t="shared" ca="1" si="165"/>
        <v>0.40636363636363632</v>
      </c>
      <c r="P138" s="723">
        <f t="shared" ca="1" si="166"/>
        <v>1.49E-2</v>
      </c>
      <c r="Q138" s="81">
        <f t="shared" ca="1" si="167"/>
        <v>2.276388888888889</v>
      </c>
      <c r="R138" s="81">
        <v>3.1536000000000002E-2</v>
      </c>
      <c r="S138" s="199">
        <v>0.5</v>
      </c>
      <c r="T138" s="199">
        <f ca="1">HLOOKUP($T$2,INDIRECT("'"&amp;$B138&amp;"'!"&amp;"$P$6:$AC$19"),IF(H138=$AI$13,6,IF(H138=$AI$14,9,14)),FALSE)</f>
        <v>1</v>
      </c>
      <c r="U138" s="772"/>
      <c r="V138" s="199">
        <f t="shared" ref="V138" ca="1" si="175">IF(IF(RIGHT(H138,2)="PH",(1-L138)+$W$2,IF(RIGHT(H138,2)="HT",(1-L138)+$W$1,IF(RIGHT(H138,2)="SH",(1-L138)+$W$3,"")))&gt;0,IF(RIGHT(H138,2)="PH",(1-L138)+$W$2,IF(RIGHT(H138,2)="HT",(1-L138)+$W$1,IF(RIGHT(H138,2)="SH",(1-L138)+$W$3,""))),0)</f>
        <v>0.83199999999999985</v>
      </c>
      <c r="W138" s="298"/>
      <c r="X138" s="698">
        <f t="shared" ca="1" si="147"/>
        <v>0.3</v>
      </c>
      <c r="Y138" s="81">
        <f t="shared" ca="1" si="169"/>
        <v>9</v>
      </c>
      <c r="Z138" s="81">
        <f t="shared" ca="1" si="170"/>
        <v>3</v>
      </c>
      <c r="AA138" s="81">
        <f t="shared" ca="1" si="171"/>
        <v>1</v>
      </c>
      <c r="AB138" s="81">
        <f t="shared" ca="1" si="172"/>
        <v>0.1</v>
      </c>
      <c r="AD138" s="81">
        <v>2020</v>
      </c>
      <c r="AE138" s="81"/>
      <c r="AF138" s="220"/>
    </row>
    <row r="139" spans="2:32">
      <c r="B139" s="718" t="s">
        <v>1010</v>
      </c>
      <c r="C139" s="226"/>
      <c r="E139" s="212"/>
      <c r="F139" s="224" t="s">
        <v>1149</v>
      </c>
      <c r="H139" s="174"/>
      <c r="I139" s="174" t="str">
        <f t="shared" si="145"/>
        <v>INDAWH</v>
      </c>
      <c r="J139" s="224">
        <f t="shared" si="148"/>
        <v>2030</v>
      </c>
      <c r="K139" s="81"/>
      <c r="L139" s="333">
        <f t="shared" ca="1" si="164"/>
        <v>0.37200000000000005</v>
      </c>
      <c r="M139" s="199"/>
      <c r="N139" s="81"/>
      <c r="O139" s="723">
        <f t="shared" ca="1" si="165"/>
        <v>0.33863636363636368</v>
      </c>
      <c r="P139" s="723">
        <f t="shared" ca="1" si="166"/>
        <v>1.4154999999999999E-2</v>
      </c>
      <c r="Q139" s="81">
        <f t="shared" ca="1" si="167"/>
        <v>2.0694444444444446</v>
      </c>
      <c r="R139" s="300"/>
      <c r="S139" s="300"/>
      <c r="T139" s="300"/>
      <c r="U139" s="300"/>
      <c r="V139" s="199">
        <f t="shared" ref="V139" ca="1" si="176">IF(IF(RIGHT(H138,2)="PH",(1-L139)+$W$2,IF(RIGHT(H138,2)="HT",(1-L139)+$W$1,IF(RIGHT(H138,2)="SH",(1-L139)+$W$3,"")))&gt;0,IF(RIGHT(H138,2)="PH",(1-L139)+$W$2,IF(RIGHT(H138,2)="HT",(1-L139)+$W$1,IF(RIGHT(H138,2)="SH",(1-L139)+$W$3,""))),0)</f>
        <v>0.82799999999999985</v>
      </c>
      <c r="W139" s="298"/>
      <c r="X139" s="698">
        <f t="shared" ca="1" si="147"/>
        <v>0.3</v>
      </c>
      <c r="Y139" s="81">
        <f t="shared" ca="1" si="169"/>
        <v>7</v>
      </c>
      <c r="Z139" s="81">
        <f t="shared" ca="1" si="170"/>
        <v>2</v>
      </c>
      <c r="AA139" s="81">
        <f t="shared" ca="1" si="171"/>
        <v>1</v>
      </c>
      <c r="AB139" s="81">
        <f t="shared" ca="1" si="172"/>
        <v>0.1</v>
      </c>
      <c r="AD139" s="81">
        <v>2030</v>
      </c>
      <c r="AE139" s="81"/>
      <c r="AF139" s="220"/>
    </row>
    <row r="140" spans="2:32">
      <c r="B140" s="718" t="s">
        <v>1010</v>
      </c>
      <c r="C140" s="226"/>
      <c r="E140" s="212"/>
      <c r="F140" s="224" t="s">
        <v>1149</v>
      </c>
      <c r="H140" s="174"/>
      <c r="I140" s="174" t="str">
        <f t="shared" si="145"/>
        <v>INDAWH</v>
      </c>
      <c r="J140" s="224">
        <f t="shared" si="148"/>
        <v>2050</v>
      </c>
      <c r="K140" s="81"/>
      <c r="L140" s="333">
        <f t="shared" ca="1" si="164"/>
        <v>0.376</v>
      </c>
      <c r="M140" s="199"/>
      <c r="N140" s="81"/>
      <c r="O140" s="723">
        <f t="shared" ca="1" si="165"/>
        <v>0.33863636363636368</v>
      </c>
      <c r="P140" s="723">
        <f t="shared" ca="1" si="166"/>
        <v>1.2664999999999999E-2</v>
      </c>
      <c r="Q140" s="81">
        <f t="shared" ca="1" si="167"/>
        <v>2.0694444444444446</v>
      </c>
      <c r="R140" s="300"/>
      <c r="S140" s="300"/>
      <c r="T140" s="300"/>
      <c r="U140" s="300"/>
      <c r="V140" s="199">
        <f t="shared" ref="V140" ca="1" si="177">IF(IF(RIGHT(H138,2)="PH",(1-L140)+$W$2,IF(RIGHT(H138,2)="HT",(1-L140)+$W$1,IF(RIGHT(H138,2)="SH",(1-L140)+$W$3,"")))&gt;0,IF(RIGHT(H138,2)="PH",(1-L140)+$W$2,IF(RIGHT(H138,2)="HT",(1-L140)+$W$1,IF(RIGHT(H138,2)="SH",(1-L140)+$W$3,""))),0)</f>
        <v>0.82400000000000007</v>
      </c>
      <c r="W140" s="298"/>
      <c r="X140" s="698">
        <f t="shared" ca="1" si="147"/>
        <v>0.3</v>
      </c>
      <c r="Y140" s="81">
        <f t="shared" ca="1" si="169"/>
        <v>6</v>
      </c>
      <c r="Z140" s="81">
        <f t="shared" ca="1" si="170"/>
        <v>2</v>
      </c>
      <c r="AA140" s="81">
        <f t="shared" ca="1" si="171"/>
        <v>1</v>
      </c>
      <c r="AB140" s="81">
        <f t="shared" ca="1" si="172"/>
        <v>0.1</v>
      </c>
      <c r="AC140" s="203"/>
      <c r="AD140" s="81">
        <v>2050</v>
      </c>
      <c r="AE140" s="81"/>
      <c r="AF140" s="705"/>
    </row>
    <row r="141" spans="2:32">
      <c r="B141" s="718" t="s">
        <v>1010</v>
      </c>
      <c r="C141" s="226"/>
      <c r="D141" s="212" t="str">
        <f>"IND"&amp;RIGHT(H141,4)&amp;"GAS"&amp;"N"&amp;RIGHT(E141,1)</f>
        <v>INDADSHGASN1</v>
      </c>
      <c r="E141" s="261" t="str">
        <f>"Industrial heating technology "&amp;$AJ$12&amp;" "&amp;RIGHT(H141,2)&amp;" - Gas boiler (Steam) - new 1"</f>
        <v>Industrial heating technology Aluminium SH - Gas boiler (Steam) - new 1</v>
      </c>
      <c r="F141" s="224" t="s">
        <v>1149</v>
      </c>
      <c r="G141" s="173" t="s">
        <v>2080</v>
      </c>
      <c r="H141" s="174" t="str">
        <f>$AI$15</f>
        <v>IADSH</v>
      </c>
      <c r="I141" s="174" t="str">
        <f t="shared" si="145"/>
        <v>INDAWH</v>
      </c>
      <c r="J141" s="224">
        <f t="shared" si="148"/>
        <v>2011</v>
      </c>
      <c r="K141" s="299">
        <v>2020</v>
      </c>
      <c r="L141" s="199">
        <f t="shared" ref="L141:L143" ca="1" si="178">VLOOKUP($AD141,INDIRECT("'"&amp;$B141&amp;"'!"&amp;"$P$39:$AD$42"),3,FALSE)</f>
        <v>0.92</v>
      </c>
      <c r="M141" s="199"/>
      <c r="N141" s="81">
        <f ca="1">VLOOKUP($AD141,INDIRECT("'"&amp;$B141&amp;"'!"&amp;"$P$39:$AD$42"),5,FALSE)</f>
        <v>25</v>
      </c>
      <c r="O141" s="723">
        <f t="shared" ca="1" si="165"/>
        <v>0.40636363636363632</v>
      </c>
      <c r="P141" s="723">
        <f t="shared" ca="1" si="166"/>
        <v>1.49E-2</v>
      </c>
      <c r="Q141" s="81">
        <f t="shared" ca="1" si="167"/>
        <v>2.276388888888889</v>
      </c>
      <c r="R141" s="81">
        <v>3.1536000000000002E-2</v>
      </c>
      <c r="S141" s="199">
        <v>0.5</v>
      </c>
      <c r="T141" s="199">
        <f ca="1">HLOOKUP($T$2,INDIRECT("'"&amp;$B141&amp;"'!"&amp;"$P$6:$AC$19"),IF(H141=$AI$13,6,IF(H141=$AI$14,9,14)),FALSE)</f>
        <v>1</v>
      </c>
      <c r="U141" s="772"/>
      <c r="V141" s="199">
        <f t="shared" ref="V141" ca="1" si="179">IF(IF(RIGHT(H141,2)="PH",(1-L141)+$W$2,IF(RIGHT(H141,2)="HT",(1-L141)+$W$1,IF(RIGHT(H141,2)="SH",(1-L141)+$W$3,"")))&gt;0,IF(RIGHT(H141,2)="PH",(1-L141)+$W$2,IF(RIGHT(H141,2)="HT",(1-L141)+$W$1,IF(RIGHT(H141,2)="SH",(1-L141)+$W$3,""))),0)</f>
        <v>7.999999999999996E-2</v>
      </c>
      <c r="W141" s="298"/>
      <c r="X141" s="698">
        <f t="shared" ca="1" si="147"/>
        <v>0.3</v>
      </c>
      <c r="Y141" s="81">
        <f t="shared" ca="1" si="169"/>
        <v>9</v>
      </c>
      <c r="Z141" s="81">
        <f t="shared" ca="1" si="170"/>
        <v>3</v>
      </c>
      <c r="AA141" s="81">
        <f t="shared" ca="1" si="171"/>
        <v>1</v>
      </c>
      <c r="AB141" s="81">
        <f t="shared" ca="1" si="172"/>
        <v>0.1</v>
      </c>
      <c r="AC141" s="296"/>
      <c r="AD141" s="81">
        <v>2020</v>
      </c>
      <c r="AE141" s="81"/>
      <c r="AF141" s="710"/>
    </row>
    <row r="142" spans="2:32">
      <c r="B142" s="718" t="s">
        <v>1010</v>
      </c>
      <c r="C142" s="226"/>
      <c r="E142" s="212"/>
      <c r="F142" s="224" t="s">
        <v>1149</v>
      </c>
      <c r="H142" s="174"/>
      <c r="I142" s="174" t="str">
        <f t="shared" si="145"/>
        <v>INDAWH</v>
      </c>
      <c r="J142" s="224">
        <f t="shared" si="148"/>
        <v>2030</v>
      </c>
      <c r="K142" s="81"/>
      <c r="L142" s="199">
        <f t="shared" ca="1" si="178"/>
        <v>0.93</v>
      </c>
      <c r="M142" s="199"/>
      <c r="N142" s="81"/>
      <c r="O142" s="723">
        <f t="shared" ca="1" si="165"/>
        <v>0.33863636363636368</v>
      </c>
      <c r="P142" s="723">
        <f t="shared" ca="1" si="166"/>
        <v>1.4154999999999999E-2</v>
      </c>
      <c r="Q142" s="81">
        <f t="shared" ca="1" si="167"/>
        <v>2.0694444444444446</v>
      </c>
      <c r="R142" s="300"/>
      <c r="S142" s="300"/>
      <c r="T142" s="300"/>
      <c r="U142" s="300"/>
      <c r="V142" s="199">
        <f t="shared" ref="V142" ca="1" si="180">IF(IF(RIGHT(H141,2)="PH",(1-L142)+$W$2,IF(RIGHT(H141,2)="HT",(1-L142)+$W$1,IF(RIGHT(H141,2)="SH",(1-L142)+$W$3,"")))&gt;0,IF(RIGHT(H141,2)="PH",(1-L142)+$W$2,IF(RIGHT(H141,2)="HT",(1-L142)+$W$1,IF(RIGHT(H141,2)="SH",(1-L142)+$W$3,""))),0)</f>
        <v>6.9999999999999951E-2</v>
      </c>
      <c r="W142" s="298"/>
      <c r="X142" s="698">
        <f t="shared" ca="1" si="147"/>
        <v>0.3</v>
      </c>
      <c r="Y142" s="81">
        <f t="shared" ca="1" si="169"/>
        <v>7</v>
      </c>
      <c r="Z142" s="81">
        <f t="shared" ca="1" si="170"/>
        <v>2</v>
      </c>
      <c r="AA142" s="81">
        <f t="shared" ca="1" si="171"/>
        <v>1</v>
      </c>
      <c r="AB142" s="81">
        <f t="shared" ca="1" si="172"/>
        <v>0.1</v>
      </c>
      <c r="AC142" s="55"/>
      <c r="AD142" s="81">
        <v>2030</v>
      </c>
      <c r="AE142" s="81"/>
      <c r="AF142" s="700"/>
    </row>
    <row r="143" spans="2:32">
      <c r="B143" s="719" t="s">
        <v>1010</v>
      </c>
      <c r="C143" s="713"/>
      <c r="D143" s="203"/>
      <c r="E143" s="701"/>
      <c r="F143" s="224" t="s">
        <v>1149</v>
      </c>
      <c r="G143" s="203"/>
      <c r="H143" s="702"/>
      <c r="I143" s="702" t="str">
        <f t="shared" si="145"/>
        <v>INDAWH</v>
      </c>
      <c r="J143" s="224">
        <f t="shared" si="148"/>
        <v>2050</v>
      </c>
      <c r="K143" s="81"/>
      <c r="L143" s="199">
        <f t="shared" ca="1" si="178"/>
        <v>0.94</v>
      </c>
      <c r="M143" s="199"/>
      <c r="N143" s="81"/>
      <c r="O143" s="723">
        <f t="shared" ca="1" si="165"/>
        <v>0.33863636363636368</v>
      </c>
      <c r="P143" s="723">
        <f t="shared" ca="1" si="166"/>
        <v>1.2664999999999999E-2</v>
      </c>
      <c r="Q143" s="81">
        <f t="shared" ca="1" si="167"/>
        <v>2.0694444444444446</v>
      </c>
      <c r="R143" s="703"/>
      <c r="S143" s="703"/>
      <c r="T143" s="703"/>
      <c r="U143" s="703"/>
      <c r="V143" s="199">
        <f t="shared" ref="V143" ca="1" si="181">IF(IF(RIGHT(H141,2)="PH",(1-L143)+$W$2,IF(RIGHT(H141,2)="HT",(1-L143)+$W$1,IF(RIGHT(H141,2)="SH",(1-L143)+$W$3,"")))&gt;0,IF(RIGHT(H141,2)="PH",(1-L143)+$W$2,IF(RIGHT(H141,2)="HT",(1-L143)+$W$1,IF(RIGHT(H141,2)="SH",(1-L143)+$W$3,""))),0)</f>
        <v>6.0000000000000053E-2</v>
      </c>
      <c r="W143" s="704"/>
      <c r="X143" s="698">
        <f t="shared" ca="1" si="147"/>
        <v>0.3</v>
      </c>
      <c r="Y143" s="81">
        <f t="shared" ca="1" si="169"/>
        <v>6</v>
      </c>
      <c r="Z143" s="81">
        <f t="shared" ca="1" si="170"/>
        <v>2</v>
      </c>
      <c r="AA143" s="81">
        <f t="shared" ca="1" si="171"/>
        <v>1</v>
      </c>
      <c r="AB143" s="81">
        <f t="shared" ca="1" si="172"/>
        <v>0.1</v>
      </c>
      <c r="AC143" s="55"/>
      <c r="AD143" s="81">
        <v>2050</v>
      </c>
      <c r="AE143" s="81"/>
      <c r="AF143" s="700"/>
    </row>
    <row r="144" spans="2:32">
      <c r="B144" s="718" t="s">
        <v>1010</v>
      </c>
      <c r="C144" s="226"/>
      <c r="D144" s="212" t="str">
        <f>"IND"&amp;RIGHT(H144,4)&amp;"GAS"&amp;"N"&amp;RIGHT(E144,1)</f>
        <v>INDADPHGASN2</v>
      </c>
      <c r="E144" s="707" t="str">
        <f>"Industrial heating technology "&amp;$AJ$12&amp;" "&amp;RIGHT(H144,2)&amp;" - Gas boiler (Steam - condensing) - new 2"</f>
        <v>Industrial heating technology Aluminium PH - Gas boiler (Steam - condensing) - new 2</v>
      </c>
      <c r="F144" s="224" t="s">
        <v>1149</v>
      </c>
      <c r="G144" s="173" t="s">
        <v>2080</v>
      </c>
      <c r="H144" s="708" t="str">
        <f>$AI$14</f>
        <v>IADPH</v>
      </c>
      <c r="I144" s="708" t="str">
        <f t="shared" si="145"/>
        <v>INDAWH</v>
      </c>
      <c r="J144" s="224">
        <f t="shared" si="148"/>
        <v>2011</v>
      </c>
      <c r="K144" s="299">
        <v>2020</v>
      </c>
      <c r="L144" s="333">
        <f ca="1">VLOOKUP($AD144,INDIRECT("'"&amp;$B144&amp;"'!"&amp;"$P$118:$AD$121"),3,FALSE)*0.4</f>
        <v>0.40400000000000003</v>
      </c>
      <c r="M144" s="199"/>
      <c r="N144" s="81">
        <f ca="1">VLOOKUP($AD144,INDIRECT("'"&amp;$B144&amp;"'!"&amp;"$P$118:$AD$121"),5,FALSE)</f>
        <v>25</v>
      </c>
      <c r="O144" s="723">
        <f t="shared" ref="O144:O149" ca="1" si="182">VLOOKUP($AD144,INDIRECT("'"&amp;$B144&amp;"'!"&amp;"$P$118:$AD$121"),6,FALSE)/1000</f>
        <v>0.44700000000000001</v>
      </c>
      <c r="P144" s="723">
        <f t="shared" ref="P144:P149" ca="1" si="183">VLOOKUP($AD144,INDIRECT("'"&amp;$B144&amp;"'!"&amp;"$P$118:$AD$121"),7,FALSE)/1000</f>
        <v>1.49E-2</v>
      </c>
      <c r="Q144" s="81">
        <f t="shared" ref="Q144:Q149" ca="1" si="184">VLOOKUP($AD144,INDIRECT("'"&amp;$B144&amp;"'!"&amp;"$P$118:$AD$121"),8,FALSE)</f>
        <v>2.276388888888889</v>
      </c>
      <c r="R144" s="81">
        <v>3.1536000000000002E-2</v>
      </c>
      <c r="S144" s="199">
        <v>0.5</v>
      </c>
      <c r="T144" s="199">
        <f ca="1">HLOOKUP($T$2,INDIRECT("'"&amp;$B144&amp;"'!"&amp;"$P$85:$AC$98"),IF(H144=$AI$13,6,IF(H144=$AI$14,9,14)),FALSE)</f>
        <v>0</v>
      </c>
      <c r="U144" s="773"/>
      <c r="V144" s="199">
        <f t="shared" ref="V144" ca="1" si="185">IF(IF(RIGHT(H144,2)="PH",(1-L144)+$W$2,IF(RIGHT(H144,2)="HT",(1-L144)+$W$1,IF(RIGHT(H144,2)="SH",(1-L144)+$W$3,"")))&gt;0,IF(RIGHT(H144,2)="PH",(1-L144)+$W$2,IF(RIGHT(H144,2)="HT",(1-L144)+$W$1,IF(RIGHT(H144,2)="SH",(1-L144)+$W$3,""))),0)</f>
        <v>0.79600000000000004</v>
      </c>
      <c r="W144" s="709"/>
      <c r="X144" s="698">
        <f t="shared" ca="1" si="147"/>
        <v>0.3</v>
      </c>
      <c r="Y144" s="698">
        <f t="shared" ref="Y144:Y149" ca="1" si="186">VLOOKUP($AD144,INDIRECT("'"&amp;$B144&amp;"'!"&amp;"$P$118:$AD$121"),12,FALSE)</f>
        <v>9</v>
      </c>
      <c r="Z144" s="698">
        <f t="shared" ref="Z144:Z149" ca="1" si="187">VLOOKUP($AD144,INDIRECT("'"&amp;$B144&amp;"'!"&amp;"$P$118:$AD$121"),13,FALSE)</f>
        <v>3</v>
      </c>
      <c r="AA144" s="698">
        <f t="shared" ref="AA144:AA149" ca="1" si="188">VLOOKUP($AD144,INDIRECT("'"&amp;$B144&amp;"'!"&amp;"$P$118:$AD$121"),14,FALSE)</f>
        <v>1</v>
      </c>
      <c r="AB144" s="698">
        <f t="shared" ref="AB144:AB149" ca="1" si="189">VLOOKUP($AD144,INDIRECT("'"&amp;$B144&amp;"'!"&amp;"$P$118:$AD$121"),15,FALSE)</f>
        <v>0.1</v>
      </c>
      <c r="AC144" s="55"/>
      <c r="AD144" s="81">
        <v>2020</v>
      </c>
      <c r="AE144" s="81"/>
      <c r="AF144" s="700"/>
    </row>
    <row r="145" spans="1:32">
      <c r="B145" s="718" t="s">
        <v>1010</v>
      </c>
      <c r="C145" s="226"/>
      <c r="E145" s="261"/>
      <c r="F145" s="224" t="s">
        <v>1149</v>
      </c>
      <c r="G145" s="55"/>
      <c r="H145" s="174"/>
      <c r="I145" s="174" t="str">
        <f t="shared" si="145"/>
        <v>INDAWH</v>
      </c>
      <c r="J145" s="224">
        <f t="shared" si="148"/>
        <v>2030</v>
      </c>
      <c r="K145" s="81"/>
      <c r="L145" s="333">
        <f ca="1">VLOOKUP($AD145,INDIRECT("'"&amp;$B145&amp;"'!"&amp;"$P$118:$AD$121"),3,FALSE)*0.4</f>
        <v>0.41200000000000003</v>
      </c>
      <c r="M145" s="199"/>
      <c r="N145" s="81"/>
      <c r="O145" s="723">
        <f t="shared" ca="1" si="182"/>
        <v>0.37250000000000005</v>
      </c>
      <c r="P145" s="723">
        <f t="shared" ca="1" si="183"/>
        <v>1.4154999999999999E-2</v>
      </c>
      <c r="Q145" s="81">
        <f t="shared" ca="1" si="184"/>
        <v>2.0694444444444446</v>
      </c>
      <c r="R145" s="300"/>
      <c r="S145" s="300"/>
      <c r="T145" s="300"/>
      <c r="U145" s="300"/>
      <c r="V145" s="199">
        <f t="shared" ref="V145" ca="1" si="190">IF(IF(RIGHT(H144,2)="PH",(1-L145)+$W$2,IF(RIGHT(H144,2)="HT",(1-L145)+$W$1,IF(RIGHT(H144,2)="SH",(1-L145)+$W$3,"")))&gt;0,IF(RIGHT(H144,2)="PH",(1-L145)+$W$2,IF(RIGHT(H144,2)="HT",(1-L145)+$W$1,IF(RIGHT(H144,2)="SH",(1-L145)+$W$3,""))),0)</f>
        <v>0.78800000000000003</v>
      </c>
      <c r="W145" s="298"/>
      <c r="X145" s="698">
        <f t="shared" ca="1" si="147"/>
        <v>0.3</v>
      </c>
      <c r="Y145" s="698">
        <f t="shared" ca="1" si="186"/>
        <v>7</v>
      </c>
      <c r="Z145" s="698">
        <f t="shared" ca="1" si="187"/>
        <v>2</v>
      </c>
      <c r="AA145" s="698">
        <f t="shared" ca="1" si="188"/>
        <v>1</v>
      </c>
      <c r="AB145" s="698">
        <f t="shared" ca="1" si="189"/>
        <v>0.1</v>
      </c>
      <c r="AC145" s="55"/>
      <c r="AD145" s="81">
        <v>2030</v>
      </c>
      <c r="AE145" s="81"/>
      <c r="AF145" s="700"/>
    </row>
    <row r="146" spans="1:32">
      <c r="A146" s="226"/>
      <c r="B146" s="718" t="s">
        <v>1010</v>
      </c>
      <c r="C146" s="226"/>
      <c r="E146" s="261"/>
      <c r="F146" s="224" t="s">
        <v>1149</v>
      </c>
      <c r="G146" s="55"/>
      <c r="H146" s="174"/>
      <c r="I146" s="174" t="str">
        <f t="shared" si="145"/>
        <v>INDAWH</v>
      </c>
      <c r="J146" s="224">
        <f t="shared" si="148"/>
        <v>2050</v>
      </c>
      <c r="K146" s="81"/>
      <c r="L146" s="333">
        <f ca="1">VLOOKUP($AD146,INDIRECT("'"&amp;$B146&amp;"'!"&amp;"$P$118:$AD$121"),3,FALSE)*0.4</f>
        <v>0.41200000000000003</v>
      </c>
      <c r="M146" s="199"/>
      <c r="N146" s="81"/>
      <c r="O146" s="723">
        <f t="shared" ca="1" si="182"/>
        <v>0.37250000000000005</v>
      </c>
      <c r="P146" s="723">
        <f t="shared" ca="1" si="183"/>
        <v>1.2664999999999999E-2</v>
      </c>
      <c r="Q146" s="81">
        <f t="shared" ca="1" si="184"/>
        <v>2.0694444444444446</v>
      </c>
      <c r="R146" s="300"/>
      <c r="S146" s="300"/>
      <c r="T146" s="300"/>
      <c r="U146" s="300"/>
      <c r="V146" s="199">
        <f t="shared" ref="V146" ca="1" si="191">IF(IF(RIGHT(H144,2)="PH",(1-L146)+$W$2,IF(RIGHT(H144,2)="HT",(1-L146)+$W$1,IF(RIGHT(H144,2)="SH",(1-L146)+$W$3,"")))&gt;0,IF(RIGHT(H144,2)="PH",(1-L146)+$W$2,IF(RIGHT(H144,2)="HT",(1-L146)+$W$1,IF(RIGHT(H144,2)="SH",(1-L146)+$W$3,""))),0)</f>
        <v>0.78800000000000003</v>
      </c>
      <c r="W146" s="298"/>
      <c r="X146" s="698">
        <f t="shared" ca="1" si="147"/>
        <v>0.3</v>
      </c>
      <c r="Y146" s="698">
        <f t="shared" ca="1" si="186"/>
        <v>6</v>
      </c>
      <c r="Z146" s="698">
        <f t="shared" ca="1" si="187"/>
        <v>2</v>
      </c>
      <c r="AA146" s="698">
        <f t="shared" ca="1" si="188"/>
        <v>1</v>
      </c>
      <c r="AB146" s="698">
        <f t="shared" ca="1" si="189"/>
        <v>0.1</v>
      </c>
      <c r="AC146" s="203"/>
      <c r="AD146" s="81">
        <v>2050</v>
      </c>
      <c r="AE146" s="81"/>
      <c r="AF146" s="705"/>
    </row>
    <row r="147" spans="1:32">
      <c r="A147" s="226"/>
      <c r="B147" s="718" t="s">
        <v>1010</v>
      </c>
      <c r="C147" s="226"/>
      <c r="D147" s="212" t="str">
        <f>"IND"&amp;RIGHT(H147,4)&amp;"GAS"&amp;"N"&amp;RIGHT(E147,1)</f>
        <v>INDADSHGASN2</v>
      </c>
      <c r="E147" s="261" t="str">
        <f>"Industrial heating technology "&amp;$AJ$12&amp;" "&amp;RIGHT(H147,2)&amp;" - Gas boiler (Steam - condensing) - new 2"</f>
        <v>Industrial heating technology Aluminium SH - Gas boiler (Steam - condensing) - new 2</v>
      </c>
      <c r="F147" s="224" t="s">
        <v>1149</v>
      </c>
      <c r="G147" s="173" t="s">
        <v>2080</v>
      </c>
      <c r="H147" s="174" t="str">
        <f>$AI$15</f>
        <v>IADSH</v>
      </c>
      <c r="I147" s="174" t="str">
        <f t="shared" si="145"/>
        <v>INDAWH</v>
      </c>
      <c r="J147" s="224">
        <f t="shared" si="148"/>
        <v>2011</v>
      </c>
      <c r="K147" s="299">
        <v>2020</v>
      </c>
      <c r="L147" s="199">
        <f t="shared" ref="L147:L149" ca="1" si="192">VLOOKUP($AD147,INDIRECT("'"&amp;$B147&amp;"'!"&amp;"$P$118:$AD$121"),3,FALSE)</f>
        <v>1.01</v>
      </c>
      <c r="M147" s="199"/>
      <c r="N147" s="81">
        <f ca="1">VLOOKUP($AD147,INDIRECT("'"&amp;$B147&amp;"'!"&amp;"$P$118:$AD$121"),5,FALSE)</f>
        <v>25</v>
      </c>
      <c r="O147" s="723">
        <f t="shared" ca="1" si="182"/>
        <v>0.44700000000000001</v>
      </c>
      <c r="P147" s="723">
        <f t="shared" ca="1" si="183"/>
        <v>1.49E-2</v>
      </c>
      <c r="Q147" s="81">
        <f t="shared" ca="1" si="184"/>
        <v>2.276388888888889</v>
      </c>
      <c r="R147" s="81">
        <v>3.1536000000000002E-2</v>
      </c>
      <c r="S147" s="199">
        <v>0.5</v>
      </c>
      <c r="T147" s="199">
        <f ca="1">HLOOKUP($T$2,INDIRECT("'"&amp;$B147&amp;"'!"&amp;"$P$85:$AC$98"),IF(H147=$AI$13,6,IF(H147=$AI$14,9,14)),FALSE)</f>
        <v>0</v>
      </c>
      <c r="U147" s="772"/>
      <c r="V147" s="199">
        <f t="shared" ref="V147" ca="1" si="193">IF(IF(RIGHT(H147,2)="PH",(1-L147)+$W$2,IF(RIGHT(H147,2)="HT",(1-L147)+$W$1,IF(RIGHT(H147,2)="SH",(1-L147)+$W$3,"")))&gt;0,IF(RIGHT(H147,2)="PH",(1-L147)+$W$2,IF(RIGHT(H147,2)="HT",(1-L147)+$W$1,IF(RIGHT(H147,2)="SH",(1-L147)+$W$3,""))),0)</f>
        <v>0</v>
      </c>
      <c r="W147" s="298"/>
      <c r="X147" s="698">
        <f t="shared" ca="1" si="147"/>
        <v>0.3</v>
      </c>
      <c r="Y147" s="698">
        <f t="shared" ca="1" si="186"/>
        <v>9</v>
      </c>
      <c r="Z147" s="698">
        <f t="shared" ca="1" si="187"/>
        <v>3</v>
      </c>
      <c r="AA147" s="698">
        <f t="shared" ca="1" si="188"/>
        <v>1</v>
      </c>
      <c r="AB147" s="698">
        <f t="shared" ca="1" si="189"/>
        <v>0.1</v>
      </c>
      <c r="AC147" s="296"/>
      <c r="AD147" s="81">
        <v>2020</v>
      </c>
      <c r="AE147" s="81"/>
      <c r="AF147" s="710"/>
    </row>
    <row r="148" spans="1:32">
      <c r="A148" s="226"/>
      <c r="B148" s="718" t="s">
        <v>1010</v>
      </c>
      <c r="C148" s="226"/>
      <c r="E148" s="261"/>
      <c r="F148" s="224" t="s">
        <v>1149</v>
      </c>
      <c r="G148" s="55"/>
      <c r="H148" s="174"/>
      <c r="I148" s="174" t="str">
        <f t="shared" si="145"/>
        <v>INDAWH</v>
      </c>
      <c r="J148" s="224">
        <f t="shared" si="148"/>
        <v>2030</v>
      </c>
      <c r="K148" s="81"/>
      <c r="L148" s="199">
        <f t="shared" ca="1" si="192"/>
        <v>1.03</v>
      </c>
      <c r="M148" s="199"/>
      <c r="N148" s="81"/>
      <c r="O148" s="723">
        <f t="shared" ca="1" si="182"/>
        <v>0.37250000000000005</v>
      </c>
      <c r="P148" s="723">
        <f t="shared" ca="1" si="183"/>
        <v>1.4154999999999999E-2</v>
      </c>
      <c r="Q148" s="81">
        <f t="shared" ca="1" si="184"/>
        <v>2.0694444444444446</v>
      </c>
      <c r="R148" s="300"/>
      <c r="S148" s="300"/>
      <c r="T148" s="300"/>
      <c r="U148" s="300"/>
      <c r="V148" s="199">
        <f t="shared" ref="V148" ca="1" si="194">IF(IF(RIGHT(H147,2)="PH",(1-L148)+$W$2,IF(RIGHT(H147,2)="HT",(1-L148)+$W$1,IF(RIGHT(H147,2)="SH",(1-L148)+$W$3,"")))&gt;0,IF(RIGHT(H147,2)="PH",(1-L148)+$W$2,IF(RIGHT(H147,2)="HT",(1-L148)+$W$1,IF(RIGHT(H147,2)="SH",(1-L148)+$W$3,""))),0)</f>
        <v>0</v>
      </c>
      <c r="W148" s="298"/>
      <c r="X148" s="698">
        <f t="shared" ca="1" si="147"/>
        <v>0.3</v>
      </c>
      <c r="Y148" s="698">
        <f t="shared" ca="1" si="186"/>
        <v>7</v>
      </c>
      <c r="Z148" s="698">
        <f t="shared" ca="1" si="187"/>
        <v>2</v>
      </c>
      <c r="AA148" s="698">
        <f t="shared" ca="1" si="188"/>
        <v>1</v>
      </c>
      <c r="AB148" s="698">
        <f t="shared" ca="1" si="189"/>
        <v>0.1</v>
      </c>
      <c r="AC148" s="55"/>
      <c r="AD148" s="81">
        <v>2030</v>
      </c>
      <c r="AE148" s="81"/>
      <c r="AF148" s="700"/>
    </row>
    <row r="149" spans="1:32">
      <c r="A149" s="226"/>
      <c r="B149" s="719" t="s">
        <v>1010</v>
      </c>
      <c r="C149" s="713"/>
      <c r="D149" s="203"/>
      <c r="E149" s="701"/>
      <c r="F149" s="224" t="s">
        <v>1149</v>
      </c>
      <c r="G149" s="203"/>
      <c r="H149" s="702"/>
      <c r="I149" s="702" t="str">
        <f t="shared" si="145"/>
        <v>INDAWH</v>
      </c>
      <c r="J149" s="224">
        <f t="shared" si="148"/>
        <v>2050</v>
      </c>
      <c r="K149" s="81"/>
      <c r="L149" s="199">
        <f t="shared" ca="1" si="192"/>
        <v>1.03</v>
      </c>
      <c r="M149" s="199"/>
      <c r="N149" s="81"/>
      <c r="O149" s="723">
        <f t="shared" ca="1" si="182"/>
        <v>0.37250000000000005</v>
      </c>
      <c r="P149" s="723">
        <f t="shared" ca="1" si="183"/>
        <v>1.2664999999999999E-2</v>
      </c>
      <c r="Q149" s="81">
        <f t="shared" ca="1" si="184"/>
        <v>2.0694444444444446</v>
      </c>
      <c r="R149" s="703"/>
      <c r="S149" s="703"/>
      <c r="T149" s="703"/>
      <c r="U149" s="703"/>
      <c r="V149" s="199">
        <f t="shared" ref="V149" ca="1" si="195">IF(IF(RIGHT(H147,2)="PH",(1-L149)+$W$2,IF(RIGHT(H147,2)="HT",(1-L149)+$W$1,IF(RIGHT(H147,2)="SH",(1-L149)+$W$3,"")))&gt;0,IF(RIGHT(H147,2)="PH",(1-L149)+$W$2,IF(RIGHT(H147,2)="HT",(1-L149)+$W$1,IF(RIGHT(H147,2)="SH",(1-L149)+$W$3,""))),0)</f>
        <v>0</v>
      </c>
      <c r="W149" s="704"/>
      <c r="X149" s="698">
        <f t="shared" ca="1" si="147"/>
        <v>0.3</v>
      </c>
      <c r="Y149" s="698">
        <f t="shared" ca="1" si="186"/>
        <v>6</v>
      </c>
      <c r="Z149" s="698">
        <f t="shared" ca="1" si="187"/>
        <v>2</v>
      </c>
      <c r="AA149" s="698">
        <f t="shared" ca="1" si="188"/>
        <v>1</v>
      </c>
      <c r="AB149" s="698">
        <f t="shared" ca="1" si="189"/>
        <v>0.1</v>
      </c>
      <c r="AC149" s="55"/>
      <c r="AD149" s="81">
        <v>2050</v>
      </c>
      <c r="AE149" s="81"/>
      <c r="AF149" s="700"/>
    </row>
    <row r="150" spans="1:32">
      <c r="A150" s="226"/>
      <c r="B150" s="718" t="s">
        <v>1010</v>
      </c>
      <c r="C150" s="226"/>
      <c r="D150" s="212" t="str">
        <f>"IND"&amp;RIGHT(H150,4)&amp;"GAS"&amp;"N"&amp;RIGHT(E150,1)</f>
        <v>INDADPHGASN3</v>
      </c>
      <c r="E150" s="707" t="str">
        <f>"Industrial heating technology "&amp;$AJ$12&amp;" "&amp;RIGHT(H150,2)&amp;" - Gas boiler (Hot Water) - new 3"</f>
        <v>Industrial heating technology Aluminium PH - Gas boiler (Hot Water) - new 3</v>
      </c>
      <c r="F150" s="224" t="s">
        <v>1149</v>
      </c>
      <c r="G150" s="173" t="s">
        <v>2080</v>
      </c>
      <c r="H150" s="708" t="str">
        <f>$AI$14</f>
        <v>IADPH</v>
      </c>
      <c r="I150" s="708" t="str">
        <f t="shared" si="145"/>
        <v>INDAWH</v>
      </c>
      <c r="J150" s="224">
        <f t="shared" si="148"/>
        <v>2011</v>
      </c>
      <c r="K150" s="299">
        <v>2020</v>
      </c>
      <c r="L150" s="333">
        <f ca="1">VLOOKUP($AD150,INDIRECT("'"&amp;$B150&amp;"'!"&amp;"$P$200:$AD$203"),3,FALSE)*0.4</f>
        <v>0.37200000000000005</v>
      </c>
      <c r="M150" s="199"/>
      <c r="N150" s="81">
        <f ca="1">VLOOKUP($AD150,INDIRECT("'"&amp;$B150&amp;"'!"&amp;"$P$200:$AD$203"),5,FALSE)</f>
        <v>25</v>
      </c>
      <c r="O150" s="723">
        <f t="shared" ref="O150:O155" ca="1" si="196">VLOOKUP($AD150,INDIRECT("'"&amp;$B150&amp;"'!"&amp;"$P$200:$AD$203"),6,FALSE)/1000</f>
        <v>0.3250909090909091</v>
      </c>
      <c r="P150" s="723">
        <f t="shared" ref="P150:P155" ca="1" si="197">VLOOKUP($AD150,INDIRECT("'"&amp;$B150&amp;"'!"&amp;"$P$200:$AD$203"),7,FALSE)/1000</f>
        <v>1.49E-2</v>
      </c>
      <c r="Q150" s="81">
        <f t="shared" ref="Q150:Q155" ca="1" si="198">VLOOKUP($AD150,INDIRECT("'"&amp;$B150&amp;"'!"&amp;"$P$200:$AD$203"),8,FALSE)</f>
        <v>2.276388888888889</v>
      </c>
      <c r="R150" s="81">
        <v>3.1536000000000002E-2</v>
      </c>
      <c r="S150" s="199">
        <v>0.5</v>
      </c>
      <c r="T150" s="199">
        <f ca="1">HLOOKUP($T$2,INDIRECT("'"&amp;$B150&amp;"'!"&amp;"$P$167:$AC$180"),IF(H150=$AI$13,6,IF(H150=$AI$14,9,14)),FALSE)</f>
        <v>0</v>
      </c>
      <c r="U150" s="773"/>
      <c r="V150" s="199">
        <f t="shared" ref="V150" ca="1" si="199">IF(IF(RIGHT(H150,2)="PH",(1-L150)+$W$2,IF(RIGHT(H150,2)="HT",(1-L150)+$W$1,IF(RIGHT(H150,2)="SH",(1-L150)+$W$3,"")))&gt;0,IF(RIGHT(H150,2)="PH",(1-L150)+$W$2,IF(RIGHT(H150,2)="HT",(1-L150)+$W$1,IF(RIGHT(H150,2)="SH",(1-L150)+$W$3,""))),0)</f>
        <v>0.82799999999999985</v>
      </c>
      <c r="W150" s="709"/>
      <c r="X150" s="698">
        <f t="shared" ca="1" si="147"/>
        <v>0.3</v>
      </c>
      <c r="Y150" s="698">
        <f t="shared" ref="Y150:Y155" ca="1" si="200">VLOOKUP($AD150,INDIRECT("'"&amp;$B150&amp;"'!"&amp;"$P$200:$AD$203"),12,FALSE)</f>
        <v>9</v>
      </c>
      <c r="Z150" s="698">
        <f t="shared" ref="Z150:Z155" ca="1" si="201">VLOOKUP($AD150,INDIRECT("'"&amp;$B150&amp;"'!"&amp;"$P$200:$AD$203"),13,FALSE)</f>
        <v>3</v>
      </c>
      <c r="AA150" s="698">
        <f t="shared" ref="AA150:AA155" ca="1" si="202">VLOOKUP($AD150,INDIRECT("'"&amp;$B150&amp;"'!"&amp;"$P$200:$AD$203"),14,FALSE)</f>
        <v>1</v>
      </c>
      <c r="AB150" s="698">
        <f t="shared" ref="AB150:AB155" ca="1" si="203">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5"/>
        <v>INDAWH</v>
      </c>
      <c r="J151" s="224">
        <f t="shared" si="148"/>
        <v>2030</v>
      </c>
      <c r="K151" s="81"/>
      <c r="L151" s="333">
        <f ca="1">VLOOKUP($AD151,INDIRECT("'"&amp;$B151&amp;"'!"&amp;"$P$200:$AD$203"),3,FALSE)*0.4</f>
        <v>0.376</v>
      </c>
      <c r="M151" s="199"/>
      <c r="N151" s="81"/>
      <c r="O151" s="723">
        <f t="shared" ca="1" si="196"/>
        <v>0.27090909090909093</v>
      </c>
      <c r="P151" s="723">
        <f t="shared" ca="1" si="197"/>
        <v>1.4154999999999999E-2</v>
      </c>
      <c r="Q151" s="81">
        <f t="shared" ca="1" si="198"/>
        <v>2.0694444444444446</v>
      </c>
      <c r="R151" s="300"/>
      <c r="S151" s="300"/>
      <c r="T151" s="300"/>
      <c r="U151" s="300"/>
      <c r="V151" s="199">
        <f t="shared" ref="V151" ca="1" si="204">IF(IF(RIGHT(H150,2)="PH",(1-L151)+$W$2,IF(RIGHT(H150,2)="HT",(1-L151)+$W$1,IF(RIGHT(H150,2)="SH",(1-L151)+$W$3,"")))&gt;0,IF(RIGHT(H150,2)="PH",(1-L151)+$W$2,IF(RIGHT(H150,2)="HT",(1-L151)+$W$1,IF(RIGHT(H150,2)="SH",(1-L151)+$W$3,""))),0)</f>
        <v>0.82400000000000007</v>
      </c>
      <c r="W151" s="298"/>
      <c r="X151" s="698">
        <f t="shared" ca="1" si="147"/>
        <v>0.3</v>
      </c>
      <c r="Y151" s="698">
        <f t="shared" ca="1" si="200"/>
        <v>7</v>
      </c>
      <c r="Z151" s="698">
        <f t="shared" ca="1" si="201"/>
        <v>2</v>
      </c>
      <c r="AA151" s="698">
        <f t="shared" ca="1" si="202"/>
        <v>1</v>
      </c>
      <c r="AB151" s="698">
        <f t="shared" ca="1" si="203"/>
        <v>0.1</v>
      </c>
      <c r="AC151" s="55"/>
      <c r="AD151" s="81">
        <v>2030</v>
      </c>
      <c r="AE151" s="81"/>
      <c r="AF151" s="700"/>
    </row>
    <row r="152" spans="1:32">
      <c r="B152" s="718" t="s">
        <v>1010</v>
      </c>
      <c r="C152" s="226"/>
      <c r="E152" s="261"/>
      <c r="F152" s="224" t="s">
        <v>1149</v>
      </c>
      <c r="G152" s="55"/>
      <c r="H152" s="174"/>
      <c r="I152" s="174" t="str">
        <f t="shared" si="145"/>
        <v>INDAWH</v>
      </c>
      <c r="J152" s="224">
        <f t="shared" si="148"/>
        <v>2050</v>
      </c>
      <c r="K152" s="81"/>
      <c r="L152" s="333">
        <f ca="1">VLOOKUP($AD152,INDIRECT("'"&amp;$B152&amp;"'!"&amp;"$P$200:$AD$203"),3,FALSE)*0.4</f>
        <v>0.38</v>
      </c>
      <c r="M152" s="199"/>
      <c r="N152" s="81"/>
      <c r="O152" s="723">
        <f t="shared" ca="1" si="196"/>
        <v>0.27090909090909093</v>
      </c>
      <c r="P152" s="723">
        <f t="shared" ca="1" si="197"/>
        <v>1.2664999999999999E-2</v>
      </c>
      <c r="Q152" s="81">
        <f t="shared" ca="1" si="198"/>
        <v>2.0694444444444446</v>
      </c>
      <c r="R152" s="300"/>
      <c r="S152" s="300"/>
      <c r="T152" s="300"/>
      <c r="U152" s="300"/>
      <c r="V152" s="199">
        <f t="shared" ref="V152" ca="1" si="205">IF(IF(RIGHT(H150,2)="PH",(1-L152)+$W$2,IF(RIGHT(H150,2)="HT",(1-L152)+$W$1,IF(RIGHT(H150,2)="SH",(1-L152)+$W$3,"")))&gt;0,IF(RIGHT(H150,2)="PH",(1-L152)+$W$2,IF(RIGHT(H150,2)="HT",(1-L152)+$W$1,IF(RIGHT(H150,2)="SH",(1-L152)+$W$3,""))),0)</f>
        <v>0.82000000000000006</v>
      </c>
      <c r="W152" s="720"/>
      <c r="X152" s="698">
        <f t="shared" ca="1" si="147"/>
        <v>0.3</v>
      </c>
      <c r="Y152" s="698">
        <f t="shared" ca="1" si="200"/>
        <v>6</v>
      </c>
      <c r="Z152" s="698">
        <f t="shared" ca="1" si="201"/>
        <v>2</v>
      </c>
      <c r="AA152" s="698">
        <f t="shared" ca="1" si="202"/>
        <v>1</v>
      </c>
      <c r="AB152" s="698">
        <f t="shared" ca="1" si="203"/>
        <v>0.1</v>
      </c>
      <c r="AC152" s="203"/>
      <c r="AD152" s="81">
        <v>2050</v>
      </c>
      <c r="AE152" s="81"/>
      <c r="AF152" s="705"/>
    </row>
    <row r="153" spans="1:32">
      <c r="B153" s="718" t="s">
        <v>1010</v>
      </c>
      <c r="C153" s="64"/>
      <c r="D153" s="212" t="str">
        <f>"IND"&amp;RIGHT(H153,4)&amp;"GAS"&amp;"N"&amp;RIGHT(E153,1)</f>
        <v>INDADSHGASN3</v>
      </c>
      <c r="E153" s="261" t="str">
        <f>"Industrial heating technology "&amp;$AJ$12&amp;" "&amp;RIGHT(H153,2)&amp;" - Gas boiler (Hot Water) - new 3"</f>
        <v>Industrial heating technology Aluminium SH - Gas boiler (Hot Water) - new 3</v>
      </c>
      <c r="F153" s="224" t="s">
        <v>1149</v>
      </c>
      <c r="G153" s="173" t="s">
        <v>2080</v>
      </c>
      <c r="H153" s="174" t="str">
        <f>$AI$15</f>
        <v>IADSH</v>
      </c>
      <c r="I153" s="174" t="str">
        <f t="shared" si="145"/>
        <v>INDAWH</v>
      </c>
      <c r="J153" s="224">
        <f t="shared" si="148"/>
        <v>2011</v>
      </c>
      <c r="K153" s="299">
        <v>2020</v>
      </c>
      <c r="L153" s="199">
        <f t="shared" ref="L153:L155" ca="1" si="206">VLOOKUP($AD153,INDIRECT("'"&amp;$B153&amp;"'!"&amp;"$P$200:$AD$203"),3,FALSE)</f>
        <v>0.93</v>
      </c>
      <c r="M153" s="199"/>
      <c r="N153" s="81">
        <f ca="1">VLOOKUP($AD153,INDIRECT("'"&amp;$B153&amp;"'!"&amp;"$P$200:$AD$203"),5,FALSE)</f>
        <v>25</v>
      </c>
      <c r="O153" s="723">
        <f t="shared" ca="1" si="196"/>
        <v>0.3250909090909091</v>
      </c>
      <c r="P153" s="723">
        <f t="shared" ca="1" si="197"/>
        <v>1.49E-2</v>
      </c>
      <c r="Q153" s="81">
        <f t="shared" ca="1" si="198"/>
        <v>2.276388888888889</v>
      </c>
      <c r="R153" s="81">
        <v>3.1536000000000002E-2</v>
      </c>
      <c r="S153" s="199">
        <v>0.5</v>
      </c>
      <c r="T153" s="199">
        <f ca="1">HLOOKUP($T$2,INDIRECT("'"&amp;$B153&amp;"'!"&amp;"$P$167:$AC$180"),IF(H153=$AI$13,6,IF(H153=$AI$14,9,14)),FALSE)</f>
        <v>1</v>
      </c>
      <c r="U153" s="772"/>
      <c r="V153" s="199">
        <f t="shared" ref="V153" ca="1" si="207">IF(IF(RIGHT(H153,2)="PH",(1-L153)+$W$2,IF(RIGHT(H153,2)="HT",(1-L153)+$W$1,IF(RIGHT(H153,2)="SH",(1-L153)+$W$3,"")))&gt;0,IF(RIGHT(H153,2)="PH",(1-L153)+$W$2,IF(RIGHT(H153,2)="HT",(1-L153)+$W$1,IF(RIGHT(H153,2)="SH",(1-L153)+$W$3,""))),0)</f>
        <v>6.9999999999999951E-2</v>
      </c>
      <c r="W153" s="298"/>
      <c r="X153" s="698">
        <f t="shared" ca="1" si="147"/>
        <v>0.3</v>
      </c>
      <c r="Y153" s="698">
        <f t="shared" ca="1" si="200"/>
        <v>9</v>
      </c>
      <c r="Z153" s="698">
        <f t="shared" ca="1" si="201"/>
        <v>3</v>
      </c>
      <c r="AA153" s="698">
        <f t="shared" ca="1" si="202"/>
        <v>1</v>
      </c>
      <c r="AB153" s="698">
        <f t="shared" ca="1" si="203"/>
        <v>0.1</v>
      </c>
      <c r="AC153" s="296"/>
      <c r="AD153" s="81">
        <v>2020</v>
      </c>
      <c r="AE153" s="81"/>
      <c r="AF153" s="710"/>
    </row>
    <row r="154" spans="1:32">
      <c r="B154" s="718" t="s">
        <v>1010</v>
      </c>
      <c r="C154" s="64"/>
      <c r="E154" s="261"/>
      <c r="F154" s="224" t="s">
        <v>1149</v>
      </c>
      <c r="G154" s="55"/>
      <c r="H154" s="174"/>
      <c r="I154" s="174" t="str">
        <f t="shared" si="145"/>
        <v>INDAWH</v>
      </c>
      <c r="J154" s="224">
        <f t="shared" si="148"/>
        <v>2030</v>
      </c>
      <c r="K154" s="81"/>
      <c r="L154" s="199">
        <f t="shared" ca="1" si="206"/>
        <v>0.94</v>
      </c>
      <c r="M154" s="199"/>
      <c r="N154" s="81"/>
      <c r="O154" s="723">
        <f t="shared" ca="1" si="196"/>
        <v>0.27090909090909093</v>
      </c>
      <c r="P154" s="723">
        <f t="shared" ca="1" si="197"/>
        <v>1.4154999999999999E-2</v>
      </c>
      <c r="Q154" s="81">
        <f t="shared" ca="1" si="198"/>
        <v>2.0694444444444446</v>
      </c>
      <c r="R154" s="300"/>
      <c r="S154" s="300"/>
      <c r="T154" s="300"/>
      <c r="U154" s="300"/>
      <c r="V154" s="199">
        <f t="shared" ref="V154" ca="1" si="208">IF(IF(RIGHT(H153,2)="PH",(1-L154)+$W$2,IF(RIGHT(H153,2)="HT",(1-L154)+$W$1,IF(RIGHT(H153,2)="SH",(1-L154)+$W$3,"")))&gt;0,IF(RIGHT(H153,2)="PH",(1-L154)+$W$2,IF(RIGHT(H153,2)="HT",(1-L154)+$W$1,IF(RIGHT(H153,2)="SH",(1-L154)+$W$3,""))),0)</f>
        <v>6.0000000000000053E-2</v>
      </c>
      <c r="W154" s="298"/>
      <c r="X154" s="698">
        <f t="shared" ca="1" si="147"/>
        <v>0.3</v>
      </c>
      <c r="Y154" s="698">
        <f t="shared" ca="1" si="200"/>
        <v>7</v>
      </c>
      <c r="Z154" s="698">
        <f t="shared" ca="1" si="201"/>
        <v>2</v>
      </c>
      <c r="AA154" s="698">
        <f t="shared" ca="1" si="202"/>
        <v>1</v>
      </c>
      <c r="AB154" s="698">
        <f t="shared" ca="1" si="203"/>
        <v>0.1</v>
      </c>
      <c r="AC154" s="55"/>
      <c r="AD154" s="81">
        <v>2030</v>
      </c>
      <c r="AE154" s="81"/>
      <c r="AF154" s="700"/>
    </row>
    <row r="155" spans="1:32">
      <c r="A155" s="226"/>
      <c r="B155" s="719" t="s">
        <v>1010</v>
      </c>
      <c r="C155" s="713"/>
      <c r="D155" s="203"/>
      <c r="E155" s="701"/>
      <c r="F155" s="224" t="s">
        <v>1149</v>
      </c>
      <c r="G155" s="203"/>
      <c r="H155" s="702"/>
      <c r="I155" s="702" t="str">
        <f t="shared" si="145"/>
        <v>INDAWH</v>
      </c>
      <c r="J155" s="224">
        <f t="shared" si="148"/>
        <v>2050</v>
      </c>
      <c r="K155" s="81"/>
      <c r="L155" s="199">
        <f t="shared" ca="1" si="206"/>
        <v>0.95</v>
      </c>
      <c r="M155" s="199"/>
      <c r="N155" s="81"/>
      <c r="O155" s="723">
        <f t="shared" ca="1" si="196"/>
        <v>0.27090909090909093</v>
      </c>
      <c r="P155" s="723">
        <f t="shared" ca="1" si="197"/>
        <v>1.2664999999999999E-2</v>
      </c>
      <c r="Q155" s="81">
        <f t="shared" ca="1" si="198"/>
        <v>2.0694444444444446</v>
      </c>
      <c r="R155" s="300"/>
      <c r="S155" s="300"/>
      <c r="T155" s="300"/>
      <c r="U155" s="300"/>
      <c r="V155" s="199">
        <f t="shared" ref="V155" ca="1" si="209">IF(IF(RIGHT(H153,2)="PH",(1-L155)+$W$2,IF(RIGHT(H153,2)="HT",(1-L155)+$W$1,IF(RIGHT(H153,2)="SH",(1-L155)+$W$3,"")))&gt;0,IF(RIGHT(H153,2)="PH",(1-L155)+$W$2,IF(RIGHT(H153,2)="HT",(1-L155)+$W$1,IF(RIGHT(H153,2)="SH",(1-L155)+$W$3,""))),0)</f>
        <v>5.0000000000000044E-2</v>
      </c>
      <c r="W155" s="298"/>
      <c r="X155" s="698">
        <f t="shared" ca="1" si="147"/>
        <v>0.3</v>
      </c>
      <c r="Y155" s="698">
        <f t="shared" ca="1" si="200"/>
        <v>6</v>
      </c>
      <c r="Z155" s="698">
        <f t="shared" ca="1" si="201"/>
        <v>2</v>
      </c>
      <c r="AA155" s="698">
        <f t="shared" ca="1" si="202"/>
        <v>1</v>
      </c>
      <c r="AB155" s="698">
        <f t="shared" ca="1" si="203"/>
        <v>0.1</v>
      </c>
      <c r="AC155" s="55"/>
      <c r="AD155" s="81">
        <v>2050</v>
      </c>
      <c r="AE155" s="81"/>
      <c r="AF155" s="700"/>
    </row>
    <row r="156" spans="1:32">
      <c r="B156" s="718" t="s">
        <v>1010</v>
      </c>
      <c r="C156" s="64"/>
      <c r="D156" s="212" t="str">
        <f>"IND"&amp;RIGHT(H156,4)&amp;"GAS"&amp;"N"&amp;RIGHT(E156,1)</f>
        <v>INDADPHGASN4</v>
      </c>
      <c r="E156" s="707" t="str">
        <f>"Industrial heating technology "&amp;$AJ$12&amp;" "&amp;RIGHT(H156,2)&amp;" - Gas boiler (Hot Water - condensing) - new 4"</f>
        <v>Industrial heating technology Aluminium PH - Gas boiler (Hot Water - condensing) - new 4</v>
      </c>
      <c r="F156" s="224" t="s">
        <v>1149</v>
      </c>
      <c r="G156" s="173" t="s">
        <v>2080</v>
      </c>
      <c r="H156" s="708" t="str">
        <f>$AI$14</f>
        <v>IADPH</v>
      </c>
      <c r="I156" s="708" t="str">
        <f t="shared" si="145"/>
        <v>INDAWH</v>
      </c>
      <c r="J156" s="224">
        <f t="shared" si="148"/>
        <v>2011</v>
      </c>
      <c r="K156" s="299">
        <v>2020</v>
      </c>
      <c r="L156" s="333">
        <f ca="1">VLOOKUP($AD156,INDIRECT("'"&amp;$B156&amp;"'!"&amp;"$P$279:$AD$282"),3,FALSE)*0.4</f>
        <v>0.40400000000000003</v>
      </c>
      <c r="M156" s="199"/>
      <c r="N156" s="81">
        <f ca="1">VLOOKUP($AD156,INDIRECT("'"&amp;$B156&amp;"'!"&amp;"$P$279:$AD$282"),5,FALSE)</f>
        <v>25</v>
      </c>
      <c r="O156" s="723">
        <f t="shared" ref="O156:O161" ca="1" si="210">VLOOKUP($AD156,INDIRECT("'"&amp;$B156&amp;"'!"&amp;"$P$279:$AD$282"),6,FALSE)/1000</f>
        <v>0.35760000000000003</v>
      </c>
      <c r="P156" s="723">
        <f t="shared" ref="P156:P161" ca="1" si="211">VLOOKUP($AD156,INDIRECT("'"&amp;$B156&amp;"'!"&amp;"$P$279:$AD$282"),7,FALSE)/1000</f>
        <v>1.49E-2</v>
      </c>
      <c r="Q156" s="81">
        <f t="shared" ref="Q156:Q161" ca="1" si="212">VLOOKUP($AD156,INDIRECT("'"&amp;$B156&amp;"'!"&amp;"$P$279:$AD$282"),8,FALSE)</f>
        <v>2.276388888888889</v>
      </c>
      <c r="R156" s="81">
        <v>3.1536000000000002E-2</v>
      </c>
      <c r="S156" s="199">
        <v>0.5</v>
      </c>
      <c r="T156" s="199">
        <f ca="1">HLOOKUP($T$2,INDIRECT("'"&amp;$B156&amp;"'!"&amp;"$P$246:$AC$259"),IF(H156=$AI$13,6,IF(H156=$AI$14,9,14)),FALSE)</f>
        <v>0</v>
      </c>
      <c r="U156" s="773"/>
      <c r="V156" s="199">
        <f t="shared" ref="V156" ca="1" si="213">IF(IF(RIGHT(H156,2)="PH",(1-L156)+$W$2,IF(RIGHT(H156,2)="HT",(1-L156)+$W$1,IF(RIGHT(H156,2)="SH",(1-L156)+$W$3,"")))&gt;0,IF(RIGHT(H156,2)="PH",(1-L156)+$W$2,IF(RIGHT(H156,2)="HT",(1-L156)+$W$1,IF(RIGHT(H156,2)="SH",(1-L156)+$W$3,""))),0)</f>
        <v>0.79600000000000004</v>
      </c>
      <c r="W156" s="709"/>
      <c r="X156" s="698">
        <f t="shared" ca="1" si="147"/>
        <v>0.3</v>
      </c>
      <c r="Y156" s="698">
        <f t="shared" ref="Y156:Y161" ca="1" si="214">VLOOKUP($AD156,INDIRECT("'"&amp;$B156&amp;"'!"&amp;"$P$279:$AD$282"),12,FALSE)</f>
        <v>9</v>
      </c>
      <c r="Z156" s="698">
        <f t="shared" ref="Z156:Z161" ca="1" si="215">VLOOKUP($AD156,INDIRECT("'"&amp;$B156&amp;"'!"&amp;"$P$279:$AD$282"),13,FALSE)</f>
        <v>3</v>
      </c>
      <c r="AA156" s="698">
        <f t="shared" ref="AA156:AA161" ca="1" si="216">VLOOKUP($AD156,INDIRECT("'"&amp;$B156&amp;"'!"&amp;"$P$279:$AD$282"),14,FALSE)</f>
        <v>1</v>
      </c>
      <c r="AB156" s="698">
        <f t="shared" ref="AB156:AB161" ca="1" si="217">VLOOKUP($AD156,INDIRECT("'"&amp;$B156&amp;"'!"&amp;"$P$279:$AD$282"),15,FALSE)</f>
        <v>0.1</v>
      </c>
      <c r="AC156" s="55"/>
      <c r="AD156" s="81">
        <v>2020</v>
      </c>
      <c r="AE156" s="81"/>
      <c r="AF156" s="700"/>
    </row>
    <row r="157" spans="1:32">
      <c r="B157" s="718" t="s">
        <v>1010</v>
      </c>
      <c r="C157" s="64"/>
      <c r="E157" s="261"/>
      <c r="F157" s="224" t="s">
        <v>1149</v>
      </c>
      <c r="G157" s="55"/>
      <c r="H157" s="174"/>
      <c r="I157" s="174" t="str">
        <f t="shared" si="145"/>
        <v>INDAWH</v>
      </c>
      <c r="J157" s="224">
        <f t="shared" si="148"/>
        <v>2030</v>
      </c>
      <c r="K157" s="81"/>
      <c r="L157" s="333">
        <f ca="1">VLOOKUP($AD157,INDIRECT("'"&amp;$B157&amp;"'!"&amp;"$P$279:$AD$282"),3,FALSE)*0.4</f>
        <v>0.41200000000000003</v>
      </c>
      <c r="M157" s="199"/>
      <c r="N157" s="81"/>
      <c r="O157" s="723">
        <f t="shared" ca="1" si="210"/>
        <v>0.29800000000000004</v>
      </c>
      <c r="P157" s="723">
        <f t="shared" ca="1" si="211"/>
        <v>1.4154999999999999E-2</v>
      </c>
      <c r="Q157" s="81">
        <f t="shared" ca="1" si="212"/>
        <v>2.0694444444444446</v>
      </c>
      <c r="R157" s="300"/>
      <c r="S157" s="300"/>
      <c r="T157" s="300"/>
      <c r="U157" s="300"/>
      <c r="V157" s="199">
        <f t="shared" ref="V157" ca="1" si="218">IF(IF(RIGHT(H156,2)="PH",(1-L157)+$W$2,IF(RIGHT(H156,2)="HT",(1-L157)+$W$1,IF(RIGHT(H156,2)="SH",(1-L157)+$W$3,"")))&gt;0,IF(RIGHT(H156,2)="PH",(1-L157)+$W$2,IF(RIGHT(H156,2)="HT",(1-L157)+$W$1,IF(RIGHT(H156,2)="SH",(1-L157)+$W$3,""))),0)</f>
        <v>0.78800000000000003</v>
      </c>
      <c r="W157" s="298"/>
      <c r="X157" s="698">
        <f t="shared" ca="1" si="147"/>
        <v>0.3</v>
      </c>
      <c r="Y157" s="698">
        <f t="shared" ca="1" si="214"/>
        <v>7</v>
      </c>
      <c r="Z157" s="698">
        <f t="shared" ca="1" si="215"/>
        <v>2</v>
      </c>
      <c r="AA157" s="698">
        <f t="shared" ca="1" si="216"/>
        <v>1</v>
      </c>
      <c r="AB157" s="698">
        <f t="shared" ca="1" si="217"/>
        <v>0.1</v>
      </c>
      <c r="AC157" s="55"/>
      <c r="AD157" s="81">
        <v>2030</v>
      </c>
      <c r="AE157" s="81"/>
      <c r="AF157" s="700"/>
    </row>
    <row r="158" spans="1:32">
      <c r="B158" s="718" t="s">
        <v>1010</v>
      </c>
      <c r="C158" s="64"/>
      <c r="E158" s="261"/>
      <c r="F158" s="224" t="s">
        <v>1149</v>
      </c>
      <c r="G158" s="55"/>
      <c r="H158" s="174"/>
      <c r="I158" s="174" t="str">
        <f t="shared" si="145"/>
        <v>INDAWH</v>
      </c>
      <c r="J158" s="224">
        <f t="shared" si="148"/>
        <v>2050</v>
      </c>
      <c r="K158" s="81"/>
      <c r="L158" s="333">
        <f ca="1">VLOOKUP($AD158,INDIRECT("'"&amp;$B158&amp;"'!"&amp;"$P$279:$AD$282"),3,FALSE)*0.4</f>
        <v>0.41200000000000003</v>
      </c>
      <c r="M158" s="199"/>
      <c r="N158" s="81"/>
      <c r="O158" s="723">
        <f t="shared" ca="1" si="210"/>
        <v>0.29800000000000004</v>
      </c>
      <c r="P158" s="723">
        <f t="shared" ca="1" si="211"/>
        <v>1.2664999999999999E-2</v>
      </c>
      <c r="Q158" s="81">
        <f t="shared" ca="1" si="212"/>
        <v>2.0694444444444446</v>
      </c>
      <c r="R158" s="300"/>
      <c r="S158" s="300"/>
      <c r="T158" s="300"/>
      <c r="U158" s="300"/>
      <c r="V158" s="199">
        <f t="shared" ref="V158" ca="1" si="219">IF(IF(RIGHT(H156,2)="PH",(1-L158)+$W$2,IF(RIGHT(H156,2)="HT",(1-L158)+$W$1,IF(RIGHT(H156,2)="SH",(1-L158)+$W$3,"")))&gt;0,IF(RIGHT(H156,2)="PH",(1-L158)+$W$2,IF(RIGHT(H156,2)="HT",(1-L158)+$W$1,IF(RIGHT(H156,2)="SH",(1-L158)+$W$3,""))),0)</f>
        <v>0.78800000000000003</v>
      </c>
      <c r="W158" s="298"/>
      <c r="X158" s="698">
        <f t="shared" ca="1" si="147"/>
        <v>0.3</v>
      </c>
      <c r="Y158" s="698">
        <f t="shared" ca="1" si="214"/>
        <v>6</v>
      </c>
      <c r="Z158" s="698">
        <f t="shared" ca="1" si="215"/>
        <v>2</v>
      </c>
      <c r="AA158" s="698">
        <f t="shared" ca="1" si="216"/>
        <v>1</v>
      </c>
      <c r="AB158" s="698">
        <f t="shared" ca="1" si="217"/>
        <v>0.1</v>
      </c>
      <c r="AC158" s="203"/>
      <c r="AD158" s="81">
        <v>2050</v>
      </c>
      <c r="AE158" s="81"/>
      <c r="AF158" s="705"/>
    </row>
    <row r="159" spans="1:32">
      <c r="A159" s="226"/>
      <c r="B159" s="718" t="s">
        <v>1010</v>
      </c>
      <c r="C159" s="64"/>
      <c r="D159" s="212" t="str">
        <f>"IND"&amp;RIGHT(H159,4)&amp;"GAS"&amp;"N"&amp;RIGHT(E159,1)</f>
        <v>INDADSHGASN4</v>
      </c>
      <c r="E159" s="261" t="str">
        <f>"Industrial heating technology "&amp;$AJ$12&amp;" "&amp;RIGHT(H159,2)&amp;" - Gas boiler (Hot Water- condensing) - new 4"</f>
        <v>Industrial heating technology Aluminium SH - Gas boiler (Hot Water- condensing) - new 4</v>
      </c>
      <c r="F159" s="224" t="s">
        <v>1149</v>
      </c>
      <c r="G159" s="173" t="s">
        <v>2080</v>
      </c>
      <c r="H159" s="174" t="str">
        <f>$AI$15</f>
        <v>IADSH</v>
      </c>
      <c r="I159" s="174" t="str">
        <f t="shared" si="145"/>
        <v>INDAWH</v>
      </c>
      <c r="J159" s="224">
        <f t="shared" si="148"/>
        <v>2011</v>
      </c>
      <c r="K159" s="299">
        <v>2020</v>
      </c>
      <c r="L159" s="199">
        <f t="shared" ref="L159:L161" ca="1" si="220">VLOOKUP($AD159,INDIRECT("'"&amp;$B159&amp;"'!"&amp;"$P$279:$AD$282"),3,FALSE)</f>
        <v>1.01</v>
      </c>
      <c r="M159" s="199"/>
      <c r="N159" s="81">
        <f ca="1">VLOOKUP($AD159,INDIRECT("'"&amp;$B159&amp;"'!"&amp;"$P$279:$AD$282"),5,FALSE)</f>
        <v>25</v>
      </c>
      <c r="O159" s="723">
        <f t="shared" ca="1" si="210"/>
        <v>0.35760000000000003</v>
      </c>
      <c r="P159" s="723">
        <f t="shared" ca="1" si="211"/>
        <v>1.49E-2</v>
      </c>
      <c r="Q159" s="81">
        <f t="shared" ca="1" si="212"/>
        <v>2.276388888888889</v>
      </c>
      <c r="R159" s="81">
        <v>3.1536000000000002E-2</v>
      </c>
      <c r="S159" s="199">
        <v>0.5</v>
      </c>
      <c r="T159" s="199">
        <f ca="1">HLOOKUP($T$2,INDIRECT("'"&amp;$B159&amp;"'!"&amp;"$P$246:$AC$259"),IF(H159=$AI$13,6,IF(H159=$AI$14,9,14)),FALSE)</f>
        <v>0</v>
      </c>
      <c r="U159" s="773"/>
      <c r="V159" s="199">
        <f t="shared" ref="V159" ca="1" si="221">IF(IF(RIGHT(H159,2)="PH",(1-L159)+$W$2,IF(RIGHT(H159,2)="HT",(1-L159)+$W$1,IF(RIGHT(H159,2)="SH",(1-L159)+$W$3,"")))&gt;0,IF(RIGHT(H159,2)="PH",(1-L159)+$W$2,IF(RIGHT(H159,2)="HT",(1-L159)+$W$1,IF(RIGHT(H159,2)="SH",(1-L159)+$W$3,""))),0)</f>
        <v>0</v>
      </c>
      <c r="W159" s="709"/>
      <c r="X159" s="698">
        <f t="shared" ref="X159:X177" ca="1" si="222">IF(VLOOKUP($AD159,INDIRECT("'"&amp;$B159&amp;"'!"&amp;"$P$39:$AD$42"),11,FALSE)="Cf. the utilized electricity",0,VLOOKUP($AD159,INDIRECT("'"&amp;$B159&amp;"'!"&amp;"$P$39:$AD$42"),11,FALSE))</f>
        <v>0.3</v>
      </c>
      <c r="Y159" s="698">
        <f t="shared" ca="1" si="214"/>
        <v>9</v>
      </c>
      <c r="Z159" s="698">
        <f t="shared" ca="1" si="215"/>
        <v>3</v>
      </c>
      <c r="AA159" s="698">
        <f t="shared" ca="1" si="216"/>
        <v>1</v>
      </c>
      <c r="AB159" s="698">
        <f t="shared" ca="1" si="217"/>
        <v>0.1</v>
      </c>
      <c r="AC159" s="296"/>
      <c r="AD159" s="81">
        <v>2020</v>
      </c>
      <c r="AE159" s="81"/>
      <c r="AF159" s="710"/>
    </row>
    <row r="160" spans="1:32">
      <c r="B160" s="718" t="s">
        <v>1010</v>
      </c>
      <c r="C160" s="64"/>
      <c r="E160" s="261"/>
      <c r="F160" s="224" t="s">
        <v>1149</v>
      </c>
      <c r="G160" s="55"/>
      <c r="H160" s="174"/>
      <c r="I160" s="174" t="str">
        <f t="shared" si="145"/>
        <v>INDAWH</v>
      </c>
      <c r="J160" s="224">
        <f t="shared" si="148"/>
        <v>2030</v>
      </c>
      <c r="K160" s="81"/>
      <c r="L160" s="199">
        <f t="shared" ca="1" si="220"/>
        <v>1.03</v>
      </c>
      <c r="M160" s="199"/>
      <c r="N160" s="81"/>
      <c r="O160" s="723">
        <f t="shared" ca="1" si="210"/>
        <v>0.29800000000000004</v>
      </c>
      <c r="P160" s="723">
        <f t="shared" ca="1" si="211"/>
        <v>1.4154999999999999E-2</v>
      </c>
      <c r="Q160" s="81">
        <f t="shared" ca="1" si="212"/>
        <v>2.0694444444444446</v>
      </c>
      <c r="R160" s="300"/>
      <c r="S160" s="300"/>
      <c r="T160" s="300"/>
      <c r="U160" s="300"/>
      <c r="V160" s="199">
        <f t="shared" ref="V160" ca="1" si="223">IF(IF(RIGHT(H159,2)="PH",(1-L160)+$W$2,IF(RIGHT(H159,2)="HT",(1-L160)+$W$1,IF(RIGHT(H159,2)="SH",(1-L160)+$W$3,"")))&gt;0,IF(RIGHT(H159,2)="PH",(1-L160)+$W$2,IF(RIGHT(H159,2)="HT",(1-L160)+$W$1,IF(RIGHT(H159,2)="SH",(1-L160)+$W$3,""))),0)</f>
        <v>0</v>
      </c>
      <c r="W160" s="298"/>
      <c r="X160" s="698">
        <f t="shared" ca="1" si="222"/>
        <v>0.3</v>
      </c>
      <c r="Y160" s="698">
        <f t="shared" ca="1" si="214"/>
        <v>7</v>
      </c>
      <c r="Z160" s="698">
        <f t="shared" ca="1" si="215"/>
        <v>2</v>
      </c>
      <c r="AA160" s="698">
        <f t="shared" ca="1" si="216"/>
        <v>1</v>
      </c>
      <c r="AB160" s="698">
        <f t="shared" ca="1" si="217"/>
        <v>0.1</v>
      </c>
      <c r="AC160" s="55"/>
      <c r="AD160" s="81">
        <v>2030</v>
      </c>
      <c r="AE160" s="81"/>
      <c r="AF160" s="700"/>
    </row>
    <row r="161" spans="1:32">
      <c r="B161" s="719" t="s">
        <v>1010</v>
      </c>
      <c r="C161" s="713"/>
      <c r="D161" s="701"/>
      <c r="E161" s="701"/>
      <c r="F161" s="224" t="s">
        <v>1149</v>
      </c>
      <c r="G161" s="203"/>
      <c r="H161" s="702"/>
      <c r="I161" s="702" t="str">
        <f t="shared" si="145"/>
        <v>INDAWH</v>
      </c>
      <c r="J161" s="224">
        <f t="shared" si="148"/>
        <v>2050</v>
      </c>
      <c r="K161" s="81"/>
      <c r="L161" s="199">
        <f t="shared" ca="1" si="220"/>
        <v>1.03</v>
      </c>
      <c r="M161" s="199"/>
      <c r="N161" s="81"/>
      <c r="O161" s="723">
        <f t="shared" ca="1" si="210"/>
        <v>0.29800000000000004</v>
      </c>
      <c r="P161" s="723">
        <f t="shared" ca="1" si="211"/>
        <v>1.2664999999999999E-2</v>
      </c>
      <c r="Q161" s="81">
        <f t="shared" ca="1" si="212"/>
        <v>2.0694444444444446</v>
      </c>
      <c r="R161" s="300"/>
      <c r="S161" s="300"/>
      <c r="T161" s="300"/>
      <c r="U161" s="300"/>
      <c r="V161" s="199">
        <f t="shared" ref="V161" ca="1" si="224">IF(IF(RIGHT(H159,2)="PH",(1-L161)+$W$2,IF(RIGHT(H159,2)="HT",(1-L161)+$W$1,IF(RIGHT(H159,2)="SH",(1-L161)+$W$3,"")))&gt;0,IF(RIGHT(H159,2)="PH",(1-L161)+$W$2,IF(RIGHT(H159,2)="HT",(1-L161)+$W$1,IF(RIGHT(H159,2)="SH",(1-L161)+$W$3,""))),0)</f>
        <v>0</v>
      </c>
      <c r="W161" s="714"/>
      <c r="X161" s="698">
        <f t="shared" ca="1" si="222"/>
        <v>0.3</v>
      </c>
      <c r="Y161" s="698">
        <f t="shared" ca="1" si="214"/>
        <v>6</v>
      </c>
      <c r="Z161" s="698">
        <f t="shared" ca="1" si="215"/>
        <v>2</v>
      </c>
      <c r="AA161" s="698">
        <f t="shared" ca="1" si="216"/>
        <v>1</v>
      </c>
      <c r="AB161" s="698">
        <f t="shared" ca="1" si="217"/>
        <v>0.1</v>
      </c>
      <c r="AC161" s="55"/>
      <c r="AD161" s="81">
        <v>2050</v>
      </c>
      <c r="AE161" s="81"/>
      <c r="AF161" s="700"/>
    </row>
    <row r="162" spans="1:32">
      <c r="B162" s="718" t="s">
        <v>1010</v>
      </c>
      <c r="C162" s="64"/>
      <c r="D162" s="212" t="s">
        <v>2127</v>
      </c>
      <c r="E162" s="707" t="str">
        <f>"Industrial heating technology "&amp;$AJ$12&amp;" "&amp;RIGHT(H162,2)&amp;" - Gas boiler (Direct firing) - new 5"</f>
        <v>Industrial heating technology Aluminium PH - Gas boiler (Direct firing) - new 5</v>
      </c>
      <c r="F162" s="224" t="s">
        <v>1149</v>
      </c>
      <c r="G162" s="173" t="s">
        <v>2080</v>
      </c>
      <c r="H162" s="174" t="str">
        <f>$AI$13</f>
        <v>IADPH</v>
      </c>
      <c r="I162" s="174" t="str">
        <f t="shared" si="145"/>
        <v>INDAWH</v>
      </c>
      <c r="J162" s="224">
        <f t="shared" si="148"/>
        <v>2011</v>
      </c>
      <c r="K162" s="299">
        <v>2020</v>
      </c>
      <c r="L162" s="333">
        <f ca="1">VLOOKUP($AD162,INDIRECT("'"&amp;$B162&amp;"'!"&amp;"$P$345:$AD$348"),3,FALSE)*0.4</f>
        <v>0.4</v>
      </c>
      <c r="M162" s="199"/>
      <c r="N162" s="81">
        <f ca="1">VLOOKUP($AD162,INDIRECT("'"&amp;$B162&amp;"'!"&amp;"$P$345:$AD$348"),5,FALSE)</f>
        <v>15</v>
      </c>
      <c r="O162" s="723">
        <f t="shared" ref="O162:O167" ca="1" si="225">VLOOKUP($AD162,INDIRECT("'"&amp;$B162&amp;"'!"&amp;"$P$345:$AD$348"),6,FALSE)/1000</f>
        <v>0.11175</v>
      </c>
      <c r="P162" s="723">
        <f t="shared" ref="P162:P167" ca="1" si="226">VLOOKUP($AD162,INDIRECT("'"&amp;$B162&amp;"'!"&amp;"$P$345:$AD$348"),7,FALSE)/1000</f>
        <v>1.3545454545454561E-3</v>
      </c>
      <c r="Q162" s="81">
        <f t="shared" ref="Q162:Q167" ca="1" si="227">VLOOKUP($AD162,INDIRECT("'"&amp;$B162&amp;"'!"&amp;"$P$345:$AD$348"),8,FALSE)</f>
        <v>0.58461805555555546</v>
      </c>
      <c r="R162" s="81">
        <v>3.1536000000000002E-2</v>
      </c>
      <c r="S162" s="199">
        <v>0.5</v>
      </c>
      <c r="T162" s="199">
        <f ca="1">HLOOKUP($S$2,INDIRECT("'"&amp;$B162&amp;"'!"&amp;"$P$312:$AC$325"),IF(H162=$AI$13,6,IF(H162=$AI$14,9,14)),FALSE)</f>
        <v>1</v>
      </c>
      <c r="U162" s="773"/>
      <c r="V162" s="199">
        <f t="shared" ref="V162" ca="1" si="228">IF(IF(RIGHT(H162,2)="PH",(1-L162)+$W$2,IF(RIGHT(H162,2)="HT",(1-L162)+$W$1,IF(RIGHT(H162,2)="SH",(1-L162)+$W$3,"")))&gt;0,IF(RIGHT(H162,2)="PH",(1-L162)+$W$2,IF(RIGHT(H162,2)="HT",(1-L162)+$W$1,IF(RIGHT(H162,2)="SH",(1-L162)+$W$3,""))),0)</f>
        <v>0.8</v>
      </c>
      <c r="W162" s="709"/>
      <c r="X162" s="698">
        <f t="shared" ca="1" si="222"/>
        <v>0.3</v>
      </c>
      <c r="Y162" s="698">
        <f t="shared" ref="Y162:Y167" ca="1" si="229">VLOOKUP($AD162,INDIRECT("'"&amp;$B162&amp;"'!"&amp;"$P$345:$AD$348"),12,FALSE)</f>
        <v>9</v>
      </c>
      <c r="Z162" s="698">
        <f t="shared" ref="Z162:Z167" ca="1" si="230">VLOOKUP($AD162,INDIRECT("'"&amp;$B162&amp;"'!"&amp;"$P$345:$AD$348"),13,FALSE)</f>
        <v>3</v>
      </c>
      <c r="AA162" s="698">
        <f t="shared" ref="AA162:AA167" ca="1" si="231">VLOOKUP($AD162,INDIRECT("'"&amp;$B162&amp;"'!"&amp;"$P$345:$AD$348"),14,FALSE)</f>
        <v>1</v>
      </c>
      <c r="AB162" s="698">
        <f t="shared" ref="AB162:AB167" ca="1" si="232">VLOOKUP($AD162,INDIRECT("'"&amp;$B162&amp;"'!"&amp;"$P$345:$AD$348"),15,FALSE)</f>
        <v>0.1</v>
      </c>
      <c r="AC162" s="55"/>
      <c r="AD162" s="81">
        <v>2020</v>
      </c>
      <c r="AE162" s="81"/>
      <c r="AF162" s="700"/>
    </row>
    <row r="163" spans="1:32">
      <c r="B163" s="718" t="s">
        <v>1010</v>
      </c>
      <c r="C163" s="64"/>
      <c r="D163" s="224" t="s">
        <v>451</v>
      </c>
      <c r="E163" s="261"/>
      <c r="F163" s="224" t="s">
        <v>1149</v>
      </c>
      <c r="G163" s="55"/>
      <c r="H163" s="174"/>
      <c r="I163" s="174" t="str">
        <f t="shared" si="145"/>
        <v>INDAWH</v>
      </c>
      <c r="J163" s="224">
        <f t="shared" si="148"/>
        <v>2030</v>
      </c>
      <c r="K163" s="81"/>
      <c r="L163" s="333">
        <f ca="1">VLOOKUP($AD163,INDIRECT("'"&amp;$B163&amp;"'!"&amp;"$P$345:$AD$348"),3,FALSE)*0.4</f>
        <v>0.4</v>
      </c>
      <c r="M163" s="199"/>
      <c r="N163" s="81"/>
      <c r="O163" s="723">
        <f t="shared" ca="1" si="225"/>
        <v>0.11175</v>
      </c>
      <c r="P163" s="723">
        <f t="shared" ca="1" si="226"/>
        <v>1.3206818181818161E-3</v>
      </c>
      <c r="Q163" s="81">
        <f t="shared" ca="1" si="227"/>
        <v>0.5742708333333334</v>
      </c>
      <c r="R163" s="300"/>
      <c r="S163" s="300"/>
      <c r="T163" s="300"/>
      <c r="U163" s="300"/>
      <c r="V163" s="199">
        <f t="shared" ref="V163" ca="1" si="233">IF(IF(RIGHT(H162,2)="PH",(1-L163)+$W$2,IF(RIGHT(H162,2)="HT",(1-L163)+$W$1,IF(RIGHT(H162,2)="SH",(1-L163)+$W$3,"")))&gt;0,IF(RIGHT(H162,2)="PH",(1-L163)+$W$2,IF(RIGHT(H162,2)="HT",(1-L163)+$W$1,IF(RIGHT(H162,2)="SH",(1-L163)+$W$3,""))),0)</f>
        <v>0.8</v>
      </c>
      <c r="W163" s="298"/>
      <c r="X163" s="698">
        <f t="shared" ca="1" si="222"/>
        <v>0.3</v>
      </c>
      <c r="Y163" s="698">
        <f t="shared" ca="1" si="229"/>
        <v>7</v>
      </c>
      <c r="Z163" s="698">
        <f t="shared" ca="1" si="230"/>
        <v>2</v>
      </c>
      <c r="AA163" s="698">
        <f t="shared" ca="1" si="231"/>
        <v>1</v>
      </c>
      <c r="AB163" s="698">
        <f t="shared" ca="1" si="232"/>
        <v>0.1</v>
      </c>
      <c r="AC163" s="55"/>
      <c r="AD163" s="81">
        <v>2030</v>
      </c>
      <c r="AE163" s="81"/>
      <c r="AF163" s="700"/>
    </row>
    <row r="164" spans="1:32">
      <c r="B164" s="718" t="s">
        <v>1010</v>
      </c>
      <c r="C164" s="64"/>
      <c r="D164" s="224" t="s">
        <v>451</v>
      </c>
      <c r="E164" s="261"/>
      <c r="F164" s="224" t="s">
        <v>1149</v>
      </c>
      <c r="G164" s="55"/>
      <c r="H164" s="174"/>
      <c r="I164" s="174" t="str">
        <f t="shared" si="145"/>
        <v>INDAWH</v>
      </c>
      <c r="J164" s="224">
        <f t="shared" si="148"/>
        <v>2050</v>
      </c>
      <c r="K164" s="81"/>
      <c r="L164" s="333">
        <f ca="1">VLOOKUP($AD164,INDIRECT("'"&amp;$B164&amp;"'!"&amp;"$P$345:$AD$348"),3,FALSE)*0.4</f>
        <v>0.4</v>
      </c>
      <c r="M164" s="199"/>
      <c r="N164" s="81"/>
      <c r="O164" s="723">
        <f t="shared" ca="1" si="225"/>
        <v>0.11175</v>
      </c>
      <c r="P164" s="723">
        <f t="shared" ca="1" si="226"/>
        <v>1.1513636363636396E-3</v>
      </c>
      <c r="Q164" s="81">
        <f t="shared" ca="1" si="227"/>
        <v>0.57944444444444443</v>
      </c>
      <c r="R164" s="300"/>
      <c r="S164" s="300"/>
      <c r="T164" s="300"/>
      <c r="U164" s="300"/>
      <c r="V164" s="199">
        <f t="shared" ref="V164" ca="1" si="234">IF(IF(RIGHT(H162,2)="PH",(1-L164)+$W$2,IF(RIGHT(H162,2)="HT",(1-L164)+$W$1,IF(RIGHT(H162,2)="SH",(1-L164)+$W$3,"")))&gt;0,IF(RIGHT(H162,2)="PH",(1-L164)+$W$2,IF(RIGHT(H162,2)="HT",(1-L164)+$W$1,IF(RIGHT(H162,2)="SH",(1-L164)+$W$3,""))),0)</f>
        <v>0.8</v>
      </c>
      <c r="W164" s="298"/>
      <c r="X164" s="698">
        <f t="shared" ca="1" si="222"/>
        <v>0.3</v>
      </c>
      <c r="Y164" s="698">
        <f t="shared" ca="1" si="229"/>
        <v>6</v>
      </c>
      <c r="Z164" s="698">
        <f t="shared" ca="1" si="230"/>
        <v>2</v>
      </c>
      <c r="AA164" s="698">
        <f t="shared" ca="1" si="231"/>
        <v>1</v>
      </c>
      <c r="AB164" s="698">
        <f t="shared" ca="1" si="232"/>
        <v>0.1</v>
      </c>
      <c r="AC164" s="203"/>
      <c r="AD164" s="81">
        <v>2050</v>
      </c>
      <c r="AE164" s="81"/>
      <c r="AF164" s="700"/>
    </row>
    <row r="165" spans="1:32">
      <c r="B165" s="718" t="s">
        <v>1010</v>
      </c>
      <c r="C165" s="64"/>
      <c r="D165" s="212" t="s">
        <v>2128</v>
      </c>
      <c r="E165" s="261" t="str">
        <f>"Industrial heating technology "&amp;$AJ$12&amp;" "&amp;RIGHT(H165,2)&amp;" - Gas boiler (Direct firing) - new 5"</f>
        <v>Industrial heating technology Aluminium SH - Gas boiler (Direct firing) - new 5</v>
      </c>
      <c r="F165" s="224" t="s">
        <v>1149</v>
      </c>
      <c r="G165" s="173" t="s">
        <v>2080</v>
      </c>
      <c r="H165" s="174" t="str">
        <f>$AI$15</f>
        <v>IADSH</v>
      </c>
      <c r="I165" s="721" t="str">
        <f t="shared" si="145"/>
        <v>INDAWH</v>
      </c>
      <c r="J165" s="224">
        <f t="shared" si="148"/>
        <v>2011</v>
      </c>
      <c r="K165" s="299">
        <v>2020</v>
      </c>
      <c r="L165" s="199">
        <f t="shared" ref="L165:L167" ca="1" si="235">VLOOKUP($AD165,INDIRECT("'"&amp;$B165&amp;"'!"&amp;"$P$345:$AD$348"),3,FALSE)</f>
        <v>1</v>
      </c>
      <c r="M165" s="199"/>
      <c r="N165" s="81">
        <f ca="1">VLOOKUP($AD165,INDIRECT("'"&amp;$B165&amp;"'!"&amp;"$P$279:$AD$282"),5,FALSE)</f>
        <v>25</v>
      </c>
      <c r="O165" s="723">
        <f t="shared" ca="1" si="225"/>
        <v>0.11175</v>
      </c>
      <c r="P165" s="723">
        <f t="shared" ca="1" si="226"/>
        <v>1.3545454545454561E-3</v>
      </c>
      <c r="Q165" s="81">
        <f t="shared" ca="1" si="227"/>
        <v>0.58461805555555546</v>
      </c>
      <c r="R165" s="81">
        <v>3.1536000000000002E-2</v>
      </c>
      <c r="S165" s="199">
        <v>0.5</v>
      </c>
      <c r="T165" s="199">
        <f ca="1">HLOOKUP($S$2,INDIRECT("'"&amp;$B165&amp;"'!"&amp;"$P$312:$AC$325"),IF(H165=$AI$13,6,IF(H165=$AI$14,9,14)),FALSE)</f>
        <v>0</v>
      </c>
      <c r="U165" s="773"/>
      <c r="V165" s="199">
        <f t="shared" ref="V165" ca="1" si="236">IF(IF(RIGHT(H165,2)="PH",(1-L165)+$W$2,IF(RIGHT(H165,2)="HT",(1-L165)+$W$1,IF(RIGHT(H165,2)="SH",(1-L165)+$W$3,"")))&gt;0,IF(RIGHT(H165,2)="PH",(1-L165)+$W$2,IF(RIGHT(H165,2)="HT",(1-L165)+$W$1,IF(RIGHT(H165,2)="SH",(1-L165)+$W$3,""))),0)</f>
        <v>0</v>
      </c>
      <c r="W165" s="709"/>
      <c r="X165" s="698">
        <f t="shared" ca="1" si="222"/>
        <v>0.3</v>
      </c>
      <c r="Y165" s="698">
        <f t="shared" ca="1" si="229"/>
        <v>9</v>
      </c>
      <c r="Z165" s="698">
        <f t="shared" ca="1" si="230"/>
        <v>3</v>
      </c>
      <c r="AA165" s="698">
        <f t="shared" ca="1" si="231"/>
        <v>1</v>
      </c>
      <c r="AB165" s="698">
        <f t="shared" ca="1" si="232"/>
        <v>0.1</v>
      </c>
      <c r="AD165" s="277">
        <v>2020</v>
      </c>
      <c r="AE165" s="273"/>
      <c r="AF165" s="830"/>
    </row>
    <row r="166" spans="1:32">
      <c r="B166" s="718" t="s">
        <v>1010</v>
      </c>
      <c r="C166" s="64"/>
      <c r="D166" s="212" t="s">
        <v>451</v>
      </c>
      <c r="E166" s="261"/>
      <c r="F166" s="224" t="s">
        <v>1149</v>
      </c>
      <c r="G166" s="55"/>
      <c r="H166" s="174"/>
      <c r="I166" s="174" t="str">
        <f t="shared" si="145"/>
        <v>INDAWH</v>
      </c>
      <c r="J166" s="224">
        <f t="shared" si="148"/>
        <v>2030</v>
      </c>
      <c r="K166" s="81"/>
      <c r="L166" s="199">
        <f t="shared" ca="1" si="235"/>
        <v>1</v>
      </c>
      <c r="M166" s="199"/>
      <c r="N166" s="81"/>
      <c r="O166" s="723">
        <f t="shared" ca="1" si="225"/>
        <v>0.11175</v>
      </c>
      <c r="P166" s="723">
        <f t="shared" ca="1" si="226"/>
        <v>1.3206818181818161E-3</v>
      </c>
      <c r="Q166" s="81">
        <f t="shared" ca="1" si="227"/>
        <v>0.5742708333333334</v>
      </c>
      <c r="R166" s="300"/>
      <c r="S166" s="300"/>
      <c r="T166" s="300"/>
      <c r="U166" s="300"/>
      <c r="V166" s="199">
        <f t="shared" ref="V166" ca="1" si="237">IF(IF(RIGHT(H165,2)="PH",(1-L166)+$W$2,IF(RIGHT(H165,2)="HT",(1-L166)+$W$1,IF(RIGHT(H165,2)="SH",(1-L166)+$W$3,"")))&gt;0,IF(RIGHT(H165,2)="PH",(1-L166)+$W$2,IF(RIGHT(H165,2)="HT",(1-L166)+$W$1,IF(RIGHT(H165,2)="SH",(1-L166)+$W$3,""))),0)</f>
        <v>0</v>
      </c>
      <c r="W166" s="298"/>
      <c r="X166" s="698">
        <f t="shared" ca="1" si="222"/>
        <v>0.3</v>
      </c>
      <c r="Y166" s="698">
        <f t="shared" ca="1" si="229"/>
        <v>7</v>
      </c>
      <c r="Z166" s="698">
        <f t="shared" ca="1" si="230"/>
        <v>2</v>
      </c>
      <c r="AA166" s="698">
        <f t="shared" ca="1" si="231"/>
        <v>1</v>
      </c>
      <c r="AB166" s="698">
        <f t="shared" ca="1" si="232"/>
        <v>0.1</v>
      </c>
      <c r="AD166" s="81">
        <v>2030</v>
      </c>
      <c r="AE166" s="273"/>
      <c r="AF166" s="828"/>
    </row>
    <row r="167" spans="1:32">
      <c r="A167" s="169"/>
      <c r="B167" s="719" t="s">
        <v>1010</v>
      </c>
      <c r="C167" s="713"/>
      <c r="D167" s="701" t="s">
        <v>451</v>
      </c>
      <c r="E167" s="701"/>
      <c r="F167" s="224" t="s">
        <v>1149</v>
      </c>
      <c r="G167" s="203"/>
      <c r="H167" s="702"/>
      <c r="I167" s="702" t="str">
        <f t="shared" si="145"/>
        <v>INDAWH</v>
      </c>
      <c r="J167" s="224">
        <f t="shared" si="148"/>
        <v>2050</v>
      </c>
      <c r="K167" s="81"/>
      <c r="L167" s="199">
        <f t="shared" ca="1" si="235"/>
        <v>1</v>
      </c>
      <c r="M167" s="199"/>
      <c r="N167" s="81"/>
      <c r="O167" s="723">
        <f t="shared" ca="1" si="225"/>
        <v>0.11175</v>
      </c>
      <c r="P167" s="723">
        <f t="shared" ca="1" si="226"/>
        <v>1.1513636363636396E-3</v>
      </c>
      <c r="Q167" s="81">
        <f t="shared" ca="1" si="227"/>
        <v>0.57944444444444443</v>
      </c>
      <c r="R167" s="722"/>
      <c r="S167" s="703"/>
      <c r="T167" s="703"/>
      <c r="U167" s="703"/>
      <c r="V167" s="199">
        <f t="shared" ref="V167" ca="1" si="238">IF(IF(RIGHT(H165,2)="PH",(1-L167)+$W$2,IF(RIGHT(H165,2)="HT",(1-L167)+$W$1,IF(RIGHT(H165,2)="SH",(1-L167)+$W$3,"")))&gt;0,IF(RIGHT(H165,2)="PH",(1-L167)+$W$2,IF(RIGHT(H165,2)="HT",(1-L167)+$W$1,IF(RIGHT(H165,2)="SH",(1-L167)+$W$3,""))),0)</f>
        <v>0</v>
      </c>
      <c r="W167" s="714"/>
      <c r="X167" s="698">
        <f t="shared" ca="1" si="222"/>
        <v>0.3</v>
      </c>
      <c r="Y167" s="698">
        <f t="shared" ca="1" si="229"/>
        <v>6</v>
      </c>
      <c r="Z167" s="698">
        <f t="shared" ca="1" si="230"/>
        <v>2</v>
      </c>
      <c r="AA167" s="698">
        <f t="shared" ca="1" si="231"/>
        <v>1</v>
      </c>
      <c r="AB167" s="698">
        <f t="shared" ca="1" si="232"/>
        <v>0.1</v>
      </c>
      <c r="AD167" s="81">
        <v>2050</v>
      </c>
      <c r="AE167" s="273"/>
      <c r="AF167" s="828"/>
    </row>
    <row r="168" spans="1:32">
      <c r="A168" s="169"/>
      <c r="B168" s="718" t="s">
        <v>1099</v>
      </c>
      <c r="C168" s="226"/>
      <c r="D168" s="707" t="str">
        <f>"IND"&amp;RIGHT(H168,4)&amp;RIGHT(G168,3)&amp;"N"&amp;RIGHT(E168,1)</f>
        <v>INDADPHCOAN1</v>
      </c>
      <c r="E168" s="261" t="str">
        <f>"Industrial heating technology "&amp;$AJ$12&amp;" "&amp;RIGHT(H168,2)&amp;" - Coal boiler (Steam) - new 1"</f>
        <v>Industrial heating technology Aluminium PH - Coal boiler (Steam) - new 1</v>
      </c>
      <c r="F168" s="224" t="s">
        <v>1149</v>
      </c>
      <c r="G168" s="55" t="s">
        <v>617</v>
      </c>
      <c r="H168" s="174" t="str">
        <f>$AI$13</f>
        <v>IADPH</v>
      </c>
      <c r="I168" s="174" t="str">
        <f t="shared" si="145"/>
        <v>INDAWH</v>
      </c>
      <c r="J168" s="224">
        <f t="shared" si="148"/>
        <v>2011</v>
      </c>
      <c r="K168" s="299">
        <v>2025</v>
      </c>
      <c r="L168" s="333">
        <f t="shared" ref="L168:L173" ca="1" si="239">VLOOKUP($AD168,INDIRECT("'"&amp;$B168&amp;"'!"&amp;"$P$39:$AD$42"),3,FALSE)*0.4</f>
        <v>0.35600000000000004</v>
      </c>
      <c r="M168" s="699"/>
      <c r="N168" s="299">
        <f ca="1">VLOOKUP($AD168,INDIRECT("'"&amp;$B168&amp;"'!"&amp;"$P$39:$AD$42"),5,FALSE)</f>
        <v>25</v>
      </c>
      <c r="O168" s="725">
        <f t="shared" ref="O168:O176" ca="1" si="240">VLOOKUP($AD168,INDIRECT("'"&amp;$B168&amp;"'!"&amp;"$P$39:$AD$42"),6,FALSE)/1000</f>
        <v>3.7250000000000001</v>
      </c>
      <c r="P168" s="725">
        <f t="shared" ref="P168:P176" ca="1" si="241">VLOOKUP($AD168,INDIRECT("'"&amp;$B168&amp;"'!"&amp;"$P$39:$AD$42"),7,FALSE)/1000</f>
        <v>0.25106499999999998</v>
      </c>
      <c r="Q168" s="299">
        <f t="shared" ref="Q168:Q176" ca="1" si="242">VLOOKUP($AD168,INDIRECT("'"&amp;$B168&amp;"'!"&amp;"$P$39:$AD$42"),8,FALSE)</f>
        <v>3.9381527777777778</v>
      </c>
      <c r="R168" s="299">
        <v>3.1536000000000002E-2</v>
      </c>
      <c r="S168" s="699">
        <v>0.5</v>
      </c>
      <c r="T168" s="699">
        <f ca="1">HLOOKUP($T$2,INDIRECT("'"&amp;$B168&amp;"'!"&amp;"$P$6:$AC$19"),IF(H168=$AI$13,6,IF(H168=$AI$14,9,14)),FALSE)</f>
        <v>1</v>
      </c>
      <c r="U168" s="772"/>
      <c r="V168" s="199">
        <f t="shared" ref="V168" ca="1" si="243">IF(IF(RIGHT(H168,2)="PH",(1-L168)+$W$2,IF(RIGHT(H168,2)="HT",(1-L168)+$W$1,IF(RIGHT(H168,2)="SH",(1-L168)+$W$3,"")))&gt;0,IF(RIGHT(H168,2)="PH",(1-L168)+$W$2,IF(RIGHT(H168,2)="HT",(1-L168)+$W$1,IF(RIGHT(H168,2)="SH",(1-L168)+$W$3,""))),0)</f>
        <v>0.84399999999999986</v>
      </c>
      <c r="W168" s="298"/>
      <c r="X168" s="698">
        <f t="shared" ca="1" si="222"/>
        <v>8</v>
      </c>
      <c r="Y168" s="299">
        <f t="shared" ref="Y168:Y176" ca="1" si="244">VLOOKUP($AD168,INDIRECT("'"&amp;$B168&amp;"'!"&amp;"$P$39:$AD$42"),12,FALSE)</f>
        <v>35</v>
      </c>
      <c r="Z168" s="299">
        <f t="shared" ref="Z168:Z176" ca="1" si="245">VLOOKUP($AD168,INDIRECT("'"&amp;$B168&amp;"'!"&amp;"$P$39:$AD$42"),13,FALSE)</f>
        <v>1.5</v>
      </c>
      <c r="AA168" s="299">
        <f t="shared" ref="AA168:AA176" ca="1" si="246">VLOOKUP($AD168,INDIRECT("'"&amp;$B168&amp;"'!"&amp;"$P$39:$AD$42"),14,FALSE)</f>
        <v>0.8</v>
      </c>
      <c r="AB168" s="299">
        <f t="shared" ref="AB168:AB176" ca="1" si="247">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5"/>
        <v>INDAWH</v>
      </c>
      <c r="J169" s="224">
        <f t="shared" si="148"/>
        <v>2030</v>
      </c>
      <c r="K169" s="81"/>
      <c r="L169" s="333">
        <f t="shared" ca="1" si="239"/>
        <v>0.35600000000000004</v>
      </c>
      <c r="M169" s="772"/>
      <c r="N169" s="200"/>
      <c r="O169" s="725">
        <f t="shared" ca="1" si="240"/>
        <v>3.4699403462447704</v>
      </c>
      <c r="P169" s="725">
        <f t="shared" ca="1" si="241"/>
        <v>0.24287</v>
      </c>
      <c r="Q169" s="299">
        <f t="shared" ca="1" si="242"/>
        <v>3.9836805555555559</v>
      </c>
      <c r="R169" s="823"/>
      <c r="S169" s="300"/>
      <c r="T169" s="300"/>
      <c r="U169" s="300"/>
      <c r="V169" s="199">
        <f t="shared" ref="V169" ca="1" si="248">IF(IF(RIGHT(H168,2)="PH",(1-L169)+$W$2,IF(RIGHT(H168,2)="HT",(1-L169)+$W$1,IF(RIGHT(H168,2)="SH",(1-L169)+$W$3,"")))&gt;0,IF(RIGHT(H168,2)="PH",(1-L169)+$W$2,IF(RIGHT(H168,2)="HT",(1-L169)+$W$1,IF(RIGHT(H168,2)="SH",(1-L169)+$W$3,""))),0)</f>
        <v>0.84399999999999986</v>
      </c>
      <c r="W169" s="298"/>
      <c r="X169" s="698">
        <f t="shared" ca="1" si="222"/>
        <v>8</v>
      </c>
      <c r="Y169" s="299">
        <f t="shared" ca="1" si="244"/>
        <v>35</v>
      </c>
      <c r="Z169" s="299">
        <f t="shared" ca="1" si="245"/>
        <v>1.5</v>
      </c>
      <c r="AA169" s="299">
        <f t="shared" ca="1" si="246"/>
        <v>0.8</v>
      </c>
      <c r="AB169" s="299">
        <f t="shared" ca="1" si="247"/>
        <v>2.1</v>
      </c>
      <c r="AD169" s="81">
        <v>2030</v>
      </c>
      <c r="AE169" s="273"/>
      <c r="AF169" s="828"/>
    </row>
    <row r="170" spans="1:32">
      <c r="A170" s="169"/>
      <c r="B170" s="718" t="s">
        <v>1099</v>
      </c>
      <c r="C170" s="226"/>
      <c r="D170" s="261"/>
      <c r="E170" s="261"/>
      <c r="F170" s="224" t="s">
        <v>1149</v>
      </c>
      <c r="G170" s="55"/>
      <c r="H170" s="174"/>
      <c r="I170" s="174" t="str">
        <f t="shared" si="145"/>
        <v>INDAWH</v>
      </c>
      <c r="J170" s="224">
        <f t="shared" si="148"/>
        <v>2050</v>
      </c>
      <c r="K170" s="81"/>
      <c r="L170" s="333">
        <f t="shared" ca="1" si="239"/>
        <v>0.36400000000000005</v>
      </c>
      <c r="M170" s="772"/>
      <c r="N170" s="200"/>
      <c r="O170" s="725">
        <f t="shared" ca="1" si="240"/>
        <v>3.2813985758696647</v>
      </c>
      <c r="P170" s="725">
        <f t="shared" ca="1" si="241"/>
        <v>0.22797000000000001</v>
      </c>
      <c r="Q170" s="299">
        <f t="shared" ca="1" si="242"/>
        <v>4.0064444444444449</v>
      </c>
      <c r="R170" s="823"/>
      <c r="S170" s="300"/>
      <c r="T170" s="300"/>
      <c r="U170" s="300"/>
      <c r="V170" s="199">
        <f t="shared" ref="V170" ca="1" si="249">IF(IF(RIGHT(H168,2)="PH",(1-L170)+$W$2,IF(RIGHT(H168,2)="HT",(1-L170)+$W$1,IF(RIGHT(H168,2)="SH",(1-L170)+$W$3,"")))&gt;0,IF(RIGHT(H168,2)="PH",(1-L170)+$W$2,IF(RIGHT(H168,2)="HT",(1-L170)+$W$1,IF(RIGHT(H168,2)="SH",(1-L170)+$W$3,""))),0)</f>
        <v>0.83599999999999985</v>
      </c>
      <c r="W170" s="298"/>
      <c r="X170" s="698">
        <f t="shared" ca="1" si="222"/>
        <v>8</v>
      </c>
      <c r="Y170" s="299">
        <f t="shared" ca="1" si="244"/>
        <v>35</v>
      </c>
      <c r="Z170" s="299">
        <f t="shared" ca="1" si="245"/>
        <v>1.5</v>
      </c>
      <c r="AA170" s="299">
        <f t="shared" ca="1" si="246"/>
        <v>0.8</v>
      </c>
      <c r="AB170" s="299">
        <f t="shared" ca="1" si="247"/>
        <v>2.1</v>
      </c>
      <c r="AD170" s="81">
        <v>2050</v>
      </c>
      <c r="AE170" s="273"/>
      <c r="AF170" s="828"/>
    </row>
    <row r="171" spans="1:32">
      <c r="A171" s="169"/>
      <c r="B171" s="718" t="s">
        <v>1099</v>
      </c>
      <c r="C171" s="226"/>
      <c r="D171" s="261" t="str">
        <f>"IND"&amp;RIGHT(H171,4)&amp;RIGHT(G171,3)&amp;"N"&amp;RIGHT(E171,1)</f>
        <v>INDADPHCOAN1</v>
      </c>
      <c r="E171" s="261" t="str">
        <f>"Industrial heating technology "&amp;$AJ$12&amp;" "&amp;RIGHT(H171,2)&amp;" - Coal boiler (Steam) - new 1"</f>
        <v>Industrial heating technology Aluminium PH - Coal boiler (Steam) - new 1</v>
      </c>
      <c r="F171" s="224" t="s">
        <v>1149</v>
      </c>
      <c r="G171" s="55" t="s">
        <v>617</v>
      </c>
      <c r="H171" s="174" t="str">
        <f>$AI$14</f>
        <v>IADPH</v>
      </c>
      <c r="I171" s="174" t="str">
        <f t="shared" si="145"/>
        <v>INDAWH</v>
      </c>
      <c r="J171" s="224">
        <f t="shared" si="148"/>
        <v>2011</v>
      </c>
      <c r="K171" s="299">
        <v>2025</v>
      </c>
      <c r="L171" s="333">
        <f t="shared" ca="1" si="239"/>
        <v>0.35600000000000004</v>
      </c>
      <c r="M171" s="199"/>
      <c r="N171" s="81">
        <f ca="1">VLOOKUP($AD171,INDIRECT("'"&amp;$B171&amp;"'!"&amp;"$P$39:$AD$42"),5,FALSE)</f>
        <v>25</v>
      </c>
      <c r="O171" s="725">
        <f t="shared" ca="1" si="240"/>
        <v>3.7250000000000001</v>
      </c>
      <c r="P171" s="725">
        <f t="shared" ca="1" si="241"/>
        <v>0.25106499999999998</v>
      </c>
      <c r="Q171" s="299">
        <f t="shared" ca="1" si="242"/>
        <v>3.9381527777777778</v>
      </c>
      <c r="R171" s="81">
        <v>3.1536000000000002E-2</v>
      </c>
      <c r="S171" s="199">
        <v>0.5</v>
      </c>
      <c r="T171" s="199">
        <f ca="1">HLOOKUP($T$2,INDIRECT("'"&amp;$B171&amp;"'!"&amp;"$P$6:$AC$19"),IF(H171=$AI$13,6,IF(H171=$AI$14,9,14)),FALSE)</f>
        <v>1</v>
      </c>
      <c r="U171" s="772"/>
      <c r="V171" s="199">
        <f t="shared" ref="V171" ca="1" si="250">IF(IF(RIGHT(H171,2)="PH",(1-L171)+$W$2,IF(RIGHT(H171,2)="HT",(1-L171)+$W$1,IF(RIGHT(H171,2)="SH",(1-L171)+$W$3,"")))&gt;0,IF(RIGHT(H171,2)="PH",(1-L171)+$W$2,IF(RIGHT(H171,2)="HT",(1-L171)+$W$1,IF(RIGHT(H171,2)="SH",(1-L171)+$W$3,""))),0)</f>
        <v>0.84399999999999986</v>
      </c>
      <c r="W171" s="298"/>
      <c r="X171" s="698">
        <f t="shared" ca="1" si="222"/>
        <v>8</v>
      </c>
      <c r="Y171" s="299">
        <f t="shared" ca="1" si="244"/>
        <v>35</v>
      </c>
      <c r="Z171" s="299">
        <f t="shared" ca="1" si="245"/>
        <v>1.5</v>
      </c>
      <c r="AA171" s="299">
        <f t="shared" ca="1" si="246"/>
        <v>0.8</v>
      </c>
      <c r="AB171" s="299">
        <f t="shared" ca="1" si="247"/>
        <v>2.1</v>
      </c>
      <c r="AD171" s="81">
        <v>2020</v>
      </c>
      <c r="AE171" s="273"/>
      <c r="AF171" s="828"/>
    </row>
    <row r="172" spans="1:32">
      <c r="A172" s="169"/>
      <c r="B172" s="718" t="s">
        <v>1099</v>
      </c>
      <c r="C172" s="226"/>
      <c r="D172" s="261"/>
      <c r="E172" s="261"/>
      <c r="F172" s="224" t="s">
        <v>1149</v>
      </c>
      <c r="G172" s="55"/>
      <c r="H172" s="174"/>
      <c r="I172" s="174" t="str">
        <f t="shared" si="145"/>
        <v>INDAWH</v>
      </c>
      <c r="J172" s="224">
        <f t="shared" si="148"/>
        <v>2030</v>
      </c>
      <c r="K172" s="81"/>
      <c r="L172" s="333">
        <f t="shared" ca="1" si="239"/>
        <v>0.35600000000000004</v>
      </c>
      <c r="M172" s="772"/>
      <c r="N172" s="200"/>
      <c r="O172" s="725">
        <f t="shared" ca="1" si="240"/>
        <v>3.4699403462447704</v>
      </c>
      <c r="P172" s="725">
        <f t="shared" ca="1" si="241"/>
        <v>0.24287</v>
      </c>
      <c r="Q172" s="299">
        <f t="shared" ca="1" si="242"/>
        <v>3.9836805555555559</v>
      </c>
      <c r="R172" s="823"/>
      <c r="S172" s="300"/>
      <c r="T172" s="300"/>
      <c r="U172" s="300"/>
      <c r="V172" s="199">
        <f t="shared" ref="V172" ca="1" si="251">IF(IF(RIGHT(H171,2)="PH",(1-L172)+$W$2,IF(RIGHT(H171,2)="HT",(1-L172)+$W$1,IF(RIGHT(H171,2)="SH",(1-L172)+$W$3,"")))&gt;0,IF(RIGHT(H171,2)="PH",(1-L172)+$W$2,IF(RIGHT(H171,2)="HT",(1-L172)+$W$1,IF(RIGHT(H171,2)="SH",(1-L172)+$W$3,""))),0)</f>
        <v>0.84399999999999986</v>
      </c>
      <c r="W172" s="298"/>
      <c r="X172" s="698">
        <f t="shared" ca="1" si="222"/>
        <v>8</v>
      </c>
      <c r="Y172" s="299">
        <f t="shared" ca="1" si="244"/>
        <v>35</v>
      </c>
      <c r="Z172" s="299">
        <f t="shared" ca="1" si="245"/>
        <v>1.5</v>
      </c>
      <c r="AA172" s="299">
        <f t="shared" ca="1" si="246"/>
        <v>0.8</v>
      </c>
      <c r="AB172" s="299">
        <f t="shared" ca="1" si="247"/>
        <v>2.1</v>
      </c>
      <c r="AD172" s="81">
        <v>2030</v>
      </c>
      <c r="AE172" s="273"/>
      <c r="AF172" s="828"/>
    </row>
    <row r="173" spans="1:32">
      <c r="A173" s="169"/>
      <c r="B173" s="718" t="s">
        <v>1099</v>
      </c>
      <c r="C173" s="226"/>
      <c r="D173" s="261"/>
      <c r="E173" s="261"/>
      <c r="F173" s="224" t="s">
        <v>1149</v>
      </c>
      <c r="G173" s="55"/>
      <c r="H173" s="174"/>
      <c r="I173" s="174" t="str">
        <f t="shared" si="145"/>
        <v>INDAWH</v>
      </c>
      <c r="J173" s="224">
        <f t="shared" si="148"/>
        <v>2050</v>
      </c>
      <c r="K173" s="81"/>
      <c r="L173" s="333">
        <f t="shared" ca="1" si="239"/>
        <v>0.36400000000000005</v>
      </c>
      <c r="M173" s="772"/>
      <c r="N173" s="200"/>
      <c r="O173" s="725">
        <f t="shared" ca="1" si="240"/>
        <v>3.2813985758696647</v>
      </c>
      <c r="P173" s="725">
        <f t="shared" ca="1" si="241"/>
        <v>0.22797000000000001</v>
      </c>
      <c r="Q173" s="299">
        <f t="shared" ca="1" si="242"/>
        <v>4.0064444444444449</v>
      </c>
      <c r="R173" s="823"/>
      <c r="S173" s="300"/>
      <c r="T173" s="300"/>
      <c r="U173" s="300"/>
      <c r="V173" s="199">
        <f t="shared" ref="V173" ca="1" si="252">IF(IF(RIGHT(H171,2)="PH",(1-L173)+$W$2,IF(RIGHT(H171,2)="HT",(1-L173)+$W$1,IF(RIGHT(H171,2)="SH",(1-L173)+$W$3,"")))&gt;0,IF(RIGHT(H171,2)="PH",(1-L173)+$W$2,IF(RIGHT(H171,2)="HT",(1-L173)+$W$1,IF(RIGHT(H171,2)="SH",(1-L173)+$W$3,""))),0)</f>
        <v>0.83599999999999985</v>
      </c>
      <c r="W173" s="298"/>
      <c r="X173" s="698">
        <f t="shared" ca="1" si="222"/>
        <v>8</v>
      </c>
      <c r="Y173" s="299">
        <f t="shared" ca="1" si="244"/>
        <v>35</v>
      </c>
      <c r="Z173" s="299">
        <f t="shared" ca="1" si="245"/>
        <v>1.5</v>
      </c>
      <c r="AA173" s="299">
        <f t="shared" ca="1" si="246"/>
        <v>0.8</v>
      </c>
      <c r="AB173" s="299">
        <f t="shared" ca="1" si="247"/>
        <v>2.1</v>
      </c>
      <c r="AD173" s="81">
        <v>2050</v>
      </c>
      <c r="AE173" s="273"/>
      <c r="AF173" s="828"/>
    </row>
    <row r="174" spans="1:32">
      <c r="A174" s="169"/>
      <c r="B174" s="718" t="s">
        <v>1099</v>
      </c>
      <c r="C174" s="226"/>
      <c r="D174" s="261" t="str">
        <f>"IND"&amp;RIGHT(H174,4)&amp;RIGHT(G174,3)&amp;"N"&amp;RIGHT(E174,1)</f>
        <v>INDADSHCOAN1</v>
      </c>
      <c r="E174" s="261" t="str">
        <f>"Industrial heating technology "&amp;$AJ$12&amp;" "&amp;RIGHT(H174,2)&amp;" - Coal boiler (Steam) - new 1"</f>
        <v>Industrial heating technology Aluminium SH - Coal boiler (Steam) - new 1</v>
      </c>
      <c r="F174" s="224" t="s">
        <v>1149</v>
      </c>
      <c r="G174" s="55" t="s">
        <v>617</v>
      </c>
      <c r="H174" s="174" t="str">
        <f>$AI$15</f>
        <v>IADSH</v>
      </c>
      <c r="I174" s="174" t="str">
        <f t="shared" si="145"/>
        <v>INDAWH</v>
      </c>
      <c r="J174" s="224">
        <f t="shared" si="148"/>
        <v>2011</v>
      </c>
      <c r="K174" s="299">
        <v>2025</v>
      </c>
      <c r="L174" s="199">
        <f t="shared" ref="L174:L176" ca="1" si="253">VLOOKUP($AD174,INDIRECT("'"&amp;$B174&amp;"'!"&amp;"$P$39:$AD$42"),3,FALSE)</f>
        <v>0.89</v>
      </c>
      <c r="M174" s="199"/>
      <c r="N174" s="81">
        <f ca="1">VLOOKUP($AD174,INDIRECT("'"&amp;$B174&amp;"'!"&amp;"$P$39:$AD$42"),5,FALSE)</f>
        <v>25</v>
      </c>
      <c r="O174" s="725">
        <f t="shared" ca="1" si="240"/>
        <v>3.7250000000000001</v>
      </c>
      <c r="P174" s="725">
        <f t="shared" ca="1" si="241"/>
        <v>0.25106499999999998</v>
      </c>
      <c r="Q174" s="299">
        <f t="shared" ca="1" si="242"/>
        <v>3.9381527777777778</v>
      </c>
      <c r="R174" s="81">
        <v>3.1536000000000002E-2</v>
      </c>
      <c r="S174" s="199">
        <v>0.5</v>
      </c>
      <c r="T174" s="199">
        <f ca="1">HLOOKUP($T$2,INDIRECT("'"&amp;$B174&amp;"'!"&amp;"$P$6:$AC$19"),IF(H174=$AI$13,6,IF(H174=$AI$14,9,14)),FALSE)</f>
        <v>1</v>
      </c>
      <c r="U174" s="772"/>
      <c r="V174" s="199">
        <f t="shared" ref="V174" ca="1" si="254">IF(IF(RIGHT(H174,2)="PH",(1-L174)+$W$2,IF(RIGHT(H174,2)="HT",(1-L174)+$W$1,IF(RIGHT(H174,2)="SH",(1-L174)+$W$3,"")))&gt;0,IF(RIGHT(H174,2)="PH",(1-L174)+$W$2,IF(RIGHT(H174,2)="HT",(1-L174)+$W$1,IF(RIGHT(H174,2)="SH",(1-L174)+$W$3,""))),0)</f>
        <v>0.10999999999999999</v>
      </c>
      <c r="W174" s="298"/>
      <c r="X174" s="698">
        <f t="shared" ca="1" si="222"/>
        <v>8</v>
      </c>
      <c r="Y174" s="299">
        <f t="shared" ca="1" si="244"/>
        <v>35</v>
      </c>
      <c r="Z174" s="299">
        <f t="shared" ca="1" si="245"/>
        <v>1.5</v>
      </c>
      <c r="AA174" s="299">
        <f t="shared" ca="1" si="246"/>
        <v>0.8</v>
      </c>
      <c r="AB174" s="299">
        <f t="shared" ca="1" si="247"/>
        <v>2.1</v>
      </c>
      <c r="AD174" s="81">
        <v>2020</v>
      </c>
      <c r="AE174" s="273"/>
      <c r="AF174" s="828"/>
    </row>
    <row r="175" spans="1:32">
      <c r="A175" s="169"/>
      <c r="B175" s="718" t="s">
        <v>1099</v>
      </c>
      <c r="C175" s="226"/>
      <c r="D175" s="261"/>
      <c r="E175" s="261"/>
      <c r="F175" s="224" t="s">
        <v>1149</v>
      </c>
      <c r="G175" s="55"/>
      <c r="H175" s="174"/>
      <c r="I175" s="174" t="str">
        <f t="shared" si="145"/>
        <v>INDAWH</v>
      </c>
      <c r="J175" s="224">
        <f t="shared" si="148"/>
        <v>2030</v>
      </c>
      <c r="K175" s="81"/>
      <c r="L175" s="199">
        <f t="shared" ca="1" si="253"/>
        <v>0.89</v>
      </c>
      <c r="M175" s="772"/>
      <c r="N175" s="200"/>
      <c r="O175" s="725">
        <f t="shared" ca="1" si="240"/>
        <v>3.4699403462447704</v>
      </c>
      <c r="P175" s="725">
        <f t="shared" ca="1" si="241"/>
        <v>0.24287</v>
      </c>
      <c r="Q175" s="299">
        <f t="shared" ca="1" si="242"/>
        <v>3.9836805555555559</v>
      </c>
      <c r="R175" s="823"/>
      <c r="S175" s="300"/>
      <c r="T175" s="300"/>
      <c r="U175" s="300"/>
      <c r="V175" s="199">
        <f t="shared" ref="V175" ca="1" si="255">IF(IF(RIGHT(H174,2)="PH",(1-L175)+$W$2,IF(RIGHT(H174,2)="HT",(1-L175)+$W$1,IF(RIGHT(H174,2)="SH",(1-L175)+$W$3,"")))&gt;0,IF(RIGHT(H174,2)="PH",(1-L175)+$W$2,IF(RIGHT(H174,2)="HT",(1-L175)+$W$1,IF(RIGHT(H174,2)="SH",(1-L175)+$W$3,""))),0)</f>
        <v>0.10999999999999999</v>
      </c>
      <c r="W175" s="298"/>
      <c r="X175" s="698">
        <f t="shared" ca="1" si="222"/>
        <v>8</v>
      </c>
      <c r="Y175" s="299">
        <f t="shared" ca="1" si="244"/>
        <v>35</v>
      </c>
      <c r="Z175" s="299">
        <f t="shared" ca="1" si="245"/>
        <v>1.5</v>
      </c>
      <c r="AA175" s="299">
        <f t="shared" ca="1" si="246"/>
        <v>0.8</v>
      </c>
      <c r="AB175" s="299">
        <f t="shared" ca="1" si="247"/>
        <v>2.1</v>
      </c>
      <c r="AD175" s="81">
        <v>2030</v>
      </c>
      <c r="AE175" s="273"/>
      <c r="AF175" s="828"/>
    </row>
    <row r="176" spans="1:32">
      <c r="A176" s="169"/>
      <c r="B176" s="719" t="s">
        <v>1099</v>
      </c>
      <c r="C176" s="713"/>
      <c r="D176" s="701"/>
      <c r="E176" s="701"/>
      <c r="F176" s="224" t="s">
        <v>1149</v>
      </c>
      <c r="G176" s="203"/>
      <c r="H176" s="702"/>
      <c r="I176" s="702" t="str">
        <f t="shared" si="145"/>
        <v>INDAWH</v>
      </c>
      <c r="J176" s="224">
        <f t="shared" si="148"/>
        <v>2050</v>
      </c>
      <c r="K176" s="81"/>
      <c r="L176" s="199">
        <f t="shared" ca="1" si="253"/>
        <v>0.91</v>
      </c>
      <c r="M176" s="826"/>
      <c r="N176" s="825"/>
      <c r="O176" s="725">
        <f t="shared" ca="1" si="240"/>
        <v>3.2813985758696647</v>
      </c>
      <c r="P176" s="725">
        <f t="shared" ca="1" si="241"/>
        <v>0.22797000000000001</v>
      </c>
      <c r="Q176" s="299">
        <f t="shared" ca="1" si="242"/>
        <v>4.0064444444444449</v>
      </c>
      <c r="R176" s="722"/>
      <c r="S176" s="703"/>
      <c r="T176" s="703"/>
      <c r="U176" s="703"/>
      <c r="V176" s="199">
        <f t="shared" ref="V176" ca="1" si="256">IF(IF(RIGHT(H174,2)="PH",(1-L176)+$W$2,IF(RIGHT(H174,2)="HT",(1-L176)+$W$1,IF(RIGHT(H174,2)="SH",(1-L176)+$W$3,"")))&gt;0,IF(RIGHT(H174,2)="PH",(1-L176)+$W$2,IF(RIGHT(H174,2)="HT",(1-L176)+$W$1,IF(RIGHT(H174,2)="SH",(1-L176)+$W$3,""))),0)</f>
        <v>8.9999999999999969E-2</v>
      </c>
      <c r="W176" s="704"/>
      <c r="X176" s="698">
        <f t="shared" ca="1" si="222"/>
        <v>8</v>
      </c>
      <c r="Y176" s="299">
        <f t="shared" ca="1" si="244"/>
        <v>35</v>
      </c>
      <c r="Z176" s="299">
        <f t="shared" ca="1" si="245"/>
        <v>1.5</v>
      </c>
      <c r="AA176" s="299">
        <f t="shared" ca="1" si="246"/>
        <v>0.8</v>
      </c>
      <c r="AB176" s="299">
        <f t="shared" ca="1" si="247"/>
        <v>2.1</v>
      </c>
      <c r="AC176" s="203"/>
      <c r="AD176" s="81">
        <v>2050</v>
      </c>
      <c r="AE176" s="273"/>
      <c r="AF176" s="829"/>
    </row>
    <row r="177" spans="1:32">
      <c r="A177" s="169"/>
      <c r="B177" s="718" t="s">
        <v>1099</v>
      </c>
      <c r="C177" s="226"/>
      <c r="D177" s="707" t="str">
        <f>"IND"&amp;RIGHT(H177,4)&amp;RIGHT(G177,3)&amp;"N"&amp;RIGHT(E177,1)</f>
        <v>INDADPHCOAN2</v>
      </c>
      <c r="E177" s="261" t="str">
        <f>"Industrial heating technology "&amp;$AJ$12&amp;" "&amp;RIGHT(H177,2)&amp;" - Coal boiler (Hot Water) - new 2"</f>
        <v>Industrial heating technology Aluminium PH - Coal boiler (Hot Water) - new 2</v>
      </c>
      <c r="F177" s="224" t="s">
        <v>1149</v>
      </c>
      <c r="G177" s="55" t="s">
        <v>617</v>
      </c>
      <c r="H177" s="174" t="str">
        <f>$AI$14</f>
        <v>IADPH</v>
      </c>
      <c r="I177" s="174" t="str">
        <f t="shared" si="145"/>
        <v>INDAWH</v>
      </c>
      <c r="J177" s="224">
        <f t="shared" si="148"/>
        <v>2011</v>
      </c>
      <c r="K177" s="299">
        <v>2025</v>
      </c>
      <c r="L177" s="333">
        <f ca="1">VLOOKUP($AD177,INDIRECT("'"&amp;$B177&amp;"'!"&amp;"$P$118:$AD$121"),3,FALSE)*0.4</f>
        <v>0.35600000000000004</v>
      </c>
      <c r="M177" s="199"/>
      <c r="N177" s="81">
        <f ca="1">VLOOKUP($AD177,INDIRECT("'"&amp;$B177&amp;"'!"&amp;"$P$118:$AD$121"),5,FALSE)</f>
        <v>25</v>
      </c>
      <c r="O177" s="723">
        <f t="shared" ref="O177:O182" ca="1" si="257">VLOOKUP($AD177,INDIRECT("'"&amp;$B177&amp;"'!"&amp;"$P$118:$AD$121"),6,FALSE)/1000</f>
        <v>3.7250000000000001</v>
      </c>
      <c r="P177" s="723">
        <f t="shared" ref="P177:P182" ca="1" si="258">VLOOKUP($AD177,INDIRECT("'"&amp;$B177&amp;"'!"&amp;"$P$118:$AD$121"),7,FALSE)/1000</f>
        <v>0.25106499999999998</v>
      </c>
      <c r="Q177" s="81">
        <f t="shared" ref="Q177:Q182" ca="1" si="259">VLOOKUP($AD177,INDIRECT("'"&amp;$B177&amp;"'!"&amp;"$P$118:$AD$121"),8,FALSE)</f>
        <v>3.9381527777777778</v>
      </c>
      <c r="R177" s="81">
        <v>3.1536000000000002E-2</v>
      </c>
      <c r="S177" s="199">
        <v>0.5</v>
      </c>
      <c r="T177" s="199">
        <f ca="1">HLOOKUP($T$2,INDIRECT("'"&amp;$B177&amp;"'!"&amp;"$P$85:$AC$98"),IF(H177=$AI$13,6,IF(H177=$AI$14,9,14)),FALSE)</f>
        <v>0</v>
      </c>
      <c r="U177" s="773"/>
      <c r="V177" s="199">
        <f t="shared" ref="V177" ca="1" si="260">IF(IF(RIGHT(H177,2)="PH",(1-L177)+$W$2,IF(RIGHT(H177,2)="HT",(1-L177)+$W$1,IF(RIGHT(H177,2)="SH",(1-L177)+$W$3,"")))&gt;0,IF(RIGHT(H177,2)="PH",(1-L177)+$W$2,IF(RIGHT(H177,2)="HT",(1-L177)+$W$1,IF(RIGHT(H177,2)="SH",(1-L177)+$W$3,""))),0)</f>
        <v>0.84399999999999986</v>
      </c>
      <c r="W177" s="709"/>
      <c r="X177" s="698">
        <f t="shared" ca="1" si="222"/>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5"/>
        <v>INDAWH</v>
      </c>
      <c r="J178" s="224">
        <f t="shared" si="148"/>
        <v>2030</v>
      </c>
      <c r="K178" s="81"/>
      <c r="L178" s="333">
        <f ca="1">VLOOKUP($AD178,INDIRECT("'"&amp;$B178&amp;"'!"&amp;"$P$118:$AD$121"),3,FALSE)*0.4</f>
        <v>0.35600000000000004</v>
      </c>
      <c r="M178" s="772"/>
      <c r="N178" s="200"/>
      <c r="O178" s="723">
        <f t="shared" ca="1" si="257"/>
        <v>3.7250000000000001</v>
      </c>
      <c r="P178" s="723">
        <f t="shared" ca="1" si="258"/>
        <v>0.24287</v>
      </c>
      <c r="Q178" s="81">
        <f t="shared" ca="1" si="259"/>
        <v>3.9836805555555559</v>
      </c>
      <c r="R178" s="823"/>
      <c r="S178" s="300"/>
      <c r="T178" s="300"/>
      <c r="U178" s="300"/>
      <c r="V178" s="199">
        <f t="shared" ref="V178" ca="1" si="261">IF(IF(RIGHT(H177,2)="PH",(1-L178)+$W$2,IF(RIGHT(H177,2)="HT",(1-L178)+$W$1,IF(RIGHT(H177,2)="SH",(1-L178)+$W$3,"")))&gt;0,IF(RIGHT(H177,2)="PH",(1-L178)+$W$2,IF(RIGHT(H177,2)="HT",(1-L178)+$W$1,IF(RIGHT(H177,2)="SH",(1-L178)+$W$3,""))),0)</f>
        <v>0.84399999999999986</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5"/>
        <v>INDAWH</v>
      </c>
      <c r="J179" s="224">
        <f t="shared" si="148"/>
        <v>2050</v>
      </c>
      <c r="K179" s="81"/>
      <c r="L179" s="333">
        <f ca="1">VLOOKUP($AD179,INDIRECT("'"&amp;$B179&amp;"'!"&amp;"$P$118:$AD$121"),3,FALSE)*0.4</f>
        <v>0.36400000000000005</v>
      </c>
      <c r="M179" s="772"/>
      <c r="N179" s="200"/>
      <c r="O179" s="723">
        <f t="shared" ca="1" si="257"/>
        <v>3.7250000000000001</v>
      </c>
      <c r="P179" s="723">
        <f t="shared" ca="1" si="258"/>
        <v>0.22797000000000001</v>
      </c>
      <c r="Q179" s="81">
        <f t="shared" ca="1" si="259"/>
        <v>4.0064444444444449</v>
      </c>
      <c r="R179" s="823"/>
      <c r="S179" s="300"/>
      <c r="T179" s="300"/>
      <c r="U179" s="300"/>
      <c r="V179" s="199">
        <f t="shared" ref="V179" ca="1" si="262">IF(IF(RIGHT(H177,2)="PH",(1-L179)+$W$2,IF(RIGHT(H177,2)="HT",(1-L179)+$W$1,IF(RIGHT(H177,2)="SH",(1-L179)+$W$3,"")))&gt;0,IF(RIGHT(H177,2)="PH",(1-L179)+$W$2,IF(RIGHT(H177,2)="HT",(1-L179)+$W$1,IF(RIGHT(H177,2)="SH",(1-L179)+$W$3,""))),0)</f>
        <v>0.83599999999999985</v>
      </c>
      <c r="W179" s="298"/>
      <c r="X179" s="824"/>
      <c r="Y179" s="824"/>
      <c r="Z179" s="824"/>
      <c r="AA179" s="824"/>
      <c r="AB179" s="824"/>
      <c r="AD179" s="81">
        <v>2050</v>
      </c>
      <c r="AE179" s="273"/>
      <c r="AF179" s="828"/>
    </row>
    <row r="180" spans="1:32">
      <c r="A180" s="169"/>
      <c r="B180" s="718" t="s">
        <v>1099</v>
      </c>
      <c r="C180" s="226"/>
      <c r="D180" s="261" t="str">
        <f>"IND"&amp;RIGHT(H180,4)&amp;RIGHT(G180,3)&amp;"N"&amp;RIGHT(E180,1)</f>
        <v>INDADSHCOAN2</v>
      </c>
      <c r="E180" s="261" t="str">
        <f>"Industrial heating technology "&amp;$AJ$12&amp;" "&amp;RIGHT(H180,2)&amp;" - Coal boiler (Hot Water) - new 2"</f>
        <v>Industrial heating technology Aluminium SH - Coal boiler (Hot Water) - new 2</v>
      </c>
      <c r="F180" s="224" t="s">
        <v>1149</v>
      </c>
      <c r="G180" s="55" t="s">
        <v>617</v>
      </c>
      <c r="H180" s="174" t="str">
        <f>$AI$15</f>
        <v>IADSH</v>
      </c>
      <c r="I180" s="174" t="str">
        <f t="shared" si="145"/>
        <v>INDAWH</v>
      </c>
      <c r="J180" s="224">
        <f t="shared" si="148"/>
        <v>2011</v>
      </c>
      <c r="K180" s="299">
        <v>2025</v>
      </c>
      <c r="L180" s="199">
        <f t="shared" ref="L180:L182" ca="1" si="263">VLOOKUP($AD180,INDIRECT("'"&amp;$B180&amp;"'!"&amp;"$P$118:$AD$121"),3,FALSE)</f>
        <v>0.89</v>
      </c>
      <c r="M180" s="199"/>
      <c r="N180" s="81">
        <f ca="1">VLOOKUP($AD180,INDIRECT("'"&amp;$B180&amp;"'!"&amp;"$P$118:$AD$121"),5,FALSE)</f>
        <v>25</v>
      </c>
      <c r="O180" s="723">
        <f t="shared" ca="1" si="257"/>
        <v>3.7250000000000001</v>
      </c>
      <c r="P180" s="723">
        <f t="shared" ca="1" si="258"/>
        <v>0.25106499999999998</v>
      </c>
      <c r="Q180" s="81">
        <f t="shared" ca="1" si="259"/>
        <v>3.9381527777777778</v>
      </c>
      <c r="R180" s="81">
        <v>3.1536000000000002E-2</v>
      </c>
      <c r="S180" s="199">
        <v>0.5</v>
      </c>
      <c r="T180" s="199">
        <f ca="1">HLOOKUP($T$2,INDIRECT("'"&amp;$B180&amp;"'!"&amp;"$P$85:$AC$98"),IF(H180=$AI$13,6,IF(H180=$AI$14,9,14)),FALSE)</f>
        <v>1</v>
      </c>
      <c r="U180" s="773"/>
      <c r="V180" s="199">
        <f t="shared" ref="V180" ca="1" si="264">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5"/>
        <v>INDAWH</v>
      </c>
      <c r="J181" s="224">
        <f t="shared" si="148"/>
        <v>2030</v>
      </c>
      <c r="K181" s="200"/>
      <c r="L181" s="199">
        <f t="shared" ca="1" si="263"/>
        <v>0.89</v>
      </c>
      <c r="M181" s="772"/>
      <c r="N181" s="200"/>
      <c r="O181" s="723">
        <f t="shared" ca="1" si="257"/>
        <v>3.7250000000000001</v>
      </c>
      <c r="P181" s="723">
        <f t="shared" ca="1" si="258"/>
        <v>0.24287</v>
      </c>
      <c r="Q181" s="81">
        <f t="shared" ca="1" si="259"/>
        <v>3.9836805555555559</v>
      </c>
      <c r="R181" s="823"/>
      <c r="S181" s="300"/>
      <c r="T181" s="300"/>
      <c r="U181" s="300"/>
      <c r="V181" s="199">
        <f t="shared" ref="V181" ca="1" si="265">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5"/>
        <v>INDAWH</v>
      </c>
      <c r="J182" s="224">
        <f t="shared" si="148"/>
        <v>2050</v>
      </c>
      <c r="K182" s="825"/>
      <c r="L182" s="199">
        <f t="shared" ca="1" si="263"/>
        <v>0.91</v>
      </c>
      <c r="M182" s="826"/>
      <c r="N182" s="825"/>
      <c r="O182" s="723">
        <f t="shared" ca="1" si="257"/>
        <v>3.7250000000000001</v>
      </c>
      <c r="P182" s="723">
        <f t="shared" ca="1" si="258"/>
        <v>0.22797000000000001</v>
      </c>
      <c r="Q182" s="81">
        <f t="shared" ca="1" si="259"/>
        <v>4.0064444444444449</v>
      </c>
      <c r="R182" s="722"/>
      <c r="S182" s="703"/>
      <c r="T182" s="703"/>
      <c r="U182" s="703"/>
      <c r="V182" s="199">
        <f t="shared" ref="V182" ca="1" si="266">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INDADSHSOLN1</v>
      </c>
      <c r="E183" s="261" t="str">
        <f>"Industrial heating technology "&amp;$AJ$12&amp;" "&amp;RIGHT(H183,2)&amp;" - Solar - new 1"</f>
        <v>Industrial heating technology Aluminium SH - Solar - new 1</v>
      </c>
      <c r="F183" s="224" t="s">
        <v>1149</v>
      </c>
      <c r="G183" s="55" t="s">
        <v>500</v>
      </c>
      <c r="H183" s="174" t="str">
        <f>$AI$15</f>
        <v>IADSH</v>
      </c>
      <c r="I183" s="174"/>
      <c r="J183" s="224">
        <f t="shared" si="148"/>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8"/>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8"/>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8"/>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7">"IND"&amp;RIGHT(H187,4)&amp;RIGHT(G187,3)&amp;"N"&amp;RIGHT(E187,1)</f>
        <v>INDADSHHCEN1</v>
      </c>
      <c r="E187" s="224" t="str">
        <f>"Industrial heating technology "&amp;$AJ$12&amp;" "&amp;RIGHT(H187,2)&amp;" - central district heating - within DH area - new 1"</f>
        <v>Industrial heating technology Aluminium SH - central district heating - within DH area - new 1</v>
      </c>
      <c r="F187" s="224" t="s">
        <v>1149</v>
      </c>
      <c r="G187" s="225" t="s">
        <v>501</v>
      </c>
      <c r="H187" s="225" t="str">
        <f>AI15</f>
        <v>IADSH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7"/>
        <v>INDADPHHCEN1</v>
      </c>
      <c r="E188" s="224" t="str">
        <f>"Industrial heating technology "&amp;$AJ$12&amp;" "&amp;RIGHT(H188,2)&amp;" - central district heating - within DH area - new 1"</f>
        <v>Industrial heating technology Aluminium PH - central district heating - within DH area - new 1</v>
      </c>
      <c r="F188" s="224" t="s">
        <v>1149</v>
      </c>
      <c r="G188" s="225" t="s">
        <v>501</v>
      </c>
      <c r="H188" s="281" t="str">
        <f>AI14</f>
        <v>IADPH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v>
      </c>
      <c r="U188" s="228"/>
      <c r="V188" s="228"/>
      <c r="W188" s="287"/>
      <c r="X188" s="278"/>
      <c r="Y188" s="61"/>
      <c r="Z188" s="61"/>
      <c r="AA188" s="61"/>
      <c r="AB188" s="61"/>
      <c r="AC188" s="226"/>
      <c r="AD188" s="226"/>
      <c r="AE188" s="226"/>
      <c r="AF188" s="226"/>
    </row>
    <row r="189" spans="1:32">
      <c r="A189" s="169"/>
      <c r="D189" s="212" t="str">
        <f t="shared" si="267"/>
        <v>INDADSHHSEN1</v>
      </c>
      <c r="E189" s="224" t="str">
        <f>"Industrial heating technology "&amp;$AJ$12&amp;" "&amp;RIGHT(H189,2)&amp;" - central district heating - within DH area - new 1"</f>
        <v>Industrial heating technology Aluminium SH - central district heating - within DH area - new 1</v>
      </c>
      <c r="F189" s="224" t="s">
        <v>1149</v>
      </c>
      <c r="G189" s="225" t="s">
        <v>2125</v>
      </c>
      <c r="H189" s="225" t="str">
        <f>H187</f>
        <v>IADSH</v>
      </c>
      <c r="I189" s="225"/>
      <c r="J189" s="81">
        <f t="shared" ref="J189:L190" si="268">J187</f>
        <v>2011</v>
      </c>
      <c r="K189" s="81">
        <f t="shared" si="268"/>
        <v>2025</v>
      </c>
      <c r="L189" s="81">
        <f t="shared" si="268"/>
        <v>0.96</v>
      </c>
      <c r="M189" s="81"/>
      <c r="N189" s="81">
        <f t="shared" ref="N189:S190" si="269">N187</f>
        <v>30</v>
      </c>
      <c r="O189" s="81">
        <f t="shared" si="269"/>
        <v>1.17</v>
      </c>
      <c r="P189" s="81">
        <f t="shared" si="269"/>
        <v>5.8735799999999998E-2</v>
      </c>
      <c r="Q189" s="81">
        <f t="shared" ca="1" si="269"/>
        <v>1.9463124999999999</v>
      </c>
      <c r="R189" s="81">
        <f t="shared" si="269"/>
        <v>3.1536000000000002E-2</v>
      </c>
      <c r="S189" s="81">
        <f t="shared" si="269"/>
        <v>0.5</v>
      </c>
      <c r="T189" s="228"/>
      <c r="U189" s="228"/>
      <c r="V189" s="228"/>
      <c r="W189" s="287"/>
      <c r="X189" s="278"/>
      <c r="Y189" s="61"/>
      <c r="Z189" s="61"/>
      <c r="AA189" s="61"/>
      <c r="AB189" s="61"/>
    </row>
    <row r="190" spans="1:32">
      <c r="A190" s="169"/>
      <c r="D190" s="212" t="str">
        <f t="shared" si="267"/>
        <v>INDADPHHSEN1</v>
      </c>
      <c r="E190" s="224" t="str">
        <f>"Industrial heating technology "&amp;$AJ$12&amp;" "&amp;RIGHT(H190,2)&amp;" - central district heating - within DH area - new 1"</f>
        <v>Industrial heating technology Aluminium PH - central district heating - within DH area - new 1</v>
      </c>
      <c r="F190" s="224" t="s">
        <v>1149</v>
      </c>
      <c r="G190" s="225" t="s">
        <v>2125</v>
      </c>
      <c r="H190" s="225" t="str">
        <f>H188</f>
        <v>IADPH</v>
      </c>
      <c r="I190" s="281"/>
      <c r="J190" s="81">
        <f t="shared" si="268"/>
        <v>2011</v>
      </c>
      <c r="K190" s="81">
        <f t="shared" si="268"/>
        <v>2025</v>
      </c>
      <c r="L190" s="81">
        <f t="shared" si="268"/>
        <v>0.96</v>
      </c>
      <c r="M190" s="81"/>
      <c r="N190" s="81">
        <f t="shared" si="269"/>
        <v>30</v>
      </c>
      <c r="O190" s="81">
        <f t="shared" si="269"/>
        <v>1.17</v>
      </c>
      <c r="P190" s="81">
        <f t="shared" si="269"/>
        <v>5.8735799999999998E-2</v>
      </c>
      <c r="Q190" s="81">
        <f t="shared" ca="1" si="269"/>
        <v>6.4090694444444436</v>
      </c>
      <c r="R190" s="81">
        <f t="shared" si="269"/>
        <v>3.1536000000000002E-2</v>
      </c>
      <c r="S190" s="81">
        <f t="shared" si="269"/>
        <v>0.5</v>
      </c>
      <c r="T190" s="81">
        <v>0</v>
      </c>
      <c r="U190" s="228"/>
      <c r="V190" s="228"/>
      <c r="W190" s="287"/>
      <c r="X190" s="278"/>
      <c r="Y190" s="61"/>
      <c r="Z190" s="61"/>
      <c r="AA190" s="61"/>
      <c r="AB190" s="61"/>
      <c r="AC190" s="226"/>
      <c r="AD190" s="226"/>
      <c r="AE190" s="226"/>
      <c r="AF190" s="226"/>
    </row>
    <row r="191" spans="1:32">
      <c r="A191" s="169"/>
      <c r="D191" s="212" t="str">
        <f t="shared" si="267"/>
        <v>INDADSHHDEN1</v>
      </c>
      <c r="E191" s="224" t="str">
        <f>"Industrial heating technology "&amp;$AJ$12&amp;" "&amp;RIGHT(H191,2)&amp;" - decentral district heating - within DH area - new 1"</f>
        <v>Industrial heating technology Aluminium SH - decentral district heating - within DH area - new 1</v>
      </c>
      <c r="F191" s="224" t="s">
        <v>1149</v>
      </c>
      <c r="G191" s="259" t="s">
        <v>502</v>
      </c>
      <c r="H191" s="265" t="str">
        <f>AI15</f>
        <v>IADSH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7"/>
        <v>INDADPHHDEN1</v>
      </c>
      <c r="E192" s="224" t="str">
        <f>"Industrial heating technology "&amp;$AJ$12&amp;" "&amp;RIGHT(H192,2)&amp;" - decentral district heating - within DH area - new 1"</f>
        <v>Industrial heating technology Aluminium PH - decentral district heating - within DH area - new 1</v>
      </c>
      <c r="F192" s="224" t="s">
        <v>1149</v>
      </c>
      <c r="G192" s="259" t="s">
        <v>502</v>
      </c>
      <c r="H192" s="225" t="str">
        <f>AI14</f>
        <v>IADPH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INDADLAELCN1</v>
      </c>
      <c r="E194" s="224" t="str">
        <f>"Industry "&amp;$AJ$12&amp;" "&amp;RIGHT(H194,2)&amp;" Electricity Light Appliance - New 1"</f>
        <v>Industry Aluminium LA Electricity Light Appliance - New 1</v>
      </c>
      <c r="F194" s="224" t="s">
        <v>1149</v>
      </c>
      <c r="G194" s="225" t="s">
        <v>499</v>
      </c>
      <c r="H194" s="225" t="str">
        <f>AI16</f>
        <v>IADLA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INDADEMELCN1</v>
      </c>
      <c r="E198" s="224" t="str">
        <f>"Industry "&amp;$AJ$12&amp;" "&amp;RIGHT(H198,2)&amp;" Electricity Motors - New 1"</f>
        <v>Industry Aluminium EM Electricity Motors - New 1</v>
      </c>
      <c r="F198" s="224" t="s">
        <v>1149</v>
      </c>
      <c r="G198" s="225" t="s">
        <v>499</v>
      </c>
      <c r="H198" s="225" t="str">
        <f>AI17</f>
        <v>IADEM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INDADTFDSLN1</v>
      </c>
      <c r="E202" s="224" t="str">
        <f>"Industry "&amp;$AJ$12&amp;" "&amp;RIGHT(H202,2)&amp;" Tractors, Trucks, Fishing boats - New 1"</f>
        <v>Industry Aluminium TF Tractors, Trucks, Fishing boats - New 1</v>
      </c>
      <c r="F202" s="224" t="s">
        <v>1149</v>
      </c>
      <c r="G202" s="173" t="s">
        <v>2081</v>
      </c>
      <c r="H202" s="174" t="str">
        <f>$AI$18</f>
        <v>IADTF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INDADTFH2GN2</v>
      </c>
      <c r="E206" s="224" t="str">
        <f>"Industry "&amp;$AJ$12&amp;" "&amp;RIGHT(H206,2)&amp;" Tractors, Trucks, Fishing boats - New 2"</f>
        <v>Industry Aluminium TF Tractors, Trucks, Fishing boats - New 2</v>
      </c>
      <c r="F206" s="224" t="s">
        <v>1149</v>
      </c>
      <c r="G206" s="55" t="s">
        <v>2077</v>
      </c>
      <c r="H206" s="174" t="str">
        <f>$AI$18</f>
        <v>IADTF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INDADTFELCN3</v>
      </c>
      <c r="E210" s="224" t="str">
        <f>"Industry "&amp;$AJ$12&amp;" "&amp;RIGHT(H210,2)&amp;" Tractors, Trucks, Fishing boats - New 3"</f>
        <v>Industry Aluminium TF Tractors, Trucks, Fishing boats - New 3</v>
      </c>
      <c r="F210" s="224" t="s">
        <v>1149</v>
      </c>
      <c r="G210" s="55" t="s">
        <v>499</v>
      </c>
      <c r="H210" s="174" t="str">
        <f>$AI$18</f>
        <v>IADTF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INDADFLSYNN1</v>
      </c>
      <c r="E214" s="224" t="str">
        <f>"Industry "&amp;$AJ$12&amp;" "&amp;RIGHT(H202,2)&amp;" Forklifts - New 1"</f>
        <v>Industry Aluminium TF Forklifts - New 1</v>
      </c>
      <c r="F214" s="224" t="s">
        <v>1149</v>
      </c>
      <c r="G214" s="173" t="s">
        <v>2082</v>
      </c>
      <c r="H214" s="224" t="str">
        <f>AI19</f>
        <v>IADFL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INDADCOELCN1</v>
      </c>
      <c r="E218" s="224" t="str">
        <f>"Industry "&amp;$AJ$12&amp;" "&amp;RIGHT(H218,2)&amp;" Cooling - New 1"</f>
        <v>Industry Aluminium CO Cooling - New 1</v>
      </c>
      <c r="F218" s="224" t="s">
        <v>1149</v>
      </c>
      <c r="G218" s="173" t="s">
        <v>499</v>
      </c>
      <c r="H218" s="224" t="str">
        <f>AI21</f>
        <v>IADCO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INDADPHELCN1</v>
      </c>
      <c r="E229" s="212" t="str">
        <f t="shared" ref="E229:E260" si="270">VLOOKUP(D229,$D$9:$E$222,2,FALSE)</f>
        <v>Industrial heating technology Aluminium PH - Heat pump utilizing waste heat - new 1</v>
      </c>
      <c r="F229" s="211" t="s">
        <v>450</v>
      </c>
      <c r="G229" s="211" t="s">
        <v>449</v>
      </c>
      <c r="H229" s="263" t="s">
        <v>620</v>
      </c>
      <c r="I229" s="301"/>
      <c r="J229" s="208" t="s">
        <v>469</v>
      </c>
    </row>
    <row r="230" spans="1:10">
      <c r="A230" s="169"/>
      <c r="B230" s="301"/>
      <c r="C230" s="301"/>
      <c r="D230" s="212" t="str">
        <f t="shared" ref="D230:D238" ca="1" si="271">OFFSET($D$9,(ROW(D1)*6),0)</f>
        <v>INDADSHELCN1</v>
      </c>
      <c r="E230" s="212" t="str">
        <f t="shared" ca="1" si="270"/>
        <v>Industrial heating technology Aluminium SH - Heat pump utilizing waste heat - new 1</v>
      </c>
      <c r="F230" s="262" t="s">
        <v>450</v>
      </c>
      <c r="G230" s="262" t="s">
        <v>449</v>
      </c>
      <c r="H230" s="263" t="s">
        <v>620</v>
      </c>
      <c r="I230" s="301"/>
      <c r="J230" s="264" t="s">
        <v>469</v>
      </c>
    </row>
    <row r="231" spans="1:10">
      <c r="A231" s="169"/>
      <c r="D231" s="212" t="str">
        <f t="shared" ca="1" si="271"/>
        <v>INDADPHELCN2</v>
      </c>
      <c r="E231" s="212" t="str">
        <f t="shared" ca="1" si="270"/>
        <v>Industrial heating technology Aluminium PH - Heat driven heat pump utilizing waste heat - new 2</v>
      </c>
      <c r="F231" s="211" t="s">
        <v>450</v>
      </c>
      <c r="G231" s="211" t="s">
        <v>449</v>
      </c>
      <c r="H231" s="263" t="s">
        <v>620</v>
      </c>
      <c r="I231" s="208"/>
      <c r="J231" s="264" t="s">
        <v>469</v>
      </c>
    </row>
    <row r="232" spans="1:10">
      <c r="A232" s="169"/>
      <c r="B232" s="211"/>
      <c r="C232" s="211"/>
      <c r="D232" s="212" t="str">
        <f t="shared" ca="1" si="271"/>
        <v>INDADSHELCN2</v>
      </c>
      <c r="E232" s="212" t="str">
        <f t="shared" ca="1" si="270"/>
        <v>Industrial heating technology Aluminium SH - Heat driven heat pump utilizing waste heat - new 2</v>
      </c>
      <c r="F232" s="262" t="s">
        <v>450</v>
      </c>
      <c r="G232" s="262" t="s">
        <v>449</v>
      </c>
      <c r="H232" s="263" t="s">
        <v>620</v>
      </c>
      <c r="I232" s="264"/>
      <c r="J232" s="264" t="s">
        <v>469</v>
      </c>
    </row>
    <row r="233" spans="1:10">
      <c r="A233" s="169"/>
      <c r="B233" s="211"/>
      <c r="C233" s="211"/>
      <c r="D233" s="212" t="str">
        <f t="shared" ca="1" si="271"/>
        <v>INDADPHELCN3</v>
      </c>
      <c r="E233" s="212" t="str">
        <f t="shared" ca="1" si="270"/>
        <v>Industrial heating technology Aluminium PH - High Temp abs. Heat pump utilizing waste heat - new 3</v>
      </c>
      <c r="F233" s="262" t="s">
        <v>450</v>
      </c>
      <c r="G233" s="262" t="s">
        <v>449</v>
      </c>
      <c r="H233" s="263" t="s">
        <v>620</v>
      </c>
      <c r="I233" s="264"/>
      <c r="J233" s="264" t="s">
        <v>469</v>
      </c>
    </row>
    <row r="234" spans="1:10">
      <c r="A234" s="169"/>
      <c r="B234" s="211"/>
      <c r="C234" s="211"/>
      <c r="D234" s="212" t="str">
        <f t="shared" ca="1" si="271"/>
        <v>INDADSHELCN3</v>
      </c>
      <c r="E234" s="212" t="str">
        <f t="shared" ca="1" si="270"/>
        <v>Industrial heating technology Aluminium SH - High Temp abs. Heat pump utilizing waste heat - new 3</v>
      </c>
      <c r="F234" s="262" t="s">
        <v>450</v>
      </c>
      <c r="G234" s="262" t="s">
        <v>449</v>
      </c>
      <c r="H234" s="263" t="s">
        <v>620</v>
      </c>
      <c r="I234" s="264"/>
      <c r="J234" s="264" t="s">
        <v>469</v>
      </c>
    </row>
    <row r="235" spans="1:10">
      <c r="A235" s="169"/>
      <c r="B235" s="211"/>
      <c r="C235" s="211"/>
      <c r="D235" s="212" t="str">
        <f t="shared" ca="1" si="271"/>
        <v>INDADPHELCN4</v>
      </c>
      <c r="E235" s="212" t="str">
        <f t="shared" ca="1" si="270"/>
        <v>Industrial heating technology Aluminium PH - Booster Heat pump utilizing waste heat - new 4</v>
      </c>
      <c r="F235" s="262" t="s">
        <v>450</v>
      </c>
      <c r="G235" s="262" t="s">
        <v>449</v>
      </c>
      <c r="H235" s="263" t="s">
        <v>620</v>
      </c>
      <c r="I235" s="264"/>
      <c r="J235" s="264" t="s">
        <v>469</v>
      </c>
    </row>
    <row r="236" spans="1:10">
      <c r="A236" s="169"/>
      <c r="B236" s="211"/>
      <c r="C236" s="211"/>
      <c r="D236" s="212" t="str">
        <f t="shared" ca="1" si="271"/>
        <v>INDADSHELCN4</v>
      </c>
      <c r="E236" s="212" t="str">
        <f t="shared" ca="1" si="270"/>
        <v>Industrial heating technology Aluminium SH - Booster Heat pump utilizing waste heat - new 4</v>
      </c>
      <c r="F236" s="262" t="s">
        <v>450</v>
      </c>
      <c r="G236" s="262" t="s">
        <v>449</v>
      </c>
      <c r="H236" s="263" t="s">
        <v>620</v>
      </c>
      <c r="I236" s="264"/>
      <c r="J236" s="264" t="s">
        <v>469</v>
      </c>
    </row>
    <row r="237" spans="1:10">
      <c r="A237" s="169"/>
      <c r="B237" s="211"/>
      <c r="C237" s="211"/>
      <c r="D237" s="212" t="str">
        <f t="shared" ca="1" si="271"/>
        <v>INDADPHELCN5</v>
      </c>
      <c r="E237" s="212" t="str">
        <f t="shared" ca="1" si="270"/>
        <v>Industrial heating technology Aluminium PH - MVR utilizing waste heat - new 5</v>
      </c>
      <c r="F237" s="262" t="s">
        <v>450</v>
      </c>
      <c r="G237" s="262" t="s">
        <v>449</v>
      </c>
      <c r="H237" s="263"/>
      <c r="I237" s="264"/>
      <c r="J237" s="264" t="s">
        <v>469</v>
      </c>
    </row>
    <row r="238" spans="1:10">
      <c r="A238" s="169"/>
      <c r="B238" s="211"/>
      <c r="C238" s="211"/>
      <c r="D238" s="212" t="str">
        <f t="shared" ca="1" si="271"/>
        <v>INDADPHWSTN1</v>
      </c>
      <c r="E238" s="212" t="str">
        <f t="shared" ca="1" si="270"/>
        <v>Industrial heating technology Aluminium PH - Hotdisc - new 1</v>
      </c>
      <c r="F238" s="262" t="s">
        <v>450</v>
      </c>
      <c r="G238" s="262" t="s">
        <v>449</v>
      </c>
      <c r="H238" s="263" t="s">
        <v>620</v>
      </c>
      <c r="I238" s="264"/>
      <c r="J238" s="264" t="s">
        <v>469</v>
      </c>
    </row>
    <row r="239" spans="1:10">
      <c r="A239" s="169"/>
      <c r="B239" s="211"/>
      <c r="C239" s="211"/>
      <c r="D239" s="212" t="str">
        <f t="shared" ref="D239:D278" ca="1" si="272">OFFSET($D$9,(ROW(D19)*3),0)</f>
        <v>INDADPHELCN6</v>
      </c>
      <c r="E239" s="212" t="str">
        <f t="shared" ca="1" si="270"/>
        <v>Industrial heating technology Aluminium PH - Dielectric heating - new 6</v>
      </c>
      <c r="F239" s="262" t="s">
        <v>450</v>
      </c>
      <c r="G239" s="262" t="s">
        <v>449</v>
      </c>
      <c r="H239" s="263" t="s">
        <v>620</v>
      </c>
      <c r="I239" s="264"/>
      <c r="J239" s="264" t="s">
        <v>469</v>
      </c>
    </row>
    <row r="240" spans="1:10">
      <c r="A240" s="169"/>
      <c r="B240" s="211"/>
      <c r="C240" s="211"/>
      <c r="D240" s="212" t="str">
        <f t="shared" ca="1" si="272"/>
        <v>INDADPHELCN7</v>
      </c>
      <c r="E240" s="212" t="str">
        <f t="shared" ca="1" si="270"/>
        <v>Industrial heating technology Aluminium PH - Infrared heating - new 7</v>
      </c>
      <c r="F240" s="262" t="s">
        <v>450</v>
      </c>
      <c r="G240" s="262" t="s">
        <v>449</v>
      </c>
      <c r="H240" s="263" t="s">
        <v>620</v>
      </c>
      <c r="I240" s="264"/>
      <c r="J240" s="264" t="s">
        <v>469</v>
      </c>
    </row>
    <row r="241" spans="1:16">
      <c r="A241" s="169"/>
      <c r="B241" s="211"/>
      <c r="C241" s="211"/>
      <c r="D241" s="212" t="str">
        <f t="shared" ca="1" si="272"/>
        <v>INDADPHELCN8</v>
      </c>
      <c r="E241" s="212" t="str">
        <f t="shared" ca="1" si="270"/>
        <v>Industrial heating technology Aluminium PH - Electric boiler (Steam) - new 8</v>
      </c>
      <c r="F241" s="262" t="s">
        <v>450</v>
      </c>
      <c r="G241" s="262" t="s">
        <v>449</v>
      </c>
      <c r="H241" s="263" t="s">
        <v>620</v>
      </c>
      <c r="I241" s="264"/>
      <c r="J241" s="264" t="s">
        <v>469</v>
      </c>
    </row>
    <row r="242" spans="1:16">
      <c r="A242" s="169"/>
      <c r="B242" s="211"/>
      <c r="C242" s="211"/>
      <c r="D242" s="212" t="str">
        <f t="shared" ca="1" si="272"/>
        <v>INDADPHELCN8</v>
      </c>
      <c r="E242" s="212" t="str">
        <f t="shared" ca="1" si="270"/>
        <v>Industrial heating technology Aluminium PH - Electric boiler (Steam) - new 8</v>
      </c>
      <c r="F242" s="262" t="s">
        <v>450</v>
      </c>
      <c r="G242" s="262" t="s">
        <v>449</v>
      </c>
      <c r="H242" s="263" t="s">
        <v>620</v>
      </c>
      <c r="I242" s="264"/>
      <c r="J242" s="264" t="s">
        <v>469</v>
      </c>
    </row>
    <row r="243" spans="1:16">
      <c r="A243" s="169"/>
      <c r="B243" s="211"/>
      <c r="C243" s="211"/>
      <c r="D243" s="212" t="str">
        <f t="shared" ca="1" si="272"/>
        <v>INDADSHELCN8</v>
      </c>
      <c r="E243" s="212" t="str">
        <f t="shared" ca="1" si="270"/>
        <v>Industrial heating technology Aluminium SH - Electric boiler (Steam) - new 8</v>
      </c>
      <c r="F243" s="262" t="s">
        <v>450</v>
      </c>
      <c r="G243" s="262" t="s">
        <v>449</v>
      </c>
      <c r="H243" s="263" t="s">
        <v>620</v>
      </c>
      <c r="I243" s="264"/>
      <c r="J243" s="264" t="s">
        <v>469</v>
      </c>
      <c r="P243" s="173"/>
    </row>
    <row r="244" spans="1:16">
      <c r="A244" s="169"/>
      <c r="B244" s="211"/>
      <c r="C244" s="211"/>
      <c r="D244" s="212" t="str">
        <f t="shared" ca="1" si="272"/>
        <v>INDADPHELCN9</v>
      </c>
      <c r="E244" s="212" t="str">
        <f t="shared" ca="1" si="270"/>
        <v>Industrial heating technology Aluminium PH - Electric boiler (Hot Water) - new 9</v>
      </c>
      <c r="F244" s="262" t="s">
        <v>450</v>
      </c>
      <c r="G244" s="262" t="s">
        <v>449</v>
      </c>
      <c r="H244" s="263" t="s">
        <v>620</v>
      </c>
      <c r="I244" s="264"/>
      <c r="J244" s="264" t="s">
        <v>469</v>
      </c>
      <c r="P244" s="173"/>
    </row>
    <row r="245" spans="1:16">
      <c r="A245" s="169"/>
      <c r="B245" s="211"/>
      <c r="C245" s="211"/>
      <c r="D245" s="212" t="str">
        <f t="shared" ca="1" si="272"/>
        <v>INDADSHELCN9</v>
      </c>
      <c r="E245" s="212" t="str">
        <f t="shared" ca="1" si="270"/>
        <v>Industrial heating technology Aluminium SH - Electric boiler (Hot Water) - new 9</v>
      </c>
      <c r="F245" s="262" t="s">
        <v>450</v>
      </c>
      <c r="G245" s="262" t="s">
        <v>449</v>
      </c>
      <c r="H245" s="263" t="s">
        <v>620</v>
      </c>
      <c r="I245" s="264"/>
      <c r="J245" s="264" t="s">
        <v>469</v>
      </c>
      <c r="P245" s="173"/>
    </row>
    <row r="246" spans="1:16">
      <c r="A246" s="169"/>
      <c r="B246" s="211"/>
      <c r="C246" s="211"/>
      <c r="D246" s="212" t="str">
        <f t="shared" ca="1" si="272"/>
        <v>INDADPHWCHN1</v>
      </c>
      <c r="E246" s="212" t="str">
        <f t="shared" ca="1" si="270"/>
        <v>Industrial heating technology Aluminium PH - Wood chip boiler (Steam) - new 1</v>
      </c>
      <c r="F246" s="262" t="s">
        <v>450</v>
      </c>
      <c r="G246" s="262" t="s">
        <v>449</v>
      </c>
      <c r="H246" s="263"/>
      <c r="I246" s="264"/>
      <c r="J246" s="264" t="s">
        <v>469</v>
      </c>
      <c r="P246" s="173"/>
    </row>
    <row r="247" spans="1:16">
      <c r="A247" s="169"/>
      <c r="B247" s="211"/>
      <c r="C247" s="211"/>
      <c r="D247" s="212" t="str">
        <f t="shared" ca="1" si="272"/>
        <v>INDADPHWCHN1</v>
      </c>
      <c r="E247" s="212" t="str">
        <f t="shared" ca="1" si="270"/>
        <v>Industrial heating technology Aluminium PH - Wood chip boiler (Steam) - new 1</v>
      </c>
      <c r="F247" s="262" t="s">
        <v>450</v>
      </c>
      <c r="G247" s="262" t="s">
        <v>449</v>
      </c>
      <c r="H247" s="263"/>
      <c r="I247" s="264"/>
      <c r="J247" s="264" t="s">
        <v>469</v>
      </c>
      <c r="M247" s="171"/>
      <c r="N247" s="171"/>
      <c r="P247" s="173"/>
    </row>
    <row r="248" spans="1:16">
      <c r="A248" s="169"/>
      <c r="B248" s="211"/>
      <c r="C248" s="211"/>
      <c r="D248" s="212" t="str">
        <f t="shared" ca="1" si="272"/>
        <v>INDADSHWCHN1</v>
      </c>
      <c r="E248" s="212" t="str">
        <f t="shared" ca="1" si="270"/>
        <v>Industrial heating technology Aluminium SH - Wood chip boiler (Steam) - new 1</v>
      </c>
      <c r="F248" s="262" t="s">
        <v>450</v>
      </c>
      <c r="G248" s="262" t="s">
        <v>449</v>
      </c>
      <c r="H248" s="263"/>
      <c r="I248" s="264"/>
      <c r="J248" s="264" t="s">
        <v>469</v>
      </c>
      <c r="M248" s="171"/>
      <c r="N248" s="171"/>
      <c r="P248" s="173"/>
    </row>
    <row r="249" spans="1:16">
      <c r="A249" s="169"/>
      <c r="B249" s="211"/>
      <c r="C249" s="211"/>
      <c r="D249" s="212" t="str">
        <f t="shared" ca="1" si="272"/>
        <v>INDADPHWCHN2</v>
      </c>
      <c r="E249" s="212" t="str">
        <f t="shared" ca="1" si="270"/>
        <v>Industrial heating technology Aluminium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72"/>
        <v>INDADSHWCHN2</v>
      </c>
      <c r="E250" s="212" t="str">
        <f t="shared" ca="1" si="270"/>
        <v>Industrial heating technology Aluminium SH - Wood chip boiler (Steam - condensing) - new 2</v>
      </c>
      <c r="F250" s="262" t="s">
        <v>450</v>
      </c>
      <c r="G250" s="262" t="s">
        <v>449</v>
      </c>
      <c r="H250" s="263"/>
      <c r="I250" s="264"/>
      <c r="J250" s="264" t="s">
        <v>469</v>
      </c>
    </row>
    <row r="251" spans="1:16">
      <c r="A251" s="169"/>
      <c r="B251" s="212"/>
      <c r="C251" s="212"/>
      <c r="D251" s="212" t="str">
        <f t="shared" ca="1" si="272"/>
        <v>INDADPHWCHN3</v>
      </c>
      <c r="E251" s="212" t="str">
        <f t="shared" ca="1" si="270"/>
        <v>Industrial heating technology Aluminium PH - Wood chip boiler (Hot Water) - new 3</v>
      </c>
      <c r="F251" s="262" t="s">
        <v>450</v>
      </c>
      <c r="G251" s="262" t="s">
        <v>449</v>
      </c>
      <c r="H251" s="261"/>
      <c r="I251" s="261"/>
      <c r="J251" s="264" t="s">
        <v>469</v>
      </c>
    </row>
    <row r="252" spans="1:16">
      <c r="A252" s="169"/>
      <c r="B252" s="212"/>
      <c r="C252" s="212"/>
      <c r="D252" s="212" t="str">
        <f t="shared" ca="1" si="272"/>
        <v>INDADSHWCHN3</v>
      </c>
      <c r="E252" s="212" t="str">
        <f t="shared" ca="1" si="270"/>
        <v>Industrial heating technology Aluminium SH - Wood chip boiler (Hot Water) - new 3</v>
      </c>
      <c r="F252" s="262" t="s">
        <v>450</v>
      </c>
      <c r="G252" s="262" t="s">
        <v>449</v>
      </c>
      <c r="H252" s="261"/>
      <c r="I252" s="261"/>
      <c r="J252" s="264" t="s">
        <v>469</v>
      </c>
    </row>
    <row r="253" spans="1:16">
      <c r="A253" s="169"/>
      <c r="B253" s="212"/>
      <c r="C253" s="212"/>
      <c r="D253" s="212" t="str">
        <f t="shared" ca="1" si="272"/>
        <v>INDADPHWCHN4</v>
      </c>
      <c r="E253" s="212" t="str">
        <f t="shared" ca="1" si="270"/>
        <v>Industrial heating technology Aluminium PH - Wood chip boiler (Hot Water - condensing) - new 4</v>
      </c>
      <c r="F253" s="262" t="s">
        <v>450</v>
      </c>
      <c r="G253" s="262" t="s">
        <v>449</v>
      </c>
      <c r="H253" s="261"/>
      <c r="I253" s="261"/>
      <c r="J253" s="264" t="s">
        <v>469</v>
      </c>
    </row>
    <row r="254" spans="1:16">
      <c r="A254" s="169"/>
      <c r="B254" s="212"/>
      <c r="C254" s="212"/>
      <c r="D254" s="212" t="str">
        <f t="shared" ca="1" si="272"/>
        <v>INDADSHWCHN4</v>
      </c>
      <c r="E254" s="212" t="str">
        <f t="shared" ca="1" si="270"/>
        <v>Industrial heating technology Aluminium SH - Wood chip boiler (Hot Water- condensing) - new 4</v>
      </c>
      <c r="F254" s="262" t="s">
        <v>450</v>
      </c>
      <c r="G254" s="262" t="s">
        <v>449</v>
      </c>
      <c r="H254" s="261"/>
      <c r="I254" s="261"/>
      <c r="J254" s="264" t="s">
        <v>469</v>
      </c>
    </row>
    <row r="255" spans="1:16">
      <c r="B255" s="212"/>
      <c r="C255" s="212"/>
      <c r="D255" s="212" t="str">
        <f t="shared" ca="1" si="272"/>
        <v>INDADPHELCN10</v>
      </c>
      <c r="E255" s="212" t="str">
        <f t="shared" ca="1" si="270"/>
        <v>Industrial heating technology Aluminium PH - Direct electric heating - new 10</v>
      </c>
      <c r="F255" s="262" t="s">
        <v>450</v>
      </c>
      <c r="G255" s="262" t="s">
        <v>449</v>
      </c>
      <c r="H255" s="261"/>
      <c r="I255" s="261"/>
      <c r="J255" s="264" t="s">
        <v>469</v>
      </c>
    </row>
    <row r="256" spans="1:16">
      <c r="B256" s="212"/>
      <c r="C256" s="212"/>
      <c r="D256" s="212" t="str">
        <f t="shared" ca="1" si="272"/>
        <v>INDADPHELCN10</v>
      </c>
      <c r="E256" s="212" t="str">
        <f t="shared" ca="1" si="270"/>
        <v>Industrial heating technology Aluminium PH - Direct electric heating - new 10</v>
      </c>
      <c r="F256" s="262" t="s">
        <v>450</v>
      </c>
      <c r="G256" s="262" t="s">
        <v>449</v>
      </c>
      <c r="H256" s="261"/>
      <c r="I256" s="261"/>
      <c r="J256" s="264" t="s">
        <v>469</v>
      </c>
    </row>
    <row r="257" spans="1:10">
      <c r="B257" s="212"/>
      <c r="C257" s="212"/>
      <c r="D257" s="212" t="str">
        <f t="shared" ca="1" si="272"/>
        <v>INDADPHDSLN1</v>
      </c>
      <c r="E257" s="212" t="str">
        <f t="shared" ca="1" si="270"/>
        <v>Industrial heating technology Aluminium PH - Oil boiler (Steam) - new 1</v>
      </c>
      <c r="F257" s="262" t="s">
        <v>450</v>
      </c>
      <c r="G257" s="262" t="s">
        <v>449</v>
      </c>
      <c r="H257" s="261"/>
      <c r="I257" s="261"/>
      <c r="J257" s="264" t="s">
        <v>469</v>
      </c>
    </row>
    <row r="258" spans="1:10">
      <c r="B258" s="212"/>
      <c r="C258" s="212"/>
      <c r="D258" s="212" t="str">
        <f t="shared" ca="1" si="272"/>
        <v>INDADPHDSLN1</v>
      </c>
      <c r="E258" s="212" t="str">
        <f t="shared" ca="1" si="270"/>
        <v>Industrial heating technology Aluminium PH - Oil boiler (Steam) - new 1</v>
      </c>
      <c r="F258" s="262" t="s">
        <v>450</v>
      </c>
      <c r="G258" s="262" t="s">
        <v>449</v>
      </c>
      <c r="H258" s="261"/>
      <c r="I258" s="261"/>
      <c r="J258" s="264" t="s">
        <v>469</v>
      </c>
    </row>
    <row r="259" spans="1:10">
      <c r="B259" s="212"/>
      <c r="C259" s="212"/>
      <c r="D259" s="212" t="str">
        <f t="shared" ca="1" si="272"/>
        <v>INDADSHDSLN1</v>
      </c>
      <c r="E259" s="212" t="str">
        <f t="shared" ca="1" si="270"/>
        <v>Industrial heating technology Aluminium SH - Oil boiler (Steam) - new 1</v>
      </c>
      <c r="F259" s="262" t="s">
        <v>450</v>
      </c>
      <c r="G259" s="262" t="s">
        <v>449</v>
      </c>
      <c r="H259" s="261"/>
      <c r="I259" s="261"/>
      <c r="J259" s="264" t="s">
        <v>469</v>
      </c>
    </row>
    <row r="260" spans="1:10">
      <c r="A260" s="214"/>
      <c r="B260" s="212"/>
      <c r="C260" s="212"/>
      <c r="D260" s="212" t="str">
        <f t="shared" ca="1" si="272"/>
        <v>INDADPHDSLN2</v>
      </c>
      <c r="E260" s="212" t="str">
        <f t="shared" ca="1" si="270"/>
        <v>Industrial heating technology Aluminium PH - Oil boiler (Steam - condensing) - new 2</v>
      </c>
      <c r="F260" s="262" t="s">
        <v>450</v>
      </c>
      <c r="G260" s="262" t="s">
        <v>449</v>
      </c>
      <c r="H260" s="261"/>
      <c r="I260" s="261"/>
      <c r="J260" s="264" t="s">
        <v>469</v>
      </c>
    </row>
    <row r="261" spans="1:10">
      <c r="A261" s="214"/>
      <c r="B261" s="212"/>
      <c r="C261" s="212"/>
      <c r="D261" s="212" t="str">
        <f t="shared" ca="1" si="272"/>
        <v>INDADSHDSLN2</v>
      </c>
      <c r="E261" s="212" t="str">
        <f t="shared" ref="E261:E290" ca="1" si="273">VLOOKUP(D261,$D$9:$E$222,2,FALSE)</f>
        <v>Industrial heating technology Aluminium SH - Oil boiler (Steam - condensing) - new 2</v>
      </c>
      <c r="F261" s="262" t="s">
        <v>450</v>
      </c>
      <c r="G261" s="262" t="s">
        <v>449</v>
      </c>
      <c r="H261" s="261"/>
      <c r="I261" s="261"/>
      <c r="J261" s="264" t="s">
        <v>469</v>
      </c>
    </row>
    <row r="262" spans="1:10">
      <c r="A262" s="214"/>
      <c r="B262" s="212"/>
      <c r="C262" s="212"/>
      <c r="D262" s="212" t="str">
        <f t="shared" ca="1" si="272"/>
        <v>INDADPHGASN1</v>
      </c>
      <c r="E262" s="212" t="str">
        <f t="shared" ca="1" si="273"/>
        <v>Industrial heating technology Aluminium PH - Gas boiler (Steam) - new 1</v>
      </c>
      <c r="F262" s="262" t="s">
        <v>450</v>
      </c>
      <c r="G262" s="262" t="s">
        <v>449</v>
      </c>
      <c r="H262" s="261"/>
      <c r="I262" s="261"/>
      <c r="J262" s="264" t="s">
        <v>469</v>
      </c>
    </row>
    <row r="263" spans="1:10">
      <c r="A263" s="214"/>
      <c r="B263" s="212"/>
      <c r="C263" s="212"/>
      <c r="D263" s="212" t="str">
        <f t="shared" ca="1" si="272"/>
        <v>INDADPHGASN1</v>
      </c>
      <c r="E263" s="212" t="str">
        <f t="shared" ca="1" si="273"/>
        <v>Industrial heating technology Aluminium PH - Gas boiler (Steam) - new 1</v>
      </c>
      <c r="F263" s="262" t="s">
        <v>450</v>
      </c>
      <c r="G263" s="262" t="s">
        <v>449</v>
      </c>
      <c r="H263" s="261"/>
      <c r="I263" s="261"/>
      <c r="J263" s="264" t="s">
        <v>469</v>
      </c>
    </row>
    <row r="264" spans="1:10">
      <c r="B264" s="212"/>
      <c r="C264" s="212"/>
      <c r="D264" s="212" t="str">
        <f t="shared" ca="1" si="272"/>
        <v>INDADSHGASN1</v>
      </c>
      <c r="E264" s="212" t="str">
        <f t="shared" ca="1" si="273"/>
        <v>Industrial heating technology Aluminium SH - Gas boiler (Steam) - new 1</v>
      </c>
      <c r="F264" s="262" t="s">
        <v>450</v>
      </c>
      <c r="G264" s="262" t="s">
        <v>449</v>
      </c>
      <c r="H264" s="261"/>
      <c r="I264" s="261"/>
      <c r="J264" s="264" t="s">
        <v>469</v>
      </c>
    </row>
    <row r="265" spans="1:10">
      <c r="B265" s="212"/>
      <c r="C265" s="212"/>
      <c r="D265" s="212" t="str">
        <f t="shared" ca="1" si="272"/>
        <v>INDADPHGASN2</v>
      </c>
      <c r="E265" s="212" t="str">
        <f t="shared" ca="1" si="273"/>
        <v>Industrial heating technology Aluminium PH - Gas boiler (Steam - condensing) - new 2</v>
      </c>
      <c r="F265" s="262" t="s">
        <v>450</v>
      </c>
      <c r="G265" s="262" t="s">
        <v>449</v>
      </c>
      <c r="H265" s="261"/>
      <c r="I265" s="261"/>
      <c r="J265" s="264" t="s">
        <v>469</v>
      </c>
    </row>
    <row r="266" spans="1:10">
      <c r="B266" s="212"/>
      <c r="C266" s="212"/>
      <c r="D266" s="212" t="str">
        <f t="shared" ca="1" si="272"/>
        <v>INDADSHGASN2</v>
      </c>
      <c r="E266" s="212" t="str">
        <f t="shared" ca="1" si="273"/>
        <v>Industrial heating technology Aluminium SH - Gas boiler (Steam - condensing) - new 2</v>
      </c>
      <c r="F266" s="262" t="s">
        <v>450</v>
      </c>
      <c r="G266" s="262" t="s">
        <v>449</v>
      </c>
      <c r="H266" s="261"/>
      <c r="I266" s="261"/>
      <c r="J266" s="264" t="s">
        <v>469</v>
      </c>
    </row>
    <row r="267" spans="1:10">
      <c r="B267" s="212"/>
      <c r="C267" s="212"/>
      <c r="D267" s="212" t="str">
        <f t="shared" ca="1" si="272"/>
        <v>INDADPHGASN3</v>
      </c>
      <c r="E267" s="212" t="str">
        <f t="shared" ca="1" si="273"/>
        <v>Industrial heating technology Aluminium PH - Gas boiler (Hot Water) - new 3</v>
      </c>
      <c r="F267" s="262" t="s">
        <v>450</v>
      </c>
      <c r="G267" s="262" t="s">
        <v>449</v>
      </c>
      <c r="H267" s="261"/>
      <c r="I267" s="261"/>
      <c r="J267" s="264" t="s">
        <v>469</v>
      </c>
    </row>
    <row r="268" spans="1:10">
      <c r="B268" s="212"/>
      <c r="C268" s="212"/>
      <c r="D268" s="212" t="str">
        <f t="shared" ca="1" si="272"/>
        <v>INDADSHGASN3</v>
      </c>
      <c r="E268" s="212" t="str">
        <f t="shared" ca="1" si="273"/>
        <v>Industrial heating technology Aluminium SH - Gas boiler (Hot Water) - new 3</v>
      </c>
      <c r="F268" s="262" t="s">
        <v>450</v>
      </c>
      <c r="G268" s="262" t="s">
        <v>449</v>
      </c>
      <c r="H268" s="261"/>
      <c r="I268" s="261"/>
      <c r="J268" s="264" t="s">
        <v>469</v>
      </c>
    </row>
    <row r="269" spans="1:10">
      <c r="B269" s="212"/>
      <c r="C269" s="212"/>
      <c r="D269" s="212" t="str">
        <f t="shared" ca="1" si="272"/>
        <v>INDADPHGASN4</v>
      </c>
      <c r="E269" s="212" t="str">
        <f t="shared" ca="1" si="273"/>
        <v>Industrial heating technology Aluminium PH - Gas boiler (Hot Water - condensing) - new 4</v>
      </c>
      <c r="F269" s="262" t="s">
        <v>450</v>
      </c>
      <c r="G269" s="262" t="s">
        <v>449</v>
      </c>
      <c r="H269" s="261"/>
      <c r="I269" s="261"/>
      <c r="J269" s="264" t="s">
        <v>469</v>
      </c>
    </row>
    <row r="270" spans="1:10">
      <c r="B270" s="212"/>
      <c r="C270" s="212"/>
      <c r="D270" s="212" t="str">
        <f t="shared" ca="1" si="272"/>
        <v>INDADSHGASN4</v>
      </c>
      <c r="E270" s="212" t="str">
        <f t="shared" ca="1" si="273"/>
        <v>Industrial heating technology Aluminium SH - Gas boiler (Hot Water- condensing) - new 4</v>
      </c>
      <c r="F270" s="262" t="s">
        <v>450</v>
      </c>
      <c r="G270" s="262" t="s">
        <v>449</v>
      </c>
      <c r="H270" s="261"/>
      <c r="I270" s="261"/>
      <c r="J270" s="264" t="s">
        <v>469</v>
      </c>
    </row>
    <row r="271" spans="1:10">
      <c r="B271" s="212"/>
      <c r="C271" s="212"/>
      <c r="D271" s="212" t="str">
        <f t="shared" ca="1" si="272"/>
        <v>*="IND"&amp;RIGHT(H162,4)&amp;"GAS"&amp;"N"&amp;RIGHT(E162,1)</v>
      </c>
      <c r="E271" s="212" t="str">
        <f t="shared" ca="1" si="273"/>
        <v>Industrial heating technology Aluminium PH - Gas boiler (Direct firing) - new 5</v>
      </c>
      <c r="F271" s="262" t="s">
        <v>450</v>
      </c>
      <c r="G271" s="262" t="s">
        <v>449</v>
      </c>
      <c r="H271" s="261"/>
      <c r="I271" s="261"/>
      <c r="J271" s="264" t="s">
        <v>469</v>
      </c>
    </row>
    <row r="272" spans="1:10">
      <c r="B272" s="212"/>
      <c r="C272" s="212"/>
      <c r="D272" s="212" t="str">
        <f t="shared" ca="1" si="272"/>
        <v>*="IND"&amp;RIGHT(H165,4)&amp;"GAS"&amp;"N"&amp;RIGHT(E165,1)</v>
      </c>
      <c r="E272" s="212" t="str">
        <f t="shared" ca="1" si="273"/>
        <v>Industrial heating technology Aluminium SH - Gas boiler (Direct firing) - new 5</v>
      </c>
      <c r="F272" s="262" t="s">
        <v>450</v>
      </c>
      <c r="G272" s="262" t="s">
        <v>449</v>
      </c>
      <c r="H272" s="261"/>
      <c r="I272" s="261"/>
      <c r="J272" s="264" t="s">
        <v>469</v>
      </c>
    </row>
    <row r="273" spans="2:10">
      <c r="B273" s="212"/>
      <c r="C273" s="212"/>
      <c r="D273" s="212" t="str">
        <f t="shared" ca="1" si="272"/>
        <v>INDADPHCOAN1</v>
      </c>
      <c r="E273" s="212" t="str">
        <f t="shared" ca="1" si="273"/>
        <v>Industrial heating technology Aluminium PH - Coal boiler (Steam) - new 1</v>
      </c>
      <c r="F273" s="262" t="s">
        <v>450</v>
      </c>
      <c r="G273" s="262" t="s">
        <v>449</v>
      </c>
      <c r="H273" s="261"/>
      <c r="I273" s="261"/>
      <c r="J273" s="264" t="s">
        <v>469</v>
      </c>
    </row>
    <row r="274" spans="2:10">
      <c r="B274" s="212"/>
      <c r="C274" s="212"/>
      <c r="D274" s="212" t="str">
        <f t="shared" ca="1" si="272"/>
        <v>INDADPHCOAN1</v>
      </c>
      <c r="E274" s="212" t="str">
        <f t="shared" ca="1" si="273"/>
        <v>Industrial heating technology Aluminium PH - Coal boiler (Steam) - new 1</v>
      </c>
      <c r="F274" s="262" t="s">
        <v>450</v>
      </c>
      <c r="G274" s="262" t="s">
        <v>449</v>
      </c>
      <c r="H274" s="261"/>
      <c r="I274" s="261"/>
      <c r="J274" s="264" t="s">
        <v>469</v>
      </c>
    </row>
    <row r="275" spans="2:10">
      <c r="B275" s="212"/>
      <c r="C275" s="212"/>
      <c r="D275" s="212" t="str">
        <f t="shared" ca="1" si="272"/>
        <v>INDADSHCOAN1</v>
      </c>
      <c r="E275" s="212" t="str">
        <f t="shared" ca="1" si="273"/>
        <v>Industrial heating technology Aluminium SH - Coal boiler (Steam) - new 1</v>
      </c>
      <c r="F275" s="262" t="s">
        <v>450</v>
      </c>
      <c r="G275" s="262" t="s">
        <v>449</v>
      </c>
      <c r="H275" s="261"/>
      <c r="I275" s="261"/>
      <c r="J275" s="264" t="s">
        <v>469</v>
      </c>
    </row>
    <row r="276" spans="2:10">
      <c r="B276" s="212"/>
      <c r="C276" s="212"/>
      <c r="D276" s="212" t="str">
        <f t="shared" ca="1" si="272"/>
        <v>INDADPHCOAN2</v>
      </c>
      <c r="E276" s="212" t="str">
        <f t="shared" ca="1" si="273"/>
        <v>Industrial heating technology Aluminium PH - Coal boiler (Hot Water) - new 2</v>
      </c>
      <c r="F276" s="262" t="s">
        <v>450</v>
      </c>
      <c r="G276" s="262" t="s">
        <v>449</v>
      </c>
      <c r="H276" s="261"/>
      <c r="I276" s="261"/>
      <c r="J276" s="264" t="s">
        <v>469</v>
      </c>
    </row>
    <row r="277" spans="2:10">
      <c r="B277" s="212"/>
      <c r="C277" s="212"/>
      <c r="D277" s="212" t="str">
        <f t="shared" ca="1" si="272"/>
        <v>INDADSHCOAN2</v>
      </c>
      <c r="E277" s="212" t="str">
        <f t="shared" ca="1" si="273"/>
        <v>Industrial heating technology Aluminium SH - Coal boiler (Hot Water) - new 2</v>
      </c>
      <c r="F277" s="262" t="s">
        <v>450</v>
      </c>
      <c r="G277" s="262" t="s">
        <v>449</v>
      </c>
      <c r="H277" s="261"/>
      <c r="I277" s="261"/>
      <c r="J277" s="264" t="s">
        <v>469</v>
      </c>
    </row>
    <row r="278" spans="2:10">
      <c r="B278" s="212"/>
      <c r="C278" s="212"/>
      <c r="D278" s="212" t="str">
        <f t="shared" ca="1" si="272"/>
        <v>INDADSHSOLN1</v>
      </c>
      <c r="E278" s="212" t="str">
        <f t="shared" ca="1" si="273"/>
        <v>Industrial heating technology Aluminium SH - Solar - new 1</v>
      </c>
      <c r="F278" s="262" t="s">
        <v>450</v>
      </c>
      <c r="G278" s="262" t="s">
        <v>449</v>
      </c>
      <c r="H278" s="263" t="s">
        <v>620</v>
      </c>
      <c r="I278" s="261"/>
      <c r="J278" s="264" t="s">
        <v>469</v>
      </c>
    </row>
    <row r="279" spans="2:10">
      <c r="B279" s="212"/>
      <c r="C279" s="212"/>
      <c r="D279" s="889" t="str">
        <f>D187</f>
        <v>INDADSHHCEN1</v>
      </c>
      <c r="E279" s="889" t="str">
        <f t="shared" si="273"/>
        <v>Industrial heating technology Aluminium SH - central district heating - within DH area - new 1</v>
      </c>
      <c r="F279" s="262" t="s">
        <v>450</v>
      </c>
      <c r="G279" s="262" t="s">
        <v>449</v>
      </c>
      <c r="H279" s="890"/>
      <c r="I279" s="890"/>
      <c r="J279" s="263" t="s">
        <v>469</v>
      </c>
    </row>
    <row r="280" spans="2:10">
      <c r="B280" s="212"/>
      <c r="C280" s="212"/>
      <c r="D280" s="889" t="str">
        <f>D188</f>
        <v>INDADPHHCEN1</v>
      </c>
      <c r="E280" s="889" t="str">
        <f t="shared" si="273"/>
        <v>Industrial heating technology Aluminium PH - central district heating - within DH area - new 1</v>
      </c>
      <c r="F280" s="262" t="s">
        <v>450</v>
      </c>
      <c r="G280" s="262" t="s">
        <v>449</v>
      </c>
      <c r="H280" s="890"/>
      <c r="I280" s="890"/>
      <c r="J280" s="263" t="s">
        <v>469</v>
      </c>
    </row>
    <row r="281" spans="2:10">
      <c r="B281" s="212"/>
      <c r="C281" s="212"/>
      <c r="D281" s="889" t="str">
        <f>D189</f>
        <v>INDADSHHSEN1</v>
      </c>
      <c r="E281" s="889" t="str">
        <f t="shared" si="273"/>
        <v>Industrial heating technology Aluminium SH - central district heating - within DH area - new 1</v>
      </c>
      <c r="F281" s="262" t="s">
        <v>450</v>
      </c>
      <c r="G281" s="262" t="s">
        <v>449</v>
      </c>
      <c r="H281" s="890"/>
      <c r="I281" s="890"/>
      <c r="J281" s="263" t="s">
        <v>469</v>
      </c>
    </row>
    <row r="282" spans="2:10">
      <c r="B282" s="212"/>
      <c r="C282" s="212"/>
      <c r="D282" s="889" t="str">
        <f>D190</f>
        <v>INDADPHHSEN1</v>
      </c>
      <c r="E282" s="889" t="str">
        <f t="shared" si="273"/>
        <v>Industrial heating technology Aluminium PH - central district heating - within DH area - new 1</v>
      </c>
      <c r="F282" s="262" t="s">
        <v>450</v>
      </c>
      <c r="G282" s="262" t="s">
        <v>449</v>
      </c>
      <c r="H282" s="890"/>
      <c r="I282" s="890"/>
      <c r="J282" s="263" t="s">
        <v>469</v>
      </c>
    </row>
    <row r="283" spans="2:10">
      <c r="B283" s="212"/>
      <c r="C283" s="212"/>
      <c r="D283" s="212" t="str">
        <f t="shared" ref="D283" si="274">D191</f>
        <v>INDADSHHDEN1</v>
      </c>
      <c r="E283" s="212" t="str">
        <f t="shared" si="273"/>
        <v>Industrial heating technology Aluminium SH - decentral district heating - within DH area - new 1</v>
      </c>
      <c r="F283" s="262" t="s">
        <v>450</v>
      </c>
      <c r="G283" s="262" t="s">
        <v>449</v>
      </c>
      <c r="H283" s="261"/>
      <c r="I283" s="261"/>
      <c r="J283" s="264" t="s">
        <v>469</v>
      </c>
    </row>
    <row r="284" spans="2:10">
      <c r="B284" s="212"/>
      <c r="C284" s="212"/>
      <c r="D284" s="212" t="str">
        <f>D192</f>
        <v>INDADPHHDEN1</v>
      </c>
      <c r="E284" s="212" t="str">
        <f t="shared" si="273"/>
        <v>Industrial heating technology Aluminium PH - decentral district heating - within DH area - new 1</v>
      </c>
      <c r="F284" s="262" t="s">
        <v>450</v>
      </c>
      <c r="G284" s="262" t="s">
        <v>449</v>
      </c>
      <c r="H284" s="261"/>
      <c r="I284" s="261"/>
      <c r="J284" s="264" t="s">
        <v>469</v>
      </c>
    </row>
    <row r="285" spans="2:10">
      <c r="B285" s="212"/>
      <c r="C285" s="212"/>
      <c r="D285" s="212" t="str">
        <f>D194</f>
        <v>INDADLAELCN1</v>
      </c>
      <c r="E285" s="212" t="str">
        <f t="shared" si="273"/>
        <v>Industry Aluminium LA Electricity Light Appliance - New 1</v>
      </c>
      <c r="F285" s="262" t="s">
        <v>450</v>
      </c>
      <c r="G285" s="262" t="s">
        <v>449</v>
      </c>
      <c r="H285" s="261"/>
      <c r="I285" s="261"/>
      <c r="J285" s="264" t="s">
        <v>469</v>
      </c>
    </row>
    <row r="286" spans="2:10">
      <c r="B286" s="212"/>
      <c r="C286" s="212"/>
      <c r="D286" s="212" t="str">
        <f>D198</f>
        <v>INDADEMELCN1</v>
      </c>
      <c r="E286" s="212" t="str">
        <f t="shared" si="273"/>
        <v>Industry Aluminium EM Electricity Motors - New 1</v>
      </c>
      <c r="F286" s="262" t="s">
        <v>450</v>
      </c>
      <c r="G286" s="262" t="s">
        <v>449</v>
      </c>
      <c r="H286" s="261"/>
      <c r="I286" s="261"/>
      <c r="J286" s="264" t="s">
        <v>469</v>
      </c>
    </row>
    <row r="287" spans="2:10">
      <c r="B287" s="212"/>
      <c r="C287" s="212"/>
      <c r="D287" s="212" t="str">
        <f>D202</f>
        <v>INDADTFDSLN1</v>
      </c>
      <c r="E287" s="212" t="str">
        <f t="shared" si="273"/>
        <v>Industry Aluminium TF Tractors, Trucks, Fishing boats - New 1</v>
      </c>
      <c r="F287" s="262" t="s">
        <v>450</v>
      </c>
      <c r="G287" s="262" t="s">
        <v>2078</v>
      </c>
      <c r="H287" s="261"/>
      <c r="I287" s="261"/>
      <c r="J287" s="264" t="s">
        <v>469</v>
      </c>
    </row>
    <row r="288" spans="2:10">
      <c r="B288" s="212"/>
      <c r="C288" s="212"/>
      <c r="D288" s="212" t="str">
        <f>D206</f>
        <v>INDADTFH2GN2</v>
      </c>
      <c r="E288" s="212" t="str">
        <f t="shared" si="273"/>
        <v>Industry Aluminium TF Tractors, Trucks, Fishing boats - New 2</v>
      </c>
      <c r="F288" s="262" t="s">
        <v>450</v>
      </c>
      <c r="G288" s="262" t="s">
        <v>2078</v>
      </c>
      <c r="H288" s="261"/>
      <c r="I288" s="261"/>
      <c r="J288" s="264" t="s">
        <v>469</v>
      </c>
    </row>
    <row r="289" spans="2:10">
      <c r="B289" s="212"/>
      <c r="C289" s="212"/>
      <c r="D289" s="212" t="str">
        <f>D210</f>
        <v>INDADTFELCN3</v>
      </c>
      <c r="E289" s="212" t="str">
        <f t="shared" si="273"/>
        <v>Industry Aluminium TF Tractors, Trucks, Fishing boats - New 3</v>
      </c>
      <c r="F289" s="262" t="s">
        <v>450</v>
      </c>
      <c r="G289" s="262" t="s">
        <v>2078</v>
      </c>
      <c r="H289" s="261"/>
      <c r="I289" s="261"/>
      <c r="J289" s="264" t="s">
        <v>469</v>
      </c>
    </row>
    <row r="290" spans="2:10">
      <c r="B290" s="212"/>
      <c r="C290" s="212"/>
      <c r="D290" s="212" t="str">
        <f>D214</f>
        <v>INDADFLSYNN1</v>
      </c>
      <c r="E290" s="212" t="str">
        <f t="shared" si="273"/>
        <v>Industry Aluminium TF Forklifts - New 1</v>
      </c>
      <c r="F290" s="262" t="s">
        <v>450</v>
      </c>
      <c r="G290" s="262" t="s">
        <v>449</v>
      </c>
      <c r="H290" s="261"/>
      <c r="I290" s="261"/>
      <c r="J290" s="264" t="s">
        <v>469</v>
      </c>
    </row>
    <row r="291" spans="2:10">
      <c r="B291" s="212"/>
      <c r="C291" s="212"/>
      <c r="D291" s="212" t="str">
        <f>D218</f>
        <v>INDADCOELCN1</v>
      </c>
      <c r="E291" s="212" t="str">
        <f>E218</f>
        <v>Industry Aluminium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IADSOx</v>
      </c>
      <c r="E296" s="270" t="str">
        <f>"Industrial heating  heating technology "&amp;$AJ$12&amp;" - SOx emission"</f>
        <v>Industrial heating  heating technology Aluminium - SOx emission</v>
      </c>
      <c r="F296" s="219" t="s">
        <v>352</v>
      </c>
      <c r="G296" s="211"/>
      <c r="H296" s="211"/>
      <c r="I296" s="211"/>
      <c r="J296" s="211"/>
    </row>
    <row r="297" spans="2:10">
      <c r="B297" s="214"/>
      <c r="C297" s="214"/>
      <c r="D297" s="260" t="str">
        <f>"I"&amp;LEFT($AJ$12,1)&amp;"DNOx"</f>
        <v>IADNOx</v>
      </c>
      <c r="E297" s="270" t="str">
        <f>"Industrial heating  heating technology "&amp;$AJ$12&amp;" - NOx emission"</f>
        <v>Industrial heating  heating technology Aluminium - NOx emission</v>
      </c>
      <c r="F297" s="219" t="s">
        <v>352</v>
      </c>
      <c r="G297" s="211"/>
      <c r="H297" s="214"/>
      <c r="I297" s="214"/>
      <c r="J297" s="214"/>
    </row>
    <row r="298" spans="2:10">
      <c r="B298" s="214"/>
      <c r="C298" s="214"/>
      <c r="D298" s="260" t="str">
        <f>"I"&amp;LEFT($AJ$12,1)&amp;"DCH4"</f>
        <v>IADCH4</v>
      </c>
      <c r="E298" s="270" t="str">
        <f>"Industrial heating  heating technology "&amp;$AJ$12&amp;" - CH4 emission"</f>
        <v>Industrial heating  heating technology Aluminium - CH4 emission</v>
      </c>
      <c r="F298" s="219" t="s">
        <v>352</v>
      </c>
      <c r="G298" s="211"/>
      <c r="H298" s="214"/>
      <c r="I298" s="214"/>
      <c r="J298" s="214"/>
    </row>
    <row r="299" spans="2:10">
      <c r="B299" s="214"/>
      <c r="C299" s="214"/>
      <c r="D299" s="260" t="str">
        <f>"I"&amp;LEFT($AJ$12,1)&amp;"DNO2"</f>
        <v>IADNO2</v>
      </c>
      <c r="E299" s="270" t="str">
        <f>"Industrial heating  heating technology "&amp;$AJ$12&amp;" - NO2 emission"</f>
        <v>Industrial heating  heating technology Aluminium - NO2 emission</v>
      </c>
      <c r="F299" s="219" t="s">
        <v>352</v>
      </c>
      <c r="G299" s="211"/>
      <c r="H299" s="214"/>
      <c r="I299" s="214"/>
      <c r="J299" s="214"/>
    </row>
    <row r="300" spans="2:10">
      <c r="B300" s="214"/>
      <c r="C300" s="214"/>
      <c r="D300" s="260" t="str">
        <f>"I"&amp;LEFT($AJ$12,1)&amp;"DPM"</f>
        <v>IADPM</v>
      </c>
      <c r="E300" s="270" t="str">
        <f>"Industrial heating  heating technology "&amp;$AJ$12&amp;" - Particle emission"</f>
        <v>Industrial heating  heating technology Aluminium - Particle emission</v>
      </c>
      <c r="F300" s="219" t="s">
        <v>352</v>
      </c>
      <c r="G300" s="211"/>
      <c r="H300" s="214"/>
      <c r="I300" s="214"/>
      <c r="J300" s="214"/>
    </row>
    <row r="301" spans="2:10">
      <c r="B301" s="224" t="s">
        <v>1057</v>
      </c>
      <c r="D301" s="224" t="str">
        <f>AI20</f>
        <v>INDAWH</v>
      </c>
      <c r="E301" s="270" t="str">
        <f>"Industrial heating technology "&amp;$AJ$12&amp;" - Waste heat"</f>
        <v>Industrial heating technology Aluminium - Waste heat</v>
      </c>
      <c r="F301" s="263" t="s">
        <v>450</v>
      </c>
    </row>
  </sheetData>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A39FE9B-060D-4357-ADDD-141AEC8F55D4}">
          <x14:formula1>
            <xm:f>'Oil-fired boiler_NEW'!$T$4:$X$4</xm:f>
          </x14:formula1>
          <xm:sqref>E1</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9964A-C6A7-452B-99B4-BC45F6511F3E}">
  <sheetPr>
    <tabColor rgb="FF00B050"/>
  </sheetPr>
  <dimension ref="A1:AP301"/>
  <sheetViews>
    <sheetView topLeftCell="F45"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719</v>
      </c>
      <c r="N1" s="64"/>
      <c r="O1" s="64"/>
      <c r="P1" s="64"/>
      <c r="S1" s="727" t="s">
        <v>1004</v>
      </c>
      <c r="T1" s="776" t="s">
        <v>1003</v>
      </c>
      <c r="U1" s="775" t="s">
        <v>1053</v>
      </c>
      <c r="V1" s="776" t="s">
        <v>1054</v>
      </c>
      <c r="W1" s="780">
        <v>0.3</v>
      </c>
    </row>
    <row r="2" spans="2:42" ht="15" thickBot="1">
      <c r="E2" s="730" t="s">
        <v>686</v>
      </c>
      <c r="N2" s="731"/>
      <c r="O2" s="731"/>
      <c r="P2" s="731"/>
      <c r="S2" s="726">
        <f>MATCH($E$1,$AJ$22:$AJ$35)</f>
        <v>13</v>
      </c>
      <c r="T2" s="778">
        <f>MATCH($E$1,$AJ$22:$AJ$35)+1</f>
        <v>14</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FEMIS~IMDSOx</v>
      </c>
      <c r="Y6" s="280" t="str">
        <f>"FEMIS~"&amp;D297</f>
        <v>FEMIS~IMDNOx</v>
      </c>
      <c r="Z6" s="280" t="str">
        <f>"FEMIS~"&amp;D298</f>
        <v>FEMIS~IMDCH4</v>
      </c>
      <c r="AA6" s="280" t="str">
        <f>"FEMIS~"&amp;D299</f>
        <v>FEMIS~IMDNO2</v>
      </c>
      <c r="AB6" s="280" t="str">
        <f>"FEMIS~"&amp;D300</f>
        <v>FEMIS~IMDPM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INDMDPHELCN1</v>
      </c>
      <c r="E9" s="261" t="str">
        <f>"Industrial heating technology "&amp;$AJ$12&amp;" "&amp;RIGHT(H9,2)&amp;" - Heat pump utilizing waste heat - new 1"</f>
        <v>Industrial heating technology Machinery PH - Heat pump utilizing waste heat - new 1</v>
      </c>
      <c r="F9" s="224" t="s">
        <v>1149</v>
      </c>
      <c r="G9" s="173" t="s">
        <v>499</v>
      </c>
      <c r="H9" s="174" t="str">
        <f>$AI$14</f>
        <v>IMDPH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INDMWH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IMDPH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INDMWH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Machinery</v>
      </c>
    </row>
    <row r="13" spans="2:42">
      <c r="B13" s="357" t="s">
        <v>998</v>
      </c>
      <c r="D13" s="212"/>
      <c r="E13" s="212"/>
      <c r="F13" s="224" t="s">
        <v>1149</v>
      </c>
      <c r="G13" s="173" t="s">
        <v>499</v>
      </c>
      <c r="H13" s="174" t="str">
        <f>$AI$14</f>
        <v>IMDPH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IMDPH</v>
      </c>
      <c r="AJ13" s="224" t="str">
        <f>AP14</f>
        <v>Machinery industry Demand Heat High Temp. over 150C</v>
      </c>
      <c r="AO13" s="224" t="s">
        <v>2089</v>
      </c>
      <c r="AP13" s="224" t="s">
        <v>1183</v>
      </c>
    </row>
    <row r="14" spans="2:42">
      <c r="B14" s="357" t="s">
        <v>998</v>
      </c>
      <c r="D14" s="212"/>
      <c r="E14" s="212"/>
      <c r="F14" s="224" t="s">
        <v>1149</v>
      </c>
      <c r="G14" s="173" t="str">
        <f>$AI$20</f>
        <v>INDMWH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IMDPH</v>
      </c>
      <c r="AJ14" s="224" t="str">
        <f>AP13</f>
        <v>Machinery industry Demand Heat Medium Temp. up to 150C</v>
      </c>
      <c r="AO14" s="224" t="s">
        <v>2089</v>
      </c>
      <c r="AP14" s="224" t="s">
        <v>1184</v>
      </c>
    </row>
    <row r="15" spans="2:42">
      <c r="B15" s="357" t="s">
        <v>998</v>
      </c>
      <c r="D15" s="212" t="str">
        <f>"IND"&amp;RIGHT(H15,4)&amp;RIGHT(G15,3)&amp;"N"&amp;RIGHT(E15,1)</f>
        <v>INDMDSHELCN1</v>
      </c>
      <c r="E15" s="261" t="str">
        <f>"Industrial heating technology "&amp;$AJ$12&amp;" "&amp;RIGHT(H15,2)&amp;" - Heat pump utilizing waste heat - new 1"</f>
        <v>Industrial heating technology Machinery SH - Heat pump utilizing waste heat - new 1</v>
      </c>
      <c r="F15" s="224" t="s">
        <v>1149</v>
      </c>
      <c r="G15" s="173" t="s">
        <v>499</v>
      </c>
      <c r="H15" s="174" t="str">
        <f>$AI$15</f>
        <v>IMDSH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IMDSH</v>
      </c>
      <c r="AJ15" s="224" t="str">
        <f>AP15</f>
        <v>Machinery industry Demand Heat Room Heat</v>
      </c>
      <c r="AO15" s="224" t="s">
        <v>2090</v>
      </c>
      <c r="AP15" s="224" t="s">
        <v>1185</v>
      </c>
    </row>
    <row r="16" spans="2:42">
      <c r="B16" s="357" t="s">
        <v>998</v>
      </c>
      <c r="D16" s="212"/>
      <c r="E16" s="261"/>
      <c r="F16" s="224" t="s">
        <v>1149</v>
      </c>
      <c r="G16" s="173" t="str">
        <f>$AI$20</f>
        <v>INDMWH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IMDLA</v>
      </c>
      <c r="AJ16" s="224" t="str">
        <f t="shared" si="0"/>
        <v>Machinery industry Demand Light</v>
      </c>
      <c r="AO16" s="224" t="s">
        <v>1186</v>
      </c>
      <c r="AP16" s="224" t="s">
        <v>1187</v>
      </c>
    </row>
    <row r="17" spans="2:42">
      <c r="B17" s="357" t="s">
        <v>998</v>
      </c>
      <c r="D17" s="212"/>
      <c r="E17" s="212"/>
      <c r="F17" s="224" t="s">
        <v>1149</v>
      </c>
      <c r="G17" s="173" t="s">
        <v>499</v>
      </c>
      <c r="H17" s="174" t="str">
        <f>$AI$15</f>
        <v>IMDSH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IMDEM</v>
      </c>
      <c r="AJ17" s="224" t="str">
        <f t="shared" si="0"/>
        <v>Machinery industry Demand Electric Motors</v>
      </c>
      <c r="AO17" s="224" t="s">
        <v>1188</v>
      </c>
      <c r="AP17" s="224" t="s">
        <v>1189</v>
      </c>
    </row>
    <row r="18" spans="2:42">
      <c r="B18" s="357" t="s">
        <v>998</v>
      </c>
      <c r="D18" s="212"/>
      <c r="E18" s="212"/>
      <c r="F18" s="224" t="s">
        <v>1149</v>
      </c>
      <c r="G18" s="173" t="str">
        <f>$AI$20</f>
        <v>INDMWH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IMDTF</v>
      </c>
      <c r="AJ18" s="224" t="str">
        <f t="shared" si="0"/>
        <v>Machinery industry Demand Haulage Tractors, Trucks, Fishing boats, Forest machines</v>
      </c>
      <c r="AO18" s="224" t="s">
        <v>1190</v>
      </c>
      <c r="AP18" s="224" t="s">
        <v>1191</v>
      </c>
    </row>
    <row r="19" spans="2:42">
      <c r="B19" s="357" t="s">
        <v>998</v>
      </c>
      <c r="D19" s="212"/>
      <c r="E19" s="212"/>
      <c r="F19" s="224" t="s">
        <v>1149</v>
      </c>
      <c r="G19" s="173" t="s">
        <v>499</v>
      </c>
      <c r="H19" s="174" t="str">
        <f>$AI$15</f>
        <v>IMDSH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IMDFL</v>
      </c>
      <c r="AJ19" s="224" t="str">
        <f t="shared" si="0"/>
        <v>Machinery industry Demand Haulage Forklifts</v>
      </c>
      <c r="AO19" s="224" t="s">
        <v>1192</v>
      </c>
      <c r="AP19" s="224" t="s">
        <v>1193</v>
      </c>
    </row>
    <row r="20" spans="2:42">
      <c r="B20" s="357" t="s">
        <v>998</v>
      </c>
      <c r="D20" s="212"/>
      <c r="E20" s="212"/>
      <c r="F20" s="224" t="s">
        <v>1149</v>
      </c>
      <c r="G20" s="173" t="str">
        <f>$AI$20</f>
        <v>INDMWH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INDMWH</v>
      </c>
      <c r="AJ20" s="224" t="str">
        <f>$AJ$12&amp;" Industrial Waste Heat"</f>
        <v>Machinery Industrial Waste Heat</v>
      </c>
    </row>
    <row r="21" spans="2:42">
      <c r="B21" s="357" t="s">
        <v>999</v>
      </c>
      <c r="D21" s="212" t="str">
        <f>"IND"&amp;RIGHT(H21,4)&amp;RIGHT(G21,3)&amp;"N"&amp;RIGHT(E21,1)</f>
        <v>INDMDPHELCN2</v>
      </c>
      <c r="E21" s="261" t="str">
        <f>"Industrial heating technology "&amp;$AJ$12&amp;" "&amp;RIGHT(H21,2)&amp;" - Heat driven heat pump utilizing waste heat - new 2"</f>
        <v>Industrial heating technology Machinery PH - Heat driven heat pump utilizing waste heat - new 2</v>
      </c>
      <c r="F21" s="224" t="s">
        <v>1149</v>
      </c>
      <c r="G21" s="173" t="s">
        <v>499</v>
      </c>
      <c r="H21" s="174" t="str">
        <f>$AI$14</f>
        <v>IMDPH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IMDCO</v>
      </c>
      <c r="AJ21" s="224" t="s">
        <v>2119</v>
      </c>
    </row>
    <row r="22" spans="2:42">
      <c r="B22" s="357" t="s">
        <v>999</v>
      </c>
      <c r="D22" s="212"/>
      <c r="E22" s="261"/>
      <c r="F22" s="224" t="s">
        <v>1149</v>
      </c>
      <c r="G22" s="173" t="str">
        <f>$AI$20</f>
        <v>INDMWH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IMDPH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INDMWH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IMDPH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INDMWH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INDMDSHELCN2</v>
      </c>
      <c r="E27" s="261" t="str">
        <f>"Industrial heating technology "&amp;$AJ$12&amp;" "&amp;RIGHT(H27,2)&amp;" - Heat driven heat pump utilizing waste heat - new 2"</f>
        <v>Industrial heating technology Machinery SH - Heat driven heat pump utilizing waste heat - new 2</v>
      </c>
      <c r="F27" s="224" t="s">
        <v>1149</v>
      </c>
      <c r="G27" s="173" t="s">
        <v>499</v>
      </c>
      <c r="H27" s="174" t="str">
        <f>$AI$15</f>
        <v>IMDSH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INDMWH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IMDSH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INDMWH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IMDSH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INDMWH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INDMDPHELCN3</v>
      </c>
      <c r="E33" s="261" t="str">
        <f>"Industrial heating technology "&amp;$AJ$12&amp;" "&amp;RIGHT(H33,2)&amp;" - High Temp abs. Heat pump utilizing waste heat - new 3"</f>
        <v>Industrial heating technology Machinery PH - High Temp abs. Heat pump utilizing waste heat - new 3</v>
      </c>
      <c r="F33" s="224" t="s">
        <v>1149</v>
      </c>
      <c r="G33" s="173" t="s">
        <v>499</v>
      </c>
      <c r="H33" s="174" t="str">
        <f>$AI$14</f>
        <v>IMDPH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INDMWH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IMDPH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INDMWH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IMDPH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INDMWH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INDMDSHELCN3</v>
      </c>
      <c r="E39" s="261" t="str">
        <f>"Industrial heating technology "&amp;$AJ$12&amp;" "&amp;RIGHT(H39,2)&amp;" - High Temp abs. Heat pump utilizing waste heat - new 3"</f>
        <v>Industrial heating technology Machinery SH - High Temp abs. Heat pump utilizing waste heat - new 3</v>
      </c>
      <c r="F39" s="224" t="s">
        <v>1149</v>
      </c>
      <c r="G39" s="173" t="s">
        <v>499</v>
      </c>
      <c r="H39" s="174" t="str">
        <f>$AI$15</f>
        <v>IMDSH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INDMWH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IMDSH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INDMWH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IMDSH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INDMWH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INDMDPHELCN4</v>
      </c>
      <c r="E45" s="261" t="str">
        <f>"Industrial heating technology "&amp;$AJ$12&amp;" "&amp;RIGHT(H45,2)&amp;" - Booster Heat pump utilizing waste heat - new 4"</f>
        <v>Industrial heating technology Machinery PH - Booster Heat pump utilizing waste heat - new 4</v>
      </c>
      <c r="F45" s="224" t="s">
        <v>1149</v>
      </c>
      <c r="G45" s="173" t="s">
        <v>499</v>
      </c>
      <c r="H45" s="174" t="str">
        <f>$AI$14</f>
        <v>IMDPH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INDMWH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IMDPH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INDMWH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IMDPH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INDMWH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INDMDSHELCN4</v>
      </c>
      <c r="E51" s="261" t="str">
        <f>"Industrial heating technology "&amp;$AJ$12&amp;" "&amp;RIGHT(H51,2)&amp;" - Booster Heat pump utilizing waste heat - new 4"</f>
        <v>Industrial heating technology Machinery SH - Booster Heat pump utilizing waste heat - new 4</v>
      </c>
      <c r="F51" s="224" t="s">
        <v>1149</v>
      </c>
      <c r="G51" s="173" t="s">
        <v>499</v>
      </c>
      <c r="H51" s="174" t="str">
        <f>$AI$15</f>
        <v>IMDSH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INDMWH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IMDSH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INDMWH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IMDSH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INDMWH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INDMDPHELCN5</v>
      </c>
      <c r="E57" s="261" t="str">
        <f>"Industrial heating technology "&amp;$AJ$12&amp;" "&amp;RIGHT(H57,2)&amp;" - MVR utilizing waste heat - new 5"</f>
        <v>Industrial heating technology Machinery PH - MVR utilizing waste heat - new 5</v>
      </c>
      <c r="F57" s="224" t="s">
        <v>1149</v>
      </c>
      <c r="G57" s="173" t="s">
        <v>499</v>
      </c>
      <c r="H57" s="174" t="str">
        <f>$AI$14</f>
        <v>IMDPH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INDMWH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IMDPH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INDMWH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IMDPH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INDMWH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INDMDPHWSTN1</v>
      </c>
      <c r="E63" s="261" t="str">
        <f>"Industrial heating technology "&amp;$AJ$12&amp;" "&amp;RIGHT(H63,2)&amp;" - Hotdisc - new 1"</f>
        <v>Industrial heating technology Machinery PH - Hotdisc - new 1</v>
      </c>
      <c r="F63" s="224" t="s">
        <v>1149</v>
      </c>
      <c r="G63" s="832" t="s">
        <v>1005</v>
      </c>
      <c r="H63" s="174" t="str">
        <f>$AI$13</f>
        <v>IMDPH</v>
      </c>
      <c r="I63" s="173" t="str">
        <f t="shared" ref="I63:I126" si="22">$AI$20</f>
        <v>INDMWH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INDMWH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INDMWH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INDMDPHELCN6</v>
      </c>
      <c r="E66" s="261" t="str">
        <f>"Industrial heating technology "&amp;$AJ$12&amp;" "&amp;RIGHT(H66,2)&amp;" - Dielectric heating - new 6"</f>
        <v>Industrial heating technology Machinery PH - Dielectric heating - new 6</v>
      </c>
      <c r="F66" s="224" t="s">
        <v>1149</v>
      </c>
      <c r="G66" s="173" t="s">
        <v>499</v>
      </c>
      <c r="H66" s="174" t="str">
        <f>$AI$14</f>
        <v>IMDPH</v>
      </c>
      <c r="I66" s="173" t="str">
        <f t="shared" si="22"/>
        <v>INDMWH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INDMWH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INDMWH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INDMDPHELCN7</v>
      </c>
      <c r="E69" s="261" t="str">
        <f>"Industrial heating technology "&amp;$AJ$12&amp;" "&amp;RIGHT(H69,2)&amp;" - Infrared heating - new 7"</f>
        <v>Industrial heating technology Machinery PH - Infrared heating - new 7</v>
      </c>
      <c r="F69" s="224" t="s">
        <v>1149</v>
      </c>
      <c r="G69" s="173" t="s">
        <v>499</v>
      </c>
      <c r="H69" s="174" t="str">
        <f>$AI$14</f>
        <v>IMDPH</v>
      </c>
      <c r="I69" s="173" t="str">
        <f t="shared" si="22"/>
        <v>INDMWH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INDMWH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INDMWH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INDMDPHELCN8</v>
      </c>
      <c r="E72" s="261" t="str">
        <f>"Industrial heating technology "&amp;$AJ$12&amp;" "&amp;RIGHT(H72,2)&amp;" - Electric boiler (Steam) - new 8"</f>
        <v>Industrial heating technology Machinery PH - Electric boiler (Steam) - new 8</v>
      </c>
      <c r="F72" s="224" t="s">
        <v>1149</v>
      </c>
      <c r="G72" s="173" t="s">
        <v>499</v>
      </c>
      <c r="H72" s="174" t="str">
        <f>$AI$13</f>
        <v>IMDPH</v>
      </c>
      <c r="I72" s="174" t="str">
        <f t="shared" si="22"/>
        <v>INDMWH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INDMWH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INDMWH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INDMDPHELCN8</v>
      </c>
      <c r="E75" s="261" t="str">
        <f>"Industrial heating technology "&amp;$AJ$12&amp;" "&amp;RIGHT(H75,2)&amp;" - Electric boiler (Steam) - new 8"</f>
        <v>Industrial heating technology Machinery PH - Electric boiler (Steam) - new 8</v>
      </c>
      <c r="F75" s="224" t="s">
        <v>1149</v>
      </c>
      <c r="G75" s="173" t="s">
        <v>499</v>
      </c>
      <c r="H75" s="174" t="str">
        <f>$AI$14</f>
        <v>IMDPH</v>
      </c>
      <c r="I75" s="174" t="str">
        <f t="shared" si="22"/>
        <v>INDMWH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INDMWH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INDMWH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INDMDSHELCN8</v>
      </c>
      <c r="E78" s="261" t="str">
        <f>"Industrial heating technology "&amp;$AJ$12&amp;" "&amp;RIGHT(H78,2)&amp;" - Electric boiler (Steam) - new 8"</f>
        <v>Industrial heating technology Machinery SH - Electric boiler (Steam) - new 8</v>
      </c>
      <c r="F78" s="224" t="s">
        <v>1149</v>
      </c>
      <c r="G78" s="173" t="s">
        <v>499</v>
      </c>
      <c r="H78" s="174" t="str">
        <f>$AI$15</f>
        <v>IMDSH</v>
      </c>
      <c r="I78" s="174" t="str">
        <f t="shared" si="22"/>
        <v>INDMWH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INDMWH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INDMWH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INDMDPHELCN9</v>
      </c>
      <c r="E81" s="707" t="str">
        <f>"Industrial heating technology "&amp;$AJ$12&amp;" "&amp;RIGHT(H81,2)&amp;" - Electric boiler (Hot Water) - new 9"</f>
        <v>Industrial heating technology Machinery PH - Electric boiler (Hot Water) - new 9</v>
      </c>
      <c r="F81" s="224" t="s">
        <v>1149</v>
      </c>
      <c r="G81" s="708" t="s">
        <v>499</v>
      </c>
      <c r="H81" s="708" t="str">
        <f>$AI$14</f>
        <v>IMDPH</v>
      </c>
      <c r="I81" s="708" t="str">
        <f t="shared" si="22"/>
        <v>INDMWH</v>
      </c>
      <c r="J81" s="224">
        <f t="shared" si="32"/>
        <v>2011</v>
      </c>
      <c r="K81" s="299">
        <v>2020</v>
      </c>
      <c r="L81" s="199">
        <f ca="1">VLOOKUP($AD81,INDIRECT("'"&amp;$B81&amp;"'!"&amp;"$P$118:$AD$121"),3,FALSE)</f>
        <v>0.99</v>
      </c>
      <c r="M81" s="199"/>
      <c r="N81" s="81">
        <f ca="1">VLOOKUP($AD81,INDIRECT("'"&amp;$B81&amp;"'!"&amp;"$P$118:$AD$121"),5,FALSE)</f>
        <v>25</v>
      </c>
      <c r="O81" s="723">
        <f t="shared" ref="O81:O86" ca="1" si="48">VLOOKUP($AD81,INDIRECT("'"&amp;$B81&amp;"'!"&amp;"$P$118:$AD$121"),6,FALSE)/1000</f>
        <v>0.52150000000000007</v>
      </c>
      <c r="P81" s="723">
        <f t="shared" ref="P81:P86" ca="1" si="49">VLOOKUP($AD81,INDIRECT("'"&amp;$B81&amp;"'!"&amp;"$P$118:$AD$121"),7,FALSE)/1000</f>
        <v>7.9714999999999994E-3</v>
      </c>
      <c r="Q81" s="81">
        <f t="shared" ref="Q81:Q86" ca="1" si="50">VLOOKUP($AD81,INDIRECT("'"&amp;$B81&amp;"'!"&amp;"$P$118:$AD$121"),8,FALSE)</f>
        <v>1.7900694444444445</v>
      </c>
      <c r="R81" s="81">
        <v>3.1536000000000002E-2</v>
      </c>
      <c r="S81" s="199">
        <v>0.5</v>
      </c>
      <c r="T81" s="199">
        <f ca="1">HLOOKUP($T$2,INDIRECT("'"&amp;$B81&amp;"'!"&amp;"$P$85:$AC$98"),IF(H81=$AI$13,6,IF(H81=$AI$14,9,14)),FALSE)</f>
        <v>0</v>
      </c>
      <c r="U81" s="773"/>
      <c r="V81" s="199">
        <f t="shared" ref="V81" ca="1" si="51">IF(IF(RIGHT(H81,2)="PH",(1-L81)+$W$2,IF(RIGHT(H81,2)="HT",(1-L81)+$W$1,IF(RIGHT(H81,2)="SH",(1-L81)+$W$3,"")))&gt;0,IF(RIGHT(H81,2)="PH",(1-L81)+$W$2,IF(RIGHT(H81,2)="HT",(1-L81)+$W$1,IF(RIGHT(H81,2)="SH",(1-L81)+$W$3,""))),0)</f>
        <v>0.21000000000000002</v>
      </c>
      <c r="W81" s="709"/>
      <c r="X81" s="698">
        <f t="shared" ca="1" si="27"/>
        <v>0</v>
      </c>
      <c r="Y81" s="698">
        <f t="shared" ref="Y81:Y86" ca="1" si="52">VLOOKUP($AD81,INDIRECT("'"&amp;$B81&amp;"'!"&amp;"$P$118:$AD$121"),12,FALSE)</f>
        <v>0</v>
      </c>
      <c r="Z81" s="698">
        <f t="shared" ref="Z81:Z86" ca="1" si="53">VLOOKUP($AD81,INDIRECT("'"&amp;$B81&amp;"'!"&amp;"$P$118:$AD$121"),13,FALSE)</f>
        <v>0</v>
      </c>
      <c r="AA81" s="698">
        <f t="shared" ref="AA81:AA86" ca="1" si="54">VLOOKUP($AD81,INDIRECT("'"&amp;$B81&amp;"'!"&amp;"$P$118:$AD$121"),14,FALSE)</f>
        <v>0</v>
      </c>
      <c r="AB81" s="698">
        <f t="shared" ref="AB81:AB86" ca="1" si="55">VLOOKUP($AD81,INDIRECT("'"&amp;$B81&amp;"'!"&amp;"$P$118:$AD$121"),15,FALSE)</f>
        <v>0</v>
      </c>
      <c r="AC81" s="55"/>
      <c r="AD81" s="81">
        <v>2020</v>
      </c>
      <c r="AE81" s="81"/>
      <c r="AF81" s="700"/>
    </row>
    <row r="82" spans="1:33">
      <c r="B82" s="357" t="s">
        <v>1007</v>
      </c>
      <c r="C82" s="55"/>
      <c r="D82" s="261"/>
      <c r="E82" s="261"/>
      <c r="F82" s="224" t="s">
        <v>1149</v>
      </c>
      <c r="G82" s="55"/>
      <c r="H82" s="174"/>
      <c r="I82" s="174" t="str">
        <f t="shared" si="22"/>
        <v>INDMWH</v>
      </c>
      <c r="J82" s="224">
        <f t="shared" si="32"/>
        <v>2030</v>
      </c>
      <c r="K82" s="81"/>
      <c r="L82" s="199">
        <f ca="1">VLOOKUP($AD82,INDIRECT("'"&amp;$B82&amp;"'!"&amp;"$P$118:$AD$121"),3,FALSE)</f>
        <v>0.99</v>
      </c>
      <c r="M82" s="199"/>
      <c r="N82" s="81"/>
      <c r="O82" s="723">
        <f t="shared" ca="1" si="48"/>
        <v>0.44700000000000001</v>
      </c>
      <c r="P82" s="723">
        <f t="shared" ca="1" si="49"/>
        <v>7.5989999999999999E-3</v>
      </c>
      <c r="Q82" s="81">
        <f t="shared" ca="1" si="50"/>
        <v>1.8107638888888888</v>
      </c>
      <c r="R82" s="300"/>
      <c r="S82" s="300"/>
      <c r="T82" s="300"/>
      <c r="U82" s="300"/>
      <c r="V82" s="199">
        <f t="shared" ref="V82" ca="1" si="56">IF(IF(RIGHT(H81,2)="PH",(1-L82)+$W$2,IF(RIGHT(H81,2)="HT",(1-L82)+$W$1,IF(RIGHT(H81,2)="SH",(1-L82)+$W$3,"")))&gt;0,IF(RIGHT(H81,2)="PH",(1-L82)+$W$2,IF(RIGHT(H81,2)="HT",(1-L82)+$W$1,IF(RIGHT(H81,2)="SH",(1-L82)+$W$3,""))),0)</f>
        <v>0.21000000000000002</v>
      </c>
      <c r="W82" s="298"/>
      <c r="X82" s="698">
        <f t="shared" ca="1" si="27"/>
        <v>0</v>
      </c>
      <c r="Y82" s="698">
        <f t="shared" ca="1" si="52"/>
        <v>0</v>
      </c>
      <c r="Z82" s="698">
        <f t="shared" ca="1" si="53"/>
        <v>0</v>
      </c>
      <c r="AA82" s="698">
        <f t="shared" ca="1" si="54"/>
        <v>0</v>
      </c>
      <c r="AB82" s="698">
        <f t="shared" ca="1" si="55"/>
        <v>0</v>
      </c>
      <c r="AC82" s="55"/>
      <c r="AD82" s="81">
        <v>2030</v>
      </c>
      <c r="AE82" s="81"/>
      <c r="AF82" s="700"/>
    </row>
    <row r="83" spans="1:33">
      <c r="B83" s="357" t="s">
        <v>1007</v>
      </c>
      <c r="C83" s="55"/>
      <c r="D83" s="261"/>
      <c r="E83" s="261"/>
      <c r="F83" s="224" t="s">
        <v>1149</v>
      </c>
      <c r="G83" s="55"/>
      <c r="H83" s="174"/>
      <c r="I83" s="174" t="str">
        <f t="shared" si="22"/>
        <v>INDMWH</v>
      </c>
      <c r="J83" s="224">
        <f t="shared" si="32"/>
        <v>2050</v>
      </c>
      <c r="K83" s="81"/>
      <c r="L83" s="199">
        <f ca="1">VLOOKUP($AD83,INDIRECT("'"&amp;$B83&amp;"'!"&amp;"$P$118:$AD$121"),3,FALSE)</f>
        <v>0.99</v>
      </c>
      <c r="M83" s="199"/>
      <c r="N83" s="81"/>
      <c r="O83" s="723">
        <f t="shared" ca="1" si="48"/>
        <v>0.44700000000000001</v>
      </c>
      <c r="P83" s="723">
        <f t="shared" ca="1" si="49"/>
        <v>6.8539999999999998E-3</v>
      </c>
      <c r="Q83" s="81">
        <f t="shared" ca="1" si="50"/>
        <v>1.6141666666666665</v>
      </c>
      <c r="R83" s="300"/>
      <c r="S83" s="300"/>
      <c r="T83" s="300"/>
      <c r="U83" s="300"/>
      <c r="V83" s="199">
        <f t="shared" ref="V83" ca="1" si="57">IF(IF(RIGHT(H81,2)="PH",(1-L83)+$W$2,IF(RIGHT(H81,2)="HT",(1-L83)+$W$1,IF(RIGHT(H81,2)="SH",(1-L83)+$W$3,"")))&gt;0,IF(RIGHT(H81,2)="PH",(1-L83)+$W$2,IF(RIGHT(H81,2)="HT",(1-L83)+$W$1,IF(RIGHT(H81,2)="SH",(1-L83)+$W$3,""))),0)</f>
        <v>0.21000000000000002</v>
      </c>
      <c r="W83" s="298"/>
      <c r="X83" s="698">
        <f t="shared" ca="1" si="27"/>
        <v>0</v>
      </c>
      <c r="Y83" s="698">
        <f t="shared" ca="1" si="52"/>
        <v>0</v>
      </c>
      <c r="Z83" s="698">
        <f t="shared" ca="1" si="53"/>
        <v>0</v>
      </c>
      <c r="AA83" s="698">
        <f t="shared" ca="1" si="54"/>
        <v>0</v>
      </c>
      <c r="AB83" s="698">
        <f t="shared" ca="1" si="55"/>
        <v>0</v>
      </c>
      <c r="AC83" s="203"/>
      <c r="AD83" s="81">
        <v>2050</v>
      </c>
      <c r="AE83" s="81"/>
      <c r="AF83" s="705"/>
    </row>
    <row r="84" spans="1:33">
      <c r="B84" s="357" t="s">
        <v>1007</v>
      </c>
      <c r="C84" s="55"/>
      <c r="D84" s="261" t="str">
        <f>"IND"&amp;RIGHT(H84,4)&amp;RIGHT(G84,3)&amp;"N"&amp;RIGHT(E84,1)</f>
        <v>INDMDSHELCN9</v>
      </c>
      <c r="E84" s="261" t="str">
        <f>"Industrial heating technology "&amp;$AJ$12&amp;" "&amp;RIGHT(H84,2)&amp;" - Electric boiler (Hot Water) - new 9"</f>
        <v>Industrial heating technology Machinery SH - Electric boiler (Hot Water) - new 9</v>
      </c>
      <c r="F84" s="224" t="s">
        <v>1149</v>
      </c>
      <c r="G84" s="174" t="s">
        <v>499</v>
      </c>
      <c r="H84" s="174" t="str">
        <f>$AI$15</f>
        <v>IMDSH</v>
      </c>
      <c r="I84" s="174" t="str">
        <f t="shared" si="22"/>
        <v>INDMWH</v>
      </c>
      <c r="J84" s="224">
        <f t="shared" si="32"/>
        <v>2011</v>
      </c>
      <c r="K84" s="299">
        <v>2020</v>
      </c>
      <c r="L84" s="199">
        <f ca="1">VLOOKUP($AD84,INDIRECT("'"&amp;$B84&amp;"'!"&amp;"$P$118:$AD$121"),3,FALSE)</f>
        <v>0.99</v>
      </c>
      <c r="M84" s="199"/>
      <c r="N84" s="81">
        <f ca="1">VLOOKUP($AD84,INDIRECT("'"&amp;$B84&amp;"'!"&amp;"$P$118:$AD$121"),5,FALSE)</f>
        <v>25</v>
      </c>
      <c r="O84" s="723">
        <f t="shared" ca="1" si="48"/>
        <v>0.52150000000000007</v>
      </c>
      <c r="P84" s="723">
        <f t="shared" ca="1" si="49"/>
        <v>7.9714999999999994E-3</v>
      </c>
      <c r="Q84" s="81">
        <f t="shared" ca="1" si="50"/>
        <v>1.7900694444444445</v>
      </c>
      <c r="R84" s="81">
        <v>3.1536000000000002E-2</v>
      </c>
      <c r="S84" s="199">
        <v>0.5</v>
      </c>
      <c r="T84" s="199">
        <f ca="1">HLOOKUP($T$2,INDIRECT("'"&amp;$B84&amp;"'!"&amp;"$P$85:$AC$98"),IF(H84=$AI$13,6,IF(H84=$AI$14,9,14)),FALSE)</f>
        <v>1</v>
      </c>
      <c r="U84" s="772"/>
      <c r="V84" s="199">
        <f t="shared" ref="V84" ca="1" si="58">IF(IF(RIGHT(H84,2)="PH",(1-L84)+$W$2,IF(RIGHT(H84,2)="HT",(1-L84)+$W$1,IF(RIGHT(H84,2)="SH",(1-L84)+$W$3,"")))&gt;0,IF(RIGHT(H84,2)="PH",(1-L84)+$W$2,IF(RIGHT(H84,2)="HT",(1-L84)+$W$1,IF(RIGHT(H84,2)="SH",(1-L84)+$W$3,""))),0)</f>
        <v>1.0000000000000009E-2</v>
      </c>
      <c r="W84" s="298"/>
      <c r="X84" s="698">
        <f t="shared" ca="1" si="27"/>
        <v>0</v>
      </c>
      <c r="Y84" s="698">
        <f t="shared" ca="1" si="52"/>
        <v>0</v>
      </c>
      <c r="Z84" s="698">
        <f t="shared" ca="1" si="53"/>
        <v>0</v>
      </c>
      <c r="AA84" s="698">
        <f t="shared" ca="1" si="54"/>
        <v>0</v>
      </c>
      <c r="AB84" s="698">
        <f t="shared" ca="1" si="55"/>
        <v>0</v>
      </c>
      <c r="AD84" s="81">
        <v>2020</v>
      </c>
      <c r="AE84" s="299"/>
      <c r="AF84" s="220"/>
    </row>
    <row r="85" spans="1:33">
      <c r="B85" s="357" t="s">
        <v>1007</v>
      </c>
      <c r="C85" s="55"/>
      <c r="D85" s="261"/>
      <c r="E85" s="261"/>
      <c r="F85" s="224" t="s">
        <v>1149</v>
      </c>
      <c r="G85" s="55"/>
      <c r="H85" s="174"/>
      <c r="I85" s="174" t="str">
        <f t="shared" si="22"/>
        <v>INDMWH</v>
      </c>
      <c r="J85" s="224">
        <f t="shared" si="32"/>
        <v>2030</v>
      </c>
      <c r="K85" s="81"/>
      <c r="L85" s="199">
        <f ca="1">VLOOKUP($AD85,INDIRECT("'"&amp;$B85&amp;"'!"&amp;"$P$118:$AD$121"),3,FALSE)</f>
        <v>0.99</v>
      </c>
      <c r="M85" s="199"/>
      <c r="N85" s="81"/>
      <c r="O85" s="723">
        <f t="shared" ca="1" si="48"/>
        <v>0.44700000000000001</v>
      </c>
      <c r="P85" s="723">
        <f t="shared" ca="1" si="49"/>
        <v>7.5989999999999999E-3</v>
      </c>
      <c r="Q85" s="81">
        <f t="shared" ca="1" si="50"/>
        <v>1.8107638888888888</v>
      </c>
      <c r="R85" s="300"/>
      <c r="S85" s="300"/>
      <c r="T85" s="300"/>
      <c r="U85" s="300"/>
      <c r="V85" s="199">
        <f t="shared" ref="V85" ca="1" si="59">IF(IF(RIGHT(H84,2)="PH",(1-L85)+$W$2,IF(RIGHT(H84,2)="HT",(1-L85)+$W$1,IF(RIGHT(H84,2)="SH",(1-L85)+$W$3,"")))&gt;0,IF(RIGHT(H84,2)="PH",(1-L85)+$W$2,IF(RIGHT(H84,2)="HT",(1-L85)+$W$1,IF(RIGHT(H84,2)="SH",(1-L85)+$W$3,""))),0)</f>
        <v>1.0000000000000009E-2</v>
      </c>
      <c r="W85" s="298"/>
      <c r="X85" s="698">
        <f t="shared" ca="1" si="27"/>
        <v>0</v>
      </c>
      <c r="Y85" s="698">
        <f t="shared" ca="1" si="52"/>
        <v>0</v>
      </c>
      <c r="Z85" s="698">
        <f t="shared" ca="1" si="53"/>
        <v>0</v>
      </c>
      <c r="AA85" s="698">
        <f t="shared" ca="1" si="54"/>
        <v>0</v>
      </c>
      <c r="AB85" s="698">
        <f t="shared" ca="1" si="55"/>
        <v>0</v>
      </c>
      <c r="AD85" s="81">
        <v>2030</v>
      </c>
      <c r="AE85" s="81"/>
      <c r="AF85" s="220"/>
    </row>
    <row r="86" spans="1:33">
      <c r="B86" s="356" t="s">
        <v>1007</v>
      </c>
      <c r="C86" s="203"/>
      <c r="D86" s="701"/>
      <c r="E86" s="701"/>
      <c r="F86" s="224" t="s">
        <v>1149</v>
      </c>
      <c r="G86" s="203"/>
      <c r="H86" s="702"/>
      <c r="I86" s="702" t="str">
        <f t="shared" si="22"/>
        <v>INDMWH</v>
      </c>
      <c r="J86" s="224">
        <f t="shared" si="32"/>
        <v>2050</v>
      </c>
      <c r="K86" s="81"/>
      <c r="L86" s="199">
        <f t="shared" ref="L86" ca="1" si="60">VLOOKUP($AD86,INDIRECT("'"&amp;$B86&amp;"'!"&amp;"$P$118:$AD$121"),3,FALSE)</f>
        <v>0.99</v>
      </c>
      <c r="M86" s="199"/>
      <c r="N86" s="81"/>
      <c r="O86" s="723">
        <f t="shared" ca="1" si="48"/>
        <v>0.44700000000000001</v>
      </c>
      <c r="P86" s="723">
        <f t="shared" ca="1" si="49"/>
        <v>6.8539999999999998E-3</v>
      </c>
      <c r="Q86" s="81">
        <f t="shared" ca="1" si="50"/>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2"/>
        <v>0</v>
      </c>
      <c r="Z86" s="698">
        <f t="shared" ca="1" si="53"/>
        <v>0</v>
      </c>
      <c r="AA86" s="698">
        <f t="shared" ca="1" si="54"/>
        <v>0</v>
      </c>
      <c r="AB86" s="698">
        <f t="shared" ca="1" si="55"/>
        <v>0</v>
      </c>
      <c r="AD86" s="81">
        <v>2050</v>
      </c>
      <c r="AE86" s="81"/>
      <c r="AF86" s="220"/>
    </row>
    <row r="87" spans="1:33">
      <c r="B87" s="357" t="s">
        <v>1008</v>
      </c>
      <c r="D87" s="212" t="str">
        <f>"IND"&amp;RIGHT(H87,4)&amp;RIGHT(G87,3)&amp;"N"&amp;RIGHT(E87,1)</f>
        <v>INDMDPHWCHN1</v>
      </c>
      <c r="E87" s="261" t="str">
        <f>"Industrial heating technology "&amp;$AJ$12&amp;" "&amp;RIGHT(H87,2)&amp;" - Wood chip boiler (Steam) - new 1"</f>
        <v>Industrial heating technology Machinery PH - Wood chip boiler (Steam) - new 1</v>
      </c>
      <c r="F87" s="224" t="s">
        <v>1149</v>
      </c>
      <c r="G87" s="173" t="s">
        <v>498</v>
      </c>
      <c r="H87" s="174" t="str">
        <f>$AI$13</f>
        <v>IMDPH</v>
      </c>
      <c r="I87" s="174" t="str">
        <f t="shared" si="22"/>
        <v>INDMWH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INDMWH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INDMWH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INDMDPHWCHN1</v>
      </c>
      <c r="E90" s="261" t="str">
        <f>"Industrial heating technology "&amp;$AJ$12&amp;" "&amp;RIGHT(H90,2)&amp;" - Wood chip boiler (Steam) - new 1"</f>
        <v>Industrial heating technology Machinery PH - Wood chip boiler (Steam) - new 1</v>
      </c>
      <c r="F90" s="224" t="s">
        <v>1149</v>
      </c>
      <c r="G90" s="173" t="s">
        <v>498</v>
      </c>
      <c r="H90" s="174" t="str">
        <f>$AI$14</f>
        <v>IMDPH</v>
      </c>
      <c r="I90" s="174" t="str">
        <f t="shared" si="22"/>
        <v>INDMWH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INDMWH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INDMWH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INDMDSHWCHN1</v>
      </c>
      <c r="E93" s="261" t="str">
        <f>"Industrial heating technology "&amp;$AJ$12&amp;" "&amp;RIGHT(H93,2)&amp;" - Wood chip boiler (Steam) - new 1"</f>
        <v>Industrial heating technology Machinery SH - Wood chip boiler (Steam) - new 1</v>
      </c>
      <c r="F93" s="224" t="s">
        <v>1149</v>
      </c>
      <c r="G93" s="173" t="s">
        <v>498</v>
      </c>
      <c r="H93" s="174" t="str">
        <f>$AI$15</f>
        <v>IMDSH</v>
      </c>
      <c r="I93" s="174" t="str">
        <f t="shared" si="22"/>
        <v>INDMWH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INDMWH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INDMWH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INDMDPHWCHN2</v>
      </c>
      <c r="E96" s="707" t="str">
        <f>"Industrial heating technology "&amp;$AJ$12&amp;" "&amp;RIGHT(H96,2)&amp;" - Wood chip boiler (Steam - condensing) - new 2"</f>
        <v>Industrial heating technology Machinery PH - Wood chip boiler (Steam - condensing) - new 2</v>
      </c>
      <c r="F96" s="224" t="s">
        <v>1149</v>
      </c>
      <c r="G96" s="708" t="s">
        <v>498</v>
      </c>
      <c r="H96" s="708" t="str">
        <f>$AI$14</f>
        <v>IMDPH</v>
      </c>
      <c r="I96" s="708" t="str">
        <f t="shared" si="22"/>
        <v>INDMWH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INDMWH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INDMWH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INDMDSHWCHN2</v>
      </c>
      <c r="E99" s="261" t="str">
        <f>"Industrial heating technology "&amp;$AJ$12&amp;" "&amp;RIGHT(H99,2)&amp;" - Wood chip boiler (Steam - condensing) - new 2"</f>
        <v>Industrial heating technology Machinery SH - Wood chip boiler (Steam - condensing) - new 2</v>
      </c>
      <c r="F99" s="224" t="s">
        <v>1149</v>
      </c>
      <c r="G99" s="174" t="s">
        <v>498</v>
      </c>
      <c r="H99" s="174" t="str">
        <f>$AI$15</f>
        <v>IMDSH</v>
      </c>
      <c r="I99" s="174" t="str">
        <f t="shared" si="22"/>
        <v>INDMWH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0</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INDMWH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INDMWH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INDMDPHWCHN3</v>
      </c>
      <c r="E102" s="707" t="str">
        <f>"Industrial heating technology "&amp;$AJ$12&amp;" "&amp;RIGHT(H102,2)&amp;" - Wood chip boiler (Hot Water) - new 3"</f>
        <v>Industrial heating technology Machinery PH - Wood chip boiler (Hot Water) - new 3</v>
      </c>
      <c r="F102" s="224" t="s">
        <v>1149</v>
      </c>
      <c r="G102" s="708" t="s">
        <v>498</v>
      </c>
      <c r="H102" s="708" t="str">
        <f>$AI$14</f>
        <v>IMDPH</v>
      </c>
      <c r="I102" s="708" t="str">
        <f t="shared" si="22"/>
        <v>INDMWH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INDMWH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INDMWH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INDMDSHWCHN3</v>
      </c>
      <c r="E105" s="261" t="str">
        <f>"Industrial heating technology "&amp;$AJ$12&amp;" "&amp;RIGHT(H105,2)&amp;" - Wood chip boiler (Hot Water) - new 3"</f>
        <v>Industrial heating technology Machinery SH - Wood chip boiler (Hot Water) - new 3</v>
      </c>
      <c r="F105" s="224" t="s">
        <v>1149</v>
      </c>
      <c r="G105" s="174" t="s">
        <v>498</v>
      </c>
      <c r="H105" s="174" t="str">
        <f>$AI$15</f>
        <v>IMDSH</v>
      </c>
      <c r="I105" s="174" t="str">
        <f t="shared" si="22"/>
        <v>INDMWH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INDMWH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INDMWH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INDMDPHWCHN4</v>
      </c>
      <c r="E108" s="707" t="str">
        <f>"Industrial heating technology "&amp;$AJ$12&amp;" "&amp;RIGHT(H108,2)&amp;" - Wood chip boiler (Hot Water - condensing) - new 4"</f>
        <v>Industrial heating technology Machinery PH - Wood chip boiler (Hot Water - condensing) - new 4</v>
      </c>
      <c r="F108" s="224" t="s">
        <v>1149</v>
      </c>
      <c r="G108" s="708" t="s">
        <v>498</v>
      </c>
      <c r="H108" s="708" t="str">
        <f>$AI$14</f>
        <v>IMDPH</v>
      </c>
      <c r="I108" s="708" t="str">
        <f t="shared" si="22"/>
        <v>INDMWH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INDMWH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INDMWH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INDMDSHWCHN4</v>
      </c>
      <c r="E111" s="261" t="str">
        <f>"Industrial heating technology "&amp;$AJ$12&amp;" "&amp;RIGHT(H111,2)&amp;" - Wood chip boiler (Hot Water- condensing) - new 4"</f>
        <v>Industrial heating technology Machinery SH - Wood chip boiler (Hot Water- condensing) - new 4</v>
      </c>
      <c r="F111" s="224" t="s">
        <v>1149</v>
      </c>
      <c r="G111" s="174" t="s">
        <v>498</v>
      </c>
      <c r="H111" s="174" t="str">
        <f>$AI$15</f>
        <v>IMDSH</v>
      </c>
      <c r="I111" s="174" t="str">
        <f t="shared" si="22"/>
        <v>INDMWH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0</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INDMWH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INDMWH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INDMDPHELCN10</v>
      </c>
      <c r="E114" s="261" t="str">
        <f>"Industrial heating technology "&amp;$AJ$12&amp;" "&amp;RIGHT(H114,2)&amp;" - Direct electric heating - new 10"</f>
        <v>Industrial heating technology Machinery PH - Direct electric heating - new 10</v>
      </c>
      <c r="F114" s="224" t="s">
        <v>1149</v>
      </c>
      <c r="G114" s="173" t="s">
        <v>499</v>
      </c>
      <c r="H114" s="174" t="str">
        <f>$AI$13</f>
        <v>IMDPH</v>
      </c>
      <c r="I114" s="174" t="str">
        <f t="shared" si="22"/>
        <v>INDMWH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0.05</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INDMWH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INDMWH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INDMDPHELCN10</v>
      </c>
      <c r="E117" s="261" t="str">
        <f>"Industrial heating technology "&amp;$AJ$12&amp;" "&amp;RIGHT(H117,2)&amp;" - Direct electric heating - new 10"</f>
        <v>Industrial heating technology Machinery PH - Direct electric heating - new 10</v>
      </c>
      <c r="F117" s="224" t="s">
        <v>1149</v>
      </c>
      <c r="G117" s="173" t="s">
        <v>499</v>
      </c>
      <c r="H117" s="174" t="str">
        <f>$AI$14</f>
        <v>IMDPH</v>
      </c>
      <c r="I117" s="174" t="str">
        <f t="shared" si="22"/>
        <v>INDMWH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0.05</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INDMWH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INDMWH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INDMDPHDSLN1</v>
      </c>
      <c r="E120" s="261" t="str">
        <f>"Industrial heating technology "&amp;$AJ$12&amp;" "&amp;RIGHT(H120,2)&amp;" - Oil boiler (Steam) - new 1"</f>
        <v>Industrial heating technology Machinery PH - Oil boiler (Steam) - new 1</v>
      </c>
      <c r="F120" s="224" t="s">
        <v>1149</v>
      </c>
      <c r="G120" s="173" t="s">
        <v>2081</v>
      </c>
      <c r="H120" s="174" t="str">
        <f>$AI$13</f>
        <v>IMDPH</v>
      </c>
      <c r="I120" s="174" t="str">
        <f t="shared" si="22"/>
        <v>INDMWH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INDMWH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INDMWH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INDMDPHDSLN1</v>
      </c>
      <c r="E123" s="261" t="str">
        <f>"Industrial heating technology "&amp;$AJ$12&amp;" "&amp;RIGHT(H123,2)&amp;" - Oil boiler (Steam) - new 1"</f>
        <v>Industrial heating technology Machinery PH - Oil boiler (Steam) - new 1</v>
      </c>
      <c r="F123" s="224" t="s">
        <v>1149</v>
      </c>
      <c r="G123" s="173" t="s">
        <v>2081</v>
      </c>
      <c r="H123" s="174" t="str">
        <f>$AI$14</f>
        <v>IMDPH</v>
      </c>
      <c r="I123" s="174" t="str">
        <f t="shared" si="22"/>
        <v>INDMWH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INDMWH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INDMWH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INDMDSHDSLN1</v>
      </c>
      <c r="E126" s="261" t="str">
        <f>"Industrial heating technology "&amp;$AJ$12&amp;" "&amp;RIGHT(H126,2)&amp;" - Oil boiler (Steam) - new 1"</f>
        <v>Industrial heating technology Machinery SH - Oil boiler (Steam) - new 1</v>
      </c>
      <c r="F126" s="224" t="s">
        <v>1149</v>
      </c>
      <c r="G126" s="173" t="s">
        <v>2081</v>
      </c>
      <c r="H126" s="174" t="str">
        <f>$AI$15</f>
        <v>IMDSH</v>
      </c>
      <c r="I126" s="174" t="str">
        <f t="shared" si="22"/>
        <v>INDMWH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INDMWH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INDMWH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INDMDPHDSLN2</v>
      </c>
      <c r="E129" s="707" t="str">
        <f>"Industrial heating technology "&amp;$AJ$12&amp;" "&amp;RIGHT(H129,2)&amp;" - Oil boiler (Steam - condensing) - new 2"</f>
        <v>Industrial heating technology Machinery PH - Oil boiler (Steam - condensing) - new 2</v>
      </c>
      <c r="F129" s="224" t="s">
        <v>1149</v>
      </c>
      <c r="G129" s="173" t="s">
        <v>2081</v>
      </c>
      <c r="H129" s="708" t="str">
        <f>$AI$14</f>
        <v>IMDPH</v>
      </c>
      <c r="I129" s="708" t="str">
        <f t="shared" si="143"/>
        <v>INDMWH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INDMWH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INDMWH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INDMDSHDSLN2</v>
      </c>
      <c r="E132" s="261" t="str">
        <f>"Industrial heating technology "&amp;$AJ$12&amp;" "&amp;RIGHT(H132,2)&amp;" - Oil boiler (Steam - condensing) - new 2"</f>
        <v>Industrial heating technology Machinery SH - Oil boiler (Steam - condensing) - new 2</v>
      </c>
      <c r="F132" s="224" t="s">
        <v>1149</v>
      </c>
      <c r="G132" s="173" t="s">
        <v>2081</v>
      </c>
      <c r="H132" s="174" t="str">
        <f>$AI$15</f>
        <v>IMDSH</v>
      </c>
      <c r="I132" s="174" t="str">
        <f t="shared" si="143"/>
        <v>INDMWH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INDMWH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INDMWH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INDMDPHGASN1</v>
      </c>
      <c r="E135" s="261" t="str">
        <f>"Industrial heating technology "&amp;$AJ$12&amp;" "&amp;RIGHT(H135,2)&amp;" - Gas boiler (Steam) - new 1"</f>
        <v>Industrial heating technology Machinery PH - Gas boiler (Steam) - new 1</v>
      </c>
      <c r="F135" s="224" t="s">
        <v>1149</v>
      </c>
      <c r="G135" s="173" t="s">
        <v>2080</v>
      </c>
      <c r="H135" s="174" t="str">
        <f>$AI$13</f>
        <v>IMDPH</v>
      </c>
      <c r="I135" s="174" t="str">
        <f t="shared" si="143"/>
        <v>INDMWH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INDMWH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INDMWH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INDMDPHGASN1</v>
      </c>
      <c r="E138" s="261" t="str">
        <f>"Industrial heating technology "&amp;$AJ$12&amp;" "&amp;RIGHT(H138,2)&amp;" - Gas boiler (Steam) - new 1"</f>
        <v>Industrial heating technology Machinery PH - Gas boiler (Steam) - new 1</v>
      </c>
      <c r="F138" s="224" t="s">
        <v>1149</v>
      </c>
      <c r="G138" s="173" t="s">
        <v>2080</v>
      </c>
      <c r="H138" s="174" t="str">
        <f>$AI$14</f>
        <v>IMDPH</v>
      </c>
      <c r="I138" s="174" t="str">
        <f t="shared" si="143"/>
        <v>INDMWH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INDMWH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INDMWH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INDMDSHGASN1</v>
      </c>
      <c r="E141" s="261" t="str">
        <f>"Industrial heating technology "&amp;$AJ$12&amp;" "&amp;RIGHT(H141,2)&amp;" - Gas boiler (Steam) - new 1"</f>
        <v>Industrial heating technology Machinery SH - Gas boiler (Steam) - new 1</v>
      </c>
      <c r="F141" s="224" t="s">
        <v>1149</v>
      </c>
      <c r="G141" s="173" t="s">
        <v>2080</v>
      </c>
      <c r="H141" s="174" t="str">
        <f>$AI$15</f>
        <v>IMDSH</v>
      </c>
      <c r="I141" s="174" t="str">
        <f t="shared" si="143"/>
        <v>INDMWH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INDMWH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INDMWH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INDMDPHGASN2</v>
      </c>
      <c r="E144" s="707" t="str">
        <f>"Industrial heating technology "&amp;$AJ$12&amp;" "&amp;RIGHT(H144,2)&amp;" - Gas boiler (Steam - condensing) - new 2"</f>
        <v>Industrial heating technology Machinery PH - Gas boiler (Steam - condensing) - new 2</v>
      </c>
      <c r="F144" s="224" t="s">
        <v>1149</v>
      </c>
      <c r="G144" s="173" t="s">
        <v>2080</v>
      </c>
      <c r="H144" s="708" t="str">
        <f>$AI$14</f>
        <v>IMDPH</v>
      </c>
      <c r="I144" s="708" t="str">
        <f t="shared" si="143"/>
        <v>INDMWH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INDMWH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INDMWH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INDMDSHGASN2</v>
      </c>
      <c r="E147" s="261" t="str">
        <f>"Industrial heating technology "&amp;$AJ$12&amp;" "&amp;RIGHT(H147,2)&amp;" - Gas boiler (Steam - condensing) - new 2"</f>
        <v>Industrial heating technology Machinery SH - Gas boiler (Steam - condensing) - new 2</v>
      </c>
      <c r="F147" s="224" t="s">
        <v>1149</v>
      </c>
      <c r="G147" s="173" t="s">
        <v>2080</v>
      </c>
      <c r="H147" s="174" t="str">
        <f>$AI$15</f>
        <v>IMDSH</v>
      </c>
      <c r="I147" s="174" t="str">
        <f t="shared" si="143"/>
        <v>INDMWH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0</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INDMWH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INDMWH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INDMDPHGASN3</v>
      </c>
      <c r="E150" s="707" t="str">
        <f>"Industrial heating technology "&amp;$AJ$12&amp;" "&amp;RIGHT(H150,2)&amp;" - Gas boiler (Hot Water) - new 3"</f>
        <v>Industrial heating technology Machinery PH - Gas boiler (Hot Water) - new 3</v>
      </c>
      <c r="F150" s="224" t="s">
        <v>1149</v>
      </c>
      <c r="G150" s="173" t="s">
        <v>2080</v>
      </c>
      <c r="H150" s="708" t="str">
        <f>$AI$14</f>
        <v>IMDPH</v>
      </c>
      <c r="I150" s="708" t="str">
        <f t="shared" si="143"/>
        <v>INDMWH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INDMWH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INDMWH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INDMDSHGASN3</v>
      </c>
      <c r="E153" s="261" t="str">
        <f>"Industrial heating technology "&amp;$AJ$12&amp;" "&amp;RIGHT(H153,2)&amp;" - Gas boiler (Hot Water) - new 3"</f>
        <v>Industrial heating technology Machinery SH - Gas boiler (Hot Water) - new 3</v>
      </c>
      <c r="F153" s="224" t="s">
        <v>1149</v>
      </c>
      <c r="G153" s="173" t="s">
        <v>2080</v>
      </c>
      <c r="H153" s="174" t="str">
        <f>$AI$15</f>
        <v>IMDSH</v>
      </c>
      <c r="I153" s="174" t="str">
        <f t="shared" si="143"/>
        <v>INDMWH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INDMWH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INDMWH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INDMDPHGASN4</v>
      </c>
      <c r="E156" s="707" t="str">
        <f>"Industrial heating technology "&amp;$AJ$12&amp;" "&amp;RIGHT(H156,2)&amp;" - Gas boiler (Hot Water - condensing) - new 4"</f>
        <v>Industrial heating technology Machinery PH - Gas boiler (Hot Water - condensing) - new 4</v>
      </c>
      <c r="F156" s="224" t="s">
        <v>1149</v>
      </c>
      <c r="G156" s="173" t="s">
        <v>2080</v>
      </c>
      <c r="H156" s="708" t="str">
        <f>$AI$14</f>
        <v>IMDPH</v>
      </c>
      <c r="I156" s="708" t="str">
        <f t="shared" si="143"/>
        <v>INDMWH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INDMWH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INDMWH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INDMDSHGASN4</v>
      </c>
      <c r="E159" s="261" t="str">
        <f>"Industrial heating technology "&amp;$AJ$12&amp;" "&amp;RIGHT(H159,2)&amp;" - Gas boiler (Hot Water- condensing) - new 4"</f>
        <v>Industrial heating technology Machinery SH - Gas boiler (Hot Water- condensing) - new 4</v>
      </c>
      <c r="F159" s="224" t="s">
        <v>1149</v>
      </c>
      <c r="G159" s="173" t="s">
        <v>2080</v>
      </c>
      <c r="H159" s="174" t="str">
        <f>$AI$15</f>
        <v>IMDSH</v>
      </c>
      <c r="I159" s="174" t="str">
        <f t="shared" si="143"/>
        <v>INDMWH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0</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INDMWH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INDMWH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INDMDPHGASN5</v>
      </c>
      <c r="E162" s="707" t="str">
        <f>"Industrial heating technology "&amp;$AJ$12&amp;" "&amp;RIGHT(H162,2)&amp;" - Gas boiler (Direct firing) - new 5"</f>
        <v>Industrial heating technology Machinery PH - Gas boiler (Direct firing) - new 5</v>
      </c>
      <c r="F162" s="224" t="s">
        <v>1149</v>
      </c>
      <c r="G162" s="173" t="s">
        <v>2080</v>
      </c>
      <c r="H162" s="174" t="str">
        <f>$AI$13</f>
        <v>IMDPH</v>
      </c>
      <c r="I162" s="174" t="str">
        <f t="shared" si="143"/>
        <v>INDMWH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INDMWH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INDMWH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INDMDPHGASN5</v>
      </c>
      <c r="E165" s="261" t="str">
        <f>"Industrial heating technology "&amp;$AJ$12&amp;" "&amp;RIGHT(H165,2)&amp;" - Gas boiler (Direct firing) - new 5"</f>
        <v>Industrial heating technology Machinery PH - Gas boiler (Direct firing) - new 5</v>
      </c>
      <c r="F165" s="224" t="s">
        <v>1149</v>
      </c>
      <c r="G165" s="173" t="s">
        <v>2080</v>
      </c>
      <c r="H165" s="174" t="str">
        <f>$AI$14</f>
        <v>IMDPH</v>
      </c>
      <c r="I165" s="721" t="str">
        <f t="shared" si="143"/>
        <v>INDMWH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INDMWH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INDMWH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INDMDPHCOAN1</v>
      </c>
      <c r="E168" s="261" t="str">
        <f>"Industrial heating technology "&amp;$AJ$12&amp;" "&amp;RIGHT(H168,2)&amp;" - Coal boiler (Steam) - new 1"</f>
        <v>Industrial heating technology Machinery PH - Coal boiler (Steam) - new 1</v>
      </c>
      <c r="F168" s="224" t="s">
        <v>1149</v>
      </c>
      <c r="G168" s="55" t="s">
        <v>617</v>
      </c>
      <c r="H168" s="174" t="str">
        <f>$AI$13</f>
        <v>IMDPH</v>
      </c>
      <c r="I168" s="174" t="str">
        <f t="shared" si="143"/>
        <v>INDMWH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INDMWH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INDMWH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INDMDPHCOAN1</v>
      </c>
      <c r="E171" s="261" t="str">
        <f>"Industrial heating technology "&amp;$AJ$12&amp;" "&amp;RIGHT(H171,2)&amp;" - Coal boiler (Steam) - new 1"</f>
        <v>Industrial heating technology Machinery PH - Coal boiler (Steam) - new 1</v>
      </c>
      <c r="F171" s="224" t="s">
        <v>1149</v>
      </c>
      <c r="G171" s="55" t="s">
        <v>617</v>
      </c>
      <c r="H171" s="174" t="str">
        <f>$AI$14</f>
        <v>IMDPH</v>
      </c>
      <c r="I171" s="174" t="str">
        <f t="shared" si="143"/>
        <v>INDMWH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INDMWH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INDMWH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INDMDSHCOAN1</v>
      </c>
      <c r="E174" s="261" t="str">
        <f>"Industrial heating technology "&amp;$AJ$12&amp;" "&amp;RIGHT(H174,2)&amp;" - Coal boiler (Steam) - new 1"</f>
        <v>Industrial heating technology Machinery SH - Coal boiler (Steam) - new 1</v>
      </c>
      <c r="F174" s="224" t="s">
        <v>1149</v>
      </c>
      <c r="G174" s="55" t="s">
        <v>617</v>
      </c>
      <c r="H174" s="174" t="str">
        <f>$AI$15</f>
        <v>IMDSH</v>
      </c>
      <c r="I174" s="174" t="str">
        <f t="shared" si="143"/>
        <v>INDMWH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INDMWH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INDMWH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INDMDPHCOAN2</v>
      </c>
      <c r="E177" s="261" t="str">
        <f>"Industrial heating technology "&amp;$AJ$12&amp;" "&amp;RIGHT(H177,2)&amp;" - Coal boiler (Hot Water) - new 2"</f>
        <v>Industrial heating technology Machinery PH - Coal boiler (Hot Water) - new 2</v>
      </c>
      <c r="F177" s="224" t="s">
        <v>1149</v>
      </c>
      <c r="G177" s="55" t="s">
        <v>617</v>
      </c>
      <c r="H177" s="174" t="str">
        <f>$AI$14</f>
        <v>IMDPH</v>
      </c>
      <c r="I177" s="174" t="str">
        <f t="shared" si="143"/>
        <v>INDMWH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INDMWH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INDMWH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INDMDSHCOAN2</v>
      </c>
      <c r="E180" s="261" t="str">
        <f>"Industrial heating technology "&amp;$AJ$12&amp;" "&amp;RIGHT(H180,2)&amp;" - Coal boiler (Hot Water) - new 2"</f>
        <v>Industrial heating technology Machinery SH - Coal boiler (Hot Water) - new 2</v>
      </c>
      <c r="F180" s="224" t="s">
        <v>1149</v>
      </c>
      <c r="G180" s="55" t="s">
        <v>617</v>
      </c>
      <c r="H180" s="174" t="str">
        <f>$AI$15</f>
        <v>IMDSH</v>
      </c>
      <c r="I180" s="174" t="str">
        <f t="shared" si="143"/>
        <v>INDMWH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INDMWH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INDMWH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INDMDSHSOLN1</v>
      </c>
      <c r="E183" s="261" t="str">
        <f>"Industrial heating technology "&amp;$AJ$12&amp;" "&amp;RIGHT(H183,2)&amp;" - Solar - new 1"</f>
        <v>Industrial heating technology Machinery SH - Solar - new 1</v>
      </c>
      <c r="F183" s="224" t="s">
        <v>1149</v>
      </c>
      <c r="G183" s="55" t="s">
        <v>500</v>
      </c>
      <c r="H183" s="174" t="str">
        <f>$AI$15</f>
        <v>IMDSH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INDMDSHHCEN1</v>
      </c>
      <c r="E187" s="224" t="str">
        <f>"Industrial heating technology "&amp;$AJ$12&amp;" "&amp;RIGHT(H187,2)&amp;" - central district heating - within DH area - new 1"</f>
        <v>Industrial heating technology Machinery SH - central district heating - within DH area - new 1</v>
      </c>
      <c r="F187" s="224" t="s">
        <v>1149</v>
      </c>
      <c r="G187" s="225" t="s">
        <v>501</v>
      </c>
      <c r="H187" s="225" t="str">
        <f>AI15</f>
        <v>IMDSH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INDMDPHHCEN1</v>
      </c>
      <c r="E188" s="224" t="str">
        <f>"Industrial heating technology "&amp;$AJ$12&amp;" "&amp;RIGHT(H188,2)&amp;" - central district heating - within DH area - new 1"</f>
        <v>Industrial heating technology Machinery PH - central district heating - within DH area - new 1</v>
      </c>
      <c r="F188" s="224" t="s">
        <v>1149</v>
      </c>
      <c r="G188" s="225" t="s">
        <v>501</v>
      </c>
      <c r="H188" s="281" t="str">
        <f>AI14</f>
        <v>IMDPH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INDMDSHHSEN1</v>
      </c>
      <c r="E189" s="224" t="str">
        <f>"Industrial heating technology "&amp;$AJ$12&amp;" "&amp;RIGHT(H189,2)&amp;" - central district heating - within DH area - new 1"</f>
        <v>Industrial heating technology Machinery SH - central district heating - within DH area - new 1</v>
      </c>
      <c r="F189" s="224" t="s">
        <v>1149</v>
      </c>
      <c r="G189" s="225" t="s">
        <v>2125</v>
      </c>
      <c r="H189" s="225" t="str">
        <f>H187</f>
        <v>IMDSH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INDMDPHHSEN1</v>
      </c>
      <c r="E190" s="224" t="str">
        <f>"Industrial heating technology "&amp;$AJ$12&amp;" "&amp;RIGHT(H190,2)&amp;" - central district heating - within DH area - new 1"</f>
        <v>Industrial heating technology Machinery PH - central district heating - within DH area - new 1</v>
      </c>
      <c r="F190" s="224" t="s">
        <v>1149</v>
      </c>
      <c r="G190" s="225" t="s">
        <v>2125</v>
      </c>
      <c r="H190" s="225" t="str">
        <f>H188</f>
        <v>IMDPH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INDMDSHHDEN1</v>
      </c>
      <c r="E191" s="224" t="str">
        <f>"Industrial heating technology "&amp;$AJ$12&amp;" "&amp;RIGHT(H191,2)&amp;" - decentral district heating - within DH area - new 1"</f>
        <v>Industrial heating technology Machinery SH - decentral district heating - within DH area - new 1</v>
      </c>
      <c r="F191" s="224" t="s">
        <v>1149</v>
      </c>
      <c r="G191" s="259" t="s">
        <v>502</v>
      </c>
      <c r="H191" s="265" t="str">
        <f>AI15</f>
        <v>IMDSH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INDMDPHHDEN1</v>
      </c>
      <c r="E192" s="224" t="str">
        <f>"Industrial heating technology "&amp;$AJ$12&amp;" "&amp;RIGHT(H192,2)&amp;" - decentral district heating - within DH area - new 1"</f>
        <v>Industrial heating technology Machinery PH - decentral district heating - within DH area - new 1</v>
      </c>
      <c r="F192" s="224" t="s">
        <v>1149</v>
      </c>
      <c r="G192" s="259" t="s">
        <v>502</v>
      </c>
      <c r="H192" s="225" t="str">
        <f>AI14</f>
        <v>IMDPH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INDMDLAELCN1</v>
      </c>
      <c r="E194" s="224" t="str">
        <f>"Industry "&amp;$AJ$12&amp;" "&amp;RIGHT(H194,2)&amp;" Electricity Light Appliance - New 1"</f>
        <v>Industry Machinery LA Electricity Light Appliance - New 1</v>
      </c>
      <c r="F194" s="224" t="s">
        <v>1149</v>
      </c>
      <c r="G194" s="225" t="s">
        <v>499</v>
      </c>
      <c r="H194" s="225" t="str">
        <f>AI16</f>
        <v>IMDLA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INDMDEMELCN1</v>
      </c>
      <c r="E198" s="224" t="str">
        <f>"Industry "&amp;$AJ$12&amp;" "&amp;RIGHT(H198,2)&amp;" Electricity Motors - New 1"</f>
        <v>Industry Machinery EM Electricity Motors - New 1</v>
      </c>
      <c r="F198" s="224" t="s">
        <v>1149</v>
      </c>
      <c r="G198" s="225" t="s">
        <v>499</v>
      </c>
      <c r="H198" s="225" t="str">
        <f>AI17</f>
        <v>IMDEM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INDMDTFDSLN1</v>
      </c>
      <c r="E202" s="224" t="str">
        <f>"Industry "&amp;$AJ$12&amp;" "&amp;RIGHT(H202,2)&amp;" Tractors, Trucks, Fishing boats - New 1"</f>
        <v>Industry Machinery TF Tractors, Trucks, Fishing boats - New 1</v>
      </c>
      <c r="F202" s="224" t="s">
        <v>1149</v>
      </c>
      <c r="G202" s="173" t="s">
        <v>2081</v>
      </c>
      <c r="H202" s="174" t="str">
        <f>$AI$18</f>
        <v>IMDTF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INDMDTFH2GN2</v>
      </c>
      <c r="E206" s="224" t="str">
        <f>"Industry "&amp;$AJ$12&amp;" "&amp;RIGHT(H206,2)&amp;" Tractors, Trucks, Fishing boats - New 2"</f>
        <v>Industry Machinery TF Tractors, Trucks, Fishing boats - New 2</v>
      </c>
      <c r="F206" s="224" t="s">
        <v>1149</v>
      </c>
      <c r="G206" s="55" t="s">
        <v>2077</v>
      </c>
      <c r="H206" s="174" t="str">
        <f>$AI$18</f>
        <v>IMDTF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INDMDTFELCN3</v>
      </c>
      <c r="E210" s="224" t="str">
        <f>"Industry "&amp;$AJ$12&amp;" "&amp;RIGHT(H210,2)&amp;" Tractors, Trucks, Fishing boats - New 3"</f>
        <v>Industry Machinery TF Tractors, Trucks, Fishing boats - New 3</v>
      </c>
      <c r="F210" s="224" t="s">
        <v>1149</v>
      </c>
      <c r="G210" s="55" t="s">
        <v>499</v>
      </c>
      <c r="H210" s="174" t="str">
        <f>$AI$18</f>
        <v>IMDTF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INDMDFLSYNN1</v>
      </c>
      <c r="E214" s="224" t="str">
        <f>"Industry "&amp;$AJ$12&amp;" "&amp;RIGHT(H202,2)&amp;" Forklifts - New 1"</f>
        <v>Industry Machinery TF Forklifts - New 1</v>
      </c>
      <c r="F214" s="224" t="s">
        <v>1149</v>
      </c>
      <c r="G214" s="173" t="s">
        <v>2082</v>
      </c>
      <c r="H214" s="224" t="str">
        <f>AI19</f>
        <v>IMDFL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INDMDCOELCN1</v>
      </c>
      <c r="E218" s="224" t="str">
        <f>"Industry "&amp;$AJ$12&amp;" "&amp;RIGHT(H218,2)&amp;" Cooling - New 1"</f>
        <v>Industry Machinery CO Cooling - New 1</v>
      </c>
      <c r="F218" s="224" t="s">
        <v>1149</v>
      </c>
      <c r="G218" s="173" t="s">
        <v>499</v>
      </c>
      <c r="H218" s="224" t="str">
        <f>AI21</f>
        <v>IMDCO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INDMDPHELCN1</v>
      </c>
      <c r="E229" s="212" t="str">
        <f t="shared" ref="E229:E260" si="266">VLOOKUP(D229,$D$9:$E$222,2,FALSE)</f>
        <v>Industrial heating technology Machinery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INDMDSHELCN1</v>
      </c>
      <c r="E230" s="212" t="str">
        <f t="shared" ca="1" si="266"/>
        <v>Industrial heating technology Machinery SH - Heat pump utilizing waste heat - new 1</v>
      </c>
      <c r="F230" s="262" t="s">
        <v>450</v>
      </c>
      <c r="G230" s="262" t="s">
        <v>449</v>
      </c>
      <c r="H230" s="263" t="s">
        <v>620</v>
      </c>
      <c r="I230" s="301"/>
      <c r="J230" s="264" t="s">
        <v>469</v>
      </c>
    </row>
    <row r="231" spans="1:10">
      <c r="A231" s="169"/>
      <c r="D231" s="212" t="str">
        <f t="shared" ca="1" si="267"/>
        <v>INDMDPHELCN2</v>
      </c>
      <c r="E231" s="212" t="str">
        <f t="shared" ca="1" si="266"/>
        <v>Industrial heating technology Machinery PH - Heat driven heat pump utilizing waste heat - new 2</v>
      </c>
      <c r="F231" s="211" t="s">
        <v>450</v>
      </c>
      <c r="G231" s="211" t="s">
        <v>449</v>
      </c>
      <c r="H231" s="263" t="s">
        <v>620</v>
      </c>
      <c r="I231" s="208"/>
      <c r="J231" s="264" t="s">
        <v>469</v>
      </c>
    </row>
    <row r="232" spans="1:10">
      <c r="A232" s="169"/>
      <c r="B232" s="211"/>
      <c r="C232" s="211"/>
      <c r="D232" s="212" t="str">
        <f t="shared" ca="1" si="267"/>
        <v>INDMDSHELCN2</v>
      </c>
      <c r="E232" s="212" t="str">
        <f t="shared" ca="1" si="266"/>
        <v>Industrial heating technology Machinery SH - Heat driven heat pump utilizing waste heat - new 2</v>
      </c>
      <c r="F232" s="262" t="s">
        <v>450</v>
      </c>
      <c r="G232" s="262" t="s">
        <v>449</v>
      </c>
      <c r="H232" s="263" t="s">
        <v>620</v>
      </c>
      <c r="I232" s="264"/>
      <c r="J232" s="264" t="s">
        <v>469</v>
      </c>
    </row>
    <row r="233" spans="1:10">
      <c r="A233" s="169"/>
      <c r="B233" s="211"/>
      <c r="C233" s="211"/>
      <c r="D233" s="212" t="str">
        <f t="shared" ca="1" si="267"/>
        <v>INDMDPHELCN3</v>
      </c>
      <c r="E233" s="212" t="str">
        <f t="shared" ca="1" si="266"/>
        <v>Industrial heating technology Machinery PH - High Temp abs. Heat pump utilizing waste heat - new 3</v>
      </c>
      <c r="F233" s="262" t="s">
        <v>450</v>
      </c>
      <c r="G233" s="262" t="s">
        <v>449</v>
      </c>
      <c r="H233" s="263" t="s">
        <v>620</v>
      </c>
      <c r="I233" s="264"/>
      <c r="J233" s="264" t="s">
        <v>469</v>
      </c>
    </row>
    <row r="234" spans="1:10">
      <c r="A234" s="169"/>
      <c r="B234" s="211"/>
      <c r="C234" s="211"/>
      <c r="D234" s="212" t="str">
        <f t="shared" ca="1" si="267"/>
        <v>INDMDSHELCN3</v>
      </c>
      <c r="E234" s="212" t="str">
        <f t="shared" ca="1" si="266"/>
        <v>Industrial heating technology Machinery SH - High Temp abs. Heat pump utilizing waste heat - new 3</v>
      </c>
      <c r="F234" s="262" t="s">
        <v>450</v>
      </c>
      <c r="G234" s="262" t="s">
        <v>449</v>
      </c>
      <c r="H234" s="263" t="s">
        <v>620</v>
      </c>
      <c r="I234" s="264"/>
      <c r="J234" s="264" t="s">
        <v>469</v>
      </c>
    </row>
    <row r="235" spans="1:10">
      <c r="A235" s="169"/>
      <c r="B235" s="211"/>
      <c r="C235" s="211"/>
      <c r="D235" s="212" t="str">
        <f t="shared" ca="1" si="267"/>
        <v>INDMDPHELCN4</v>
      </c>
      <c r="E235" s="212" t="str">
        <f t="shared" ca="1" si="266"/>
        <v>Industrial heating technology Machinery PH - Booster Heat pump utilizing waste heat - new 4</v>
      </c>
      <c r="F235" s="262" t="s">
        <v>450</v>
      </c>
      <c r="G235" s="262" t="s">
        <v>449</v>
      </c>
      <c r="H235" s="263" t="s">
        <v>620</v>
      </c>
      <c r="I235" s="264"/>
      <c r="J235" s="264" t="s">
        <v>469</v>
      </c>
    </row>
    <row r="236" spans="1:10">
      <c r="A236" s="169"/>
      <c r="B236" s="211"/>
      <c r="C236" s="211"/>
      <c r="D236" s="212" t="str">
        <f t="shared" ca="1" si="267"/>
        <v>INDMDSHELCN4</v>
      </c>
      <c r="E236" s="212" t="str">
        <f t="shared" ca="1" si="266"/>
        <v>Industrial heating technology Machinery SH - Booster Heat pump utilizing waste heat - new 4</v>
      </c>
      <c r="F236" s="262" t="s">
        <v>450</v>
      </c>
      <c r="G236" s="262" t="s">
        <v>449</v>
      </c>
      <c r="H236" s="263" t="s">
        <v>620</v>
      </c>
      <c r="I236" s="264"/>
      <c r="J236" s="264" t="s">
        <v>469</v>
      </c>
    </row>
    <row r="237" spans="1:10">
      <c r="A237" s="169"/>
      <c r="B237" s="211"/>
      <c r="C237" s="211"/>
      <c r="D237" s="212" t="str">
        <f t="shared" ca="1" si="267"/>
        <v>INDMDPHELCN5</v>
      </c>
      <c r="E237" s="212" t="str">
        <f t="shared" ca="1" si="266"/>
        <v>Industrial heating technology Machinery PH - MVR utilizing waste heat - new 5</v>
      </c>
      <c r="F237" s="262" t="s">
        <v>450</v>
      </c>
      <c r="G237" s="262" t="s">
        <v>449</v>
      </c>
      <c r="H237" s="263"/>
      <c r="I237" s="264"/>
      <c r="J237" s="264" t="s">
        <v>469</v>
      </c>
    </row>
    <row r="238" spans="1:10">
      <c r="A238" s="169"/>
      <c r="B238" s="211"/>
      <c r="C238" s="211"/>
      <c r="D238" s="212" t="str">
        <f t="shared" ca="1" si="267"/>
        <v>INDMDPHWSTN1</v>
      </c>
      <c r="E238" s="212" t="str">
        <f t="shared" ca="1" si="266"/>
        <v>Industrial heating technology Machinery PH - Hotdisc - new 1</v>
      </c>
      <c r="F238" s="262" t="s">
        <v>450</v>
      </c>
      <c r="G238" s="262" t="s">
        <v>449</v>
      </c>
      <c r="H238" s="263" t="s">
        <v>620</v>
      </c>
      <c r="I238" s="264"/>
      <c r="J238" s="264" t="s">
        <v>469</v>
      </c>
    </row>
    <row r="239" spans="1:10">
      <c r="A239" s="169"/>
      <c r="B239" s="211"/>
      <c r="C239" s="211"/>
      <c r="D239" s="212" t="str">
        <f t="shared" ref="D239:D278" ca="1" si="268">OFFSET($D$9,(ROW(D19)*3),0)</f>
        <v>INDMDPHELCN6</v>
      </c>
      <c r="E239" s="212" t="str">
        <f t="shared" ca="1" si="266"/>
        <v>Industrial heating technology Machinery PH - Dielectric heating - new 6</v>
      </c>
      <c r="F239" s="262" t="s">
        <v>450</v>
      </c>
      <c r="G239" s="262" t="s">
        <v>449</v>
      </c>
      <c r="H239" s="263" t="s">
        <v>620</v>
      </c>
      <c r="I239" s="264"/>
      <c r="J239" s="264" t="s">
        <v>469</v>
      </c>
    </row>
    <row r="240" spans="1:10">
      <c r="A240" s="169"/>
      <c r="B240" s="211"/>
      <c r="C240" s="211"/>
      <c r="D240" s="212" t="str">
        <f t="shared" ca="1" si="268"/>
        <v>INDMDPHELCN7</v>
      </c>
      <c r="E240" s="212" t="str">
        <f t="shared" ca="1" si="266"/>
        <v>Industrial heating technology Machinery PH - Infrared heating - new 7</v>
      </c>
      <c r="F240" s="262" t="s">
        <v>450</v>
      </c>
      <c r="G240" s="262" t="s">
        <v>449</v>
      </c>
      <c r="H240" s="263" t="s">
        <v>620</v>
      </c>
      <c r="I240" s="264"/>
      <c r="J240" s="264" t="s">
        <v>469</v>
      </c>
    </row>
    <row r="241" spans="1:16">
      <c r="A241" s="169"/>
      <c r="B241" s="211"/>
      <c r="C241" s="211"/>
      <c r="D241" s="212" t="str">
        <f t="shared" ca="1" si="268"/>
        <v>INDMDPHELCN8</v>
      </c>
      <c r="E241" s="212" t="str">
        <f t="shared" ca="1" si="266"/>
        <v>Industrial heating technology Machinery PH - Electric boiler (Steam) - new 8</v>
      </c>
      <c r="F241" s="262" t="s">
        <v>450</v>
      </c>
      <c r="G241" s="262" t="s">
        <v>449</v>
      </c>
      <c r="H241" s="263" t="s">
        <v>620</v>
      </c>
      <c r="I241" s="264"/>
      <c r="J241" s="264" t="s">
        <v>469</v>
      </c>
    </row>
    <row r="242" spans="1:16">
      <c r="A242" s="169"/>
      <c r="B242" s="211"/>
      <c r="C242" s="211"/>
      <c r="D242" s="212" t="str">
        <f t="shared" ca="1" si="268"/>
        <v>INDMDPHELCN8</v>
      </c>
      <c r="E242" s="212" t="str">
        <f t="shared" ca="1" si="266"/>
        <v>Industrial heating technology Machinery PH - Electric boiler (Steam) - new 8</v>
      </c>
      <c r="F242" s="262" t="s">
        <v>450</v>
      </c>
      <c r="G242" s="262" t="s">
        <v>449</v>
      </c>
      <c r="H242" s="263" t="s">
        <v>620</v>
      </c>
      <c r="I242" s="264"/>
      <c r="J242" s="264" t="s">
        <v>469</v>
      </c>
    </row>
    <row r="243" spans="1:16">
      <c r="A243" s="169"/>
      <c r="B243" s="211"/>
      <c r="C243" s="211"/>
      <c r="D243" s="212" t="str">
        <f t="shared" ca="1" si="268"/>
        <v>INDMDSHELCN8</v>
      </c>
      <c r="E243" s="212" t="str">
        <f t="shared" ca="1" si="266"/>
        <v>Industrial heating technology Machinery SH - Electric boiler (Steam) - new 8</v>
      </c>
      <c r="F243" s="262" t="s">
        <v>450</v>
      </c>
      <c r="G243" s="262" t="s">
        <v>449</v>
      </c>
      <c r="H243" s="263" t="s">
        <v>620</v>
      </c>
      <c r="I243" s="264"/>
      <c r="J243" s="264" t="s">
        <v>469</v>
      </c>
      <c r="P243" s="173"/>
    </row>
    <row r="244" spans="1:16">
      <c r="A244" s="169"/>
      <c r="B244" s="211"/>
      <c r="C244" s="211"/>
      <c r="D244" s="212" t="str">
        <f t="shared" ca="1" si="268"/>
        <v>INDMDPHELCN9</v>
      </c>
      <c r="E244" s="212" t="str">
        <f t="shared" ca="1" si="266"/>
        <v>Industrial heating technology Machinery PH - Electric boiler (Hot Water) - new 9</v>
      </c>
      <c r="F244" s="262" t="s">
        <v>450</v>
      </c>
      <c r="G244" s="262" t="s">
        <v>449</v>
      </c>
      <c r="H244" s="263" t="s">
        <v>620</v>
      </c>
      <c r="I244" s="264"/>
      <c r="J244" s="264" t="s">
        <v>469</v>
      </c>
      <c r="P244" s="173"/>
    </row>
    <row r="245" spans="1:16">
      <c r="A245" s="169"/>
      <c r="B245" s="211"/>
      <c r="C245" s="211"/>
      <c r="D245" s="212" t="str">
        <f t="shared" ca="1" si="268"/>
        <v>INDMDSHELCN9</v>
      </c>
      <c r="E245" s="212" t="str">
        <f t="shared" ca="1" si="266"/>
        <v>Industrial heating technology Machinery SH - Electric boiler (Hot Water) - new 9</v>
      </c>
      <c r="F245" s="262" t="s">
        <v>450</v>
      </c>
      <c r="G245" s="262" t="s">
        <v>449</v>
      </c>
      <c r="H245" s="263" t="s">
        <v>620</v>
      </c>
      <c r="I245" s="264"/>
      <c r="J245" s="264" t="s">
        <v>469</v>
      </c>
      <c r="P245" s="173"/>
    </row>
    <row r="246" spans="1:16">
      <c r="A246" s="169"/>
      <c r="B246" s="211"/>
      <c r="C246" s="211"/>
      <c r="D246" s="212" t="str">
        <f t="shared" ca="1" si="268"/>
        <v>INDMDPHWCHN1</v>
      </c>
      <c r="E246" s="212" t="str">
        <f t="shared" ca="1" si="266"/>
        <v>Industrial heating technology Machinery PH - Wood chip boiler (Steam) - new 1</v>
      </c>
      <c r="F246" s="262" t="s">
        <v>450</v>
      </c>
      <c r="G246" s="262" t="s">
        <v>449</v>
      </c>
      <c r="H246" s="263"/>
      <c r="I246" s="264"/>
      <c r="J246" s="264" t="s">
        <v>469</v>
      </c>
      <c r="P246" s="173"/>
    </row>
    <row r="247" spans="1:16">
      <c r="A247" s="169"/>
      <c r="B247" s="211"/>
      <c r="C247" s="211"/>
      <c r="D247" s="212" t="str">
        <f t="shared" ca="1" si="268"/>
        <v>INDMDPHWCHN1</v>
      </c>
      <c r="E247" s="212" t="str">
        <f t="shared" ca="1" si="266"/>
        <v>Industrial heating technology Machinery PH - Wood chip boiler (Steam) - new 1</v>
      </c>
      <c r="F247" s="262" t="s">
        <v>450</v>
      </c>
      <c r="G247" s="262" t="s">
        <v>449</v>
      </c>
      <c r="H247" s="263"/>
      <c r="I247" s="264"/>
      <c r="J247" s="264" t="s">
        <v>469</v>
      </c>
      <c r="M247" s="171"/>
      <c r="N247" s="171"/>
      <c r="P247" s="173"/>
    </row>
    <row r="248" spans="1:16">
      <c r="A248" s="169"/>
      <c r="B248" s="211"/>
      <c r="C248" s="211"/>
      <c r="D248" s="212" t="str">
        <f t="shared" ca="1" si="268"/>
        <v>INDMDSHWCHN1</v>
      </c>
      <c r="E248" s="212" t="str">
        <f t="shared" ca="1" si="266"/>
        <v>Industrial heating technology Machinery SH - Wood chip boiler (Steam) - new 1</v>
      </c>
      <c r="F248" s="262" t="s">
        <v>450</v>
      </c>
      <c r="G248" s="262" t="s">
        <v>449</v>
      </c>
      <c r="H248" s="263"/>
      <c r="I248" s="264"/>
      <c r="J248" s="264" t="s">
        <v>469</v>
      </c>
      <c r="M248" s="171"/>
      <c r="N248" s="171"/>
      <c r="P248" s="173"/>
    </row>
    <row r="249" spans="1:16">
      <c r="A249" s="169"/>
      <c r="B249" s="211"/>
      <c r="C249" s="211"/>
      <c r="D249" s="212" t="str">
        <f t="shared" ca="1" si="268"/>
        <v>INDMDPHWCHN2</v>
      </c>
      <c r="E249" s="212" t="str">
        <f t="shared" ca="1" si="266"/>
        <v>Industrial heating technology Machinery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INDMDSHWCHN2</v>
      </c>
      <c r="E250" s="212" t="str">
        <f t="shared" ca="1" si="266"/>
        <v>Industrial heating technology Machinery SH - Wood chip boiler (Steam - condensing) - new 2</v>
      </c>
      <c r="F250" s="262" t="s">
        <v>450</v>
      </c>
      <c r="G250" s="262" t="s">
        <v>449</v>
      </c>
      <c r="H250" s="263"/>
      <c r="I250" s="264"/>
      <c r="J250" s="264" t="s">
        <v>469</v>
      </c>
    </row>
    <row r="251" spans="1:16">
      <c r="A251" s="169"/>
      <c r="B251" s="212"/>
      <c r="C251" s="212"/>
      <c r="D251" s="212" t="str">
        <f t="shared" ca="1" si="268"/>
        <v>INDMDPHWCHN3</v>
      </c>
      <c r="E251" s="212" t="str">
        <f t="shared" ca="1" si="266"/>
        <v>Industrial heating technology Machinery PH - Wood chip boiler (Hot Water) - new 3</v>
      </c>
      <c r="F251" s="262" t="s">
        <v>450</v>
      </c>
      <c r="G251" s="262" t="s">
        <v>449</v>
      </c>
      <c r="H251" s="261"/>
      <c r="I251" s="261"/>
      <c r="J251" s="264" t="s">
        <v>469</v>
      </c>
    </row>
    <row r="252" spans="1:16">
      <c r="A252" s="169"/>
      <c r="B252" s="212"/>
      <c r="C252" s="212"/>
      <c r="D252" s="212" t="str">
        <f t="shared" ca="1" si="268"/>
        <v>INDMDSHWCHN3</v>
      </c>
      <c r="E252" s="212" t="str">
        <f t="shared" ca="1" si="266"/>
        <v>Industrial heating technology Machinery SH - Wood chip boiler (Hot Water) - new 3</v>
      </c>
      <c r="F252" s="262" t="s">
        <v>450</v>
      </c>
      <c r="G252" s="262" t="s">
        <v>449</v>
      </c>
      <c r="H252" s="261"/>
      <c r="I252" s="261"/>
      <c r="J252" s="264" t="s">
        <v>469</v>
      </c>
    </row>
    <row r="253" spans="1:16">
      <c r="A253" s="169"/>
      <c r="B253" s="212"/>
      <c r="C253" s="212"/>
      <c r="D253" s="212" t="str">
        <f t="shared" ca="1" si="268"/>
        <v>INDMDPHWCHN4</v>
      </c>
      <c r="E253" s="212" t="str">
        <f t="shared" ca="1" si="266"/>
        <v>Industrial heating technology Machinery PH - Wood chip boiler (Hot Water - condensing) - new 4</v>
      </c>
      <c r="F253" s="262" t="s">
        <v>450</v>
      </c>
      <c r="G253" s="262" t="s">
        <v>449</v>
      </c>
      <c r="H253" s="261"/>
      <c r="I253" s="261"/>
      <c r="J253" s="264" t="s">
        <v>469</v>
      </c>
    </row>
    <row r="254" spans="1:16">
      <c r="A254" s="169"/>
      <c r="B254" s="212"/>
      <c r="C254" s="212"/>
      <c r="D254" s="212" t="str">
        <f t="shared" ca="1" si="268"/>
        <v>INDMDSHWCHN4</v>
      </c>
      <c r="E254" s="212" t="str">
        <f t="shared" ca="1" si="266"/>
        <v>Industrial heating technology Machinery SH - Wood chip boiler (Hot Water- condensing) - new 4</v>
      </c>
      <c r="F254" s="262" t="s">
        <v>450</v>
      </c>
      <c r="G254" s="262" t="s">
        <v>449</v>
      </c>
      <c r="H254" s="261"/>
      <c r="I254" s="261"/>
      <c r="J254" s="264" t="s">
        <v>469</v>
      </c>
    </row>
    <row r="255" spans="1:16">
      <c r="B255" s="212"/>
      <c r="C255" s="212"/>
      <c r="D255" s="212" t="str">
        <f t="shared" ca="1" si="268"/>
        <v>INDMDPHELCN10</v>
      </c>
      <c r="E255" s="212" t="str">
        <f t="shared" ca="1" si="266"/>
        <v>Industrial heating technology Machinery PH - Direct electric heating - new 10</v>
      </c>
      <c r="F255" s="262" t="s">
        <v>450</v>
      </c>
      <c r="G255" s="262" t="s">
        <v>449</v>
      </c>
      <c r="H255" s="261"/>
      <c r="I255" s="261"/>
      <c r="J255" s="264" t="s">
        <v>469</v>
      </c>
    </row>
    <row r="256" spans="1:16">
      <c r="B256" s="212"/>
      <c r="C256" s="212"/>
      <c r="D256" s="212" t="str">
        <f t="shared" ca="1" si="268"/>
        <v>INDMDPHELCN10</v>
      </c>
      <c r="E256" s="212" t="str">
        <f t="shared" ca="1" si="266"/>
        <v>Industrial heating technology Machinery PH - Direct electric heating - new 10</v>
      </c>
      <c r="F256" s="262" t="s">
        <v>450</v>
      </c>
      <c r="G256" s="262" t="s">
        <v>449</v>
      </c>
      <c r="H256" s="261"/>
      <c r="I256" s="261"/>
      <c r="J256" s="264" t="s">
        <v>469</v>
      </c>
    </row>
    <row r="257" spans="1:10">
      <c r="B257" s="212"/>
      <c r="C257" s="212"/>
      <c r="D257" s="212" t="str">
        <f t="shared" ca="1" si="268"/>
        <v>INDMDPHDSLN1</v>
      </c>
      <c r="E257" s="212" t="str">
        <f t="shared" ca="1" si="266"/>
        <v>Industrial heating technology Machinery PH - Oil boiler (Steam) - new 1</v>
      </c>
      <c r="F257" s="262" t="s">
        <v>450</v>
      </c>
      <c r="G257" s="262" t="s">
        <v>449</v>
      </c>
      <c r="H257" s="261"/>
      <c r="I257" s="261"/>
      <c r="J257" s="264" t="s">
        <v>469</v>
      </c>
    </row>
    <row r="258" spans="1:10">
      <c r="B258" s="212"/>
      <c r="C258" s="212"/>
      <c r="D258" s="212" t="str">
        <f t="shared" ca="1" si="268"/>
        <v>INDMDPHDSLN1</v>
      </c>
      <c r="E258" s="212" t="str">
        <f t="shared" ca="1" si="266"/>
        <v>Industrial heating technology Machinery PH - Oil boiler (Steam) - new 1</v>
      </c>
      <c r="F258" s="262" t="s">
        <v>450</v>
      </c>
      <c r="G258" s="262" t="s">
        <v>449</v>
      </c>
      <c r="H258" s="261"/>
      <c r="I258" s="261"/>
      <c r="J258" s="264" t="s">
        <v>469</v>
      </c>
    </row>
    <row r="259" spans="1:10">
      <c r="B259" s="212"/>
      <c r="C259" s="212"/>
      <c r="D259" s="212" t="str">
        <f t="shared" ca="1" si="268"/>
        <v>INDMDSHDSLN1</v>
      </c>
      <c r="E259" s="212" t="str">
        <f t="shared" ca="1" si="266"/>
        <v>Industrial heating technology Machinery SH - Oil boiler (Steam) - new 1</v>
      </c>
      <c r="F259" s="262" t="s">
        <v>450</v>
      </c>
      <c r="G259" s="262" t="s">
        <v>449</v>
      </c>
      <c r="H259" s="261"/>
      <c r="I259" s="261"/>
      <c r="J259" s="264" t="s">
        <v>469</v>
      </c>
    </row>
    <row r="260" spans="1:10">
      <c r="A260" s="214"/>
      <c r="B260" s="212"/>
      <c r="C260" s="212"/>
      <c r="D260" s="212" t="str">
        <f t="shared" ca="1" si="268"/>
        <v>INDMDPHDSLN2</v>
      </c>
      <c r="E260" s="212" t="str">
        <f t="shared" ca="1" si="266"/>
        <v>Industrial heating technology Machinery PH - Oil boiler (Steam - condensing) - new 2</v>
      </c>
      <c r="F260" s="262" t="s">
        <v>450</v>
      </c>
      <c r="G260" s="262" t="s">
        <v>449</v>
      </c>
      <c r="H260" s="261"/>
      <c r="I260" s="261"/>
      <c r="J260" s="264" t="s">
        <v>469</v>
      </c>
    </row>
    <row r="261" spans="1:10">
      <c r="A261" s="214"/>
      <c r="B261" s="212"/>
      <c r="C261" s="212"/>
      <c r="D261" s="212" t="str">
        <f t="shared" ca="1" si="268"/>
        <v>INDMDSHDSLN2</v>
      </c>
      <c r="E261" s="212" t="str">
        <f t="shared" ref="E261:E290" ca="1" si="269">VLOOKUP(D261,$D$9:$E$222,2,FALSE)</f>
        <v>Industrial heating technology Machinery SH - Oil boiler (Steam - condensing) - new 2</v>
      </c>
      <c r="F261" s="262" t="s">
        <v>450</v>
      </c>
      <c r="G261" s="262" t="s">
        <v>449</v>
      </c>
      <c r="H261" s="261"/>
      <c r="I261" s="261"/>
      <c r="J261" s="264" t="s">
        <v>469</v>
      </c>
    </row>
    <row r="262" spans="1:10">
      <c r="A262" s="214"/>
      <c r="B262" s="212"/>
      <c r="C262" s="212"/>
      <c r="D262" s="212" t="str">
        <f t="shared" ca="1" si="268"/>
        <v>INDMDPHGASN1</v>
      </c>
      <c r="E262" s="212" t="str">
        <f t="shared" ca="1" si="269"/>
        <v>Industrial heating technology Machinery PH - Gas boiler (Steam) - new 1</v>
      </c>
      <c r="F262" s="262" t="s">
        <v>450</v>
      </c>
      <c r="G262" s="262" t="s">
        <v>449</v>
      </c>
      <c r="H262" s="261"/>
      <c r="I262" s="261"/>
      <c r="J262" s="264" t="s">
        <v>469</v>
      </c>
    </row>
    <row r="263" spans="1:10">
      <c r="A263" s="214"/>
      <c r="B263" s="212"/>
      <c r="C263" s="212"/>
      <c r="D263" s="212" t="str">
        <f t="shared" ca="1" si="268"/>
        <v>INDMDPHGASN1</v>
      </c>
      <c r="E263" s="212" t="str">
        <f t="shared" ca="1" si="269"/>
        <v>Industrial heating technology Machinery PH - Gas boiler (Steam) - new 1</v>
      </c>
      <c r="F263" s="262" t="s">
        <v>450</v>
      </c>
      <c r="G263" s="262" t="s">
        <v>449</v>
      </c>
      <c r="H263" s="261"/>
      <c r="I263" s="261"/>
      <c r="J263" s="264" t="s">
        <v>469</v>
      </c>
    </row>
    <row r="264" spans="1:10">
      <c r="B264" s="212"/>
      <c r="C264" s="212"/>
      <c r="D264" s="212" t="str">
        <f t="shared" ca="1" si="268"/>
        <v>INDMDSHGASN1</v>
      </c>
      <c r="E264" s="212" t="str">
        <f t="shared" ca="1" si="269"/>
        <v>Industrial heating technology Machinery SH - Gas boiler (Steam) - new 1</v>
      </c>
      <c r="F264" s="262" t="s">
        <v>450</v>
      </c>
      <c r="G264" s="262" t="s">
        <v>449</v>
      </c>
      <c r="H264" s="261"/>
      <c r="I264" s="261"/>
      <c r="J264" s="264" t="s">
        <v>469</v>
      </c>
    </row>
    <row r="265" spans="1:10">
      <c r="B265" s="212"/>
      <c r="C265" s="212"/>
      <c r="D265" s="212" t="str">
        <f t="shared" ca="1" si="268"/>
        <v>INDMDPHGASN2</v>
      </c>
      <c r="E265" s="212" t="str">
        <f t="shared" ca="1" si="269"/>
        <v>Industrial heating technology Machinery PH - Gas boiler (Steam - condensing) - new 2</v>
      </c>
      <c r="F265" s="262" t="s">
        <v>450</v>
      </c>
      <c r="G265" s="262" t="s">
        <v>449</v>
      </c>
      <c r="H265" s="261"/>
      <c r="I265" s="261"/>
      <c r="J265" s="264" t="s">
        <v>469</v>
      </c>
    </row>
    <row r="266" spans="1:10">
      <c r="B266" s="212"/>
      <c r="C266" s="212"/>
      <c r="D266" s="212" t="str">
        <f t="shared" ca="1" si="268"/>
        <v>INDMDSHGASN2</v>
      </c>
      <c r="E266" s="212" t="str">
        <f t="shared" ca="1" si="269"/>
        <v>Industrial heating technology Machinery SH - Gas boiler (Steam - condensing) - new 2</v>
      </c>
      <c r="F266" s="262" t="s">
        <v>450</v>
      </c>
      <c r="G266" s="262" t="s">
        <v>449</v>
      </c>
      <c r="H266" s="261"/>
      <c r="I266" s="261"/>
      <c r="J266" s="264" t="s">
        <v>469</v>
      </c>
    </row>
    <row r="267" spans="1:10">
      <c r="B267" s="212"/>
      <c r="C267" s="212"/>
      <c r="D267" s="212" t="str">
        <f t="shared" ca="1" si="268"/>
        <v>INDMDPHGASN3</v>
      </c>
      <c r="E267" s="212" t="str">
        <f t="shared" ca="1" si="269"/>
        <v>Industrial heating technology Machinery PH - Gas boiler (Hot Water) - new 3</v>
      </c>
      <c r="F267" s="262" t="s">
        <v>450</v>
      </c>
      <c r="G267" s="262" t="s">
        <v>449</v>
      </c>
      <c r="H267" s="261"/>
      <c r="I267" s="261"/>
      <c r="J267" s="264" t="s">
        <v>469</v>
      </c>
    </row>
    <row r="268" spans="1:10">
      <c r="B268" s="212"/>
      <c r="C268" s="212"/>
      <c r="D268" s="212" t="str">
        <f t="shared" ca="1" si="268"/>
        <v>INDMDSHGASN3</v>
      </c>
      <c r="E268" s="212" t="str">
        <f t="shared" ca="1" si="269"/>
        <v>Industrial heating technology Machinery SH - Gas boiler (Hot Water) - new 3</v>
      </c>
      <c r="F268" s="262" t="s">
        <v>450</v>
      </c>
      <c r="G268" s="262" t="s">
        <v>449</v>
      </c>
      <c r="H268" s="261"/>
      <c r="I268" s="261"/>
      <c r="J268" s="264" t="s">
        <v>469</v>
      </c>
    </row>
    <row r="269" spans="1:10">
      <c r="B269" s="212"/>
      <c r="C269" s="212"/>
      <c r="D269" s="212" t="str">
        <f t="shared" ca="1" si="268"/>
        <v>INDMDPHGASN4</v>
      </c>
      <c r="E269" s="212" t="str">
        <f t="shared" ca="1" si="269"/>
        <v>Industrial heating technology Machinery PH - Gas boiler (Hot Water - condensing) - new 4</v>
      </c>
      <c r="F269" s="262" t="s">
        <v>450</v>
      </c>
      <c r="G269" s="262" t="s">
        <v>449</v>
      </c>
      <c r="H269" s="261"/>
      <c r="I269" s="261"/>
      <c r="J269" s="264" t="s">
        <v>469</v>
      </c>
    </row>
    <row r="270" spans="1:10">
      <c r="B270" s="212"/>
      <c r="C270" s="212"/>
      <c r="D270" s="212" t="str">
        <f t="shared" ca="1" si="268"/>
        <v>INDMDSHGASN4</v>
      </c>
      <c r="E270" s="212" t="str">
        <f t="shared" ca="1" si="269"/>
        <v>Industrial heating technology Machinery SH - Gas boiler (Hot Water- condensing) - new 4</v>
      </c>
      <c r="F270" s="262" t="s">
        <v>450</v>
      </c>
      <c r="G270" s="262" t="s">
        <v>449</v>
      </c>
      <c r="H270" s="261"/>
      <c r="I270" s="261"/>
      <c r="J270" s="264" t="s">
        <v>469</v>
      </c>
    </row>
    <row r="271" spans="1:10">
      <c r="B271" s="212"/>
      <c r="C271" s="212"/>
      <c r="D271" s="212" t="str">
        <f t="shared" ca="1" si="268"/>
        <v>INDMDPHGASN5</v>
      </c>
      <c r="E271" s="212" t="str">
        <f t="shared" ca="1" si="269"/>
        <v>Industrial heating technology Machinery PH - Gas boiler (Direct firing) - new 5</v>
      </c>
      <c r="F271" s="262" t="s">
        <v>450</v>
      </c>
      <c r="G271" s="262" t="s">
        <v>449</v>
      </c>
      <c r="H271" s="261"/>
      <c r="I271" s="261"/>
      <c r="J271" s="264" t="s">
        <v>469</v>
      </c>
    </row>
    <row r="272" spans="1:10">
      <c r="B272" s="212"/>
      <c r="C272" s="212"/>
      <c r="D272" s="212" t="str">
        <f t="shared" ca="1" si="268"/>
        <v>INDMDPHGASN5</v>
      </c>
      <c r="E272" s="212" t="str">
        <f t="shared" ca="1" si="269"/>
        <v>Industrial heating technology Machinery PH - Gas boiler (Direct firing) - new 5</v>
      </c>
      <c r="F272" s="262" t="s">
        <v>450</v>
      </c>
      <c r="G272" s="262" t="s">
        <v>449</v>
      </c>
      <c r="H272" s="261"/>
      <c r="I272" s="261"/>
      <c r="J272" s="264" t="s">
        <v>469</v>
      </c>
    </row>
    <row r="273" spans="2:10">
      <c r="B273" s="212"/>
      <c r="C273" s="212"/>
      <c r="D273" s="212" t="str">
        <f t="shared" ca="1" si="268"/>
        <v>INDMDPHCOAN1</v>
      </c>
      <c r="E273" s="212" t="str">
        <f t="shared" ca="1" si="269"/>
        <v>Industrial heating technology Machinery PH - Coal boiler (Steam) - new 1</v>
      </c>
      <c r="F273" s="262" t="s">
        <v>450</v>
      </c>
      <c r="G273" s="262" t="s">
        <v>449</v>
      </c>
      <c r="H273" s="261"/>
      <c r="I273" s="261"/>
      <c r="J273" s="264" t="s">
        <v>469</v>
      </c>
    </row>
    <row r="274" spans="2:10">
      <c r="B274" s="212"/>
      <c r="C274" s="212"/>
      <c r="D274" s="212" t="str">
        <f t="shared" ca="1" si="268"/>
        <v>INDMDPHCOAN1</v>
      </c>
      <c r="E274" s="212" t="str">
        <f t="shared" ca="1" si="269"/>
        <v>Industrial heating technology Machinery PH - Coal boiler (Steam) - new 1</v>
      </c>
      <c r="F274" s="262" t="s">
        <v>450</v>
      </c>
      <c r="G274" s="262" t="s">
        <v>449</v>
      </c>
      <c r="H274" s="261"/>
      <c r="I274" s="261"/>
      <c r="J274" s="264" t="s">
        <v>469</v>
      </c>
    </row>
    <row r="275" spans="2:10">
      <c r="B275" s="212"/>
      <c r="C275" s="212"/>
      <c r="D275" s="212" t="str">
        <f t="shared" ca="1" si="268"/>
        <v>INDMDSHCOAN1</v>
      </c>
      <c r="E275" s="212" t="str">
        <f t="shared" ca="1" si="269"/>
        <v>Industrial heating technology Machinery SH - Coal boiler (Steam) - new 1</v>
      </c>
      <c r="F275" s="262" t="s">
        <v>450</v>
      </c>
      <c r="G275" s="262" t="s">
        <v>449</v>
      </c>
      <c r="H275" s="261"/>
      <c r="I275" s="261"/>
      <c r="J275" s="264" t="s">
        <v>469</v>
      </c>
    </row>
    <row r="276" spans="2:10">
      <c r="B276" s="212"/>
      <c r="C276" s="212"/>
      <c r="D276" s="212" t="str">
        <f t="shared" ca="1" si="268"/>
        <v>INDMDPHCOAN2</v>
      </c>
      <c r="E276" s="212" t="str">
        <f t="shared" ca="1" si="269"/>
        <v>Industrial heating technology Machinery PH - Coal boiler (Hot Water) - new 2</v>
      </c>
      <c r="F276" s="262" t="s">
        <v>450</v>
      </c>
      <c r="G276" s="262" t="s">
        <v>449</v>
      </c>
      <c r="H276" s="261"/>
      <c r="I276" s="261"/>
      <c r="J276" s="264" t="s">
        <v>469</v>
      </c>
    </row>
    <row r="277" spans="2:10">
      <c r="B277" s="212"/>
      <c r="C277" s="212"/>
      <c r="D277" s="212" t="str">
        <f t="shared" ca="1" si="268"/>
        <v>INDMDSHCOAN2</v>
      </c>
      <c r="E277" s="212" t="str">
        <f t="shared" ca="1" si="269"/>
        <v>Industrial heating technology Machinery SH - Coal boiler (Hot Water) - new 2</v>
      </c>
      <c r="F277" s="262" t="s">
        <v>450</v>
      </c>
      <c r="G277" s="262" t="s">
        <v>449</v>
      </c>
      <c r="H277" s="261"/>
      <c r="I277" s="261"/>
      <c r="J277" s="264" t="s">
        <v>469</v>
      </c>
    </row>
    <row r="278" spans="2:10">
      <c r="B278" s="212"/>
      <c r="C278" s="212"/>
      <c r="D278" s="212" t="str">
        <f t="shared" ca="1" si="268"/>
        <v>INDMDSHSOLN1</v>
      </c>
      <c r="E278" s="212" t="str">
        <f t="shared" ca="1" si="269"/>
        <v>Industrial heating technology Machinery SH - Solar - new 1</v>
      </c>
      <c r="F278" s="262" t="s">
        <v>450</v>
      </c>
      <c r="G278" s="262" t="s">
        <v>449</v>
      </c>
      <c r="H278" s="263" t="s">
        <v>620</v>
      </c>
      <c r="I278" s="261"/>
      <c r="J278" s="264" t="s">
        <v>469</v>
      </c>
    </row>
    <row r="279" spans="2:10">
      <c r="B279" s="212"/>
      <c r="C279" s="212"/>
      <c r="D279" s="889" t="str">
        <f>D187</f>
        <v>INDMDSHHCEN1</v>
      </c>
      <c r="E279" s="889" t="str">
        <f t="shared" si="269"/>
        <v>Industrial heating technology Machinery SH - central district heating - within DH area - new 1</v>
      </c>
      <c r="F279" s="262" t="s">
        <v>450</v>
      </c>
      <c r="G279" s="262" t="s">
        <v>449</v>
      </c>
      <c r="H279" s="890"/>
      <c r="I279" s="890"/>
      <c r="J279" s="263" t="s">
        <v>469</v>
      </c>
    </row>
    <row r="280" spans="2:10">
      <c r="B280" s="212"/>
      <c r="C280" s="212"/>
      <c r="D280" s="889" t="str">
        <f>D188</f>
        <v>INDMDPHHCEN1</v>
      </c>
      <c r="E280" s="889" t="str">
        <f t="shared" si="269"/>
        <v>Industrial heating technology Machinery PH - central district heating - within DH area - new 1</v>
      </c>
      <c r="F280" s="262" t="s">
        <v>450</v>
      </c>
      <c r="G280" s="262" t="s">
        <v>449</v>
      </c>
      <c r="H280" s="890"/>
      <c r="I280" s="890"/>
      <c r="J280" s="263" t="s">
        <v>469</v>
      </c>
    </row>
    <row r="281" spans="2:10">
      <c r="B281" s="212"/>
      <c r="C281" s="212"/>
      <c r="D281" s="889" t="str">
        <f>D189</f>
        <v>INDMDSHHSEN1</v>
      </c>
      <c r="E281" s="889" t="str">
        <f t="shared" si="269"/>
        <v>Industrial heating technology Machinery SH - central district heating - within DH area - new 1</v>
      </c>
      <c r="F281" s="262" t="s">
        <v>450</v>
      </c>
      <c r="G281" s="262" t="s">
        <v>449</v>
      </c>
      <c r="H281" s="890"/>
      <c r="I281" s="890"/>
      <c r="J281" s="263" t="s">
        <v>469</v>
      </c>
    </row>
    <row r="282" spans="2:10">
      <c r="B282" s="212"/>
      <c r="C282" s="212"/>
      <c r="D282" s="889" t="str">
        <f>D190</f>
        <v>INDMDPHHSEN1</v>
      </c>
      <c r="E282" s="889" t="str">
        <f t="shared" si="269"/>
        <v>Industrial heating technology Machinery PH - central district heating - within DH area - new 1</v>
      </c>
      <c r="F282" s="262" t="s">
        <v>450</v>
      </c>
      <c r="G282" s="262" t="s">
        <v>449</v>
      </c>
      <c r="H282" s="890"/>
      <c r="I282" s="890"/>
      <c r="J282" s="263" t="s">
        <v>469</v>
      </c>
    </row>
    <row r="283" spans="2:10">
      <c r="B283" s="212"/>
      <c r="C283" s="212"/>
      <c r="D283" s="212" t="str">
        <f t="shared" ref="D283" si="270">D191</f>
        <v>INDMDSHHDEN1</v>
      </c>
      <c r="E283" s="212" t="str">
        <f t="shared" si="269"/>
        <v>Industrial heating technology Machinery SH - decentral district heating - within DH area - new 1</v>
      </c>
      <c r="F283" s="262" t="s">
        <v>450</v>
      </c>
      <c r="G283" s="262" t="s">
        <v>449</v>
      </c>
      <c r="H283" s="261"/>
      <c r="I283" s="261"/>
      <c r="J283" s="264" t="s">
        <v>469</v>
      </c>
    </row>
    <row r="284" spans="2:10">
      <c r="B284" s="212"/>
      <c r="C284" s="212"/>
      <c r="D284" s="212" t="str">
        <f>D192</f>
        <v>INDMDPHHDEN1</v>
      </c>
      <c r="E284" s="212" t="str">
        <f t="shared" si="269"/>
        <v>Industrial heating technology Machinery PH - decentral district heating - within DH area - new 1</v>
      </c>
      <c r="F284" s="262" t="s">
        <v>450</v>
      </c>
      <c r="G284" s="262" t="s">
        <v>449</v>
      </c>
      <c r="H284" s="261"/>
      <c r="I284" s="261"/>
      <c r="J284" s="264" t="s">
        <v>469</v>
      </c>
    </row>
    <row r="285" spans="2:10">
      <c r="B285" s="212"/>
      <c r="C285" s="212"/>
      <c r="D285" s="212" t="str">
        <f>D194</f>
        <v>INDMDLAELCN1</v>
      </c>
      <c r="E285" s="212" t="str">
        <f t="shared" si="269"/>
        <v>Industry Machinery LA Electricity Light Appliance - New 1</v>
      </c>
      <c r="F285" s="262" t="s">
        <v>450</v>
      </c>
      <c r="G285" s="262" t="s">
        <v>449</v>
      </c>
      <c r="H285" s="261"/>
      <c r="I285" s="261"/>
      <c r="J285" s="264" t="s">
        <v>469</v>
      </c>
    </row>
    <row r="286" spans="2:10">
      <c r="B286" s="212"/>
      <c r="C286" s="212"/>
      <c r="D286" s="212" t="str">
        <f>D198</f>
        <v>INDMDEMELCN1</v>
      </c>
      <c r="E286" s="212" t="str">
        <f t="shared" si="269"/>
        <v>Industry Machinery EM Electricity Motors - New 1</v>
      </c>
      <c r="F286" s="262" t="s">
        <v>450</v>
      </c>
      <c r="G286" s="262" t="s">
        <v>449</v>
      </c>
      <c r="H286" s="261"/>
      <c r="I286" s="261"/>
      <c r="J286" s="264" t="s">
        <v>469</v>
      </c>
    </row>
    <row r="287" spans="2:10">
      <c r="B287" s="212"/>
      <c r="C287" s="212"/>
      <c r="D287" s="212" t="str">
        <f>D202</f>
        <v>INDMDTFDSLN1</v>
      </c>
      <c r="E287" s="212" t="str">
        <f t="shared" si="269"/>
        <v>Industry Machinery TF Tractors, Trucks, Fishing boats - New 1</v>
      </c>
      <c r="F287" s="262" t="s">
        <v>450</v>
      </c>
      <c r="G287" s="262" t="s">
        <v>2078</v>
      </c>
      <c r="H287" s="261"/>
      <c r="I287" s="261"/>
      <c r="J287" s="264" t="s">
        <v>469</v>
      </c>
    </row>
    <row r="288" spans="2:10">
      <c r="B288" s="212"/>
      <c r="C288" s="212"/>
      <c r="D288" s="212" t="str">
        <f>D206</f>
        <v>INDMDTFH2GN2</v>
      </c>
      <c r="E288" s="212" t="str">
        <f t="shared" si="269"/>
        <v>Industry Machinery TF Tractors, Trucks, Fishing boats - New 2</v>
      </c>
      <c r="F288" s="262" t="s">
        <v>450</v>
      </c>
      <c r="G288" s="262" t="s">
        <v>2078</v>
      </c>
      <c r="H288" s="261"/>
      <c r="I288" s="261"/>
      <c r="J288" s="264" t="s">
        <v>469</v>
      </c>
    </row>
    <row r="289" spans="2:10">
      <c r="B289" s="212"/>
      <c r="C289" s="212"/>
      <c r="D289" s="212" t="str">
        <f>D210</f>
        <v>INDMDTFELCN3</v>
      </c>
      <c r="E289" s="212" t="str">
        <f t="shared" si="269"/>
        <v>Industry Machinery TF Tractors, Trucks, Fishing boats - New 3</v>
      </c>
      <c r="F289" s="262" t="s">
        <v>450</v>
      </c>
      <c r="G289" s="262" t="s">
        <v>2078</v>
      </c>
      <c r="H289" s="261"/>
      <c r="I289" s="261"/>
      <c r="J289" s="264" t="s">
        <v>469</v>
      </c>
    </row>
    <row r="290" spans="2:10">
      <c r="B290" s="212"/>
      <c r="C290" s="212"/>
      <c r="D290" s="212" t="str">
        <f>D214</f>
        <v>INDMDFLSYNN1</v>
      </c>
      <c r="E290" s="212" t="str">
        <f t="shared" si="269"/>
        <v>Industry Machinery TF Forklifts - New 1</v>
      </c>
      <c r="F290" s="262" t="s">
        <v>450</v>
      </c>
      <c r="G290" s="262" t="s">
        <v>449</v>
      </c>
      <c r="H290" s="261"/>
      <c r="I290" s="261"/>
      <c r="J290" s="264" t="s">
        <v>469</v>
      </c>
    </row>
    <row r="291" spans="2:10">
      <c r="B291" s="212"/>
      <c r="C291" s="212"/>
      <c r="D291" s="212" t="str">
        <f>D218</f>
        <v>INDMDCOELCN1</v>
      </c>
      <c r="E291" s="212" t="str">
        <f>E218</f>
        <v>Industry Machinery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IMDSOx</v>
      </c>
      <c r="E296" s="270" t="str">
        <f>"Industrial heating  heating technology "&amp;$AJ$12&amp;" - SOx emission"</f>
        <v>Industrial heating  heating technology Machinery - SOx emission</v>
      </c>
      <c r="F296" s="219" t="s">
        <v>352</v>
      </c>
      <c r="G296" s="211"/>
      <c r="H296" s="211"/>
      <c r="I296" s="211"/>
      <c r="J296" s="211"/>
    </row>
    <row r="297" spans="2:10">
      <c r="B297" s="214"/>
      <c r="C297" s="214"/>
      <c r="D297" s="260" t="str">
        <f>"I"&amp;LEFT($AJ$12,1)&amp;"DNOx"</f>
        <v>IMDNOx</v>
      </c>
      <c r="E297" s="270" t="str">
        <f>"Industrial heating  heating technology "&amp;$AJ$12&amp;" - NOx emission"</f>
        <v>Industrial heating  heating technology Machinery - NOx emission</v>
      </c>
      <c r="F297" s="219" t="s">
        <v>352</v>
      </c>
      <c r="G297" s="211"/>
      <c r="H297" s="214"/>
      <c r="I297" s="214"/>
      <c r="J297" s="214"/>
    </row>
    <row r="298" spans="2:10">
      <c r="B298" s="214"/>
      <c r="C298" s="214"/>
      <c r="D298" s="260" t="str">
        <f>"I"&amp;LEFT($AJ$12,1)&amp;"DCH4"</f>
        <v>IMDCH4</v>
      </c>
      <c r="E298" s="270" t="str">
        <f>"Industrial heating  heating technology "&amp;$AJ$12&amp;" - CH4 emission"</f>
        <v>Industrial heating  heating technology Machinery - CH4 emission</v>
      </c>
      <c r="F298" s="219" t="s">
        <v>352</v>
      </c>
      <c r="G298" s="211"/>
      <c r="H298" s="214"/>
      <c r="I298" s="214"/>
      <c r="J298" s="214"/>
    </row>
    <row r="299" spans="2:10">
      <c r="B299" s="214"/>
      <c r="C299" s="214"/>
      <c r="D299" s="260" t="str">
        <f>"I"&amp;LEFT($AJ$12,1)&amp;"DNO2"</f>
        <v>IMDNO2</v>
      </c>
      <c r="E299" s="270" t="str">
        <f>"Industrial heating  heating technology "&amp;$AJ$12&amp;" - NO2 emission"</f>
        <v>Industrial heating  heating technology Machinery - NO2 emission</v>
      </c>
      <c r="F299" s="219" t="s">
        <v>352</v>
      </c>
      <c r="G299" s="211"/>
      <c r="H299" s="214"/>
      <c r="I299" s="214"/>
      <c r="J299" s="214"/>
    </row>
    <row r="300" spans="2:10">
      <c r="B300" s="214"/>
      <c r="C300" s="214"/>
      <c r="D300" s="260" t="str">
        <f>"I"&amp;LEFT($AJ$12,1)&amp;"DPM"</f>
        <v>IMDPM</v>
      </c>
      <c r="E300" s="270" t="str">
        <f>"Industrial heating  heating technology "&amp;$AJ$12&amp;" - Particle emission"</f>
        <v>Industrial heating  heating technology Machinery - Particle emission</v>
      </c>
      <c r="F300" s="219" t="s">
        <v>352</v>
      </c>
      <c r="G300" s="211"/>
      <c r="H300" s="214"/>
      <c r="I300" s="214"/>
      <c r="J300" s="214"/>
    </row>
    <row r="301" spans="2:10">
      <c r="B301" s="224" t="s">
        <v>1057</v>
      </c>
      <c r="D301" s="224" t="str">
        <f>AI20</f>
        <v>INDMWH</v>
      </c>
      <c r="E301" s="270" t="str">
        <f>"Industrial heating technology "&amp;$AJ$12&amp;" - Waste heat"</f>
        <v>Industrial heating technology Machinery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40859E54-0563-4E37-886A-6319AC65F3B6}">
          <x14:formula1>
            <xm:f>'Oil-fired boiler_NEW'!$T$4:$X$4</xm:f>
          </x14:formula1>
          <xm:sqref>E1</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F10D-F584-49C6-9D74-727A80A83398}">
  <sheetPr>
    <tabColor rgb="FF00B050"/>
  </sheetPr>
  <dimension ref="A1:AP301"/>
  <sheetViews>
    <sheetView topLeftCell="H127"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715</v>
      </c>
      <c r="N1" s="64"/>
      <c r="O1" s="64"/>
      <c r="P1" s="64"/>
      <c r="S1" s="727" t="s">
        <v>1004</v>
      </c>
      <c r="T1" s="776" t="s">
        <v>1003</v>
      </c>
      <c r="U1" s="775" t="s">
        <v>1053</v>
      </c>
      <c r="V1" s="776" t="s">
        <v>1054</v>
      </c>
      <c r="W1" s="780">
        <v>0.3</v>
      </c>
    </row>
    <row r="2" spans="2:42" ht="15" thickBot="1">
      <c r="E2" s="730" t="s">
        <v>519</v>
      </c>
      <c r="N2" s="731"/>
      <c r="O2" s="731"/>
      <c r="P2" s="731"/>
      <c r="S2" s="726">
        <f>MATCH($E$1,$AJ$22:$AJ$35)</f>
        <v>5</v>
      </c>
      <c r="T2" s="778">
        <f>MATCH($E$1,$AJ$22:$AJ$35)+1</f>
        <v>6</v>
      </c>
      <c r="U2" s="779"/>
      <c r="V2" s="768" t="s">
        <v>2123</v>
      </c>
      <c r="W2" s="781">
        <v>0.2</v>
      </c>
    </row>
    <row r="3" spans="2:42" ht="15" thickBot="1">
      <c r="N3" s="731"/>
      <c r="O3" s="731"/>
      <c r="P3" s="731"/>
      <c r="S3" s="768"/>
      <c r="T3" s="768"/>
      <c r="U3" s="777"/>
      <c r="V3" s="778" t="s">
        <v>2124</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FEMIS~IFDSOx</v>
      </c>
      <c r="Y6" s="280" t="str">
        <f>"FEMIS~"&amp;D297</f>
        <v>FEMIS~IFDNOx</v>
      </c>
      <c r="Z6" s="280" t="str">
        <f>"FEMIS~"&amp;D298</f>
        <v>FEMIS~IFDCH4</v>
      </c>
      <c r="AA6" s="280" t="str">
        <f>"FEMIS~"&amp;D299</f>
        <v>FEMIS~IFDNO2</v>
      </c>
      <c r="AB6" s="280" t="str">
        <f>"FEMIS~"&amp;D300</f>
        <v>FEMIS~IFDPM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INDFDPHELCN1</v>
      </c>
      <c r="E9" s="261" t="str">
        <f>"Industrial heating technology "&amp;$AJ$12&amp;" "&amp;RIGHT(H9,2)&amp;" - Heat pump utilizing waste heat - new 1"</f>
        <v>Industrial heating technology Food PH - Heat pump utilizing waste heat - new 1</v>
      </c>
      <c r="F9" s="224" t="s">
        <v>1149</v>
      </c>
      <c r="G9" s="173" t="s">
        <v>499</v>
      </c>
      <c r="H9" s="174" t="str">
        <f>$AI$14</f>
        <v>IFDPH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INDFWH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IFDPH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INDFWH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Food</v>
      </c>
    </row>
    <row r="13" spans="2:42">
      <c r="B13" s="357" t="s">
        <v>998</v>
      </c>
      <c r="D13" s="212"/>
      <c r="E13" s="212"/>
      <c r="F13" s="224" t="s">
        <v>1149</v>
      </c>
      <c r="G13" s="173" t="s">
        <v>499</v>
      </c>
      <c r="H13" s="174" t="str">
        <f>$AI$14</f>
        <v>IFDPH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IFDPH</v>
      </c>
      <c r="AJ13" s="224" t="str">
        <f>AP14</f>
        <v>Food industry Demand Heat High Temp. over 150C</v>
      </c>
      <c r="AO13" s="224" t="s">
        <v>2087</v>
      </c>
      <c r="AP13" s="224" t="s">
        <v>1172</v>
      </c>
    </row>
    <row r="14" spans="2:42">
      <c r="B14" s="357" t="s">
        <v>998</v>
      </c>
      <c r="D14" s="212"/>
      <c r="E14" s="212"/>
      <c r="F14" s="224" t="s">
        <v>1149</v>
      </c>
      <c r="G14" s="173" t="str">
        <f>$AI$20</f>
        <v>INDFWH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IFDPH</v>
      </c>
      <c r="AJ14" s="224" t="str">
        <f>AP13</f>
        <v>Food industry Demand Heat Medium Temp. up to 150C</v>
      </c>
      <c r="AO14" s="224" t="s">
        <v>2087</v>
      </c>
      <c r="AP14" s="224" t="s">
        <v>1173</v>
      </c>
    </row>
    <row r="15" spans="2:42">
      <c r="B15" s="357" t="s">
        <v>998</v>
      </c>
      <c r="D15" s="212" t="str">
        <f>"IND"&amp;RIGHT(H15,4)&amp;RIGHT(G15,3)&amp;"N"&amp;RIGHT(E15,1)</f>
        <v>INDFDSHELCN1</v>
      </c>
      <c r="E15" s="261" t="str">
        <f>"Industrial heating technology "&amp;$AJ$12&amp;" "&amp;RIGHT(H15,2)&amp;" - Heat pump utilizing waste heat - new 1"</f>
        <v>Industrial heating technology Food SH - Heat pump utilizing waste heat - new 1</v>
      </c>
      <c r="F15" s="224" t="s">
        <v>1149</v>
      </c>
      <c r="G15" s="173" t="s">
        <v>499</v>
      </c>
      <c r="H15" s="174" t="str">
        <f>$AI$15</f>
        <v>IFDSH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IFDSH</v>
      </c>
      <c r="AJ15" s="224" t="str">
        <f>AP15</f>
        <v>Food industry Demand Heat Room Heat</v>
      </c>
      <c r="AO15" s="224" t="s">
        <v>2088</v>
      </c>
      <c r="AP15" s="224" t="s">
        <v>1174</v>
      </c>
    </row>
    <row r="16" spans="2:42">
      <c r="B16" s="357" t="s">
        <v>998</v>
      </c>
      <c r="D16" s="212"/>
      <c r="E16" s="261"/>
      <c r="F16" s="224" t="s">
        <v>1149</v>
      </c>
      <c r="G16" s="173" t="str">
        <f>$AI$20</f>
        <v>INDFWH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IFDLA</v>
      </c>
      <c r="AJ16" s="224" t="str">
        <f t="shared" si="0"/>
        <v>Food industry Demand Light</v>
      </c>
      <c r="AO16" s="224" t="s">
        <v>1175</v>
      </c>
      <c r="AP16" s="224" t="s">
        <v>1176</v>
      </c>
    </row>
    <row r="17" spans="2:42">
      <c r="B17" s="357" t="s">
        <v>998</v>
      </c>
      <c r="D17" s="212"/>
      <c r="E17" s="212"/>
      <c r="F17" s="224" t="s">
        <v>1149</v>
      </c>
      <c r="G17" s="173" t="s">
        <v>499</v>
      </c>
      <c r="H17" s="174" t="str">
        <f>$AI$15</f>
        <v>IFDSH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IFDEM</v>
      </c>
      <c r="AJ17" s="224" t="str">
        <f t="shared" si="0"/>
        <v>Food industry Demand Electric Motors</v>
      </c>
      <c r="AO17" s="224" t="s">
        <v>1177</v>
      </c>
      <c r="AP17" s="224" t="s">
        <v>1178</v>
      </c>
    </row>
    <row r="18" spans="2:42">
      <c r="B18" s="357" t="s">
        <v>998</v>
      </c>
      <c r="D18" s="212"/>
      <c r="E18" s="212"/>
      <c r="F18" s="224" t="s">
        <v>1149</v>
      </c>
      <c r="G18" s="173" t="str">
        <f>$AI$20</f>
        <v>INDFWH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IFDTF</v>
      </c>
      <c r="AJ18" s="224" t="str">
        <f t="shared" si="0"/>
        <v>Food industry Demand Haulage Tractors, Trucks, Fishing boats, Forest machines</v>
      </c>
      <c r="AO18" s="224" t="s">
        <v>1179</v>
      </c>
      <c r="AP18" s="224" t="s">
        <v>1180</v>
      </c>
    </row>
    <row r="19" spans="2:42">
      <c r="B19" s="357" t="s">
        <v>998</v>
      </c>
      <c r="D19" s="212"/>
      <c r="E19" s="212"/>
      <c r="F19" s="224" t="s">
        <v>1149</v>
      </c>
      <c r="G19" s="173" t="s">
        <v>499</v>
      </c>
      <c r="H19" s="174" t="str">
        <f>$AI$15</f>
        <v>IFDSH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IFDFL</v>
      </c>
      <c r="AJ19" s="224" t="str">
        <f t="shared" si="0"/>
        <v>Food industry Demand Haulage Forklifts</v>
      </c>
      <c r="AO19" s="224" t="s">
        <v>1181</v>
      </c>
      <c r="AP19" s="224" t="s">
        <v>1182</v>
      </c>
    </row>
    <row r="20" spans="2:42">
      <c r="B20" s="357" t="s">
        <v>998</v>
      </c>
      <c r="D20" s="212"/>
      <c r="E20" s="212"/>
      <c r="F20" s="224" t="s">
        <v>1149</v>
      </c>
      <c r="G20" s="173" t="str">
        <f>$AI$20</f>
        <v>INDFWH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INDFWH</v>
      </c>
      <c r="AJ20" s="224" t="str">
        <f>$AJ$12&amp;" Industrial Waste Heat"</f>
        <v>Food Industrial Waste Heat</v>
      </c>
    </row>
    <row r="21" spans="2:42">
      <c r="B21" s="357" t="s">
        <v>999</v>
      </c>
      <c r="D21" s="212" t="str">
        <f>"IND"&amp;RIGHT(H21,4)&amp;RIGHT(G21,3)&amp;"N"&amp;RIGHT(E21,1)</f>
        <v>INDFDPHELCN2</v>
      </c>
      <c r="E21" s="261" t="str">
        <f>"Industrial heating technology "&amp;$AJ$12&amp;" "&amp;RIGHT(H21,2)&amp;" - Heat driven heat pump utilizing waste heat - new 2"</f>
        <v>Industrial heating technology Food PH - Heat driven heat pump utilizing waste heat - new 2</v>
      </c>
      <c r="F21" s="224" t="s">
        <v>1149</v>
      </c>
      <c r="G21" s="173" t="s">
        <v>499</v>
      </c>
      <c r="H21" s="174" t="str">
        <f>$AI$14</f>
        <v>IFDPH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IFDCO</v>
      </c>
      <c r="AJ21" s="224" t="s">
        <v>2120</v>
      </c>
    </row>
    <row r="22" spans="2:42">
      <c r="B22" s="357" t="s">
        <v>999</v>
      </c>
      <c r="D22" s="212"/>
      <c r="E22" s="261"/>
      <c r="F22" s="224" t="s">
        <v>1149</v>
      </c>
      <c r="G22" s="173" t="str">
        <f>$AI$20</f>
        <v>INDFWH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IFDPH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INDFWH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IFDPH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INDFWH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INDFDSHELCN2</v>
      </c>
      <c r="E27" s="261" t="str">
        <f>"Industrial heating technology "&amp;$AJ$12&amp;" "&amp;RIGHT(H27,2)&amp;" - Heat driven heat pump utilizing waste heat - new 2"</f>
        <v>Industrial heating technology Food SH - Heat driven heat pump utilizing waste heat - new 2</v>
      </c>
      <c r="F27" s="224" t="s">
        <v>1149</v>
      </c>
      <c r="G27" s="173" t="s">
        <v>499</v>
      </c>
      <c r="H27" s="174" t="str">
        <f>$AI$15</f>
        <v>IFDSH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INDFWH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IFDSH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INDFWH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IFDSH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INDFWH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INDFDPHELCN3</v>
      </c>
      <c r="E33" s="261" t="str">
        <f>"Industrial heating technology "&amp;$AJ$12&amp;" "&amp;RIGHT(H33,2)&amp;" - High Temp abs. Heat pump utilizing waste heat - new 3"</f>
        <v>Industrial heating technology Food PH - High Temp abs. Heat pump utilizing waste heat - new 3</v>
      </c>
      <c r="F33" s="224" t="s">
        <v>1149</v>
      </c>
      <c r="G33" s="173" t="s">
        <v>499</v>
      </c>
      <c r="H33" s="174" t="str">
        <f>$AI$14</f>
        <v>IFDPH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INDFWH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IFDPH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INDFWH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IFDPH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INDFWH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INDFDSHELCN3</v>
      </c>
      <c r="E39" s="261" t="str">
        <f>"Industrial heating technology "&amp;$AJ$12&amp;" "&amp;RIGHT(H39,2)&amp;" - High Temp abs. Heat pump utilizing waste heat - new 3"</f>
        <v>Industrial heating technology Food SH - High Temp abs. Heat pump utilizing waste heat - new 3</v>
      </c>
      <c r="F39" s="224" t="s">
        <v>1149</v>
      </c>
      <c r="G39" s="173" t="s">
        <v>499</v>
      </c>
      <c r="H39" s="174" t="str">
        <f>$AI$15</f>
        <v>IFDSH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INDFWH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IFDSH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INDFWH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IFDSH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INDFWH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INDFDPHELCN4</v>
      </c>
      <c r="E45" s="261" t="str">
        <f>"Industrial heating technology "&amp;$AJ$12&amp;" "&amp;RIGHT(H45,2)&amp;" - Booster Heat pump utilizing waste heat - new 4"</f>
        <v>Industrial heating technology Food PH - Booster Heat pump utilizing waste heat - new 4</v>
      </c>
      <c r="F45" s="224" t="s">
        <v>1149</v>
      </c>
      <c r="G45" s="173" t="s">
        <v>499</v>
      </c>
      <c r="H45" s="174" t="str">
        <f>$AI$14</f>
        <v>IFDPH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INDFWH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IFDPH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INDFWH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IFDPH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INDFWH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INDFDSHELCN4</v>
      </c>
      <c r="E51" s="261" t="str">
        <f>"Industrial heating technology "&amp;$AJ$12&amp;" "&amp;RIGHT(H51,2)&amp;" - Booster Heat pump utilizing waste heat - new 4"</f>
        <v>Industrial heating technology Food SH - Booster Heat pump utilizing waste heat - new 4</v>
      </c>
      <c r="F51" s="224" t="s">
        <v>1149</v>
      </c>
      <c r="G51" s="173" t="s">
        <v>499</v>
      </c>
      <c r="H51" s="174" t="str">
        <f>$AI$15</f>
        <v>IFDSH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INDFWH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IFDSH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INDFWH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IFDSH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INDFWH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INDFDPHELCN5</v>
      </c>
      <c r="E57" s="261" t="str">
        <f>"Industrial heating technology "&amp;$AJ$12&amp;" "&amp;RIGHT(H57,2)&amp;" - MVR utilizing waste heat - new 5"</f>
        <v>Industrial heating technology Food PH - MVR utilizing waste heat - new 5</v>
      </c>
      <c r="F57" s="224" t="s">
        <v>1149</v>
      </c>
      <c r="G57" s="173" t="s">
        <v>499</v>
      </c>
      <c r="H57" s="174" t="str">
        <f>$AI$14</f>
        <v>IFDPH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INDFWH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IFDPH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INDFWH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IFDPH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INDFWH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INDFDPHWSTN1</v>
      </c>
      <c r="E63" s="261" t="str">
        <f>"Industrial heating technology "&amp;$AJ$12&amp;" "&amp;RIGHT(H63,2)&amp;" - Hotdisc - new 1"</f>
        <v>Industrial heating technology Food PH - Hotdisc - new 1</v>
      </c>
      <c r="F63" s="224" t="s">
        <v>1149</v>
      </c>
      <c r="G63" s="832" t="s">
        <v>1005</v>
      </c>
      <c r="H63" s="174" t="str">
        <f>$AI$13</f>
        <v>IFDPH</v>
      </c>
      <c r="I63" s="173" t="str">
        <f t="shared" ref="I63:I126" si="22">$AI$20</f>
        <v>INDFWH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INDFWH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INDFWH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INDFDPHELCN6</v>
      </c>
      <c r="E66" s="261" t="str">
        <f>"Industrial heating technology "&amp;$AJ$12&amp;" "&amp;RIGHT(H66,2)&amp;" - Dielectric heating - new 6"</f>
        <v>Industrial heating technology Food PH - Dielectric heating - new 6</v>
      </c>
      <c r="F66" s="224" t="s">
        <v>1149</v>
      </c>
      <c r="G66" s="173" t="s">
        <v>499</v>
      </c>
      <c r="H66" s="174" t="str">
        <f>$AI$14</f>
        <v>IFDPH</v>
      </c>
      <c r="I66" s="173" t="str">
        <f t="shared" si="22"/>
        <v>INDFWH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INDFWH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INDFWH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INDFDPHELCN7</v>
      </c>
      <c r="E69" s="261" t="str">
        <f>"Industrial heating technology "&amp;$AJ$12&amp;" "&amp;RIGHT(H69,2)&amp;" - Infrared heating - new 7"</f>
        <v>Industrial heating technology Food PH - Infrared heating - new 7</v>
      </c>
      <c r="F69" s="224" t="s">
        <v>1149</v>
      </c>
      <c r="G69" s="173" t="s">
        <v>499</v>
      </c>
      <c r="H69" s="174" t="str">
        <f>$AI$14</f>
        <v>IFDPH</v>
      </c>
      <c r="I69" s="173" t="str">
        <f t="shared" si="22"/>
        <v>INDFWH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INDFWH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INDFWH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INDFDPHELCN8</v>
      </c>
      <c r="E72" s="261" t="str">
        <f>"Industrial heating technology "&amp;$AJ$12&amp;" "&amp;RIGHT(H72,2)&amp;" - Electric boiler (Steam) - new 8"</f>
        <v>Industrial heating technology Food PH - Electric boiler (Steam) - new 8</v>
      </c>
      <c r="F72" s="224" t="s">
        <v>1149</v>
      </c>
      <c r="G72" s="173" t="s">
        <v>499</v>
      </c>
      <c r="H72" s="174" t="str">
        <f>$AI$13</f>
        <v>IFDPH</v>
      </c>
      <c r="I72" s="174" t="str">
        <f t="shared" si="22"/>
        <v>INDFWH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INDFWH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INDFWH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INDFDPHELCN8</v>
      </c>
      <c r="E75" s="261" t="str">
        <f>"Industrial heating technology "&amp;$AJ$12&amp;" "&amp;RIGHT(H75,2)&amp;" - Electric boiler (Steam) - new 8"</f>
        <v>Industrial heating technology Food PH - Electric boiler (Steam) - new 8</v>
      </c>
      <c r="F75" s="224" t="s">
        <v>1149</v>
      </c>
      <c r="G75" s="173" t="s">
        <v>499</v>
      </c>
      <c r="H75" s="174" t="str">
        <f>$AI$14</f>
        <v>IFDPH</v>
      </c>
      <c r="I75" s="174" t="str">
        <f t="shared" si="22"/>
        <v>INDFWH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INDFWH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INDFWH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INDFDSHELCN8</v>
      </c>
      <c r="E78" s="261" t="str">
        <f>"Industrial heating technology "&amp;$AJ$12&amp;" "&amp;RIGHT(H78,2)&amp;" - Electric boiler (Steam) - new 8"</f>
        <v>Industrial heating technology Food SH - Electric boiler (Steam) - new 8</v>
      </c>
      <c r="F78" s="224" t="s">
        <v>1149</v>
      </c>
      <c r="G78" s="173" t="s">
        <v>499</v>
      </c>
      <c r="H78" s="174" t="str">
        <f>$AI$15</f>
        <v>IFDSH</v>
      </c>
      <c r="I78" s="174" t="str">
        <f t="shared" si="22"/>
        <v>INDFWH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INDFWH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INDFWH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INDFDPHELCN9</v>
      </c>
      <c r="E81" s="707" t="str">
        <f>"Industrial heating technology "&amp;$AJ$12&amp;" "&amp;RIGHT(H81,2)&amp;" - Electric boiler (Hot Water) - new 9"</f>
        <v>Industrial heating technology Food PH - Electric boiler (Hot Water) - new 9</v>
      </c>
      <c r="F81" s="224" t="s">
        <v>1149</v>
      </c>
      <c r="G81" s="708" t="s">
        <v>499</v>
      </c>
      <c r="H81" s="708" t="str">
        <f>$AI$14</f>
        <v>IFDPH</v>
      </c>
      <c r="I81" s="708" t="str">
        <f t="shared" si="22"/>
        <v>INDFWH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INDFWH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INDFWH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INDFDSHELCN9</v>
      </c>
      <c r="E84" s="261" t="str">
        <f>"Industrial heating technology "&amp;$AJ$12&amp;" "&amp;RIGHT(H84,2)&amp;" - Electric boiler (Hot Water) - new 9"</f>
        <v>Industrial heating technology Food SH - Electric boiler (Hot Water) - new 9</v>
      </c>
      <c r="F84" s="224" t="s">
        <v>1149</v>
      </c>
      <c r="G84" s="174" t="s">
        <v>499</v>
      </c>
      <c r="H84" s="174" t="str">
        <f>$AI$15</f>
        <v>IFDSH</v>
      </c>
      <c r="I84" s="174" t="str">
        <f t="shared" si="22"/>
        <v>INDFWH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INDFWH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INDFWH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INDFDPHWCHN1</v>
      </c>
      <c r="E87" s="261" t="str">
        <f>"Industrial heating technology "&amp;$AJ$12&amp;" "&amp;RIGHT(H87,2)&amp;" - Wood chip boiler (Steam) - new 1"</f>
        <v>Industrial heating technology Food PH - Wood chip boiler (Steam) - new 1</v>
      </c>
      <c r="F87" s="224" t="s">
        <v>1149</v>
      </c>
      <c r="G87" s="173" t="s">
        <v>498</v>
      </c>
      <c r="H87" s="174" t="str">
        <f>$AI$13</f>
        <v>IFDPH</v>
      </c>
      <c r="I87" s="174" t="str">
        <f t="shared" si="22"/>
        <v>INDFWH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INDFWH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INDFWH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INDFDPHWCHN1</v>
      </c>
      <c r="E90" s="261" t="str">
        <f>"Industrial heating technology "&amp;$AJ$12&amp;" "&amp;RIGHT(H90,2)&amp;" - Wood chip boiler (Steam) - new 1"</f>
        <v>Industrial heating technology Food PH - Wood chip boiler (Steam) - new 1</v>
      </c>
      <c r="F90" s="224" t="s">
        <v>1149</v>
      </c>
      <c r="G90" s="173" t="s">
        <v>498</v>
      </c>
      <c r="H90" s="174" t="str">
        <f>$AI$14</f>
        <v>IFDPH</v>
      </c>
      <c r="I90" s="174" t="str">
        <f t="shared" si="22"/>
        <v>INDFWH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INDFWH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INDFWH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INDFDSHWCHN1</v>
      </c>
      <c r="E93" s="261" t="str">
        <f>"Industrial heating technology "&amp;$AJ$12&amp;" "&amp;RIGHT(H93,2)&amp;" - Wood chip boiler (Steam) - new 1"</f>
        <v>Industrial heating technology Food SH - Wood chip boiler (Steam) - new 1</v>
      </c>
      <c r="F93" s="224" t="s">
        <v>1149</v>
      </c>
      <c r="G93" s="173" t="s">
        <v>498</v>
      </c>
      <c r="H93" s="174" t="str">
        <f>$AI$15</f>
        <v>IFDSH</v>
      </c>
      <c r="I93" s="174" t="str">
        <f t="shared" si="22"/>
        <v>INDFWH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INDFWH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INDFWH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INDFDPHWCHN2</v>
      </c>
      <c r="E96" s="707" t="str">
        <f>"Industrial heating technology "&amp;$AJ$12&amp;" "&amp;RIGHT(H96,2)&amp;" - Wood chip boiler (Steam - condensing) - new 2"</f>
        <v>Industrial heating technology Food PH - Wood chip boiler (Steam - condensing) - new 2</v>
      </c>
      <c r="F96" s="224" t="s">
        <v>1149</v>
      </c>
      <c r="G96" s="708" t="s">
        <v>498</v>
      </c>
      <c r="H96" s="708" t="str">
        <f>$AI$14</f>
        <v>IFDPH</v>
      </c>
      <c r="I96" s="708" t="str">
        <f t="shared" si="22"/>
        <v>INDFWH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INDFWH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INDFWH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INDFDSHWCHN2</v>
      </c>
      <c r="E99" s="261" t="str">
        <f>"Industrial heating technology "&amp;$AJ$12&amp;" "&amp;RIGHT(H99,2)&amp;" - Wood chip boiler (Steam - condensing) - new 2"</f>
        <v>Industrial heating technology Food SH - Wood chip boiler (Steam - condensing) - new 2</v>
      </c>
      <c r="F99" s="224" t="s">
        <v>1149</v>
      </c>
      <c r="G99" s="174" t="s">
        <v>498</v>
      </c>
      <c r="H99" s="174" t="str">
        <f>$AI$15</f>
        <v>IFDSH</v>
      </c>
      <c r="I99" s="174" t="str">
        <f t="shared" si="22"/>
        <v>INDFWH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1</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INDFWH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INDFWH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INDFDPHWCHN3</v>
      </c>
      <c r="E102" s="707" t="str">
        <f>"Industrial heating technology "&amp;$AJ$12&amp;" "&amp;RIGHT(H102,2)&amp;" - Wood chip boiler (Hot Water) - new 3"</f>
        <v>Industrial heating technology Food PH - Wood chip boiler (Hot Water) - new 3</v>
      </c>
      <c r="F102" s="224" t="s">
        <v>1149</v>
      </c>
      <c r="G102" s="708" t="s">
        <v>498</v>
      </c>
      <c r="H102" s="708" t="str">
        <f>$AI$14</f>
        <v>IFDPH</v>
      </c>
      <c r="I102" s="708" t="str">
        <f t="shared" si="22"/>
        <v>INDFWH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INDFWH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INDFWH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INDFDSHWCHN3</v>
      </c>
      <c r="E105" s="261" t="str">
        <f>"Industrial heating technology "&amp;$AJ$12&amp;" "&amp;RIGHT(H105,2)&amp;" - Wood chip boiler (Hot Water) - new 3"</f>
        <v>Industrial heating technology Food SH - Wood chip boiler (Hot Water) - new 3</v>
      </c>
      <c r="F105" s="224" t="s">
        <v>1149</v>
      </c>
      <c r="G105" s="174" t="s">
        <v>498</v>
      </c>
      <c r="H105" s="174" t="str">
        <f>$AI$15</f>
        <v>IFDSH</v>
      </c>
      <c r="I105" s="174" t="str">
        <f t="shared" si="22"/>
        <v>INDFWH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INDFWH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INDFWH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INDFDPHWCHN4</v>
      </c>
      <c r="E108" s="707" t="str">
        <f>"Industrial heating technology "&amp;$AJ$12&amp;" "&amp;RIGHT(H108,2)&amp;" - Wood chip boiler (Hot Water - condensing) - new 4"</f>
        <v>Industrial heating technology Food PH - Wood chip boiler (Hot Water - condensing) - new 4</v>
      </c>
      <c r="F108" s="224" t="s">
        <v>1149</v>
      </c>
      <c r="G108" s="708" t="s">
        <v>498</v>
      </c>
      <c r="H108" s="708" t="str">
        <f>$AI$14</f>
        <v>IFDPH</v>
      </c>
      <c r="I108" s="708" t="str">
        <f t="shared" si="22"/>
        <v>INDFWH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INDFWH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INDFWH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INDFDSHWCHN4</v>
      </c>
      <c r="E111" s="261" t="str">
        <f>"Industrial heating technology "&amp;$AJ$12&amp;" "&amp;RIGHT(H111,2)&amp;" - Wood chip boiler (Hot Water- condensing) - new 4"</f>
        <v>Industrial heating technology Food SH - Wood chip boiler (Hot Water- condensing) - new 4</v>
      </c>
      <c r="F111" s="224" t="s">
        <v>1149</v>
      </c>
      <c r="G111" s="174" t="s">
        <v>498</v>
      </c>
      <c r="H111" s="174" t="str">
        <f>$AI$15</f>
        <v>IFDSH</v>
      </c>
      <c r="I111" s="174" t="str">
        <f t="shared" si="22"/>
        <v>INDFWH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1</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INDFWH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INDFWH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INDFDPHELCN10</v>
      </c>
      <c r="E114" s="261" t="str">
        <f>"Industrial heating technology "&amp;$AJ$12&amp;" "&amp;RIGHT(H114,2)&amp;" - Direct electric heating - new 10"</f>
        <v>Industrial heating technology Food PH - Direct electric heating - new 10</v>
      </c>
      <c r="F114" s="224" t="s">
        <v>1149</v>
      </c>
      <c r="G114" s="173" t="s">
        <v>499</v>
      </c>
      <c r="H114" s="174" t="str">
        <f>$AI$13</f>
        <v>IFDPH</v>
      </c>
      <c r="I114" s="174" t="str">
        <f t="shared" si="22"/>
        <v>INDFWH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1</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INDFWH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INDFWH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INDFDPHELCN10</v>
      </c>
      <c r="E117" s="261" t="str">
        <f>"Industrial heating technology "&amp;$AJ$12&amp;" "&amp;RIGHT(H117,2)&amp;" - Direct electric heating - new 10"</f>
        <v>Industrial heating technology Food PH - Direct electric heating - new 10</v>
      </c>
      <c r="F117" s="224" t="s">
        <v>1149</v>
      </c>
      <c r="G117" s="173" t="s">
        <v>499</v>
      </c>
      <c r="H117" s="174" t="str">
        <f>$AI$14</f>
        <v>IFDPH</v>
      </c>
      <c r="I117" s="174" t="str">
        <f t="shared" si="22"/>
        <v>INDFWH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1</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INDFWH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INDFWH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INDFDPHDSLN1</v>
      </c>
      <c r="E120" s="261" t="str">
        <f>"Industrial heating technology "&amp;$AJ$12&amp;" "&amp;RIGHT(H120,2)&amp;" - Oil boiler (Steam) - new 1"</f>
        <v>Industrial heating technology Food PH - Oil boiler (Steam) - new 1</v>
      </c>
      <c r="F120" s="224" t="s">
        <v>1149</v>
      </c>
      <c r="G120" s="173" t="s">
        <v>2081</v>
      </c>
      <c r="H120" s="174" t="str">
        <f>$AI$13</f>
        <v>IFDPH</v>
      </c>
      <c r="I120" s="174" t="str">
        <f t="shared" si="22"/>
        <v>INDFWH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INDFWH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INDFWH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INDFDPHDSLN1</v>
      </c>
      <c r="E123" s="261" t="str">
        <f>"Industrial heating technology "&amp;$AJ$12&amp;" "&amp;RIGHT(H123,2)&amp;" - Oil boiler (Steam) - new 1"</f>
        <v>Industrial heating technology Food PH - Oil boiler (Steam) - new 1</v>
      </c>
      <c r="F123" s="224" t="s">
        <v>1149</v>
      </c>
      <c r="G123" s="173" t="s">
        <v>2081</v>
      </c>
      <c r="H123" s="174" t="str">
        <f>$AI$14</f>
        <v>IFDPH</v>
      </c>
      <c r="I123" s="174" t="str">
        <f t="shared" si="22"/>
        <v>INDFWH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INDFWH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INDFWH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INDFDSHDSLN1</v>
      </c>
      <c r="E126" s="261" t="str">
        <f>"Industrial heating technology "&amp;$AJ$12&amp;" "&amp;RIGHT(H126,2)&amp;" - Oil boiler (Steam) - new 1"</f>
        <v>Industrial heating technology Food SH - Oil boiler (Steam) - new 1</v>
      </c>
      <c r="F126" s="224" t="s">
        <v>1149</v>
      </c>
      <c r="G126" s="173" t="s">
        <v>2081</v>
      </c>
      <c r="H126" s="174" t="str">
        <f>$AI$15</f>
        <v>IFDSH</v>
      </c>
      <c r="I126" s="174" t="str">
        <f t="shared" si="22"/>
        <v>INDFWH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INDFWH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INDFWH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INDFDPHDSLN2</v>
      </c>
      <c r="E129" s="707" t="str">
        <f>"Industrial heating technology "&amp;$AJ$12&amp;" "&amp;RIGHT(H129,2)&amp;" - Oil boiler (Steam - condensing) - new 2"</f>
        <v>Industrial heating technology Food PH - Oil boiler (Steam - condensing) - new 2</v>
      </c>
      <c r="F129" s="224" t="s">
        <v>1149</v>
      </c>
      <c r="G129" s="173" t="s">
        <v>2081</v>
      </c>
      <c r="H129" s="708" t="str">
        <f>$AI$14</f>
        <v>IFDPH</v>
      </c>
      <c r="I129" s="708" t="str">
        <f t="shared" si="143"/>
        <v>INDFWH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INDFWH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INDFWH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INDFDSHDSLN2</v>
      </c>
      <c r="E132" s="261" t="str">
        <f>"Industrial heating technology "&amp;$AJ$12&amp;" "&amp;RIGHT(H132,2)&amp;" - Oil boiler (Steam - condensing) - new 2"</f>
        <v>Industrial heating technology Food SH - Oil boiler (Steam - condensing) - new 2</v>
      </c>
      <c r="F132" s="224" t="s">
        <v>1149</v>
      </c>
      <c r="G132" s="173" t="s">
        <v>2081</v>
      </c>
      <c r="H132" s="174" t="str">
        <f>$AI$15</f>
        <v>IFDSH</v>
      </c>
      <c r="I132" s="174" t="str">
        <f t="shared" si="143"/>
        <v>INDFWH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INDFWH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INDFWH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INDFDPHGASN1</v>
      </c>
      <c r="E135" s="261" t="str">
        <f>"Industrial heating technology "&amp;$AJ$12&amp;" "&amp;RIGHT(H135,2)&amp;" - Gas boiler (Steam) - new 1"</f>
        <v>Industrial heating technology Food PH - Gas boiler (Steam) - new 1</v>
      </c>
      <c r="F135" s="224" t="s">
        <v>1149</v>
      </c>
      <c r="G135" s="173" t="s">
        <v>2080</v>
      </c>
      <c r="H135" s="174" t="str">
        <f>$AI$13</f>
        <v>IFDPH</v>
      </c>
      <c r="I135" s="174" t="str">
        <f t="shared" si="143"/>
        <v>INDFWH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INDFWH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INDFWH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INDFDPHGASN1</v>
      </c>
      <c r="E138" s="261" t="str">
        <f>"Industrial heating technology "&amp;$AJ$12&amp;" "&amp;RIGHT(H138,2)&amp;" - Gas boiler (Steam) - new 1"</f>
        <v>Industrial heating technology Food PH - Gas boiler (Steam) - new 1</v>
      </c>
      <c r="F138" s="224" t="s">
        <v>1149</v>
      </c>
      <c r="G138" s="173" t="s">
        <v>2080</v>
      </c>
      <c r="H138" s="174" t="str">
        <f>$AI$14</f>
        <v>IFDPH</v>
      </c>
      <c r="I138" s="174" t="str">
        <f t="shared" si="143"/>
        <v>INDFWH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INDFWH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INDFWH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INDFDSHGASN1</v>
      </c>
      <c r="E141" s="261" t="str">
        <f>"Industrial heating technology "&amp;$AJ$12&amp;" "&amp;RIGHT(H141,2)&amp;" - Gas boiler (Steam) - new 1"</f>
        <v>Industrial heating technology Food SH - Gas boiler (Steam) - new 1</v>
      </c>
      <c r="F141" s="224" t="s">
        <v>1149</v>
      </c>
      <c r="G141" s="173" t="s">
        <v>2080</v>
      </c>
      <c r="H141" s="174" t="str">
        <f>$AI$15</f>
        <v>IFDSH</v>
      </c>
      <c r="I141" s="174" t="str">
        <f t="shared" si="143"/>
        <v>INDFWH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INDFWH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INDFWH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INDFDPHGASN2</v>
      </c>
      <c r="E144" s="707" t="str">
        <f>"Industrial heating technology "&amp;$AJ$12&amp;" "&amp;RIGHT(H144,2)&amp;" - Gas boiler (Steam - condensing) - new 2"</f>
        <v>Industrial heating technology Food PH - Gas boiler (Steam - condensing) - new 2</v>
      </c>
      <c r="F144" s="224" t="s">
        <v>1149</v>
      </c>
      <c r="G144" s="173" t="s">
        <v>2080</v>
      </c>
      <c r="H144" s="708" t="str">
        <f>$AI$14</f>
        <v>IFDPH</v>
      </c>
      <c r="I144" s="708" t="str">
        <f t="shared" si="143"/>
        <v>INDFWH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INDFWH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INDFWH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INDFDSHGASN2</v>
      </c>
      <c r="E147" s="261" t="str">
        <f>"Industrial heating technology "&amp;$AJ$12&amp;" "&amp;RIGHT(H147,2)&amp;" - Gas boiler (Steam - condensing) - new 2"</f>
        <v>Industrial heating technology Food SH - Gas boiler (Steam - condensing) - new 2</v>
      </c>
      <c r="F147" s="224" t="s">
        <v>1149</v>
      </c>
      <c r="G147" s="173" t="s">
        <v>2080</v>
      </c>
      <c r="H147" s="174" t="str">
        <f>$AI$15</f>
        <v>IFDSH</v>
      </c>
      <c r="I147" s="174" t="str">
        <f t="shared" si="143"/>
        <v>INDFWH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1</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INDFWH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INDFWH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INDFDPHGASN3</v>
      </c>
      <c r="E150" s="707" t="str">
        <f>"Industrial heating technology "&amp;$AJ$12&amp;" "&amp;RIGHT(H150,2)&amp;" - Gas boiler (Hot Water) - new 3"</f>
        <v>Industrial heating technology Food PH - Gas boiler (Hot Water) - new 3</v>
      </c>
      <c r="F150" s="224" t="s">
        <v>1149</v>
      </c>
      <c r="G150" s="173" t="s">
        <v>2080</v>
      </c>
      <c r="H150" s="708" t="str">
        <f>$AI$14</f>
        <v>IFDPH</v>
      </c>
      <c r="I150" s="708" t="str">
        <f t="shared" si="143"/>
        <v>INDFWH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INDFWH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INDFWH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INDFDSHGASN3</v>
      </c>
      <c r="E153" s="261" t="str">
        <f>"Industrial heating technology "&amp;$AJ$12&amp;" "&amp;RIGHT(H153,2)&amp;" - Gas boiler (Hot Water) - new 3"</f>
        <v>Industrial heating technology Food SH - Gas boiler (Hot Water) - new 3</v>
      </c>
      <c r="F153" s="224" t="s">
        <v>1149</v>
      </c>
      <c r="G153" s="173" t="s">
        <v>2080</v>
      </c>
      <c r="H153" s="174" t="str">
        <f>$AI$15</f>
        <v>IFDSH</v>
      </c>
      <c r="I153" s="174" t="str">
        <f t="shared" si="143"/>
        <v>INDFWH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INDFWH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INDFWH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INDFDPHGASN4</v>
      </c>
      <c r="E156" s="707" t="str">
        <f>"Industrial heating technology "&amp;$AJ$12&amp;" "&amp;RIGHT(H156,2)&amp;" - Gas boiler (Hot Water - condensing) - new 4"</f>
        <v>Industrial heating technology Food PH - Gas boiler (Hot Water - condensing) - new 4</v>
      </c>
      <c r="F156" s="224" t="s">
        <v>1149</v>
      </c>
      <c r="G156" s="173" t="s">
        <v>2080</v>
      </c>
      <c r="H156" s="708" t="str">
        <f>$AI$14</f>
        <v>IFDPH</v>
      </c>
      <c r="I156" s="708" t="str">
        <f t="shared" si="143"/>
        <v>INDFWH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INDFWH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INDFWH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INDFDSHGASN4</v>
      </c>
      <c r="E159" s="261" t="str">
        <f>"Industrial heating technology "&amp;$AJ$12&amp;" "&amp;RIGHT(H159,2)&amp;" - Gas boiler (Hot Water- condensing) - new 4"</f>
        <v>Industrial heating technology Food SH - Gas boiler (Hot Water- condensing) - new 4</v>
      </c>
      <c r="F159" s="224" t="s">
        <v>1149</v>
      </c>
      <c r="G159" s="173" t="s">
        <v>2080</v>
      </c>
      <c r="H159" s="174" t="str">
        <f>$AI$15</f>
        <v>IFDSH</v>
      </c>
      <c r="I159" s="174" t="str">
        <f t="shared" si="143"/>
        <v>INDFWH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1</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INDFWH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INDFWH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INDFDPHGASN5</v>
      </c>
      <c r="E162" s="707" t="str">
        <f>"Industrial heating technology "&amp;$AJ$12&amp;" "&amp;RIGHT(H162,2)&amp;" - Gas boiler (Direct firing) - new 5"</f>
        <v>Industrial heating technology Food PH - Gas boiler (Direct firing) - new 5</v>
      </c>
      <c r="F162" s="224" t="s">
        <v>1149</v>
      </c>
      <c r="G162" s="173" t="s">
        <v>2080</v>
      </c>
      <c r="H162" s="174" t="str">
        <f>$AI$13</f>
        <v>IFDPH</v>
      </c>
      <c r="I162" s="174" t="str">
        <f t="shared" si="143"/>
        <v>INDFWH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1</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INDFWH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INDFWH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INDFDPHGASN5</v>
      </c>
      <c r="E165" s="261" t="str">
        <f>"Industrial heating technology "&amp;$AJ$12&amp;" "&amp;RIGHT(H165,2)&amp;" - Gas boiler (Direct firing) - new 5"</f>
        <v>Industrial heating technology Food PH - Gas boiler (Direct firing) - new 5</v>
      </c>
      <c r="F165" s="224" t="s">
        <v>1149</v>
      </c>
      <c r="G165" s="173" t="s">
        <v>2080</v>
      </c>
      <c r="H165" s="174" t="str">
        <f>$AI$14</f>
        <v>IFDPH</v>
      </c>
      <c r="I165" s="721" t="str">
        <f t="shared" si="143"/>
        <v>INDFWH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1</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INDFWH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INDFWH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INDFDPHCOAN1</v>
      </c>
      <c r="E168" s="261" t="str">
        <f>"Industrial heating technology "&amp;$AJ$12&amp;" "&amp;RIGHT(H168,2)&amp;" - Coal boiler (Steam) - new 1"</f>
        <v>Industrial heating technology Food PH - Coal boiler (Steam) - new 1</v>
      </c>
      <c r="F168" s="224" t="s">
        <v>1149</v>
      </c>
      <c r="G168" s="55" t="s">
        <v>617</v>
      </c>
      <c r="H168" s="174" t="str">
        <f>$AI$13</f>
        <v>IFDPH</v>
      </c>
      <c r="I168" s="174" t="str">
        <f t="shared" si="143"/>
        <v>INDFWH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INDFWH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INDFWH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INDFDPHCOAN1</v>
      </c>
      <c r="E171" s="261" t="str">
        <f>"Industrial heating technology "&amp;$AJ$12&amp;" "&amp;RIGHT(H171,2)&amp;" - Coal boiler (Steam) - new 1"</f>
        <v>Industrial heating technology Food PH - Coal boiler (Steam) - new 1</v>
      </c>
      <c r="F171" s="224" t="s">
        <v>1149</v>
      </c>
      <c r="G171" s="55" t="s">
        <v>617</v>
      </c>
      <c r="H171" s="174" t="str">
        <f>$AI$14</f>
        <v>IFDPH</v>
      </c>
      <c r="I171" s="174" t="str">
        <f t="shared" si="143"/>
        <v>INDFWH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INDFWH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INDFWH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INDFDSHCOAN1</v>
      </c>
      <c r="E174" s="261" t="str">
        <f>"Industrial heating technology "&amp;$AJ$12&amp;" "&amp;RIGHT(H174,2)&amp;" - Coal boiler (Steam) - new 1"</f>
        <v>Industrial heating technology Food SH - Coal boiler (Steam) - new 1</v>
      </c>
      <c r="F174" s="224" t="s">
        <v>1149</v>
      </c>
      <c r="G174" s="55" t="s">
        <v>617</v>
      </c>
      <c r="H174" s="174" t="str">
        <f>$AI$15</f>
        <v>IFDSH</v>
      </c>
      <c r="I174" s="174" t="str">
        <f t="shared" si="143"/>
        <v>INDFWH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INDFWH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INDFWH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INDFDPHCOAN2</v>
      </c>
      <c r="E177" s="261" t="str">
        <f>"Industrial heating technology "&amp;$AJ$12&amp;" "&amp;RIGHT(H177,2)&amp;" - Coal boiler (Hot Water) - new 2"</f>
        <v>Industrial heating technology Food PH - Coal boiler (Hot Water) - new 2</v>
      </c>
      <c r="F177" s="224" t="s">
        <v>1149</v>
      </c>
      <c r="G177" s="55" t="s">
        <v>617</v>
      </c>
      <c r="H177" s="174" t="str">
        <f>$AI$14</f>
        <v>IFDPH</v>
      </c>
      <c r="I177" s="174" t="str">
        <f t="shared" si="143"/>
        <v>INDFWH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INDFWH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INDFWH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INDFDSHCOAN2</v>
      </c>
      <c r="E180" s="261" t="str">
        <f>"Industrial heating technology "&amp;$AJ$12&amp;" "&amp;RIGHT(H180,2)&amp;" - Coal boiler (Hot Water) - new 2"</f>
        <v>Industrial heating technology Food SH - Coal boiler (Hot Water) - new 2</v>
      </c>
      <c r="F180" s="224" t="s">
        <v>1149</v>
      </c>
      <c r="G180" s="55" t="s">
        <v>617</v>
      </c>
      <c r="H180" s="174" t="str">
        <f>$AI$15</f>
        <v>IFDSH</v>
      </c>
      <c r="I180" s="174" t="str">
        <f t="shared" si="143"/>
        <v>INDFWH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INDFWH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INDFWH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INDFDSHSOLN1</v>
      </c>
      <c r="E183" s="261" t="str">
        <f>"Industrial heating technology "&amp;$AJ$12&amp;" "&amp;RIGHT(H183,2)&amp;" - Solar - new 1"</f>
        <v>Industrial heating technology Food SH - Solar - new 1</v>
      </c>
      <c r="F183" s="224" t="s">
        <v>1149</v>
      </c>
      <c r="G183" s="55" t="s">
        <v>500</v>
      </c>
      <c r="H183" s="174" t="str">
        <f>$AI$15</f>
        <v>IFDSH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INDFDSHHCEN1</v>
      </c>
      <c r="E187" s="224" t="str">
        <f>"Industrial heating technology "&amp;$AJ$12&amp;" "&amp;RIGHT(H187,2)&amp;" - central district heating - within DH area - new 1"</f>
        <v>Industrial heating technology Food SH - central district heating - within DH area - new 1</v>
      </c>
      <c r="F187" s="224" t="s">
        <v>1149</v>
      </c>
      <c r="G187" s="225" t="s">
        <v>501</v>
      </c>
      <c r="H187" s="225" t="str">
        <f>AI15</f>
        <v>IFDSH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INDFDPHHCEN1</v>
      </c>
      <c r="E188" s="224" t="str">
        <f>"Industrial heating technology "&amp;$AJ$12&amp;" "&amp;RIGHT(H188,2)&amp;" - central district heating - within DH area - new 1"</f>
        <v>Industrial heating technology Food PH - central district heating - within DH area - new 1</v>
      </c>
      <c r="F188" s="224" t="s">
        <v>1149</v>
      </c>
      <c r="G188" s="225" t="s">
        <v>501</v>
      </c>
      <c r="H188" s="281" t="str">
        <f>AI14</f>
        <v>IFDPH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INDFDSHHSEN1</v>
      </c>
      <c r="E189" s="224" t="str">
        <f>"Industrial heating technology "&amp;$AJ$12&amp;" "&amp;RIGHT(H189,2)&amp;" - central district heating - within DH area - new 1"</f>
        <v>Industrial heating technology Food SH - central district heating - within DH area - new 1</v>
      </c>
      <c r="F189" s="224" t="s">
        <v>1149</v>
      </c>
      <c r="G189" s="225" t="s">
        <v>2125</v>
      </c>
      <c r="H189" s="225" t="str">
        <f>H187</f>
        <v>IFDSH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INDFDPHHSEN1</v>
      </c>
      <c r="E190" s="224" t="str">
        <f>"Industrial heating technology "&amp;$AJ$12&amp;" "&amp;RIGHT(H190,2)&amp;" - central district heating - within DH area - new 1"</f>
        <v>Industrial heating technology Food PH - central district heating - within DH area - new 1</v>
      </c>
      <c r="F190" s="224" t="s">
        <v>1149</v>
      </c>
      <c r="G190" s="225" t="s">
        <v>2125</v>
      </c>
      <c r="H190" s="225" t="str">
        <f>H188</f>
        <v>IFDPH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INDFDSHHDEN1</v>
      </c>
      <c r="E191" s="224" t="str">
        <f>"Industrial heating technology "&amp;$AJ$12&amp;" "&amp;RIGHT(H191,2)&amp;" - decentral district heating - within DH area - new 1"</f>
        <v>Industrial heating technology Food SH - decentral district heating - within DH area - new 1</v>
      </c>
      <c r="F191" s="224" t="s">
        <v>1149</v>
      </c>
      <c r="G191" s="259" t="s">
        <v>502</v>
      </c>
      <c r="H191" s="265" t="str">
        <f>AI15</f>
        <v>IFDSH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INDFDPHHDEN1</v>
      </c>
      <c r="E192" s="224" t="str">
        <f>"Industrial heating technology "&amp;$AJ$12&amp;" "&amp;RIGHT(H192,2)&amp;" - decentral district heating - within DH area - new 1"</f>
        <v>Industrial heating technology Food PH - decentral district heating - within DH area - new 1</v>
      </c>
      <c r="F192" s="224" t="s">
        <v>1149</v>
      </c>
      <c r="G192" s="259" t="s">
        <v>502</v>
      </c>
      <c r="H192" s="225" t="str">
        <f>AI14</f>
        <v>IFDPH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INDFDLAELCN1</v>
      </c>
      <c r="E194" s="224" t="str">
        <f>"Industry "&amp;$AJ$12&amp;" "&amp;RIGHT(H194,2)&amp;" Electricity Light Appliance - New 1"</f>
        <v>Industry Food LA Electricity Light Appliance - New 1</v>
      </c>
      <c r="F194" s="224" t="s">
        <v>1149</v>
      </c>
      <c r="G194" s="225" t="s">
        <v>499</v>
      </c>
      <c r="H194" s="225" t="str">
        <f>AI16</f>
        <v>IFDLA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INDFDEMELCN1</v>
      </c>
      <c r="E198" s="224" t="str">
        <f>"Industry "&amp;$AJ$12&amp;" "&amp;RIGHT(H198,2)&amp;" Electricity Motors - New 1"</f>
        <v>Industry Food EM Electricity Motors - New 1</v>
      </c>
      <c r="F198" s="224" t="s">
        <v>1149</v>
      </c>
      <c r="G198" s="225" t="s">
        <v>499</v>
      </c>
      <c r="H198" s="225" t="str">
        <f>AI17</f>
        <v>IFDEM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INDFDTFDSLN1</v>
      </c>
      <c r="E202" s="224" t="str">
        <f>"Industry "&amp;$AJ$12&amp;" "&amp;RIGHT(H202,2)&amp;" Tractors, Trucks, Fishing boats - New 1"</f>
        <v>Industry Food TF Tractors, Trucks, Fishing boats - New 1</v>
      </c>
      <c r="F202" s="224" t="s">
        <v>1149</v>
      </c>
      <c r="G202" s="173" t="s">
        <v>2081</v>
      </c>
      <c r="H202" s="174" t="str">
        <f>$AI$18</f>
        <v>IFDTF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INDFDTFH2GN2</v>
      </c>
      <c r="E206" s="224" t="str">
        <f>"Industry "&amp;$AJ$12&amp;" "&amp;RIGHT(H206,2)&amp;" Tractors, Trucks, Fishing boats - New 2"</f>
        <v>Industry Food TF Tractors, Trucks, Fishing boats - New 2</v>
      </c>
      <c r="F206" s="224" t="s">
        <v>1149</v>
      </c>
      <c r="G206" s="55" t="s">
        <v>2077</v>
      </c>
      <c r="H206" s="174" t="str">
        <f>$AI$18</f>
        <v>IFDTF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INDFDTFELCN3</v>
      </c>
      <c r="E210" s="224" t="str">
        <f>"Industry "&amp;$AJ$12&amp;" "&amp;RIGHT(H210,2)&amp;" Tractors, Trucks, Fishing boats - New 3"</f>
        <v>Industry Food TF Tractors, Trucks, Fishing boats - New 3</v>
      </c>
      <c r="F210" s="224" t="s">
        <v>1149</v>
      </c>
      <c r="G210" s="55" t="s">
        <v>499</v>
      </c>
      <c r="H210" s="174" t="str">
        <f>$AI$18</f>
        <v>IFDTF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INDFDFLSYNN1</v>
      </c>
      <c r="E214" s="224" t="str">
        <f>"Industry "&amp;$AJ$12&amp;" "&amp;RIGHT(H202,2)&amp;" Forklifts - New 1"</f>
        <v>Industry Food TF Forklifts - New 1</v>
      </c>
      <c r="F214" s="224" t="s">
        <v>1149</v>
      </c>
      <c r="G214" s="173" t="s">
        <v>2082</v>
      </c>
      <c r="H214" s="224" t="str">
        <f>AI19</f>
        <v>IFDFL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INDFDCOELCN1</v>
      </c>
      <c r="E218" s="224" t="str">
        <f>"Industry "&amp;$AJ$12&amp;" "&amp;RIGHT(H218,2)&amp;" Cooling - New 1"</f>
        <v>Industry Food CO Cooling - New 1</v>
      </c>
      <c r="F218" s="224" t="s">
        <v>1149</v>
      </c>
      <c r="G218" s="173" t="s">
        <v>499</v>
      </c>
      <c r="H218" s="224" t="str">
        <f>AI21</f>
        <v>IFDCO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INDFDPHELCN1</v>
      </c>
      <c r="E229" s="212" t="str">
        <f t="shared" ref="E229:E260" si="266">VLOOKUP(D229,$D$9:$E$222,2,FALSE)</f>
        <v>Industrial heating technology Food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INDFDSHELCN1</v>
      </c>
      <c r="E230" s="212" t="str">
        <f t="shared" ca="1" si="266"/>
        <v>Industrial heating technology Food SH - Heat pump utilizing waste heat - new 1</v>
      </c>
      <c r="F230" s="262" t="s">
        <v>450</v>
      </c>
      <c r="G230" s="262" t="s">
        <v>449</v>
      </c>
      <c r="H230" s="263" t="s">
        <v>620</v>
      </c>
      <c r="I230" s="301"/>
      <c r="J230" s="264" t="s">
        <v>469</v>
      </c>
    </row>
    <row r="231" spans="1:10">
      <c r="A231" s="169"/>
      <c r="D231" s="212" t="str">
        <f t="shared" ca="1" si="267"/>
        <v>INDFDPHELCN2</v>
      </c>
      <c r="E231" s="212" t="str">
        <f t="shared" ca="1" si="266"/>
        <v>Industrial heating technology Food PH - Heat driven heat pump utilizing waste heat - new 2</v>
      </c>
      <c r="F231" s="211" t="s">
        <v>450</v>
      </c>
      <c r="G231" s="211" t="s">
        <v>449</v>
      </c>
      <c r="H231" s="263" t="s">
        <v>620</v>
      </c>
      <c r="I231" s="208"/>
      <c r="J231" s="264" t="s">
        <v>469</v>
      </c>
    </row>
    <row r="232" spans="1:10">
      <c r="A232" s="169"/>
      <c r="B232" s="211"/>
      <c r="C232" s="211"/>
      <c r="D232" s="212" t="str">
        <f t="shared" ca="1" si="267"/>
        <v>INDFDSHELCN2</v>
      </c>
      <c r="E232" s="212" t="str">
        <f t="shared" ca="1" si="266"/>
        <v>Industrial heating technology Food SH - Heat driven heat pump utilizing waste heat - new 2</v>
      </c>
      <c r="F232" s="262" t="s">
        <v>450</v>
      </c>
      <c r="G232" s="262" t="s">
        <v>449</v>
      </c>
      <c r="H232" s="263" t="s">
        <v>620</v>
      </c>
      <c r="I232" s="264"/>
      <c r="J232" s="264" t="s">
        <v>469</v>
      </c>
    </row>
    <row r="233" spans="1:10">
      <c r="A233" s="169"/>
      <c r="B233" s="211"/>
      <c r="C233" s="211"/>
      <c r="D233" s="212" t="str">
        <f t="shared" ca="1" si="267"/>
        <v>INDFDPHELCN3</v>
      </c>
      <c r="E233" s="212" t="str">
        <f t="shared" ca="1" si="266"/>
        <v>Industrial heating technology Food PH - High Temp abs. Heat pump utilizing waste heat - new 3</v>
      </c>
      <c r="F233" s="262" t="s">
        <v>450</v>
      </c>
      <c r="G233" s="262" t="s">
        <v>449</v>
      </c>
      <c r="H233" s="263" t="s">
        <v>620</v>
      </c>
      <c r="I233" s="264"/>
      <c r="J233" s="264" t="s">
        <v>469</v>
      </c>
    </row>
    <row r="234" spans="1:10">
      <c r="A234" s="169"/>
      <c r="B234" s="211"/>
      <c r="C234" s="211"/>
      <c r="D234" s="212" t="str">
        <f t="shared" ca="1" si="267"/>
        <v>INDFDSHELCN3</v>
      </c>
      <c r="E234" s="212" t="str">
        <f t="shared" ca="1" si="266"/>
        <v>Industrial heating technology Food SH - High Temp abs. Heat pump utilizing waste heat - new 3</v>
      </c>
      <c r="F234" s="262" t="s">
        <v>450</v>
      </c>
      <c r="G234" s="262" t="s">
        <v>449</v>
      </c>
      <c r="H234" s="263" t="s">
        <v>620</v>
      </c>
      <c r="I234" s="264"/>
      <c r="J234" s="264" t="s">
        <v>469</v>
      </c>
    </row>
    <row r="235" spans="1:10">
      <c r="A235" s="169"/>
      <c r="B235" s="211"/>
      <c r="C235" s="211"/>
      <c r="D235" s="212" t="str">
        <f t="shared" ca="1" si="267"/>
        <v>INDFDPHELCN4</v>
      </c>
      <c r="E235" s="212" t="str">
        <f t="shared" ca="1" si="266"/>
        <v>Industrial heating technology Food PH - Booster Heat pump utilizing waste heat - new 4</v>
      </c>
      <c r="F235" s="262" t="s">
        <v>450</v>
      </c>
      <c r="G235" s="262" t="s">
        <v>449</v>
      </c>
      <c r="H235" s="263" t="s">
        <v>620</v>
      </c>
      <c r="I235" s="264"/>
      <c r="J235" s="264" t="s">
        <v>469</v>
      </c>
    </row>
    <row r="236" spans="1:10">
      <c r="A236" s="169"/>
      <c r="B236" s="211"/>
      <c r="C236" s="211"/>
      <c r="D236" s="212" t="str">
        <f t="shared" ca="1" si="267"/>
        <v>INDFDSHELCN4</v>
      </c>
      <c r="E236" s="212" t="str">
        <f t="shared" ca="1" si="266"/>
        <v>Industrial heating technology Food SH - Booster Heat pump utilizing waste heat - new 4</v>
      </c>
      <c r="F236" s="262" t="s">
        <v>450</v>
      </c>
      <c r="G236" s="262" t="s">
        <v>449</v>
      </c>
      <c r="H236" s="263" t="s">
        <v>620</v>
      </c>
      <c r="I236" s="264"/>
      <c r="J236" s="264" t="s">
        <v>469</v>
      </c>
    </row>
    <row r="237" spans="1:10">
      <c r="A237" s="169"/>
      <c r="B237" s="211"/>
      <c r="C237" s="211"/>
      <c r="D237" s="212" t="str">
        <f t="shared" ca="1" si="267"/>
        <v>INDFDPHELCN5</v>
      </c>
      <c r="E237" s="212" t="str">
        <f t="shared" ca="1" si="266"/>
        <v>Industrial heating technology Food PH - MVR utilizing waste heat - new 5</v>
      </c>
      <c r="F237" s="262" t="s">
        <v>450</v>
      </c>
      <c r="G237" s="262" t="s">
        <v>449</v>
      </c>
      <c r="H237" s="263"/>
      <c r="I237" s="264"/>
      <c r="J237" s="264" t="s">
        <v>469</v>
      </c>
    </row>
    <row r="238" spans="1:10">
      <c r="A238" s="169"/>
      <c r="B238" s="211"/>
      <c r="C238" s="211"/>
      <c r="D238" s="212" t="str">
        <f t="shared" ca="1" si="267"/>
        <v>INDFDPHWSTN1</v>
      </c>
      <c r="E238" s="212" t="str">
        <f t="shared" ca="1" si="266"/>
        <v>Industrial heating technology Food PH - Hotdisc - new 1</v>
      </c>
      <c r="F238" s="262" t="s">
        <v>450</v>
      </c>
      <c r="G238" s="262" t="s">
        <v>449</v>
      </c>
      <c r="H238" s="263" t="s">
        <v>620</v>
      </c>
      <c r="I238" s="264"/>
      <c r="J238" s="264" t="s">
        <v>469</v>
      </c>
    </row>
    <row r="239" spans="1:10">
      <c r="A239" s="169"/>
      <c r="B239" s="211"/>
      <c r="C239" s="211"/>
      <c r="D239" s="212" t="str">
        <f t="shared" ref="D239:D278" ca="1" si="268">OFFSET($D$9,(ROW(D19)*3),0)</f>
        <v>INDFDPHELCN6</v>
      </c>
      <c r="E239" s="212" t="str">
        <f t="shared" ca="1" si="266"/>
        <v>Industrial heating technology Food PH - Dielectric heating - new 6</v>
      </c>
      <c r="F239" s="262" t="s">
        <v>450</v>
      </c>
      <c r="G239" s="262" t="s">
        <v>449</v>
      </c>
      <c r="H239" s="263" t="s">
        <v>620</v>
      </c>
      <c r="I239" s="264"/>
      <c r="J239" s="264" t="s">
        <v>469</v>
      </c>
    </row>
    <row r="240" spans="1:10">
      <c r="A240" s="169"/>
      <c r="B240" s="211"/>
      <c r="C240" s="211"/>
      <c r="D240" s="212" t="str">
        <f t="shared" ca="1" si="268"/>
        <v>INDFDPHELCN7</v>
      </c>
      <c r="E240" s="212" t="str">
        <f t="shared" ca="1" si="266"/>
        <v>Industrial heating technology Food PH - Infrared heating - new 7</v>
      </c>
      <c r="F240" s="262" t="s">
        <v>450</v>
      </c>
      <c r="G240" s="262" t="s">
        <v>449</v>
      </c>
      <c r="H240" s="263" t="s">
        <v>620</v>
      </c>
      <c r="I240" s="264"/>
      <c r="J240" s="264" t="s">
        <v>469</v>
      </c>
    </row>
    <row r="241" spans="1:16">
      <c r="A241" s="169"/>
      <c r="B241" s="211"/>
      <c r="C241" s="211"/>
      <c r="D241" s="212" t="str">
        <f t="shared" ca="1" si="268"/>
        <v>INDFDPHELCN8</v>
      </c>
      <c r="E241" s="212" t="str">
        <f t="shared" ca="1" si="266"/>
        <v>Industrial heating technology Food PH - Electric boiler (Steam) - new 8</v>
      </c>
      <c r="F241" s="262" t="s">
        <v>450</v>
      </c>
      <c r="G241" s="262" t="s">
        <v>449</v>
      </c>
      <c r="H241" s="263" t="s">
        <v>620</v>
      </c>
      <c r="I241" s="264"/>
      <c r="J241" s="264" t="s">
        <v>469</v>
      </c>
    </row>
    <row r="242" spans="1:16">
      <c r="A242" s="169"/>
      <c r="B242" s="211"/>
      <c r="C242" s="211"/>
      <c r="D242" s="212" t="str">
        <f t="shared" ca="1" si="268"/>
        <v>INDFDPHELCN8</v>
      </c>
      <c r="E242" s="212" t="str">
        <f t="shared" ca="1" si="266"/>
        <v>Industrial heating technology Food PH - Electric boiler (Steam) - new 8</v>
      </c>
      <c r="F242" s="262" t="s">
        <v>450</v>
      </c>
      <c r="G242" s="262" t="s">
        <v>449</v>
      </c>
      <c r="H242" s="263" t="s">
        <v>620</v>
      </c>
      <c r="I242" s="264"/>
      <c r="J242" s="264" t="s">
        <v>469</v>
      </c>
    </row>
    <row r="243" spans="1:16">
      <c r="A243" s="169"/>
      <c r="B243" s="211"/>
      <c r="C243" s="211"/>
      <c r="D243" s="212" t="str">
        <f t="shared" ca="1" si="268"/>
        <v>INDFDSHELCN8</v>
      </c>
      <c r="E243" s="212" t="str">
        <f t="shared" ca="1" si="266"/>
        <v>Industrial heating technology Food SH - Electric boiler (Steam) - new 8</v>
      </c>
      <c r="F243" s="262" t="s">
        <v>450</v>
      </c>
      <c r="G243" s="262" t="s">
        <v>449</v>
      </c>
      <c r="H243" s="263" t="s">
        <v>620</v>
      </c>
      <c r="I243" s="264"/>
      <c r="J243" s="264" t="s">
        <v>469</v>
      </c>
      <c r="P243" s="173"/>
    </row>
    <row r="244" spans="1:16">
      <c r="A244" s="169"/>
      <c r="B244" s="211"/>
      <c r="C244" s="211"/>
      <c r="D244" s="212" t="str">
        <f t="shared" ca="1" si="268"/>
        <v>INDFDPHELCN9</v>
      </c>
      <c r="E244" s="212" t="str">
        <f t="shared" ca="1" si="266"/>
        <v>Industrial heating technology Food PH - Electric boiler (Hot Water) - new 9</v>
      </c>
      <c r="F244" s="262" t="s">
        <v>450</v>
      </c>
      <c r="G244" s="262" t="s">
        <v>449</v>
      </c>
      <c r="H244" s="263" t="s">
        <v>620</v>
      </c>
      <c r="I244" s="264"/>
      <c r="J244" s="264" t="s">
        <v>469</v>
      </c>
      <c r="P244" s="173"/>
    </row>
    <row r="245" spans="1:16">
      <c r="A245" s="169"/>
      <c r="B245" s="211"/>
      <c r="C245" s="211"/>
      <c r="D245" s="212" t="str">
        <f t="shared" ca="1" si="268"/>
        <v>INDFDSHELCN9</v>
      </c>
      <c r="E245" s="212" t="str">
        <f t="shared" ca="1" si="266"/>
        <v>Industrial heating technology Food SH - Electric boiler (Hot Water) - new 9</v>
      </c>
      <c r="F245" s="262" t="s">
        <v>450</v>
      </c>
      <c r="G245" s="262" t="s">
        <v>449</v>
      </c>
      <c r="H245" s="263" t="s">
        <v>620</v>
      </c>
      <c r="I245" s="264"/>
      <c r="J245" s="264" t="s">
        <v>469</v>
      </c>
      <c r="P245" s="173"/>
    </row>
    <row r="246" spans="1:16">
      <c r="A246" s="169"/>
      <c r="B246" s="211"/>
      <c r="C246" s="211"/>
      <c r="D246" s="212" t="str">
        <f t="shared" ca="1" si="268"/>
        <v>INDFDPHWCHN1</v>
      </c>
      <c r="E246" s="212" t="str">
        <f t="shared" ca="1" si="266"/>
        <v>Industrial heating technology Food PH - Wood chip boiler (Steam) - new 1</v>
      </c>
      <c r="F246" s="262" t="s">
        <v>450</v>
      </c>
      <c r="G246" s="262" t="s">
        <v>449</v>
      </c>
      <c r="H246" s="263"/>
      <c r="I246" s="264"/>
      <c r="J246" s="264" t="s">
        <v>469</v>
      </c>
      <c r="P246" s="173"/>
    </row>
    <row r="247" spans="1:16">
      <c r="A247" s="169"/>
      <c r="B247" s="211"/>
      <c r="C247" s="211"/>
      <c r="D247" s="212" t="str">
        <f t="shared" ca="1" si="268"/>
        <v>INDFDPHWCHN1</v>
      </c>
      <c r="E247" s="212" t="str">
        <f t="shared" ca="1" si="266"/>
        <v>Industrial heating technology Food PH - Wood chip boiler (Steam) - new 1</v>
      </c>
      <c r="F247" s="262" t="s">
        <v>450</v>
      </c>
      <c r="G247" s="262" t="s">
        <v>449</v>
      </c>
      <c r="H247" s="263"/>
      <c r="I247" s="264"/>
      <c r="J247" s="264" t="s">
        <v>469</v>
      </c>
      <c r="M247" s="171"/>
      <c r="N247" s="171"/>
      <c r="P247" s="173"/>
    </row>
    <row r="248" spans="1:16">
      <c r="A248" s="169"/>
      <c r="B248" s="211"/>
      <c r="C248" s="211"/>
      <c r="D248" s="212" t="str">
        <f t="shared" ca="1" si="268"/>
        <v>INDFDSHWCHN1</v>
      </c>
      <c r="E248" s="212" t="str">
        <f t="shared" ca="1" si="266"/>
        <v>Industrial heating technology Food SH - Wood chip boiler (Steam) - new 1</v>
      </c>
      <c r="F248" s="262" t="s">
        <v>450</v>
      </c>
      <c r="G248" s="262" t="s">
        <v>449</v>
      </c>
      <c r="H248" s="263"/>
      <c r="I248" s="264"/>
      <c r="J248" s="264" t="s">
        <v>469</v>
      </c>
      <c r="M248" s="171"/>
      <c r="N248" s="171"/>
      <c r="P248" s="173"/>
    </row>
    <row r="249" spans="1:16">
      <c r="A249" s="169"/>
      <c r="B249" s="211"/>
      <c r="C249" s="211"/>
      <c r="D249" s="212" t="str">
        <f t="shared" ca="1" si="268"/>
        <v>INDFDPHWCHN2</v>
      </c>
      <c r="E249" s="212" t="str">
        <f t="shared" ca="1" si="266"/>
        <v>Industrial heating technology Food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INDFDSHWCHN2</v>
      </c>
      <c r="E250" s="212" t="str">
        <f t="shared" ca="1" si="266"/>
        <v>Industrial heating technology Food SH - Wood chip boiler (Steam - condensing) - new 2</v>
      </c>
      <c r="F250" s="262" t="s">
        <v>450</v>
      </c>
      <c r="G250" s="262" t="s">
        <v>449</v>
      </c>
      <c r="H250" s="263"/>
      <c r="I250" s="264"/>
      <c r="J250" s="264" t="s">
        <v>469</v>
      </c>
    </row>
    <row r="251" spans="1:16">
      <c r="A251" s="169"/>
      <c r="B251" s="212"/>
      <c r="C251" s="212"/>
      <c r="D251" s="212" t="str">
        <f t="shared" ca="1" si="268"/>
        <v>INDFDPHWCHN3</v>
      </c>
      <c r="E251" s="212" t="str">
        <f t="shared" ca="1" si="266"/>
        <v>Industrial heating technology Food PH - Wood chip boiler (Hot Water) - new 3</v>
      </c>
      <c r="F251" s="262" t="s">
        <v>450</v>
      </c>
      <c r="G251" s="262" t="s">
        <v>449</v>
      </c>
      <c r="H251" s="261"/>
      <c r="I251" s="261"/>
      <c r="J251" s="264" t="s">
        <v>469</v>
      </c>
    </row>
    <row r="252" spans="1:16">
      <c r="A252" s="169"/>
      <c r="B252" s="212"/>
      <c r="C252" s="212"/>
      <c r="D252" s="212" t="str">
        <f t="shared" ca="1" si="268"/>
        <v>INDFDSHWCHN3</v>
      </c>
      <c r="E252" s="212" t="str">
        <f t="shared" ca="1" si="266"/>
        <v>Industrial heating technology Food SH - Wood chip boiler (Hot Water) - new 3</v>
      </c>
      <c r="F252" s="262" t="s">
        <v>450</v>
      </c>
      <c r="G252" s="262" t="s">
        <v>449</v>
      </c>
      <c r="H252" s="261"/>
      <c r="I252" s="261"/>
      <c r="J252" s="264" t="s">
        <v>469</v>
      </c>
    </row>
    <row r="253" spans="1:16">
      <c r="A253" s="169"/>
      <c r="B253" s="212"/>
      <c r="C253" s="212"/>
      <c r="D253" s="212" t="str">
        <f t="shared" ca="1" si="268"/>
        <v>INDFDPHWCHN4</v>
      </c>
      <c r="E253" s="212" t="str">
        <f t="shared" ca="1" si="266"/>
        <v>Industrial heating technology Food PH - Wood chip boiler (Hot Water - condensing) - new 4</v>
      </c>
      <c r="F253" s="262" t="s">
        <v>450</v>
      </c>
      <c r="G253" s="262" t="s">
        <v>449</v>
      </c>
      <c r="H253" s="261"/>
      <c r="I253" s="261"/>
      <c r="J253" s="264" t="s">
        <v>469</v>
      </c>
    </row>
    <row r="254" spans="1:16">
      <c r="A254" s="169"/>
      <c r="B254" s="212"/>
      <c r="C254" s="212"/>
      <c r="D254" s="212" t="str">
        <f t="shared" ca="1" si="268"/>
        <v>INDFDSHWCHN4</v>
      </c>
      <c r="E254" s="212" t="str">
        <f t="shared" ca="1" si="266"/>
        <v>Industrial heating technology Food SH - Wood chip boiler (Hot Water- condensing) - new 4</v>
      </c>
      <c r="F254" s="262" t="s">
        <v>450</v>
      </c>
      <c r="G254" s="262" t="s">
        <v>449</v>
      </c>
      <c r="H254" s="261"/>
      <c r="I254" s="261"/>
      <c r="J254" s="264" t="s">
        <v>469</v>
      </c>
    </row>
    <row r="255" spans="1:16">
      <c r="B255" s="212"/>
      <c r="C255" s="212"/>
      <c r="D255" s="212" t="str">
        <f t="shared" ca="1" si="268"/>
        <v>INDFDPHELCN10</v>
      </c>
      <c r="E255" s="212" t="str">
        <f t="shared" ca="1" si="266"/>
        <v>Industrial heating technology Food PH - Direct electric heating - new 10</v>
      </c>
      <c r="F255" s="262" t="s">
        <v>450</v>
      </c>
      <c r="G255" s="262" t="s">
        <v>449</v>
      </c>
      <c r="H255" s="261"/>
      <c r="I255" s="261"/>
      <c r="J255" s="264" t="s">
        <v>469</v>
      </c>
    </row>
    <row r="256" spans="1:16">
      <c r="B256" s="212"/>
      <c r="C256" s="212"/>
      <c r="D256" s="212" t="str">
        <f t="shared" ca="1" si="268"/>
        <v>INDFDPHELCN10</v>
      </c>
      <c r="E256" s="212" t="str">
        <f t="shared" ca="1" si="266"/>
        <v>Industrial heating technology Food PH - Direct electric heating - new 10</v>
      </c>
      <c r="F256" s="262" t="s">
        <v>450</v>
      </c>
      <c r="G256" s="262" t="s">
        <v>449</v>
      </c>
      <c r="H256" s="261"/>
      <c r="I256" s="261"/>
      <c r="J256" s="264" t="s">
        <v>469</v>
      </c>
    </row>
    <row r="257" spans="1:10">
      <c r="B257" s="212"/>
      <c r="C257" s="212"/>
      <c r="D257" s="212" t="str">
        <f t="shared" ca="1" si="268"/>
        <v>INDFDPHDSLN1</v>
      </c>
      <c r="E257" s="212" t="str">
        <f t="shared" ca="1" si="266"/>
        <v>Industrial heating technology Food PH - Oil boiler (Steam) - new 1</v>
      </c>
      <c r="F257" s="262" t="s">
        <v>450</v>
      </c>
      <c r="G257" s="262" t="s">
        <v>449</v>
      </c>
      <c r="H257" s="261"/>
      <c r="I257" s="261"/>
      <c r="J257" s="264" t="s">
        <v>469</v>
      </c>
    </row>
    <row r="258" spans="1:10">
      <c r="B258" s="212"/>
      <c r="C258" s="212"/>
      <c r="D258" s="212" t="str">
        <f t="shared" ca="1" si="268"/>
        <v>INDFDPHDSLN1</v>
      </c>
      <c r="E258" s="212" t="str">
        <f t="shared" ca="1" si="266"/>
        <v>Industrial heating technology Food PH - Oil boiler (Steam) - new 1</v>
      </c>
      <c r="F258" s="262" t="s">
        <v>450</v>
      </c>
      <c r="G258" s="262" t="s">
        <v>449</v>
      </c>
      <c r="H258" s="261"/>
      <c r="I258" s="261"/>
      <c r="J258" s="264" t="s">
        <v>469</v>
      </c>
    </row>
    <row r="259" spans="1:10">
      <c r="B259" s="212"/>
      <c r="C259" s="212"/>
      <c r="D259" s="212" t="str">
        <f t="shared" ca="1" si="268"/>
        <v>INDFDSHDSLN1</v>
      </c>
      <c r="E259" s="212" t="str">
        <f t="shared" ca="1" si="266"/>
        <v>Industrial heating technology Food SH - Oil boiler (Steam) - new 1</v>
      </c>
      <c r="F259" s="262" t="s">
        <v>450</v>
      </c>
      <c r="G259" s="262" t="s">
        <v>449</v>
      </c>
      <c r="H259" s="261"/>
      <c r="I259" s="261"/>
      <c r="J259" s="264" t="s">
        <v>469</v>
      </c>
    </row>
    <row r="260" spans="1:10">
      <c r="A260" s="214"/>
      <c r="B260" s="212"/>
      <c r="C260" s="212"/>
      <c r="D260" s="212" t="str">
        <f t="shared" ca="1" si="268"/>
        <v>INDFDPHDSLN2</v>
      </c>
      <c r="E260" s="212" t="str">
        <f t="shared" ca="1" si="266"/>
        <v>Industrial heating technology Food PH - Oil boiler (Steam - condensing) - new 2</v>
      </c>
      <c r="F260" s="262" t="s">
        <v>450</v>
      </c>
      <c r="G260" s="262" t="s">
        <v>449</v>
      </c>
      <c r="H260" s="261"/>
      <c r="I260" s="261"/>
      <c r="J260" s="264" t="s">
        <v>469</v>
      </c>
    </row>
    <row r="261" spans="1:10">
      <c r="A261" s="214"/>
      <c r="B261" s="212"/>
      <c r="C261" s="212"/>
      <c r="D261" s="212" t="str">
        <f t="shared" ca="1" si="268"/>
        <v>INDFDSHDSLN2</v>
      </c>
      <c r="E261" s="212" t="str">
        <f t="shared" ref="E261:E290" ca="1" si="269">VLOOKUP(D261,$D$9:$E$222,2,FALSE)</f>
        <v>Industrial heating technology Food SH - Oil boiler (Steam - condensing) - new 2</v>
      </c>
      <c r="F261" s="262" t="s">
        <v>450</v>
      </c>
      <c r="G261" s="262" t="s">
        <v>449</v>
      </c>
      <c r="H261" s="261"/>
      <c r="I261" s="261"/>
      <c r="J261" s="264" t="s">
        <v>469</v>
      </c>
    </row>
    <row r="262" spans="1:10">
      <c r="A262" s="214"/>
      <c r="B262" s="212"/>
      <c r="C262" s="212"/>
      <c r="D262" s="212" t="str">
        <f t="shared" ca="1" si="268"/>
        <v>INDFDPHGASN1</v>
      </c>
      <c r="E262" s="212" t="str">
        <f t="shared" ca="1" si="269"/>
        <v>Industrial heating technology Food PH - Gas boiler (Steam) - new 1</v>
      </c>
      <c r="F262" s="262" t="s">
        <v>450</v>
      </c>
      <c r="G262" s="262" t="s">
        <v>449</v>
      </c>
      <c r="H262" s="261"/>
      <c r="I262" s="261"/>
      <c r="J262" s="264" t="s">
        <v>469</v>
      </c>
    </row>
    <row r="263" spans="1:10">
      <c r="A263" s="214"/>
      <c r="B263" s="212"/>
      <c r="C263" s="212"/>
      <c r="D263" s="212" t="str">
        <f t="shared" ca="1" si="268"/>
        <v>INDFDPHGASN1</v>
      </c>
      <c r="E263" s="212" t="str">
        <f t="shared" ca="1" si="269"/>
        <v>Industrial heating technology Food PH - Gas boiler (Steam) - new 1</v>
      </c>
      <c r="F263" s="262" t="s">
        <v>450</v>
      </c>
      <c r="G263" s="262" t="s">
        <v>449</v>
      </c>
      <c r="H263" s="261"/>
      <c r="I263" s="261"/>
      <c r="J263" s="264" t="s">
        <v>469</v>
      </c>
    </row>
    <row r="264" spans="1:10">
      <c r="B264" s="212"/>
      <c r="C264" s="212"/>
      <c r="D264" s="212" t="str">
        <f t="shared" ca="1" si="268"/>
        <v>INDFDSHGASN1</v>
      </c>
      <c r="E264" s="212" t="str">
        <f t="shared" ca="1" si="269"/>
        <v>Industrial heating technology Food SH - Gas boiler (Steam) - new 1</v>
      </c>
      <c r="F264" s="262" t="s">
        <v>450</v>
      </c>
      <c r="G264" s="262" t="s">
        <v>449</v>
      </c>
      <c r="H264" s="261"/>
      <c r="I264" s="261"/>
      <c r="J264" s="264" t="s">
        <v>469</v>
      </c>
    </row>
    <row r="265" spans="1:10">
      <c r="B265" s="212"/>
      <c r="C265" s="212"/>
      <c r="D265" s="212" t="str">
        <f t="shared" ca="1" si="268"/>
        <v>INDFDPHGASN2</v>
      </c>
      <c r="E265" s="212" t="str">
        <f t="shared" ca="1" si="269"/>
        <v>Industrial heating technology Food PH - Gas boiler (Steam - condensing) - new 2</v>
      </c>
      <c r="F265" s="262" t="s">
        <v>450</v>
      </c>
      <c r="G265" s="262" t="s">
        <v>449</v>
      </c>
      <c r="H265" s="261"/>
      <c r="I265" s="261"/>
      <c r="J265" s="264" t="s">
        <v>469</v>
      </c>
    </row>
    <row r="266" spans="1:10">
      <c r="B266" s="212"/>
      <c r="C266" s="212"/>
      <c r="D266" s="212" t="str">
        <f t="shared" ca="1" si="268"/>
        <v>INDFDSHGASN2</v>
      </c>
      <c r="E266" s="212" t="str">
        <f t="shared" ca="1" si="269"/>
        <v>Industrial heating technology Food SH - Gas boiler (Steam - condensing) - new 2</v>
      </c>
      <c r="F266" s="262" t="s">
        <v>450</v>
      </c>
      <c r="G266" s="262" t="s">
        <v>449</v>
      </c>
      <c r="H266" s="261"/>
      <c r="I266" s="261"/>
      <c r="J266" s="264" t="s">
        <v>469</v>
      </c>
    </row>
    <row r="267" spans="1:10">
      <c r="B267" s="212"/>
      <c r="C267" s="212"/>
      <c r="D267" s="212" t="str">
        <f t="shared" ca="1" si="268"/>
        <v>INDFDPHGASN3</v>
      </c>
      <c r="E267" s="212" t="str">
        <f t="shared" ca="1" si="269"/>
        <v>Industrial heating technology Food PH - Gas boiler (Hot Water) - new 3</v>
      </c>
      <c r="F267" s="262" t="s">
        <v>450</v>
      </c>
      <c r="G267" s="262" t="s">
        <v>449</v>
      </c>
      <c r="H267" s="261"/>
      <c r="I267" s="261"/>
      <c r="J267" s="264" t="s">
        <v>469</v>
      </c>
    </row>
    <row r="268" spans="1:10">
      <c r="B268" s="212"/>
      <c r="C268" s="212"/>
      <c r="D268" s="212" t="str">
        <f t="shared" ca="1" si="268"/>
        <v>INDFDSHGASN3</v>
      </c>
      <c r="E268" s="212" t="str">
        <f t="shared" ca="1" si="269"/>
        <v>Industrial heating technology Food SH - Gas boiler (Hot Water) - new 3</v>
      </c>
      <c r="F268" s="262" t="s">
        <v>450</v>
      </c>
      <c r="G268" s="262" t="s">
        <v>449</v>
      </c>
      <c r="H268" s="261"/>
      <c r="I268" s="261"/>
      <c r="J268" s="264" t="s">
        <v>469</v>
      </c>
    </row>
    <row r="269" spans="1:10">
      <c r="B269" s="212"/>
      <c r="C269" s="212"/>
      <c r="D269" s="212" t="str">
        <f t="shared" ca="1" si="268"/>
        <v>INDFDPHGASN4</v>
      </c>
      <c r="E269" s="212" t="str">
        <f t="shared" ca="1" si="269"/>
        <v>Industrial heating technology Food PH - Gas boiler (Hot Water - condensing) - new 4</v>
      </c>
      <c r="F269" s="262" t="s">
        <v>450</v>
      </c>
      <c r="G269" s="262" t="s">
        <v>449</v>
      </c>
      <c r="H269" s="261"/>
      <c r="I269" s="261"/>
      <c r="J269" s="264" t="s">
        <v>469</v>
      </c>
    </row>
    <row r="270" spans="1:10">
      <c r="B270" s="212"/>
      <c r="C270" s="212"/>
      <c r="D270" s="212" t="str">
        <f t="shared" ca="1" si="268"/>
        <v>INDFDSHGASN4</v>
      </c>
      <c r="E270" s="212" t="str">
        <f t="shared" ca="1" si="269"/>
        <v>Industrial heating technology Food SH - Gas boiler (Hot Water- condensing) - new 4</v>
      </c>
      <c r="F270" s="262" t="s">
        <v>450</v>
      </c>
      <c r="G270" s="262" t="s">
        <v>449</v>
      </c>
      <c r="H270" s="261"/>
      <c r="I270" s="261"/>
      <c r="J270" s="264" t="s">
        <v>469</v>
      </c>
    </row>
    <row r="271" spans="1:10">
      <c r="B271" s="212"/>
      <c r="C271" s="212"/>
      <c r="D271" s="212" t="str">
        <f t="shared" ca="1" si="268"/>
        <v>INDFDPHGASN5</v>
      </c>
      <c r="E271" s="212" t="str">
        <f t="shared" ca="1" si="269"/>
        <v>Industrial heating technology Food PH - Gas boiler (Direct firing) - new 5</v>
      </c>
      <c r="F271" s="262" t="s">
        <v>450</v>
      </c>
      <c r="G271" s="262" t="s">
        <v>449</v>
      </c>
      <c r="H271" s="261"/>
      <c r="I271" s="261"/>
      <c r="J271" s="264" t="s">
        <v>469</v>
      </c>
    </row>
    <row r="272" spans="1:10">
      <c r="B272" s="212"/>
      <c r="C272" s="212"/>
      <c r="D272" s="212" t="str">
        <f t="shared" ca="1" si="268"/>
        <v>INDFDPHGASN5</v>
      </c>
      <c r="E272" s="212" t="str">
        <f t="shared" ca="1" si="269"/>
        <v>Industrial heating technology Food PH - Gas boiler (Direct firing) - new 5</v>
      </c>
      <c r="F272" s="262" t="s">
        <v>450</v>
      </c>
      <c r="G272" s="262" t="s">
        <v>449</v>
      </c>
      <c r="H272" s="261"/>
      <c r="I272" s="261"/>
      <c r="J272" s="264" t="s">
        <v>469</v>
      </c>
    </row>
    <row r="273" spans="2:10">
      <c r="B273" s="212"/>
      <c r="C273" s="212"/>
      <c r="D273" s="212" t="str">
        <f t="shared" ca="1" si="268"/>
        <v>INDFDPHCOAN1</v>
      </c>
      <c r="E273" s="212" t="str">
        <f t="shared" ca="1" si="269"/>
        <v>Industrial heating technology Food PH - Coal boiler (Steam) - new 1</v>
      </c>
      <c r="F273" s="262" t="s">
        <v>450</v>
      </c>
      <c r="G273" s="262" t="s">
        <v>449</v>
      </c>
      <c r="H273" s="261"/>
      <c r="I273" s="261"/>
      <c r="J273" s="264" t="s">
        <v>469</v>
      </c>
    </row>
    <row r="274" spans="2:10">
      <c r="B274" s="212"/>
      <c r="C274" s="212"/>
      <c r="D274" s="212" t="str">
        <f t="shared" ca="1" si="268"/>
        <v>INDFDPHCOAN1</v>
      </c>
      <c r="E274" s="212" t="str">
        <f t="shared" ca="1" si="269"/>
        <v>Industrial heating technology Food PH - Coal boiler (Steam) - new 1</v>
      </c>
      <c r="F274" s="262" t="s">
        <v>450</v>
      </c>
      <c r="G274" s="262" t="s">
        <v>449</v>
      </c>
      <c r="H274" s="261"/>
      <c r="I274" s="261"/>
      <c r="J274" s="264" t="s">
        <v>469</v>
      </c>
    </row>
    <row r="275" spans="2:10">
      <c r="B275" s="212"/>
      <c r="C275" s="212"/>
      <c r="D275" s="212" t="str">
        <f t="shared" ca="1" si="268"/>
        <v>INDFDSHCOAN1</v>
      </c>
      <c r="E275" s="212" t="str">
        <f t="shared" ca="1" si="269"/>
        <v>Industrial heating technology Food SH - Coal boiler (Steam) - new 1</v>
      </c>
      <c r="F275" s="262" t="s">
        <v>450</v>
      </c>
      <c r="G275" s="262" t="s">
        <v>449</v>
      </c>
      <c r="H275" s="261"/>
      <c r="I275" s="261"/>
      <c r="J275" s="264" t="s">
        <v>469</v>
      </c>
    </row>
    <row r="276" spans="2:10">
      <c r="B276" s="212"/>
      <c r="C276" s="212"/>
      <c r="D276" s="212" t="str">
        <f t="shared" ca="1" si="268"/>
        <v>INDFDPHCOAN2</v>
      </c>
      <c r="E276" s="212" t="str">
        <f t="shared" ca="1" si="269"/>
        <v>Industrial heating technology Food PH - Coal boiler (Hot Water) - new 2</v>
      </c>
      <c r="F276" s="262" t="s">
        <v>450</v>
      </c>
      <c r="G276" s="262" t="s">
        <v>449</v>
      </c>
      <c r="H276" s="261"/>
      <c r="I276" s="261"/>
      <c r="J276" s="264" t="s">
        <v>469</v>
      </c>
    </row>
    <row r="277" spans="2:10">
      <c r="B277" s="212"/>
      <c r="C277" s="212"/>
      <c r="D277" s="212" t="str">
        <f t="shared" ca="1" si="268"/>
        <v>INDFDSHCOAN2</v>
      </c>
      <c r="E277" s="212" t="str">
        <f t="shared" ca="1" si="269"/>
        <v>Industrial heating technology Food SH - Coal boiler (Hot Water) - new 2</v>
      </c>
      <c r="F277" s="262" t="s">
        <v>450</v>
      </c>
      <c r="G277" s="262" t="s">
        <v>449</v>
      </c>
      <c r="H277" s="261"/>
      <c r="I277" s="261"/>
      <c r="J277" s="264" t="s">
        <v>469</v>
      </c>
    </row>
    <row r="278" spans="2:10">
      <c r="B278" s="212"/>
      <c r="C278" s="212"/>
      <c r="D278" s="212" t="str">
        <f t="shared" ca="1" si="268"/>
        <v>INDFDSHSOLN1</v>
      </c>
      <c r="E278" s="212" t="str">
        <f t="shared" ca="1" si="269"/>
        <v>Industrial heating technology Food SH - Solar - new 1</v>
      </c>
      <c r="F278" s="262" t="s">
        <v>450</v>
      </c>
      <c r="G278" s="262" t="s">
        <v>449</v>
      </c>
      <c r="H278" s="263" t="s">
        <v>620</v>
      </c>
      <c r="I278" s="261"/>
      <c r="J278" s="264" t="s">
        <v>469</v>
      </c>
    </row>
    <row r="279" spans="2:10">
      <c r="B279" s="212"/>
      <c r="C279" s="212"/>
      <c r="D279" s="889" t="str">
        <f>D187</f>
        <v>INDFDSHHCEN1</v>
      </c>
      <c r="E279" s="889" t="str">
        <f t="shared" si="269"/>
        <v>Industrial heating technology Food SH - central district heating - within DH area - new 1</v>
      </c>
      <c r="F279" s="262" t="s">
        <v>450</v>
      </c>
      <c r="G279" s="262" t="s">
        <v>449</v>
      </c>
      <c r="H279" s="890"/>
      <c r="I279" s="890"/>
      <c r="J279" s="263" t="s">
        <v>469</v>
      </c>
    </row>
    <row r="280" spans="2:10">
      <c r="B280" s="212"/>
      <c r="C280" s="212"/>
      <c r="D280" s="889" t="str">
        <f>D188</f>
        <v>INDFDPHHCEN1</v>
      </c>
      <c r="E280" s="889" t="str">
        <f t="shared" si="269"/>
        <v>Industrial heating technology Food PH - central district heating - within DH area - new 1</v>
      </c>
      <c r="F280" s="262" t="s">
        <v>450</v>
      </c>
      <c r="G280" s="262" t="s">
        <v>449</v>
      </c>
      <c r="H280" s="890"/>
      <c r="I280" s="890"/>
      <c r="J280" s="263" t="s">
        <v>469</v>
      </c>
    </row>
    <row r="281" spans="2:10">
      <c r="B281" s="212"/>
      <c r="C281" s="212"/>
      <c r="D281" s="889" t="str">
        <f>D189</f>
        <v>INDFDSHHSEN1</v>
      </c>
      <c r="E281" s="889" t="str">
        <f t="shared" si="269"/>
        <v>Industrial heating technology Food SH - central district heating - within DH area - new 1</v>
      </c>
      <c r="F281" s="262" t="s">
        <v>450</v>
      </c>
      <c r="G281" s="262" t="s">
        <v>449</v>
      </c>
      <c r="H281" s="890"/>
      <c r="I281" s="890"/>
      <c r="J281" s="263" t="s">
        <v>469</v>
      </c>
    </row>
    <row r="282" spans="2:10">
      <c r="B282" s="212"/>
      <c r="C282" s="212"/>
      <c r="D282" s="889" t="str">
        <f>D190</f>
        <v>INDFDPHHSEN1</v>
      </c>
      <c r="E282" s="889" t="str">
        <f t="shared" si="269"/>
        <v>Industrial heating technology Food PH - central district heating - within DH area - new 1</v>
      </c>
      <c r="F282" s="262" t="s">
        <v>450</v>
      </c>
      <c r="G282" s="262" t="s">
        <v>449</v>
      </c>
      <c r="H282" s="890"/>
      <c r="I282" s="890"/>
      <c r="J282" s="263" t="s">
        <v>469</v>
      </c>
    </row>
    <row r="283" spans="2:10">
      <c r="B283" s="212"/>
      <c r="C283" s="212"/>
      <c r="D283" s="212" t="str">
        <f t="shared" ref="D283" si="270">D191</f>
        <v>INDFDSHHDEN1</v>
      </c>
      <c r="E283" s="212" t="str">
        <f t="shared" si="269"/>
        <v>Industrial heating technology Food SH - decentral district heating - within DH area - new 1</v>
      </c>
      <c r="F283" s="262" t="s">
        <v>450</v>
      </c>
      <c r="G283" s="262" t="s">
        <v>449</v>
      </c>
      <c r="H283" s="261"/>
      <c r="I283" s="261"/>
      <c r="J283" s="264" t="s">
        <v>469</v>
      </c>
    </row>
    <row r="284" spans="2:10">
      <c r="B284" s="212"/>
      <c r="C284" s="212"/>
      <c r="D284" s="212" t="str">
        <f>D192</f>
        <v>INDFDPHHDEN1</v>
      </c>
      <c r="E284" s="212" t="str">
        <f t="shared" si="269"/>
        <v>Industrial heating technology Food PH - decentral district heating - within DH area - new 1</v>
      </c>
      <c r="F284" s="262" t="s">
        <v>450</v>
      </c>
      <c r="G284" s="262" t="s">
        <v>449</v>
      </c>
      <c r="H284" s="261"/>
      <c r="I284" s="261"/>
      <c r="J284" s="264" t="s">
        <v>469</v>
      </c>
    </row>
    <row r="285" spans="2:10">
      <c r="B285" s="212"/>
      <c r="C285" s="212"/>
      <c r="D285" s="212" t="str">
        <f>D194</f>
        <v>INDFDLAELCN1</v>
      </c>
      <c r="E285" s="212" t="str">
        <f t="shared" si="269"/>
        <v>Industry Food LA Electricity Light Appliance - New 1</v>
      </c>
      <c r="F285" s="262" t="s">
        <v>450</v>
      </c>
      <c r="G285" s="262" t="s">
        <v>449</v>
      </c>
      <c r="H285" s="261"/>
      <c r="I285" s="261"/>
      <c r="J285" s="264" t="s">
        <v>469</v>
      </c>
    </row>
    <row r="286" spans="2:10">
      <c r="B286" s="212"/>
      <c r="C286" s="212"/>
      <c r="D286" s="212" t="str">
        <f>D198</f>
        <v>INDFDEMELCN1</v>
      </c>
      <c r="E286" s="212" t="str">
        <f t="shared" si="269"/>
        <v>Industry Food EM Electricity Motors - New 1</v>
      </c>
      <c r="F286" s="262" t="s">
        <v>450</v>
      </c>
      <c r="G286" s="262" t="s">
        <v>449</v>
      </c>
      <c r="H286" s="261"/>
      <c r="I286" s="261"/>
      <c r="J286" s="264" t="s">
        <v>469</v>
      </c>
    </row>
    <row r="287" spans="2:10">
      <c r="B287" s="212"/>
      <c r="C287" s="212"/>
      <c r="D287" s="212" t="str">
        <f>D202</f>
        <v>INDFDTFDSLN1</v>
      </c>
      <c r="E287" s="212" t="str">
        <f t="shared" si="269"/>
        <v>Industry Food TF Tractors, Trucks, Fishing boats - New 1</v>
      </c>
      <c r="F287" s="262" t="s">
        <v>450</v>
      </c>
      <c r="G287" s="262" t="s">
        <v>2078</v>
      </c>
      <c r="H287" s="261"/>
      <c r="I287" s="261"/>
      <c r="J287" s="264" t="s">
        <v>469</v>
      </c>
    </row>
    <row r="288" spans="2:10">
      <c r="B288" s="212"/>
      <c r="C288" s="212"/>
      <c r="D288" s="212" t="str">
        <f>D206</f>
        <v>INDFDTFH2GN2</v>
      </c>
      <c r="E288" s="212" t="str">
        <f t="shared" si="269"/>
        <v>Industry Food TF Tractors, Trucks, Fishing boats - New 2</v>
      </c>
      <c r="F288" s="262" t="s">
        <v>450</v>
      </c>
      <c r="G288" s="262" t="s">
        <v>2078</v>
      </c>
      <c r="H288" s="261"/>
      <c r="I288" s="261"/>
      <c r="J288" s="264" t="s">
        <v>469</v>
      </c>
    </row>
    <row r="289" spans="2:10">
      <c r="B289" s="212"/>
      <c r="C289" s="212"/>
      <c r="D289" s="212" t="str">
        <f>D210</f>
        <v>INDFDTFELCN3</v>
      </c>
      <c r="E289" s="212" t="str">
        <f t="shared" si="269"/>
        <v>Industry Food TF Tractors, Trucks, Fishing boats - New 3</v>
      </c>
      <c r="F289" s="262" t="s">
        <v>450</v>
      </c>
      <c r="G289" s="262" t="s">
        <v>2078</v>
      </c>
      <c r="H289" s="261"/>
      <c r="I289" s="261"/>
      <c r="J289" s="264" t="s">
        <v>469</v>
      </c>
    </row>
    <row r="290" spans="2:10">
      <c r="B290" s="212"/>
      <c r="C290" s="212"/>
      <c r="D290" s="212" t="str">
        <f>D214</f>
        <v>INDFDFLSYNN1</v>
      </c>
      <c r="E290" s="212" t="str">
        <f t="shared" si="269"/>
        <v>Industry Food TF Forklifts - New 1</v>
      </c>
      <c r="F290" s="262" t="s">
        <v>450</v>
      </c>
      <c r="G290" s="262" t="s">
        <v>449</v>
      </c>
      <c r="H290" s="261"/>
      <c r="I290" s="261"/>
      <c r="J290" s="264" t="s">
        <v>469</v>
      </c>
    </row>
    <row r="291" spans="2:10">
      <c r="B291" s="212"/>
      <c r="C291" s="212"/>
      <c r="D291" s="212" t="str">
        <f>D218</f>
        <v>INDFDCOELCN1</v>
      </c>
      <c r="E291" s="212" t="str">
        <f>E218</f>
        <v>Industry Food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IFDSOx</v>
      </c>
      <c r="E296" s="270" t="str">
        <f>"Industrial heating  heating technology "&amp;$AJ$12&amp;" - SOx emission"</f>
        <v>Industrial heating  heating technology Food - SOx emission</v>
      </c>
      <c r="F296" s="219" t="s">
        <v>352</v>
      </c>
      <c r="G296" s="211"/>
      <c r="H296" s="211"/>
      <c r="I296" s="211"/>
      <c r="J296" s="211"/>
    </row>
    <row r="297" spans="2:10">
      <c r="B297" s="214"/>
      <c r="C297" s="214"/>
      <c r="D297" s="260" t="str">
        <f>"I"&amp;LEFT($AJ$12,1)&amp;"DNOx"</f>
        <v>IFDNOx</v>
      </c>
      <c r="E297" s="270" t="str">
        <f>"Industrial heating  heating technology "&amp;$AJ$12&amp;" - NOx emission"</f>
        <v>Industrial heating  heating technology Food - NOx emission</v>
      </c>
      <c r="F297" s="219" t="s">
        <v>352</v>
      </c>
      <c r="G297" s="211"/>
      <c r="H297" s="214"/>
      <c r="I297" s="214"/>
      <c r="J297" s="214"/>
    </row>
    <row r="298" spans="2:10">
      <c r="B298" s="214"/>
      <c r="C298" s="214"/>
      <c r="D298" s="260" t="str">
        <f>"I"&amp;LEFT($AJ$12,1)&amp;"DCH4"</f>
        <v>IFDCH4</v>
      </c>
      <c r="E298" s="270" t="str">
        <f>"Industrial heating  heating technology "&amp;$AJ$12&amp;" - CH4 emission"</f>
        <v>Industrial heating  heating technology Food - CH4 emission</v>
      </c>
      <c r="F298" s="219" t="s">
        <v>352</v>
      </c>
      <c r="G298" s="211"/>
      <c r="H298" s="214"/>
      <c r="I298" s="214"/>
      <c r="J298" s="214"/>
    </row>
    <row r="299" spans="2:10">
      <c r="B299" s="214"/>
      <c r="C299" s="214"/>
      <c r="D299" s="260" t="str">
        <f>"I"&amp;LEFT($AJ$12,1)&amp;"DNO2"</f>
        <v>IFDNO2</v>
      </c>
      <c r="E299" s="270" t="str">
        <f>"Industrial heating  heating technology "&amp;$AJ$12&amp;" - NO2 emission"</f>
        <v>Industrial heating  heating technology Food - NO2 emission</v>
      </c>
      <c r="F299" s="219" t="s">
        <v>352</v>
      </c>
      <c r="G299" s="211"/>
      <c r="H299" s="214"/>
      <c r="I299" s="214"/>
      <c r="J299" s="214"/>
    </row>
    <row r="300" spans="2:10">
      <c r="B300" s="214"/>
      <c r="C300" s="214"/>
      <c r="D300" s="260" t="str">
        <f>"I"&amp;LEFT($AJ$12,1)&amp;"DPM"</f>
        <v>IFDPM</v>
      </c>
      <c r="E300" s="270" t="str">
        <f>"Industrial heating  heating technology "&amp;$AJ$12&amp;" - Particle emission"</f>
        <v>Industrial heating  heating technology Food - Particle emission</v>
      </c>
      <c r="F300" s="219" t="s">
        <v>352</v>
      </c>
      <c r="G300" s="211"/>
      <c r="H300" s="214"/>
      <c r="I300" s="214"/>
      <c r="J300" s="214"/>
    </row>
    <row r="301" spans="2:10">
      <c r="B301" s="224" t="s">
        <v>1057</v>
      </c>
      <c r="D301" s="224" t="str">
        <f>AI20</f>
        <v>INDFWH</v>
      </c>
      <c r="E301" s="270" t="str">
        <f>"Industrial heating technology "&amp;$AJ$12&amp;" - Waste heat"</f>
        <v>Industrial heating technology Food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E1F428BB-C9C7-4014-A67F-DC479BE993B0}">
          <x14:formula1>
            <xm:f>'Oil-fired boiler_NEW'!$T$4:$X$4</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619A-1E28-4505-A75F-CB24B93BF7C1}">
  <sheetPr>
    <tabColor rgb="FF00B050"/>
  </sheetPr>
  <dimension ref="A1:AP301"/>
  <sheetViews>
    <sheetView topLeftCell="A197" zoomScale="70" zoomScaleNormal="70" workbookViewId="0">
      <selection activeCell="G212" sqref="G212"/>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718</v>
      </c>
      <c r="N1" s="64"/>
      <c r="O1" s="64"/>
      <c r="P1" s="64"/>
      <c r="S1" s="727" t="s">
        <v>1004</v>
      </c>
      <c r="T1" s="776" t="s">
        <v>1003</v>
      </c>
      <c r="U1" s="775" t="s">
        <v>1053</v>
      </c>
      <c r="V1" s="776" t="s">
        <v>1054</v>
      </c>
      <c r="W1" s="780">
        <v>0.3</v>
      </c>
    </row>
    <row r="2" spans="2:42" ht="15" thickBot="1">
      <c r="E2" s="730" t="s">
        <v>520</v>
      </c>
      <c r="N2" s="731"/>
      <c r="O2" s="731"/>
      <c r="P2" s="731"/>
      <c r="S2" s="726">
        <f>MATCH($E$1,$AJ$22:$AJ$35)</f>
        <v>11</v>
      </c>
      <c r="T2" s="778">
        <f>MATCH($E$1,$AJ$22:$AJ$35)+1</f>
        <v>12</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FEMIS~ICDSOx</v>
      </c>
      <c r="Y6" s="280" t="str">
        <f>"FEMIS~"&amp;D297</f>
        <v>FEMIS~ICDNOx</v>
      </c>
      <c r="Z6" s="280" t="str">
        <f>"FEMIS~"&amp;D298</f>
        <v>FEMIS~ICDCH4</v>
      </c>
      <c r="AA6" s="280" t="str">
        <f>"FEMIS~"&amp;D299</f>
        <v>FEMIS~ICDNO2</v>
      </c>
      <c r="AB6" s="280" t="str">
        <f>"FEMIS~"&amp;D300</f>
        <v>FEMIS~ICDPM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INDCDPHELCN1</v>
      </c>
      <c r="E9" s="261" t="str">
        <f>"Industrial heating technology "&amp;$AJ$12&amp;" "&amp;RIGHT(H9,2)&amp;" - Heat pump utilizing waste heat - new 1"</f>
        <v>Industrial heating technology Chemical PH - Heat pump utilizing waste heat - new 1</v>
      </c>
      <c r="F9" s="224" t="s">
        <v>1149</v>
      </c>
      <c r="G9" s="173" t="s">
        <v>499</v>
      </c>
      <c r="H9" s="174" t="str">
        <f>$AI$14</f>
        <v>ICDPH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INDCWH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ICDPH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INDCWH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Chemical</v>
      </c>
    </row>
    <row r="13" spans="2:42">
      <c r="B13" s="357" t="s">
        <v>998</v>
      </c>
      <c r="D13" s="212"/>
      <c r="E13" s="212"/>
      <c r="F13" s="224" t="s">
        <v>1149</v>
      </c>
      <c r="G13" s="173" t="s">
        <v>499</v>
      </c>
      <c r="H13" s="174" t="str">
        <f>$AI$14</f>
        <v>ICDPH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ICDPH</v>
      </c>
      <c r="AJ13" s="224" t="str">
        <f>AP14</f>
        <v>Chemical industry Demand Heat High Temp. over 150C</v>
      </c>
      <c r="AO13" s="224" t="s">
        <v>2083</v>
      </c>
      <c r="AP13" s="224" t="s">
        <v>1161</v>
      </c>
    </row>
    <row r="14" spans="2:42">
      <c r="B14" s="357" t="s">
        <v>998</v>
      </c>
      <c r="D14" s="212"/>
      <c r="E14" s="212"/>
      <c r="F14" s="224" t="s">
        <v>1149</v>
      </c>
      <c r="G14" s="173" t="str">
        <f>$AI$20</f>
        <v>INDCWH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ICDPH</v>
      </c>
      <c r="AJ14" s="224" t="str">
        <f>AP13</f>
        <v>Chemical industry Demand Heat Medium Temp. up to 150C</v>
      </c>
      <c r="AO14" s="224" t="s">
        <v>2083</v>
      </c>
      <c r="AP14" s="224" t="s">
        <v>1162</v>
      </c>
    </row>
    <row r="15" spans="2:42">
      <c r="B15" s="357" t="s">
        <v>998</v>
      </c>
      <c r="D15" s="212" t="str">
        <f>"IND"&amp;RIGHT(H15,4)&amp;RIGHT(G15,3)&amp;"N"&amp;RIGHT(E15,1)</f>
        <v>INDCDSHELCN1</v>
      </c>
      <c r="E15" s="261" t="str">
        <f>"Industrial heating technology "&amp;$AJ$12&amp;" "&amp;RIGHT(H15,2)&amp;" - Heat pump utilizing waste heat - new 1"</f>
        <v>Industrial heating technology Chemical SH - Heat pump utilizing waste heat - new 1</v>
      </c>
      <c r="F15" s="224" t="s">
        <v>1149</v>
      </c>
      <c r="G15" s="173" t="s">
        <v>499</v>
      </c>
      <c r="H15" s="174" t="str">
        <f>$AI$15</f>
        <v>ICDSH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ICDSH</v>
      </c>
      <c r="AJ15" s="224" t="str">
        <f>AP15</f>
        <v>Chemical industry Demand Heat Room Heat</v>
      </c>
      <c r="AO15" s="224" t="s">
        <v>2084</v>
      </c>
      <c r="AP15" s="224" t="s">
        <v>1163</v>
      </c>
    </row>
    <row r="16" spans="2:42">
      <c r="B16" s="357" t="s">
        <v>998</v>
      </c>
      <c r="D16" s="212"/>
      <c r="E16" s="261"/>
      <c r="F16" s="224" t="s">
        <v>1149</v>
      </c>
      <c r="G16" s="173" t="str">
        <f>$AI$20</f>
        <v>INDCWH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ICDLA</v>
      </c>
      <c r="AJ16" s="224" t="str">
        <f t="shared" si="0"/>
        <v>Chemical industry Demand Light</v>
      </c>
      <c r="AO16" s="224" t="s">
        <v>1164</v>
      </c>
      <c r="AP16" s="224" t="s">
        <v>1165</v>
      </c>
    </row>
    <row r="17" spans="2:42">
      <c r="B17" s="357" t="s">
        <v>998</v>
      </c>
      <c r="D17" s="212"/>
      <c r="E17" s="212"/>
      <c r="F17" s="224" t="s">
        <v>1149</v>
      </c>
      <c r="G17" s="173" t="s">
        <v>499</v>
      </c>
      <c r="H17" s="174" t="str">
        <f>$AI$15</f>
        <v>ICDSH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ICDEM</v>
      </c>
      <c r="AJ17" s="224" t="str">
        <f t="shared" si="0"/>
        <v>Chemical industry Demand Electric Motors</v>
      </c>
      <c r="AO17" s="224" t="s">
        <v>1166</v>
      </c>
      <c r="AP17" s="224" t="s">
        <v>1167</v>
      </c>
    </row>
    <row r="18" spans="2:42">
      <c r="B18" s="357" t="s">
        <v>998</v>
      </c>
      <c r="D18" s="212"/>
      <c r="E18" s="212"/>
      <c r="F18" s="224" t="s">
        <v>1149</v>
      </c>
      <c r="G18" s="173" t="str">
        <f>$AI$20</f>
        <v>INDCWH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ICDTF</v>
      </c>
      <c r="AJ18" s="224" t="str">
        <f t="shared" si="0"/>
        <v>Chemical industry Demand Haulage Tractors, Trucks, Fishing boats, Forest machines</v>
      </c>
      <c r="AO18" s="224" t="s">
        <v>1168</v>
      </c>
      <c r="AP18" s="224" t="s">
        <v>1169</v>
      </c>
    </row>
    <row r="19" spans="2:42">
      <c r="B19" s="357" t="s">
        <v>998</v>
      </c>
      <c r="D19" s="212"/>
      <c r="E19" s="212"/>
      <c r="F19" s="224" t="s">
        <v>1149</v>
      </c>
      <c r="G19" s="173" t="s">
        <v>499</v>
      </c>
      <c r="H19" s="174" t="str">
        <f>$AI$15</f>
        <v>ICDSH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ICDFL</v>
      </c>
      <c r="AJ19" s="224" t="str">
        <f t="shared" si="0"/>
        <v>Chemical industry Demand Haulage Forklifts</v>
      </c>
      <c r="AO19" s="224" t="s">
        <v>1170</v>
      </c>
      <c r="AP19" s="224" t="s">
        <v>1171</v>
      </c>
    </row>
    <row r="20" spans="2:42">
      <c r="B20" s="357" t="s">
        <v>998</v>
      </c>
      <c r="D20" s="212"/>
      <c r="E20" s="212"/>
      <c r="F20" s="224" t="s">
        <v>1149</v>
      </c>
      <c r="G20" s="173" t="str">
        <f>$AI$20</f>
        <v>INDCWH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INDCWH</v>
      </c>
      <c r="AJ20" s="224" t="str">
        <f>$AJ$12&amp;" Industrial Waste Heat"</f>
        <v>Chemical Industrial Waste Heat</v>
      </c>
    </row>
    <row r="21" spans="2:42">
      <c r="B21" s="357" t="s">
        <v>999</v>
      </c>
      <c r="D21" s="212" t="str">
        <f>"IND"&amp;RIGHT(H21,4)&amp;RIGHT(G21,3)&amp;"N"&amp;RIGHT(E21,1)</f>
        <v>INDCDPHELCN2</v>
      </c>
      <c r="E21" s="261" t="str">
        <f>"Industrial heating technology "&amp;$AJ$12&amp;" "&amp;RIGHT(H21,2)&amp;" - Heat driven heat pump utilizing waste heat - new 2"</f>
        <v>Industrial heating technology Chemical PH - Heat driven heat pump utilizing waste heat - new 2</v>
      </c>
      <c r="F21" s="224" t="s">
        <v>1149</v>
      </c>
      <c r="G21" s="173" t="s">
        <v>499</v>
      </c>
      <c r="H21" s="174" t="str">
        <f>$AI$14</f>
        <v>ICDPH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ICDCO</v>
      </c>
      <c r="AJ21" s="224" t="s">
        <v>2121</v>
      </c>
    </row>
    <row r="22" spans="2:42">
      <c r="B22" s="357" t="s">
        <v>999</v>
      </c>
      <c r="D22" s="212"/>
      <c r="E22" s="261"/>
      <c r="F22" s="224" t="s">
        <v>1149</v>
      </c>
      <c r="G22" s="173" t="str">
        <f>$AI$20</f>
        <v>INDCWH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ICDPH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INDCWH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ICDPH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INDCWH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INDCDSHELCN2</v>
      </c>
      <c r="E27" s="261" t="str">
        <f>"Industrial heating technology "&amp;$AJ$12&amp;" "&amp;RIGHT(H27,2)&amp;" - Heat driven heat pump utilizing waste heat - new 2"</f>
        <v>Industrial heating technology Chemical SH - Heat driven heat pump utilizing waste heat - new 2</v>
      </c>
      <c r="F27" s="224" t="s">
        <v>1149</v>
      </c>
      <c r="G27" s="173" t="s">
        <v>499</v>
      </c>
      <c r="H27" s="174" t="str">
        <f>$AI$15</f>
        <v>ICDSH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INDCWH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ICDSH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INDCWH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ICDSH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INDCWH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INDCDPHELCN3</v>
      </c>
      <c r="E33" s="261" t="str">
        <f>"Industrial heating technology "&amp;$AJ$12&amp;" "&amp;RIGHT(H33,2)&amp;" - High Temp abs. Heat pump utilizing waste heat - new 3"</f>
        <v>Industrial heating technology Chemical PH - High Temp abs. Heat pump utilizing waste heat - new 3</v>
      </c>
      <c r="F33" s="224" t="s">
        <v>1149</v>
      </c>
      <c r="G33" s="173" t="s">
        <v>499</v>
      </c>
      <c r="H33" s="174" t="str">
        <f>$AI$14</f>
        <v>ICDPH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INDCWH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ICDPH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INDCWH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ICDPH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INDCWH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INDCDSHELCN3</v>
      </c>
      <c r="E39" s="261" t="str">
        <f>"Industrial heating technology "&amp;$AJ$12&amp;" "&amp;RIGHT(H39,2)&amp;" - High Temp abs. Heat pump utilizing waste heat - new 3"</f>
        <v>Industrial heating technology Chemical SH - High Temp abs. Heat pump utilizing waste heat - new 3</v>
      </c>
      <c r="F39" s="224" t="s">
        <v>1149</v>
      </c>
      <c r="G39" s="173" t="s">
        <v>499</v>
      </c>
      <c r="H39" s="174" t="str">
        <f>$AI$15</f>
        <v>ICDSH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INDCWH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ICDSH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INDCWH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ICDSH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INDCWH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INDCDPHELCN4</v>
      </c>
      <c r="E45" s="261" t="str">
        <f>"Industrial heating technology "&amp;$AJ$12&amp;" "&amp;RIGHT(H45,2)&amp;" - Booster Heat pump utilizing waste heat - new 4"</f>
        <v>Industrial heating technology Chemical PH - Booster Heat pump utilizing waste heat - new 4</v>
      </c>
      <c r="F45" s="224" t="s">
        <v>1149</v>
      </c>
      <c r="G45" s="173" t="s">
        <v>499</v>
      </c>
      <c r="H45" s="174" t="str">
        <f>$AI$14</f>
        <v>ICDPH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INDCWH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ICDPH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INDCWH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ICDPH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INDCWH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INDCDSHELCN4</v>
      </c>
      <c r="E51" s="261" t="str">
        <f>"Industrial heating technology "&amp;$AJ$12&amp;" "&amp;RIGHT(H51,2)&amp;" - Booster Heat pump utilizing waste heat - new 4"</f>
        <v>Industrial heating technology Chemical SH - Booster Heat pump utilizing waste heat - new 4</v>
      </c>
      <c r="F51" s="224" t="s">
        <v>1149</v>
      </c>
      <c r="G51" s="173" t="s">
        <v>499</v>
      </c>
      <c r="H51" s="174" t="str">
        <f>$AI$15</f>
        <v>ICDSH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INDCWH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ICDSH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INDCWH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ICDSH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INDCWH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INDCDPHELCN5</v>
      </c>
      <c r="E57" s="261" t="str">
        <f>"Industrial heating technology "&amp;$AJ$12&amp;" "&amp;RIGHT(H57,2)&amp;" - MVR utilizing waste heat - new 5"</f>
        <v>Industrial heating technology Chemical PH - MVR utilizing waste heat - new 5</v>
      </c>
      <c r="F57" s="224" t="s">
        <v>1149</v>
      </c>
      <c r="G57" s="173" t="s">
        <v>499</v>
      </c>
      <c r="H57" s="174" t="str">
        <f>$AI$14</f>
        <v>ICDPH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INDCWH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ICDPH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INDCWH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ICDPH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INDCWH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INDCDPHWSTN1</v>
      </c>
      <c r="E63" s="261" t="str">
        <f>"Industrial heating technology "&amp;$AJ$12&amp;" "&amp;RIGHT(H63,2)&amp;" - Hotdisc - new 1"</f>
        <v>Industrial heating technology Chemical PH - Hotdisc - new 1</v>
      </c>
      <c r="F63" s="224" t="s">
        <v>1149</v>
      </c>
      <c r="G63" s="832" t="s">
        <v>1005</v>
      </c>
      <c r="H63" s="174" t="str">
        <f>$AI$13</f>
        <v>ICDPH</v>
      </c>
      <c r="I63" s="173" t="str">
        <f t="shared" ref="I63:I126" si="22">$AI$20</f>
        <v>INDCWH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INDCWH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INDCWH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INDCDPHELCN6</v>
      </c>
      <c r="E66" s="261" t="str">
        <f>"Industrial heating technology "&amp;$AJ$12&amp;" "&amp;RIGHT(H66,2)&amp;" - Dielectric heating - new 6"</f>
        <v>Industrial heating technology Chemical PH - Dielectric heating - new 6</v>
      </c>
      <c r="F66" s="224" t="s">
        <v>1149</v>
      </c>
      <c r="G66" s="173" t="s">
        <v>499</v>
      </c>
      <c r="H66" s="174" t="str">
        <f>$AI$14</f>
        <v>ICDPH</v>
      </c>
      <c r="I66" s="173" t="str">
        <f t="shared" si="22"/>
        <v>INDCWH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INDCWH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INDCWH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INDCDPHELCN7</v>
      </c>
      <c r="E69" s="261" t="str">
        <f>"Industrial heating technology "&amp;$AJ$12&amp;" "&amp;RIGHT(H69,2)&amp;" - Infrared heating - new 7"</f>
        <v>Industrial heating technology Chemical PH - Infrared heating - new 7</v>
      </c>
      <c r="F69" s="224" t="s">
        <v>1149</v>
      </c>
      <c r="G69" s="173" t="s">
        <v>499</v>
      </c>
      <c r="H69" s="174" t="str">
        <f>$AI$14</f>
        <v>ICDPH</v>
      </c>
      <c r="I69" s="173" t="str">
        <f t="shared" si="22"/>
        <v>INDCWH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INDCWH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si="22"/>
        <v>INDCWH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8">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INDCDPHELCN8</v>
      </c>
      <c r="E72" s="261" t="str">
        <f>"Industrial heating technology "&amp;$AJ$12&amp;" "&amp;RIGHT(H72,2)&amp;" - Electric boiler (Steam) - new 8"</f>
        <v>Industrial heating technology Chemical PH - Electric boiler (Steam) - new 8</v>
      </c>
      <c r="F72" s="224" t="s">
        <v>1149</v>
      </c>
      <c r="G72" s="173" t="s">
        <v>499</v>
      </c>
      <c r="H72" s="174" t="str">
        <f>$AI$13</f>
        <v>ICDPH</v>
      </c>
      <c r="I72" s="174" t="str">
        <f t="shared" si="22"/>
        <v>INDCWH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39">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22"/>
        <v>INDCWH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0">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22"/>
        <v>INDCWH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1">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INDCDPHELCN8</v>
      </c>
      <c r="E75" s="261" t="str">
        <f>"Industrial heating technology "&amp;$AJ$12&amp;" "&amp;RIGHT(H75,2)&amp;" - Electric boiler (Steam) - new 8"</f>
        <v>Industrial heating technology Chemical PH - Electric boiler (Steam) - new 8</v>
      </c>
      <c r="F75" s="224" t="s">
        <v>1149</v>
      </c>
      <c r="G75" s="173" t="s">
        <v>499</v>
      </c>
      <c r="H75" s="174" t="str">
        <f>$AI$14</f>
        <v>ICDPH</v>
      </c>
      <c r="I75" s="174" t="str">
        <f t="shared" si="22"/>
        <v>INDCWH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2">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22"/>
        <v>INDCWH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3">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22"/>
        <v>INDCWH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4">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INDCDSHELCN8</v>
      </c>
      <c r="E78" s="261" t="str">
        <f>"Industrial heating technology "&amp;$AJ$12&amp;" "&amp;RIGHT(H78,2)&amp;" - Electric boiler (Steam) - new 8"</f>
        <v>Industrial heating technology Chemical SH - Electric boiler (Steam) - new 8</v>
      </c>
      <c r="F78" s="224" t="s">
        <v>1149</v>
      </c>
      <c r="G78" s="173" t="s">
        <v>499</v>
      </c>
      <c r="H78" s="174" t="str">
        <f>$AI$15</f>
        <v>ICDSH</v>
      </c>
      <c r="I78" s="174" t="str">
        <f t="shared" si="22"/>
        <v>INDCWH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5">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22"/>
        <v>INDCWH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6">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22"/>
        <v>INDCWH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7">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INDCDPHELCN9</v>
      </c>
      <c r="E81" s="707" t="str">
        <f>"Industrial heating technology "&amp;$AJ$12&amp;" "&amp;RIGHT(H81,2)&amp;" - Electric boiler (Hot Water) - new 9"</f>
        <v>Industrial heating technology Chemical PH - Electric boiler (Hot Water) - new 9</v>
      </c>
      <c r="F81" s="224" t="s">
        <v>1149</v>
      </c>
      <c r="G81" s="708" t="s">
        <v>499</v>
      </c>
      <c r="H81" s="708" t="str">
        <f>$AI$14</f>
        <v>ICDPH</v>
      </c>
      <c r="I81" s="708" t="str">
        <f t="shared" si="22"/>
        <v>INDCWH</v>
      </c>
      <c r="J81" s="224">
        <f t="shared" si="32"/>
        <v>2011</v>
      </c>
      <c r="K81" s="299">
        <v>2020</v>
      </c>
      <c r="L81" s="199">
        <f t="shared" ref="L81:L86" ca="1" si="48">VLOOKUP($AD81,INDIRECT("'"&amp;$B81&amp;"'!"&amp;"$P$118:$AD$121"),3,FALSE)</f>
        <v>0.99</v>
      </c>
      <c r="M81" s="199"/>
      <c r="N81" s="81">
        <f ca="1">VLOOKUP($AD81,INDIRECT("'"&amp;$B81&amp;"'!"&amp;"$P$118:$AD$121"),5,FALSE)</f>
        <v>25</v>
      </c>
      <c r="O81" s="723">
        <f t="shared" ref="O81:O86" ca="1" si="49">VLOOKUP($AD81,INDIRECT("'"&amp;$B81&amp;"'!"&amp;"$P$118:$AD$121"),6,FALSE)/1000</f>
        <v>0.52150000000000007</v>
      </c>
      <c r="P81" s="723">
        <f t="shared" ref="P81:P86" ca="1" si="50">VLOOKUP($AD81,INDIRECT("'"&amp;$B81&amp;"'!"&amp;"$P$118:$AD$121"),7,FALSE)/1000</f>
        <v>7.9714999999999994E-3</v>
      </c>
      <c r="Q81" s="81">
        <f t="shared" ref="Q81:Q86" ca="1" si="51">VLOOKUP($AD81,INDIRECT("'"&amp;$B81&amp;"'!"&amp;"$P$118:$AD$121"),8,FALSE)</f>
        <v>1.7900694444444445</v>
      </c>
      <c r="R81" s="81">
        <v>3.1536000000000002E-2</v>
      </c>
      <c r="S81" s="199">
        <v>0.5</v>
      </c>
      <c r="T81" s="199">
        <f ca="1">HLOOKUP($T$2,INDIRECT("'"&amp;$B81&amp;"'!"&amp;"$P$85:$AC$98"),IF(H81=$AI$13,6,IF(H81=$AI$14,9,14)),FALSE)</f>
        <v>0</v>
      </c>
      <c r="U81" s="773"/>
      <c r="V81" s="199">
        <f t="shared" ref="V81" ca="1" si="52">IF(IF(RIGHT(H81,2)="PH",(1-L81)+$W$2,IF(RIGHT(H81,2)="HT",(1-L81)+$W$1,IF(RIGHT(H81,2)="SH",(1-L81)+$W$3,"")))&gt;0,IF(RIGHT(H81,2)="PH",(1-L81)+$W$2,IF(RIGHT(H81,2)="HT",(1-L81)+$W$1,IF(RIGHT(H81,2)="SH",(1-L81)+$W$3,""))),0)</f>
        <v>0.21000000000000002</v>
      </c>
      <c r="W81" s="709"/>
      <c r="X81" s="698">
        <f t="shared" ca="1" si="27"/>
        <v>0</v>
      </c>
      <c r="Y81" s="698">
        <f t="shared" ref="Y81:Y86" ca="1" si="53">VLOOKUP($AD81,INDIRECT("'"&amp;$B81&amp;"'!"&amp;"$P$118:$AD$121"),12,FALSE)</f>
        <v>0</v>
      </c>
      <c r="Z81" s="698">
        <f t="shared" ref="Z81:Z86" ca="1" si="54">VLOOKUP($AD81,INDIRECT("'"&amp;$B81&amp;"'!"&amp;"$P$118:$AD$121"),13,FALSE)</f>
        <v>0</v>
      </c>
      <c r="AA81" s="698">
        <f t="shared" ref="AA81:AA86" ca="1" si="55">VLOOKUP($AD81,INDIRECT("'"&amp;$B81&amp;"'!"&amp;"$P$118:$AD$121"),14,FALSE)</f>
        <v>0</v>
      </c>
      <c r="AB81" s="698">
        <f t="shared" ref="AB81:AB86" ca="1" si="56">VLOOKUP($AD81,INDIRECT("'"&amp;$B81&amp;"'!"&amp;"$P$118:$AD$121"),15,FALSE)</f>
        <v>0</v>
      </c>
      <c r="AC81" s="55"/>
      <c r="AD81" s="81">
        <v>2020</v>
      </c>
      <c r="AE81" s="81"/>
      <c r="AF81" s="700"/>
    </row>
    <row r="82" spans="1:33">
      <c r="B82" s="357" t="s">
        <v>1007</v>
      </c>
      <c r="C82" s="55"/>
      <c r="D82" s="261"/>
      <c r="E82" s="261"/>
      <c r="F82" s="224" t="s">
        <v>1149</v>
      </c>
      <c r="G82" s="55"/>
      <c r="H82" s="174"/>
      <c r="I82" s="174" t="str">
        <f t="shared" si="22"/>
        <v>INDCWH</v>
      </c>
      <c r="J82" s="224">
        <f t="shared" si="32"/>
        <v>2030</v>
      </c>
      <c r="K82" s="81"/>
      <c r="L82" s="199">
        <f t="shared" ca="1" si="48"/>
        <v>0.99</v>
      </c>
      <c r="M82" s="199"/>
      <c r="N82" s="81"/>
      <c r="O82" s="723">
        <f t="shared" ca="1" si="49"/>
        <v>0.44700000000000001</v>
      </c>
      <c r="P82" s="723">
        <f t="shared" ca="1" si="50"/>
        <v>7.5989999999999999E-3</v>
      </c>
      <c r="Q82" s="81">
        <f t="shared" ca="1" si="51"/>
        <v>1.8107638888888888</v>
      </c>
      <c r="R82" s="300"/>
      <c r="S82" s="300"/>
      <c r="T82" s="300"/>
      <c r="U82" s="300"/>
      <c r="V82" s="199">
        <f t="shared" ref="V82" ca="1" si="57">IF(IF(RIGHT(H81,2)="PH",(1-L82)+$W$2,IF(RIGHT(H81,2)="HT",(1-L82)+$W$1,IF(RIGHT(H81,2)="SH",(1-L82)+$W$3,"")))&gt;0,IF(RIGHT(H81,2)="PH",(1-L82)+$W$2,IF(RIGHT(H81,2)="HT",(1-L82)+$W$1,IF(RIGHT(H81,2)="SH",(1-L82)+$W$3,""))),0)</f>
        <v>0.21000000000000002</v>
      </c>
      <c r="W82" s="298"/>
      <c r="X82" s="698">
        <f t="shared" ca="1" si="27"/>
        <v>0</v>
      </c>
      <c r="Y82" s="698">
        <f t="shared" ca="1" si="53"/>
        <v>0</v>
      </c>
      <c r="Z82" s="698">
        <f t="shared" ca="1" si="54"/>
        <v>0</v>
      </c>
      <c r="AA82" s="698">
        <f t="shared" ca="1" si="55"/>
        <v>0</v>
      </c>
      <c r="AB82" s="698">
        <f t="shared" ca="1" si="56"/>
        <v>0</v>
      </c>
      <c r="AC82" s="55"/>
      <c r="AD82" s="81">
        <v>2030</v>
      </c>
      <c r="AE82" s="81"/>
      <c r="AF82" s="700"/>
    </row>
    <row r="83" spans="1:33">
      <c r="B83" s="357" t="s">
        <v>1007</v>
      </c>
      <c r="C83" s="55"/>
      <c r="D83" s="261"/>
      <c r="E83" s="261"/>
      <c r="F83" s="224" t="s">
        <v>1149</v>
      </c>
      <c r="G83" s="55"/>
      <c r="H83" s="174"/>
      <c r="I83" s="174" t="str">
        <f t="shared" si="22"/>
        <v>INDCWH</v>
      </c>
      <c r="J83" s="224">
        <f t="shared" si="32"/>
        <v>2050</v>
      </c>
      <c r="K83" s="81"/>
      <c r="L83" s="199">
        <f t="shared" ca="1" si="48"/>
        <v>0.99</v>
      </c>
      <c r="M83" s="199"/>
      <c r="N83" s="81"/>
      <c r="O83" s="723">
        <f t="shared" ca="1" si="49"/>
        <v>0.44700000000000001</v>
      </c>
      <c r="P83" s="723">
        <f t="shared" ca="1" si="50"/>
        <v>6.8539999999999998E-3</v>
      </c>
      <c r="Q83" s="81">
        <f t="shared" ca="1" si="51"/>
        <v>1.6141666666666665</v>
      </c>
      <c r="R83" s="300"/>
      <c r="S83" s="300"/>
      <c r="T83" s="300"/>
      <c r="U83" s="300"/>
      <c r="V83" s="199">
        <f t="shared" ref="V83" ca="1" si="58">IF(IF(RIGHT(H81,2)="PH",(1-L83)+$W$2,IF(RIGHT(H81,2)="HT",(1-L83)+$W$1,IF(RIGHT(H81,2)="SH",(1-L83)+$W$3,"")))&gt;0,IF(RIGHT(H81,2)="PH",(1-L83)+$W$2,IF(RIGHT(H81,2)="HT",(1-L83)+$W$1,IF(RIGHT(H81,2)="SH",(1-L83)+$W$3,""))),0)</f>
        <v>0.21000000000000002</v>
      </c>
      <c r="W83" s="298"/>
      <c r="X83" s="698">
        <f t="shared" ca="1" si="27"/>
        <v>0</v>
      </c>
      <c r="Y83" s="698">
        <f t="shared" ca="1" si="53"/>
        <v>0</v>
      </c>
      <c r="Z83" s="698">
        <f t="shared" ca="1" si="54"/>
        <v>0</v>
      </c>
      <c r="AA83" s="698">
        <f t="shared" ca="1" si="55"/>
        <v>0</v>
      </c>
      <c r="AB83" s="698">
        <f t="shared" ca="1" si="56"/>
        <v>0</v>
      </c>
      <c r="AC83" s="203"/>
      <c r="AD83" s="81">
        <v>2050</v>
      </c>
      <c r="AE83" s="81"/>
      <c r="AF83" s="705"/>
    </row>
    <row r="84" spans="1:33">
      <c r="B84" s="357" t="s">
        <v>1007</v>
      </c>
      <c r="C84" s="55"/>
      <c r="D84" s="261" t="str">
        <f>"IND"&amp;RIGHT(H84,4)&amp;RIGHT(G84,3)&amp;"N"&amp;RIGHT(E84,1)</f>
        <v>INDCDSHELCN9</v>
      </c>
      <c r="E84" s="261" t="str">
        <f>"Industrial heating technology "&amp;$AJ$12&amp;" "&amp;RIGHT(H84,2)&amp;" - Electric boiler (Hot Water) - new 9"</f>
        <v>Industrial heating technology Chemical SH - Electric boiler (Hot Water) - new 9</v>
      </c>
      <c r="F84" s="224" t="s">
        <v>1149</v>
      </c>
      <c r="G84" s="174" t="s">
        <v>499</v>
      </c>
      <c r="H84" s="174" t="str">
        <f>$AI$15</f>
        <v>ICDSH</v>
      </c>
      <c r="I84" s="174" t="str">
        <f t="shared" si="22"/>
        <v>INDCWH</v>
      </c>
      <c r="J84" s="224">
        <f t="shared" si="32"/>
        <v>2011</v>
      </c>
      <c r="K84" s="299">
        <v>2020</v>
      </c>
      <c r="L84" s="199">
        <f t="shared" ca="1" si="48"/>
        <v>0.99</v>
      </c>
      <c r="M84" s="199"/>
      <c r="N84" s="81">
        <f ca="1">VLOOKUP($AD84,INDIRECT("'"&amp;$B84&amp;"'!"&amp;"$P$118:$AD$121"),5,FALSE)</f>
        <v>25</v>
      </c>
      <c r="O84" s="723">
        <f t="shared" ca="1" si="49"/>
        <v>0.52150000000000007</v>
      </c>
      <c r="P84" s="723">
        <f t="shared" ca="1" si="50"/>
        <v>7.9714999999999994E-3</v>
      </c>
      <c r="Q84" s="81">
        <f t="shared" ca="1" si="51"/>
        <v>1.7900694444444445</v>
      </c>
      <c r="R84" s="81">
        <v>3.1536000000000002E-2</v>
      </c>
      <c r="S84" s="199">
        <v>0.5</v>
      </c>
      <c r="T84" s="199">
        <f ca="1">HLOOKUP($T$2,INDIRECT("'"&amp;$B84&amp;"'!"&amp;"$P$85:$AC$98"),IF(H84=$AI$13,6,IF(H84=$AI$14,9,14)),FALSE)</f>
        <v>1</v>
      </c>
      <c r="U84" s="772"/>
      <c r="V84" s="199">
        <f t="shared" ref="V84" ca="1" si="59">IF(IF(RIGHT(H84,2)="PH",(1-L84)+$W$2,IF(RIGHT(H84,2)="HT",(1-L84)+$W$1,IF(RIGHT(H84,2)="SH",(1-L84)+$W$3,"")))&gt;0,IF(RIGHT(H84,2)="PH",(1-L84)+$W$2,IF(RIGHT(H84,2)="HT",(1-L84)+$W$1,IF(RIGHT(H84,2)="SH",(1-L84)+$W$3,""))),0)</f>
        <v>1.0000000000000009E-2</v>
      </c>
      <c r="W84" s="298"/>
      <c r="X84" s="698">
        <f t="shared" ca="1" si="27"/>
        <v>0</v>
      </c>
      <c r="Y84" s="698">
        <f t="shared" ca="1" si="53"/>
        <v>0</v>
      </c>
      <c r="Z84" s="698">
        <f t="shared" ca="1" si="54"/>
        <v>0</v>
      </c>
      <c r="AA84" s="698">
        <f t="shared" ca="1" si="55"/>
        <v>0</v>
      </c>
      <c r="AB84" s="698">
        <f t="shared" ca="1" si="56"/>
        <v>0</v>
      </c>
      <c r="AD84" s="81">
        <v>2020</v>
      </c>
      <c r="AE84" s="299"/>
      <c r="AF84" s="220"/>
    </row>
    <row r="85" spans="1:33">
      <c r="B85" s="357" t="s">
        <v>1007</v>
      </c>
      <c r="C85" s="55"/>
      <c r="D85" s="261"/>
      <c r="E85" s="261"/>
      <c r="F85" s="224" t="s">
        <v>1149</v>
      </c>
      <c r="G85" s="55"/>
      <c r="H85" s="174"/>
      <c r="I85" s="174" t="str">
        <f t="shared" si="22"/>
        <v>INDCWH</v>
      </c>
      <c r="J85" s="224">
        <f t="shared" si="32"/>
        <v>2030</v>
      </c>
      <c r="K85" s="81"/>
      <c r="L85" s="199">
        <f t="shared" ca="1" si="48"/>
        <v>0.99</v>
      </c>
      <c r="M85" s="199"/>
      <c r="N85" s="81"/>
      <c r="O85" s="723">
        <f t="shared" ca="1" si="49"/>
        <v>0.44700000000000001</v>
      </c>
      <c r="P85" s="723">
        <f t="shared" ca="1" si="50"/>
        <v>7.5989999999999999E-3</v>
      </c>
      <c r="Q85" s="81">
        <f t="shared" ca="1" si="51"/>
        <v>1.8107638888888888</v>
      </c>
      <c r="R85" s="300"/>
      <c r="S85" s="300"/>
      <c r="T85" s="300"/>
      <c r="U85" s="300"/>
      <c r="V85" s="199">
        <f t="shared" ref="V85" ca="1" si="60">IF(IF(RIGHT(H84,2)="PH",(1-L85)+$W$2,IF(RIGHT(H84,2)="HT",(1-L85)+$W$1,IF(RIGHT(H84,2)="SH",(1-L85)+$W$3,"")))&gt;0,IF(RIGHT(H84,2)="PH",(1-L85)+$W$2,IF(RIGHT(H84,2)="HT",(1-L85)+$W$1,IF(RIGHT(H84,2)="SH",(1-L85)+$W$3,""))),0)</f>
        <v>1.0000000000000009E-2</v>
      </c>
      <c r="W85" s="298"/>
      <c r="X85" s="698">
        <f t="shared" ca="1" si="27"/>
        <v>0</v>
      </c>
      <c r="Y85" s="698">
        <f t="shared" ca="1" si="53"/>
        <v>0</v>
      </c>
      <c r="Z85" s="698">
        <f t="shared" ca="1" si="54"/>
        <v>0</v>
      </c>
      <c r="AA85" s="698">
        <f t="shared" ca="1" si="55"/>
        <v>0</v>
      </c>
      <c r="AB85" s="698">
        <f t="shared" ca="1" si="56"/>
        <v>0</v>
      </c>
      <c r="AD85" s="81">
        <v>2030</v>
      </c>
      <c r="AE85" s="81"/>
      <c r="AF85" s="220"/>
    </row>
    <row r="86" spans="1:33">
      <c r="B86" s="356" t="s">
        <v>1007</v>
      </c>
      <c r="C86" s="203"/>
      <c r="D86" s="701"/>
      <c r="E86" s="701"/>
      <c r="F86" s="224" t="s">
        <v>1149</v>
      </c>
      <c r="G86" s="203"/>
      <c r="H86" s="702"/>
      <c r="I86" s="702" t="str">
        <f t="shared" si="22"/>
        <v>INDCWH</v>
      </c>
      <c r="J86" s="224">
        <f t="shared" si="32"/>
        <v>2050</v>
      </c>
      <c r="K86" s="81"/>
      <c r="L86" s="199">
        <f t="shared" ca="1" si="48"/>
        <v>0.99</v>
      </c>
      <c r="M86" s="199"/>
      <c r="N86" s="81"/>
      <c r="O86" s="723">
        <f t="shared" ca="1" si="49"/>
        <v>0.44700000000000001</v>
      </c>
      <c r="P86" s="723">
        <f t="shared" ca="1" si="50"/>
        <v>6.8539999999999998E-3</v>
      </c>
      <c r="Q86" s="81">
        <f t="shared" ca="1" si="51"/>
        <v>1.6141666666666665</v>
      </c>
      <c r="R86" s="703"/>
      <c r="S86" s="703"/>
      <c r="T86" s="703"/>
      <c r="U86" s="703"/>
      <c r="V86" s="199">
        <f t="shared" ref="V86" ca="1" si="61">IF(IF(RIGHT(H84,2)="PH",(1-L86)+$W$2,IF(RIGHT(H84,2)="HT",(1-L86)+$W$1,IF(RIGHT(H84,2)="SH",(1-L86)+$W$3,"")))&gt;0,IF(RIGHT(H84,2)="PH",(1-L86)+$W$2,IF(RIGHT(H84,2)="HT",(1-L86)+$W$1,IF(RIGHT(H84,2)="SH",(1-L86)+$W$3,""))),0)</f>
        <v>1.0000000000000009E-2</v>
      </c>
      <c r="W86" s="704"/>
      <c r="X86" s="698">
        <f t="shared" ca="1" si="27"/>
        <v>0</v>
      </c>
      <c r="Y86" s="698">
        <f t="shared" ca="1" si="53"/>
        <v>0</v>
      </c>
      <c r="Z86" s="698">
        <f t="shared" ca="1" si="54"/>
        <v>0</v>
      </c>
      <c r="AA86" s="698">
        <f t="shared" ca="1" si="55"/>
        <v>0</v>
      </c>
      <c r="AB86" s="698">
        <f t="shared" ca="1" si="56"/>
        <v>0</v>
      </c>
      <c r="AD86" s="81">
        <v>2050</v>
      </c>
      <c r="AE86" s="81"/>
      <c r="AF86" s="220"/>
    </row>
    <row r="87" spans="1:33">
      <c r="B87" s="357" t="s">
        <v>1008</v>
      </c>
      <c r="D87" s="212" t="str">
        <f>"IND"&amp;RIGHT(H87,4)&amp;RIGHT(G87,3)&amp;"N"&amp;RIGHT(E87,1)</f>
        <v>INDCDPHWCHN1</v>
      </c>
      <c r="E87" s="261" t="str">
        <f>"Industrial heating technology "&amp;$AJ$12&amp;" "&amp;RIGHT(H87,2)&amp;" - Wood chip boiler (Steam) - new 1"</f>
        <v>Industrial heating technology Chemical PH - Wood chip boiler (Steam) - new 1</v>
      </c>
      <c r="F87" s="224" t="s">
        <v>1149</v>
      </c>
      <c r="G87" s="173" t="s">
        <v>498</v>
      </c>
      <c r="H87" s="174" t="str">
        <f>$AI$13</f>
        <v>ICDPH</v>
      </c>
      <c r="I87" s="174" t="str">
        <f t="shared" si="22"/>
        <v>INDCWH</v>
      </c>
      <c r="J87" s="224">
        <f t="shared" si="32"/>
        <v>2011</v>
      </c>
      <c r="K87" s="299">
        <v>2025</v>
      </c>
      <c r="L87" s="199">
        <f t="shared" ref="L87:L95" ca="1" si="62">VLOOKUP($AD87,INDIRECT("'"&amp;$B87&amp;"'!"&amp;"$P$39:$AD$42"),3,FALSE)</f>
        <v>0.89</v>
      </c>
      <c r="M87" s="699"/>
      <c r="N87" s="299">
        <f ca="1">VLOOKUP($AD87,INDIRECT("'"&amp;$B87&amp;"'!"&amp;"$P$39:$AD$42"),5,FALSE)</f>
        <v>25</v>
      </c>
      <c r="O87" s="725">
        <f t="shared" ref="O87:O95" ca="1" si="63">VLOOKUP($AD87,INDIRECT("'"&amp;$B87&amp;"'!"&amp;"$P$39:$AD$42"),6,FALSE)/1000</f>
        <v>4.6054545454545455</v>
      </c>
      <c r="P87" s="725">
        <f t="shared" ref="P87:P95" ca="1" si="64">VLOOKUP($AD87,INDIRECT("'"&amp;$B87&amp;"'!"&amp;"$P$39:$AD$42"),7,FALSE)/1000</f>
        <v>0.25106499999999998</v>
      </c>
      <c r="Q87" s="299">
        <f t="shared" ref="Q87:Q95" ca="1" si="65">VLOOKUP($AD87,INDIRECT("'"&amp;$B87&amp;"'!"&amp;"$P$39:$AD$42"),8,FALSE)</f>
        <v>5.7509861111111107</v>
      </c>
      <c r="R87" s="299">
        <v>3.1536000000000002E-2</v>
      </c>
      <c r="S87" s="699">
        <v>0.5</v>
      </c>
      <c r="T87" s="699">
        <f ca="1">HLOOKUP($T$2,INDIRECT("'"&amp;$B87&amp;"'!"&amp;"$P$6:$AC$19"),IF(H87=$AI$13,6,IF(H87=$AI$14,9,14)),FALSE)</f>
        <v>1</v>
      </c>
      <c r="U87" s="772"/>
      <c r="V87" s="199">
        <f t="shared" ref="V87" ca="1" si="66">IF(IF(RIGHT(H87,2)="PH",(1-L87)+$W$2,IF(RIGHT(H87,2)="HT",(1-L87)+$W$1,IF(RIGHT(H87,2)="SH",(1-L87)+$W$3,"")))&gt;0,IF(RIGHT(H87,2)="PH",(1-L87)+$W$2,IF(RIGHT(H87,2)="HT",(1-L87)+$W$1,IF(RIGHT(H87,2)="SH",(1-L87)+$W$3,""))),0)</f>
        <v>0.31</v>
      </c>
      <c r="W87" s="298"/>
      <c r="X87" s="698">
        <f t="shared" ca="1" si="27"/>
        <v>11</v>
      </c>
      <c r="Y87" s="299">
        <f t="shared" ref="Y87:Y95" ca="1" si="67">VLOOKUP($AD87,INDIRECT("'"&amp;$B87&amp;"'!"&amp;"$P$39:$AD$42"),12,FALSE)</f>
        <v>63</v>
      </c>
      <c r="Z87" s="299">
        <f t="shared" ref="Z87:Z95" ca="1" si="68">VLOOKUP($AD87,INDIRECT("'"&amp;$B87&amp;"'!"&amp;"$P$39:$AD$42"),13,FALSE)</f>
        <v>11</v>
      </c>
      <c r="AA87" s="299">
        <f t="shared" ref="AA87:AA95" ca="1" si="69">VLOOKUP($AD87,INDIRECT("'"&amp;$B87&amp;"'!"&amp;"$P$39:$AD$42"),14,FALSE)</f>
        <v>3</v>
      </c>
      <c r="AB87" s="299">
        <f t="shared" ref="AB87:AB95" ca="1" si="70">VLOOKUP($AD87,INDIRECT("'"&amp;$B87&amp;"'!"&amp;"$P$39:$AD$42"),15,FALSE)</f>
        <v>10</v>
      </c>
      <c r="AD87" s="299">
        <v>2020</v>
      </c>
      <c r="AE87" s="81"/>
      <c r="AF87" s="220"/>
    </row>
    <row r="88" spans="1:33">
      <c r="B88" s="357" t="s">
        <v>1008</v>
      </c>
      <c r="D88" s="212"/>
      <c r="E88" s="212"/>
      <c r="F88" s="224" t="s">
        <v>1149</v>
      </c>
      <c r="H88" s="174"/>
      <c r="I88" s="174" t="str">
        <f t="shared" si="22"/>
        <v>INDCWH</v>
      </c>
      <c r="J88" s="224">
        <f t="shared" si="32"/>
        <v>2030</v>
      </c>
      <c r="K88" s="81"/>
      <c r="L88" s="199">
        <f t="shared" ca="1" si="62"/>
        <v>0.89</v>
      </c>
      <c r="M88" s="199"/>
      <c r="N88" s="81"/>
      <c r="O88" s="723">
        <f t="shared" ca="1" si="63"/>
        <v>4.4022727272727264</v>
      </c>
      <c r="P88" s="723">
        <f t="shared" ca="1" si="64"/>
        <v>0.267455</v>
      </c>
      <c r="Q88" s="81">
        <f t="shared" ca="1" si="65"/>
        <v>5.8461805555555557</v>
      </c>
      <c r="R88" s="300"/>
      <c r="S88" s="300"/>
      <c r="T88" s="300"/>
      <c r="U88" s="300"/>
      <c r="V88" s="199">
        <f t="shared" ref="V88" ca="1" si="71">IF(IF(RIGHT(H87,2)="PH",(1-L88)+$W$2,IF(RIGHT(H87,2)="HT",(1-L88)+$W$1,IF(RIGHT(H87,2)="SH",(1-L88)+$W$3,"")))&gt;0,IF(RIGHT(H87,2)="PH",(1-L88)+$W$2,IF(RIGHT(H87,2)="HT",(1-L88)+$W$1,IF(RIGHT(H87,2)="SH",(1-L88)+$W$3,""))),0)</f>
        <v>0.31</v>
      </c>
      <c r="W88" s="298"/>
      <c r="X88" s="698">
        <f t="shared" ca="1" si="27"/>
        <v>11</v>
      </c>
      <c r="Y88" s="81">
        <f t="shared" ca="1" si="67"/>
        <v>49</v>
      </c>
      <c r="Z88" s="81">
        <f t="shared" ca="1" si="68"/>
        <v>8</v>
      </c>
      <c r="AA88" s="81">
        <f t="shared" ca="1" si="69"/>
        <v>3</v>
      </c>
      <c r="AB88" s="81">
        <f t="shared" ca="1" si="70"/>
        <v>10</v>
      </c>
      <c r="AD88" s="81">
        <v>2030</v>
      </c>
      <c r="AE88" s="81"/>
      <c r="AF88" s="220"/>
    </row>
    <row r="89" spans="1:33">
      <c r="B89" s="357" t="s">
        <v>1008</v>
      </c>
      <c r="D89" s="212"/>
      <c r="E89" s="212"/>
      <c r="F89" s="224" t="s">
        <v>1149</v>
      </c>
      <c r="H89" s="174"/>
      <c r="I89" s="174" t="str">
        <f t="shared" si="22"/>
        <v>INDCWH</v>
      </c>
      <c r="J89" s="224">
        <f t="shared" si="32"/>
        <v>2050</v>
      </c>
      <c r="K89" s="81"/>
      <c r="L89" s="199">
        <f t="shared" ca="1" si="62"/>
        <v>0.9</v>
      </c>
      <c r="M89" s="199"/>
      <c r="N89" s="81"/>
      <c r="O89" s="723">
        <f t="shared" ca="1" si="63"/>
        <v>3.9959090909090902</v>
      </c>
      <c r="P89" s="723">
        <f t="shared" ca="1" si="64"/>
        <v>0.25106499999999998</v>
      </c>
      <c r="Q89" s="81">
        <f t="shared" ca="1" si="65"/>
        <v>5.8937777777777782</v>
      </c>
      <c r="R89" s="300"/>
      <c r="S89" s="300"/>
      <c r="T89" s="300"/>
      <c r="U89" s="300"/>
      <c r="V89" s="199">
        <f t="shared" ref="V89" ca="1" si="72">IF(IF(RIGHT(H87,2)="PH",(1-L89)+$W$2,IF(RIGHT(H87,2)="HT",(1-L89)+$W$1,IF(RIGHT(H87,2)="SH",(1-L89)+$W$3,"")))&gt;0,IF(RIGHT(H87,2)="PH",(1-L89)+$W$2,IF(RIGHT(H87,2)="HT",(1-L89)+$W$1,IF(RIGHT(H87,2)="SH",(1-L89)+$W$3,""))),0)</f>
        <v>0.3</v>
      </c>
      <c r="W89" s="298"/>
      <c r="X89" s="698">
        <f t="shared" ca="1" si="27"/>
        <v>11</v>
      </c>
      <c r="Y89" s="81">
        <f t="shared" ca="1" si="67"/>
        <v>41</v>
      </c>
      <c r="Z89" s="81">
        <f t="shared" ca="1" si="68"/>
        <v>4</v>
      </c>
      <c r="AA89" s="81">
        <f t="shared" ca="1" si="69"/>
        <v>1</v>
      </c>
      <c r="AB89" s="81">
        <f t="shared" ca="1" si="70"/>
        <v>10</v>
      </c>
      <c r="AD89" s="81">
        <v>2050</v>
      </c>
      <c r="AE89" s="81"/>
      <c r="AF89" s="220"/>
    </row>
    <row r="90" spans="1:33" s="226" customFormat="1">
      <c r="A90" s="224"/>
      <c r="B90" s="357" t="s">
        <v>1008</v>
      </c>
      <c r="C90" s="224"/>
      <c r="D90" s="212" t="str">
        <f>"IND"&amp;RIGHT(H90,4)&amp;RIGHT(G90,3)&amp;"N"&amp;RIGHT(E90,1)</f>
        <v>INDCDPHWCHN1</v>
      </c>
      <c r="E90" s="261" t="str">
        <f>"Industrial heating technology "&amp;$AJ$12&amp;" "&amp;RIGHT(H90,2)&amp;" - Wood chip boiler (Steam) - new 1"</f>
        <v>Industrial heating technology Chemical PH - Wood chip boiler (Steam) - new 1</v>
      </c>
      <c r="F90" s="224" t="s">
        <v>1149</v>
      </c>
      <c r="G90" s="173" t="s">
        <v>498</v>
      </c>
      <c r="H90" s="174" t="str">
        <f>$AI$14</f>
        <v>ICDPH</v>
      </c>
      <c r="I90" s="174" t="str">
        <f t="shared" si="22"/>
        <v>INDCWH</v>
      </c>
      <c r="J90" s="224">
        <f t="shared" si="32"/>
        <v>2011</v>
      </c>
      <c r="K90" s="299">
        <v>2025</v>
      </c>
      <c r="L90" s="199">
        <f t="shared" ca="1" si="62"/>
        <v>0.89</v>
      </c>
      <c r="M90" s="199"/>
      <c r="N90" s="81">
        <f ca="1">VLOOKUP($AD90,INDIRECT("'"&amp;$B90&amp;"'!"&amp;"$P$39:$AD$42"),5,FALSE)</f>
        <v>25</v>
      </c>
      <c r="O90" s="723">
        <f t="shared" ca="1" si="63"/>
        <v>4.6054545454545455</v>
      </c>
      <c r="P90" s="723">
        <f t="shared" ca="1" si="64"/>
        <v>0.25106499999999998</v>
      </c>
      <c r="Q90" s="81">
        <f t="shared" ca="1" si="65"/>
        <v>5.7509861111111107</v>
      </c>
      <c r="R90" s="81">
        <v>3.1536000000000002E-2</v>
      </c>
      <c r="S90" s="199">
        <v>0.5</v>
      </c>
      <c r="T90" s="199">
        <f ca="1">HLOOKUP($T$2,INDIRECT("'"&amp;$B90&amp;"'!"&amp;"$P$6:$AC$19"),IF(H90=$AI$13,6,IF(H90=$AI$14,9,14)),FALSE)</f>
        <v>1</v>
      </c>
      <c r="U90" s="772"/>
      <c r="V90" s="199">
        <f t="shared" ref="V90" ca="1" si="73">IF(IF(RIGHT(H90,2)="PH",(1-L90)+$W$2,IF(RIGHT(H90,2)="HT",(1-L90)+$W$1,IF(RIGHT(H90,2)="SH",(1-L90)+$W$3,"")))&gt;0,IF(RIGHT(H90,2)="PH",(1-L90)+$W$2,IF(RIGHT(H90,2)="HT",(1-L90)+$W$1,IF(RIGHT(H90,2)="SH",(1-L90)+$W$3,""))),0)</f>
        <v>0.31</v>
      </c>
      <c r="W90" s="298"/>
      <c r="X90" s="698">
        <f t="shared" ca="1" si="27"/>
        <v>11</v>
      </c>
      <c r="Y90" s="81">
        <f t="shared" ca="1" si="67"/>
        <v>63</v>
      </c>
      <c r="Z90" s="81">
        <f t="shared" ca="1" si="68"/>
        <v>11</v>
      </c>
      <c r="AA90" s="81">
        <f t="shared" ca="1" si="69"/>
        <v>3</v>
      </c>
      <c r="AB90" s="81">
        <f t="shared" ca="1" si="70"/>
        <v>10</v>
      </c>
      <c r="AC90" s="224"/>
      <c r="AD90" s="81">
        <v>2020</v>
      </c>
      <c r="AE90" s="81"/>
      <c r="AF90" s="220"/>
      <c r="AG90" s="224"/>
    </row>
    <row r="91" spans="1:33" s="226" customFormat="1">
      <c r="A91" s="224"/>
      <c r="B91" s="357" t="s">
        <v>1008</v>
      </c>
      <c r="C91" s="224"/>
      <c r="D91" s="212"/>
      <c r="E91" s="212"/>
      <c r="F91" s="224" t="s">
        <v>1149</v>
      </c>
      <c r="G91" s="224"/>
      <c r="H91" s="174"/>
      <c r="I91" s="174" t="str">
        <f t="shared" si="22"/>
        <v>INDCWH</v>
      </c>
      <c r="J91" s="224">
        <f t="shared" si="32"/>
        <v>2030</v>
      </c>
      <c r="K91" s="81"/>
      <c r="L91" s="199">
        <f t="shared" ca="1" si="62"/>
        <v>0.89</v>
      </c>
      <c r="M91" s="199"/>
      <c r="N91" s="81"/>
      <c r="O91" s="723">
        <f t="shared" ca="1" si="63"/>
        <v>4.4022727272727264</v>
      </c>
      <c r="P91" s="723">
        <f t="shared" ca="1" si="64"/>
        <v>0.267455</v>
      </c>
      <c r="Q91" s="81">
        <f t="shared" ca="1" si="65"/>
        <v>5.8461805555555557</v>
      </c>
      <c r="R91" s="300"/>
      <c r="S91" s="300"/>
      <c r="T91" s="300"/>
      <c r="U91" s="300"/>
      <c r="V91" s="199">
        <f t="shared" ref="V91" ca="1" si="74">IF(IF(RIGHT(H90,2)="PH",(1-L91)+$W$2,IF(RIGHT(H90,2)="HT",(1-L91)+$W$1,IF(RIGHT(H90,2)="SH",(1-L91)+$W$3,"")))&gt;0,IF(RIGHT(H90,2)="PH",(1-L91)+$W$2,IF(RIGHT(H90,2)="HT",(1-L91)+$W$1,IF(RIGHT(H90,2)="SH",(1-L91)+$W$3,""))),0)</f>
        <v>0.31</v>
      </c>
      <c r="W91" s="298"/>
      <c r="X91" s="698">
        <f t="shared" ca="1" si="27"/>
        <v>11</v>
      </c>
      <c r="Y91" s="81">
        <f t="shared" ca="1" si="67"/>
        <v>49</v>
      </c>
      <c r="Z91" s="81">
        <f t="shared" ca="1" si="68"/>
        <v>8</v>
      </c>
      <c r="AA91" s="81">
        <f t="shared" ca="1" si="69"/>
        <v>3</v>
      </c>
      <c r="AB91" s="81">
        <f t="shared" ca="1" si="70"/>
        <v>10</v>
      </c>
      <c r="AC91" s="224"/>
      <c r="AD91" s="81">
        <v>2030</v>
      </c>
      <c r="AE91" s="81"/>
      <c r="AF91" s="220"/>
    </row>
    <row r="92" spans="1:33" s="226" customFormat="1">
      <c r="A92" s="224"/>
      <c r="B92" s="357" t="s">
        <v>1008</v>
      </c>
      <c r="C92" s="224"/>
      <c r="D92" s="212"/>
      <c r="E92" s="212"/>
      <c r="F92" s="224" t="s">
        <v>1149</v>
      </c>
      <c r="G92" s="224"/>
      <c r="H92" s="174"/>
      <c r="I92" s="174" t="str">
        <f t="shared" si="22"/>
        <v>INDCWH</v>
      </c>
      <c r="J92" s="224">
        <f t="shared" si="32"/>
        <v>2050</v>
      </c>
      <c r="K92" s="81"/>
      <c r="L92" s="199">
        <f t="shared" ca="1" si="62"/>
        <v>0.9</v>
      </c>
      <c r="M92" s="199"/>
      <c r="N92" s="81"/>
      <c r="O92" s="723">
        <f t="shared" ca="1" si="63"/>
        <v>3.9959090909090902</v>
      </c>
      <c r="P92" s="723">
        <f t="shared" ca="1" si="64"/>
        <v>0.25106499999999998</v>
      </c>
      <c r="Q92" s="81">
        <f t="shared" ca="1" si="65"/>
        <v>5.8937777777777782</v>
      </c>
      <c r="R92" s="300"/>
      <c r="S92" s="300"/>
      <c r="T92" s="300"/>
      <c r="U92" s="300"/>
      <c r="V92" s="199">
        <f t="shared" ref="V92" ca="1" si="75">IF(IF(RIGHT(H90,2)="PH",(1-L92)+$W$2,IF(RIGHT(H90,2)="HT",(1-L92)+$W$1,IF(RIGHT(H90,2)="SH",(1-L92)+$W$3,"")))&gt;0,IF(RIGHT(H90,2)="PH",(1-L92)+$W$2,IF(RIGHT(H90,2)="HT",(1-L92)+$W$1,IF(RIGHT(H90,2)="SH",(1-L92)+$W$3,""))),0)</f>
        <v>0.3</v>
      </c>
      <c r="W92" s="298"/>
      <c r="X92" s="698">
        <f t="shared" ca="1" si="27"/>
        <v>11</v>
      </c>
      <c r="Y92" s="81">
        <f t="shared" ca="1" si="67"/>
        <v>41</v>
      </c>
      <c r="Z92" s="81">
        <f t="shared" ca="1" si="68"/>
        <v>4</v>
      </c>
      <c r="AA92" s="81">
        <f t="shared" ca="1" si="69"/>
        <v>1</v>
      </c>
      <c r="AB92" s="81">
        <f t="shared" ca="1" si="70"/>
        <v>10</v>
      </c>
      <c r="AC92" s="224"/>
      <c r="AD92" s="81">
        <v>2050</v>
      </c>
      <c r="AE92" s="706"/>
      <c r="AF92" s="220"/>
    </row>
    <row r="93" spans="1:33" s="226" customFormat="1">
      <c r="A93" s="224"/>
      <c r="B93" s="357" t="s">
        <v>1008</v>
      </c>
      <c r="C93" s="224"/>
      <c r="D93" s="212" t="str">
        <f>"IND"&amp;RIGHT(H93,4)&amp;RIGHT(G93,3)&amp;"N"&amp;RIGHT(E93,1)</f>
        <v>INDCDSHWCHN1</v>
      </c>
      <c r="E93" s="261" t="str">
        <f>"Industrial heating technology "&amp;$AJ$12&amp;" "&amp;RIGHT(H93,2)&amp;" - Wood chip boiler (Steam) - new 1"</f>
        <v>Industrial heating technology Chemical SH - Wood chip boiler (Steam) - new 1</v>
      </c>
      <c r="F93" s="224" t="s">
        <v>1149</v>
      </c>
      <c r="G93" s="173" t="s">
        <v>498</v>
      </c>
      <c r="H93" s="174" t="str">
        <f>$AI$15</f>
        <v>ICDSH</v>
      </c>
      <c r="I93" s="174" t="str">
        <f t="shared" si="22"/>
        <v>INDCWH</v>
      </c>
      <c r="J93" s="224">
        <f t="shared" si="32"/>
        <v>2011</v>
      </c>
      <c r="K93" s="299">
        <v>2025</v>
      </c>
      <c r="L93" s="199">
        <f t="shared" ca="1" si="62"/>
        <v>0.89</v>
      </c>
      <c r="M93" s="199"/>
      <c r="N93" s="81">
        <f ca="1">VLOOKUP($AD93,INDIRECT("'"&amp;$B93&amp;"'!"&amp;"$P$39:$AD$42"),5,FALSE)</f>
        <v>25</v>
      </c>
      <c r="O93" s="723">
        <f t="shared" ca="1" si="63"/>
        <v>4.6054545454545455</v>
      </c>
      <c r="P93" s="723">
        <f t="shared" ca="1" si="64"/>
        <v>0.25106499999999998</v>
      </c>
      <c r="Q93" s="81">
        <f t="shared" ca="1" si="65"/>
        <v>5.7509861111111107</v>
      </c>
      <c r="R93" s="81">
        <v>3.1536000000000002E-2</v>
      </c>
      <c r="S93" s="199">
        <v>0.5</v>
      </c>
      <c r="T93" s="199">
        <f ca="1">HLOOKUP($T$2,INDIRECT("'"&amp;$B93&amp;"'!"&amp;"$P$6:$AC$19"),IF(H93=$AI$13,6,IF(H93=$AI$14,9,14)),FALSE)</f>
        <v>1</v>
      </c>
      <c r="U93" s="772"/>
      <c r="V93" s="199">
        <f t="shared" ref="V93" ca="1" si="76">IF(IF(RIGHT(H93,2)="PH",(1-L93)+$W$2,IF(RIGHT(H93,2)="HT",(1-L93)+$W$1,IF(RIGHT(H93,2)="SH",(1-L93)+$W$3,"")))&gt;0,IF(RIGHT(H93,2)="PH",(1-L93)+$W$2,IF(RIGHT(H93,2)="HT",(1-L93)+$W$1,IF(RIGHT(H93,2)="SH",(1-L93)+$W$3,""))),0)</f>
        <v>0.10999999999999999</v>
      </c>
      <c r="W93" s="298"/>
      <c r="X93" s="698">
        <f t="shared" ca="1" si="27"/>
        <v>11</v>
      </c>
      <c r="Y93" s="81">
        <f t="shared" ca="1" si="67"/>
        <v>63</v>
      </c>
      <c r="Z93" s="81">
        <f t="shared" ca="1" si="68"/>
        <v>11</v>
      </c>
      <c r="AA93" s="81">
        <f t="shared" ca="1" si="69"/>
        <v>3</v>
      </c>
      <c r="AB93" s="81">
        <f t="shared" ca="1" si="70"/>
        <v>10</v>
      </c>
      <c r="AC93" s="296"/>
      <c r="AD93" s="81">
        <v>2020</v>
      </c>
      <c r="AE93" s="81"/>
      <c r="AF93" s="710"/>
    </row>
    <row r="94" spans="1:33" s="226" customFormat="1">
      <c r="A94" s="224"/>
      <c r="B94" s="357" t="s">
        <v>1008</v>
      </c>
      <c r="C94" s="224"/>
      <c r="D94" s="212"/>
      <c r="E94" s="212"/>
      <c r="F94" s="224" t="s">
        <v>1149</v>
      </c>
      <c r="G94" s="224"/>
      <c r="H94" s="174"/>
      <c r="I94" s="174" t="str">
        <f t="shared" si="22"/>
        <v>INDCWH</v>
      </c>
      <c r="J94" s="224">
        <f t="shared" si="32"/>
        <v>2030</v>
      </c>
      <c r="K94" s="81"/>
      <c r="L94" s="199">
        <f t="shared" ca="1" si="62"/>
        <v>0.89</v>
      </c>
      <c r="M94" s="199"/>
      <c r="N94" s="81"/>
      <c r="O94" s="723">
        <f t="shared" ca="1" si="63"/>
        <v>4.4022727272727264</v>
      </c>
      <c r="P94" s="723">
        <f t="shared" ca="1" si="64"/>
        <v>0.267455</v>
      </c>
      <c r="Q94" s="81">
        <f t="shared" ca="1" si="65"/>
        <v>5.8461805555555557</v>
      </c>
      <c r="R94" s="300"/>
      <c r="S94" s="300"/>
      <c r="T94" s="300"/>
      <c r="U94" s="300"/>
      <c r="V94" s="199">
        <f t="shared" ref="V94" ca="1" si="77">IF(IF(RIGHT(H93,2)="PH",(1-L94)+$W$2,IF(RIGHT(H93,2)="HT",(1-L94)+$W$1,IF(RIGHT(H93,2)="SH",(1-L94)+$W$3,"")))&gt;0,IF(RIGHT(H93,2)="PH",(1-L94)+$W$2,IF(RIGHT(H93,2)="HT",(1-L94)+$W$1,IF(RIGHT(H93,2)="SH",(1-L94)+$W$3,""))),0)</f>
        <v>0.10999999999999999</v>
      </c>
      <c r="W94" s="298"/>
      <c r="X94" s="698">
        <f t="shared" ca="1" si="27"/>
        <v>11</v>
      </c>
      <c r="Y94" s="81">
        <f t="shared" ca="1" si="67"/>
        <v>49</v>
      </c>
      <c r="Z94" s="81">
        <f t="shared" ca="1" si="68"/>
        <v>8</v>
      </c>
      <c r="AA94" s="81">
        <f t="shared" ca="1" si="69"/>
        <v>3</v>
      </c>
      <c r="AB94" s="81">
        <f t="shared" ca="1" si="70"/>
        <v>10</v>
      </c>
      <c r="AC94" s="55"/>
      <c r="AD94" s="81">
        <v>2030</v>
      </c>
      <c r="AE94" s="81"/>
      <c r="AF94" s="700"/>
    </row>
    <row r="95" spans="1:33" s="226" customFormat="1">
      <c r="A95" s="224"/>
      <c r="B95" s="357" t="s">
        <v>1008</v>
      </c>
      <c r="C95" s="224"/>
      <c r="D95" s="212"/>
      <c r="E95" s="212"/>
      <c r="F95" s="224" t="s">
        <v>1149</v>
      </c>
      <c r="G95" s="224"/>
      <c r="H95" s="174"/>
      <c r="I95" s="174" t="str">
        <f t="shared" si="22"/>
        <v>INDCWH</v>
      </c>
      <c r="J95" s="224">
        <f t="shared" si="32"/>
        <v>2050</v>
      </c>
      <c r="K95" s="706"/>
      <c r="L95" s="199">
        <f t="shared" ca="1" si="62"/>
        <v>0.9</v>
      </c>
      <c r="M95" s="774"/>
      <c r="N95" s="706"/>
      <c r="O95" s="724">
        <f t="shared" ca="1" si="63"/>
        <v>3.9959090909090902</v>
      </c>
      <c r="P95" s="724">
        <f t="shared" ca="1" si="64"/>
        <v>0.25106499999999998</v>
      </c>
      <c r="Q95" s="706">
        <f t="shared" ca="1" si="65"/>
        <v>5.8937777777777782</v>
      </c>
      <c r="R95" s="300"/>
      <c r="S95" s="300"/>
      <c r="T95" s="300"/>
      <c r="U95" s="300"/>
      <c r="V95" s="199">
        <f t="shared" ref="V95" ca="1" si="78">IF(IF(RIGHT(H93,2)="PH",(1-L95)+$W$2,IF(RIGHT(H93,2)="HT",(1-L95)+$W$1,IF(RIGHT(H93,2)="SH",(1-L95)+$W$3,"")))&gt;0,IF(RIGHT(H93,2)="PH",(1-L95)+$W$2,IF(RIGHT(H93,2)="HT",(1-L95)+$W$1,IF(RIGHT(H93,2)="SH",(1-L95)+$W$3,""))),0)</f>
        <v>9.9999999999999978E-2</v>
      </c>
      <c r="W95" s="298"/>
      <c r="X95" s="698">
        <f t="shared" ref="X95:X126" ca="1" si="79">IF(VLOOKUP($AD95,INDIRECT("'"&amp;$B95&amp;"'!"&amp;"$P$39:$AD$42"),11,FALSE)="Cf. the utilized electricity",0,VLOOKUP($AD95,INDIRECT("'"&amp;$B95&amp;"'!"&amp;"$P$39:$AD$42"),11,FALSE))</f>
        <v>11</v>
      </c>
      <c r="Y95" s="706">
        <f t="shared" ca="1" si="67"/>
        <v>41</v>
      </c>
      <c r="Z95" s="706">
        <f t="shared" ca="1" si="68"/>
        <v>4</v>
      </c>
      <c r="AA95" s="706">
        <f t="shared" ca="1" si="69"/>
        <v>1</v>
      </c>
      <c r="AB95" s="706">
        <f t="shared" ca="1" si="70"/>
        <v>10</v>
      </c>
      <c r="AC95" s="55"/>
      <c r="AD95" s="706">
        <v>2050</v>
      </c>
      <c r="AE95" s="81"/>
      <c r="AF95" s="700"/>
    </row>
    <row r="96" spans="1:33">
      <c r="B96" s="716" t="s">
        <v>1008</v>
      </c>
      <c r="C96" s="296"/>
      <c r="D96" s="707" t="str">
        <f>"IND"&amp;RIGHT(H96,4)&amp;RIGHT(G96,3)&amp;"N"&amp;RIGHT(E96,1)</f>
        <v>INDCDPHWCHN2</v>
      </c>
      <c r="E96" s="707" t="str">
        <f>"Industrial heating technology "&amp;$AJ$12&amp;" "&amp;RIGHT(H96,2)&amp;" - Wood chip boiler (Steam - condensing) - new 2"</f>
        <v>Industrial heating technology Chemical PH - Wood chip boiler (Steam - condensing) - new 2</v>
      </c>
      <c r="F96" s="224" t="s">
        <v>1149</v>
      </c>
      <c r="G96" s="708" t="s">
        <v>498</v>
      </c>
      <c r="H96" s="708" t="str">
        <f>$AI$14</f>
        <v>ICDPH</v>
      </c>
      <c r="I96" s="708" t="str">
        <f t="shared" si="22"/>
        <v>INDCWH</v>
      </c>
      <c r="J96" s="224">
        <f t="shared" si="32"/>
        <v>2011</v>
      </c>
      <c r="K96" s="299">
        <v>2025</v>
      </c>
      <c r="L96" s="199">
        <f t="shared" ref="L96:L101" ca="1" si="80">VLOOKUP($AD96,INDIRECT("'"&amp;$B96&amp;"'!"&amp;"$P$118:$AD$121"),3,FALSE)</f>
        <v>1.1618960947726835</v>
      </c>
      <c r="M96" s="199"/>
      <c r="N96" s="81">
        <f ca="1">VLOOKUP($AD96,INDIRECT("'"&amp;$B96&amp;"'!"&amp;"$P$118:$AD$121"),5,FALSE)</f>
        <v>25</v>
      </c>
      <c r="O96" s="723">
        <f t="shared" ref="O96:O101" ca="1" si="81">VLOOKUP($AD96,INDIRECT("'"&amp;$B96&amp;"'!"&amp;"$P$118:$AD$121"),6,FALSE)/1000</f>
        <v>5.0660000000000007</v>
      </c>
      <c r="P96" s="723">
        <f t="shared" ref="P96:P101" ca="1" si="82">VLOOKUP($AD96,INDIRECT("'"&amp;$B96&amp;"'!"&amp;"$P$118:$AD$121"),7,FALSE)/1000</f>
        <v>0.27564999999999995</v>
      </c>
      <c r="Q96" s="81">
        <f t="shared" ref="Q96:Q101" ca="1" si="83">VLOOKUP($AD96,INDIRECT("'"&amp;$B96&amp;"'!"&amp;"$P$118:$AD$121"),8,FALSE)</f>
        <v>5.7509861111111107</v>
      </c>
      <c r="R96" s="81">
        <v>3.1536000000000002E-2</v>
      </c>
      <c r="S96" s="199">
        <v>0.5</v>
      </c>
      <c r="T96" s="199">
        <f ca="1">HLOOKUP($T$2,INDIRECT("'"&amp;$B96&amp;"'!"&amp;"$P$85:$AC$98"),IF(H96=$AI$13,6,IF(H96=$AI$14,9,14)),FALSE)</f>
        <v>0</v>
      </c>
      <c r="U96" s="773"/>
      <c r="V96" s="199">
        <f t="shared" ref="V96" ca="1" si="84">IF(IF(RIGHT(H96,2)="PH",(1-L96)+$W$2,IF(RIGHT(H96,2)="HT",(1-L96)+$W$1,IF(RIGHT(H96,2)="SH",(1-L96)+$W$3,"")))&gt;0,IF(RIGHT(H96,2)="PH",(1-L96)+$W$2,IF(RIGHT(H96,2)="HT",(1-L96)+$W$1,IF(RIGHT(H96,2)="SH",(1-L96)+$W$3,""))),0)</f>
        <v>3.8103905227316492E-2</v>
      </c>
      <c r="W96" s="709"/>
      <c r="X96" s="698">
        <f t="shared" ca="1" si="79"/>
        <v>11</v>
      </c>
      <c r="Y96" s="698">
        <f t="shared" ref="Y96:Y101" ca="1" si="85">VLOOKUP($AD96,INDIRECT("'"&amp;$B96&amp;"'!"&amp;"$P$118:$AD$121"),12,FALSE)</f>
        <v>63</v>
      </c>
      <c r="Z96" s="698">
        <f t="shared" ref="Z96:Z101" ca="1" si="86">VLOOKUP($AD96,INDIRECT("'"&amp;$B96&amp;"'!"&amp;"$P$118:$AD$121"),13,FALSE)</f>
        <v>11</v>
      </c>
      <c r="AA96" s="698">
        <f t="shared" ref="AA96:AA101" ca="1" si="87">VLOOKUP($AD96,INDIRECT("'"&amp;$B96&amp;"'!"&amp;"$P$118:$AD$121"),14,FALSE)</f>
        <v>3</v>
      </c>
      <c r="AB96" s="698">
        <f t="shared" ref="AB96:AB101" ca="1" si="88">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22"/>
        <v>INDCWH</v>
      </c>
      <c r="J97" s="224">
        <f t="shared" si="32"/>
        <v>2030</v>
      </c>
      <c r="K97" s="81"/>
      <c r="L97" s="199">
        <f t="shared" ca="1" si="80"/>
        <v>1.1618960947726835</v>
      </c>
      <c r="M97" s="199"/>
      <c r="N97" s="81"/>
      <c r="O97" s="723">
        <f t="shared" ca="1" si="81"/>
        <v>4.8425000000000002</v>
      </c>
      <c r="P97" s="723">
        <f t="shared" ca="1" si="82"/>
        <v>0.267455</v>
      </c>
      <c r="Q97" s="81">
        <f t="shared" ca="1" si="83"/>
        <v>5.8461805555555557</v>
      </c>
      <c r="R97" s="300"/>
      <c r="S97" s="300"/>
      <c r="T97" s="300"/>
      <c r="U97" s="300"/>
      <c r="V97" s="199">
        <f t="shared" ref="V97" ca="1" si="89">IF(IF(RIGHT(H96,2)="PH",(1-L97)+$W$2,IF(RIGHT(H96,2)="HT",(1-L97)+$W$1,IF(RIGHT(H96,2)="SH",(1-L97)+$W$3,"")))&gt;0,IF(RIGHT(H96,2)="PH",(1-L97)+$W$2,IF(RIGHT(H96,2)="HT",(1-L97)+$W$1,IF(RIGHT(H96,2)="SH",(1-L97)+$W$3,""))),0)</f>
        <v>3.8103905227316492E-2</v>
      </c>
      <c r="W97" s="298"/>
      <c r="X97" s="698">
        <f t="shared" ca="1" si="79"/>
        <v>11</v>
      </c>
      <c r="Y97" s="698">
        <f t="shared" ca="1" si="85"/>
        <v>49</v>
      </c>
      <c r="Z97" s="698">
        <f t="shared" ca="1" si="86"/>
        <v>8</v>
      </c>
      <c r="AA97" s="698">
        <f t="shared" ca="1" si="87"/>
        <v>3</v>
      </c>
      <c r="AB97" s="698">
        <f t="shared" ca="1" si="88"/>
        <v>10</v>
      </c>
      <c r="AC97" s="55"/>
      <c r="AD97" s="81">
        <v>2030</v>
      </c>
      <c r="AE97" s="81"/>
      <c r="AF97" s="700"/>
    </row>
    <row r="98" spans="2:32">
      <c r="B98" s="357" t="s">
        <v>1008</v>
      </c>
      <c r="C98" s="55"/>
      <c r="D98" s="261"/>
      <c r="E98" s="261"/>
      <c r="F98" s="224" t="s">
        <v>1149</v>
      </c>
      <c r="G98" s="55"/>
      <c r="H98" s="174"/>
      <c r="I98" s="174" t="str">
        <f t="shared" si="22"/>
        <v>INDCWH</v>
      </c>
      <c r="J98" s="224">
        <f t="shared" si="32"/>
        <v>2050</v>
      </c>
      <c r="K98" s="81"/>
      <c r="L98" s="199">
        <f t="shared" ca="1" si="80"/>
        <v>1.1618960947726835</v>
      </c>
      <c r="M98" s="199"/>
      <c r="N98" s="81"/>
      <c r="O98" s="723">
        <f t="shared" ca="1" si="81"/>
        <v>4.3955000000000002</v>
      </c>
      <c r="P98" s="723">
        <f t="shared" ca="1" si="82"/>
        <v>0.25106499999999998</v>
      </c>
      <c r="Q98" s="81">
        <f t="shared" ca="1" si="83"/>
        <v>5.8937777777777782</v>
      </c>
      <c r="R98" s="300"/>
      <c r="S98" s="300"/>
      <c r="T98" s="300"/>
      <c r="U98" s="300"/>
      <c r="V98" s="199">
        <f t="shared" ref="V98" ca="1" si="90">IF(IF(RIGHT(H96,2)="PH",(1-L98)+$W$2,IF(RIGHT(H96,2)="HT",(1-L98)+$W$1,IF(RIGHT(H96,2)="SH",(1-L98)+$W$3,"")))&gt;0,IF(RIGHT(H96,2)="PH",(1-L98)+$W$2,IF(RIGHT(H96,2)="HT",(1-L98)+$W$1,IF(RIGHT(H96,2)="SH",(1-L98)+$W$3,""))),0)</f>
        <v>3.8103905227316492E-2</v>
      </c>
      <c r="W98" s="298"/>
      <c r="X98" s="698">
        <f t="shared" ca="1" si="79"/>
        <v>11</v>
      </c>
      <c r="Y98" s="698">
        <f t="shared" ca="1" si="85"/>
        <v>41</v>
      </c>
      <c r="Z98" s="698">
        <f t="shared" ca="1" si="86"/>
        <v>4</v>
      </c>
      <c r="AA98" s="698">
        <f t="shared" ca="1" si="87"/>
        <v>1</v>
      </c>
      <c r="AB98" s="698">
        <f t="shared" ca="1" si="88"/>
        <v>10</v>
      </c>
      <c r="AC98" s="203"/>
      <c r="AD98" s="81">
        <v>2050</v>
      </c>
      <c r="AE98" s="81"/>
      <c r="AF98" s="705"/>
    </row>
    <row r="99" spans="2:32">
      <c r="B99" s="357" t="s">
        <v>1008</v>
      </c>
      <c r="C99" s="55"/>
      <c r="D99" s="261" t="str">
        <f>"IND"&amp;RIGHT(H99,4)&amp;RIGHT(G99,3)&amp;"N"&amp;RIGHT(E99,1)</f>
        <v>INDCDSHWCHN2</v>
      </c>
      <c r="E99" s="261" t="str">
        <f>"Industrial heating technology "&amp;$AJ$12&amp;" "&amp;RIGHT(H99,2)&amp;" - Wood chip boiler (Steam - condensing) - new 2"</f>
        <v>Industrial heating technology Chemical SH - Wood chip boiler (Steam - condensing) - new 2</v>
      </c>
      <c r="F99" s="224" t="s">
        <v>1149</v>
      </c>
      <c r="G99" s="174" t="s">
        <v>498</v>
      </c>
      <c r="H99" s="174" t="str">
        <f>$AI$15</f>
        <v>ICDSH</v>
      </c>
      <c r="I99" s="174" t="str">
        <f t="shared" si="22"/>
        <v>INDCWH</v>
      </c>
      <c r="J99" s="224">
        <f t="shared" si="32"/>
        <v>2011</v>
      </c>
      <c r="K99" s="299">
        <v>2025</v>
      </c>
      <c r="L99" s="199">
        <f t="shared" ca="1" si="80"/>
        <v>1.1618960947726835</v>
      </c>
      <c r="M99" s="199"/>
      <c r="N99" s="81">
        <f ca="1">VLOOKUP($AD99,INDIRECT("'"&amp;$B99&amp;"'!"&amp;"$P$118:$AD$121"),5,FALSE)</f>
        <v>25</v>
      </c>
      <c r="O99" s="723">
        <f t="shared" ca="1" si="81"/>
        <v>5.0660000000000007</v>
      </c>
      <c r="P99" s="723">
        <f t="shared" ca="1" si="82"/>
        <v>0.27564999999999995</v>
      </c>
      <c r="Q99" s="81">
        <f t="shared" ca="1" si="83"/>
        <v>5.7509861111111107</v>
      </c>
      <c r="R99" s="81">
        <v>3.1536000000000002E-2</v>
      </c>
      <c r="S99" s="199">
        <v>0.5</v>
      </c>
      <c r="T99" s="199">
        <f ca="1">HLOOKUP($T$2,INDIRECT("'"&amp;$B99&amp;"'!"&amp;"$P$85:$AC$98"),IF(H99=$AI$13,6,IF(H99=$AI$14,9,14)),FALSE)</f>
        <v>1</v>
      </c>
      <c r="U99" s="772"/>
      <c r="V99" s="199">
        <f t="shared" ref="V99" ca="1" si="91">IF(IF(RIGHT(H99,2)="PH",(1-L99)+$W$2,IF(RIGHT(H99,2)="HT",(1-L99)+$W$1,IF(RIGHT(H99,2)="SH",(1-L99)+$W$3,"")))&gt;0,IF(RIGHT(H99,2)="PH",(1-L99)+$W$2,IF(RIGHT(H99,2)="HT",(1-L99)+$W$1,IF(RIGHT(H99,2)="SH",(1-L99)+$W$3,""))),0)</f>
        <v>0</v>
      </c>
      <c r="W99" s="298"/>
      <c r="X99" s="698">
        <f t="shared" ca="1" si="79"/>
        <v>11</v>
      </c>
      <c r="Y99" s="698">
        <f t="shared" ca="1" si="85"/>
        <v>63</v>
      </c>
      <c r="Z99" s="698">
        <f t="shared" ca="1" si="86"/>
        <v>11</v>
      </c>
      <c r="AA99" s="698">
        <f t="shared" ca="1" si="87"/>
        <v>3</v>
      </c>
      <c r="AB99" s="698">
        <f t="shared" ca="1" si="88"/>
        <v>10</v>
      </c>
      <c r="AC99" s="296"/>
      <c r="AD99" s="81">
        <v>2020</v>
      </c>
      <c r="AE99" s="81"/>
      <c r="AF99" s="710"/>
    </row>
    <row r="100" spans="2:32">
      <c r="B100" s="357" t="s">
        <v>1008</v>
      </c>
      <c r="C100" s="55"/>
      <c r="D100" s="261"/>
      <c r="E100" s="261"/>
      <c r="F100" s="224" t="s">
        <v>1149</v>
      </c>
      <c r="G100" s="55"/>
      <c r="H100" s="174"/>
      <c r="I100" s="174" t="str">
        <f t="shared" si="22"/>
        <v>INDCWH</v>
      </c>
      <c r="J100" s="224">
        <f t="shared" si="32"/>
        <v>2030</v>
      </c>
      <c r="K100" s="81"/>
      <c r="L100" s="199">
        <f t="shared" ca="1" si="80"/>
        <v>1.1618960947726835</v>
      </c>
      <c r="M100" s="199"/>
      <c r="N100" s="81"/>
      <c r="O100" s="723">
        <f t="shared" ca="1" si="81"/>
        <v>4.8425000000000002</v>
      </c>
      <c r="P100" s="723">
        <f t="shared" ca="1" si="82"/>
        <v>0.267455</v>
      </c>
      <c r="Q100" s="81">
        <f t="shared" ca="1" si="83"/>
        <v>5.8461805555555557</v>
      </c>
      <c r="R100" s="300"/>
      <c r="S100" s="300"/>
      <c r="T100" s="300"/>
      <c r="U100" s="300"/>
      <c r="V100" s="199">
        <f t="shared" ref="V100" ca="1" si="92">IF(IF(RIGHT(H99,2)="PH",(1-L100)+$W$2,IF(RIGHT(H99,2)="HT",(1-L100)+$W$1,IF(RIGHT(H99,2)="SH",(1-L100)+$W$3,"")))&gt;0,IF(RIGHT(H99,2)="PH",(1-L100)+$W$2,IF(RIGHT(H99,2)="HT",(1-L100)+$W$1,IF(RIGHT(H99,2)="SH",(1-L100)+$W$3,""))),0)</f>
        <v>0</v>
      </c>
      <c r="W100" s="298"/>
      <c r="X100" s="698">
        <f t="shared" ca="1" si="79"/>
        <v>11</v>
      </c>
      <c r="Y100" s="698">
        <f t="shared" ca="1" si="85"/>
        <v>49</v>
      </c>
      <c r="Z100" s="698">
        <f t="shared" ca="1" si="86"/>
        <v>8</v>
      </c>
      <c r="AA100" s="698">
        <f t="shared" ca="1" si="87"/>
        <v>3</v>
      </c>
      <c r="AB100" s="698">
        <f t="shared" ca="1" si="88"/>
        <v>10</v>
      </c>
      <c r="AC100" s="55"/>
      <c r="AD100" s="81">
        <v>2030</v>
      </c>
      <c r="AE100" s="81"/>
      <c r="AF100" s="700"/>
    </row>
    <row r="101" spans="2:32">
      <c r="B101" s="356" t="s">
        <v>1008</v>
      </c>
      <c r="C101" s="203"/>
      <c r="D101" s="701"/>
      <c r="E101" s="701"/>
      <c r="F101" s="224" t="s">
        <v>1149</v>
      </c>
      <c r="G101" s="203"/>
      <c r="H101" s="702"/>
      <c r="I101" s="702" t="str">
        <f t="shared" si="22"/>
        <v>INDCWH</v>
      </c>
      <c r="J101" s="224">
        <f t="shared" si="32"/>
        <v>2050</v>
      </c>
      <c r="K101" s="81"/>
      <c r="L101" s="199">
        <f t="shared" ca="1" si="80"/>
        <v>1.1618960947726835</v>
      </c>
      <c r="M101" s="199"/>
      <c r="N101" s="81"/>
      <c r="O101" s="723">
        <f t="shared" ca="1" si="81"/>
        <v>4.3955000000000002</v>
      </c>
      <c r="P101" s="723">
        <f t="shared" ca="1" si="82"/>
        <v>0.25106499999999998</v>
      </c>
      <c r="Q101" s="81">
        <f t="shared" ca="1" si="83"/>
        <v>5.8937777777777782</v>
      </c>
      <c r="R101" s="703"/>
      <c r="S101" s="703"/>
      <c r="T101" s="703"/>
      <c r="U101" s="703"/>
      <c r="V101" s="199">
        <f t="shared" ref="V101" ca="1" si="93">IF(IF(RIGHT(H99,2)="PH",(1-L101)+$W$2,IF(RIGHT(H99,2)="HT",(1-L101)+$W$1,IF(RIGHT(H99,2)="SH",(1-L101)+$W$3,"")))&gt;0,IF(RIGHT(H99,2)="PH",(1-L101)+$W$2,IF(RIGHT(H99,2)="HT",(1-L101)+$W$1,IF(RIGHT(H99,2)="SH",(1-L101)+$W$3,""))),0)</f>
        <v>0</v>
      </c>
      <c r="W101" s="704"/>
      <c r="X101" s="698">
        <f t="shared" ca="1" si="79"/>
        <v>11</v>
      </c>
      <c r="Y101" s="698">
        <f t="shared" ca="1" si="85"/>
        <v>41</v>
      </c>
      <c r="Z101" s="698">
        <f t="shared" ca="1" si="86"/>
        <v>4</v>
      </c>
      <c r="AA101" s="698">
        <f t="shared" ca="1" si="87"/>
        <v>1</v>
      </c>
      <c r="AB101" s="698">
        <f t="shared" ca="1" si="88"/>
        <v>10</v>
      </c>
      <c r="AC101" s="55"/>
      <c r="AD101" s="81">
        <v>2050</v>
      </c>
      <c r="AE101" s="81"/>
      <c r="AF101" s="700"/>
    </row>
    <row r="102" spans="2:32">
      <c r="B102" s="717" t="s">
        <v>1008</v>
      </c>
      <c r="C102" s="712"/>
      <c r="D102" s="707" t="str">
        <f>"IND"&amp;RIGHT(H102,4)&amp;RIGHT(G102,3)&amp;"N"&amp;RIGHT(E102,1)</f>
        <v>INDCDPHWCHN3</v>
      </c>
      <c r="E102" s="707" t="str">
        <f>"Industrial heating technology "&amp;$AJ$12&amp;" "&amp;RIGHT(H102,2)&amp;" - Wood chip boiler (Hot Water) - new 3"</f>
        <v>Industrial heating technology Chemical PH - Wood chip boiler (Hot Water) - new 3</v>
      </c>
      <c r="F102" s="224" t="s">
        <v>1149</v>
      </c>
      <c r="G102" s="708" t="s">
        <v>498</v>
      </c>
      <c r="H102" s="708" t="str">
        <f>$AI$14</f>
        <v>ICDPH</v>
      </c>
      <c r="I102" s="708" t="str">
        <f t="shared" si="22"/>
        <v>INDCWH</v>
      </c>
      <c r="J102" s="224">
        <f t="shared" si="32"/>
        <v>2011</v>
      </c>
      <c r="K102" s="299">
        <v>2025</v>
      </c>
      <c r="L102" s="199">
        <f t="shared" ref="L102:L107" ca="1" si="94">VLOOKUP($AD102,INDIRECT("'"&amp;$B102&amp;"'!"&amp;"$P$200:$AD$203"),3,FALSE)</f>
        <v>0.9</v>
      </c>
      <c r="M102" s="199"/>
      <c r="N102" s="81">
        <f ca="1">VLOOKUP($AD102,INDIRECT("'"&amp;$B102&amp;"'!"&amp;"$P$200:$AD$203"),5,FALSE)</f>
        <v>25</v>
      </c>
      <c r="O102" s="723">
        <f t="shared" ref="O102:O107" ca="1" si="95">VLOOKUP($AD102,INDIRECT("'"&amp;$B102&amp;"'!"&amp;"$P$200:$AD$203"),6,FALSE)/1000</f>
        <v>4.6054545454545437</v>
      </c>
      <c r="P102" s="723">
        <f t="shared" ref="P102:P107" ca="1" si="96">VLOOKUP($AD102,INDIRECT("'"&amp;$B102&amp;"'!"&amp;"$P$200:$AD$203"),7,FALSE)/1000</f>
        <v>0.25106499999999998</v>
      </c>
      <c r="Q102" s="81">
        <f t="shared" ref="Q102:Q107" ca="1" si="97">VLOOKUP($AD102,INDIRECT("'"&amp;$B102&amp;"'!"&amp;"$P$200:$AD$203"),8,FALSE)</f>
        <v>5.7509861111111107</v>
      </c>
      <c r="R102" s="81">
        <v>3.1536000000000002E-2</v>
      </c>
      <c r="S102" s="199">
        <v>0.5</v>
      </c>
      <c r="T102" s="199">
        <f ca="1">HLOOKUP($T$2,INDIRECT("'"&amp;$B102&amp;"'!"&amp;"$P$167:$AC$180"),IF(H102=$AI$13,6,IF(H102=$AI$14,9,14)),FALSE)</f>
        <v>0</v>
      </c>
      <c r="U102" s="773"/>
      <c r="V102" s="199">
        <f t="shared" ref="V102" ca="1" si="98">IF(IF(RIGHT(H102,2)="PH",(1-L102)+$W$2,IF(RIGHT(H102,2)="HT",(1-L102)+$W$1,IF(RIGHT(H102,2)="SH",(1-L102)+$W$3,"")))&gt;0,IF(RIGHT(H102,2)="PH",(1-L102)+$W$2,IF(RIGHT(H102,2)="HT",(1-L102)+$W$1,IF(RIGHT(H102,2)="SH",(1-L102)+$W$3,""))),0)</f>
        <v>0.3</v>
      </c>
      <c r="W102" s="709"/>
      <c r="X102" s="698">
        <f t="shared" ca="1" si="79"/>
        <v>11</v>
      </c>
      <c r="Y102" s="698">
        <f t="shared" ref="Y102:Y107" ca="1" si="99">VLOOKUP($AD102,INDIRECT("'"&amp;$B102&amp;"'!"&amp;"$P$200:$AD$203"),12,FALSE)</f>
        <v>63</v>
      </c>
      <c r="Z102" s="698">
        <f t="shared" ref="Z102:Z107" ca="1" si="100">VLOOKUP($AD102,INDIRECT("'"&amp;$B102&amp;"'!"&amp;"$P$200:$AD$203"),13,FALSE)</f>
        <v>11</v>
      </c>
      <c r="AA102" s="698">
        <f t="shared" ref="AA102:AA107" ca="1" si="101">VLOOKUP($AD102,INDIRECT("'"&amp;$B102&amp;"'!"&amp;"$P$200:$AD$203"),14,FALSE)</f>
        <v>3</v>
      </c>
      <c r="AB102" s="698">
        <f t="shared" ref="AB102:AB107" ca="1" si="102">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22"/>
        <v>INDCWH</v>
      </c>
      <c r="J103" s="224">
        <f t="shared" si="32"/>
        <v>2030</v>
      </c>
      <c r="K103" s="81"/>
      <c r="L103" s="199">
        <f t="shared" ca="1" si="94"/>
        <v>0.9</v>
      </c>
      <c r="M103" s="199"/>
      <c r="N103" s="81"/>
      <c r="O103" s="723">
        <f t="shared" ca="1" si="95"/>
        <v>4.4022727272727282</v>
      </c>
      <c r="P103" s="723">
        <f t="shared" ca="1" si="96"/>
        <v>0.267455</v>
      </c>
      <c r="Q103" s="81">
        <f t="shared" ca="1" si="97"/>
        <v>5.8461805555555557</v>
      </c>
      <c r="R103" s="300"/>
      <c r="S103" s="300"/>
      <c r="T103" s="300"/>
      <c r="U103" s="300"/>
      <c r="V103" s="199">
        <f t="shared" ref="V103" ca="1" si="103">IF(IF(RIGHT(H102,2)="PH",(1-L103)+$W$2,IF(RIGHT(H102,2)="HT",(1-L103)+$W$1,IF(RIGHT(H102,2)="SH",(1-L103)+$W$3,"")))&gt;0,IF(RIGHT(H102,2)="PH",(1-L103)+$W$2,IF(RIGHT(H102,2)="HT",(1-L103)+$W$1,IF(RIGHT(H102,2)="SH",(1-L103)+$W$3,""))),0)</f>
        <v>0.3</v>
      </c>
      <c r="W103" s="298"/>
      <c r="X103" s="698">
        <f t="shared" ca="1" si="79"/>
        <v>11</v>
      </c>
      <c r="Y103" s="698">
        <f t="shared" ca="1" si="99"/>
        <v>49</v>
      </c>
      <c r="Z103" s="698">
        <f t="shared" ca="1" si="100"/>
        <v>8</v>
      </c>
      <c r="AA103" s="698">
        <f t="shared" ca="1" si="101"/>
        <v>3</v>
      </c>
      <c r="AB103" s="698">
        <f t="shared" ca="1" si="102"/>
        <v>10</v>
      </c>
      <c r="AC103" s="55"/>
      <c r="AD103" s="81">
        <v>2030</v>
      </c>
      <c r="AE103" s="81"/>
      <c r="AF103" s="700"/>
    </row>
    <row r="104" spans="2:32">
      <c r="B104" s="718" t="s">
        <v>1008</v>
      </c>
      <c r="C104" s="226"/>
      <c r="D104" s="261"/>
      <c r="E104" s="261"/>
      <c r="F104" s="224" t="s">
        <v>1149</v>
      </c>
      <c r="G104" s="55"/>
      <c r="H104" s="174"/>
      <c r="I104" s="174" t="str">
        <f t="shared" si="22"/>
        <v>INDCWH</v>
      </c>
      <c r="J104" s="224">
        <f t="shared" si="32"/>
        <v>2050</v>
      </c>
      <c r="K104" s="81"/>
      <c r="L104" s="199">
        <f t="shared" ca="1" si="94"/>
        <v>0.91</v>
      </c>
      <c r="M104" s="199"/>
      <c r="N104" s="81"/>
      <c r="O104" s="723">
        <f t="shared" ca="1" si="95"/>
        <v>3.9959090909090884</v>
      </c>
      <c r="P104" s="723">
        <f t="shared" ca="1" si="96"/>
        <v>0.25106499999999998</v>
      </c>
      <c r="Q104" s="81">
        <f t="shared" ca="1" si="97"/>
        <v>5.8937777777777782</v>
      </c>
      <c r="R104" s="300"/>
      <c r="S104" s="300"/>
      <c r="T104" s="300"/>
      <c r="U104" s="300"/>
      <c r="V104" s="199">
        <f t="shared" ref="V104" ca="1" si="104">IF(IF(RIGHT(H102,2)="PH",(1-L104)+$W$2,IF(RIGHT(H102,2)="HT",(1-L104)+$W$1,IF(RIGHT(H102,2)="SH",(1-L104)+$W$3,"")))&gt;0,IF(RIGHT(H102,2)="PH",(1-L104)+$W$2,IF(RIGHT(H102,2)="HT",(1-L104)+$W$1,IF(RIGHT(H102,2)="SH",(1-L104)+$W$3,""))),0)</f>
        <v>0.28999999999999998</v>
      </c>
      <c r="W104" s="298"/>
      <c r="X104" s="698">
        <f t="shared" ca="1" si="79"/>
        <v>11</v>
      </c>
      <c r="Y104" s="698">
        <f t="shared" ca="1" si="99"/>
        <v>41</v>
      </c>
      <c r="Z104" s="698">
        <f t="shared" ca="1" si="100"/>
        <v>4</v>
      </c>
      <c r="AA104" s="698">
        <f t="shared" ca="1" si="101"/>
        <v>1</v>
      </c>
      <c r="AB104" s="698">
        <f t="shared" ca="1" si="102"/>
        <v>10</v>
      </c>
      <c r="AC104" s="203"/>
      <c r="AD104" s="81">
        <v>2050</v>
      </c>
      <c r="AE104" s="81"/>
      <c r="AF104" s="705"/>
    </row>
    <row r="105" spans="2:32">
      <c r="B105" s="718" t="s">
        <v>1008</v>
      </c>
      <c r="C105" s="226"/>
      <c r="D105" s="261" t="str">
        <f>"IND"&amp;RIGHT(H105,4)&amp;RIGHT(G105,3)&amp;"N"&amp;RIGHT(E105,1)</f>
        <v>INDCDSHWCHN3</v>
      </c>
      <c r="E105" s="261" t="str">
        <f>"Industrial heating technology "&amp;$AJ$12&amp;" "&amp;RIGHT(H105,2)&amp;" - Wood chip boiler (Hot Water) - new 3"</f>
        <v>Industrial heating technology Chemical SH - Wood chip boiler (Hot Water) - new 3</v>
      </c>
      <c r="F105" s="224" t="s">
        <v>1149</v>
      </c>
      <c r="G105" s="174" t="s">
        <v>498</v>
      </c>
      <c r="H105" s="174" t="str">
        <f>$AI$15</f>
        <v>ICDSH</v>
      </c>
      <c r="I105" s="174" t="str">
        <f t="shared" si="22"/>
        <v>INDCWH</v>
      </c>
      <c r="J105" s="224">
        <f t="shared" si="32"/>
        <v>2011</v>
      </c>
      <c r="K105" s="299">
        <v>2025</v>
      </c>
      <c r="L105" s="199">
        <f t="shared" ca="1" si="94"/>
        <v>0.9</v>
      </c>
      <c r="M105" s="199"/>
      <c r="N105" s="81">
        <f ca="1">VLOOKUP($AD105,INDIRECT("'"&amp;$B105&amp;"'!"&amp;"$P$200:$AD$203"),5,FALSE)</f>
        <v>25</v>
      </c>
      <c r="O105" s="723">
        <f t="shared" ca="1" si="95"/>
        <v>4.6054545454545437</v>
      </c>
      <c r="P105" s="723">
        <f t="shared" ca="1" si="96"/>
        <v>0.25106499999999998</v>
      </c>
      <c r="Q105" s="81">
        <f t="shared" ca="1" si="97"/>
        <v>5.7509861111111107</v>
      </c>
      <c r="R105" s="81">
        <v>3.1536000000000002E-2</v>
      </c>
      <c r="S105" s="199">
        <v>0.5</v>
      </c>
      <c r="T105" s="199">
        <f ca="1">HLOOKUP($T$2,INDIRECT("'"&amp;$B105&amp;"'!"&amp;"$P$167:$AC$180"),IF(H105=$AI$13,6,IF(H105=$AI$14,9,14)),FALSE)</f>
        <v>1</v>
      </c>
      <c r="U105" s="773"/>
      <c r="V105" s="199">
        <f t="shared" ref="V105" ca="1" si="105">IF(IF(RIGHT(H105,2)="PH",(1-L105)+$W$2,IF(RIGHT(H105,2)="HT",(1-L105)+$W$1,IF(RIGHT(H105,2)="SH",(1-L105)+$W$3,"")))&gt;0,IF(RIGHT(H105,2)="PH",(1-L105)+$W$2,IF(RIGHT(H105,2)="HT",(1-L105)+$W$1,IF(RIGHT(H105,2)="SH",(1-L105)+$W$3,""))),0)</f>
        <v>9.9999999999999978E-2</v>
      </c>
      <c r="W105" s="709"/>
      <c r="X105" s="698">
        <f t="shared" ca="1" si="79"/>
        <v>11</v>
      </c>
      <c r="Y105" s="698">
        <f t="shared" ca="1" si="99"/>
        <v>63</v>
      </c>
      <c r="Z105" s="698">
        <f t="shared" ca="1" si="100"/>
        <v>11</v>
      </c>
      <c r="AA105" s="698">
        <f t="shared" ca="1" si="101"/>
        <v>3</v>
      </c>
      <c r="AB105" s="698">
        <f t="shared" ca="1" si="102"/>
        <v>10</v>
      </c>
      <c r="AC105" s="296"/>
      <c r="AD105" s="81">
        <v>2020</v>
      </c>
      <c r="AE105" s="81"/>
      <c r="AF105" s="710"/>
    </row>
    <row r="106" spans="2:32">
      <c r="B106" s="718" t="s">
        <v>1008</v>
      </c>
      <c r="C106" s="226"/>
      <c r="D106" s="261"/>
      <c r="E106" s="261"/>
      <c r="F106" s="224" t="s">
        <v>1149</v>
      </c>
      <c r="G106" s="55"/>
      <c r="H106" s="174"/>
      <c r="I106" s="174" t="str">
        <f t="shared" si="22"/>
        <v>INDCWH</v>
      </c>
      <c r="J106" s="224">
        <f t="shared" si="32"/>
        <v>2030</v>
      </c>
      <c r="K106" s="81"/>
      <c r="L106" s="199">
        <f t="shared" ca="1" si="94"/>
        <v>0.9</v>
      </c>
      <c r="M106" s="199"/>
      <c r="N106" s="81"/>
      <c r="O106" s="723">
        <f t="shared" ca="1" si="95"/>
        <v>4.4022727272727282</v>
      </c>
      <c r="P106" s="723">
        <f t="shared" ca="1" si="96"/>
        <v>0.267455</v>
      </c>
      <c r="Q106" s="81">
        <f t="shared" ca="1" si="97"/>
        <v>5.8461805555555557</v>
      </c>
      <c r="R106" s="300"/>
      <c r="S106" s="300"/>
      <c r="T106" s="300"/>
      <c r="U106" s="300"/>
      <c r="V106" s="199">
        <f t="shared" ref="V106" ca="1" si="106">IF(IF(RIGHT(H105,2)="PH",(1-L106)+$W$2,IF(RIGHT(H105,2)="HT",(1-L106)+$W$1,IF(RIGHT(H105,2)="SH",(1-L106)+$W$3,"")))&gt;0,IF(RIGHT(H105,2)="PH",(1-L106)+$W$2,IF(RIGHT(H105,2)="HT",(1-L106)+$W$1,IF(RIGHT(H105,2)="SH",(1-L106)+$W$3,""))),0)</f>
        <v>9.9999999999999978E-2</v>
      </c>
      <c r="W106" s="298"/>
      <c r="X106" s="698">
        <f t="shared" ca="1" si="79"/>
        <v>11</v>
      </c>
      <c r="Y106" s="698">
        <f t="shared" ca="1" si="99"/>
        <v>49</v>
      </c>
      <c r="Z106" s="698">
        <f t="shared" ca="1" si="100"/>
        <v>8</v>
      </c>
      <c r="AA106" s="698">
        <f t="shared" ca="1" si="101"/>
        <v>3</v>
      </c>
      <c r="AB106" s="698">
        <f t="shared" ca="1" si="102"/>
        <v>10</v>
      </c>
      <c r="AC106" s="55"/>
      <c r="AD106" s="81">
        <v>2030</v>
      </c>
      <c r="AE106" s="81"/>
      <c r="AF106" s="700"/>
    </row>
    <row r="107" spans="2:32">
      <c r="B107" s="719" t="s">
        <v>1008</v>
      </c>
      <c r="C107" s="713"/>
      <c r="D107" s="701"/>
      <c r="E107" s="701"/>
      <c r="F107" s="224" t="s">
        <v>1149</v>
      </c>
      <c r="G107" s="203"/>
      <c r="H107" s="702"/>
      <c r="I107" s="702" t="str">
        <f t="shared" si="22"/>
        <v>INDCWH</v>
      </c>
      <c r="J107" s="224">
        <f t="shared" si="32"/>
        <v>2050</v>
      </c>
      <c r="K107" s="81"/>
      <c r="L107" s="199">
        <f t="shared" ca="1" si="94"/>
        <v>0.91</v>
      </c>
      <c r="M107" s="199"/>
      <c r="N107" s="81"/>
      <c r="O107" s="723">
        <f t="shared" ca="1" si="95"/>
        <v>3.9959090909090884</v>
      </c>
      <c r="P107" s="723">
        <f t="shared" ca="1" si="96"/>
        <v>0.25106499999999998</v>
      </c>
      <c r="Q107" s="81">
        <f t="shared" ca="1" si="97"/>
        <v>5.8937777777777782</v>
      </c>
      <c r="R107" s="300"/>
      <c r="S107" s="300"/>
      <c r="T107" s="300"/>
      <c r="U107" s="300"/>
      <c r="V107" s="199">
        <f t="shared" ref="V107" ca="1" si="107">IF(IF(RIGHT(H105,2)="PH",(1-L107)+$W$2,IF(RIGHT(H105,2)="HT",(1-L107)+$W$1,IF(RIGHT(H105,2)="SH",(1-L107)+$W$3,"")))&gt;0,IF(RIGHT(H105,2)="PH",(1-L107)+$W$2,IF(RIGHT(H105,2)="HT",(1-L107)+$W$1,IF(RIGHT(H105,2)="SH",(1-L107)+$W$3,""))),0)</f>
        <v>8.9999999999999969E-2</v>
      </c>
      <c r="W107" s="298"/>
      <c r="X107" s="698">
        <f t="shared" ca="1" si="79"/>
        <v>11</v>
      </c>
      <c r="Y107" s="698">
        <f t="shared" ca="1" si="99"/>
        <v>41</v>
      </c>
      <c r="Z107" s="698">
        <f t="shared" ca="1" si="100"/>
        <v>4</v>
      </c>
      <c r="AA107" s="698">
        <f t="shared" ca="1" si="101"/>
        <v>1</v>
      </c>
      <c r="AB107" s="698">
        <f t="shared" ca="1" si="102"/>
        <v>10</v>
      </c>
      <c r="AC107" s="55"/>
      <c r="AD107" s="81">
        <v>2050</v>
      </c>
      <c r="AE107" s="81"/>
      <c r="AF107" s="700"/>
    </row>
    <row r="108" spans="2:32">
      <c r="B108" s="717" t="s">
        <v>1008</v>
      </c>
      <c r="C108" s="712"/>
      <c r="D108" s="707" t="str">
        <f>"IND"&amp;RIGHT(H108,4)&amp;RIGHT(G108,3)&amp;"N"&amp;RIGHT(E108,1)</f>
        <v>INDCDPHWCHN4</v>
      </c>
      <c r="E108" s="707" t="str">
        <f>"Industrial heating technology "&amp;$AJ$12&amp;" "&amp;RIGHT(H108,2)&amp;" - Wood chip boiler (Hot Water - condensing) - new 4"</f>
        <v>Industrial heating technology Chemical PH - Wood chip boiler (Hot Water - condensing) - new 4</v>
      </c>
      <c r="F108" s="224" t="s">
        <v>1149</v>
      </c>
      <c r="G108" s="708" t="s">
        <v>498</v>
      </c>
      <c r="H108" s="708" t="str">
        <f>$AI$14</f>
        <v>ICDPH</v>
      </c>
      <c r="I108" s="708" t="str">
        <f t="shared" si="22"/>
        <v>INDCWH</v>
      </c>
      <c r="J108" s="224">
        <f t="shared" si="32"/>
        <v>2011</v>
      </c>
      <c r="K108" s="299">
        <v>2025</v>
      </c>
      <c r="L108" s="199">
        <f t="shared" ref="L108:L113" ca="1" si="108">VLOOKUP($AD108,INDIRECT("'"&amp;$B108&amp;"'!"&amp;"$P$279:$AD$282"),3,FALSE)</f>
        <v>1.1618960947726835</v>
      </c>
      <c r="M108" s="199"/>
      <c r="N108" s="81">
        <f ca="1">VLOOKUP($AD108,INDIRECT("'"&amp;$B108&amp;"'!"&amp;"$P$279:$AD$282"),5,FALSE)</f>
        <v>25</v>
      </c>
      <c r="O108" s="723">
        <f t="shared" ref="O108:O113" ca="1" si="109">VLOOKUP($AD108,INDIRECT("'"&amp;$B108&amp;"'!"&amp;"$P$279:$AD$282"),6,FALSE)/1000</f>
        <v>5.0660000000000007</v>
      </c>
      <c r="P108" s="723">
        <f t="shared" ref="P108:P113" ca="1" si="110">VLOOKUP($AD108,INDIRECT("'"&amp;$B108&amp;"'!"&amp;"$P$279:$AD$282"),7,FALSE)/1000</f>
        <v>0.27564999999999995</v>
      </c>
      <c r="Q108" s="81">
        <f t="shared" ref="Q108:Q113" ca="1" si="111">VLOOKUP($AD108,INDIRECT("'"&amp;$B108&amp;"'!"&amp;"$P$279:$AD$282"),8,FALSE)</f>
        <v>5.7509861111111107</v>
      </c>
      <c r="R108" s="81">
        <v>3.1536000000000002E-2</v>
      </c>
      <c r="S108" s="199">
        <v>0.5</v>
      </c>
      <c r="T108" s="199">
        <f ca="1">HLOOKUP($T$2,INDIRECT("'"&amp;$B108&amp;"'!"&amp;"$P$246:$AC$259"),IF(H108=$AI$13,6,IF(H108=$AI$14,9,14)),FALSE)</f>
        <v>0</v>
      </c>
      <c r="U108" s="773"/>
      <c r="V108" s="199">
        <f t="shared" ref="V108" ca="1" si="112">IF(IF(RIGHT(H108,2)="PH",(1-L108)+$W$2,IF(RIGHT(H108,2)="HT",(1-L108)+$W$1,IF(RIGHT(H108,2)="SH",(1-L108)+$W$3,"")))&gt;0,IF(RIGHT(H108,2)="PH",(1-L108)+$W$2,IF(RIGHT(H108,2)="HT",(1-L108)+$W$1,IF(RIGHT(H108,2)="SH",(1-L108)+$W$3,""))),0)</f>
        <v>3.8103905227316492E-2</v>
      </c>
      <c r="W108" s="709"/>
      <c r="X108" s="698">
        <f t="shared" ca="1" si="79"/>
        <v>11</v>
      </c>
      <c r="Y108" s="698">
        <f t="shared" ref="Y108:Y113" ca="1" si="113">VLOOKUP($AD108,INDIRECT("'"&amp;$B108&amp;"'!"&amp;"$P$279:$AD$282"),12,FALSE)</f>
        <v>63</v>
      </c>
      <c r="Z108" s="698">
        <f t="shared" ref="Z108:Z113" ca="1" si="114">VLOOKUP($AD108,INDIRECT("'"&amp;$B108&amp;"'!"&amp;"$P$279:$AD$282"),13,FALSE)</f>
        <v>11</v>
      </c>
      <c r="AA108" s="698">
        <f t="shared" ref="AA108:AA113" ca="1" si="115">VLOOKUP($AD108,INDIRECT("'"&amp;$B108&amp;"'!"&amp;"$P$279:$AD$282"),14,FALSE)</f>
        <v>3</v>
      </c>
      <c r="AB108" s="698">
        <f t="shared" ref="AB108:AB113" ca="1" si="116">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22"/>
        <v>INDCWH</v>
      </c>
      <c r="J109" s="224">
        <f t="shared" si="32"/>
        <v>2030</v>
      </c>
      <c r="K109" s="81"/>
      <c r="L109" s="199">
        <f t="shared" ca="1" si="108"/>
        <v>1.1618960947726835</v>
      </c>
      <c r="M109" s="199"/>
      <c r="N109" s="81"/>
      <c r="O109" s="723">
        <f t="shared" ca="1" si="109"/>
        <v>4.8425000000000002</v>
      </c>
      <c r="P109" s="723">
        <f t="shared" ca="1" si="110"/>
        <v>0.267455</v>
      </c>
      <c r="Q109" s="81">
        <f t="shared" ca="1" si="111"/>
        <v>5.8461805555555557</v>
      </c>
      <c r="R109" s="300"/>
      <c r="S109" s="300"/>
      <c r="T109" s="300"/>
      <c r="U109" s="300"/>
      <c r="V109" s="199">
        <f t="shared" ref="V109" ca="1" si="117">IF(IF(RIGHT(H108,2)="PH",(1-L109)+$W$2,IF(RIGHT(H108,2)="HT",(1-L109)+$W$1,IF(RIGHT(H108,2)="SH",(1-L109)+$W$3,"")))&gt;0,IF(RIGHT(H108,2)="PH",(1-L109)+$W$2,IF(RIGHT(H108,2)="HT",(1-L109)+$W$1,IF(RIGHT(H108,2)="SH",(1-L109)+$W$3,""))),0)</f>
        <v>3.8103905227316492E-2</v>
      </c>
      <c r="W109" s="298"/>
      <c r="X109" s="698">
        <f t="shared" ca="1" si="79"/>
        <v>11</v>
      </c>
      <c r="Y109" s="698">
        <f t="shared" ca="1" si="113"/>
        <v>49</v>
      </c>
      <c r="Z109" s="698">
        <f t="shared" ca="1" si="114"/>
        <v>8</v>
      </c>
      <c r="AA109" s="698">
        <f t="shared" ca="1" si="115"/>
        <v>3</v>
      </c>
      <c r="AB109" s="698">
        <f t="shared" ca="1" si="116"/>
        <v>10</v>
      </c>
      <c r="AC109" s="55"/>
      <c r="AD109" s="81">
        <v>2030</v>
      </c>
      <c r="AE109" s="81"/>
      <c r="AF109" s="700"/>
    </row>
    <row r="110" spans="2:32">
      <c r="B110" s="718" t="s">
        <v>1008</v>
      </c>
      <c r="C110" s="226"/>
      <c r="D110" s="261"/>
      <c r="E110" s="261"/>
      <c r="F110" s="224" t="s">
        <v>1149</v>
      </c>
      <c r="G110" s="55"/>
      <c r="H110" s="174"/>
      <c r="I110" s="174" t="str">
        <f t="shared" si="22"/>
        <v>INDCWH</v>
      </c>
      <c r="J110" s="224">
        <f t="shared" si="32"/>
        <v>2050</v>
      </c>
      <c r="K110" s="81"/>
      <c r="L110" s="199">
        <f t="shared" ca="1" si="108"/>
        <v>1.1618960947726835</v>
      </c>
      <c r="M110" s="199"/>
      <c r="N110" s="81"/>
      <c r="O110" s="723">
        <f t="shared" ca="1" si="109"/>
        <v>4.3955000000000002</v>
      </c>
      <c r="P110" s="723">
        <f t="shared" ca="1" si="110"/>
        <v>0.25106499999999998</v>
      </c>
      <c r="Q110" s="81">
        <f t="shared" ca="1" si="111"/>
        <v>5.8937777777777782</v>
      </c>
      <c r="R110" s="300"/>
      <c r="S110" s="300"/>
      <c r="T110" s="300"/>
      <c r="U110" s="300"/>
      <c r="V110" s="199">
        <f t="shared" ref="V110" ca="1" si="118">IF(IF(RIGHT(H108,2)="PH",(1-L110)+$W$2,IF(RIGHT(H108,2)="HT",(1-L110)+$W$1,IF(RIGHT(H108,2)="SH",(1-L110)+$W$3,"")))&gt;0,IF(RIGHT(H108,2)="PH",(1-L110)+$W$2,IF(RIGHT(H108,2)="HT",(1-L110)+$W$1,IF(RIGHT(H108,2)="SH",(1-L110)+$W$3,""))),0)</f>
        <v>3.8103905227316492E-2</v>
      </c>
      <c r="W110" s="298"/>
      <c r="X110" s="698">
        <f t="shared" ca="1" si="79"/>
        <v>11</v>
      </c>
      <c r="Y110" s="698">
        <f t="shared" ca="1" si="113"/>
        <v>41</v>
      </c>
      <c r="Z110" s="698">
        <f t="shared" ca="1" si="114"/>
        <v>4</v>
      </c>
      <c r="AA110" s="698">
        <f t="shared" ca="1" si="115"/>
        <v>1</v>
      </c>
      <c r="AB110" s="698">
        <f t="shared" ca="1" si="116"/>
        <v>10</v>
      </c>
      <c r="AC110" s="203"/>
      <c r="AD110" s="81">
        <v>2050</v>
      </c>
      <c r="AE110" s="81"/>
      <c r="AF110" s="705"/>
    </row>
    <row r="111" spans="2:32">
      <c r="B111" s="718" t="s">
        <v>1008</v>
      </c>
      <c r="C111" s="226"/>
      <c r="D111" s="261" t="str">
        <f>"IND"&amp;RIGHT(H111,4)&amp;RIGHT(G111,3)&amp;"N"&amp;RIGHT(E111,1)</f>
        <v>INDCDSHWCHN4</v>
      </c>
      <c r="E111" s="261" t="str">
        <f>"Industrial heating technology "&amp;$AJ$12&amp;" "&amp;RIGHT(H111,2)&amp;" - Wood chip boiler (Hot Water- condensing) - new 4"</f>
        <v>Industrial heating technology Chemical SH - Wood chip boiler (Hot Water- condensing) - new 4</v>
      </c>
      <c r="F111" s="224" t="s">
        <v>1149</v>
      </c>
      <c r="G111" s="174" t="s">
        <v>498</v>
      </c>
      <c r="H111" s="174" t="str">
        <f>$AI$15</f>
        <v>ICDSH</v>
      </c>
      <c r="I111" s="174" t="str">
        <f t="shared" si="22"/>
        <v>INDCWH</v>
      </c>
      <c r="J111" s="224">
        <f t="shared" si="32"/>
        <v>2011</v>
      </c>
      <c r="K111" s="299">
        <v>2025</v>
      </c>
      <c r="L111" s="199">
        <f t="shared" ca="1" si="108"/>
        <v>1.1618960947726835</v>
      </c>
      <c r="M111" s="199"/>
      <c r="N111" s="81">
        <f ca="1">VLOOKUP($AD111,INDIRECT("'"&amp;$B111&amp;"'!"&amp;"$P$279:$AD$282"),5,FALSE)</f>
        <v>25</v>
      </c>
      <c r="O111" s="723">
        <f t="shared" ca="1" si="109"/>
        <v>5.0660000000000007</v>
      </c>
      <c r="P111" s="723">
        <f t="shared" ca="1" si="110"/>
        <v>0.27564999999999995</v>
      </c>
      <c r="Q111" s="81">
        <f t="shared" ca="1" si="111"/>
        <v>5.7509861111111107</v>
      </c>
      <c r="R111" s="81">
        <v>3.1536000000000002E-2</v>
      </c>
      <c r="S111" s="199">
        <v>0.5</v>
      </c>
      <c r="T111" s="199">
        <f ca="1">HLOOKUP($T$2,INDIRECT("'"&amp;$B111&amp;"'!"&amp;"$P$246:$AC$259"),IF(H111=$AI$13,6,IF(H111=$AI$14,9,14)),FALSE)</f>
        <v>1</v>
      </c>
      <c r="U111" s="773"/>
      <c r="V111" s="199">
        <f t="shared" ref="V111" ca="1" si="119">IF(IF(RIGHT(H111,2)="PH",(1-L111)+$W$2,IF(RIGHT(H111,2)="HT",(1-L111)+$W$1,IF(RIGHT(H111,2)="SH",(1-L111)+$W$3,"")))&gt;0,IF(RIGHT(H111,2)="PH",(1-L111)+$W$2,IF(RIGHT(H111,2)="HT",(1-L111)+$W$1,IF(RIGHT(H111,2)="SH",(1-L111)+$W$3,""))),0)</f>
        <v>0</v>
      </c>
      <c r="W111" s="709"/>
      <c r="X111" s="698">
        <f t="shared" ca="1" si="79"/>
        <v>11</v>
      </c>
      <c r="Y111" s="698">
        <f t="shared" ca="1" si="113"/>
        <v>63</v>
      </c>
      <c r="Z111" s="698">
        <f t="shared" ca="1" si="114"/>
        <v>11</v>
      </c>
      <c r="AA111" s="698">
        <f t="shared" ca="1" si="115"/>
        <v>3</v>
      </c>
      <c r="AB111" s="698">
        <f t="shared" ca="1" si="116"/>
        <v>10</v>
      </c>
      <c r="AD111" s="81">
        <v>2020</v>
      </c>
      <c r="AE111" s="81"/>
      <c r="AF111" s="220"/>
    </row>
    <row r="112" spans="2:32">
      <c r="B112" s="718" t="s">
        <v>1008</v>
      </c>
      <c r="C112" s="226"/>
      <c r="D112" s="261"/>
      <c r="E112" s="261"/>
      <c r="F112" s="224" t="s">
        <v>1149</v>
      </c>
      <c r="G112" s="55"/>
      <c r="H112" s="174"/>
      <c r="I112" s="174" t="str">
        <f t="shared" si="22"/>
        <v>INDCWH</v>
      </c>
      <c r="J112" s="224">
        <f t="shared" si="32"/>
        <v>2030</v>
      </c>
      <c r="K112" s="81"/>
      <c r="L112" s="199">
        <f t="shared" ca="1" si="108"/>
        <v>1.1618960947726835</v>
      </c>
      <c r="M112" s="199"/>
      <c r="N112" s="81"/>
      <c r="O112" s="723">
        <f t="shared" ca="1" si="109"/>
        <v>4.8425000000000002</v>
      </c>
      <c r="P112" s="723">
        <f t="shared" ca="1" si="110"/>
        <v>0.267455</v>
      </c>
      <c r="Q112" s="81">
        <f t="shared" ca="1" si="111"/>
        <v>5.8461805555555557</v>
      </c>
      <c r="R112" s="300"/>
      <c r="S112" s="300"/>
      <c r="T112" s="300"/>
      <c r="U112" s="300"/>
      <c r="V112" s="199">
        <f t="shared" ref="V112" ca="1" si="120">IF(IF(RIGHT(H111,2)="PH",(1-L112)+$W$2,IF(RIGHT(H111,2)="HT",(1-L112)+$W$1,IF(RIGHT(H111,2)="SH",(1-L112)+$W$3,"")))&gt;0,IF(RIGHT(H111,2)="PH",(1-L112)+$W$2,IF(RIGHT(H111,2)="HT",(1-L112)+$W$1,IF(RIGHT(H111,2)="SH",(1-L112)+$W$3,""))),0)</f>
        <v>0</v>
      </c>
      <c r="W112" s="298"/>
      <c r="X112" s="698">
        <f t="shared" ca="1" si="79"/>
        <v>11</v>
      </c>
      <c r="Y112" s="698">
        <f t="shared" ca="1" si="113"/>
        <v>49</v>
      </c>
      <c r="Z112" s="698">
        <f t="shared" ca="1" si="114"/>
        <v>8</v>
      </c>
      <c r="AA112" s="698">
        <f t="shared" ca="1" si="115"/>
        <v>3</v>
      </c>
      <c r="AB112" s="698">
        <f t="shared" ca="1" si="116"/>
        <v>10</v>
      </c>
      <c r="AD112" s="81">
        <v>2030</v>
      </c>
      <c r="AE112" s="81"/>
      <c r="AF112" s="220"/>
    </row>
    <row r="113" spans="2:32">
      <c r="B113" s="719" t="s">
        <v>1008</v>
      </c>
      <c r="C113" s="713"/>
      <c r="D113" s="701"/>
      <c r="E113" s="701"/>
      <c r="F113" s="224" t="s">
        <v>1149</v>
      </c>
      <c r="G113" s="203"/>
      <c r="H113" s="702"/>
      <c r="I113" s="702" t="str">
        <f t="shared" si="22"/>
        <v>INDCWH</v>
      </c>
      <c r="J113" s="224">
        <f t="shared" si="32"/>
        <v>2050</v>
      </c>
      <c r="K113" s="81"/>
      <c r="L113" s="199">
        <f t="shared" ca="1" si="108"/>
        <v>1.1618960947726835</v>
      </c>
      <c r="M113" s="199"/>
      <c r="N113" s="81"/>
      <c r="O113" s="723">
        <f t="shared" ca="1" si="109"/>
        <v>4.3955000000000002</v>
      </c>
      <c r="P113" s="723">
        <f t="shared" ca="1" si="110"/>
        <v>0.25106499999999998</v>
      </c>
      <c r="Q113" s="81">
        <f t="shared" ca="1" si="111"/>
        <v>5.8937777777777782</v>
      </c>
      <c r="R113" s="300"/>
      <c r="S113" s="300"/>
      <c r="T113" s="300"/>
      <c r="U113" s="300"/>
      <c r="V113" s="199">
        <f t="shared" ref="V113" ca="1" si="121">IF(IF(RIGHT(H111,2)="PH",(1-L113)+$W$2,IF(RIGHT(H111,2)="HT",(1-L113)+$W$1,IF(RIGHT(H111,2)="SH",(1-L113)+$W$3,"")))&gt;0,IF(RIGHT(H111,2)="PH",(1-L113)+$W$2,IF(RIGHT(H111,2)="HT",(1-L113)+$W$1,IF(RIGHT(H111,2)="SH",(1-L113)+$W$3,""))),0)</f>
        <v>0</v>
      </c>
      <c r="W113" s="714"/>
      <c r="X113" s="698">
        <f t="shared" ca="1" si="79"/>
        <v>11</v>
      </c>
      <c r="Y113" s="698">
        <f t="shared" ca="1" si="113"/>
        <v>41</v>
      </c>
      <c r="Z113" s="698">
        <f t="shared" ca="1" si="114"/>
        <v>4</v>
      </c>
      <c r="AA113" s="698">
        <f t="shared" ca="1" si="115"/>
        <v>1</v>
      </c>
      <c r="AB113" s="698">
        <f t="shared" ca="1" si="116"/>
        <v>10</v>
      </c>
      <c r="AD113" s="81">
        <v>2050</v>
      </c>
      <c r="AE113" s="81"/>
      <c r="AF113" s="220"/>
    </row>
    <row r="114" spans="2:32">
      <c r="B114" s="718" t="s">
        <v>1014</v>
      </c>
      <c r="C114" s="226"/>
      <c r="D114" s="212" t="str">
        <f>"IND"&amp;RIGHT(H114,4)&amp;RIGHT(G114,3)&amp;"N"&amp;RIGHT(E114,2)</f>
        <v>INDCDPHELCN10</v>
      </c>
      <c r="E114" s="261" t="str">
        <f>"Industrial heating technology "&amp;$AJ$12&amp;" "&amp;RIGHT(H114,2)&amp;" - Direct electric heating - new 10"</f>
        <v>Industrial heating technology Chemical PH - Direct electric heating - new 10</v>
      </c>
      <c r="F114" s="224" t="s">
        <v>1149</v>
      </c>
      <c r="G114" s="173" t="s">
        <v>499</v>
      </c>
      <c r="H114" s="174" t="str">
        <f>$AI$13</f>
        <v>ICDPH</v>
      </c>
      <c r="I114" s="174" t="str">
        <f t="shared" si="22"/>
        <v>INDCWH</v>
      </c>
      <c r="J114" s="224">
        <f t="shared" si="32"/>
        <v>2011</v>
      </c>
      <c r="K114" s="299">
        <v>2020</v>
      </c>
      <c r="L114" s="199">
        <f t="shared" ref="L114:L128" ca="1" si="122">VLOOKUP($AD114,INDIRECT("'"&amp;$B114&amp;"'!"&amp;"$P$39:$AD$42"),3,FALSE)</f>
        <v>1</v>
      </c>
      <c r="M114" s="199"/>
      <c r="N114" s="81">
        <f ca="1">VLOOKUP($AD114,INDIRECT("'"&amp;$B114&amp;"'!"&amp;"$P$39:$AD$42"),5,FALSE)</f>
        <v>12.5</v>
      </c>
      <c r="O114" s="723">
        <f t="shared" ref="O114:O128" ca="1" si="123">VLOOKUP($AD114,INDIRECT("'"&amp;$B114&amp;"'!"&amp;"$P$39:$AD$42"),6,FALSE)/1000</f>
        <v>0.44700000000000001</v>
      </c>
      <c r="P114" s="723">
        <f t="shared" ref="P114:P128" ca="1" si="124">VLOOKUP($AD114,INDIRECT("'"&amp;$B114&amp;"'!"&amp;"$P$39:$AD$42"),7,FALSE)/1000</f>
        <v>0</v>
      </c>
      <c r="Q114" s="81">
        <f t="shared" ref="Q114:Q128" ca="1" si="125">VLOOKUP($AD114,INDIRECT("'"&amp;$B114&amp;"'!"&amp;"$P$39:$AD$42"),8,FALSE)</f>
        <v>0.37767361111111114</v>
      </c>
      <c r="R114" s="81">
        <v>3.1536000000000002E-2</v>
      </c>
      <c r="S114" s="199">
        <v>0.5</v>
      </c>
      <c r="T114" s="199">
        <f ca="1">HLOOKUP($S$2,INDIRECT("'"&amp;$B114&amp;"'!"&amp;"$P$6:$AC$19"),IF(H114=$AI$13,6,IF(H114=$AI$14,9,14)),FALSE)</f>
        <v>0.2</v>
      </c>
      <c r="U114" s="772"/>
      <c r="V114" s="199">
        <f t="shared" ref="V114" ca="1" si="126">IF(IF(RIGHT(H114,2)="PH",(1-L114)+$W$2,IF(RIGHT(H114,2)="HT",(1-L114)+$W$1,IF(RIGHT(H114,2)="SH",(1-L114)+$W$3,"")))&gt;0,IF(RIGHT(H114,2)="PH",(1-L114)+$W$2,IF(RIGHT(H114,2)="HT",(1-L114)+$W$1,IF(RIGHT(H114,2)="SH",(1-L114)+$W$3,""))),0)</f>
        <v>0.2</v>
      </c>
      <c r="W114" s="298"/>
      <c r="X114" s="698">
        <f t="shared" ca="1" si="79"/>
        <v>0</v>
      </c>
      <c r="Y114" s="81">
        <f t="shared" ref="Y114:Y128" ca="1" si="127">VLOOKUP($AD114,INDIRECT("'"&amp;$B114&amp;"'!"&amp;"$P$39:$AD$42"),12,FALSE)</f>
        <v>0</v>
      </c>
      <c r="Z114" s="81">
        <f t="shared" ref="Z114:Z128" ca="1" si="128">VLOOKUP($AD114,INDIRECT("'"&amp;$B114&amp;"'!"&amp;"$P$39:$AD$42"),13,FALSE)</f>
        <v>0</v>
      </c>
      <c r="AA114" s="81">
        <f t="shared" ref="AA114:AA128" ca="1" si="129">VLOOKUP($AD114,INDIRECT("'"&amp;$B114&amp;"'!"&amp;"$P$39:$AD$42"),14,FALSE)</f>
        <v>0</v>
      </c>
      <c r="AB114" s="81">
        <f t="shared" ref="AB114:AB128" ca="1" si="130">VLOOKUP($AD114,INDIRECT("'"&amp;$B114&amp;"'!"&amp;"$P$39:$AD$42"),15,FALSE)</f>
        <v>0</v>
      </c>
      <c r="AD114" s="81">
        <v>2020</v>
      </c>
      <c r="AE114" s="81"/>
      <c r="AF114" s="220"/>
    </row>
    <row r="115" spans="2:32">
      <c r="B115" s="718" t="s">
        <v>1014</v>
      </c>
      <c r="C115" s="226"/>
      <c r="D115" s="212"/>
      <c r="E115" s="212"/>
      <c r="F115" s="224" t="s">
        <v>1149</v>
      </c>
      <c r="H115" s="174"/>
      <c r="I115" s="174" t="str">
        <f t="shared" si="22"/>
        <v>INDCWH</v>
      </c>
      <c r="J115" s="224">
        <f t="shared" si="32"/>
        <v>2030</v>
      </c>
      <c r="K115" s="81"/>
      <c r="L115" s="199">
        <f t="shared" ca="1" si="122"/>
        <v>1</v>
      </c>
      <c r="M115" s="199"/>
      <c r="N115" s="81"/>
      <c r="O115" s="723">
        <f t="shared" ca="1" si="123"/>
        <v>0.44700000000000001</v>
      </c>
      <c r="P115" s="723">
        <f t="shared" ca="1" si="124"/>
        <v>0</v>
      </c>
      <c r="Q115" s="81">
        <f t="shared" ca="1" si="125"/>
        <v>0.38802083333333331</v>
      </c>
      <c r="R115" s="300"/>
      <c r="S115" s="300"/>
      <c r="T115" s="300"/>
      <c r="U115" s="300"/>
      <c r="V115" s="199">
        <f t="shared" ref="V115" ca="1" si="131">IF(IF(RIGHT(H114,2)="PH",(1-L115)+$W$2,IF(RIGHT(H114,2)="HT",(1-L115)+$W$1,IF(RIGHT(H114,2)="SH",(1-L115)+$W$3,"")))&gt;0,IF(RIGHT(H114,2)="PH",(1-L115)+$W$2,IF(RIGHT(H114,2)="HT",(1-L115)+$W$1,IF(RIGHT(H114,2)="SH",(1-L115)+$W$3,""))),0)</f>
        <v>0.2</v>
      </c>
      <c r="W115" s="298"/>
      <c r="X115" s="698">
        <f t="shared" ca="1" si="79"/>
        <v>0</v>
      </c>
      <c r="Y115" s="81">
        <f t="shared" ca="1" si="127"/>
        <v>0</v>
      </c>
      <c r="Z115" s="81">
        <f t="shared" ca="1" si="128"/>
        <v>0</v>
      </c>
      <c r="AA115" s="81">
        <f t="shared" ca="1" si="129"/>
        <v>0</v>
      </c>
      <c r="AB115" s="81">
        <f t="shared" ca="1" si="130"/>
        <v>0</v>
      </c>
      <c r="AD115" s="81">
        <v>2030</v>
      </c>
      <c r="AE115" s="81"/>
      <c r="AF115" s="220"/>
    </row>
    <row r="116" spans="2:32">
      <c r="B116" s="718" t="s">
        <v>1014</v>
      </c>
      <c r="C116" s="226"/>
      <c r="D116" s="212"/>
      <c r="E116" s="212"/>
      <c r="F116" s="224" t="s">
        <v>1149</v>
      </c>
      <c r="H116" s="174"/>
      <c r="I116" s="174" t="str">
        <f t="shared" si="22"/>
        <v>INDCWH</v>
      </c>
      <c r="J116" s="224">
        <f t="shared" si="32"/>
        <v>2050</v>
      </c>
      <c r="K116" s="81"/>
      <c r="L116" s="199">
        <f t="shared" ca="1" si="122"/>
        <v>1</v>
      </c>
      <c r="M116" s="199"/>
      <c r="N116" s="81"/>
      <c r="O116" s="723">
        <f t="shared" ca="1" si="123"/>
        <v>0.44700000000000001</v>
      </c>
      <c r="P116" s="723">
        <f t="shared" ca="1" si="124"/>
        <v>0</v>
      </c>
      <c r="Q116" s="81">
        <f t="shared" ca="1" si="125"/>
        <v>0.39319444444444446</v>
      </c>
      <c r="R116" s="300"/>
      <c r="S116" s="300"/>
      <c r="T116" s="300"/>
      <c r="U116" s="300"/>
      <c r="V116" s="199">
        <f t="shared" ref="V116" ca="1" si="132">IF(IF(RIGHT(H114,2)="PH",(1-L116)+$W$2,IF(RIGHT(H114,2)="HT",(1-L116)+$W$1,IF(RIGHT(H114,2)="SH",(1-L116)+$W$3,"")))&gt;0,IF(RIGHT(H114,2)="PH",(1-L116)+$W$2,IF(RIGHT(H114,2)="HT",(1-L116)+$W$1,IF(RIGHT(H114,2)="SH",(1-L116)+$W$3,""))),0)</f>
        <v>0.2</v>
      </c>
      <c r="W116" s="298"/>
      <c r="X116" s="698">
        <f t="shared" ca="1" si="79"/>
        <v>0</v>
      </c>
      <c r="Y116" s="81">
        <f t="shared" ca="1" si="127"/>
        <v>0</v>
      </c>
      <c r="Z116" s="81">
        <f t="shared" ca="1" si="128"/>
        <v>0</v>
      </c>
      <c r="AA116" s="81">
        <f t="shared" ca="1" si="129"/>
        <v>0</v>
      </c>
      <c r="AB116" s="81">
        <f t="shared" ca="1" si="130"/>
        <v>0</v>
      </c>
      <c r="AC116" s="203"/>
      <c r="AD116" s="81">
        <v>2050</v>
      </c>
      <c r="AE116" s="81"/>
      <c r="AF116" s="705"/>
    </row>
    <row r="117" spans="2:32">
      <c r="B117" s="718" t="s">
        <v>1014</v>
      </c>
      <c r="C117" s="226"/>
      <c r="D117" s="212" t="str">
        <f>"IND"&amp;RIGHT(H117,4)&amp;RIGHT(G117,3)&amp;"N"&amp;RIGHT(E117,2)</f>
        <v>INDCDPHELCN10</v>
      </c>
      <c r="E117" s="261" t="str">
        <f>"Industrial heating technology "&amp;$AJ$12&amp;" "&amp;RIGHT(H117,2)&amp;" - Direct electric heating - new 10"</f>
        <v>Industrial heating technology Chemical PH - Direct electric heating - new 10</v>
      </c>
      <c r="F117" s="224" t="s">
        <v>1149</v>
      </c>
      <c r="G117" s="173" t="s">
        <v>499</v>
      </c>
      <c r="H117" s="174" t="str">
        <f>$AI$14</f>
        <v>ICDPH</v>
      </c>
      <c r="I117" s="174" t="str">
        <f t="shared" si="22"/>
        <v>INDCWH</v>
      </c>
      <c r="J117" s="224">
        <f t="shared" si="32"/>
        <v>2011</v>
      </c>
      <c r="K117" s="299">
        <v>2020</v>
      </c>
      <c r="L117" s="199">
        <f t="shared" ca="1" si="122"/>
        <v>1</v>
      </c>
      <c r="M117" s="199"/>
      <c r="N117" s="81">
        <f ca="1">VLOOKUP($AD117,INDIRECT("'"&amp;$B117&amp;"'!"&amp;"$P$39:$AD$42"),5,FALSE)</f>
        <v>12.5</v>
      </c>
      <c r="O117" s="723">
        <f t="shared" ca="1" si="123"/>
        <v>0.44700000000000001</v>
      </c>
      <c r="P117" s="723">
        <f t="shared" ca="1" si="124"/>
        <v>0</v>
      </c>
      <c r="Q117" s="81">
        <f t="shared" ca="1" si="125"/>
        <v>0.37767361111111114</v>
      </c>
      <c r="R117" s="81">
        <v>3.1536000000000002E-2</v>
      </c>
      <c r="S117" s="199">
        <v>0.5</v>
      </c>
      <c r="T117" s="199">
        <f ca="1">HLOOKUP($S$2,INDIRECT("'"&amp;$B117&amp;"'!"&amp;"$P$6:$AC$19"),IF(H117=$AI$13,6,IF(H117=$AI$14,9,14)),FALSE)</f>
        <v>0.2</v>
      </c>
      <c r="U117" s="772"/>
      <c r="V117" s="199">
        <f t="shared" ref="V117" ca="1" si="133">IF(IF(RIGHT(H117,2)="PH",(1-L117)+$W$2,IF(RIGHT(H117,2)="HT",(1-L117)+$W$1,IF(RIGHT(H117,2)="SH",(1-L117)+$W$3,"")))&gt;0,IF(RIGHT(H117,2)="PH",(1-L117)+$W$2,IF(RIGHT(H117,2)="HT",(1-L117)+$W$1,IF(RIGHT(H117,2)="SH",(1-L117)+$W$3,""))),0)</f>
        <v>0.2</v>
      </c>
      <c r="W117" s="298"/>
      <c r="X117" s="698">
        <f t="shared" ca="1" si="79"/>
        <v>0</v>
      </c>
      <c r="Y117" s="81">
        <f t="shared" ca="1" si="127"/>
        <v>0</v>
      </c>
      <c r="Z117" s="81">
        <f t="shared" ca="1" si="128"/>
        <v>0</v>
      </c>
      <c r="AA117" s="81">
        <f t="shared" ca="1" si="129"/>
        <v>0</v>
      </c>
      <c r="AB117" s="81">
        <f t="shared" ca="1" si="130"/>
        <v>0</v>
      </c>
      <c r="AD117" s="81">
        <v>2020</v>
      </c>
      <c r="AE117" s="299"/>
      <c r="AF117" s="220"/>
    </row>
    <row r="118" spans="2:32">
      <c r="B118" s="718" t="s">
        <v>1014</v>
      </c>
      <c r="C118" s="226"/>
      <c r="D118" s="212"/>
      <c r="E118" s="212"/>
      <c r="F118" s="224" t="s">
        <v>1149</v>
      </c>
      <c r="H118" s="174"/>
      <c r="I118" s="174" t="str">
        <f t="shared" si="22"/>
        <v>INDCWH</v>
      </c>
      <c r="J118" s="224">
        <f t="shared" si="32"/>
        <v>2030</v>
      </c>
      <c r="K118" s="81"/>
      <c r="L118" s="199">
        <f t="shared" ca="1" si="122"/>
        <v>1</v>
      </c>
      <c r="M118" s="199"/>
      <c r="N118" s="81"/>
      <c r="O118" s="723">
        <f t="shared" ca="1" si="123"/>
        <v>0.44700000000000001</v>
      </c>
      <c r="P118" s="723">
        <f t="shared" ca="1" si="124"/>
        <v>0</v>
      </c>
      <c r="Q118" s="81">
        <f t="shared" ca="1" si="125"/>
        <v>0.38802083333333331</v>
      </c>
      <c r="R118" s="300"/>
      <c r="S118" s="300"/>
      <c r="T118" s="300"/>
      <c r="U118" s="300"/>
      <c r="V118" s="199">
        <f t="shared" ref="V118" ca="1" si="134">IF(IF(RIGHT(H117,2)="PH",(1-L118)+$W$2,IF(RIGHT(H117,2)="HT",(1-L118)+$W$1,IF(RIGHT(H117,2)="SH",(1-L118)+$W$3,"")))&gt;0,IF(RIGHT(H117,2)="PH",(1-L118)+$W$2,IF(RIGHT(H117,2)="HT",(1-L118)+$W$1,IF(RIGHT(H117,2)="SH",(1-L118)+$W$3,""))),0)</f>
        <v>0.2</v>
      </c>
      <c r="W118" s="298"/>
      <c r="X118" s="698">
        <f t="shared" ca="1" si="79"/>
        <v>0</v>
      </c>
      <c r="Y118" s="81">
        <f t="shared" ca="1" si="127"/>
        <v>0</v>
      </c>
      <c r="Z118" s="81">
        <f t="shared" ca="1" si="128"/>
        <v>0</v>
      </c>
      <c r="AA118" s="81">
        <f t="shared" ca="1" si="129"/>
        <v>0</v>
      </c>
      <c r="AB118" s="81">
        <f t="shared" ca="1" si="130"/>
        <v>0</v>
      </c>
      <c r="AD118" s="81">
        <v>2030</v>
      </c>
      <c r="AE118" s="81"/>
      <c r="AF118" s="220"/>
    </row>
    <row r="119" spans="2:32">
      <c r="B119" s="719" t="s">
        <v>1014</v>
      </c>
      <c r="C119" s="713"/>
      <c r="D119" s="701"/>
      <c r="E119" s="701"/>
      <c r="F119" s="224" t="s">
        <v>1149</v>
      </c>
      <c r="G119" s="203"/>
      <c r="H119" s="702"/>
      <c r="I119" s="702" t="str">
        <f t="shared" si="22"/>
        <v>INDCWH</v>
      </c>
      <c r="J119" s="224">
        <f t="shared" si="32"/>
        <v>2050</v>
      </c>
      <c r="K119" s="81"/>
      <c r="L119" s="199">
        <f t="shared" ca="1" si="122"/>
        <v>1</v>
      </c>
      <c r="M119" s="199"/>
      <c r="N119" s="81"/>
      <c r="O119" s="723">
        <f t="shared" ca="1" si="123"/>
        <v>0.44700000000000001</v>
      </c>
      <c r="P119" s="723">
        <f t="shared" ca="1" si="124"/>
        <v>0</v>
      </c>
      <c r="Q119" s="81">
        <f t="shared" ca="1" si="125"/>
        <v>0.39319444444444446</v>
      </c>
      <c r="R119" s="703"/>
      <c r="S119" s="703"/>
      <c r="T119" s="703"/>
      <c r="U119" s="703"/>
      <c r="V119" s="199">
        <f t="shared" ref="V119" ca="1" si="135">IF(IF(RIGHT(H117,2)="PH",(1-L119)+$W$2,IF(RIGHT(H117,2)="HT",(1-L119)+$W$1,IF(RIGHT(H117,2)="SH",(1-L119)+$W$3,"")))&gt;0,IF(RIGHT(H117,2)="PH",(1-L119)+$W$2,IF(RIGHT(H117,2)="HT",(1-L119)+$W$1,IF(RIGHT(H117,2)="SH",(1-L119)+$W$3,""))),0)</f>
        <v>0.2</v>
      </c>
      <c r="W119" s="704"/>
      <c r="X119" s="698">
        <f t="shared" ca="1" si="79"/>
        <v>0</v>
      </c>
      <c r="Y119" s="81">
        <f t="shared" ca="1" si="127"/>
        <v>0</v>
      </c>
      <c r="Z119" s="81">
        <f t="shared" ca="1" si="128"/>
        <v>0</v>
      </c>
      <c r="AA119" s="81">
        <f t="shared" ca="1" si="129"/>
        <v>0</v>
      </c>
      <c r="AB119" s="81">
        <f t="shared" ca="1" si="130"/>
        <v>0</v>
      </c>
      <c r="AD119" s="81">
        <v>2050</v>
      </c>
      <c r="AE119" s="81"/>
      <c r="AF119" s="220"/>
    </row>
    <row r="120" spans="2:32">
      <c r="B120" s="718" t="s">
        <v>1009</v>
      </c>
      <c r="C120" s="226"/>
      <c r="D120" s="212" t="str">
        <f>"IND"&amp;RIGHT(H120,4)&amp;"DSL"&amp;"N"&amp;RIGHT(E120,1)</f>
        <v>INDCDPHDSLN1</v>
      </c>
      <c r="E120" s="261" t="str">
        <f>"Industrial heating technology "&amp;$AJ$12&amp;" "&amp;RIGHT(H120,2)&amp;" - Oil boiler (Steam) - new 1"</f>
        <v>Industrial heating technology Chemical PH - Oil boiler (Steam) - new 1</v>
      </c>
      <c r="F120" s="224" t="s">
        <v>1149</v>
      </c>
      <c r="G120" s="173" t="s">
        <v>2081</v>
      </c>
      <c r="H120" s="174" t="str">
        <f>$AI$13</f>
        <v>ICDPH</v>
      </c>
      <c r="I120" s="174" t="str">
        <f t="shared" si="22"/>
        <v>INDCWH</v>
      </c>
      <c r="J120" s="224">
        <f t="shared" si="32"/>
        <v>2011</v>
      </c>
      <c r="K120" s="299">
        <v>2025</v>
      </c>
      <c r="L120" s="199">
        <f t="shared" ca="1" si="122"/>
        <v>0.94</v>
      </c>
      <c r="M120" s="699"/>
      <c r="N120" s="299">
        <f ca="1">VLOOKUP($AD120,INDIRECT("'"&amp;$B120&amp;"'!"&amp;"$P$39:$AD$42"),5,FALSE)</f>
        <v>25</v>
      </c>
      <c r="O120" s="725">
        <f t="shared" ca="1" si="123"/>
        <v>0.40975</v>
      </c>
      <c r="P120" s="725">
        <f t="shared" ca="1" si="124"/>
        <v>1.341E-2</v>
      </c>
      <c r="Q120" s="299">
        <f t="shared" ca="1" si="125"/>
        <v>2.0694444444444446</v>
      </c>
      <c r="R120" s="299">
        <v>3.1536000000000002E-2</v>
      </c>
      <c r="S120" s="699">
        <v>0.5</v>
      </c>
      <c r="T120" s="699">
        <f ca="1">HLOOKUP($T$2,INDIRECT("'"&amp;$B120&amp;"'!"&amp;"$P$6:$AC$19"),IF(H120=$AI$13,6,IF(H120=$AI$14,9,14)),FALSE)</f>
        <v>1</v>
      </c>
      <c r="U120" s="772"/>
      <c r="V120" s="199">
        <f t="shared" ref="V120" ca="1" si="136">IF(IF(RIGHT(H120,2)="PH",(1-L120)+$W$2,IF(RIGHT(H120,2)="HT",(1-L120)+$W$1,IF(RIGHT(H120,2)="SH",(1-L120)+$W$3,"")))&gt;0,IF(RIGHT(H120,2)="PH",(1-L120)+$W$2,IF(RIGHT(H120,2)="HT",(1-L120)+$W$1,IF(RIGHT(H120,2)="SH",(1-L120)+$W$3,""))),0)</f>
        <v>0.26000000000000006</v>
      </c>
      <c r="W120" s="298"/>
      <c r="X120" s="698">
        <f t="shared" ca="1" si="79"/>
        <v>0.5</v>
      </c>
      <c r="Y120" s="299">
        <f t="shared" ca="1" si="127"/>
        <v>25</v>
      </c>
      <c r="Z120" s="299">
        <f t="shared" ca="1" si="128"/>
        <v>0</v>
      </c>
      <c r="AA120" s="299">
        <f t="shared" ca="1" si="129"/>
        <v>0</v>
      </c>
      <c r="AB120" s="299">
        <f t="shared" ca="1" si="130"/>
        <v>0.1</v>
      </c>
      <c r="AD120" s="299">
        <v>2020</v>
      </c>
      <c r="AE120" s="81"/>
      <c r="AF120" s="220"/>
    </row>
    <row r="121" spans="2:32">
      <c r="B121" s="718" t="s">
        <v>1009</v>
      </c>
      <c r="C121" s="226"/>
      <c r="D121" s="212"/>
      <c r="E121" s="212"/>
      <c r="F121" s="224" t="s">
        <v>1149</v>
      </c>
      <c r="H121" s="174"/>
      <c r="I121" s="174" t="str">
        <f t="shared" si="22"/>
        <v>INDCWH</v>
      </c>
      <c r="J121" s="224">
        <f t="shared" si="32"/>
        <v>2030</v>
      </c>
      <c r="K121" s="81"/>
      <c r="L121" s="199">
        <f t="shared" ca="1" si="122"/>
        <v>0.95</v>
      </c>
      <c r="M121" s="199"/>
      <c r="N121" s="81"/>
      <c r="O121" s="723">
        <f t="shared" ca="1" si="123"/>
        <v>0.3469940346244772</v>
      </c>
      <c r="P121" s="723">
        <f t="shared" ca="1" si="124"/>
        <v>1.2664999999999999E-2</v>
      </c>
      <c r="Q121" s="81">
        <f t="shared" ca="1" si="125"/>
        <v>1.8625</v>
      </c>
      <c r="R121" s="300"/>
      <c r="S121" s="300"/>
      <c r="T121" s="300"/>
      <c r="U121" s="300"/>
      <c r="V121" s="199">
        <f t="shared" ref="V121" ca="1" si="137">IF(IF(RIGHT(H120,2)="PH",(1-L121)+$W$2,IF(RIGHT(H120,2)="HT",(1-L121)+$W$1,IF(RIGHT(H120,2)="SH",(1-L121)+$W$3,"")))&gt;0,IF(RIGHT(H120,2)="PH",(1-L121)+$W$2,IF(RIGHT(H120,2)="HT",(1-L121)+$W$1,IF(RIGHT(H120,2)="SH",(1-L121)+$W$3,""))),0)</f>
        <v>0.25000000000000006</v>
      </c>
      <c r="W121" s="298"/>
      <c r="X121" s="698">
        <f t="shared" ca="1" si="79"/>
        <v>0.5</v>
      </c>
      <c r="Y121" s="81">
        <f t="shared" ca="1" si="127"/>
        <v>20</v>
      </c>
      <c r="Z121" s="81">
        <f t="shared" ca="1" si="128"/>
        <v>0</v>
      </c>
      <c r="AA121" s="81">
        <f t="shared" ca="1" si="129"/>
        <v>0</v>
      </c>
      <c r="AB121" s="81">
        <f t="shared" ca="1" si="130"/>
        <v>0.1</v>
      </c>
      <c r="AD121" s="81">
        <v>2030</v>
      </c>
      <c r="AE121" s="81"/>
      <c r="AF121" s="220"/>
    </row>
    <row r="122" spans="2:32">
      <c r="B122" s="718" t="s">
        <v>1009</v>
      </c>
      <c r="C122" s="226"/>
      <c r="D122" s="212"/>
      <c r="E122" s="212"/>
      <c r="F122" s="224" t="s">
        <v>1149</v>
      </c>
      <c r="H122" s="174"/>
      <c r="I122" s="174" t="str">
        <f t="shared" si="22"/>
        <v>INDCWH</v>
      </c>
      <c r="J122" s="224">
        <f t="shared" si="32"/>
        <v>2050</v>
      </c>
      <c r="K122" s="81"/>
      <c r="L122" s="199">
        <f t="shared" ca="1" si="122"/>
        <v>0.96</v>
      </c>
      <c r="M122" s="199"/>
      <c r="N122" s="81"/>
      <c r="O122" s="723">
        <f t="shared" ca="1" si="123"/>
        <v>0.32813985758696651</v>
      </c>
      <c r="P122" s="723">
        <f t="shared" ca="1" si="124"/>
        <v>1.1175000000000001E-2</v>
      </c>
      <c r="Q122" s="81">
        <f t="shared" ca="1" si="125"/>
        <v>1.8625</v>
      </c>
      <c r="R122" s="300"/>
      <c r="S122" s="300"/>
      <c r="T122" s="300"/>
      <c r="U122" s="300"/>
      <c r="V122" s="199">
        <f t="shared" ref="V122" ca="1" si="138">IF(IF(RIGHT(H120,2)="PH",(1-L122)+$W$2,IF(RIGHT(H120,2)="HT",(1-L122)+$W$1,IF(RIGHT(H120,2)="SH",(1-L122)+$W$3,"")))&gt;0,IF(RIGHT(H120,2)="PH",(1-L122)+$W$2,IF(RIGHT(H120,2)="HT",(1-L122)+$W$1,IF(RIGHT(H120,2)="SH",(1-L122)+$W$3,""))),0)</f>
        <v>0.24000000000000005</v>
      </c>
      <c r="W122" s="298"/>
      <c r="X122" s="698">
        <f t="shared" ca="1" si="79"/>
        <v>0.5</v>
      </c>
      <c r="Y122" s="81">
        <f t="shared" ca="1" si="127"/>
        <v>15</v>
      </c>
      <c r="Z122" s="81">
        <f t="shared" ca="1" si="128"/>
        <v>0</v>
      </c>
      <c r="AA122" s="81">
        <f t="shared" ca="1" si="129"/>
        <v>0</v>
      </c>
      <c r="AB122" s="81">
        <f t="shared" ca="1" si="130"/>
        <v>0.1</v>
      </c>
      <c r="AD122" s="81">
        <v>2050</v>
      </c>
      <c r="AE122" s="81"/>
      <c r="AF122" s="220"/>
    </row>
    <row r="123" spans="2:32">
      <c r="B123" s="718" t="s">
        <v>1009</v>
      </c>
      <c r="C123" s="226"/>
      <c r="D123" s="212" t="str">
        <f>"IND"&amp;RIGHT(H123,4)&amp;"DSL"&amp;"N"&amp;RIGHT(E123,1)</f>
        <v>INDCDPHDSLN1</v>
      </c>
      <c r="E123" s="261" t="str">
        <f>"Industrial heating technology "&amp;$AJ$12&amp;" "&amp;RIGHT(H123,2)&amp;" - Oil boiler (Steam) - new 1"</f>
        <v>Industrial heating technology Chemical PH - Oil boiler (Steam) - new 1</v>
      </c>
      <c r="F123" s="224" t="s">
        <v>1149</v>
      </c>
      <c r="G123" s="173" t="s">
        <v>2081</v>
      </c>
      <c r="H123" s="174" t="str">
        <f>$AI$14</f>
        <v>ICDPH</v>
      </c>
      <c r="I123" s="174" t="str">
        <f t="shared" si="22"/>
        <v>INDCWH</v>
      </c>
      <c r="J123" s="224">
        <f t="shared" si="32"/>
        <v>2011</v>
      </c>
      <c r="K123" s="299">
        <v>2025</v>
      </c>
      <c r="L123" s="199">
        <f t="shared" ca="1" si="122"/>
        <v>0.94</v>
      </c>
      <c r="M123" s="199"/>
      <c r="N123" s="81">
        <f ca="1">VLOOKUP($AD123,INDIRECT("'"&amp;$B123&amp;"'!"&amp;"$P$39:$AD$42"),5,FALSE)</f>
        <v>25</v>
      </c>
      <c r="O123" s="723">
        <f t="shared" ca="1" si="123"/>
        <v>0.40975</v>
      </c>
      <c r="P123" s="723">
        <f t="shared" ca="1" si="124"/>
        <v>1.341E-2</v>
      </c>
      <c r="Q123" s="81">
        <f t="shared" ca="1" si="125"/>
        <v>2.0694444444444446</v>
      </c>
      <c r="R123" s="81">
        <v>3.1536000000000002E-2</v>
      </c>
      <c r="S123" s="199">
        <v>0.5</v>
      </c>
      <c r="T123" s="199">
        <f ca="1">HLOOKUP($T$2,INDIRECT("'"&amp;$B123&amp;"'!"&amp;"$P$6:$AC$19"),IF(H123=$AI$13,6,IF(H123=$AI$14,9,14)),FALSE)</f>
        <v>1</v>
      </c>
      <c r="U123" s="772"/>
      <c r="V123" s="199">
        <f t="shared" ref="V123" ca="1" si="139">IF(IF(RIGHT(H123,2)="PH",(1-L123)+$W$2,IF(RIGHT(H123,2)="HT",(1-L123)+$W$1,IF(RIGHT(H123,2)="SH",(1-L123)+$W$3,"")))&gt;0,IF(RIGHT(H123,2)="PH",(1-L123)+$W$2,IF(RIGHT(H123,2)="HT",(1-L123)+$W$1,IF(RIGHT(H123,2)="SH",(1-L123)+$W$3,""))),0)</f>
        <v>0.26000000000000006</v>
      </c>
      <c r="W123" s="298"/>
      <c r="X123" s="698">
        <f t="shared" ca="1" si="79"/>
        <v>0.5</v>
      </c>
      <c r="Y123" s="81">
        <f t="shared" ca="1" si="127"/>
        <v>25</v>
      </c>
      <c r="Z123" s="81">
        <f t="shared" ca="1" si="128"/>
        <v>0</v>
      </c>
      <c r="AA123" s="81">
        <f t="shared" ca="1" si="129"/>
        <v>0</v>
      </c>
      <c r="AB123" s="81">
        <f t="shared" ca="1" si="130"/>
        <v>0.1</v>
      </c>
      <c r="AD123" s="81">
        <v>2020</v>
      </c>
      <c r="AE123" s="81"/>
      <c r="AF123" s="220"/>
    </row>
    <row r="124" spans="2:32">
      <c r="B124" s="718" t="s">
        <v>1009</v>
      </c>
      <c r="C124" s="226"/>
      <c r="D124" s="212"/>
      <c r="E124" s="212"/>
      <c r="F124" s="224" t="s">
        <v>1149</v>
      </c>
      <c r="H124" s="174"/>
      <c r="I124" s="174" t="str">
        <f t="shared" si="22"/>
        <v>INDCWH</v>
      </c>
      <c r="J124" s="224">
        <f t="shared" si="32"/>
        <v>2030</v>
      </c>
      <c r="K124" s="81"/>
      <c r="L124" s="199">
        <f t="shared" ca="1" si="122"/>
        <v>0.95</v>
      </c>
      <c r="M124" s="199"/>
      <c r="N124" s="81"/>
      <c r="O124" s="723">
        <f t="shared" ca="1" si="123"/>
        <v>0.3469940346244772</v>
      </c>
      <c r="P124" s="723">
        <f t="shared" ca="1" si="124"/>
        <v>1.2664999999999999E-2</v>
      </c>
      <c r="Q124" s="81">
        <f t="shared" ca="1" si="125"/>
        <v>1.8625</v>
      </c>
      <c r="R124" s="300"/>
      <c r="S124" s="300"/>
      <c r="T124" s="300"/>
      <c r="U124" s="300"/>
      <c r="V124" s="199">
        <f t="shared" ref="V124" ca="1" si="140">IF(IF(RIGHT(H123,2)="PH",(1-L124)+$W$2,IF(RIGHT(H123,2)="HT",(1-L124)+$W$1,IF(RIGHT(H123,2)="SH",(1-L124)+$W$3,"")))&gt;0,IF(RIGHT(H123,2)="PH",(1-L124)+$W$2,IF(RIGHT(H123,2)="HT",(1-L124)+$W$1,IF(RIGHT(H123,2)="SH",(1-L124)+$W$3,""))),0)</f>
        <v>0.25000000000000006</v>
      </c>
      <c r="W124" s="298"/>
      <c r="X124" s="698">
        <f t="shared" ca="1" si="79"/>
        <v>0.5</v>
      </c>
      <c r="Y124" s="81">
        <f t="shared" ca="1" si="127"/>
        <v>20</v>
      </c>
      <c r="Z124" s="81">
        <f t="shared" ca="1" si="128"/>
        <v>0</v>
      </c>
      <c r="AA124" s="81">
        <f t="shared" ca="1" si="129"/>
        <v>0</v>
      </c>
      <c r="AB124" s="81">
        <f t="shared" ca="1" si="130"/>
        <v>0.1</v>
      </c>
      <c r="AD124" s="81">
        <v>2030</v>
      </c>
      <c r="AE124" s="81"/>
      <c r="AF124" s="220"/>
    </row>
    <row r="125" spans="2:32">
      <c r="B125" s="718" t="s">
        <v>1009</v>
      </c>
      <c r="C125" s="226"/>
      <c r="D125" s="212"/>
      <c r="E125" s="212"/>
      <c r="F125" s="224" t="s">
        <v>1149</v>
      </c>
      <c r="H125" s="174"/>
      <c r="I125" s="174" t="str">
        <f t="shared" si="22"/>
        <v>INDCWH</v>
      </c>
      <c r="J125" s="224">
        <f t="shared" si="32"/>
        <v>2050</v>
      </c>
      <c r="K125" s="81"/>
      <c r="L125" s="199">
        <f t="shared" ca="1" si="122"/>
        <v>0.96</v>
      </c>
      <c r="M125" s="199"/>
      <c r="N125" s="81"/>
      <c r="O125" s="723">
        <f t="shared" ca="1" si="123"/>
        <v>0.32813985758696651</v>
      </c>
      <c r="P125" s="723">
        <f t="shared" ca="1" si="124"/>
        <v>1.1175000000000001E-2</v>
      </c>
      <c r="Q125" s="81">
        <f t="shared" ca="1" si="125"/>
        <v>1.8625</v>
      </c>
      <c r="R125" s="300"/>
      <c r="S125" s="300"/>
      <c r="T125" s="300"/>
      <c r="U125" s="300"/>
      <c r="V125" s="199">
        <f t="shared" ref="V125" ca="1" si="141">IF(IF(RIGHT(H123,2)="PH",(1-L125)+$W$2,IF(RIGHT(H123,2)="HT",(1-L125)+$W$1,IF(RIGHT(H123,2)="SH",(1-L125)+$W$3,"")))&gt;0,IF(RIGHT(H123,2)="PH",(1-L125)+$W$2,IF(RIGHT(H123,2)="HT",(1-L125)+$W$1,IF(RIGHT(H123,2)="SH",(1-L125)+$W$3,""))),0)</f>
        <v>0.24000000000000005</v>
      </c>
      <c r="W125" s="298"/>
      <c r="X125" s="698">
        <f t="shared" ca="1" si="79"/>
        <v>0.5</v>
      </c>
      <c r="Y125" s="81">
        <f t="shared" ca="1" si="127"/>
        <v>15</v>
      </c>
      <c r="Z125" s="81">
        <f t="shared" ca="1" si="128"/>
        <v>0</v>
      </c>
      <c r="AA125" s="81">
        <f t="shared" ca="1" si="129"/>
        <v>0</v>
      </c>
      <c r="AB125" s="81">
        <f t="shared" ca="1" si="130"/>
        <v>0.1</v>
      </c>
      <c r="AC125" s="203"/>
      <c r="AD125" s="81">
        <v>2050</v>
      </c>
      <c r="AE125" s="81"/>
      <c r="AF125" s="705"/>
    </row>
    <row r="126" spans="2:32">
      <c r="B126" s="718" t="s">
        <v>1009</v>
      </c>
      <c r="C126" s="226"/>
      <c r="D126" s="212" t="str">
        <f>"IND"&amp;RIGHT(H126,4)&amp;"DSL"&amp;"N"&amp;RIGHT(E126,1)</f>
        <v>INDCDSHDSLN1</v>
      </c>
      <c r="E126" s="261" t="str">
        <f>"Industrial heating technology "&amp;$AJ$12&amp;" "&amp;RIGHT(H126,2)&amp;" - Oil boiler (Steam) - new 1"</f>
        <v>Industrial heating technology Chemical SH - Oil boiler (Steam) - new 1</v>
      </c>
      <c r="F126" s="224" t="s">
        <v>1149</v>
      </c>
      <c r="G126" s="173" t="s">
        <v>2081</v>
      </c>
      <c r="H126" s="174" t="str">
        <f>$AI$15</f>
        <v>ICDSH</v>
      </c>
      <c r="I126" s="174" t="str">
        <f t="shared" si="22"/>
        <v>INDCWH</v>
      </c>
      <c r="J126" s="224">
        <f t="shared" si="32"/>
        <v>2011</v>
      </c>
      <c r="K126" s="299">
        <v>2025</v>
      </c>
      <c r="L126" s="199">
        <f t="shared" ca="1" si="122"/>
        <v>0.94</v>
      </c>
      <c r="M126" s="199"/>
      <c r="N126" s="81">
        <f ca="1">VLOOKUP($AD126,INDIRECT("'"&amp;$B126&amp;"'!"&amp;"$P$39:$AD$42"),5,FALSE)</f>
        <v>25</v>
      </c>
      <c r="O126" s="723">
        <f t="shared" ca="1" si="123"/>
        <v>0.40975</v>
      </c>
      <c r="P126" s="723">
        <f t="shared" ca="1" si="124"/>
        <v>1.341E-2</v>
      </c>
      <c r="Q126" s="81">
        <f t="shared" ca="1" si="125"/>
        <v>2.0694444444444446</v>
      </c>
      <c r="R126" s="81">
        <v>3.1536000000000002E-2</v>
      </c>
      <c r="S126" s="199">
        <v>0.5</v>
      </c>
      <c r="T126" s="199">
        <f ca="1">HLOOKUP($T$2,INDIRECT("'"&amp;$B126&amp;"'!"&amp;"$P$6:$AC$19"),IF(H126=$AI$13,6,IF(H126=$AI$14,9,14)),FALSE)</f>
        <v>1</v>
      </c>
      <c r="U126" s="772"/>
      <c r="V126" s="199">
        <f t="shared" ref="V126" ca="1" si="142">IF(IF(RIGHT(H126,2)="PH",(1-L126)+$W$2,IF(RIGHT(H126,2)="HT",(1-L126)+$W$1,IF(RIGHT(H126,2)="SH",(1-L126)+$W$3,"")))&gt;0,IF(RIGHT(H126,2)="PH",(1-L126)+$W$2,IF(RIGHT(H126,2)="HT",(1-L126)+$W$1,IF(RIGHT(H126,2)="SH",(1-L126)+$W$3,""))),0)</f>
        <v>6.0000000000000053E-2</v>
      </c>
      <c r="W126" s="298"/>
      <c r="X126" s="698">
        <f t="shared" ca="1" si="79"/>
        <v>0.5</v>
      </c>
      <c r="Y126" s="81">
        <f t="shared" ca="1" si="127"/>
        <v>25</v>
      </c>
      <c r="Z126" s="81">
        <f t="shared" ca="1" si="128"/>
        <v>0</v>
      </c>
      <c r="AA126" s="81">
        <f t="shared" ca="1" si="129"/>
        <v>0</v>
      </c>
      <c r="AB126" s="81">
        <f t="shared" ca="1" si="130"/>
        <v>0.1</v>
      </c>
      <c r="AC126" s="296"/>
      <c r="AD126" s="81">
        <v>2020</v>
      </c>
      <c r="AE126" s="81"/>
      <c r="AF126" s="710"/>
    </row>
    <row r="127" spans="2:32">
      <c r="B127" s="718" t="s">
        <v>1009</v>
      </c>
      <c r="C127" s="226"/>
      <c r="D127" s="212"/>
      <c r="E127" s="212"/>
      <c r="F127" s="224" t="s">
        <v>1149</v>
      </c>
      <c r="H127" s="174"/>
      <c r="I127" s="174" t="str">
        <f t="shared" ref="I127:I182" si="143">$AI$20</f>
        <v>INDCWH</v>
      </c>
      <c r="J127" s="224">
        <f t="shared" si="32"/>
        <v>2030</v>
      </c>
      <c r="K127" s="81"/>
      <c r="L127" s="199">
        <f t="shared" ca="1" si="122"/>
        <v>0.95</v>
      </c>
      <c r="M127" s="199"/>
      <c r="N127" s="81"/>
      <c r="O127" s="723">
        <f t="shared" ca="1" si="123"/>
        <v>0.3469940346244772</v>
      </c>
      <c r="P127" s="723">
        <f t="shared" ca="1" si="124"/>
        <v>1.2664999999999999E-2</v>
      </c>
      <c r="Q127" s="81">
        <f t="shared" ca="1" si="125"/>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7"/>
        <v>20</v>
      </c>
      <c r="Z127" s="81">
        <f t="shared" ca="1" si="128"/>
        <v>0</v>
      </c>
      <c r="AA127" s="81">
        <f t="shared" ca="1" si="129"/>
        <v>0</v>
      </c>
      <c r="AB127" s="81">
        <f t="shared" ca="1" si="130"/>
        <v>0.1</v>
      </c>
      <c r="AC127" s="55"/>
      <c r="AD127" s="81">
        <v>2030</v>
      </c>
      <c r="AE127" s="81"/>
      <c r="AF127" s="700"/>
    </row>
    <row r="128" spans="2:32">
      <c r="B128" s="719" t="s">
        <v>1009</v>
      </c>
      <c r="C128" s="713"/>
      <c r="D128" s="701"/>
      <c r="E128" s="701"/>
      <c r="F128" s="224" t="s">
        <v>1149</v>
      </c>
      <c r="G128" s="203"/>
      <c r="H128" s="702"/>
      <c r="I128" s="702" t="str">
        <f t="shared" si="143"/>
        <v>INDCWH</v>
      </c>
      <c r="J128" s="224">
        <f t="shared" ref="J128:J186" si="146">IF(AD128=2020,2011,AD128)</f>
        <v>2050</v>
      </c>
      <c r="K128" s="81"/>
      <c r="L128" s="199">
        <f t="shared" ca="1" si="122"/>
        <v>0.96</v>
      </c>
      <c r="M128" s="199"/>
      <c r="N128" s="81"/>
      <c r="O128" s="723">
        <f t="shared" ca="1" si="123"/>
        <v>0.32813985758696651</v>
      </c>
      <c r="P128" s="723">
        <f t="shared" ca="1" si="124"/>
        <v>1.1175000000000001E-2</v>
      </c>
      <c r="Q128" s="81">
        <f t="shared" ca="1" si="125"/>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7"/>
        <v>15</v>
      </c>
      <c r="Z128" s="81">
        <f t="shared" ca="1" si="128"/>
        <v>0</v>
      </c>
      <c r="AA128" s="81">
        <f t="shared" ca="1" si="129"/>
        <v>0</v>
      </c>
      <c r="AB128" s="81">
        <f t="shared" ca="1" si="130"/>
        <v>0.1</v>
      </c>
      <c r="AC128" s="55"/>
      <c r="AD128" s="81">
        <v>2050</v>
      </c>
      <c r="AE128" s="81"/>
      <c r="AF128" s="700"/>
    </row>
    <row r="129" spans="2:32">
      <c r="B129" s="718" t="s">
        <v>1009</v>
      </c>
      <c r="C129" s="226"/>
      <c r="D129" s="212" t="str">
        <f>"IND"&amp;RIGHT(H129,4)&amp;"DSL"&amp;"N"&amp;RIGHT(E129,1)</f>
        <v>INDCDPHDSLN2</v>
      </c>
      <c r="E129" s="707" t="str">
        <f>"Industrial heating technology "&amp;$AJ$12&amp;" "&amp;RIGHT(H129,2)&amp;" - Oil boiler (Steam - condensing) - new 2"</f>
        <v>Industrial heating technology Chemical PH - Oil boiler (Steam - condensing) - new 2</v>
      </c>
      <c r="F129" s="224" t="s">
        <v>1149</v>
      </c>
      <c r="G129" s="173" t="s">
        <v>2081</v>
      </c>
      <c r="H129" s="708" t="str">
        <f>$AI$14</f>
        <v>ICDPH</v>
      </c>
      <c r="I129" s="708" t="str">
        <f t="shared" si="143"/>
        <v>INDCWH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143"/>
        <v>INDCWH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143"/>
        <v>INDCWH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INDCDSHDSLN2</v>
      </c>
      <c r="E132" s="261" t="str">
        <f>"Industrial heating technology "&amp;$AJ$12&amp;" "&amp;RIGHT(H132,2)&amp;" - Oil boiler (Steam - condensing) - new 2"</f>
        <v>Industrial heating technology Chemical SH - Oil boiler (Steam - condensing) - new 2</v>
      </c>
      <c r="F132" s="224" t="s">
        <v>1149</v>
      </c>
      <c r="G132" s="173" t="s">
        <v>2081</v>
      </c>
      <c r="H132" s="174" t="str">
        <f>$AI$15</f>
        <v>ICDSH</v>
      </c>
      <c r="I132" s="174" t="str">
        <f t="shared" si="143"/>
        <v>INDCWH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143"/>
        <v>INDCWH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143"/>
        <v>INDCWH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INDCDPHGASN1</v>
      </c>
      <c r="E135" s="261" t="str">
        <f>"Industrial heating technology "&amp;$AJ$12&amp;" "&amp;RIGHT(H135,2)&amp;" - Gas boiler (Steam) - new 1"</f>
        <v>Industrial heating technology Chemical PH - Gas boiler (Steam) - new 1</v>
      </c>
      <c r="F135" s="224" t="s">
        <v>1149</v>
      </c>
      <c r="G135" s="173" t="s">
        <v>2080</v>
      </c>
      <c r="H135" s="174" t="str">
        <f>$AI$13</f>
        <v>ICDPH</v>
      </c>
      <c r="I135" s="174" t="str">
        <f t="shared" si="143"/>
        <v>INDCWH</v>
      </c>
      <c r="J135" s="224">
        <f t="shared" si="146"/>
        <v>2011</v>
      </c>
      <c r="K135" s="299">
        <v>2011</v>
      </c>
      <c r="L135" s="199">
        <f t="shared" ref="L135:L143" ca="1" si="162">VLOOKUP($AD135,INDIRECT("'"&amp;$B135&amp;"'!"&amp;"$P$39:$AD$42"),3,FALSE)</f>
        <v>0.92</v>
      </c>
      <c r="M135" s="699"/>
      <c r="N135" s="299">
        <f ca="1">VLOOKUP($AD135,INDIRECT("'"&amp;$B135&amp;"'!"&amp;"$P$39:$AD$42"),5,FALSE)</f>
        <v>25</v>
      </c>
      <c r="O135" s="725">
        <f t="shared" ref="O135:O143" ca="1" si="163">VLOOKUP($AD135,INDIRECT("'"&amp;$B135&amp;"'!"&amp;"$P$39:$AD$42"),6,FALSE)/1000</f>
        <v>0.40636363636363632</v>
      </c>
      <c r="P135" s="725">
        <f t="shared" ref="P135:P143" ca="1" si="164">VLOOKUP($AD135,INDIRECT("'"&amp;$B135&amp;"'!"&amp;"$P$39:$AD$42"),7,FALSE)/1000</f>
        <v>1.49E-2</v>
      </c>
      <c r="Q135" s="299">
        <f t="shared" ref="Q135:Q143" ca="1" si="165">VLOOKUP($AD135,INDIRECT("'"&amp;$B135&amp;"'!"&amp;"$P$39:$AD$42"),8,FALSE)</f>
        <v>2.276388888888889</v>
      </c>
      <c r="R135" s="299">
        <v>3.1536000000000002E-2</v>
      </c>
      <c r="S135" s="699">
        <v>0.5</v>
      </c>
      <c r="T135" s="699">
        <f ca="1">HLOOKUP($T$2,INDIRECT("'"&amp;$B135&amp;"'!"&amp;"$P$6:$AC$19"),IF(H135=$AI$13,6,IF(H135=$AI$14,9,14)),FALSE)</f>
        <v>1</v>
      </c>
      <c r="U135" s="772"/>
      <c r="V135" s="199">
        <f t="shared" ref="V135" ca="1" si="166">IF(IF(RIGHT(H135,2)="PH",(1-L135)+$W$2,IF(RIGHT(H135,2)="HT",(1-L135)+$W$1,IF(RIGHT(H135,2)="SH",(1-L135)+$W$3,"")))&gt;0,IF(RIGHT(H135,2)="PH",(1-L135)+$W$2,IF(RIGHT(H135,2)="HT",(1-L135)+$W$1,IF(RIGHT(H135,2)="SH",(1-L135)+$W$3,""))),0)</f>
        <v>0.27999999999999997</v>
      </c>
      <c r="W135" s="298"/>
      <c r="X135" s="698">
        <f t="shared" ca="1" si="145"/>
        <v>0.3</v>
      </c>
      <c r="Y135" s="299">
        <f t="shared" ref="Y135:Y143" ca="1" si="167">VLOOKUP($AD135,INDIRECT("'"&amp;$B135&amp;"'!"&amp;"$P$39:$AD$42"),12,FALSE)</f>
        <v>9</v>
      </c>
      <c r="Z135" s="299">
        <f t="shared" ref="Z135:Z143" ca="1" si="168">VLOOKUP($AD135,INDIRECT("'"&amp;$B135&amp;"'!"&amp;"$P$39:$AD$42"),13,FALSE)</f>
        <v>3</v>
      </c>
      <c r="AA135" s="299">
        <f t="shared" ref="AA135:AA143" ca="1" si="169">VLOOKUP($AD135,INDIRECT("'"&amp;$B135&amp;"'!"&amp;"$P$39:$AD$42"),14,FALSE)</f>
        <v>1</v>
      </c>
      <c r="AB135" s="299">
        <f t="shared" ref="AB135:AB143" ca="1" si="170">VLOOKUP($AD135,INDIRECT("'"&amp;$B135&amp;"'!"&amp;"$P$39:$AD$42"),15,FALSE)</f>
        <v>0.1</v>
      </c>
      <c r="AD135" s="299">
        <v>2020</v>
      </c>
      <c r="AE135" s="81"/>
      <c r="AF135" s="220"/>
    </row>
    <row r="136" spans="2:32">
      <c r="B136" s="718" t="s">
        <v>1010</v>
      </c>
      <c r="C136" s="226"/>
      <c r="E136" s="212"/>
      <c r="F136" s="224" t="s">
        <v>1149</v>
      </c>
      <c r="H136" s="174"/>
      <c r="I136" s="174" t="str">
        <f t="shared" si="143"/>
        <v>INDCWH</v>
      </c>
      <c r="J136" s="224">
        <f t="shared" si="146"/>
        <v>2030</v>
      </c>
      <c r="K136" s="81"/>
      <c r="L136" s="199">
        <f t="shared" ca="1" si="162"/>
        <v>0.93</v>
      </c>
      <c r="M136" s="199"/>
      <c r="N136" s="81"/>
      <c r="O136" s="723">
        <f t="shared" ca="1" si="163"/>
        <v>0.33863636363636368</v>
      </c>
      <c r="P136" s="723">
        <f t="shared" ca="1" si="164"/>
        <v>1.4154999999999999E-2</v>
      </c>
      <c r="Q136" s="81">
        <f t="shared" ca="1" si="165"/>
        <v>2.0694444444444446</v>
      </c>
      <c r="R136" s="300"/>
      <c r="S136" s="300"/>
      <c r="T136" s="300"/>
      <c r="U136" s="300"/>
      <c r="V136" s="199">
        <f t="shared" ref="V136" ca="1" si="171">IF(IF(RIGHT(H135,2)="PH",(1-L136)+$W$2,IF(RIGHT(H135,2)="HT",(1-L136)+$W$1,IF(RIGHT(H135,2)="SH",(1-L136)+$W$3,"")))&gt;0,IF(RIGHT(H135,2)="PH",(1-L136)+$W$2,IF(RIGHT(H135,2)="HT",(1-L136)+$W$1,IF(RIGHT(H135,2)="SH",(1-L136)+$W$3,""))),0)</f>
        <v>0.26999999999999996</v>
      </c>
      <c r="W136" s="298"/>
      <c r="X136" s="698">
        <f t="shared" ca="1" si="145"/>
        <v>0.3</v>
      </c>
      <c r="Y136" s="81">
        <f t="shared" ca="1" si="167"/>
        <v>7</v>
      </c>
      <c r="Z136" s="81">
        <f t="shared" ca="1" si="168"/>
        <v>2</v>
      </c>
      <c r="AA136" s="81">
        <f t="shared" ca="1" si="169"/>
        <v>1</v>
      </c>
      <c r="AB136" s="81">
        <f t="shared" ca="1" si="170"/>
        <v>0.1</v>
      </c>
      <c r="AD136" s="81">
        <v>2030</v>
      </c>
      <c r="AE136" s="81"/>
      <c r="AF136" s="220"/>
    </row>
    <row r="137" spans="2:32">
      <c r="B137" s="718" t="s">
        <v>1010</v>
      </c>
      <c r="C137" s="226"/>
      <c r="E137" s="212"/>
      <c r="F137" s="224" t="s">
        <v>1149</v>
      </c>
      <c r="H137" s="174"/>
      <c r="I137" s="174" t="str">
        <f t="shared" si="143"/>
        <v>INDCWH</v>
      </c>
      <c r="J137" s="224">
        <f t="shared" si="146"/>
        <v>2050</v>
      </c>
      <c r="K137" s="81"/>
      <c r="L137" s="199">
        <f t="shared" ca="1" si="162"/>
        <v>0.94</v>
      </c>
      <c r="M137" s="199"/>
      <c r="N137" s="81"/>
      <c r="O137" s="723">
        <f t="shared" ca="1" si="163"/>
        <v>0.33863636363636368</v>
      </c>
      <c r="P137" s="723">
        <f t="shared" ca="1" si="164"/>
        <v>1.2664999999999999E-2</v>
      </c>
      <c r="Q137" s="81">
        <f t="shared" ca="1" si="165"/>
        <v>2.0694444444444446</v>
      </c>
      <c r="R137" s="300"/>
      <c r="S137" s="300"/>
      <c r="T137" s="300"/>
      <c r="U137" s="300"/>
      <c r="V137" s="199">
        <f t="shared" ref="V137" ca="1" si="172">IF(IF(RIGHT(H135,2)="PH",(1-L137)+$W$2,IF(RIGHT(H135,2)="HT",(1-L137)+$W$1,IF(RIGHT(H135,2)="SH",(1-L137)+$W$3,"")))&gt;0,IF(RIGHT(H135,2)="PH",(1-L137)+$W$2,IF(RIGHT(H135,2)="HT",(1-L137)+$W$1,IF(RIGHT(H135,2)="SH",(1-L137)+$W$3,""))),0)</f>
        <v>0.26000000000000006</v>
      </c>
      <c r="W137" s="298"/>
      <c r="X137" s="698">
        <f t="shared" ca="1" si="145"/>
        <v>0.3</v>
      </c>
      <c r="Y137" s="81">
        <f t="shared" ca="1" si="167"/>
        <v>6</v>
      </c>
      <c r="Z137" s="81">
        <f t="shared" ca="1" si="168"/>
        <v>2</v>
      </c>
      <c r="AA137" s="81">
        <f t="shared" ca="1" si="169"/>
        <v>1</v>
      </c>
      <c r="AB137" s="81">
        <f t="shared" ca="1" si="170"/>
        <v>0.1</v>
      </c>
      <c r="AD137" s="81">
        <v>2050</v>
      </c>
      <c r="AE137" s="81"/>
      <c r="AF137" s="220"/>
    </row>
    <row r="138" spans="2:32">
      <c r="B138" s="718" t="s">
        <v>1010</v>
      </c>
      <c r="C138" s="226"/>
      <c r="D138" s="212" t="str">
        <f>"IND"&amp;RIGHT(H138,4)&amp;"GAS"&amp;"N"&amp;RIGHT(E138,1)</f>
        <v>INDCDPHGASN1</v>
      </c>
      <c r="E138" s="261" t="str">
        <f>"Industrial heating technology "&amp;$AJ$12&amp;" "&amp;RIGHT(H138,2)&amp;" - Gas boiler (Steam) - new 1"</f>
        <v>Industrial heating technology Chemical PH - Gas boiler (Steam) - new 1</v>
      </c>
      <c r="F138" s="224" t="s">
        <v>1149</v>
      </c>
      <c r="G138" s="173" t="s">
        <v>2080</v>
      </c>
      <c r="H138" s="174" t="str">
        <f>$AI$14</f>
        <v>ICDPH</v>
      </c>
      <c r="I138" s="174" t="str">
        <f t="shared" si="143"/>
        <v>INDCWH</v>
      </c>
      <c r="J138" s="224">
        <f t="shared" si="146"/>
        <v>2011</v>
      </c>
      <c r="K138" s="299">
        <f>J138</f>
        <v>2011</v>
      </c>
      <c r="L138" s="199">
        <f t="shared" ca="1" si="162"/>
        <v>0.92</v>
      </c>
      <c r="M138" s="199"/>
      <c r="N138" s="81">
        <f ca="1">VLOOKUP($AD138,INDIRECT("'"&amp;$B138&amp;"'!"&amp;"$P$39:$AD$42"),5,FALSE)</f>
        <v>25</v>
      </c>
      <c r="O138" s="723">
        <f t="shared" ca="1" si="163"/>
        <v>0.40636363636363632</v>
      </c>
      <c r="P138" s="723">
        <f t="shared" ca="1" si="164"/>
        <v>1.49E-2</v>
      </c>
      <c r="Q138" s="81">
        <f t="shared" ca="1" si="165"/>
        <v>2.276388888888889</v>
      </c>
      <c r="R138" s="81">
        <v>3.1536000000000002E-2</v>
      </c>
      <c r="S138" s="199">
        <v>0.5</v>
      </c>
      <c r="T138" s="199">
        <f ca="1">HLOOKUP($T$2,INDIRECT("'"&amp;$B138&amp;"'!"&amp;"$P$6:$AC$19"),IF(H138=$AI$13,6,IF(H138=$AI$14,9,14)),FALSE)</f>
        <v>1</v>
      </c>
      <c r="U138" s="772"/>
      <c r="V138" s="199">
        <f t="shared" ref="V138" ca="1" si="173">IF(IF(RIGHT(H138,2)="PH",(1-L138)+$W$2,IF(RIGHT(H138,2)="HT",(1-L138)+$W$1,IF(RIGHT(H138,2)="SH",(1-L138)+$W$3,"")))&gt;0,IF(RIGHT(H138,2)="PH",(1-L138)+$W$2,IF(RIGHT(H138,2)="HT",(1-L138)+$W$1,IF(RIGHT(H138,2)="SH",(1-L138)+$W$3,""))),0)</f>
        <v>0.27999999999999997</v>
      </c>
      <c r="W138" s="298"/>
      <c r="X138" s="698">
        <f t="shared" ca="1" si="145"/>
        <v>0.3</v>
      </c>
      <c r="Y138" s="81">
        <f t="shared" ca="1" si="167"/>
        <v>9</v>
      </c>
      <c r="Z138" s="81">
        <f t="shared" ca="1" si="168"/>
        <v>3</v>
      </c>
      <c r="AA138" s="81">
        <f t="shared" ca="1" si="169"/>
        <v>1</v>
      </c>
      <c r="AB138" s="81">
        <f t="shared" ca="1" si="170"/>
        <v>0.1</v>
      </c>
      <c r="AD138" s="81">
        <v>2020</v>
      </c>
      <c r="AE138" s="81"/>
      <c r="AF138" s="220"/>
    </row>
    <row r="139" spans="2:32">
      <c r="B139" s="718" t="s">
        <v>1010</v>
      </c>
      <c r="C139" s="226"/>
      <c r="E139" s="212"/>
      <c r="F139" s="224" t="s">
        <v>1149</v>
      </c>
      <c r="H139" s="174"/>
      <c r="I139" s="174" t="str">
        <f t="shared" si="143"/>
        <v>INDCWH</v>
      </c>
      <c r="J139" s="224">
        <f t="shared" si="146"/>
        <v>2030</v>
      </c>
      <c r="K139" s="81"/>
      <c r="L139" s="199">
        <f t="shared" ca="1" si="162"/>
        <v>0.93</v>
      </c>
      <c r="M139" s="199"/>
      <c r="N139" s="81"/>
      <c r="O139" s="723">
        <f t="shared" ca="1" si="163"/>
        <v>0.33863636363636368</v>
      </c>
      <c r="P139" s="723">
        <f t="shared" ca="1" si="164"/>
        <v>1.4154999999999999E-2</v>
      </c>
      <c r="Q139" s="81">
        <f t="shared" ca="1" si="165"/>
        <v>2.0694444444444446</v>
      </c>
      <c r="R139" s="300"/>
      <c r="S139" s="300"/>
      <c r="T139" s="300"/>
      <c r="U139" s="300"/>
      <c r="V139" s="199">
        <f t="shared" ref="V139" ca="1" si="174">IF(IF(RIGHT(H138,2)="PH",(1-L139)+$W$2,IF(RIGHT(H138,2)="HT",(1-L139)+$W$1,IF(RIGHT(H138,2)="SH",(1-L139)+$W$3,"")))&gt;0,IF(RIGHT(H138,2)="PH",(1-L139)+$W$2,IF(RIGHT(H138,2)="HT",(1-L139)+$W$1,IF(RIGHT(H138,2)="SH",(1-L139)+$W$3,""))),0)</f>
        <v>0.26999999999999996</v>
      </c>
      <c r="W139" s="298"/>
      <c r="X139" s="698">
        <f t="shared" ca="1" si="145"/>
        <v>0.3</v>
      </c>
      <c r="Y139" s="81">
        <f t="shared" ca="1" si="167"/>
        <v>7</v>
      </c>
      <c r="Z139" s="81">
        <f t="shared" ca="1" si="168"/>
        <v>2</v>
      </c>
      <c r="AA139" s="81">
        <f t="shared" ca="1" si="169"/>
        <v>1</v>
      </c>
      <c r="AB139" s="81">
        <f t="shared" ca="1" si="170"/>
        <v>0.1</v>
      </c>
      <c r="AD139" s="81">
        <v>2030</v>
      </c>
      <c r="AE139" s="81"/>
      <c r="AF139" s="220"/>
    </row>
    <row r="140" spans="2:32">
      <c r="B140" s="718" t="s">
        <v>1010</v>
      </c>
      <c r="C140" s="226"/>
      <c r="E140" s="212"/>
      <c r="F140" s="224" t="s">
        <v>1149</v>
      </c>
      <c r="H140" s="174"/>
      <c r="I140" s="174" t="str">
        <f t="shared" si="143"/>
        <v>INDCWH</v>
      </c>
      <c r="J140" s="224">
        <f t="shared" si="146"/>
        <v>2050</v>
      </c>
      <c r="K140" s="81"/>
      <c r="L140" s="199">
        <f t="shared" ca="1" si="162"/>
        <v>0.94</v>
      </c>
      <c r="M140" s="199"/>
      <c r="N140" s="81"/>
      <c r="O140" s="723">
        <f t="shared" ca="1" si="163"/>
        <v>0.33863636363636368</v>
      </c>
      <c r="P140" s="723">
        <f t="shared" ca="1" si="164"/>
        <v>1.2664999999999999E-2</v>
      </c>
      <c r="Q140" s="81">
        <f t="shared" ca="1" si="165"/>
        <v>2.0694444444444446</v>
      </c>
      <c r="R140" s="300"/>
      <c r="S140" s="300"/>
      <c r="T140" s="300"/>
      <c r="U140" s="300"/>
      <c r="V140" s="199">
        <f t="shared" ref="V140" ca="1" si="175">IF(IF(RIGHT(H138,2)="PH",(1-L140)+$W$2,IF(RIGHT(H138,2)="HT",(1-L140)+$W$1,IF(RIGHT(H138,2)="SH",(1-L140)+$W$3,"")))&gt;0,IF(RIGHT(H138,2)="PH",(1-L140)+$W$2,IF(RIGHT(H138,2)="HT",(1-L140)+$W$1,IF(RIGHT(H138,2)="SH",(1-L140)+$W$3,""))),0)</f>
        <v>0.26000000000000006</v>
      </c>
      <c r="W140" s="298"/>
      <c r="X140" s="698">
        <f t="shared" ca="1" si="145"/>
        <v>0.3</v>
      </c>
      <c r="Y140" s="81">
        <f t="shared" ca="1" si="167"/>
        <v>6</v>
      </c>
      <c r="Z140" s="81">
        <f t="shared" ca="1" si="168"/>
        <v>2</v>
      </c>
      <c r="AA140" s="81">
        <f t="shared" ca="1" si="169"/>
        <v>1</v>
      </c>
      <c r="AB140" s="81">
        <f t="shared" ca="1" si="170"/>
        <v>0.1</v>
      </c>
      <c r="AC140" s="203"/>
      <c r="AD140" s="81">
        <v>2050</v>
      </c>
      <c r="AE140" s="81"/>
      <c r="AF140" s="705"/>
    </row>
    <row r="141" spans="2:32">
      <c r="B141" s="718" t="s">
        <v>1010</v>
      </c>
      <c r="C141" s="226"/>
      <c r="D141" s="212" t="str">
        <f>"IND"&amp;RIGHT(H141,4)&amp;"GAS"&amp;"N"&amp;RIGHT(E141,1)</f>
        <v>INDCDSHGASN1</v>
      </c>
      <c r="E141" s="261" t="str">
        <f>"Industrial heating technology "&amp;$AJ$12&amp;" "&amp;RIGHT(H141,2)&amp;" - Gas boiler (Steam) - new 1"</f>
        <v>Industrial heating technology Chemical SH - Gas boiler (Steam) - new 1</v>
      </c>
      <c r="F141" s="224" t="s">
        <v>1149</v>
      </c>
      <c r="G141" s="173" t="s">
        <v>2080</v>
      </c>
      <c r="H141" s="174" t="str">
        <f>$AI$15</f>
        <v>ICDSH</v>
      </c>
      <c r="I141" s="174" t="str">
        <f t="shared" si="143"/>
        <v>INDCWH</v>
      </c>
      <c r="J141" s="224">
        <f t="shared" si="146"/>
        <v>2011</v>
      </c>
      <c r="K141" s="299">
        <f>J141</f>
        <v>2011</v>
      </c>
      <c r="L141" s="199">
        <f t="shared" ca="1" si="162"/>
        <v>0.92</v>
      </c>
      <c r="M141" s="199"/>
      <c r="N141" s="81">
        <f ca="1">VLOOKUP($AD141,INDIRECT("'"&amp;$B141&amp;"'!"&amp;"$P$39:$AD$42"),5,FALSE)</f>
        <v>25</v>
      </c>
      <c r="O141" s="723">
        <f t="shared" ca="1" si="163"/>
        <v>0.40636363636363632</v>
      </c>
      <c r="P141" s="723">
        <f t="shared" ca="1" si="164"/>
        <v>1.49E-2</v>
      </c>
      <c r="Q141" s="81">
        <f t="shared" ca="1" si="165"/>
        <v>2.276388888888889</v>
      </c>
      <c r="R141" s="81">
        <v>3.1536000000000002E-2</v>
      </c>
      <c r="S141" s="199">
        <v>0.5</v>
      </c>
      <c r="T141" s="199">
        <f ca="1">HLOOKUP($T$2,INDIRECT("'"&amp;$B141&amp;"'!"&amp;"$P$6:$AC$19"),IF(H141=$AI$13,6,IF(H141=$AI$14,9,14)),FALSE)</f>
        <v>1</v>
      </c>
      <c r="U141" s="772"/>
      <c r="V141" s="199">
        <f t="shared" ref="V141" ca="1" si="176">IF(IF(RIGHT(H141,2)="PH",(1-L141)+$W$2,IF(RIGHT(H141,2)="HT",(1-L141)+$W$1,IF(RIGHT(H141,2)="SH",(1-L141)+$W$3,"")))&gt;0,IF(RIGHT(H141,2)="PH",(1-L141)+$W$2,IF(RIGHT(H141,2)="HT",(1-L141)+$W$1,IF(RIGHT(H141,2)="SH",(1-L141)+$W$3,""))),0)</f>
        <v>7.999999999999996E-2</v>
      </c>
      <c r="W141" s="298"/>
      <c r="X141" s="698">
        <f t="shared" ca="1" si="145"/>
        <v>0.3</v>
      </c>
      <c r="Y141" s="81">
        <f t="shared" ca="1" si="167"/>
        <v>9</v>
      </c>
      <c r="Z141" s="81">
        <f t="shared" ca="1" si="168"/>
        <v>3</v>
      </c>
      <c r="AA141" s="81">
        <f t="shared" ca="1" si="169"/>
        <v>1</v>
      </c>
      <c r="AB141" s="81">
        <f t="shared" ca="1" si="170"/>
        <v>0.1</v>
      </c>
      <c r="AC141" s="296"/>
      <c r="AD141" s="81">
        <v>2020</v>
      </c>
      <c r="AE141" s="81"/>
      <c r="AF141" s="710"/>
    </row>
    <row r="142" spans="2:32">
      <c r="B142" s="718" t="s">
        <v>1010</v>
      </c>
      <c r="C142" s="226"/>
      <c r="E142" s="212"/>
      <c r="F142" s="224" t="s">
        <v>1149</v>
      </c>
      <c r="H142" s="174"/>
      <c r="I142" s="174" t="str">
        <f t="shared" si="143"/>
        <v>INDCWH</v>
      </c>
      <c r="J142" s="224">
        <f t="shared" si="146"/>
        <v>2030</v>
      </c>
      <c r="K142" s="81"/>
      <c r="L142" s="199">
        <f t="shared" ca="1" si="162"/>
        <v>0.93</v>
      </c>
      <c r="M142" s="199"/>
      <c r="N142" s="81"/>
      <c r="O142" s="723">
        <f t="shared" ca="1" si="163"/>
        <v>0.33863636363636368</v>
      </c>
      <c r="P142" s="723">
        <f t="shared" ca="1" si="164"/>
        <v>1.4154999999999999E-2</v>
      </c>
      <c r="Q142" s="81">
        <f t="shared" ca="1" si="165"/>
        <v>2.0694444444444446</v>
      </c>
      <c r="R142" s="300"/>
      <c r="S142" s="300"/>
      <c r="T142" s="300"/>
      <c r="U142" s="300"/>
      <c r="V142" s="199">
        <f t="shared" ref="V142" ca="1" si="177">IF(IF(RIGHT(H141,2)="PH",(1-L142)+$W$2,IF(RIGHT(H141,2)="HT",(1-L142)+$W$1,IF(RIGHT(H141,2)="SH",(1-L142)+$W$3,"")))&gt;0,IF(RIGHT(H141,2)="PH",(1-L142)+$W$2,IF(RIGHT(H141,2)="HT",(1-L142)+$W$1,IF(RIGHT(H141,2)="SH",(1-L142)+$W$3,""))),0)</f>
        <v>6.9999999999999951E-2</v>
      </c>
      <c r="W142" s="298"/>
      <c r="X142" s="698">
        <f t="shared" ca="1" si="145"/>
        <v>0.3</v>
      </c>
      <c r="Y142" s="81">
        <f t="shared" ca="1" si="167"/>
        <v>7</v>
      </c>
      <c r="Z142" s="81">
        <f t="shared" ca="1" si="168"/>
        <v>2</v>
      </c>
      <c r="AA142" s="81">
        <f t="shared" ca="1" si="169"/>
        <v>1</v>
      </c>
      <c r="AB142" s="81">
        <f t="shared" ca="1" si="170"/>
        <v>0.1</v>
      </c>
      <c r="AC142" s="55"/>
      <c r="AD142" s="81">
        <v>2030</v>
      </c>
      <c r="AE142" s="81"/>
      <c r="AF142" s="700"/>
    </row>
    <row r="143" spans="2:32">
      <c r="B143" s="719" t="s">
        <v>1010</v>
      </c>
      <c r="C143" s="713"/>
      <c r="D143" s="203"/>
      <c r="E143" s="701"/>
      <c r="F143" s="224" t="s">
        <v>1149</v>
      </c>
      <c r="G143" s="203"/>
      <c r="H143" s="702"/>
      <c r="I143" s="702" t="str">
        <f t="shared" si="143"/>
        <v>INDCWH</v>
      </c>
      <c r="J143" s="224">
        <f t="shared" si="146"/>
        <v>2050</v>
      </c>
      <c r="K143" s="81"/>
      <c r="L143" s="199">
        <f t="shared" ca="1" si="162"/>
        <v>0.94</v>
      </c>
      <c r="M143" s="199"/>
      <c r="N143" s="81"/>
      <c r="O143" s="723">
        <f t="shared" ca="1" si="163"/>
        <v>0.33863636363636368</v>
      </c>
      <c r="P143" s="723">
        <f t="shared" ca="1" si="164"/>
        <v>1.2664999999999999E-2</v>
      </c>
      <c r="Q143" s="81">
        <f t="shared" ca="1" si="165"/>
        <v>2.0694444444444446</v>
      </c>
      <c r="R143" s="703"/>
      <c r="S143" s="703"/>
      <c r="T143" s="703"/>
      <c r="U143" s="703"/>
      <c r="V143" s="199">
        <f t="shared" ref="V143" ca="1" si="178">IF(IF(RIGHT(H141,2)="PH",(1-L143)+$W$2,IF(RIGHT(H141,2)="HT",(1-L143)+$W$1,IF(RIGHT(H141,2)="SH",(1-L143)+$W$3,"")))&gt;0,IF(RIGHT(H141,2)="PH",(1-L143)+$W$2,IF(RIGHT(H141,2)="HT",(1-L143)+$W$1,IF(RIGHT(H141,2)="SH",(1-L143)+$W$3,""))),0)</f>
        <v>6.0000000000000053E-2</v>
      </c>
      <c r="W143" s="704"/>
      <c r="X143" s="698">
        <f t="shared" ca="1" si="145"/>
        <v>0.3</v>
      </c>
      <c r="Y143" s="81">
        <f t="shared" ca="1" si="167"/>
        <v>6</v>
      </c>
      <c r="Z143" s="81">
        <f t="shared" ca="1" si="168"/>
        <v>2</v>
      </c>
      <c r="AA143" s="81">
        <f t="shared" ca="1" si="169"/>
        <v>1</v>
      </c>
      <c r="AB143" s="81">
        <f t="shared" ca="1" si="170"/>
        <v>0.1</v>
      </c>
      <c r="AC143" s="55"/>
      <c r="AD143" s="81">
        <v>2050</v>
      </c>
      <c r="AE143" s="81"/>
      <c r="AF143" s="700"/>
    </row>
    <row r="144" spans="2:32">
      <c r="B144" s="718" t="s">
        <v>1010</v>
      </c>
      <c r="C144" s="226"/>
      <c r="D144" s="212" t="str">
        <f>"IND"&amp;RIGHT(H144,4)&amp;"GAS"&amp;"N"&amp;RIGHT(E144,1)</f>
        <v>INDCDPHGASN2</v>
      </c>
      <c r="E144" s="707" t="str">
        <f>"Industrial heating technology "&amp;$AJ$12&amp;" "&amp;RIGHT(H144,2)&amp;" - Gas boiler (Steam - condensing) - new 2"</f>
        <v>Industrial heating technology Chemical PH - Gas boiler (Steam - condensing) - new 2</v>
      </c>
      <c r="F144" s="224" t="s">
        <v>1149</v>
      </c>
      <c r="G144" s="173" t="s">
        <v>2080</v>
      </c>
      <c r="H144" s="708" t="str">
        <f>$AI$14</f>
        <v>ICDPH</v>
      </c>
      <c r="I144" s="708" t="str">
        <f t="shared" si="143"/>
        <v>INDCWH</v>
      </c>
      <c r="J144" s="224">
        <f t="shared" si="146"/>
        <v>2011</v>
      </c>
      <c r="K144" s="299">
        <f>J144</f>
        <v>2011</v>
      </c>
      <c r="L144" s="199">
        <f t="shared" ref="L144:L149" ca="1" si="179">VLOOKUP($AD144,INDIRECT("'"&amp;$B144&amp;"'!"&amp;"$P$118:$AD$121"),3,FALSE)</f>
        <v>1.01</v>
      </c>
      <c r="M144" s="199"/>
      <c r="N144" s="81">
        <f ca="1">VLOOKUP($AD144,INDIRECT("'"&amp;$B144&amp;"'!"&amp;"$P$118:$AD$121"),5,FALSE)</f>
        <v>25</v>
      </c>
      <c r="O144" s="723">
        <f t="shared" ref="O144:O149" ca="1" si="180">VLOOKUP($AD144,INDIRECT("'"&amp;$B144&amp;"'!"&amp;"$P$118:$AD$121"),6,FALSE)/1000</f>
        <v>0.44700000000000001</v>
      </c>
      <c r="P144" s="723">
        <f t="shared" ref="P144:P149" ca="1" si="181">VLOOKUP($AD144,INDIRECT("'"&amp;$B144&amp;"'!"&amp;"$P$118:$AD$121"),7,FALSE)/1000</f>
        <v>1.49E-2</v>
      </c>
      <c r="Q144" s="81">
        <f t="shared" ref="Q144:Q149" ca="1" si="182">VLOOKUP($AD144,INDIRECT("'"&amp;$B144&amp;"'!"&amp;"$P$118:$AD$121"),8,FALSE)</f>
        <v>2.276388888888889</v>
      </c>
      <c r="R144" s="81">
        <v>3.1536000000000002E-2</v>
      </c>
      <c r="S144" s="199">
        <v>0.5</v>
      </c>
      <c r="T144" s="199">
        <f ca="1">HLOOKUP($T$2,INDIRECT("'"&amp;$B144&amp;"'!"&amp;"$P$85:$AC$98"),IF(H144=$AI$13,6,IF(H144=$AI$14,9,14)),FALSE)</f>
        <v>0</v>
      </c>
      <c r="U144" s="773"/>
      <c r="V144" s="199">
        <f t="shared" ref="V144" ca="1" si="183">IF(IF(RIGHT(H144,2)="PH",(1-L144)+$W$2,IF(RIGHT(H144,2)="HT",(1-L144)+$W$1,IF(RIGHT(H144,2)="SH",(1-L144)+$W$3,"")))&gt;0,IF(RIGHT(H144,2)="PH",(1-L144)+$W$2,IF(RIGHT(H144,2)="HT",(1-L144)+$W$1,IF(RIGHT(H144,2)="SH",(1-L144)+$W$3,""))),0)</f>
        <v>0.19</v>
      </c>
      <c r="W144" s="709"/>
      <c r="X144" s="698">
        <f t="shared" ca="1" si="145"/>
        <v>0.3</v>
      </c>
      <c r="Y144" s="698">
        <f t="shared" ref="Y144:Y149" ca="1" si="184">VLOOKUP($AD144,INDIRECT("'"&amp;$B144&amp;"'!"&amp;"$P$118:$AD$121"),12,FALSE)</f>
        <v>9</v>
      </c>
      <c r="Z144" s="698">
        <f t="shared" ref="Z144:Z149" ca="1" si="185">VLOOKUP($AD144,INDIRECT("'"&amp;$B144&amp;"'!"&amp;"$P$118:$AD$121"),13,FALSE)</f>
        <v>3</v>
      </c>
      <c r="AA144" s="698">
        <f t="shared" ref="AA144:AA149" ca="1" si="186">VLOOKUP($AD144,INDIRECT("'"&amp;$B144&amp;"'!"&amp;"$P$118:$AD$121"),14,FALSE)</f>
        <v>1</v>
      </c>
      <c r="AB144" s="698">
        <f t="shared" ref="AB144:AB149" ca="1" si="187">VLOOKUP($AD144,INDIRECT("'"&amp;$B144&amp;"'!"&amp;"$P$118:$AD$121"),15,FALSE)</f>
        <v>0.1</v>
      </c>
      <c r="AC144" s="55"/>
      <c r="AD144" s="81">
        <v>2020</v>
      </c>
      <c r="AE144" s="81"/>
      <c r="AF144" s="700"/>
    </row>
    <row r="145" spans="1:32">
      <c r="B145" s="718" t="s">
        <v>1010</v>
      </c>
      <c r="C145" s="226"/>
      <c r="E145" s="261"/>
      <c r="F145" s="224" t="s">
        <v>1149</v>
      </c>
      <c r="G145" s="55"/>
      <c r="H145" s="174"/>
      <c r="I145" s="174" t="str">
        <f t="shared" si="143"/>
        <v>INDCWH</v>
      </c>
      <c r="J145" s="224">
        <f t="shared" si="146"/>
        <v>2030</v>
      </c>
      <c r="K145" s="81"/>
      <c r="L145" s="199">
        <f t="shared" ca="1" si="179"/>
        <v>1.03</v>
      </c>
      <c r="M145" s="199"/>
      <c r="N145" s="81"/>
      <c r="O145" s="723">
        <f t="shared" ca="1" si="180"/>
        <v>0.37250000000000005</v>
      </c>
      <c r="P145" s="723">
        <f t="shared" ca="1" si="181"/>
        <v>1.4154999999999999E-2</v>
      </c>
      <c r="Q145" s="81">
        <f t="shared" ca="1" si="182"/>
        <v>2.0694444444444446</v>
      </c>
      <c r="R145" s="300"/>
      <c r="S145" s="300"/>
      <c r="T145" s="300"/>
      <c r="U145" s="300"/>
      <c r="V145" s="199">
        <f t="shared" ref="V145" ca="1" si="188">IF(IF(RIGHT(H144,2)="PH",(1-L145)+$W$2,IF(RIGHT(H144,2)="HT",(1-L145)+$W$1,IF(RIGHT(H144,2)="SH",(1-L145)+$W$3,"")))&gt;0,IF(RIGHT(H144,2)="PH",(1-L145)+$W$2,IF(RIGHT(H144,2)="HT",(1-L145)+$W$1,IF(RIGHT(H144,2)="SH",(1-L145)+$W$3,""))),0)</f>
        <v>0.16999999999999998</v>
      </c>
      <c r="W145" s="298"/>
      <c r="X145" s="698">
        <f t="shared" ca="1" si="145"/>
        <v>0.3</v>
      </c>
      <c r="Y145" s="698">
        <f t="shared" ca="1" si="184"/>
        <v>7</v>
      </c>
      <c r="Z145" s="698">
        <f t="shared" ca="1" si="185"/>
        <v>2</v>
      </c>
      <c r="AA145" s="698">
        <f t="shared" ca="1" si="186"/>
        <v>1</v>
      </c>
      <c r="AB145" s="698">
        <f t="shared" ca="1" si="187"/>
        <v>0.1</v>
      </c>
      <c r="AC145" s="55"/>
      <c r="AD145" s="81">
        <v>2030</v>
      </c>
      <c r="AE145" s="81"/>
      <c r="AF145" s="700"/>
    </row>
    <row r="146" spans="1:32">
      <c r="A146" s="226"/>
      <c r="B146" s="718" t="s">
        <v>1010</v>
      </c>
      <c r="C146" s="226"/>
      <c r="E146" s="261"/>
      <c r="F146" s="224" t="s">
        <v>1149</v>
      </c>
      <c r="G146" s="55"/>
      <c r="H146" s="174"/>
      <c r="I146" s="174" t="str">
        <f t="shared" si="143"/>
        <v>INDCWH</v>
      </c>
      <c r="J146" s="224">
        <f t="shared" si="146"/>
        <v>2050</v>
      </c>
      <c r="K146" s="81"/>
      <c r="L146" s="199">
        <f t="shared" ca="1" si="179"/>
        <v>1.03</v>
      </c>
      <c r="M146" s="199"/>
      <c r="N146" s="81"/>
      <c r="O146" s="723">
        <f t="shared" ca="1" si="180"/>
        <v>0.37250000000000005</v>
      </c>
      <c r="P146" s="723">
        <f t="shared" ca="1" si="181"/>
        <v>1.2664999999999999E-2</v>
      </c>
      <c r="Q146" s="81">
        <f t="shared" ca="1" si="182"/>
        <v>2.0694444444444446</v>
      </c>
      <c r="R146" s="300"/>
      <c r="S146" s="300"/>
      <c r="T146" s="300"/>
      <c r="U146" s="300"/>
      <c r="V146" s="199">
        <f t="shared" ref="V146" ca="1" si="189">IF(IF(RIGHT(H144,2)="PH",(1-L146)+$W$2,IF(RIGHT(H144,2)="HT",(1-L146)+$W$1,IF(RIGHT(H144,2)="SH",(1-L146)+$W$3,"")))&gt;0,IF(RIGHT(H144,2)="PH",(1-L146)+$W$2,IF(RIGHT(H144,2)="HT",(1-L146)+$W$1,IF(RIGHT(H144,2)="SH",(1-L146)+$W$3,""))),0)</f>
        <v>0.16999999999999998</v>
      </c>
      <c r="W146" s="298"/>
      <c r="X146" s="698">
        <f t="shared" ca="1" si="145"/>
        <v>0.3</v>
      </c>
      <c r="Y146" s="698">
        <f t="shared" ca="1" si="184"/>
        <v>6</v>
      </c>
      <c r="Z146" s="698">
        <f t="shared" ca="1" si="185"/>
        <v>2</v>
      </c>
      <c r="AA146" s="698">
        <f t="shared" ca="1" si="186"/>
        <v>1</v>
      </c>
      <c r="AB146" s="698">
        <f t="shared" ca="1" si="187"/>
        <v>0.1</v>
      </c>
      <c r="AC146" s="203"/>
      <c r="AD146" s="81">
        <v>2050</v>
      </c>
      <c r="AE146" s="81"/>
      <c r="AF146" s="705"/>
    </row>
    <row r="147" spans="1:32">
      <c r="A147" s="226"/>
      <c r="B147" s="718" t="s">
        <v>1010</v>
      </c>
      <c r="C147" s="226"/>
      <c r="D147" s="212" t="str">
        <f>"IND"&amp;RIGHT(H147,4)&amp;"GAS"&amp;"N"&amp;RIGHT(E147,1)</f>
        <v>INDCDSHGASN2</v>
      </c>
      <c r="E147" s="261" t="str">
        <f>"Industrial heating technology "&amp;$AJ$12&amp;" "&amp;RIGHT(H147,2)&amp;" - Gas boiler (Steam - condensing) - new 2"</f>
        <v>Industrial heating technology Chemical SH - Gas boiler (Steam - condensing) - new 2</v>
      </c>
      <c r="F147" s="224" t="s">
        <v>1149</v>
      </c>
      <c r="G147" s="173" t="s">
        <v>2080</v>
      </c>
      <c r="H147" s="174" t="str">
        <f>$AI$15</f>
        <v>ICDSH</v>
      </c>
      <c r="I147" s="174" t="str">
        <f t="shared" si="143"/>
        <v>INDCWH</v>
      </c>
      <c r="J147" s="224">
        <f t="shared" si="146"/>
        <v>2011</v>
      </c>
      <c r="K147" s="299">
        <f>J147</f>
        <v>2011</v>
      </c>
      <c r="L147" s="199">
        <f t="shared" ca="1" si="179"/>
        <v>1.01</v>
      </c>
      <c r="M147" s="199"/>
      <c r="N147" s="81">
        <f ca="1">VLOOKUP($AD147,INDIRECT("'"&amp;$B147&amp;"'!"&amp;"$P$118:$AD$121"),5,FALSE)</f>
        <v>25</v>
      </c>
      <c r="O147" s="723">
        <f t="shared" ca="1" si="180"/>
        <v>0.44700000000000001</v>
      </c>
      <c r="P147" s="723">
        <f t="shared" ca="1" si="181"/>
        <v>1.49E-2</v>
      </c>
      <c r="Q147" s="81">
        <f t="shared" ca="1" si="182"/>
        <v>2.276388888888889</v>
      </c>
      <c r="R147" s="81">
        <v>3.1536000000000002E-2</v>
      </c>
      <c r="S147" s="199">
        <v>0.5</v>
      </c>
      <c r="T147" s="199">
        <f ca="1">HLOOKUP($T$2,INDIRECT("'"&amp;$B147&amp;"'!"&amp;"$P$85:$AC$98"),IF(H147=$AI$13,6,IF(H147=$AI$14,9,14)),FALSE)</f>
        <v>1</v>
      </c>
      <c r="U147" s="772"/>
      <c r="V147" s="199">
        <f t="shared" ref="V147" ca="1" si="190">IF(IF(RIGHT(H147,2)="PH",(1-L147)+$W$2,IF(RIGHT(H147,2)="HT",(1-L147)+$W$1,IF(RIGHT(H147,2)="SH",(1-L147)+$W$3,"")))&gt;0,IF(RIGHT(H147,2)="PH",(1-L147)+$W$2,IF(RIGHT(H147,2)="HT",(1-L147)+$W$1,IF(RIGHT(H147,2)="SH",(1-L147)+$W$3,""))),0)</f>
        <v>0</v>
      </c>
      <c r="W147" s="298"/>
      <c r="X147" s="698">
        <f t="shared" ca="1" si="145"/>
        <v>0.3</v>
      </c>
      <c r="Y147" s="698">
        <f t="shared" ca="1" si="184"/>
        <v>9</v>
      </c>
      <c r="Z147" s="698">
        <f t="shared" ca="1" si="185"/>
        <v>3</v>
      </c>
      <c r="AA147" s="698">
        <f t="shared" ca="1" si="186"/>
        <v>1</v>
      </c>
      <c r="AB147" s="698">
        <f t="shared" ca="1" si="187"/>
        <v>0.1</v>
      </c>
      <c r="AC147" s="296"/>
      <c r="AD147" s="81">
        <v>2020</v>
      </c>
      <c r="AE147" s="81"/>
      <c r="AF147" s="710"/>
    </row>
    <row r="148" spans="1:32">
      <c r="A148" s="226"/>
      <c r="B148" s="718" t="s">
        <v>1010</v>
      </c>
      <c r="C148" s="226"/>
      <c r="E148" s="261"/>
      <c r="F148" s="224" t="s">
        <v>1149</v>
      </c>
      <c r="G148" s="55"/>
      <c r="H148" s="174"/>
      <c r="I148" s="174" t="str">
        <f t="shared" si="143"/>
        <v>INDCWH</v>
      </c>
      <c r="J148" s="224">
        <f t="shared" si="146"/>
        <v>2030</v>
      </c>
      <c r="K148" s="81"/>
      <c r="L148" s="199">
        <f t="shared" ca="1" si="179"/>
        <v>1.03</v>
      </c>
      <c r="M148" s="199"/>
      <c r="N148" s="81"/>
      <c r="O148" s="723">
        <f t="shared" ca="1" si="180"/>
        <v>0.37250000000000005</v>
      </c>
      <c r="P148" s="723">
        <f t="shared" ca="1" si="181"/>
        <v>1.4154999999999999E-2</v>
      </c>
      <c r="Q148" s="81">
        <f t="shared" ca="1" si="182"/>
        <v>2.0694444444444446</v>
      </c>
      <c r="R148" s="300"/>
      <c r="S148" s="300"/>
      <c r="T148" s="300"/>
      <c r="U148" s="300"/>
      <c r="V148" s="199">
        <f t="shared" ref="V148" ca="1" si="191">IF(IF(RIGHT(H147,2)="PH",(1-L148)+$W$2,IF(RIGHT(H147,2)="HT",(1-L148)+$W$1,IF(RIGHT(H147,2)="SH",(1-L148)+$W$3,"")))&gt;0,IF(RIGHT(H147,2)="PH",(1-L148)+$W$2,IF(RIGHT(H147,2)="HT",(1-L148)+$W$1,IF(RIGHT(H147,2)="SH",(1-L148)+$W$3,""))),0)</f>
        <v>0</v>
      </c>
      <c r="W148" s="298"/>
      <c r="X148" s="698">
        <f t="shared" ca="1" si="145"/>
        <v>0.3</v>
      </c>
      <c r="Y148" s="698">
        <f t="shared" ca="1" si="184"/>
        <v>7</v>
      </c>
      <c r="Z148" s="698">
        <f t="shared" ca="1" si="185"/>
        <v>2</v>
      </c>
      <c r="AA148" s="698">
        <f t="shared" ca="1" si="186"/>
        <v>1</v>
      </c>
      <c r="AB148" s="698">
        <f t="shared" ca="1" si="187"/>
        <v>0.1</v>
      </c>
      <c r="AC148" s="55"/>
      <c r="AD148" s="81">
        <v>2030</v>
      </c>
      <c r="AE148" s="81"/>
      <c r="AF148" s="700"/>
    </row>
    <row r="149" spans="1:32">
      <c r="A149" s="226"/>
      <c r="B149" s="719" t="s">
        <v>1010</v>
      </c>
      <c r="C149" s="713"/>
      <c r="D149" s="203"/>
      <c r="E149" s="701"/>
      <c r="F149" s="224" t="s">
        <v>1149</v>
      </c>
      <c r="G149" s="203"/>
      <c r="H149" s="702"/>
      <c r="I149" s="702" t="str">
        <f t="shared" si="143"/>
        <v>INDCWH</v>
      </c>
      <c r="J149" s="224">
        <f t="shared" si="146"/>
        <v>2050</v>
      </c>
      <c r="K149" s="81"/>
      <c r="L149" s="199">
        <f t="shared" ca="1" si="179"/>
        <v>1.03</v>
      </c>
      <c r="M149" s="199"/>
      <c r="N149" s="81"/>
      <c r="O149" s="723">
        <f t="shared" ca="1" si="180"/>
        <v>0.37250000000000005</v>
      </c>
      <c r="P149" s="723">
        <f t="shared" ca="1" si="181"/>
        <v>1.2664999999999999E-2</v>
      </c>
      <c r="Q149" s="81">
        <f t="shared" ca="1" si="182"/>
        <v>2.0694444444444446</v>
      </c>
      <c r="R149" s="703"/>
      <c r="S149" s="703"/>
      <c r="T149" s="703"/>
      <c r="U149" s="703"/>
      <c r="V149" s="199">
        <f t="shared" ref="V149" ca="1" si="192">IF(IF(RIGHT(H147,2)="PH",(1-L149)+$W$2,IF(RIGHT(H147,2)="HT",(1-L149)+$W$1,IF(RIGHT(H147,2)="SH",(1-L149)+$W$3,"")))&gt;0,IF(RIGHT(H147,2)="PH",(1-L149)+$W$2,IF(RIGHT(H147,2)="HT",(1-L149)+$W$1,IF(RIGHT(H147,2)="SH",(1-L149)+$W$3,""))),0)</f>
        <v>0</v>
      </c>
      <c r="W149" s="704"/>
      <c r="X149" s="698">
        <f t="shared" ca="1" si="145"/>
        <v>0.3</v>
      </c>
      <c r="Y149" s="698">
        <f t="shared" ca="1" si="184"/>
        <v>6</v>
      </c>
      <c r="Z149" s="698">
        <f t="shared" ca="1" si="185"/>
        <v>2</v>
      </c>
      <c r="AA149" s="698">
        <f t="shared" ca="1" si="186"/>
        <v>1</v>
      </c>
      <c r="AB149" s="698">
        <f t="shared" ca="1" si="187"/>
        <v>0.1</v>
      </c>
      <c r="AC149" s="55"/>
      <c r="AD149" s="81">
        <v>2050</v>
      </c>
      <c r="AE149" s="81"/>
      <c r="AF149" s="700"/>
    </row>
    <row r="150" spans="1:32">
      <c r="A150" s="226"/>
      <c r="B150" s="718" t="s">
        <v>1010</v>
      </c>
      <c r="C150" s="226"/>
      <c r="D150" s="212" t="str">
        <f>"IND"&amp;RIGHT(H150,4)&amp;"GAS"&amp;"N"&amp;RIGHT(E150,1)</f>
        <v>INDCDPHGASN3</v>
      </c>
      <c r="E150" s="707" t="str">
        <f>"Industrial heating technology "&amp;$AJ$12&amp;" "&amp;RIGHT(H150,2)&amp;" - Gas boiler (Hot Water) - new 3"</f>
        <v>Industrial heating technology Chemical PH - Gas boiler (Hot Water) - new 3</v>
      </c>
      <c r="F150" s="224" t="s">
        <v>1149</v>
      </c>
      <c r="G150" s="173" t="s">
        <v>2080</v>
      </c>
      <c r="H150" s="708" t="str">
        <f>$AI$14</f>
        <v>ICDPH</v>
      </c>
      <c r="I150" s="708" t="str">
        <f t="shared" si="143"/>
        <v>INDCWH</v>
      </c>
      <c r="J150" s="224">
        <f t="shared" si="146"/>
        <v>2011</v>
      </c>
      <c r="K150" s="299">
        <f>J150</f>
        <v>2011</v>
      </c>
      <c r="L150" s="199">
        <f t="shared" ref="L150:L155" ca="1" si="193">VLOOKUP($AD150,INDIRECT("'"&amp;$B150&amp;"'!"&amp;"$P$200:$AD$203"),3,FALSE)</f>
        <v>0.93</v>
      </c>
      <c r="M150" s="199"/>
      <c r="N150" s="81">
        <f ca="1">VLOOKUP($AD150,INDIRECT("'"&amp;$B150&amp;"'!"&amp;"$P$200:$AD$203"),5,FALSE)</f>
        <v>25</v>
      </c>
      <c r="O150" s="723">
        <f t="shared" ref="O150:O155" ca="1" si="194">VLOOKUP($AD150,INDIRECT("'"&amp;$B150&amp;"'!"&amp;"$P$200:$AD$203"),6,FALSE)/1000</f>
        <v>0.3250909090909091</v>
      </c>
      <c r="P150" s="723">
        <f t="shared" ref="P150:P155" ca="1" si="195">VLOOKUP($AD150,INDIRECT("'"&amp;$B150&amp;"'!"&amp;"$P$200:$AD$203"),7,FALSE)/1000</f>
        <v>1.49E-2</v>
      </c>
      <c r="Q150" s="81">
        <f t="shared" ref="Q150:Q155" ca="1" si="196">VLOOKUP($AD150,INDIRECT("'"&amp;$B150&amp;"'!"&amp;"$P$200:$AD$203"),8,FALSE)</f>
        <v>2.276388888888889</v>
      </c>
      <c r="R150" s="81">
        <v>3.1536000000000002E-2</v>
      </c>
      <c r="S150" s="199">
        <v>0.5</v>
      </c>
      <c r="T150" s="199">
        <f ca="1">HLOOKUP($T$2,INDIRECT("'"&amp;$B150&amp;"'!"&amp;"$P$167:$AC$180"),IF(H150=$AI$13,6,IF(H150=$AI$14,9,14)),FALSE)</f>
        <v>0</v>
      </c>
      <c r="U150" s="773"/>
      <c r="V150" s="199">
        <f t="shared" ref="V150" ca="1" si="197">IF(IF(RIGHT(H150,2)="PH",(1-L150)+$W$2,IF(RIGHT(H150,2)="HT",(1-L150)+$W$1,IF(RIGHT(H150,2)="SH",(1-L150)+$W$3,"")))&gt;0,IF(RIGHT(H150,2)="PH",(1-L150)+$W$2,IF(RIGHT(H150,2)="HT",(1-L150)+$W$1,IF(RIGHT(H150,2)="SH",(1-L150)+$W$3,""))),0)</f>
        <v>0.26999999999999996</v>
      </c>
      <c r="W150" s="709"/>
      <c r="X150" s="698">
        <f t="shared" ca="1" si="145"/>
        <v>0.3</v>
      </c>
      <c r="Y150" s="698">
        <f t="shared" ref="Y150:Y155" ca="1" si="198">VLOOKUP($AD150,INDIRECT("'"&amp;$B150&amp;"'!"&amp;"$P$200:$AD$203"),12,FALSE)</f>
        <v>9</v>
      </c>
      <c r="Z150" s="698">
        <f t="shared" ref="Z150:Z155" ca="1" si="199">VLOOKUP($AD150,INDIRECT("'"&amp;$B150&amp;"'!"&amp;"$P$200:$AD$203"),13,FALSE)</f>
        <v>3</v>
      </c>
      <c r="AA150" s="698">
        <f t="shared" ref="AA150:AA155" ca="1" si="200">VLOOKUP($AD150,INDIRECT("'"&amp;$B150&amp;"'!"&amp;"$P$200:$AD$203"),14,FALSE)</f>
        <v>1</v>
      </c>
      <c r="AB150" s="698">
        <f t="shared" ref="AB150:AB155" ca="1" si="201">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43"/>
        <v>INDCWH</v>
      </c>
      <c r="J151" s="224">
        <f t="shared" si="146"/>
        <v>2030</v>
      </c>
      <c r="K151" s="81"/>
      <c r="L151" s="199">
        <f t="shared" ca="1" si="193"/>
        <v>0.94</v>
      </c>
      <c r="M151" s="199"/>
      <c r="N151" s="81"/>
      <c r="O151" s="723">
        <f t="shared" ca="1" si="194"/>
        <v>0.27090909090909093</v>
      </c>
      <c r="P151" s="723">
        <f t="shared" ca="1" si="195"/>
        <v>1.4154999999999999E-2</v>
      </c>
      <c r="Q151" s="81">
        <f t="shared" ca="1" si="196"/>
        <v>2.0694444444444446</v>
      </c>
      <c r="R151" s="300"/>
      <c r="S151" s="300"/>
      <c r="T151" s="300"/>
      <c r="U151" s="300"/>
      <c r="V151" s="199">
        <f t="shared" ref="V151" ca="1" si="202">IF(IF(RIGHT(H150,2)="PH",(1-L151)+$W$2,IF(RIGHT(H150,2)="HT",(1-L151)+$W$1,IF(RIGHT(H150,2)="SH",(1-L151)+$W$3,"")))&gt;0,IF(RIGHT(H150,2)="PH",(1-L151)+$W$2,IF(RIGHT(H150,2)="HT",(1-L151)+$W$1,IF(RIGHT(H150,2)="SH",(1-L151)+$W$3,""))),0)</f>
        <v>0.26000000000000006</v>
      </c>
      <c r="W151" s="298"/>
      <c r="X151" s="698">
        <f t="shared" ca="1" si="145"/>
        <v>0.3</v>
      </c>
      <c r="Y151" s="698">
        <f t="shared" ca="1" si="198"/>
        <v>7</v>
      </c>
      <c r="Z151" s="698">
        <f t="shared" ca="1" si="199"/>
        <v>2</v>
      </c>
      <c r="AA151" s="698">
        <f t="shared" ca="1" si="200"/>
        <v>1</v>
      </c>
      <c r="AB151" s="698">
        <f t="shared" ca="1" si="201"/>
        <v>0.1</v>
      </c>
      <c r="AC151" s="55"/>
      <c r="AD151" s="81">
        <v>2030</v>
      </c>
      <c r="AE151" s="81"/>
      <c r="AF151" s="700"/>
    </row>
    <row r="152" spans="1:32">
      <c r="B152" s="718" t="s">
        <v>1010</v>
      </c>
      <c r="C152" s="226"/>
      <c r="E152" s="261"/>
      <c r="F152" s="224" t="s">
        <v>1149</v>
      </c>
      <c r="G152" s="55"/>
      <c r="H152" s="174"/>
      <c r="I152" s="174" t="str">
        <f t="shared" si="143"/>
        <v>INDCWH</v>
      </c>
      <c r="J152" s="224">
        <f t="shared" si="146"/>
        <v>2050</v>
      </c>
      <c r="K152" s="81"/>
      <c r="L152" s="199">
        <f t="shared" ca="1" si="193"/>
        <v>0.95</v>
      </c>
      <c r="M152" s="199"/>
      <c r="N152" s="81"/>
      <c r="O152" s="723">
        <f t="shared" ca="1" si="194"/>
        <v>0.27090909090909093</v>
      </c>
      <c r="P152" s="723">
        <f t="shared" ca="1" si="195"/>
        <v>1.2664999999999999E-2</v>
      </c>
      <c r="Q152" s="81">
        <f t="shared" ca="1" si="196"/>
        <v>2.0694444444444446</v>
      </c>
      <c r="R152" s="300"/>
      <c r="S152" s="300"/>
      <c r="T152" s="300"/>
      <c r="U152" s="300"/>
      <c r="V152" s="199">
        <f t="shared" ref="V152" ca="1" si="203">IF(IF(RIGHT(H150,2)="PH",(1-L152)+$W$2,IF(RIGHT(H150,2)="HT",(1-L152)+$W$1,IF(RIGHT(H150,2)="SH",(1-L152)+$W$3,"")))&gt;0,IF(RIGHT(H150,2)="PH",(1-L152)+$W$2,IF(RIGHT(H150,2)="HT",(1-L152)+$W$1,IF(RIGHT(H150,2)="SH",(1-L152)+$W$3,""))),0)</f>
        <v>0.25000000000000006</v>
      </c>
      <c r="W152" s="720"/>
      <c r="X152" s="698">
        <f t="shared" ca="1" si="145"/>
        <v>0.3</v>
      </c>
      <c r="Y152" s="698">
        <f t="shared" ca="1" si="198"/>
        <v>6</v>
      </c>
      <c r="Z152" s="698">
        <f t="shared" ca="1" si="199"/>
        <v>2</v>
      </c>
      <c r="AA152" s="698">
        <f t="shared" ca="1" si="200"/>
        <v>1</v>
      </c>
      <c r="AB152" s="698">
        <f t="shared" ca="1" si="201"/>
        <v>0.1</v>
      </c>
      <c r="AC152" s="203"/>
      <c r="AD152" s="81">
        <v>2050</v>
      </c>
      <c r="AE152" s="81"/>
      <c r="AF152" s="705"/>
    </row>
    <row r="153" spans="1:32">
      <c r="B153" s="718" t="s">
        <v>1010</v>
      </c>
      <c r="C153" s="64"/>
      <c r="D153" s="212" t="str">
        <f>"IND"&amp;RIGHT(H153,4)&amp;"GAS"&amp;"N"&amp;RIGHT(E153,1)</f>
        <v>INDCDSHGASN3</v>
      </c>
      <c r="E153" s="261" t="str">
        <f>"Industrial heating technology "&amp;$AJ$12&amp;" "&amp;RIGHT(H153,2)&amp;" - Gas boiler (Hot Water) - new 3"</f>
        <v>Industrial heating technology Chemical SH - Gas boiler (Hot Water) - new 3</v>
      </c>
      <c r="F153" s="224" t="s">
        <v>1149</v>
      </c>
      <c r="G153" s="173" t="s">
        <v>2080</v>
      </c>
      <c r="H153" s="174" t="str">
        <f>$AI$15</f>
        <v>ICDSH</v>
      </c>
      <c r="I153" s="174" t="str">
        <f t="shared" si="143"/>
        <v>INDCWH</v>
      </c>
      <c r="J153" s="224">
        <f t="shared" si="146"/>
        <v>2011</v>
      </c>
      <c r="K153" s="299">
        <f>J153</f>
        <v>2011</v>
      </c>
      <c r="L153" s="199">
        <f t="shared" ca="1" si="193"/>
        <v>0.93</v>
      </c>
      <c r="M153" s="199"/>
      <c r="N153" s="81">
        <f ca="1">VLOOKUP($AD153,INDIRECT("'"&amp;$B153&amp;"'!"&amp;"$P$200:$AD$203"),5,FALSE)</f>
        <v>25</v>
      </c>
      <c r="O153" s="723">
        <f t="shared" ca="1" si="194"/>
        <v>0.3250909090909091</v>
      </c>
      <c r="P153" s="723">
        <f t="shared" ca="1" si="195"/>
        <v>1.49E-2</v>
      </c>
      <c r="Q153" s="81">
        <f t="shared" ca="1" si="196"/>
        <v>2.276388888888889</v>
      </c>
      <c r="R153" s="81">
        <v>3.1536000000000002E-2</v>
      </c>
      <c r="S153" s="199">
        <v>0.5</v>
      </c>
      <c r="T153" s="199">
        <f ca="1">HLOOKUP($T$2,INDIRECT("'"&amp;$B153&amp;"'!"&amp;"$P$167:$AC$180"),IF(H153=$AI$13,6,IF(H153=$AI$14,9,14)),FALSE)</f>
        <v>1</v>
      </c>
      <c r="U153" s="772"/>
      <c r="V153" s="199">
        <f t="shared" ref="V153" ca="1" si="204">IF(IF(RIGHT(H153,2)="PH",(1-L153)+$W$2,IF(RIGHT(H153,2)="HT",(1-L153)+$W$1,IF(RIGHT(H153,2)="SH",(1-L153)+$W$3,"")))&gt;0,IF(RIGHT(H153,2)="PH",(1-L153)+$W$2,IF(RIGHT(H153,2)="HT",(1-L153)+$W$1,IF(RIGHT(H153,2)="SH",(1-L153)+$W$3,""))),0)</f>
        <v>6.9999999999999951E-2</v>
      </c>
      <c r="W153" s="298"/>
      <c r="X153" s="698">
        <f t="shared" ca="1" si="145"/>
        <v>0.3</v>
      </c>
      <c r="Y153" s="698">
        <f t="shared" ca="1" si="198"/>
        <v>9</v>
      </c>
      <c r="Z153" s="698">
        <f t="shared" ca="1" si="199"/>
        <v>3</v>
      </c>
      <c r="AA153" s="698">
        <f t="shared" ca="1" si="200"/>
        <v>1</v>
      </c>
      <c r="AB153" s="698">
        <f t="shared" ca="1" si="201"/>
        <v>0.1</v>
      </c>
      <c r="AC153" s="296"/>
      <c r="AD153" s="81">
        <v>2020</v>
      </c>
      <c r="AE153" s="81"/>
      <c r="AF153" s="710"/>
    </row>
    <row r="154" spans="1:32">
      <c r="B154" s="718" t="s">
        <v>1010</v>
      </c>
      <c r="C154" s="64"/>
      <c r="E154" s="261"/>
      <c r="F154" s="224" t="s">
        <v>1149</v>
      </c>
      <c r="G154" s="55"/>
      <c r="H154" s="174"/>
      <c r="I154" s="174" t="str">
        <f t="shared" si="143"/>
        <v>INDCWH</v>
      </c>
      <c r="J154" s="224">
        <f t="shared" si="146"/>
        <v>2030</v>
      </c>
      <c r="K154" s="81"/>
      <c r="L154" s="199">
        <f t="shared" ca="1" si="193"/>
        <v>0.94</v>
      </c>
      <c r="M154" s="199"/>
      <c r="N154" s="81"/>
      <c r="O154" s="723">
        <f t="shared" ca="1" si="194"/>
        <v>0.27090909090909093</v>
      </c>
      <c r="P154" s="723">
        <f t="shared" ca="1" si="195"/>
        <v>1.4154999999999999E-2</v>
      </c>
      <c r="Q154" s="81">
        <f t="shared" ca="1" si="196"/>
        <v>2.0694444444444446</v>
      </c>
      <c r="R154" s="300"/>
      <c r="S154" s="300"/>
      <c r="T154" s="300"/>
      <c r="U154" s="300"/>
      <c r="V154" s="199">
        <f t="shared" ref="V154" ca="1" si="205">IF(IF(RIGHT(H153,2)="PH",(1-L154)+$W$2,IF(RIGHT(H153,2)="HT",(1-L154)+$W$1,IF(RIGHT(H153,2)="SH",(1-L154)+$W$3,"")))&gt;0,IF(RIGHT(H153,2)="PH",(1-L154)+$W$2,IF(RIGHT(H153,2)="HT",(1-L154)+$W$1,IF(RIGHT(H153,2)="SH",(1-L154)+$W$3,""))),0)</f>
        <v>6.0000000000000053E-2</v>
      </c>
      <c r="W154" s="298"/>
      <c r="X154" s="698">
        <f t="shared" ca="1" si="145"/>
        <v>0.3</v>
      </c>
      <c r="Y154" s="698">
        <f t="shared" ca="1" si="198"/>
        <v>7</v>
      </c>
      <c r="Z154" s="698">
        <f t="shared" ca="1" si="199"/>
        <v>2</v>
      </c>
      <c r="AA154" s="698">
        <f t="shared" ca="1" si="200"/>
        <v>1</v>
      </c>
      <c r="AB154" s="698">
        <f t="shared" ca="1" si="201"/>
        <v>0.1</v>
      </c>
      <c r="AC154" s="55"/>
      <c r="AD154" s="81">
        <v>2030</v>
      </c>
      <c r="AE154" s="81"/>
      <c r="AF154" s="700"/>
    </row>
    <row r="155" spans="1:32">
      <c r="A155" s="226"/>
      <c r="B155" s="719" t="s">
        <v>1010</v>
      </c>
      <c r="C155" s="713"/>
      <c r="D155" s="203"/>
      <c r="E155" s="701"/>
      <c r="F155" s="224" t="s">
        <v>1149</v>
      </c>
      <c r="G155" s="203"/>
      <c r="H155" s="702"/>
      <c r="I155" s="702" t="str">
        <f t="shared" si="143"/>
        <v>INDCWH</v>
      </c>
      <c r="J155" s="224">
        <f t="shared" si="146"/>
        <v>2050</v>
      </c>
      <c r="K155" s="81"/>
      <c r="L155" s="199">
        <f t="shared" ca="1" si="193"/>
        <v>0.95</v>
      </c>
      <c r="M155" s="199"/>
      <c r="N155" s="81"/>
      <c r="O155" s="723">
        <f t="shared" ca="1" si="194"/>
        <v>0.27090909090909093</v>
      </c>
      <c r="P155" s="723">
        <f t="shared" ca="1" si="195"/>
        <v>1.2664999999999999E-2</v>
      </c>
      <c r="Q155" s="81">
        <f t="shared" ca="1" si="196"/>
        <v>2.0694444444444446</v>
      </c>
      <c r="R155" s="300"/>
      <c r="S155" s="300"/>
      <c r="T155" s="300"/>
      <c r="U155" s="300"/>
      <c r="V155" s="199">
        <f t="shared" ref="V155" ca="1" si="206">IF(IF(RIGHT(H153,2)="PH",(1-L155)+$W$2,IF(RIGHT(H153,2)="HT",(1-L155)+$W$1,IF(RIGHT(H153,2)="SH",(1-L155)+$W$3,"")))&gt;0,IF(RIGHT(H153,2)="PH",(1-L155)+$W$2,IF(RIGHT(H153,2)="HT",(1-L155)+$W$1,IF(RIGHT(H153,2)="SH",(1-L155)+$W$3,""))),0)</f>
        <v>5.0000000000000044E-2</v>
      </c>
      <c r="W155" s="298"/>
      <c r="X155" s="698">
        <f t="shared" ca="1" si="145"/>
        <v>0.3</v>
      </c>
      <c r="Y155" s="698">
        <f t="shared" ca="1" si="198"/>
        <v>6</v>
      </c>
      <c r="Z155" s="698">
        <f t="shared" ca="1" si="199"/>
        <v>2</v>
      </c>
      <c r="AA155" s="698">
        <f t="shared" ca="1" si="200"/>
        <v>1</v>
      </c>
      <c r="AB155" s="698">
        <f t="shared" ca="1" si="201"/>
        <v>0.1</v>
      </c>
      <c r="AC155" s="55"/>
      <c r="AD155" s="81">
        <v>2050</v>
      </c>
      <c r="AE155" s="81"/>
      <c r="AF155" s="700"/>
    </row>
    <row r="156" spans="1:32">
      <c r="B156" s="718" t="s">
        <v>1010</v>
      </c>
      <c r="C156" s="64"/>
      <c r="D156" s="212" t="str">
        <f>"IND"&amp;RIGHT(H156,4)&amp;"GAS"&amp;"N"&amp;RIGHT(E156,1)</f>
        <v>INDCDPHGASN4</v>
      </c>
      <c r="E156" s="707" t="str">
        <f>"Industrial heating technology "&amp;$AJ$12&amp;" "&amp;RIGHT(H156,2)&amp;" - Gas boiler (Hot Water - condensing) - new 4"</f>
        <v>Industrial heating technology Chemical PH - Gas boiler (Hot Water - condensing) - new 4</v>
      </c>
      <c r="F156" s="224" t="s">
        <v>1149</v>
      </c>
      <c r="G156" s="173" t="s">
        <v>2080</v>
      </c>
      <c r="H156" s="708" t="str">
        <f>$AI$14</f>
        <v>ICDPH</v>
      </c>
      <c r="I156" s="708" t="str">
        <f t="shared" si="143"/>
        <v>INDCWH</v>
      </c>
      <c r="J156" s="224">
        <f t="shared" si="146"/>
        <v>2011</v>
      </c>
      <c r="K156" s="299">
        <f>J156</f>
        <v>2011</v>
      </c>
      <c r="L156" s="199">
        <f t="shared" ref="L156:L161" ca="1" si="207">VLOOKUP($AD156,INDIRECT("'"&amp;$B156&amp;"'!"&amp;"$P$279:$AD$282"),3,FALSE)</f>
        <v>1.01</v>
      </c>
      <c r="M156" s="199"/>
      <c r="N156" s="81">
        <f ca="1">VLOOKUP($AD156,INDIRECT("'"&amp;$B156&amp;"'!"&amp;"$P$279:$AD$282"),5,FALSE)</f>
        <v>25</v>
      </c>
      <c r="O156" s="723">
        <f t="shared" ref="O156:O161" ca="1" si="208">VLOOKUP($AD156,INDIRECT("'"&amp;$B156&amp;"'!"&amp;"$P$279:$AD$282"),6,FALSE)/1000</f>
        <v>0.35760000000000003</v>
      </c>
      <c r="P156" s="723">
        <f t="shared" ref="P156:P161" ca="1" si="209">VLOOKUP($AD156,INDIRECT("'"&amp;$B156&amp;"'!"&amp;"$P$279:$AD$282"),7,FALSE)/1000</f>
        <v>1.49E-2</v>
      </c>
      <c r="Q156" s="81">
        <f t="shared" ref="Q156:Q161" ca="1" si="210">VLOOKUP($AD156,INDIRECT("'"&amp;$B156&amp;"'!"&amp;"$P$279:$AD$282"),8,FALSE)</f>
        <v>2.276388888888889</v>
      </c>
      <c r="R156" s="81">
        <v>3.1536000000000002E-2</v>
      </c>
      <c r="S156" s="199">
        <v>0.5</v>
      </c>
      <c r="T156" s="199">
        <f ca="1">HLOOKUP($T$2,INDIRECT("'"&amp;$B156&amp;"'!"&amp;"$P$246:$AC$259"),IF(H156=$AI$13,6,IF(H156=$AI$14,9,14)),FALSE)</f>
        <v>0</v>
      </c>
      <c r="U156" s="773"/>
      <c r="V156" s="199">
        <f t="shared" ref="V156" ca="1" si="211">IF(IF(RIGHT(H156,2)="PH",(1-L156)+$W$2,IF(RIGHT(H156,2)="HT",(1-L156)+$W$1,IF(RIGHT(H156,2)="SH",(1-L156)+$W$3,"")))&gt;0,IF(RIGHT(H156,2)="PH",(1-L156)+$W$2,IF(RIGHT(H156,2)="HT",(1-L156)+$W$1,IF(RIGHT(H156,2)="SH",(1-L156)+$W$3,""))),0)</f>
        <v>0.19</v>
      </c>
      <c r="W156" s="709"/>
      <c r="X156" s="698">
        <f t="shared" ca="1" si="145"/>
        <v>0.3</v>
      </c>
      <c r="Y156" s="698">
        <f t="shared" ref="Y156:Y161" ca="1" si="212">VLOOKUP($AD156,INDIRECT("'"&amp;$B156&amp;"'!"&amp;"$P$279:$AD$282"),12,FALSE)</f>
        <v>9</v>
      </c>
      <c r="Z156" s="698">
        <f t="shared" ref="Z156:Z161" ca="1" si="213">VLOOKUP($AD156,INDIRECT("'"&amp;$B156&amp;"'!"&amp;"$P$279:$AD$282"),13,FALSE)</f>
        <v>3</v>
      </c>
      <c r="AA156" s="698">
        <f t="shared" ref="AA156:AA161" ca="1" si="214">VLOOKUP($AD156,INDIRECT("'"&amp;$B156&amp;"'!"&amp;"$P$279:$AD$282"),14,FALSE)</f>
        <v>1</v>
      </c>
      <c r="AB156" s="698">
        <f t="shared" ref="AB156:AB161" ca="1" si="215">VLOOKUP($AD156,INDIRECT("'"&amp;$B156&amp;"'!"&amp;"$P$279:$AD$282"),15,FALSE)</f>
        <v>0.1</v>
      </c>
      <c r="AC156" s="55"/>
      <c r="AD156" s="81">
        <v>2020</v>
      </c>
      <c r="AE156" s="81"/>
      <c r="AF156" s="700"/>
    </row>
    <row r="157" spans="1:32">
      <c r="B157" s="718" t="s">
        <v>1010</v>
      </c>
      <c r="C157" s="64"/>
      <c r="E157" s="261"/>
      <c r="F157" s="224" t="s">
        <v>1149</v>
      </c>
      <c r="G157" s="55"/>
      <c r="H157" s="174"/>
      <c r="I157" s="174" t="str">
        <f t="shared" si="143"/>
        <v>INDCWH</v>
      </c>
      <c r="J157" s="224">
        <f t="shared" si="146"/>
        <v>2030</v>
      </c>
      <c r="K157" s="81"/>
      <c r="L157" s="199">
        <f t="shared" ca="1" si="207"/>
        <v>1.03</v>
      </c>
      <c r="M157" s="199"/>
      <c r="N157" s="81"/>
      <c r="O157" s="723">
        <f t="shared" ca="1" si="208"/>
        <v>0.29800000000000004</v>
      </c>
      <c r="P157" s="723">
        <f t="shared" ca="1" si="209"/>
        <v>1.4154999999999999E-2</v>
      </c>
      <c r="Q157" s="81">
        <f t="shared" ca="1" si="210"/>
        <v>2.0694444444444446</v>
      </c>
      <c r="R157" s="300"/>
      <c r="S157" s="300"/>
      <c r="T157" s="300"/>
      <c r="U157" s="300"/>
      <c r="V157" s="199">
        <f t="shared" ref="V157" ca="1" si="216">IF(IF(RIGHT(H156,2)="PH",(1-L157)+$W$2,IF(RIGHT(H156,2)="HT",(1-L157)+$W$1,IF(RIGHT(H156,2)="SH",(1-L157)+$W$3,"")))&gt;0,IF(RIGHT(H156,2)="PH",(1-L157)+$W$2,IF(RIGHT(H156,2)="HT",(1-L157)+$W$1,IF(RIGHT(H156,2)="SH",(1-L157)+$W$3,""))),0)</f>
        <v>0.16999999999999998</v>
      </c>
      <c r="W157" s="298"/>
      <c r="X157" s="698">
        <f t="shared" ca="1" si="145"/>
        <v>0.3</v>
      </c>
      <c r="Y157" s="698">
        <f t="shared" ca="1" si="212"/>
        <v>7</v>
      </c>
      <c r="Z157" s="698">
        <f t="shared" ca="1" si="213"/>
        <v>2</v>
      </c>
      <c r="AA157" s="698">
        <f t="shared" ca="1" si="214"/>
        <v>1</v>
      </c>
      <c r="AB157" s="698">
        <f t="shared" ca="1" si="215"/>
        <v>0.1</v>
      </c>
      <c r="AC157" s="55"/>
      <c r="AD157" s="81">
        <v>2030</v>
      </c>
      <c r="AE157" s="81"/>
      <c r="AF157" s="700"/>
    </row>
    <row r="158" spans="1:32">
      <c r="B158" s="718" t="s">
        <v>1010</v>
      </c>
      <c r="C158" s="64"/>
      <c r="E158" s="261"/>
      <c r="F158" s="224" t="s">
        <v>1149</v>
      </c>
      <c r="G158" s="55"/>
      <c r="H158" s="174"/>
      <c r="I158" s="174" t="str">
        <f t="shared" si="143"/>
        <v>INDCWH</v>
      </c>
      <c r="J158" s="224">
        <f t="shared" si="146"/>
        <v>2050</v>
      </c>
      <c r="K158" s="81"/>
      <c r="L158" s="199">
        <f t="shared" ca="1" si="207"/>
        <v>1.03</v>
      </c>
      <c r="M158" s="199"/>
      <c r="N158" s="81"/>
      <c r="O158" s="723">
        <f t="shared" ca="1" si="208"/>
        <v>0.29800000000000004</v>
      </c>
      <c r="P158" s="723">
        <f t="shared" ca="1" si="209"/>
        <v>1.2664999999999999E-2</v>
      </c>
      <c r="Q158" s="81">
        <f t="shared" ca="1" si="210"/>
        <v>2.0694444444444446</v>
      </c>
      <c r="R158" s="300"/>
      <c r="S158" s="300"/>
      <c r="T158" s="300"/>
      <c r="U158" s="300"/>
      <c r="V158" s="199">
        <f t="shared" ref="V158" ca="1" si="217">IF(IF(RIGHT(H156,2)="PH",(1-L158)+$W$2,IF(RIGHT(H156,2)="HT",(1-L158)+$W$1,IF(RIGHT(H156,2)="SH",(1-L158)+$W$3,"")))&gt;0,IF(RIGHT(H156,2)="PH",(1-L158)+$W$2,IF(RIGHT(H156,2)="HT",(1-L158)+$W$1,IF(RIGHT(H156,2)="SH",(1-L158)+$W$3,""))),0)</f>
        <v>0.16999999999999998</v>
      </c>
      <c r="W158" s="298"/>
      <c r="X158" s="698">
        <f t="shared" ca="1" si="145"/>
        <v>0.3</v>
      </c>
      <c r="Y158" s="698">
        <f t="shared" ca="1" si="212"/>
        <v>6</v>
      </c>
      <c r="Z158" s="698">
        <f t="shared" ca="1" si="213"/>
        <v>2</v>
      </c>
      <c r="AA158" s="698">
        <f t="shared" ca="1" si="214"/>
        <v>1</v>
      </c>
      <c r="AB158" s="698">
        <f t="shared" ca="1" si="215"/>
        <v>0.1</v>
      </c>
      <c r="AC158" s="203"/>
      <c r="AD158" s="81">
        <v>2050</v>
      </c>
      <c r="AE158" s="81"/>
      <c r="AF158" s="705"/>
    </row>
    <row r="159" spans="1:32">
      <c r="A159" s="226"/>
      <c r="B159" s="718" t="s">
        <v>1010</v>
      </c>
      <c r="C159" s="64"/>
      <c r="D159" s="212" t="str">
        <f>"IND"&amp;RIGHT(H159,4)&amp;"GAS"&amp;"N"&amp;RIGHT(E159,1)</f>
        <v>INDCDSHGASN4</v>
      </c>
      <c r="E159" s="261" t="str">
        <f>"Industrial heating technology "&amp;$AJ$12&amp;" "&amp;RIGHT(H159,2)&amp;" - Gas boiler (Hot Water- condensing) - new 4"</f>
        <v>Industrial heating technology Chemical SH - Gas boiler (Hot Water- condensing) - new 4</v>
      </c>
      <c r="F159" s="224" t="s">
        <v>1149</v>
      </c>
      <c r="G159" s="173" t="s">
        <v>2080</v>
      </c>
      <c r="H159" s="174" t="str">
        <f>$AI$15</f>
        <v>ICDSH</v>
      </c>
      <c r="I159" s="174" t="str">
        <f t="shared" si="143"/>
        <v>INDCWH</v>
      </c>
      <c r="J159" s="224">
        <f t="shared" si="146"/>
        <v>2011</v>
      </c>
      <c r="K159" s="299">
        <f>J159</f>
        <v>2011</v>
      </c>
      <c r="L159" s="199">
        <f t="shared" ca="1" si="207"/>
        <v>1.01</v>
      </c>
      <c r="M159" s="199"/>
      <c r="N159" s="81">
        <f ca="1">VLOOKUP($AD159,INDIRECT("'"&amp;$B159&amp;"'!"&amp;"$P$279:$AD$282"),5,FALSE)</f>
        <v>25</v>
      </c>
      <c r="O159" s="723">
        <f t="shared" ca="1" si="208"/>
        <v>0.35760000000000003</v>
      </c>
      <c r="P159" s="723">
        <f t="shared" ca="1" si="209"/>
        <v>1.49E-2</v>
      </c>
      <c r="Q159" s="81">
        <f t="shared" ca="1" si="210"/>
        <v>2.276388888888889</v>
      </c>
      <c r="R159" s="81">
        <v>3.1536000000000002E-2</v>
      </c>
      <c r="S159" s="199">
        <v>0.5</v>
      </c>
      <c r="T159" s="199">
        <f ca="1">HLOOKUP($T$2,INDIRECT("'"&amp;$B159&amp;"'!"&amp;"$P$246:$AC$259"),IF(H159=$AI$13,6,IF(H159=$AI$14,9,14)),FALSE)</f>
        <v>1</v>
      </c>
      <c r="U159" s="773"/>
      <c r="V159" s="199">
        <f t="shared" ref="V159" ca="1" si="218">IF(IF(RIGHT(H159,2)="PH",(1-L159)+$W$2,IF(RIGHT(H159,2)="HT",(1-L159)+$W$1,IF(RIGHT(H159,2)="SH",(1-L159)+$W$3,"")))&gt;0,IF(RIGHT(H159,2)="PH",(1-L159)+$W$2,IF(RIGHT(H159,2)="HT",(1-L159)+$W$1,IF(RIGHT(H159,2)="SH",(1-L159)+$W$3,""))),0)</f>
        <v>0</v>
      </c>
      <c r="W159" s="709"/>
      <c r="X159" s="698">
        <f t="shared" ref="X159:X177" ca="1" si="219">IF(VLOOKUP($AD159,INDIRECT("'"&amp;$B159&amp;"'!"&amp;"$P$39:$AD$42"),11,FALSE)="Cf. the utilized electricity",0,VLOOKUP($AD159,INDIRECT("'"&amp;$B159&amp;"'!"&amp;"$P$39:$AD$42"),11,FALSE))</f>
        <v>0.3</v>
      </c>
      <c r="Y159" s="698">
        <f t="shared" ca="1" si="212"/>
        <v>9</v>
      </c>
      <c r="Z159" s="698">
        <f t="shared" ca="1" si="213"/>
        <v>3</v>
      </c>
      <c r="AA159" s="698">
        <f t="shared" ca="1" si="214"/>
        <v>1</v>
      </c>
      <c r="AB159" s="698">
        <f t="shared" ca="1" si="215"/>
        <v>0.1</v>
      </c>
      <c r="AC159" s="296"/>
      <c r="AD159" s="81">
        <v>2020</v>
      </c>
      <c r="AE159" s="81"/>
      <c r="AF159" s="710"/>
    </row>
    <row r="160" spans="1:32">
      <c r="B160" s="718" t="s">
        <v>1010</v>
      </c>
      <c r="C160" s="64"/>
      <c r="E160" s="261"/>
      <c r="F160" s="224" t="s">
        <v>1149</v>
      </c>
      <c r="G160" s="55"/>
      <c r="H160" s="174"/>
      <c r="I160" s="174" t="str">
        <f t="shared" si="143"/>
        <v>INDCWH</v>
      </c>
      <c r="J160" s="224">
        <f t="shared" si="146"/>
        <v>2030</v>
      </c>
      <c r="K160" s="81"/>
      <c r="L160" s="199">
        <f t="shared" ca="1" si="207"/>
        <v>1.03</v>
      </c>
      <c r="M160" s="199"/>
      <c r="N160" s="81"/>
      <c r="O160" s="723">
        <f t="shared" ca="1" si="208"/>
        <v>0.29800000000000004</v>
      </c>
      <c r="P160" s="723">
        <f t="shared" ca="1" si="209"/>
        <v>1.4154999999999999E-2</v>
      </c>
      <c r="Q160" s="81">
        <f t="shared" ca="1" si="210"/>
        <v>2.0694444444444446</v>
      </c>
      <c r="R160" s="300"/>
      <c r="S160" s="300"/>
      <c r="T160" s="300"/>
      <c r="U160" s="300"/>
      <c r="V160" s="199">
        <f t="shared" ref="V160" ca="1" si="220">IF(IF(RIGHT(H159,2)="PH",(1-L160)+$W$2,IF(RIGHT(H159,2)="HT",(1-L160)+$W$1,IF(RIGHT(H159,2)="SH",(1-L160)+$W$3,"")))&gt;0,IF(RIGHT(H159,2)="PH",(1-L160)+$W$2,IF(RIGHT(H159,2)="HT",(1-L160)+$W$1,IF(RIGHT(H159,2)="SH",(1-L160)+$W$3,""))),0)</f>
        <v>0</v>
      </c>
      <c r="W160" s="298"/>
      <c r="X160" s="698">
        <f t="shared" ca="1" si="219"/>
        <v>0.3</v>
      </c>
      <c r="Y160" s="698">
        <f t="shared" ca="1" si="212"/>
        <v>7</v>
      </c>
      <c r="Z160" s="698">
        <f t="shared" ca="1" si="213"/>
        <v>2</v>
      </c>
      <c r="AA160" s="698">
        <f t="shared" ca="1" si="214"/>
        <v>1</v>
      </c>
      <c r="AB160" s="698">
        <f t="shared" ca="1" si="215"/>
        <v>0.1</v>
      </c>
      <c r="AC160" s="55"/>
      <c r="AD160" s="81">
        <v>2030</v>
      </c>
      <c r="AE160" s="81"/>
      <c r="AF160" s="700"/>
    </row>
    <row r="161" spans="1:32">
      <c r="B161" s="719" t="s">
        <v>1010</v>
      </c>
      <c r="C161" s="713"/>
      <c r="D161" s="701"/>
      <c r="E161" s="701"/>
      <c r="F161" s="224" t="s">
        <v>1149</v>
      </c>
      <c r="G161" s="203"/>
      <c r="H161" s="702"/>
      <c r="I161" s="702" t="str">
        <f t="shared" si="143"/>
        <v>INDCWH</v>
      </c>
      <c r="J161" s="224">
        <f t="shared" si="146"/>
        <v>2050</v>
      </c>
      <c r="K161" s="81"/>
      <c r="L161" s="199">
        <f t="shared" ca="1" si="207"/>
        <v>1.03</v>
      </c>
      <c r="M161" s="199"/>
      <c r="N161" s="81"/>
      <c r="O161" s="723">
        <f t="shared" ca="1" si="208"/>
        <v>0.29800000000000004</v>
      </c>
      <c r="P161" s="723">
        <f t="shared" ca="1" si="209"/>
        <v>1.2664999999999999E-2</v>
      </c>
      <c r="Q161" s="81">
        <f t="shared" ca="1" si="210"/>
        <v>2.0694444444444446</v>
      </c>
      <c r="R161" s="300"/>
      <c r="S161" s="300"/>
      <c r="T161" s="300"/>
      <c r="U161" s="300"/>
      <c r="V161" s="199">
        <f t="shared" ref="V161" ca="1" si="221">IF(IF(RIGHT(H159,2)="PH",(1-L161)+$W$2,IF(RIGHT(H159,2)="HT",(1-L161)+$W$1,IF(RIGHT(H159,2)="SH",(1-L161)+$W$3,"")))&gt;0,IF(RIGHT(H159,2)="PH",(1-L161)+$W$2,IF(RIGHT(H159,2)="HT",(1-L161)+$W$1,IF(RIGHT(H159,2)="SH",(1-L161)+$W$3,""))),0)</f>
        <v>0</v>
      </c>
      <c r="W161" s="714"/>
      <c r="X161" s="698">
        <f t="shared" ca="1" si="219"/>
        <v>0.3</v>
      </c>
      <c r="Y161" s="698">
        <f t="shared" ca="1" si="212"/>
        <v>6</v>
      </c>
      <c r="Z161" s="698">
        <f t="shared" ca="1" si="213"/>
        <v>2</v>
      </c>
      <c r="AA161" s="698">
        <f t="shared" ca="1" si="214"/>
        <v>1</v>
      </c>
      <c r="AB161" s="698">
        <f t="shared" ca="1" si="215"/>
        <v>0.1</v>
      </c>
      <c r="AC161" s="55"/>
      <c r="AD161" s="81">
        <v>2050</v>
      </c>
      <c r="AE161" s="81"/>
      <c r="AF161" s="700"/>
    </row>
    <row r="162" spans="1:32">
      <c r="B162" s="718" t="s">
        <v>1010</v>
      </c>
      <c r="C162" s="64"/>
      <c r="D162" s="212" t="str">
        <f>"IND"&amp;RIGHT(H162,4)&amp;"GAS"&amp;"N"&amp;RIGHT(E162,1)</f>
        <v>INDCDPHGASN5</v>
      </c>
      <c r="E162" s="707" t="str">
        <f>"Industrial heating technology "&amp;$AJ$12&amp;" "&amp;RIGHT(H162,2)&amp;" - Gas boiler (Direct firing) - new 5"</f>
        <v>Industrial heating technology Chemical PH - Gas boiler (Direct firing) - new 5</v>
      </c>
      <c r="F162" s="224" t="s">
        <v>1149</v>
      </c>
      <c r="G162" s="173" t="s">
        <v>2080</v>
      </c>
      <c r="H162" s="174" t="str">
        <f>$AI$13</f>
        <v>ICDPH</v>
      </c>
      <c r="I162" s="174" t="str">
        <f t="shared" si="143"/>
        <v>INDCWH</v>
      </c>
      <c r="J162" s="224">
        <f t="shared" si="146"/>
        <v>2011</v>
      </c>
      <c r="K162" s="299">
        <f>J162</f>
        <v>2011</v>
      </c>
      <c r="L162" s="199">
        <f t="shared" ref="L162:L167" ca="1" si="222">VLOOKUP($AD162,INDIRECT("'"&amp;$B162&amp;"'!"&amp;"$P$345:$AD$348"),3,FALSE)</f>
        <v>1</v>
      </c>
      <c r="M162" s="199"/>
      <c r="N162" s="81">
        <f ca="1">VLOOKUP($AD162,INDIRECT("'"&amp;$B162&amp;"'!"&amp;"$P$345:$AD$348"),5,FALSE)</f>
        <v>15</v>
      </c>
      <c r="O162" s="723">
        <f t="shared" ref="O162:O167" ca="1" si="223">VLOOKUP($AD162,INDIRECT("'"&amp;$B162&amp;"'!"&amp;"$P$345:$AD$348"),6,FALSE)/1000</f>
        <v>0.11175</v>
      </c>
      <c r="P162" s="723">
        <f t="shared" ref="P162:P167" ca="1" si="224">VLOOKUP($AD162,INDIRECT("'"&amp;$B162&amp;"'!"&amp;"$P$345:$AD$348"),7,FALSE)/1000</f>
        <v>1.3545454545454561E-3</v>
      </c>
      <c r="Q162" s="81">
        <f t="shared" ref="Q162:Q167" ca="1" si="225">VLOOKUP($AD162,INDIRECT("'"&amp;$B162&amp;"'!"&amp;"$P$345:$AD$348"),8,FALSE)</f>
        <v>0.58461805555555546</v>
      </c>
      <c r="R162" s="81">
        <v>3.1536000000000002E-2</v>
      </c>
      <c r="S162" s="199">
        <v>0.5</v>
      </c>
      <c r="T162" s="199">
        <f ca="1">HLOOKUP($S$2,INDIRECT("'"&amp;$B162&amp;"'!"&amp;"$P$312:$AC$325"),IF(H162=$AI$13,6,IF(H162=$AI$14,9,14)),FALSE)</f>
        <v>0.2</v>
      </c>
      <c r="U162" s="773"/>
      <c r="V162" s="199">
        <f t="shared" ref="V162" ca="1" si="226">IF(IF(RIGHT(H162,2)="PH",(1-L162)+$W$2,IF(RIGHT(H162,2)="HT",(1-L162)+$W$1,IF(RIGHT(H162,2)="SH",(1-L162)+$W$3,"")))&gt;0,IF(RIGHT(H162,2)="PH",(1-L162)+$W$2,IF(RIGHT(H162,2)="HT",(1-L162)+$W$1,IF(RIGHT(H162,2)="SH",(1-L162)+$W$3,""))),0)</f>
        <v>0.2</v>
      </c>
      <c r="W162" s="709"/>
      <c r="X162" s="698">
        <f t="shared" ca="1" si="219"/>
        <v>0.3</v>
      </c>
      <c r="Y162" s="698">
        <f t="shared" ref="Y162:Y167" ca="1" si="227">VLOOKUP($AD162,INDIRECT("'"&amp;$B162&amp;"'!"&amp;"$P$345:$AD$348"),12,FALSE)</f>
        <v>9</v>
      </c>
      <c r="Z162" s="698">
        <f t="shared" ref="Z162:Z167" ca="1" si="228">VLOOKUP($AD162,INDIRECT("'"&amp;$B162&amp;"'!"&amp;"$P$345:$AD$348"),13,FALSE)</f>
        <v>3</v>
      </c>
      <c r="AA162" s="698">
        <f t="shared" ref="AA162:AA167" ca="1" si="229">VLOOKUP($AD162,INDIRECT("'"&amp;$B162&amp;"'!"&amp;"$P$345:$AD$348"),14,FALSE)</f>
        <v>1</v>
      </c>
      <c r="AB162" s="698">
        <f t="shared" ref="AB162:AB167" ca="1" si="230">VLOOKUP($AD162,INDIRECT("'"&amp;$B162&amp;"'!"&amp;"$P$345:$AD$348"),15,FALSE)</f>
        <v>0.1</v>
      </c>
      <c r="AC162" s="55"/>
      <c r="AD162" s="81">
        <v>2020</v>
      </c>
      <c r="AE162" s="81"/>
      <c r="AF162" s="700"/>
    </row>
    <row r="163" spans="1:32">
      <c r="B163" s="718" t="s">
        <v>1010</v>
      </c>
      <c r="C163" s="64"/>
      <c r="E163" s="261"/>
      <c r="F163" s="224" t="s">
        <v>1149</v>
      </c>
      <c r="G163" s="55"/>
      <c r="H163" s="174"/>
      <c r="I163" s="174" t="str">
        <f t="shared" si="143"/>
        <v>INDCWH</v>
      </c>
      <c r="J163" s="224">
        <f t="shared" si="146"/>
        <v>2030</v>
      </c>
      <c r="K163" s="81"/>
      <c r="L163" s="199">
        <f t="shared" ca="1" si="222"/>
        <v>1</v>
      </c>
      <c r="M163" s="199"/>
      <c r="N163" s="81"/>
      <c r="O163" s="723">
        <f t="shared" ca="1" si="223"/>
        <v>0.11175</v>
      </c>
      <c r="P163" s="723">
        <f t="shared" ca="1" si="224"/>
        <v>1.3206818181818161E-3</v>
      </c>
      <c r="Q163" s="81">
        <f t="shared" ca="1" si="225"/>
        <v>0.5742708333333334</v>
      </c>
      <c r="R163" s="300"/>
      <c r="S163" s="300"/>
      <c r="T163" s="300"/>
      <c r="U163" s="300"/>
      <c r="V163" s="199">
        <f t="shared" ref="V163" ca="1" si="231">IF(IF(RIGHT(H162,2)="PH",(1-L163)+$W$2,IF(RIGHT(H162,2)="HT",(1-L163)+$W$1,IF(RIGHT(H162,2)="SH",(1-L163)+$W$3,"")))&gt;0,IF(RIGHT(H162,2)="PH",(1-L163)+$W$2,IF(RIGHT(H162,2)="HT",(1-L163)+$W$1,IF(RIGHT(H162,2)="SH",(1-L163)+$W$3,""))),0)</f>
        <v>0.2</v>
      </c>
      <c r="W163" s="298"/>
      <c r="X163" s="698">
        <f t="shared" ca="1" si="219"/>
        <v>0.3</v>
      </c>
      <c r="Y163" s="698">
        <f t="shared" ca="1" si="227"/>
        <v>7</v>
      </c>
      <c r="Z163" s="698">
        <f t="shared" ca="1" si="228"/>
        <v>2</v>
      </c>
      <c r="AA163" s="698">
        <f t="shared" ca="1" si="229"/>
        <v>1</v>
      </c>
      <c r="AB163" s="698">
        <f t="shared" ca="1" si="230"/>
        <v>0.1</v>
      </c>
      <c r="AC163" s="55"/>
      <c r="AD163" s="81">
        <v>2030</v>
      </c>
      <c r="AE163" s="81"/>
      <c r="AF163" s="700"/>
    </row>
    <row r="164" spans="1:32">
      <c r="B164" s="718" t="s">
        <v>1010</v>
      </c>
      <c r="C164" s="64"/>
      <c r="E164" s="261"/>
      <c r="F164" s="224" t="s">
        <v>1149</v>
      </c>
      <c r="G164" s="55"/>
      <c r="H164" s="174"/>
      <c r="I164" s="174" t="str">
        <f t="shared" si="143"/>
        <v>INDCWH</v>
      </c>
      <c r="J164" s="224">
        <f t="shared" si="146"/>
        <v>2050</v>
      </c>
      <c r="K164" s="81"/>
      <c r="L164" s="199">
        <f t="shared" ca="1" si="222"/>
        <v>1</v>
      </c>
      <c r="M164" s="199"/>
      <c r="N164" s="81"/>
      <c r="O164" s="723">
        <f t="shared" ca="1" si="223"/>
        <v>0.11175</v>
      </c>
      <c r="P164" s="723">
        <f t="shared" ca="1" si="224"/>
        <v>1.1513636363636396E-3</v>
      </c>
      <c r="Q164" s="81">
        <f t="shared" ca="1" si="225"/>
        <v>0.57944444444444443</v>
      </c>
      <c r="R164" s="300"/>
      <c r="S164" s="300"/>
      <c r="T164" s="300"/>
      <c r="U164" s="300"/>
      <c r="V164" s="199">
        <f t="shared" ref="V164" ca="1" si="232">IF(IF(RIGHT(H162,2)="PH",(1-L164)+$W$2,IF(RIGHT(H162,2)="HT",(1-L164)+$W$1,IF(RIGHT(H162,2)="SH",(1-L164)+$W$3,"")))&gt;0,IF(RIGHT(H162,2)="PH",(1-L164)+$W$2,IF(RIGHT(H162,2)="HT",(1-L164)+$W$1,IF(RIGHT(H162,2)="SH",(1-L164)+$W$3,""))),0)</f>
        <v>0.2</v>
      </c>
      <c r="W164" s="298"/>
      <c r="X164" s="698">
        <f t="shared" ca="1" si="219"/>
        <v>0.3</v>
      </c>
      <c r="Y164" s="698">
        <f t="shared" ca="1" si="227"/>
        <v>6</v>
      </c>
      <c r="Z164" s="698">
        <f t="shared" ca="1" si="228"/>
        <v>2</v>
      </c>
      <c r="AA164" s="698">
        <f t="shared" ca="1" si="229"/>
        <v>1</v>
      </c>
      <c r="AB164" s="698">
        <f t="shared" ca="1" si="230"/>
        <v>0.1</v>
      </c>
      <c r="AC164" s="203"/>
      <c r="AD164" s="81">
        <v>2050</v>
      </c>
      <c r="AE164" s="81"/>
      <c r="AF164" s="700"/>
    </row>
    <row r="165" spans="1:32">
      <c r="B165" s="718" t="s">
        <v>1010</v>
      </c>
      <c r="C165" s="64"/>
      <c r="D165" s="212" t="str">
        <f>"IND"&amp;RIGHT(H165,4)&amp;"GAS"&amp;"N"&amp;RIGHT(E165,1)</f>
        <v>INDCDPHGASN5</v>
      </c>
      <c r="E165" s="261" t="str">
        <f>"Industrial heating technology "&amp;$AJ$12&amp;" "&amp;RIGHT(H165,2)&amp;" - Gas boiler (Direct firing) - new 5"</f>
        <v>Industrial heating technology Chemical PH - Gas boiler (Direct firing) - new 5</v>
      </c>
      <c r="F165" s="224" t="s">
        <v>1149</v>
      </c>
      <c r="G165" s="173" t="s">
        <v>2080</v>
      </c>
      <c r="H165" s="174" t="str">
        <f>$AI$14</f>
        <v>ICDPH</v>
      </c>
      <c r="I165" s="721" t="str">
        <f t="shared" si="143"/>
        <v>INDCWH</v>
      </c>
      <c r="J165" s="224">
        <f t="shared" si="146"/>
        <v>2011</v>
      </c>
      <c r="K165" s="299">
        <f>J165</f>
        <v>2011</v>
      </c>
      <c r="L165" s="199">
        <f t="shared" ca="1" si="222"/>
        <v>1</v>
      </c>
      <c r="M165" s="199"/>
      <c r="N165" s="81">
        <f ca="1">VLOOKUP($AD165,INDIRECT("'"&amp;$B165&amp;"'!"&amp;"$P$279:$AD$282"),5,FALSE)</f>
        <v>25</v>
      </c>
      <c r="O165" s="723">
        <f t="shared" ca="1" si="223"/>
        <v>0.11175</v>
      </c>
      <c r="P165" s="723">
        <f t="shared" ca="1" si="224"/>
        <v>1.3545454545454561E-3</v>
      </c>
      <c r="Q165" s="81">
        <f t="shared" ca="1" si="225"/>
        <v>0.58461805555555546</v>
      </c>
      <c r="R165" s="81">
        <v>3.1536000000000002E-2</v>
      </c>
      <c r="S165" s="199">
        <v>0.5</v>
      </c>
      <c r="T165" s="199">
        <f ca="1">HLOOKUP($S$2,INDIRECT("'"&amp;$B165&amp;"'!"&amp;"$P$312:$AC$325"),IF(H165=$AI$13,6,IF(H165=$AI$14,9,14)),FALSE)</f>
        <v>0.2</v>
      </c>
      <c r="U165" s="773"/>
      <c r="V165" s="199">
        <f t="shared" ref="V165" ca="1" si="233">IF(IF(RIGHT(H165,2)="PH",(1-L165)+$W$2,IF(RIGHT(H165,2)="HT",(1-L165)+$W$1,IF(RIGHT(H165,2)="SH",(1-L165)+$W$3,"")))&gt;0,IF(RIGHT(H165,2)="PH",(1-L165)+$W$2,IF(RIGHT(H165,2)="HT",(1-L165)+$W$1,IF(RIGHT(H165,2)="SH",(1-L165)+$W$3,""))),0)</f>
        <v>0.2</v>
      </c>
      <c r="W165" s="709"/>
      <c r="X165" s="698">
        <f t="shared" ca="1" si="219"/>
        <v>0.3</v>
      </c>
      <c r="Y165" s="698">
        <f t="shared" ca="1" si="227"/>
        <v>9</v>
      </c>
      <c r="Z165" s="698">
        <f t="shared" ca="1" si="228"/>
        <v>3</v>
      </c>
      <c r="AA165" s="698">
        <f t="shared" ca="1" si="229"/>
        <v>1</v>
      </c>
      <c r="AB165" s="698">
        <f t="shared" ca="1" si="230"/>
        <v>0.1</v>
      </c>
      <c r="AD165" s="277">
        <v>2020</v>
      </c>
      <c r="AE165" s="273"/>
      <c r="AF165" s="830"/>
    </row>
    <row r="166" spans="1:32">
      <c r="B166" s="718" t="s">
        <v>1010</v>
      </c>
      <c r="C166" s="64"/>
      <c r="E166" s="261"/>
      <c r="F166" s="224" t="s">
        <v>1149</v>
      </c>
      <c r="G166" s="55"/>
      <c r="H166" s="174"/>
      <c r="I166" s="174" t="str">
        <f t="shared" si="143"/>
        <v>INDCWH</v>
      </c>
      <c r="J166" s="224">
        <f t="shared" si="146"/>
        <v>2030</v>
      </c>
      <c r="K166" s="81"/>
      <c r="L166" s="199">
        <f t="shared" ca="1" si="222"/>
        <v>1</v>
      </c>
      <c r="M166" s="199"/>
      <c r="N166" s="81"/>
      <c r="O166" s="723">
        <f t="shared" ca="1" si="223"/>
        <v>0.11175</v>
      </c>
      <c r="P166" s="723">
        <f t="shared" ca="1" si="224"/>
        <v>1.3206818181818161E-3</v>
      </c>
      <c r="Q166" s="81">
        <f t="shared" ca="1" si="225"/>
        <v>0.5742708333333334</v>
      </c>
      <c r="R166" s="300"/>
      <c r="S166" s="300"/>
      <c r="T166" s="300"/>
      <c r="U166" s="300"/>
      <c r="V166" s="199">
        <f t="shared" ref="V166" ca="1" si="234">IF(IF(RIGHT(H165,2)="PH",(1-L166)+$W$2,IF(RIGHT(H165,2)="HT",(1-L166)+$W$1,IF(RIGHT(H165,2)="SH",(1-L166)+$W$3,"")))&gt;0,IF(RIGHT(H165,2)="PH",(1-L166)+$W$2,IF(RIGHT(H165,2)="HT",(1-L166)+$W$1,IF(RIGHT(H165,2)="SH",(1-L166)+$W$3,""))),0)</f>
        <v>0.2</v>
      </c>
      <c r="W166" s="298"/>
      <c r="X166" s="698">
        <f t="shared" ca="1" si="219"/>
        <v>0.3</v>
      </c>
      <c r="Y166" s="698">
        <f t="shared" ca="1" si="227"/>
        <v>7</v>
      </c>
      <c r="Z166" s="698">
        <f t="shared" ca="1" si="228"/>
        <v>2</v>
      </c>
      <c r="AA166" s="698">
        <f t="shared" ca="1" si="229"/>
        <v>1</v>
      </c>
      <c r="AB166" s="698">
        <f t="shared" ca="1" si="230"/>
        <v>0.1</v>
      </c>
      <c r="AD166" s="81">
        <v>2030</v>
      </c>
      <c r="AE166" s="273"/>
      <c r="AF166" s="828"/>
    </row>
    <row r="167" spans="1:32">
      <c r="A167" s="169"/>
      <c r="B167" s="719" t="s">
        <v>1010</v>
      </c>
      <c r="C167" s="713"/>
      <c r="D167" s="701"/>
      <c r="E167" s="701"/>
      <c r="F167" s="224" t="s">
        <v>1149</v>
      </c>
      <c r="G167" s="203"/>
      <c r="H167" s="702"/>
      <c r="I167" s="702" t="str">
        <f t="shared" si="143"/>
        <v>INDCWH</v>
      </c>
      <c r="J167" s="224">
        <f t="shared" si="146"/>
        <v>2050</v>
      </c>
      <c r="K167" s="81"/>
      <c r="L167" s="199">
        <f t="shared" ca="1" si="222"/>
        <v>1</v>
      </c>
      <c r="M167" s="199"/>
      <c r="N167" s="81"/>
      <c r="O167" s="723">
        <f t="shared" ca="1" si="223"/>
        <v>0.11175</v>
      </c>
      <c r="P167" s="723">
        <f t="shared" ca="1" si="224"/>
        <v>1.1513636363636396E-3</v>
      </c>
      <c r="Q167" s="81">
        <f t="shared" ca="1" si="225"/>
        <v>0.57944444444444443</v>
      </c>
      <c r="R167" s="722"/>
      <c r="S167" s="703"/>
      <c r="T167" s="703"/>
      <c r="U167" s="703"/>
      <c r="V167" s="199">
        <f t="shared" ref="V167" ca="1" si="235">IF(IF(RIGHT(H165,2)="PH",(1-L167)+$W$2,IF(RIGHT(H165,2)="HT",(1-L167)+$W$1,IF(RIGHT(H165,2)="SH",(1-L167)+$W$3,"")))&gt;0,IF(RIGHT(H165,2)="PH",(1-L167)+$W$2,IF(RIGHT(H165,2)="HT",(1-L167)+$W$1,IF(RIGHT(H165,2)="SH",(1-L167)+$W$3,""))),0)</f>
        <v>0.2</v>
      </c>
      <c r="W167" s="714"/>
      <c r="X167" s="698">
        <f t="shared" ca="1" si="219"/>
        <v>0.3</v>
      </c>
      <c r="Y167" s="698">
        <f t="shared" ca="1" si="227"/>
        <v>6</v>
      </c>
      <c r="Z167" s="698">
        <f t="shared" ca="1" si="228"/>
        <v>2</v>
      </c>
      <c r="AA167" s="698">
        <f t="shared" ca="1" si="229"/>
        <v>1</v>
      </c>
      <c r="AB167" s="698">
        <f t="shared" ca="1" si="230"/>
        <v>0.1</v>
      </c>
      <c r="AD167" s="81">
        <v>2050</v>
      </c>
      <c r="AE167" s="273"/>
      <c r="AF167" s="828"/>
    </row>
    <row r="168" spans="1:32">
      <c r="A168" s="169"/>
      <c r="B168" s="718" t="s">
        <v>1099</v>
      </c>
      <c r="C168" s="226"/>
      <c r="D168" s="707" t="str">
        <f>"IND"&amp;RIGHT(H168,4)&amp;RIGHT(G168,3)&amp;"N"&amp;RIGHT(E168,1)</f>
        <v>INDCDPHCOAN1</v>
      </c>
      <c r="E168" s="261" t="str">
        <f>"Industrial heating technology "&amp;$AJ$12&amp;" "&amp;RIGHT(H168,2)&amp;" - Coal boiler (Steam) - new 1"</f>
        <v>Industrial heating technology Chemical PH - Coal boiler (Steam) - new 1</v>
      </c>
      <c r="F168" s="224" t="s">
        <v>1149</v>
      </c>
      <c r="G168" s="55" t="s">
        <v>617</v>
      </c>
      <c r="H168" s="174" t="str">
        <f>$AI$13</f>
        <v>ICDPH</v>
      </c>
      <c r="I168" s="174" t="str">
        <f t="shared" si="143"/>
        <v>INDCWH</v>
      </c>
      <c r="J168" s="224">
        <f t="shared" si="146"/>
        <v>2011</v>
      </c>
      <c r="K168" s="299">
        <v>2025</v>
      </c>
      <c r="L168" s="199">
        <f t="shared" ref="L168:L176" ca="1" si="236">VLOOKUP($AD168,INDIRECT("'"&amp;$B168&amp;"'!"&amp;"$P$39:$AD$42"),3,FALSE)</f>
        <v>0.89</v>
      </c>
      <c r="M168" s="699"/>
      <c r="N168" s="299">
        <f ca="1">VLOOKUP($AD168,INDIRECT("'"&amp;$B168&amp;"'!"&amp;"$P$39:$AD$42"),5,FALSE)</f>
        <v>25</v>
      </c>
      <c r="O168" s="725">
        <f t="shared" ref="O168:O176" ca="1" si="237">VLOOKUP($AD168,INDIRECT("'"&amp;$B168&amp;"'!"&amp;"$P$39:$AD$42"),6,FALSE)/1000</f>
        <v>3.7250000000000001</v>
      </c>
      <c r="P168" s="725">
        <f t="shared" ref="P168:P176" ca="1" si="238">VLOOKUP($AD168,INDIRECT("'"&amp;$B168&amp;"'!"&amp;"$P$39:$AD$42"),7,FALSE)/1000</f>
        <v>0.25106499999999998</v>
      </c>
      <c r="Q168" s="299">
        <f t="shared" ref="Q168:Q176" ca="1" si="239">VLOOKUP($AD168,INDIRECT("'"&amp;$B168&amp;"'!"&amp;"$P$39:$AD$42"),8,FALSE)</f>
        <v>3.9381527777777778</v>
      </c>
      <c r="R168" s="299">
        <v>3.1536000000000002E-2</v>
      </c>
      <c r="S168" s="699">
        <v>0.5</v>
      </c>
      <c r="T168" s="699">
        <f ca="1">HLOOKUP($T$2,INDIRECT("'"&amp;$B168&amp;"'!"&amp;"$P$6:$AC$19"),IF(H168=$AI$13,6,IF(H168=$AI$14,9,14)),FALSE)</f>
        <v>1</v>
      </c>
      <c r="U168" s="772"/>
      <c r="V168" s="199">
        <f t="shared" ref="V168" ca="1" si="240">IF(IF(RIGHT(H168,2)="PH",(1-L168)+$W$2,IF(RIGHT(H168,2)="HT",(1-L168)+$W$1,IF(RIGHT(H168,2)="SH",(1-L168)+$W$3,"")))&gt;0,IF(RIGHT(H168,2)="PH",(1-L168)+$W$2,IF(RIGHT(H168,2)="HT",(1-L168)+$W$1,IF(RIGHT(H168,2)="SH",(1-L168)+$W$3,""))),0)</f>
        <v>0.31</v>
      </c>
      <c r="W168" s="298"/>
      <c r="X168" s="698">
        <f t="shared" ca="1" si="219"/>
        <v>8</v>
      </c>
      <c r="Y168" s="299">
        <f t="shared" ref="Y168:Y176" ca="1" si="241">VLOOKUP($AD168,INDIRECT("'"&amp;$B168&amp;"'!"&amp;"$P$39:$AD$42"),12,FALSE)</f>
        <v>35</v>
      </c>
      <c r="Z168" s="299">
        <f t="shared" ref="Z168:Z176" ca="1" si="242">VLOOKUP($AD168,INDIRECT("'"&amp;$B168&amp;"'!"&amp;"$P$39:$AD$42"),13,FALSE)</f>
        <v>1.5</v>
      </c>
      <c r="AA168" s="299">
        <f t="shared" ref="AA168:AA176" ca="1" si="243">VLOOKUP($AD168,INDIRECT("'"&amp;$B168&amp;"'!"&amp;"$P$39:$AD$42"),14,FALSE)</f>
        <v>0.8</v>
      </c>
      <c r="AB168" s="299">
        <f t="shared" ref="AB168:AB176" ca="1" si="244">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43"/>
        <v>INDCWH</v>
      </c>
      <c r="J169" s="224">
        <f t="shared" si="146"/>
        <v>2030</v>
      </c>
      <c r="K169" s="81"/>
      <c r="L169" s="199">
        <f t="shared" ca="1" si="236"/>
        <v>0.89</v>
      </c>
      <c r="M169" s="772"/>
      <c r="N169" s="200"/>
      <c r="O169" s="725">
        <f t="shared" ca="1" si="237"/>
        <v>3.4699403462447704</v>
      </c>
      <c r="P169" s="725">
        <f t="shared" ca="1" si="238"/>
        <v>0.24287</v>
      </c>
      <c r="Q169" s="299">
        <f t="shared" ca="1" si="239"/>
        <v>3.9836805555555559</v>
      </c>
      <c r="R169" s="823"/>
      <c r="S169" s="300"/>
      <c r="T169" s="300"/>
      <c r="U169" s="300"/>
      <c r="V169" s="199">
        <f t="shared" ref="V169" ca="1" si="245">IF(IF(RIGHT(H168,2)="PH",(1-L169)+$W$2,IF(RIGHT(H168,2)="HT",(1-L169)+$W$1,IF(RIGHT(H168,2)="SH",(1-L169)+$W$3,"")))&gt;0,IF(RIGHT(H168,2)="PH",(1-L169)+$W$2,IF(RIGHT(H168,2)="HT",(1-L169)+$W$1,IF(RIGHT(H168,2)="SH",(1-L169)+$W$3,""))),0)</f>
        <v>0.31</v>
      </c>
      <c r="W169" s="298"/>
      <c r="X169" s="698">
        <f t="shared" ca="1" si="219"/>
        <v>8</v>
      </c>
      <c r="Y169" s="299">
        <f t="shared" ca="1" si="241"/>
        <v>35</v>
      </c>
      <c r="Z169" s="299">
        <f t="shared" ca="1" si="242"/>
        <v>1.5</v>
      </c>
      <c r="AA169" s="299">
        <f t="shared" ca="1" si="243"/>
        <v>0.8</v>
      </c>
      <c r="AB169" s="299">
        <f t="shared" ca="1" si="244"/>
        <v>2.1</v>
      </c>
      <c r="AD169" s="81">
        <v>2030</v>
      </c>
      <c r="AE169" s="273"/>
      <c r="AF169" s="828"/>
    </row>
    <row r="170" spans="1:32">
      <c r="A170" s="169"/>
      <c r="B170" s="718" t="s">
        <v>1099</v>
      </c>
      <c r="C170" s="226"/>
      <c r="D170" s="261"/>
      <c r="E170" s="261"/>
      <c r="F170" s="224" t="s">
        <v>1149</v>
      </c>
      <c r="G170" s="55"/>
      <c r="H170" s="174"/>
      <c r="I170" s="174" t="str">
        <f t="shared" si="143"/>
        <v>INDCWH</v>
      </c>
      <c r="J170" s="224">
        <f t="shared" si="146"/>
        <v>2050</v>
      </c>
      <c r="K170" s="81"/>
      <c r="L170" s="199">
        <f t="shared" ca="1" si="236"/>
        <v>0.91</v>
      </c>
      <c r="M170" s="772"/>
      <c r="N170" s="200"/>
      <c r="O170" s="725">
        <f t="shared" ca="1" si="237"/>
        <v>3.2813985758696647</v>
      </c>
      <c r="P170" s="725">
        <f t="shared" ca="1" si="238"/>
        <v>0.22797000000000001</v>
      </c>
      <c r="Q170" s="299">
        <f t="shared" ca="1" si="239"/>
        <v>4.0064444444444449</v>
      </c>
      <c r="R170" s="823"/>
      <c r="S170" s="300"/>
      <c r="T170" s="300"/>
      <c r="U170" s="300"/>
      <c r="V170" s="199">
        <f t="shared" ref="V170" ca="1" si="246">IF(IF(RIGHT(H168,2)="PH",(1-L170)+$W$2,IF(RIGHT(H168,2)="HT",(1-L170)+$W$1,IF(RIGHT(H168,2)="SH",(1-L170)+$W$3,"")))&gt;0,IF(RIGHT(H168,2)="PH",(1-L170)+$W$2,IF(RIGHT(H168,2)="HT",(1-L170)+$W$1,IF(RIGHT(H168,2)="SH",(1-L170)+$W$3,""))),0)</f>
        <v>0.28999999999999998</v>
      </c>
      <c r="W170" s="298"/>
      <c r="X170" s="698">
        <f t="shared" ca="1" si="219"/>
        <v>8</v>
      </c>
      <c r="Y170" s="299">
        <f t="shared" ca="1" si="241"/>
        <v>35</v>
      </c>
      <c r="Z170" s="299">
        <f t="shared" ca="1" si="242"/>
        <v>1.5</v>
      </c>
      <c r="AA170" s="299">
        <f t="shared" ca="1" si="243"/>
        <v>0.8</v>
      </c>
      <c r="AB170" s="299">
        <f t="shared" ca="1" si="244"/>
        <v>2.1</v>
      </c>
      <c r="AD170" s="81">
        <v>2050</v>
      </c>
      <c r="AE170" s="273"/>
      <c r="AF170" s="828"/>
    </row>
    <row r="171" spans="1:32">
      <c r="A171" s="169"/>
      <c r="B171" s="718" t="s">
        <v>1099</v>
      </c>
      <c r="C171" s="226"/>
      <c r="D171" s="261" t="str">
        <f>"IND"&amp;RIGHT(H171,4)&amp;RIGHT(G171,3)&amp;"N"&amp;RIGHT(E171,1)</f>
        <v>INDCDPHCOAN1</v>
      </c>
      <c r="E171" s="261" t="str">
        <f>"Industrial heating technology "&amp;$AJ$12&amp;" "&amp;RIGHT(H171,2)&amp;" - Coal boiler (Steam) - new 1"</f>
        <v>Industrial heating technology Chemical PH - Coal boiler (Steam) - new 1</v>
      </c>
      <c r="F171" s="224" t="s">
        <v>1149</v>
      </c>
      <c r="G171" s="55" t="s">
        <v>617</v>
      </c>
      <c r="H171" s="174" t="str">
        <f>$AI$14</f>
        <v>ICDPH</v>
      </c>
      <c r="I171" s="174" t="str">
        <f t="shared" si="143"/>
        <v>INDCWH</v>
      </c>
      <c r="J171" s="224">
        <f t="shared" si="146"/>
        <v>2011</v>
      </c>
      <c r="K171" s="299">
        <v>2025</v>
      </c>
      <c r="L171" s="199">
        <f t="shared" ca="1" si="236"/>
        <v>0.89</v>
      </c>
      <c r="M171" s="199"/>
      <c r="N171" s="81">
        <f ca="1">VLOOKUP($AD171,INDIRECT("'"&amp;$B171&amp;"'!"&amp;"$P$39:$AD$42"),5,FALSE)</f>
        <v>25</v>
      </c>
      <c r="O171" s="725">
        <f t="shared" ca="1" si="237"/>
        <v>3.7250000000000001</v>
      </c>
      <c r="P171" s="725">
        <f t="shared" ca="1" si="238"/>
        <v>0.25106499999999998</v>
      </c>
      <c r="Q171" s="299">
        <f t="shared" ca="1" si="239"/>
        <v>3.9381527777777778</v>
      </c>
      <c r="R171" s="81">
        <v>3.1536000000000002E-2</v>
      </c>
      <c r="S171" s="199">
        <v>0.5</v>
      </c>
      <c r="T171" s="199">
        <f ca="1">HLOOKUP($T$2,INDIRECT("'"&amp;$B171&amp;"'!"&amp;"$P$6:$AC$19"),IF(H171=$AI$13,6,IF(H171=$AI$14,9,14)),FALSE)</f>
        <v>1</v>
      </c>
      <c r="U171" s="772"/>
      <c r="V171" s="199">
        <f t="shared" ref="V171" ca="1" si="247">IF(IF(RIGHT(H171,2)="PH",(1-L171)+$W$2,IF(RIGHT(H171,2)="HT",(1-L171)+$W$1,IF(RIGHT(H171,2)="SH",(1-L171)+$W$3,"")))&gt;0,IF(RIGHT(H171,2)="PH",(1-L171)+$W$2,IF(RIGHT(H171,2)="HT",(1-L171)+$W$1,IF(RIGHT(H171,2)="SH",(1-L171)+$W$3,""))),0)</f>
        <v>0.31</v>
      </c>
      <c r="W171" s="298"/>
      <c r="X171" s="698">
        <f t="shared" ca="1" si="219"/>
        <v>8</v>
      </c>
      <c r="Y171" s="299">
        <f t="shared" ca="1" si="241"/>
        <v>35</v>
      </c>
      <c r="Z171" s="299">
        <f t="shared" ca="1" si="242"/>
        <v>1.5</v>
      </c>
      <c r="AA171" s="299">
        <f t="shared" ca="1" si="243"/>
        <v>0.8</v>
      </c>
      <c r="AB171" s="299">
        <f t="shared" ca="1" si="244"/>
        <v>2.1</v>
      </c>
      <c r="AD171" s="81">
        <v>2020</v>
      </c>
      <c r="AE171" s="273"/>
      <c r="AF171" s="828"/>
    </row>
    <row r="172" spans="1:32">
      <c r="A172" s="169"/>
      <c r="B172" s="718" t="s">
        <v>1099</v>
      </c>
      <c r="C172" s="226"/>
      <c r="D172" s="261"/>
      <c r="E172" s="261"/>
      <c r="F172" s="224" t="s">
        <v>1149</v>
      </c>
      <c r="G172" s="55"/>
      <c r="H172" s="174"/>
      <c r="I172" s="174" t="str">
        <f t="shared" si="143"/>
        <v>INDCWH</v>
      </c>
      <c r="J172" s="224">
        <f t="shared" si="146"/>
        <v>2030</v>
      </c>
      <c r="K172" s="81"/>
      <c r="L172" s="199">
        <f t="shared" ca="1" si="236"/>
        <v>0.89</v>
      </c>
      <c r="M172" s="772"/>
      <c r="N172" s="200"/>
      <c r="O172" s="725">
        <f t="shared" ca="1" si="237"/>
        <v>3.4699403462447704</v>
      </c>
      <c r="P172" s="725">
        <f t="shared" ca="1" si="238"/>
        <v>0.24287</v>
      </c>
      <c r="Q172" s="299">
        <f t="shared" ca="1" si="239"/>
        <v>3.9836805555555559</v>
      </c>
      <c r="R172" s="823"/>
      <c r="S172" s="300"/>
      <c r="T172" s="300"/>
      <c r="U172" s="300"/>
      <c r="V172" s="199">
        <f t="shared" ref="V172" ca="1" si="248">IF(IF(RIGHT(H171,2)="PH",(1-L172)+$W$2,IF(RIGHT(H171,2)="HT",(1-L172)+$W$1,IF(RIGHT(H171,2)="SH",(1-L172)+$W$3,"")))&gt;0,IF(RIGHT(H171,2)="PH",(1-L172)+$W$2,IF(RIGHT(H171,2)="HT",(1-L172)+$W$1,IF(RIGHT(H171,2)="SH",(1-L172)+$W$3,""))),0)</f>
        <v>0.31</v>
      </c>
      <c r="W172" s="298"/>
      <c r="X172" s="698">
        <f t="shared" ca="1" si="219"/>
        <v>8</v>
      </c>
      <c r="Y172" s="299">
        <f t="shared" ca="1" si="241"/>
        <v>35</v>
      </c>
      <c r="Z172" s="299">
        <f t="shared" ca="1" si="242"/>
        <v>1.5</v>
      </c>
      <c r="AA172" s="299">
        <f t="shared" ca="1" si="243"/>
        <v>0.8</v>
      </c>
      <c r="AB172" s="299">
        <f t="shared" ca="1" si="244"/>
        <v>2.1</v>
      </c>
      <c r="AD172" s="81">
        <v>2030</v>
      </c>
      <c r="AE172" s="273"/>
      <c r="AF172" s="828"/>
    </row>
    <row r="173" spans="1:32">
      <c r="A173" s="169"/>
      <c r="B173" s="718" t="s">
        <v>1099</v>
      </c>
      <c r="C173" s="226"/>
      <c r="D173" s="261"/>
      <c r="E173" s="261"/>
      <c r="F173" s="224" t="s">
        <v>1149</v>
      </c>
      <c r="G173" s="55"/>
      <c r="H173" s="174"/>
      <c r="I173" s="174" t="str">
        <f t="shared" si="143"/>
        <v>INDCWH</v>
      </c>
      <c r="J173" s="224">
        <f t="shared" si="146"/>
        <v>2050</v>
      </c>
      <c r="K173" s="81"/>
      <c r="L173" s="199">
        <f t="shared" ca="1" si="236"/>
        <v>0.91</v>
      </c>
      <c r="M173" s="772"/>
      <c r="N173" s="200"/>
      <c r="O173" s="725">
        <f t="shared" ca="1" si="237"/>
        <v>3.2813985758696647</v>
      </c>
      <c r="P173" s="725">
        <f t="shared" ca="1" si="238"/>
        <v>0.22797000000000001</v>
      </c>
      <c r="Q173" s="299">
        <f t="shared" ca="1" si="239"/>
        <v>4.0064444444444449</v>
      </c>
      <c r="R173" s="823"/>
      <c r="S173" s="300"/>
      <c r="T173" s="300"/>
      <c r="U173" s="300"/>
      <c r="V173" s="199">
        <f t="shared" ref="V173" ca="1" si="249">IF(IF(RIGHT(H171,2)="PH",(1-L173)+$W$2,IF(RIGHT(H171,2)="HT",(1-L173)+$W$1,IF(RIGHT(H171,2)="SH",(1-L173)+$W$3,"")))&gt;0,IF(RIGHT(H171,2)="PH",(1-L173)+$W$2,IF(RIGHT(H171,2)="HT",(1-L173)+$W$1,IF(RIGHT(H171,2)="SH",(1-L173)+$W$3,""))),0)</f>
        <v>0.28999999999999998</v>
      </c>
      <c r="W173" s="298"/>
      <c r="X173" s="698">
        <f t="shared" ca="1" si="219"/>
        <v>8</v>
      </c>
      <c r="Y173" s="299">
        <f t="shared" ca="1" si="241"/>
        <v>35</v>
      </c>
      <c r="Z173" s="299">
        <f t="shared" ca="1" si="242"/>
        <v>1.5</v>
      </c>
      <c r="AA173" s="299">
        <f t="shared" ca="1" si="243"/>
        <v>0.8</v>
      </c>
      <c r="AB173" s="299">
        <f t="shared" ca="1" si="244"/>
        <v>2.1</v>
      </c>
      <c r="AD173" s="81">
        <v>2050</v>
      </c>
      <c r="AE173" s="273"/>
      <c r="AF173" s="828"/>
    </row>
    <row r="174" spans="1:32">
      <c r="A174" s="169"/>
      <c r="B174" s="718" t="s">
        <v>1099</v>
      </c>
      <c r="C174" s="226"/>
      <c r="D174" s="261" t="str">
        <f>"IND"&amp;RIGHT(H174,4)&amp;RIGHT(G174,3)&amp;"N"&amp;RIGHT(E174,1)</f>
        <v>INDCDSHCOAN1</v>
      </c>
      <c r="E174" s="261" t="str">
        <f>"Industrial heating technology "&amp;$AJ$12&amp;" "&amp;RIGHT(H174,2)&amp;" - Coal boiler (Steam) - new 1"</f>
        <v>Industrial heating technology Chemical SH - Coal boiler (Steam) - new 1</v>
      </c>
      <c r="F174" s="224" t="s">
        <v>1149</v>
      </c>
      <c r="G174" s="55" t="s">
        <v>617</v>
      </c>
      <c r="H174" s="174" t="str">
        <f>$AI$15</f>
        <v>ICDSH</v>
      </c>
      <c r="I174" s="174" t="str">
        <f t="shared" si="143"/>
        <v>INDCWH</v>
      </c>
      <c r="J174" s="224">
        <f t="shared" si="146"/>
        <v>2011</v>
      </c>
      <c r="K174" s="299">
        <v>2025</v>
      </c>
      <c r="L174" s="199">
        <f t="shared" ca="1" si="236"/>
        <v>0.89</v>
      </c>
      <c r="M174" s="199"/>
      <c r="N174" s="81">
        <f ca="1">VLOOKUP($AD174,INDIRECT("'"&amp;$B174&amp;"'!"&amp;"$P$39:$AD$42"),5,FALSE)</f>
        <v>25</v>
      </c>
      <c r="O174" s="725">
        <f t="shared" ca="1" si="237"/>
        <v>3.7250000000000001</v>
      </c>
      <c r="P174" s="725">
        <f t="shared" ca="1" si="238"/>
        <v>0.25106499999999998</v>
      </c>
      <c r="Q174" s="299">
        <f t="shared" ca="1" si="239"/>
        <v>3.9381527777777778</v>
      </c>
      <c r="R174" s="81">
        <v>3.1536000000000002E-2</v>
      </c>
      <c r="S174" s="199">
        <v>0.5</v>
      </c>
      <c r="T174" s="199">
        <f ca="1">HLOOKUP($T$2,INDIRECT("'"&amp;$B174&amp;"'!"&amp;"$P$6:$AC$19"),IF(H174=$AI$13,6,IF(H174=$AI$14,9,14)),FALSE)</f>
        <v>1</v>
      </c>
      <c r="U174" s="772"/>
      <c r="V174" s="199">
        <f t="shared" ref="V174" ca="1" si="250">IF(IF(RIGHT(H174,2)="PH",(1-L174)+$W$2,IF(RIGHT(H174,2)="HT",(1-L174)+$W$1,IF(RIGHT(H174,2)="SH",(1-L174)+$W$3,"")))&gt;0,IF(RIGHT(H174,2)="PH",(1-L174)+$W$2,IF(RIGHT(H174,2)="HT",(1-L174)+$W$1,IF(RIGHT(H174,2)="SH",(1-L174)+$W$3,""))),0)</f>
        <v>0.10999999999999999</v>
      </c>
      <c r="W174" s="298"/>
      <c r="X174" s="698">
        <f t="shared" ca="1" si="219"/>
        <v>8</v>
      </c>
      <c r="Y174" s="299">
        <f t="shared" ca="1" si="241"/>
        <v>35</v>
      </c>
      <c r="Z174" s="299">
        <f t="shared" ca="1" si="242"/>
        <v>1.5</v>
      </c>
      <c r="AA174" s="299">
        <f t="shared" ca="1" si="243"/>
        <v>0.8</v>
      </c>
      <c r="AB174" s="299">
        <f t="shared" ca="1" si="244"/>
        <v>2.1</v>
      </c>
      <c r="AD174" s="81">
        <v>2020</v>
      </c>
      <c r="AE174" s="273"/>
      <c r="AF174" s="828"/>
    </row>
    <row r="175" spans="1:32">
      <c r="A175" s="169"/>
      <c r="B175" s="718" t="s">
        <v>1099</v>
      </c>
      <c r="C175" s="226"/>
      <c r="D175" s="261"/>
      <c r="E175" s="261"/>
      <c r="F175" s="224" t="s">
        <v>1149</v>
      </c>
      <c r="G175" s="55"/>
      <c r="H175" s="174"/>
      <c r="I175" s="174" t="str">
        <f t="shared" si="143"/>
        <v>INDCWH</v>
      </c>
      <c r="J175" s="224">
        <f t="shared" si="146"/>
        <v>2030</v>
      </c>
      <c r="K175" s="81"/>
      <c r="L175" s="199">
        <f t="shared" ca="1" si="236"/>
        <v>0.89</v>
      </c>
      <c r="M175" s="772"/>
      <c r="N175" s="200"/>
      <c r="O175" s="725">
        <f t="shared" ca="1" si="237"/>
        <v>3.4699403462447704</v>
      </c>
      <c r="P175" s="725">
        <f t="shared" ca="1" si="238"/>
        <v>0.24287</v>
      </c>
      <c r="Q175" s="299">
        <f t="shared" ca="1" si="239"/>
        <v>3.9836805555555559</v>
      </c>
      <c r="R175" s="823"/>
      <c r="S175" s="300"/>
      <c r="T175" s="300"/>
      <c r="U175" s="300"/>
      <c r="V175" s="199">
        <f t="shared" ref="V175" ca="1" si="251">IF(IF(RIGHT(H174,2)="PH",(1-L175)+$W$2,IF(RIGHT(H174,2)="HT",(1-L175)+$W$1,IF(RIGHT(H174,2)="SH",(1-L175)+$W$3,"")))&gt;0,IF(RIGHT(H174,2)="PH",(1-L175)+$W$2,IF(RIGHT(H174,2)="HT",(1-L175)+$W$1,IF(RIGHT(H174,2)="SH",(1-L175)+$W$3,""))),0)</f>
        <v>0.10999999999999999</v>
      </c>
      <c r="W175" s="298"/>
      <c r="X175" s="698">
        <f t="shared" ca="1" si="219"/>
        <v>8</v>
      </c>
      <c r="Y175" s="299">
        <f t="shared" ca="1" si="241"/>
        <v>35</v>
      </c>
      <c r="Z175" s="299">
        <f t="shared" ca="1" si="242"/>
        <v>1.5</v>
      </c>
      <c r="AA175" s="299">
        <f t="shared" ca="1" si="243"/>
        <v>0.8</v>
      </c>
      <c r="AB175" s="299">
        <f t="shared" ca="1" si="244"/>
        <v>2.1</v>
      </c>
      <c r="AD175" s="81">
        <v>2030</v>
      </c>
      <c r="AE175" s="273"/>
      <c r="AF175" s="828"/>
    </row>
    <row r="176" spans="1:32">
      <c r="A176" s="169"/>
      <c r="B176" s="719" t="s">
        <v>1099</v>
      </c>
      <c r="C176" s="713"/>
      <c r="D176" s="701"/>
      <c r="E176" s="701"/>
      <c r="F176" s="224" t="s">
        <v>1149</v>
      </c>
      <c r="G176" s="203"/>
      <c r="H176" s="702"/>
      <c r="I176" s="702" t="str">
        <f t="shared" si="143"/>
        <v>INDCWH</v>
      </c>
      <c r="J176" s="224">
        <f t="shared" si="146"/>
        <v>2050</v>
      </c>
      <c r="K176" s="81"/>
      <c r="L176" s="199">
        <f t="shared" ca="1" si="236"/>
        <v>0.91</v>
      </c>
      <c r="M176" s="826"/>
      <c r="N176" s="825"/>
      <c r="O176" s="725">
        <f t="shared" ca="1" si="237"/>
        <v>3.2813985758696647</v>
      </c>
      <c r="P176" s="725">
        <f t="shared" ca="1" si="238"/>
        <v>0.22797000000000001</v>
      </c>
      <c r="Q176" s="299">
        <f t="shared" ca="1" si="239"/>
        <v>4.0064444444444449</v>
      </c>
      <c r="R176" s="722"/>
      <c r="S176" s="703"/>
      <c r="T176" s="703"/>
      <c r="U176" s="703"/>
      <c r="V176" s="199">
        <f t="shared" ref="V176" ca="1" si="252">IF(IF(RIGHT(H174,2)="PH",(1-L176)+$W$2,IF(RIGHT(H174,2)="HT",(1-L176)+$W$1,IF(RIGHT(H174,2)="SH",(1-L176)+$W$3,"")))&gt;0,IF(RIGHT(H174,2)="PH",(1-L176)+$W$2,IF(RIGHT(H174,2)="HT",(1-L176)+$W$1,IF(RIGHT(H174,2)="SH",(1-L176)+$W$3,""))),0)</f>
        <v>8.9999999999999969E-2</v>
      </c>
      <c r="W176" s="704"/>
      <c r="X176" s="698">
        <f t="shared" ca="1" si="219"/>
        <v>8</v>
      </c>
      <c r="Y176" s="299">
        <f t="shared" ca="1" si="241"/>
        <v>35</v>
      </c>
      <c r="Z176" s="299">
        <f t="shared" ca="1" si="242"/>
        <v>1.5</v>
      </c>
      <c r="AA176" s="299">
        <f t="shared" ca="1" si="243"/>
        <v>0.8</v>
      </c>
      <c r="AB176" s="299">
        <f t="shared" ca="1" si="244"/>
        <v>2.1</v>
      </c>
      <c r="AC176" s="203"/>
      <c r="AD176" s="81">
        <v>2050</v>
      </c>
      <c r="AE176" s="273"/>
      <c r="AF176" s="829"/>
    </row>
    <row r="177" spans="1:32">
      <c r="A177" s="169"/>
      <c r="B177" s="718" t="s">
        <v>1099</v>
      </c>
      <c r="C177" s="226"/>
      <c r="D177" s="707" t="str">
        <f>"IND"&amp;RIGHT(H177,4)&amp;RIGHT(G177,3)&amp;"N"&amp;RIGHT(E177,1)</f>
        <v>INDCDPHCOAN2</v>
      </c>
      <c r="E177" s="261" t="str">
        <f>"Industrial heating technology "&amp;$AJ$12&amp;" "&amp;RIGHT(H177,2)&amp;" - Coal boiler (Hot Water) - new 2"</f>
        <v>Industrial heating technology Chemical PH - Coal boiler (Hot Water) - new 2</v>
      </c>
      <c r="F177" s="224" t="s">
        <v>1149</v>
      </c>
      <c r="G177" s="55" t="s">
        <v>617</v>
      </c>
      <c r="H177" s="174" t="str">
        <f>$AI$14</f>
        <v>ICDPH</v>
      </c>
      <c r="I177" s="174" t="str">
        <f t="shared" si="143"/>
        <v>INDCWH</v>
      </c>
      <c r="J177" s="224">
        <f t="shared" si="146"/>
        <v>2011</v>
      </c>
      <c r="K177" s="299">
        <v>2025</v>
      </c>
      <c r="L177" s="199">
        <f t="shared" ref="L177:L182" ca="1" si="253">VLOOKUP($AD177,INDIRECT("'"&amp;$B177&amp;"'!"&amp;"$P$118:$AD$121"),3,FALSE)</f>
        <v>0.89</v>
      </c>
      <c r="M177" s="199"/>
      <c r="N177" s="81">
        <f ca="1">VLOOKUP($AD177,INDIRECT("'"&amp;$B177&amp;"'!"&amp;"$P$118:$AD$121"),5,FALSE)</f>
        <v>25</v>
      </c>
      <c r="O177" s="723">
        <f t="shared" ref="O177:O182" ca="1" si="254">VLOOKUP($AD177,INDIRECT("'"&amp;$B177&amp;"'!"&amp;"$P$118:$AD$121"),6,FALSE)/1000</f>
        <v>3.7250000000000001</v>
      </c>
      <c r="P177" s="723">
        <f t="shared" ref="P177:P182" ca="1" si="255">VLOOKUP($AD177,INDIRECT("'"&amp;$B177&amp;"'!"&amp;"$P$118:$AD$121"),7,FALSE)/1000</f>
        <v>0.25106499999999998</v>
      </c>
      <c r="Q177" s="81">
        <f t="shared" ref="Q177:Q182" ca="1" si="256">VLOOKUP($AD177,INDIRECT("'"&amp;$B177&amp;"'!"&amp;"$P$118:$AD$121"),8,FALSE)</f>
        <v>3.9381527777777778</v>
      </c>
      <c r="R177" s="81">
        <v>3.1536000000000002E-2</v>
      </c>
      <c r="S177" s="199">
        <v>0.5</v>
      </c>
      <c r="T177" s="199">
        <f ca="1">HLOOKUP($T$2,INDIRECT("'"&amp;$B177&amp;"'!"&amp;"$P$85:$AC$98"),IF(H177=$AI$13,6,IF(H177=$AI$14,9,14)),FALSE)</f>
        <v>0</v>
      </c>
      <c r="U177" s="773"/>
      <c r="V177" s="199">
        <f t="shared" ref="V177" ca="1" si="257">IF(IF(RIGHT(H177,2)="PH",(1-L177)+$W$2,IF(RIGHT(H177,2)="HT",(1-L177)+$W$1,IF(RIGHT(H177,2)="SH",(1-L177)+$W$3,"")))&gt;0,IF(RIGHT(H177,2)="PH",(1-L177)+$W$2,IF(RIGHT(H177,2)="HT",(1-L177)+$W$1,IF(RIGHT(H177,2)="SH",(1-L177)+$W$3,""))),0)</f>
        <v>0.31</v>
      </c>
      <c r="W177" s="709"/>
      <c r="X177" s="698">
        <f t="shared" ca="1" si="219"/>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43"/>
        <v>INDCWH</v>
      </c>
      <c r="J178" s="224">
        <f t="shared" si="146"/>
        <v>2030</v>
      </c>
      <c r="K178" s="81"/>
      <c r="L178" s="199">
        <f t="shared" ca="1" si="253"/>
        <v>0.89</v>
      </c>
      <c r="M178" s="772"/>
      <c r="N178" s="200"/>
      <c r="O178" s="723">
        <f t="shared" ca="1" si="254"/>
        <v>3.7250000000000001</v>
      </c>
      <c r="P178" s="723">
        <f t="shared" ca="1" si="255"/>
        <v>0.24287</v>
      </c>
      <c r="Q178" s="81">
        <f t="shared" ca="1" si="256"/>
        <v>3.9836805555555559</v>
      </c>
      <c r="R178" s="823"/>
      <c r="S178" s="300"/>
      <c r="T178" s="300"/>
      <c r="U178" s="300"/>
      <c r="V178" s="199">
        <f t="shared" ref="V178" ca="1" si="258">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43"/>
        <v>INDCWH</v>
      </c>
      <c r="J179" s="224">
        <f t="shared" si="146"/>
        <v>2050</v>
      </c>
      <c r="K179" s="81"/>
      <c r="L179" s="199">
        <f t="shared" ca="1" si="253"/>
        <v>0.91</v>
      </c>
      <c r="M179" s="772"/>
      <c r="N179" s="200"/>
      <c r="O179" s="723">
        <f t="shared" ca="1" si="254"/>
        <v>3.7250000000000001</v>
      </c>
      <c r="P179" s="723">
        <f t="shared" ca="1" si="255"/>
        <v>0.22797000000000001</v>
      </c>
      <c r="Q179" s="81">
        <f t="shared" ca="1" si="256"/>
        <v>4.0064444444444449</v>
      </c>
      <c r="R179" s="823"/>
      <c r="S179" s="300"/>
      <c r="T179" s="300"/>
      <c r="U179" s="300"/>
      <c r="V179" s="199">
        <f t="shared" ref="V179" ca="1" si="259">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INDCDSHCOAN2</v>
      </c>
      <c r="E180" s="261" t="str">
        <f>"Industrial heating technology "&amp;$AJ$12&amp;" "&amp;RIGHT(H180,2)&amp;" - Coal boiler (Hot Water) - new 2"</f>
        <v>Industrial heating technology Chemical SH - Coal boiler (Hot Water) - new 2</v>
      </c>
      <c r="F180" s="224" t="s">
        <v>1149</v>
      </c>
      <c r="G180" s="55" t="s">
        <v>617</v>
      </c>
      <c r="H180" s="174" t="str">
        <f>$AI$15</f>
        <v>ICDSH</v>
      </c>
      <c r="I180" s="174" t="str">
        <f t="shared" si="143"/>
        <v>INDCWH</v>
      </c>
      <c r="J180" s="224">
        <f t="shared" si="146"/>
        <v>2011</v>
      </c>
      <c r="K180" s="299">
        <v>2025</v>
      </c>
      <c r="L180" s="199">
        <f t="shared" ca="1" si="253"/>
        <v>0.89</v>
      </c>
      <c r="M180" s="199"/>
      <c r="N180" s="81">
        <f ca="1">VLOOKUP($AD180,INDIRECT("'"&amp;$B180&amp;"'!"&amp;"$P$118:$AD$121"),5,FALSE)</f>
        <v>25</v>
      </c>
      <c r="O180" s="723">
        <f t="shared" ca="1" si="254"/>
        <v>3.7250000000000001</v>
      </c>
      <c r="P180" s="723">
        <f t="shared" ca="1" si="255"/>
        <v>0.25106499999999998</v>
      </c>
      <c r="Q180" s="81">
        <f t="shared" ca="1" si="256"/>
        <v>3.9381527777777778</v>
      </c>
      <c r="R180" s="81">
        <v>3.1536000000000002E-2</v>
      </c>
      <c r="S180" s="199">
        <v>0.5</v>
      </c>
      <c r="T180" s="199">
        <f ca="1">HLOOKUP($T$2,INDIRECT("'"&amp;$B180&amp;"'!"&amp;"$P$85:$AC$98"),IF(H180=$AI$13,6,IF(H180=$AI$14,9,14)),FALSE)</f>
        <v>1</v>
      </c>
      <c r="U180" s="773"/>
      <c r="V180" s="199">
        <f t="shared" ref="V180" ca="1" si="260">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43"/>
        <v>INDCWH</v>
      </c>
      <c r="J181" s="224">
        <f t="shared" si="146"/>
        <v>2030</v>
      </c>
      <c r="K181" s="200"/>
      <c r="L181" s="199">
        <f t="shared" ca="1" si="253"/>
        <v>0.89</v>
      </c>
      <c r="M181" s="772"/>
      <c r="N181" s="200"/>
      <c r="O181" s="723">
        <f t="shared" ca="1" si="254"/>
        <v>3.7250000000000001</v>
      </c>
      <c r="P181" s="723">
        <f t="shared" ca="1" si="255"/>
        <v>0.24287</v>
      </c>
      <c r="Q181" s="81">
        <f t="shared" ca="1" si="256"/>
        <v>3.9836805555555559</v>
      </c>
      <c r="R181" s="823"/>
      <c r="S181" s="300"/>
      <c r="T181" s="300"/>
      <c r="U181" s="300"/>
      <c r="V181" s="199">
        <f t="shared" ref="V181" ca="1" si="261">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43"/>
        <v>INDCWH</v>
      </c>
      <c r="J182" s="224">
        <f t="shared" si="146"/>
        <v>2050</v>
      </c>
      <c r="K182" s="825"/>
      <c r="L182" s="199">
        <f t="shared" ca="1" si="253"/>
        <v>0.91</v>
      </c>
      <c r="M182" s="826"/>
      <c r="N182" s="825"/>
      <c r="O182" s="723">
        <f t="shared" ca="1" si="254"/>
        <v>3.7250000000000001</v>
      </c>
      <c r="P182" s="723">
        <f t="shared" ca="1" si="255"/>
        <v>0.22797000000000001</v>
      </c>
      <c r="Q182" s="81">
        <f t="shared" ca="1" si="256"/>
        <v>4.0064444444444449</v>
      </c>
      <c r="R182" s="722"/>
      <c r="S182" s="703"/>
      <c r="T182" s="703"/>
      <c r="U182" s="703"/>
      <c r="V182" s="199">
        <f t="shared" ref="V182" ca="1" si="262">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INDCDSHSOLN1</v>
      </c>
      <c r="E183" s="261" t="str">
        <f>"Industrial heating technology "&amp;$AJ$12&amp;" "&amp;RIGHT(H183,2)&amp;" - Solar - new 1"</f>
        <v>Industrial heating technology Chemical SH - Solar - new 1</v>
      </c>
      <c r="F183" s="224" t="s">
        <v>1149</v>
      </c>
      <c r="G183" s="55" t="s">
        <v>500</v>
      </c>
      <c r="H183" s="174" t="str">
        <f>$AI$15</f>
        <v>ICDSH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3">"IND"&amp;RIGHT(H187,4)&amp;RIGHT(G187,3)&amp;"N"&amp;RIGHT(E187,1)</f>
        <v>INDCDSHHCEN1</v>
      </c>
      <c r="E187" s="224" t="str">
        <f>"Industrial heating technology "&amp;$AJ$12&amp;" "&amp;RIGHT(H187,2)&amp;" - central district heating - within DH area - new 1"</f>
        <v>Industrial heating technology Chemical SH - central district heating - within DH area - new 1</v>
      </c>
      <c r="F187" s="224" t="s">
        <v>1149</v>
      </c>
      <c r="G187" s="225" t="s">
        <v>501</v>
      </c>
      <c r="H187" s="225" t="str">
        <f>AI15</f>
        <v>ICDSH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3"/>
        <v>INDCDPHHCEN1</v>
      </c>
      <c r="E188" s="224" t="str">
        <f>"Industrial heating technology "&amp;$AJ$12&amp;" "&amp;RIGHT(H188,2)&amp;" - central district heating - within DH area - new 1"</f>
        <v>Industrial heating technology Chemical PH - central district heating - within DH area - new 1</v>
      </c>
      <c r="F188" s="224" t="s">
        <v>1149</v>
      </c>
      <c r="G188" s="225" t="s">
        <v>501</v>
      </c>
      <c r="H188" s="281" t="str">
        <f>AI14</f>
        <v>ICDPH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3"/>
        <v>INDCDSHHSEN1</v>
      </c>
      <c r="E189" s="224" t="str">
        <f>"Industrial heating technology "&amp;$AJ$12&amp;" "&amp;RIGHT(H189,2)&amp;" - central district heating - within DH area - new 1"</f>
        <v>Industrial heating technology Chemical SH - central district heating - within DH area - new 1</v>
      </c>
      <c r="F189" s="224" t="s">
        <v>1149</v>
      </c>
      <c r="G189" s="225" t="s">
        <v>2125</v>
      </c>
      <c r="H189" s="225" t="str">
        <f>H187</f>
        <v>ICDSH</v>
      </c>
      <c r="I189" s="225"/>
      <c r="J189" s="81">
        <f t="shared" ref="J189:L190" si="264">J187</f>
        <v>2011</v>
      </c>
      <c r="K189" s="81">
        <f t="shared" si="264"/>
        <v>2025</v>
      </c>
      <c r="L189" s="81">
        <f t="shared" si="264"/>
        <v>0.96</v>
      </c>
      <c r="M189" s="81"/>
      <c r="N189" s="81">
        <f t="shared" ref="N189:S190" si="265">N187</f>
        <v>30</v>
      </c>
      <c r="O189" s="81">
        <f t="shared" si="265"/>
        <v>1.17</v>
      </c>
      <c r="P189" s="81">
        <f t="shared" si="265"/>
        <v>5.8735799999999998E-2</v>
      </c>
      <c r="Q189" s="81">
        <f t="shared" ca="1" si="265"/>
        <v>1.9463124999999999</v>
      </c>
      <c r="R189" s="81">
        <f t="shared" si="265"/>
        <v>3.1536000000000002E-2</v>
      </c>
      <c r="S189" s="81">
        <f t="shared" si="265"/>
        <v>0.5</v>
      </c>
      <c r="T189" s="228"/>
      <c r="U189" s="228"/>
      <c r="V189" s="228"/>
      <c r="W189" s="287"/>
      <c r="X189" s="278"/>
      <c r="Y189" s="61"/>
      <c r="Z189" s="61"/>
      <c r="AA189" s="61"/>
      <c r="AB189" s="61"/>
    </row>
    <row r="190" spans="1:32">
      <c r="A190" s="169"/>
      <c r="D190" s="212" t="str">
        <f t="shared" si="263"/>
        <v>INDCDPHHSEN1</v>
      </c>
      <c r="E190" s="224" t="str">
        <f>"Industrial heating technology "&amp;$AJ$12&amp;" "&amp;RIGHT(H190,2)&amp;" - central district heating - within DH area - new 1"</f>
        <v>Industrial heating technology Chemical PH - central district heating - within DH area - new 1</v>
      </c>
      <c r="F190" s="224" t="s">
        <v>1149</v>
      </c>
      <c r="G190" s="225" t="s">
        <v>2125</v>
      </c>
      <c r="H190" s="225" t="str">
        <f>H188</f>
        <v>ICDPH</v>
      </c>
      <c r="I190" s="281"/>
      <c r="J190" s="81">
        <f t="shared" si="264"/>
        <v>2011</v>
      </c>
      <c r="K190" s="81">
        <f t="shared" si="264"/>
        <v>2025</v>
      </c>
      <c r="L190" s="81">
        <f t="shared" si="264"/>
        <v>0.96</v>
      </c>
      <c r="M190" s="81"/>
      <c r="N190" s="81">
        <f t="shared" si="265"/>
        <v>30</v>
      </c>
      <c r="O190" s="81">
        <f t="shared" si="265"/>
        <v>1.17</v>
      </c>
      <c r="P190" s="81">
        <f t="shared" si="265"/>
        <v>5.8735799999999998E-2</v>
      </c>
      <c r="Q190" s="81">
        <f t="shared" ca="1" si="265"/>
        <v>6.4090694444444436</v>
      </c>
      <c r="R190" s="81">
        <f t="shared" si="265"/>
        <v>3.1536000000000002E-2</v>
      </c>
      <c r="S190" s="81">
        <f t="shared" si="265"/>
        <v>0.5</v>
      </c>
      <c r="T190" s="81">
        <f>T188</f>
        <v>0.05</v>
      </c>
      <c r="U190" s="228"/>
      <c r="V190" s="228"/>
      <c r="W190" s="287"/>
      <c r="X190" s="278"/>
      <c r="Y190" s="61"/>
      <c r="Z190" s="61"/>
      <c r="AA190" s="61"/>
      <c r="AB190" s="61"/>
      <c r="AC190" s="226"/>
      <c r="AD190" s="226"/>
      <c r="AE190" s="226"/>
      <c r="AF190" s="226"/>
    </row>
    <row r="191" spans="1:32">
      <c r="A191" s="169"/>
      <c r="D191" s="212" t="str">
        <f t="shared" si="263"/>
        <v>INDCDSHHDEN1</v>
      </c>
      <c r="E191" s="224" t="str">
        <f>"Industrial heating technology "&amp;$AJ$12&amp;" "&amp;RIGHT(H191,2)&amp;" - decentral district heating - within DH area - new 1"</f>
        <v>Industrial heating technology Chemical SH - decentral district heating - within DH area - new 1</v>
      </c>
      <c r="F191" s="224" t="s">
        <v>1149</v>
      </c>
      <c r="G191" s="259" t="s">
        <v>502</v>
      </c>
      <c r="H191" s="265" t="str">
        <f>AI15</f>
        <v>ICDSH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3"/>
        <v>INDCDPHHDEN1</v>
      </c>
      <c r="E192" s="224" t="str">
        <f>"Industrial heating technology "&amp;$AJ$12&amp;" "&amp;RIGHT(H192,2)&amp;" - decentral district heating - within DH area - new 1"</f>
        <v>Industrial heating technology Chemical PH - decentral district heating - within DH area - new 1</v>
      </c>
      <c r="F192" s="224" t="s">
        <v>1149</v>
      </c>
      <c r="G192" s="259" t="s">
        <v>502</v>
      </c>
      <c r="H192" s="225" t="str">
        <f>AI14</f>
        <v>ICDPH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INDCDLAELCN1</v>
      </c>
      <c r="E194" s="224" t="str">
        <f>"Industry "&amp;$AJ$12&amp;" "&amp;RIGHT(H194,2)&amp;" Electricity Light Appliance - New 1"</f>
        <v>Industry Chemical LA Electricity Light Appliance - New 1</v>
      </c>
      <c r="F194" s="224" t="s">
        <v>1149</v>
      </c>
      <c r="G194" s="225" t="s">
        <v>499</v>
      </c>
      <c r="H194" s="225" t="str">
        <f>AI16</f>
        <v>ICDLA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INDCDEMELCN1</v>
      </c>
      <c r="E198" s="224" t="str">
        <f>"Industry "&amp;$AJ$12&amp;" "&amp;RIGHT(H198,2)&amp;" Electricity Motors - New 1"</f>
        <v>Industry Chemical EM Electricity Motors - New 1</v>
      </c>
      <c r="F198" s="224" t="s">
        <v>1149</v>
      </c>
      <c r="G198" s="225" t="s">
        <v>499</v>
      </c>
      <c r="H198" s="225" t="str">
        <f>AI17</f>
        <v>ICDEM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INDCDTFDSLN1</v>
      </c>
      <c r="E202" s="224" t="str">
        <f>"Industry "&amp;$AJ$12&amp;" "&amp;RIGHT(H202,2)&amp;" Tractors, Trucks, Fishing boats - New 1"</f>
        <v>Industry Chemical TF Tractors, Trucks, Fishing boats - New 1</v>
      </c>
      <c r="F202" s="224" t="s">
        <v>1149</v>
      </c>
      <c r="G202" s="173" t="s">
        <v>2081</v>
      </c>
      <c r="H202" s="174" t="str">
        <f>$AI$18</f>
        <v>ICDTF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INDCDTFH2GN2</v>
      </c>
      <c r="E206" s="224" t="str">
        <f>"Industry "&amp;$AJ$12&amp;" "&amp;RIGHT(H206,2)&amp;" Tractors, Trucks, Fishing boats - New 2"</f>
        <v>Industry Chemical TF Tractors, Trucks, Fishing boats - New 2</v>
      </c>
      <c r="F206" s="224" t="s">
        <v>1149</v>
      </c>
      <c r="G206" s="55" t="s">
        <v>2077</v>
      </c>
      <c r="H206" s="174" t="str">
        <f>$AI$18</f>
        <v>ICDTF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INDCDTFELCN3</v>
      </c>
      <c r="E210" s="224" t="str">
        <f>"Industry "&amp;$AJ$12&amp;" "&amp;RIGHT(H210,2)&amp;" Tractors, Trucks, Fishing boats - New 3"</f>
        <v>Industry Chemical TF Tractors, Trucks, Fishing boats - New 3</v>
      </c>
      <c r="F210" s="224" t="s">
        <v>1149</v>
      </c>
      <c r="G210" s="55" t="s">
        <v>499</v>
      </c>
      <c r="H210" s="174" t="str">
        <f>$AI$18</f>
        <v>ICDTF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INDCDFLSYNN1</v>
      </c>
      <c r="E214" s="224" t="str">
        <f>"Industry "&amp;$AJ$12&amp;" "&amp;RIGHT(H202,2)&amp;" Forklifts - New 1"</f>
        <v>Industry Chemical TF Forklifts - New 1</v>
      </c>
      <c r="F214" s="224" t="s">
        <v>1149</v>
      </c>
      <c r="G214" s="173" t="s">
        <v>2082</v>
      </c>
      <c r="H214" s="224" t="str">
        <f>AI19</f>
        <v>ICDFL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INDCDCOELCN1</v>
      </c>
      <c r="E218" s="224" t="str">
        <f>"Industry "&amp;$AJ$12&amp;" "&amp;RIGHT(H218,2)&amp;" Cooling - New 1"</f>
        <v>Industry Chemical CO Cooling - New 1</v>
      </c>
      <c r="F218" s="224" t="s">
        <v>1149</v>
      </c>
      <c r="G218" s="173" t="s">
        <v>499</v>
      </c>
      <c r="H218" s="224" t="str">
        <f>AI21</f>
        <v>ICDCO</v>
      </c>
      <c r="J218" s="82">
        <v>2011</v>
      </c>
      <c r="K218" s="82">
        <v>2011</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INDCDPHELCN1</v>
      </c>
      <c r="E229" s="212" t="str">
        <f t="shared" ref="E229:E260" si="266">VLOOKUP(D229,$D$9:$E$222,2,FALSE)</f>
        <v>Industrial heating technology Chemical PH - Heat pump utilizing waste heat - new 1</v>
      </c>
      <c r="F229" s="211" t="s">
        <v>450</v>
      </c>
      <c r="G229" s="211" t="s">
        <v>449</v>
      </c>
      <c r="H229" s="263" t="s">
        <v>620</v>
      </c>
      <c r="I229" s="301"/>
      <c r="J229" s="208" t="s">
        <v>469</v>
      </c>
    </row>
    <row r="230" spans="1:10">
      <c r="A230" s="169"/>
      <c r="B230" s="301"/>
      <c r="C230" s="301"/>
      <c r="D230" s="212" t="str">
        <f t="shared" ref="D230:D238" ca="1" si="267">OFFSET($D$9,(ROW(D1)*6),0)</f>
        <v>INDCDSHELCN1</v>
      </c>
      <c r="E230" s="212" t="str">
        <f t="shared" ca="1" si="266"/>
        <v>Industrial heating technology Chemical SH - Heat pump utilizing waste heat - new 1</v>
      </c>
      <c r="F230" s="262" t="s">
        <v>450</v>
      </c>
      <c r="G230" s="262" t="s">
        <v>449</v>
      </c>
      <c r="H230" s="263" t="s">
        <v>620</v>
      </c>
      <c r="I230" s="301"/>
      <c r="J230" s="264" t="s">
        <v>469</v>
      </c>
    </row>
    <row r="231" spans="1:10">
      <c r="A231" s="169"/>
      <c r="D231" s="212" t="str">
        <f t="shared" ca="1" si="267"/>
        <v>INDCDPHELCN2</v>
      </c>
      <c r="E231" s="212" t="str">
        <f t="shared" ca="1" si="266"/>
        <v>Industrial heating technology Chemical PH - Heat driven heat pump utilizing waste heat - new 2</v>
      </c>
      <c r="F231" s="211" t="s">
        <v>450</v>
      </c>
      <c r="G231" s="211" t="s">
        <v>449</v>
      </c>
      <c r="H231" s="263" t="s">
        <v>620</v>
      </c>
      <c r="I231" s="208"/>
      <c r="J231" s="264" t="s">
        <v>469</v>
      </c>
    </row>
    <row r="232" spans="1:10">
      <c r="A232" s="169"/>
      <c r="B232" s="211"/>
      <c r="C232" s="211"/>
      <c r="D232" s="212" t="str">
        <f t="shared" ca="1" si="267"/>
        <v>INDCDSHELCN2</v>
      </c>
      <c r="E232" s="212" t="str">
        <f t="shared" ca="1" si="266"/>
        <v>Industrial heating technology Chemical SH - Heat driven heat pump utilizing waste heat - new 2</v>
      </c>
      <c r="F232" s="262" t="s">
        <v>450</v>
      </c>
      <c r="G232" s="262" t="s">
        <v>449</v>
      </c>
      <c r="H232" s="263" t="s">
        <v>620</v>
      </c>
      <c r="I232" s="264"/>
      <c r="J232" s="264" t="s">
        <v>469</v>
      </c>
    </row>
    <row r="233" spans="1:10">
      <c r="A233" s="169"/>
      <c r="B233" s="211"/>
      <c r="C233" s="211"/>
      <c r="D233" s="212" t="str">
        <f t="shared" ca="1" si="267"/>
        <v>INDCDPHELCN3</v>
      </c>
      <c r="E233" s="212" t="str">
        <f t="shared" ca="1" si="266"/>
        <v>Industrial heating technology Chemical PH - High Temp abs. Heat pump utilizing waste heat - new 3</v>
      </c>
      <c r="F233" s="262" t="s">
        <v>450</v>
      </c>
      <c r="G233" s="262" t="s">
        <v>449</v>
      </c>
      <c r="H233" s="263" t="s">
        <v>620</v>
      </c>
      <c r="I233" s="264"/>
      <c r="J233" s="264" t="s">
        <v>469</v>
      </c>
    </row>
    <row r="234" spans="1:10">
      <c r="A234" s="169"/>
      <c r="B234" s="211"/>
      <c r="C234" s="211"/>
      <c r="D234" s="212" t="str">
        <f t="shared" ca="1" si="267"/>
        <v>INDCDSHELCN3</v>
      </c>
      <c r="E234" s="212" t="str">
        <f t="shared" ca="1" si="266"/>
        <v>Industrial heating technology Chemical SH - High Temp abs. Heat pump utilizing waste heat - new 3</v>
      </c>
      <c r="F234" s="262" t="s">
        <v>450</v>
      </c>
      <c r="G234" s="262" t="s">
        <v>449</v>
      </c>
      <c r="H234" s="263" t="s">
        <v>620</v>
      </c>
      <c r="I234" s="264"/>
      <c r="J234" s="264" t="s">
        <v>469</v>
      </c>
    </row>
    <row r="235" spans="1:10">
      <c r="A235" s="169"/>
      <c r="B235" s="211"/>
      <c r="C235" s="211"/>
      <c r="D235" s="212" t="str">
        <f t="shared" ca="1" si="267"/>
        <v>INDCDPHELCN4</v>
      </c>
      <c r="E235" s="212" t="str">
        <f t="shared" ca="1" si="266"/>
        <v>Industrial heating technology Chemical PH - Booster Heat pump utilizing waste heat - new 4</v>
      </c>
      <c r="F235" s="262" t="s">
        <v>450</v>
      </c>
      <c r="G235" s="262" t="s">
        <v>449</v>
      </c>
      <c r="H235" s="263" t="s">
        <v>620</v>
      </c>
      <c r="I235" s="264"/>
      <c r="J235" s="264" t="s">
        <v>469</v>
      </c>
    </row>
    <row r="236" spans="1:10">
      <c r="A236" s="169"/>
      <c r="B236" s="211"/>
      <c r="C236" s="211"/>
      <c r="D236" s="212" t="str">
        <f t="shared" ca="1" si="267"/>
        <v>INDCDSHELCN4</v>
      </c>
      <c r="E236" s="212" t="str">
        <f t="shared" ca="1" si="266"/>
        <v>Industrial heating technology Chemical SH - Booster Heat pump utilizing waste heat - new 4</v>
      </c>
      <c r="F236" s="262" t="s">
        <v>450</v>
      </c>
      <c r="G236" s="262" t="s">
        <v>449</v>
      </c>
      <c r="H236" s="263" t="s">
        <v>620</v>
      </c>
      <c r="I236" s="264"/>
      <c r="J236" s="264" t="s">
        <v>469</v>
      </c>
    </row>
    <row r="237" spans="1:10">
      <c r="A237" s="169"/>
      <c r="B237" s="211"/>
      <c r="C237" s="211"/>
      <c r="D237" s="212" t="str">
        <f t="shared" ca="1" si="267"/>
        <v>INDCDPHELCN5</v>
      </c>
      <c r="E237" s="212" t="str">
        <f t="shared" ca="1" si="266"/>
        <v>Industrial heating technology Chemical PH - MVR utilizing waste heat - new 5</v>
      </c>
      <c r="F237" s="262" t="s">
        <v>450</v>
      </c>
      <c r="G237" s="262" t="s">
        <v>449</v>
      </c>
      <c r="H237" s="263"/>
      <c r="I237" s="264"/>
      <c r="J237" s="264" t="s">
        <v>469</v>
      </c>
    </row>
    <row r="238" spans="1:10">
      <c r="A238" s="169"/>
      <c r="B238" s="211"/>
      <c r="C238" s="211"/>
      <c r="D238" s="212" t="str">
        <f t="shared" ca="1" si="267"/>
        <v>INDCDPHWSTN1</v>
      </c>
      <c r="E238" s="212" t="str">
        <f t="shared" ca="1" si="266"/>
        <v>Industrial heating technology Chemical PH - Hotdisc - new 1</v>
      </c>
      <c r="F238" s="262" t="s">
        <v>450</v>
      </c>
      <c r="G238" s="262" t="s">
        <v>449</v>
      </c>
      <c r="H238" s="263" t="s">
        <v>620</v>
      </c>
      <c r="I238" s="264"/>
      <c r="J238" s="264" t="s">
        <v>469</v>
      </c>
    </row>
    <row r="239" spans="1:10">
      <c r="A239" s="169"/>
      <c r="B239" s="211"/>
      <c r="C239" s="211"/>
      <c r="D239" s="212" t="str">
        <f t="shared" ref="D239:D278" ca="1" si="268">OFFSET($D$9,(ROW(D19)*3),0)</f>
        <v>INDCDPHELCN6</v>
      </c>
      <c r="E239" s="212" t="str">
        <f t="shared" ca="1" si="266"/>
        <v>Industrial heating technology Chemical PH - Dielectric heating - new 6</v>
      </c>
      <c r="F239" s="262" t="s">
        <v>450</v>
      </c>
      <c r="G239" s="262" t="s">
        <v>449</v>
      </c>
      <c r="H239" s="263" t="s">
        <v>620</v>
      </c>
      <c r="I239" s="264"/>
      <c r="J239" s="264" t="s">
        <v>469</v>
      </c>
    </row>
    <row r="240" spans="1:10">
      <c r="A240" s="169"/>
      <c r="B240" s="211"/>
      <c r="C240" s="211"/>
      <c r="D240" s="212" t="str">
        <f t="shared" ca="1" si="268"/>
        <v>INDCDPHELCN7</v>
      </c>
      <c r="E240" s="212" t="str">
        <f t="shared" ca="1" si="266"/>
        <v>Industrial heating technology Chemical PH - Infrared heating - new 7</v>
      </c>
      <c r="F240" s="262" t="s">
        <v>450</v>
      </c>
      <c r="G240" s="262" t="s">
        <v>449</v>
      </c>
      <c r="H240" s="263" t="s">
        <v>620</v>
      </c>
      <c r="I240" s="264"/>
      <c r="J240" s="264" t="s">
        <v>469</v>
      </c>
    </row>
    <row r="241" spans="1:16">
      <c r="A241" s="169"/>
      <c r="B241" s="211"/>
      <c r="C241" s="211"/>
      <c r="D241" s="212" t="str">
        <f t="shared" ca="1" si="268"/>
        <v>INDCDPHELCN8</v>
      </c>
      <c r="E241" s="212" t="str">
        <f t="shared" ca="1" si="266"/>
        <v>Industrial heating technology Chemical PH - Electric boiler (Steam) - new 8</v>
      </c>
      <c r="F241" s="262" t="s">
        <v>450</v>
      </c>
      <c r="G241" s="262" t="s">
        <v>449</v>
      </c>
      <c r="H241" s="263" t="s">
        <v>620</v>
      </c>
      <c r="I241" s="264"/>
      <c r="J241" s="264" t="s">
        <v>469</v>
      </c>
    </row>
    <row r="242" spans="1:16">
      <c r="A242" s="169"/>
      <c r="B242" s="211"/>
      <c r="C242" s="211"/>
      <c r="D242" s="212" t="str">
        <f t="shared" ca="1" si="268"/>
        <v>INDCDPHELCN8</v>
      </c>
      <c r="E242" s="212" t="str">
        <f t="shared" ca="1" si="266"/>
        <v>Industrial heating technology Chemical PH - Electric boiler (Steam) - new 8</v>
      </c>
      <c r="F242" s="262" t="s">
        <v>450</v>
      </c>
      <c r="G242" s="262" t="s">
        <v>449</v>
      </c>
      <c r="H242" s="263" t="s">
        <v>620</v>
      </c>
      <c r="I242" s="264"/>
      <c r="J242" s="264" t="s">
        <v>469</v>
      </c>
    </row>
    <row r="243" spans="1:16">
      <c r="A243" s="169"/>
      <c r="B243" s="211"/>
      <c r="C243" s="211"/>
      <c r="D243" s="212" t="str">
        <f t="shared" ca="1" si="268"/>
        <v>INDCDSHELCN8</v>
      </c>
      <c r="E243" s="212" t="str">
        <f t="shared" ca="1" si="266"/>
        <v>Industrial heating technology Chemical SH - Electric boiler (Steam) - new 8</v>
      </c>
      <c r="F243" s="262" t="s">
        <v>450</v>
      </c>
      <c r="G243" s="262" t="s">
        <v>449</v>
      </c>
      <c r="H243" s="263" t="s">
        <v>620</v>
      </c>
      <c r="I243" s="264"/>
      <c r="J243" s="264" t="s">
        <v>469</v>
      </c>
      <c r="P243" s="173"/>
    </row>
    <row r="244" spans="1:16">
      <c r="A244" s="169"/>
      <c r="B244" s="211"/>
      <c r="C244" s="211"/>
      <c r="D244" s="212" t="str">
        <f t="shared" ca="1" si="268"/>
        <v>INDCDPHELCN9</v>
      </c>
      <c r="E244" s="212" t="str">
        <f t="shared" ca="1" si="266"/>
        <v>Industrial heating technology Chemical PH - Electric boiler (Hot Water) - new 9</v>
      </c>
      <c r="F244" s="262" t="s">
        <v>450</v>
      </c>
      <c r="G244" s="262" t="s">
        <v>449</v>
      </c>
      <c r="H244" s="263" t="s">
        <v>620</v>
      </c>
      <c r="I244" s="264"/>
      <c r="J244" s="264" t="s">
        <v>469</v>
      </c>
      <c r="P244" s="173"/>
    </row>
    <row r="245" spans="1:16">
      <c r="A245" s="169"/>
      <c r="B245" s="211"/>
      <c r="C245" s="211"/>
      <c r="D245" s="212" t="str">
        <f t="shared" ca="1" si="268"/>
        <v>INDCDSHELCN9</v>
      </c>
      <c r="E245" s="212" t="str">
        <f t="shared" ca="1" si="266"/>
        <v>Industrial heating technology Chemical SH - Electric boiler (Hot Water) - new 9</v>
      </c>
      <c r="F245" s="262" t="s">
        <v>450</v>
      </c>
      <c r="G245" s="262" t="s">
        <v>449</v>
      </c>
      <c r="H245" s="263" t="s">
        <v>620</v>
      </c>
      <c r="I245" s="264"/>
      <c r="J245" s="264" t="s">
        <v>469</v>
      </c>
      <c r="P245" s="173"/>
    </row>
    <row r="246" spans="1:16">
      <c r="A246" s="169"/>
      <c r="B246" s="211"/>
      <c r="C246" s="211"/>
      <c r="D246" s="212" t="str">
        <f t="shared" ca="1" si="268"/>
        <v>INDCDPHWCHN1</v>
      </c>
      <c r="E246" s="212" t="str">
        <f t="shared" ca="1" si="266"/>
        <v>Industrial heating technology Chemical PH - Wood chip boiler (Steam) - new 1</v>
      </c>
      <c r="F246" s="262" t="s">
        <v>450</v>
      </c>
      <c r="G246" s="262" t="s">
        <v>449</v>
      </c>
      <c r="H246" s="263"/>
      <c r="I246" s="264"/>
      <c r="J246" s="264" t="s">
        <v>469</v>
      </c>
      <c r="P246" s="173"/>
    </row>
    <row r="247" spans="1:16">
      <c r="A247" s="169"/>
      <c r="B247" s="211"/>
      <c r="C247" s="211"/>
      <c r="D247" s="212" t="str">
        <f t="shared" ca="1" si="268"/>
        <v>INDCDPHWCHN1</v>
      </c>
      <c r="E247" s="212" t="str">
        <f t="shared" ca="1" si="266"/>
        <v>Industrial heating technology Chemical PH - Wood chip boiler (Steam) - new 1</v>
      </c>
      <c r="F247" s="262" t="s">
        <v>450</v>
      </c>
      <c r="G247" s="262" t="s">
        <v>449</v>
      </c>
      <c r="H247" s="263"/>
      <c r="I247" s="264"/>
      <c r="J247" s="264" t="s">
        <v>469</v>
      </c>
      <c r="M247" s="171"/>
      <c r="N247" s="171"/>
      <c r="P247" s="173"/>
    </row>
    <row r="248" spans="1:16">
      <c r="A248" s="169"/>
      <c r="B248" s="211"/>
      <c r="C248" s="211"/>
      <c r="D248" s="212" t="str">
        <f t="shared" ca="1" si="268"/>
        <v>INDCDSHWCHN1</v>
      </c>
      <c r="E248" s="212" t="str">
        <f t="shared" ca="1" si="266"/>
        <v>Industrial heating technology Chemical SH - Wood chip boiler (Steam) - new 1</v>
      </c>
      <c r="F248" s="262" t="s">
        <v>450</v>
      </c>
      <c r="G248" s="262" t="s">
        <v>449</v>
      </c>
      <c r="H248" s="263"/>
      <c r="I248" s="264"/>
      <c r="J248" s="264" t="s">
        <v>469</v>
      </c>
      <c r="M248" s="171"/>
      <c r="N248" s="171"/>
      <c r="P248" s="173"/>
    </row>
    <row r="249" spans="1:16">
      <c r="A249" s="169"/>
      <c r="B249" s="211"/>
      <c r="C249" s="211"/>
      <c r="D249" s="212" t="str">
        <f t="shared" ca="1" si="268"/>
        <v>INDCDPHWCHN2</v>
      </c>
      <c r="E249" s="212" t="str">
        <f t="shared" ca="1" si="266"/>
        <v>Industrial heating technology Chemical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8"/>
        <v>INDCDSHWCHN2</v>
      </c>
      <c r="E250" s="212" t="str">
        <f t="shared" ca="1" si="266"/>
        <v>Industrial heating technology Chemical SH - Wood chip boiler (Steam - condensing) - new 2</v>
      </c>
      <c r="F250" s="262" t="s">
        <v>450</v>
      </c>
      <c r="G250" s="262" t="s">
        <v>449</v>
      </c>
      <c r="H250" s="263"/>
      <c r="I250" s="264"/>
      <c r="J250" s="264" t="s">
        <v>469</v>
      </c>
    </row>
    <row r="251" spans="1:16">
      <c r="A251" s="169"/>
      <c r="B251" s="212"/>
      <c r="C251" s="212"/>
      <c r="D251" s="212" t="str">
        <f t="shared" ca="1" si="268"/>
        <v>INDCDPHWCHN3</v>
      </c>
      <c r="E251" s="212" t="str">
        <f t="shared" ca="1" si="266"/>
        <v>Industrial heating technology Chemical PH - Wood chip boiler (Hot Water) - new 3</v>
      </c>
      <c r="F251" s="262" t="s">
        <v>450</v>
      </c>
      <c r="G251" s="262" t="s">
        <v>449</v>
      </c>
      <c r="H251" s="261"/>
      <c r="I251" s="261"/>
      <c r="J251" s="264" t="s">
        <v>469</v>
      </c>
    </row>
    <row r="252" spans="1:16">
      <c r="A252" s="169"/>
      <c r="B252" s="212"/>
      <c r="C252" s="212"/>
      <c r="D252" s="212" t="str">
        <f t="shared" ca="1" si="268"/>
        <v>INDCDSHWCHN3</v>
      </c>
      <c r="E252" s="212" t="str">
        <f t="shared" ca="1" si="266"/>
        <v>Industrial heating technology Chemical SH - Wood chip boiler (Hot Water) - new 3</v>
      </c>
      <c r="F252" s="262" t="s">
        <v>450</v>
      </c>
      <c r="G252" s="262" t="s">
        <v>449</v>
      </c>
      <c r="H252" s="261"/>
      <c r="I252" s="261"/>
      <c r="J252" s="264" t="s">
        <v>469</v>
      </c>
    </row>
    <row r="253" spans="1:16">
      <c r="A253" s="169"/>
      <c r="B253" s="212"/>
      <c r="C253" s="212"/>
      <c r="D253" s="212" t="str">
        <f t="shared" ca="1" si="268"/>
        <v>INDCDPHWCHN4</v>
      </c>
      <c r="E253" s="212" t="str">
        <f t="shared" ca="1" si="266"/>
        <v>Industrial heating technology Chemical PH - Wood chip boiler (Hot Water - condensing) - new 4</v>
      </c>
      <c r="F253" s="262" t="s">
        <v>450</v>
      </c>
      <c r="G253" s="262" t="s">
        <v>449</v>
      </c>
      <c r="H253" s="261"/>
      <c r="I253" s="261"/>
      <c r="J253" s="264" t="s">
        <v>469</v>
      </c>
    </row>
    <row r="254" spans="1:16">
      <c r="A254" s="169"/>
      <c r="B254" s="212"/>
      <c r="C254" s="212"/>
      <c r="D254" s="212" t="str">
        <f t="shared" ca="1" si="268"/>
        <v>INDCDSHWCHN4</v>
      </c>
      <c r="E254" s="212" t="str">
        <f t="shared" ca="1" si="266"/>
        <v>Industrial heating technology Chemical SH - Wood chip boiler (Hot Water- condensing) - new 4</v>
      </c>
      <c r="F254" s="262" t="s">
        <v>450</v>
      </c>
      <c r="G254" s="262" t="s">
        <v>449</v>
      </c>
      <c r="H254" s="261"/>
      <c r="I254" s="261"/>
      <c r="J254" s="264" t="s">
        <v>469</v>
      </c>
    </row>
    <row r="255" spans="1:16">
      <c r="B255" s="212"/>
      <c r="C255" s="212"/>
      <c r="D255" s="212" t="str">
        <f t="shared" ca="1" si="268"/>
        <v>INDCDPHELCN10</v>
      </c>
      <c r="E255" s="212" t="str">
        <f t="shared" ca="1" si="266"/>
        <v>Industrial heating technology Chemical PH - Direct electric heating - new 10</v>
      </c>
      <c r="F255" s="262" t="s">
        <v>450</v>
      </c>
      <c r="G255" s="262" t="s">
        <v>449</v>
      </c>
      <c r="H255" s="261"/>
      <c r="I255" s="261"/>
      <c r="J255" s="264" t="s">
        <v>469</v>
      </c>
    </row>
    <row r="256" spans="1:16">
      <c r="B256" s="212"/>
      <c r="C256" s="212"/>
      <c r="D256" s="212" t="str">
        <f t="shared" ca="1" si="268"/>
        <v>INDCDPHELCN10</v>
      </c>
      <c r="E256" s="212" t="str">
        <f t="shared" ca="1" si="266"/>
        <v>Industrial heating technology Chemical PH - Direct electric heating - new 10</v>
      </c>
      <c r="F256" s="262" t="s">
        <v>450</v>
      </c>
      <c r="G256" s="262" t="s">
        <v>449</v>
      </c>
      <c r="H256" s="261"/>
      <c r="I256" s="261"/>
      <c r="J256" s="264" t="s">
        <v>469</v>
      </c>
    </row>
    <row r="257" spans="1:10">
      <c r="B257" s="212"/>
      <c r="C257" s="212"/>
      <c r="D257" s="212" t="str">
        <f t="shared" ca="1" si="268"/>
        <v>INDCDPHDSLN1</v>
      </c>
      <c r="E257" s="212" t="str">
        <f t="shared" ca="1" si="266"/>
        <v>Industrial heating technology Chemical PH - Oil boiler (Steam) - new 1</v>
      </c>
      <c r="F257" s="262" t="s">
        <v>450</v>
      </c>
      <c r="G257" s="262" t="s">
        <v>449</v>
      </c>
      <c r="H257" s="261"/>
      <c r="I257" s="261"/>
      <c r="J257" s="264" t="s">
        <v>469</v>
      </c>
    </row>
    <row r="258" spans="1:10">
      <c r="B258" s="212"/>
      <c r="C258" s="212"/>
      <c r="D258" s="212" t="str">
        <f t="shared" ca="1" si="268"/>
        <v>INDCDPHDSLN1</v>
      </c>
      <c r="E258" s="212" t="str">
        <f t="shared" ca="1" si="266"/>
        <v>Industrial heating technology Chemical PH - Oil boiler (Steam) - new 1</v>
      </c>
      <c r="F258" s="262" t="s">
        <v>450</v>
      </c>
      <c r="G258" s="262" t="s">
        <v>449</v>
      </c>
      <c r="H258" s="261"/>
      <c r="I258" s="261"/>
      <c r="J258" s="264" t="s">
        <v>469</v>
      </c>
    </row>
    <row r="259" spans="1:10">
      <c r="B259" s="212"/>
      <c r="C259" s="212"/>
      <c r="D259" s="212" t="str">
        <f t="shared" ca="1" si="268"/>
        <v>INDCDSHDSLN1</v>
      </c>
      <c r="E259" s="212" t="str">
        <f t="shared" ca="1" si="266"/>
        <v>Industrial heating technology Chemical SH - Oil boiler (Steam) - new 1</v>
      </c>
      <c r="F259" s="262" t="s">
        <v>450</v>
      </c>
      <c r="G259" s="262" t="s">
        <v>449</v>
      </c>
      <c r="H259" s="261"/>
      <c r="I259" s="261"/>
      <c r="J259" s="264" t="s">
        <v>469</v>
      </c>
    </row>
    <row r="260" spans="1:10">
      <c r="A260" s="214"/>
      <c r="B260" s="212"/>
      <c r="C260" s="212"/>
      <c r="D260" s="212" t="str">
        <f t="shared" ca="1" si="268"/>
        <v>INDCDPHDSLN2</v>
      </c>
      <c r="E260" s="212" t="str">
        <f t="shared" ca="1" si="266"/>
        <v>Industrial heating technology Chemical PH - Oil boiler (Steam - condensing) - new 2</v>
      </c>
      <c r="F260" s="262" t="s">
        <v>450</v>
      </c>
      <c r="G260" s="262" t="s">
        <v>449</v>
      </c>
      <c r="H260" s="261"/>
      <c r="I260" s="261"/>
      <c r="J260" s="264" t="s">
        <v>469</v>
      </c>
    </row>
    <row r="261" spans="1:10">
      <c r="A261" s="214"/>
      <c r="B261" s="212"/>
      <c r="C261" s="212"/>
      <c r="D261" s="212" t="str">
        <f t="shared" ca="1" si="268"/>
        <v>INDCDSHDSLN2</v>
      </c>
      <c r="E261" s="212" t="str">
        <f t="shared" ref="E261:E290" ca="1" si="269">VLOOKUP(D261,$D$9:$E$222,2,FALSE)</f>
        <v>Industrial heating technology Chemical SH - Oil boiler (Steam - condensing) - new 2</v>
      </c>
      <c r="F261" s="262" t="s">
        <v>450</v>
      </c>
      <c r="G261" s="262" t="s">
        <v>449</v>
      </c>
      <c r="H261" s="261"/>
      <c r="I261" s="261"/>
      <c r="J261" s="264" t="s">
        <v>469</v>
      </c>
    </row>
    <row r="262" spans="1:10">
      <c r="A262" s="214"/>
      <c r="B262" s="212"/>
      <c r="C262" s="212"/>
      <c r="D262" s="212" t="str">
        <f t="shared" ca="1" si="268"/>
        <v>INDCDPHGASN1</v>
      </c>
      <c r="E262" s="212" t="str">
        <f t="shared" ca="1" si="269"/>
        <v>Industrial heating technology Chemical PH - Gas boiler (Steam) - new 1</v>
      </c>
      <c r="F262" s="262" t="s">
        <v>450</v>
      </c>
      <c r="G262" s="262" t="s">
        <v>449</v>
      </c>
      <c r="H262" s="261"/>
      <c r="I262" s="261"/>
      <c r="J262" s="264" t="s">
        <v>469</v>
      </c>
    </row>
    <row r="263" spans="1:10">
      <c r="A263" s="214"/>
      <c r="B263" s="212"/>
      <c r="C263" s="212"/>
      <c r="D263" s="212" t="str">
        <f t="shared" ca="1" si="268"/>
        <v>INDCDPHGASN1</v>
      </c>
      <c r="E263" s="212" t="str">
        <f t="shared" ca="1" si="269"/>
        <v>Industrial heating technology Chemical PH - Gas boiler (Steam) - new 1</v>
      </c>
      <c r="F263" s="262" t="s">
        <v>450</v>
      </c>
      <c r="G263" s="262" t="s">
        <v>449</v>
      </c>
      <c r="H263" s="261"/>
      <c r="I263" s="261"/>
      <c r="J263" s="264" t="s">
        <v>469</v>
      </c>
    </row>
    <row r="264" spans="1:10">
      <c r="B264" s="212"/>
      <c r="C264" s="212"/>
      <c r="D264" s="212" t="str">
        <f t="shared" ca="1" si="268"/>
        <v>INDCDSHGASN1</v>
      </c>
      <c r="E264" s="212" t="str">
        <f t="shared" ca="1" si="269"/>
        <v>Industrial heating technology Chemical SH - Gas boiler (Steam) - new 1</v>
      </c>
      <c r="F264" s="262" t="s">
        <v>450</v>
      </c>
      <c r="G264" s="262" t="s">
        <v>449</v>
      </c>
      <c r="H264" s="261"/>
      <c r="I264" s="261"/>
      <c r="J264" s="264" t="s">
        <v>469</v>
      </c>
    </row>
    <row r="265" spans="1:10">
      <c r="B265" s="212"/>
      <c r="C265" s="212"/>
      <c r="D265" s="212" t="str">
        <f t="shared" ca="1" si="268"/>
        <v>INDCDPHGASN2</v>
      </c>
      <c r="E265" s="212" t="str">
        <f t="shared" ca="1" si="269"/>
        <v>Industrial heating technology Chemical PH - Gas boiler (Steam - condensing) - new 2</v>
      </c>
      <c r="F265" s="262" t="s">
        <v>450</v>
      </c>
      <c r="G265" s="262" t="s">
        <v>449</v>
      </c>
      <c r="H265" s="261"/>
      <c r="I265" s="261"/>
      <c r="J265" s="264" t="s">
        <v>469</v>
      </c>
    </row>
    <row r="266" spans="1:10">
      <c r="B266" s="212"/>
      <c r="C266" s="212"/>
      <c r="D266" s="212" t="str">
        <f t="shared" ca="1" si="268"/>
        <v>INDCDSHGASN2</v>
      </c>
      <c r="E266" s="212" t="str">
        <f t="shared" ca="1" si="269"/>
        <v>Industrial heating technology Chemical SH - Gas boiler (Steam - condensing) - new 2</v>
      </c>
      <c r="F266" s="262" t="s">
        <v>450</v>
      </c>
      <c r="G266" s="262" t="s">
        <v>449</v>
      </c>
      <c r="H266" s="261"/>
      <c r="I266" s="261"/>
      <c r="J266" s="264" t="s">
        <v>469</v>
      </c>
    </row>
    <row r="267" spans="1:10">
      <c r="B267" s="212"/>
      <c r="C267" s="212"/>
      <c r="D267" s="212" t="str">
        <f t="shared" ca="1" si="268"/>
        <v>INDCDPHGASN3</v>
      </c>
      <c r="E267" s="212" t="str">
        <f t="shared" ca="1" si="269"/>
        <v>Industrial heating technology Chemical PH - Gas boiler (Hot Water) - new 3</v>
      </c>
      <c r="F267" s="262" t="s">
        <v>450</v>
      </c>
      <c r="G267" s="262" t="s">
        <v>449</v>
      </c>
      <c r="H267" s="261"/>
      <c r="I267" s="261"/>
      <c r="J267" s="264" t="s">
        <v>469</v>
      </c>
    </row>
    <row r="268" spans="1:10">
      <c r="B268" s="212"/>
      <c r="C268" s="212"/>
      <c r="D268" s="212" t="str">
        <f t="shared" ca="1" si="268"/>
        <v>INDCDSHGASN3</v>
      </c>
      <c r="E268" s="212" t="str">
        <f t="shared" ca="1" si="269"/>
        <v>Industrial heating technology Chemical SH - Gas boiler (Hot Water) - new 3</v>
      </c>
      <c r="F268" s="262" t="s">
        <v>450</v>
      </c>
      <c r="G268" s="262" t="s">
        <v>449</v>
      </c>
      <c r="H268" s="261"/>
      <c r="I268" s="261"/>
      <c r="J268" s="264" t="s">
        <v>469</v>
      </c>
    </row>
    <row r="269" spans="1:10">
      <c r="B269" s="212"/>
      <c r="C269" s="212"/>
      <c r="D269" s="212" t="str">
        <f t="shared" ca="1" si="268"/>
        <v>INDCDPHGASN4</v>
      </c>
      <c r="E269" s="212" t="str">
        <f t="shared" ca="1" si="269"/>
        <v>Industrial heating technology Chemical PH - Gas boiler (Hot Water - condensing) - new 4</v>
      </c>
      <c r="F269" s="262" t="s">
        <v>450</v>
      </c>
      <c r="G269" s="262" t="s">
        <v>449</v>
      </c>
      <c r="H269" s="261"/>
      <c r="I269" s="261"/>
      <c r="J269" s="264" t="s">
        <v>469</v>
      </c>
    </row>
    <row r="270" spans="1:10">
      <c r="B270" s="212"/>
      <c r="C270" s="212"/>
      <c r="D270" s="212" t="str">
        <f t="shared" ca="1" si="268"/>
        <v>INDCDSHGASN4</v>
      </c>
      <c r="E270" s="212" t="str">
        <f t="shared" ca="1" si="269"/>
        <v>Industrial heating technology Chemical SH - Gas boiler (Hot Water- condensing) - new 4</v>
      </c>
      <c r="F270" s="262" t="s">
        <v>450</v>
      </c>
      <c r="G270" s="262" t="s">
        <v>449</v>
      </c>
      <c r="H270" s="261"/>
      <c r="I270" s="261"/>
      <c r="J270" s="264" t="s">
        <v>469</v>
      </c>
    </row>
    <row r="271" spans="1:10">
      <c r="B271" s="212"/>
      <c r="C271" s="212"/>
      <c r="D271" s="212" t="str">
        <f t="shared" ca="1" si="268"/>
        <v>INDCDPHGASN5</v>
      </c>
      <c r="E271" s="212" t="str">
        <f t="shared" ca="1" si="269"/>
        <v>Industrial heating technology Chemical PH - Gas boiler (Direct firing) - new 5</v>
      </c>
      <c r="F271" s="262" t="s">
        <v>450</v>
      </c>
      <c r="G271" s="262" t="s">
        <v>449</v>
      </c>
      <c r="H271" s="261"/>
      <c r="I271" s="261"/>
      <c r="J271" s="264" t="s">
        <v>469</v>
      </c>
    </row>
    <row r="272" spans="1:10">
      <c r="B272" s="212"/>
      <c r="C272" s="212"/>
      <c r="D272" s="212" t="str">
        <f t="shared" ca="1" si="268"/>
        <v>INDCDPHGASN5</v>
      </c>
      <c r="E272" s="212" t="str">
        <f t="shared" ca="1" si="269"/>
        <v>Industrial heating technology Chemical PH - Gas boiler (Direct firing) - new 5</v>
      </c>
      <c r="F272" s="262" t="s">
        <v>450</v>
      </c>
      <c r="G272" s="262" t="s">
        <v>449</v>
      </c>
      <c r="H272" s="261"/>
      <c r="I272" s="261"/>
      <c r="J272" s="264" t="s">
        <v>469</v>
      </c>
    </row>
    <row r="273" spans="2:10">
      <c r="B273" s="212"/>
      <c r="C273" s="212"/>
      <c r="D273" s="212" t="str">
        <f t="shared" ca="1" si="268"/>
        <v>INDCDPHCOAN1</v>
      </c>
      <c r="E273" s="212" t="str">
        <f t="shared" ca="1" si="269"/>
        <v>Industrial heating technology Chemical PH - Coal boiler (Steam) - new 1</v>
      </c>
      <c r="F273" s="262" t="s">
        <v>450</v>
      </c>
      <c r="G273" s="262" t="s">
        <v>449</v>
      </c>
      <c r="H273" s="261"/>
      <c r="I273" s="261"/>
      <c r="J273" s="264" t="s">
        <v>469</v>
      </c>
    </row>
    <row r="274" spans="2:10">
      <c r="B274" s="212"/>
      <c r="C274" s="212"/>
      <c r="D274" s="212" t="str">
        <f t="shared" ca="1" si="268"/>
        <v>INDCDPHCOAN1</v>
      </c>
      <c r="E274" s="212" t="str">
        <f t="shared" ca="1" si="269"/>
        <v>Industrial heating technology Chemical PH - Coal boiler (Steam) - new 1</v>
      </c>
      <c r="F274" s="262" t="s">
        <v>450</v>
      </c>
      <c r="G274" s="262" t="s">
        <v>449</v>
      </c>
      <c r="H274" s="261"/>
      <c r="I274" s="261"/>
      <c r="J274" s="264" t="s">
        <v>469</v>
      </c>
    </row>
    <row r="275" spans="2:10">
      <c r="B275" s="212"/>
      <c r="C275" s="212"/>
      <c r="D275" s="212" t="str">
        <f t="shared" ca="1" si="268"/>
        <v>INDCDSHCOAN1</v>
      </c>
      <c r="E275" s="212" t="str">
        <f t="shared" ca="1" si="269"/>
        <v>Industrial heating technology Chemical SH - Coal boiler (Steam) - new 1</v>
      </c>
      <c r="F275" s="262" t="s">
        <v>450</v>
      </c>
      <c r="G275" s="262" t="s">
        <v>449</v>
      </c>
      <c r="H275" s="261"/>
      <c r="I275" s="261"/>
      <c r="J275" s="264" t="s">
        <v>469</v>
      </c>
    </row>
    <row r="276" spans="2:10">
      <c r="B276" s="212"/>
      <c r="C276" s="212"/>
      <c r="D276" s="212" t="str">
        <f t="shared" ca="1" si="268"/>
        <v>INDCDPHCOAN2</v>
      </c>
      <c r="E276" s="212" t="str">
        <f t="shared" ca="1" si="269"/>
        <v>Industrial heating technology Chemical PH - Coal boiler (Hot Water) - new 2</v>
      </c>
      <c r="F276" s="262" t="s">
        <v>450</v>
      </c>
      <c r="G276" s="262" t="s">
        <v>449</v>
      </c>
      <c r="H276" s="261"/>
      <c r="I276" s="261"/>
      <c r="J276" s="264" t="s">
        <v>469</v>
      </c>
    </row>
    <row r="277" spans="2:10">
      <c r="B277" s="212"/>
      <c r="C277" s="212"/>
      <c r="D277" s="212" t="str">
        <f t="shared" ca="1" si="268"/>
        <v>INDCDSHCOAN2</v>
      </c>
      <c r="E277" s="212" t="str">
        <f t="shared" ca="1" si="269"/>
        <v>Industrial heating technology Chemical SH - Coal boiler (Hot Water) - new 2</v>
      </c>
      <c r="F277" s="262" t="s">
        <v>450</v>
      </c>
      <c r="G277" s="262" t="s">
        <v>449</v>
      </c>
      <c r="H277" s="261"/>
      <c r="I277" s="261"/>
      <c r="J277" s="264" t="s">
        <v>469</v>
      </c>
    </row>
    <row r="278" spans="2:10">
      <c r="B278" s="212"/>
      <c r="C278" s="212"/>
      <c r="D278" s="212" t="str">
        <f t="shared" ca="1" si="268"/>
        <v>INDCDSHSOLN1</v>
      </c>
      <c r="E278" s="212" t="str">
        <f t="shared" ca="1" si="269"/>
        <v>Industrial heating technology Chemical SH - Solar - new 1</v>
      </c>
      <c r="F278" s="262" t="s">
        <v>450</v>
      </c>
      <c r="G278" s="262" t="s">
        <v>449</v>
      </c>
      <c r="H278" s="263" t="s">
        <v>620</v>
      </c>
      <c r="I278" s="261"/>
      <c r="J278" s="264" t="s">
        <v>469</v>
      </c>
    </row>
    <row r="279" spans="2:10">
      <c r="B279" s="212"/>
      <c r="C279" s="212"/>
      <c r="D279" s="889" t="str">
        <f>D187</f>
        <v>INDCDSHHCEN1</v>
      </c>
      <c r="E279" s="889" t="str">
        <f t="shared" si="269"/>
        <v>Industrial heating technology Chemical SH - central district heating - within DH area - new 1</v>
      </c>
      <c r="F279" s="262" t="s">
        <v>450</v>
      </c>
      <c r="G279" s="262" t="s">
        <v>449</v>
      </c>
      <c r="H279" s="890"/>
      <c r="I279" s="890"/>
      <c r="J279" s="263" t="s">
        <v>469</v>
      </c>
    </row>
    <row r="280" spans="2:10">
      <c r="B280" s="212"/>
      <c r="C280" s="212"/>
      <c r="D280" s="889" t="str">
        <f>D188</f>
        <v>INDCDPHHCEN1</v>
      </c>
      <c r="E280" s="889" t="str">
        <f t="shared" si="269"/>
        <v>Industrial heating technology Chemical PH - central district heating - within DH area - new 1</v>
      </c>
      <c r="F280" s="262" t="s">
        <v>450</v>
      </c>
      <c r="G280" s="262" t="s">
        <v>449</v>
      </c>
      <c r="H280" s="890"/>
      <c r="I280" s="890"/>
      <c r="J280" s="263" t="s">
        <v>469</v>
      </c>
    </row>
    <row r="281" spans="2:10">
      <c r="B281" s="212"/>
      <c r="C281" s="212"/>
      <c r="D281" s="889" t="str">
        <f>D189</f>
        <v>INDCDSHHSEN1</v>
      </c>
      <c r="E281" s="889" t="str">
        <f t="shared" si="269"/>
        <v>Industrial heating technology Chemical SH - central district heating - within DH area - new 1</v>
      </c>
      <c r="F281" s="262" t="s">
        <v>450</v>
      </c>
      <c r="G281" s="262" t="s">
        <v>449</v>
      </c>
      <c r="H281" s="890"/>
      <c r="I281" s="890"/>
      <c r="J281" s="263" t="s">
        <v>469</v>
      </c>
    </row>
    <row r="282" spans="2:10">
      <c r="B282" s="212"/>
      <c r="C282" s="212"/>
      <c r="D282" s="889" t="str">
        <f>D190</f>
        <v>INDCDPHHSEN1</v>
      </c>
      <c r="E282" s="889" t="str">
        <f t="shared" si="269"/>
        <v>Industrial heating technology Chemical PH - central district heating - within DH area - new 1</v>
      </c>
      <c r="F282" s="262" t="s">
        <v>450</v>
      </c>
      <c r="G282" s="262" t="s">
        <v>449</v>
      </c>
      <c r="H282" s="890"/>
      <c r="I282" s="890"/>
      <c r="J282" s="263" t="s">
        <v>469</v>
      </c>
    </row>
    <row r="283" spans="2:10">
      <c r="B283" s="212"/>
      <c r="C283" s="212"/>
      <c r="D283" s="212" t="str">
        <f t="shared" ref="D283" si="270">D191</f>
        <v>INDCDSHHDEN1</v>
      </c>
      <c r="E283" s="212" t="str">
        <f t="shared" si="269"/>
        <v>Industrial heating technology Chemical SH - decentral district heating - within DH area - new 1</v>
      </c>
      <c r="F283" s="262" t="s">
        <v>450</v>
      </c>
      <c r="G283" s="262" t="s">
        <v>449</v>
      </c>
      <c r="H283" s="261"/>
      <c r="I283" s="261"/>
      <c r="J283" s="264" t="s">
        <v>469</v>
      </c>
    </row>
    <row r="284" spans="2:10">
      <c r="B284" s="212"/>
      <c r="C284" s="212"/>
      <c r="D284" s="212" t="str">
        <f>D192</f>
        <v>INDCDPHHDEN1</v>
      </c>
      <c r="E284" s="212" t="str">
        <f t="shared" si="269"/>
        <v>Industrial heating technology Chemical PH - decentral district heating - within DH area - new 1</v>
      </c>
      <c r="F284" s="262" t="s">
        <v>450</v>
      </c>
      <c r="G284" s="262" t="s">
        <v>449</v>
      </c>
      <c r="H284" s="261"/>
      <c r="I284" s="261"/>
      <c r="J284" s="264" t="s">
        <v>469</v>
      </c>
    </row>
    <row r="285" spans="2:10">
      <c r="B285" s="212"/>
      <c r="C285" s="212"/>
      <c r="D285" s="212" t="str">
        <f>D194</f>
        <v>INDCDLAELCN1</v>
      </c>
      <c r="E285" s="212" t="str">
        <f t="shared" si="269"/>
        <v>Industry Chemical LA Electricity Light Appliance - New 1</v>
      </c>
      <c r="F285" s="262" t="s">
        <v>450</v>
      </c>
      <c r="G285" s="262" t="s">
        <v>449</v>
      </c>
      <c r="H285" s="261"/>
      <c r="I285" s="261"/>
      <c r="J285" s="264" t="s">
        <v>469</v>
      </c>
    </row>
    <row r="286" spans="2:10">
      <c r="B286" s="212"/>
      <c r="C286" s="212"/>
      <c r="D286" s="212" t="str">
        <f>D198</f>
        <v>INDCDEMELCN1</v>
      </c>
      <c r="E286" s="212" t="str">
        <f t="shared" si="269"/>
        <v>Industry Chemical EM Electricity Motors - New 1</v>
      </c>
      <c r="F286" s="262" t="s">
        <v>450</v>
      </c>
      <c r="G286" s="262" t="s">
        <v>449</v>
      </c>
      <c r="H286" s="261"/>
      <c r="I286" s="261"/>
      <c r="J286" s="264" t="s">
        <v>469</v>
      </c>
    </row>
    <row r="287" spans="2:10">
      <c r="B287" s="212"/>
      <c r="C287" s="212"/>
      <c r="D287" s="212" t="str">
        <f>D202</f>
        <v>INDCDTFDSLN1</v>
      </c>
      <c r="E287" s="212" t="str">
        <f t="shared" si="269"/>
        <v>Industry Chemical TF Tractors, Trucks, Fishing boats - New 1</v>
      </c>
      <c r="F287" s="262" t="s">
        <v>450</v>
      </c>
      <c r="G287" s="262" t="s">
        <v>2078</v>
      </c>
      <c r="H287" s="261"/>
      <c r="I287" s="261"/>
      <c r="J287" s="264" t="s">
        <v>469</v>
      </c>
    </row>
    <row r="288" spans="2:10">
      <c r="B288" s="212"/>
      <c r="C288" s="212"/>
      <c r="D288" s="212" t="str">
        <f>D206</f>
        <v>INDCDTFH2GN2</v>
      </c>
      <c r="E288" s="212" t="str">
        <f t="shared" si="269"/>
        <v>Industry Chemical TF Tractors, Trucks, Fishing boats - New 2</v>
      </c>
      <c r="F288" s="262" t="s">
        <v>450</v>
      </c>
      <c r="G288" s="262" t="s">
        <v>2078</v>
      </c>
      <c r="H288" s="261"/>
      <c r="I288" s="261"/>
      <c r="J288" s="264" t="s">
        <v>469</v>
      </c>
    </row>
    <row r="289" spans="2:10">
      <c r="B289" s="212"/>
      <c r="C289" s="212"/>
      <c r="D289" s="212" t="str">
        <f>D210</f>
        <v>INDCDTFELCN3</v>
      </c>
      <c r="E289" s="212" t="str">
        <f t="shared" si="269"/>
        <v>Industry Chemical TF Tractors, Trucks, Fishing boats - New 3</v>
      </c>
      <c r="F289" s="262" t="s">
        <v>450</v>
      </c>
      <c r="G289" s="262" t="s">
        <v>2078</v>
      </c>
      <c r="H289" s="261"/>
      <c r="I289" s="261"/>
      <c r="J289" s="264" t="s">
        <v>469</v>
      </c>
    </row>
    <row r="290" spans="2:10">
      <c r="B290" s="212"/>
      <c r="C290" s="212"/>
      <c r="D290" s="212" t="str">
        <f>D214</f>
        <v>INDCDFLSYNN1</v>
      </c>
      <c r="E290" s="212" t="str">
        <f t="shared" si="269"/>
        <v>Industry Chemical TF Forklifts - New 1</v>
      </c>
      <c r="F290" s="262" t="s">
        <v>450</v>
      </c>
      <c r="G290" s="262" t="s">
        <v>449</v>
      </c>
      <c r="H290" s="261"/>
      <c r="I290" s="261"/>
      <c r="J290" s="264" t="s">
        <v>469</v>
      </c>
    </row>
    <row r="291" spans="2:10">
      <c r="B291" s="212"/>
      <c r="C291" s="212"/>
      <c r="D291" s="212" t="str">
        <f>D218</f>
        <v>INDCDCOELCN1</v>
      </c>
      <c r="E291" s="212" t="str">
        <f>E218</f>
        <v>Industry Chemical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ICDSOx</v>
      </c>
      <c r="E296" s="270" t="str">
        <f>"Industrial heating  heating technology "&amp;$AJ$12&amp;" - SOx emission"</f>
        <v>Industrial heating  heating technology Chemical - SOx emission</v>
      </c>
      <c r="F296" s="219" t="s">
        <v>352</v>
      </c>
      <c r="G296" s="211"/>
      <c r="H296" s="211"/>
      <c r="I296" s="211"/>
      <c r="J296" s="211"/>
    </row>
    <row r="297" spans="2:10">
      <c r="B297" s="214"/>
      <c r="C297" s="214"/>
      <c r="D297" s="260" t="str">
        <f>"I"&amp;LEFT($AJ$12,1)&amp;"DNOx"</f>
        <v>ICDNOx</v>
      </c>
      <c r="E297" s="270" t="str">
        <f>"Industrial heating  heating technology "&amp;$AJ$12&amp;" - NOx emission"</f>
        <v>Industrial heating  heating technology Chemical - NOx emission</v>
      </c>
      <c r="F297" s="219" t="s">
        <v>352</v>
      </c>
      <c r="G297" s="211"/>
      <c r="H297" s="214"/>
      <c r="I297" s="214"/>
      <c r="J297" s="214"/>
    </row>
    <row r="298" spans="2:10">
      <c r="B298" s="214"/>
      <c r="C298" s="214"/>
      <c r="D298" s="260" t="str">
        <f>"I"&amp;LEFT($AJ$12,1)&amp;"DCH4"</f>
        <v>ICDCH4</v>
      </c>
      <c r="E298" s="270" t="str">
        <f>"Industrial heating  heating technology "&amp;$AJ$12&amp;" - CH4 emission"</f>
        <v>Industrial heating  heating technology Chemical - CH4 emission</v>
      </c>
      <c r="F298" s="219" t="s">
        <v>352</v>
      </c>
      <c r="G298" s="211"/>
      <c r="H298" s="214"/>
      <c r="I298" s="214"/>
      <c r="J298" s="214"/>
    </row>
    <row r="299" spans="2:10">
      <c r="B299" s="214"/>
      <c r="C299" s="214"/>
      <c r="D299" s="260" t="str">
        <f>"I"&amp;LEFT($AJ$12,1)&amp;"DNO2"</f>
        <v>ICDNO2</v>
      </c>
      <c r="E299" s="270" t="str">
        <f>"Industrial heating  heating technology "&amp;$AJ$12&amp;" - NO2 emission"</f>
        <v>Industrial heating  heating technology Chemical - NO2 emission</v>
      </c>
      <c r="F299" s="219" t="s">
        <v>352</v>
      </c>
      <c r="G299" s="211"/>
      <c r="H299" s="214"/>
      <c r="I299" s="214"/>
      <c r="J299" s="214"/>
    </row>
    <row r="300" spans="2:10">
      <c r="B300" s="214"/>
      <c r="C300" s="214"/>
      <c r="D300" s="260" t="str">
        <f>"I"&amp;LEFT($AJ$12,1)&amp;"DPM"</f>
        <v>ICDPM</v>
      </c>
      <c r="E300" s="270" t="str">
        <f>"Industrial heating  heating technology "&amp;$AJ$12&amp;" - Particle emission"</f>
        <v>Industrial heating  heating technology Chemical - Particle emission</v>
      </c>
      <c r="F300" s="219" t="s">
        <v>352</v>
      </c>
      <c r="G300" s="211"/>
      <c r="H300" s="214"/>
      <c r="I300" s="214"/>
      <c r="J300" s="214"/>
    </row>
    <row r="301" spans="2:10">
      <c r="B301" s="224" t="s">
        <v>1057</v>
      </c>
      <c r="D301" s="224" t="str">
        <f>AI20</f>
        <v>INDCWH</v>
      </c>
      <c r="E301" s="270" t="str">
        <f>"Industrial heating technology "&amp;$AJ$12&amp;" - Waste heat"</f>
        <v>Industrial heating technology Chemical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5C68204-34F7-4E07-BAA4-E0965997F79E}">
          <x14:formula1>
            <xm:f>'Oil-fired boiler_NEW'!$T$4:$X$4</xm:f>
          </x14:formula1>
          <xm:sqref>E1</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F7-0CF6-4EBB-994F-F60CEA0F7388}">
  <sheetPr>
    <tabColor rgb="FF00B050"/>
  </sheetPr>
  <dimension ref="A1:AP301"/>
  <sheetViews>
    <sheetView zoomScale="70" zoomScaleNormal="70" workbookViewId="0">
      <selection activeCell="I20" sqref="I20"/>
    </sheetView>
  </sheetViews>
  <sheetFormatPr defaultColWidth="9.21875" defaultRowHeight="14.4"/>
  <cols>
    <col min="1" max="1" width="9.21875" style="224"/>
    <col min="2" max="2" width="31.5546875" style="224" customWidth="1"/>
    <col min="3" max="3" width="11.44140625" style="224" bestFit="1" customWidth="1"/>
    <col min="4" max="4" width="19.88671875" style="224" customWidth="1"/>
    <col min="5" max="5" width="98.5546875" style="224" bestFit="1" customWidth="1"/>
    <col min="6" max="6" width="10.5546875" style="224" bestFit="1" customWidth="1"/>
    <col min="7" max="7" width="55.77734375" style="224" bestFit="1" customWidth="1"/>
    <col min="8" max="8" width="27.77734375" style="224" bestFit="1" customWidth="1"/>
    <col min="9" max="9" width="27.77734375" style="224" customWidth="1"/>
    <col min="10" max="10" width="10.21875" style="224" bestFit="1" customWidth="1"/>
    <col min="11" max="11" width="8.44140625" style="224" bestFit="1" customWidth="1"/>
    <col min="12" max="12" width="6.5546875" style="224" bestFit="1" customWidth="1"/>
    <col min="13" max="13" width="6.5546875" style="224" customWidth="1"/>
    <col min="14" max="15" width="12.77734375" style="224" bestFit="1" customWidth="1"/>
    <col min="16" max="16" width="12.44140625" style="224" bestFit="1" customWidth="1"/>
    <col min="17" max="17" width="6.21875" style="224" customWidth="1"/>
    <col min="18" max="18" width="8.21875" style="224" bestFit="1" customWidth="1"/>
    <col min="19" max="19" width="11.77734375" style="224" bestFit="1" customWidth="1"/>
    <col min="20" max="20" width="11.44140625" style="224" bestFit="1" customWidth="1"/>
    <col min="21" max="21" width="18.21875" style="224" bestFit="1" customWidth="1"/>
    <col min="22" max="22" width="11.77734375" style="224" customWidth="1"/>
    <col min="23" max="23" width="7.77734375" style="224" bestFit="1" customWidth="1"/>
    <col min="24" max="24" width="8.5546875" style="224" bestFit="1" customWidth="1"/>
    <col min="25" max="25" width="6.5546875" style="224" bestFit="1" customWidth="1"/>
    <col min="26" max="26" width="6.5546875" style="224" customWidth="1"/>
    <col min="27" max="27" width="8" style="224" customWidth="1"/>
    <col min="28" max="38" width="9.21875" style="224"/>
    <col min="39" max="39" width="64.21875" style="224" bestFit="1" customWidth="1"/>
    <col min="40" max="16384" width="9.21875" style="224"/>
  </cols>
  <sheetData>
    <row r="1" spans="2:42" ht="14.55" customHeight="1">
      <c r="D1" s="728" t="s">
        <v>1016</v>
      </c>
      <c r="E1" s="729" t="s">
        <v>717</v>
      </c>
      <c r="N1" s="64"/>
      <c r="O1" s="64"/>
      <c r="P1" s="64"/>
      <c r="S1" s="727" t="s">
        <v>1004</v>
      </c>
      <c r="T1" s="776" t="s">
        <v>1003</v>
      </c>
      <c r="U1" s="775" t="s">
        <v>1053</v>
      </c>
      <c r="V1" s="776" t="s">
        <v>1054</v>
      </c>
      <c r="W1" s="780">
        <v>0.3</v>
      </c>
    </row>
    <row r="2" spans="2:42" ht="15" thickBot="1">
      <c r="E2" s="730" t="s">
        <v>521</v>
      </c>
      <c r="N2" s="731"/>
      <c r="O2" s="731"/>
      <c r="P2" s="731"/>
      <c r="S2" s="726">
        <f>MATCH($E$1,$AJ$22:$AJ$35)</f>
        <v>9</v>
      </c>
      <c r="T2" s="778">
        <f>MATCH($E$1,$AJ$22:$AJ$35)+1</f>
        <v>10</v>
      </c>
      <c r="U2" s="779"/>
      <c r="V2" s="768" t="s">
        <v>1055</v>
      </c>
      <c r="W2" s="781">
        <v>0.2</v>
      </c>
    </row>
    <row r="3" spans="2:42" ht="15" thickBot="1">
      <c r="N3" s="731"/>
      <c r="O3" s="731"/>
      <c r="P3" s="731"/>
      <c r="S3" s="768"/>
      <c r="T3" s="768"/>
      <c r="U3" s="777"/>
      <c r="V3" s="778" t="s">
        <v>1056</v>
      </c>
      <c r="W3" s="782">
        <v>0</v>
      </c>
    </row>
    <row r="4" spans="2:42">
      <c r="N4" s="731"/>
      <c r="O4" s="731"/>
      <c r="P4" s="731"/>
      <c r="S4" s="768"/>
      <c r="T4" s="768"/>
      <c r="U4" s="768"/>
      <c r="V4" s="768"/>
    </row>
    <row r="5" spans="2:42">
      <c r="J5" s="172" t="s">
        <v>468</v>
      </c>
      <c r="N5" s="731"/>
      <c r="O5" s="731"/>
      <c r="P5" s="731"/>
      <c r="S5" s="768"/>
      <c r="T5" s="768"/>
      <c r="U5" s="768"/>
      <c r="V5" s="768"/>
    </row>
    <row r="6" spans="2:42" ht="26.25" customHeight="1">
      <c r="B6" s="166" t="s">
        <v>1015</v>
      </c>
      <c r="C6" s="46"/>
      <c r="D6" s="46" t="s">
        <v>425</v>
      </c>
      <c r="E6" s="46" t="s">
        <v>426</v>
      </c>
      <c r="F6" s="46" t="s">
        <v>689</v>
      </c>
      <c r="G6" s="46" t="s">
        <v>427</v>
      </c>
      <c r="H6" s="46" t="s">
        <v>428</v>
      </c>
      <c r="I6" s="771" t="s">
        <v>1049</v>
      </c>
      <c r="J6" s="46" t="s">
        <v>335</v>
      </c>
      <c r="K6" s="46" t="s">
        <v>336</v>
      </c>
      <c r="L6" s="47" t="s">
        <v>337</v>
      </c>
      <c r="M6" s="47" t="s">
        <v>1052</v>
      </c>
      <c r="N6" s="47" t="s">
        <v>339</v>
      </c>
      <c r="O6" s="48" t="s">
        <v>340</v>
      </c>
      <c r="P6" s="47" t="s">
        <v>341</v>
      </c>
      <c r="Q6" s="49" t="s">
        <v>342</v>
      </c>
      <c r="R6" s="49" t="s">
        <v>343</v>
      </c>
      <c r="S6" s="769" t="s">
        <v>344</v>
      </c>
      <c r="T6" s="770" t="s">
        <v>997</v>
      </c>
      <c r="U6" s="769" t="s">
        <v>1050</v>
      </c>
      <c r="V6" s="783" t="s">
        <v>1051</v>
      </c>
      <c r="W6" s="284"/>
      <c r="X6" s="280" t="str">
        <f>"FEMIS~"&amp;D296</f>
        <v>FEMIS~IGDSOx</v>
      </c>
      <c r="Y6" s="280" t="str">
        <f>"FEMIS~"&amp;D297</f>
        <v>FEMIS~IGDNOx</v>
      </c>
      <c r="Z6" s="280" t="str">
        <f>"FEMIS~"&amp;D298</f>
        <v>FEMIS~IGDCH4</v>
      </c>
      <c r="AA6" s="280" t="str">
        <f>"FEMIS~"&amp;D299</f>
        <v>FEMIS~IGDNO2</v>
      </c>
      <c r="AB6" s="280" t="str">
        <f>"FEMIS~"&amp;D300</f>
        <v>FEMIS~IGDPM</v>
      </c>
      <c r="AC6" s="224" t="s">
        <v>424</v>
      </c>
      <c r="AD6" s="224" t="s">
        <v>2001</v>
      </c>
      <c r="AE6" s="47" t="s">
        <v>338</v>
      </c>
      <c r="AF6" s="221" t="s">
        <v>473</v>
      </c>
    </row>
    <row r="7" spans="2:42" ht="15" thickBot="1">
      <c r="B7" s="715"/>
      <c r="C7" s="167"/>
      <c r="D7" s="167" t="s">
        <v>429</v>
      </c>
      <c r="E7" s="50"/>
      <c r="F7" s="50"/>
      <c r="G7" s="50"/>
      <c r="H7" s="50"/>
      <c r="I7" s="168"/>
      <c r="J7" s="50"/>
      <c r="K7" s="50"/>
      <c r="L7" s="51"/>
      <c r="M7" s="51"/>
      <c r="N7" s="51"/>
      <c r="O7" s="52"/>
      <c r="P7" s="50"/>
      <c r="Q7" s="50"/>
      <c r="R7" s="50"/>
      <c r="S7" s="50"/>
      <c r="T7" s="50"/>
      <c r="U7" s="50"/>
      <c r="V7" s="168"/>
      <c r="W7" s="285"/>
      <c r="X7" s="50"/>
      <c r="Y7" s="50"/>
      <c r="Z7" s="50"/>
      <c r="AA7" s="50"/>
      <c r="AB7" s="50"/>
      <c r="AE7" s="51"/>
      <c r="AF7" s="222"/>
    </row>
    <row r="8" spans="2:42">
      <c r="B8" s="357"/>
      <c r="D8" s="224" t="s">
        <v>451</v>
      </c>
      <c r="I8" s="357"/>
      <c r="J8" s="57"/>
      <c r="K8" s="57"/>
      <c r="L8" s="57"/>
      <c r="M8" s="57"/>
      <c r="N8" s="57"/>
      <c r="O8" s="57" t="s">
        <v>470</v>
      </c>
      <c r="P8" s="57" t="s">
        <v>471</v>
      </c>
      <c r="Q8" s="57" t="s">
        <v>472</v>
      </c>
      <c r="R8" s="57" t="s">
        <v>351</v>
      </c>
      <c r="S8" s="57" t="s">
        <v>351</v>
      </c>
      <c r="T8" s="57"/>
      <c r="U8" s="57"/>
      <c r="V8" s="784"/>
      <c r="W8" s="286"/>
      <c r="X8" s="57" t="s">
        <v>352</v>
      </c>
      <c r="Y8" s="57" t="s">
        <v>352</v>
      </c>
      <c r="Z8" s="57" t="s">
        <v>352</v>
      </c>
      <c r="AA8" s="57" t="s">
        <v>352</v>
      </c>
      <c r="AB8" s="57" t="s">
        <v>352</v>
      </c>
      <c r="AE8" s="57"/>
      <c r="AF8" s="220"/>
    </row>
    <row r="9" spans="2:42">
      <c r="B9" s="357" t="s">
        <v>998</v>
      </c>
      <c r="D9" s="212" t="str">
        <f>"IND"&amp;RIGHT(H9,4)&amp;RIGHT(G9,3)&amp;"N"&amp;RIGHT(E9,1)</f>
        <v>INDGDPHELCN1</v>
      </c>
      <c r="E9" s="261" t="str">
        <f>"Industrial heating technology "&amp;$AJ$12&amp;" "&amp;RIGHT(H9,2)&amp;" - Heat pump utilizing waste heat - new 1"</f>
        <v>Industrial heating technology Glass &amp; Concrete PH - Heat pump utilizing waste heat - new 1</v>
      </c>
      <c r="F9" s="224" t="s">
        <v>1149</v>
      </c>
      <c r="G9" s="173" t="s">
        <v>499</v>
      </c>
      <c r="H9" s="174" t="str">
        <f>$AI$14</f>
        <v>IGDPH</v>
      </c>
      <c r="I9" s="173"/>
      <c r="J9" s="224">
        <f>AD9</f>
        <v>2020</v>
      </c>
      <c r="K9" s="81">
        <v>2020</v>
      </c>
      <c r="L9" s="333">
        <v>1</v>
      </c>
      <c r="M9" s="199">
        <f ca="1">VLOOKUP($AD9,INDIRECT("'"&amp;$B9&amp;"'!"&amp;"$P$39:$AD$42"),3,FALSE)</f>
        <v>4.4754761904761899</v>
      </c>
      <c r="N9" s="81">
        <f ca="1">VLOOKUP($AD9,INDIRECT("'"&amp;$B9&amp;"'!"&amp;"$P$39:$AD$42"),5,FALSE)</f>
        <v>20</v>
      </c>
      <c r="O9" s="723">
        <f ca="1">VLOOKUP($AD9,INDIRECT("'"&amp;$B9&amp;"'!"&amp;"$P$39:$AD$42"),6,FALSE)/1000</f>
        <v>5.4385000000000003</v>
      </c>
      <c r="P9" s="723">
        <f ca="1">VLOOKUP($AD9,INDIRECT("'"&amp;$B9&amp;"'!"&amp;"$P$39:$AD$42"),7,FALSE)/1000</f>
        <v>1.49E-2</v>
      </c>
      <c r="Q9" s="81">
        <f ca="1">VLOOKUP($AD9,INDIRECT("'"&amp;$B9&amp;"'!"&amp;"$P$39:$AD$42"),8,FALSE)</f>
        <v>6.7463888888888883</v>
      </c>
      <c r="R9" s="81">
        <v>3.1536000000000002E-2</v>
      </c>
      <c r="S9" s="199">
        <v>0.5</v>
      </c>
      <c r="T9" s="199">
        <f ca="1">HLOOKUP($T$2,INDIRECT("'"&amp;$B9&amp;"'!"&amp;"$P$6:$AC$19"),IF(H9=$AI$13,6,IF(H9=$AI$14,9,14)),FALSE)</f>
        <v>0</v>
      </c>
      <c r="U9" s="199">
        <f ca="1">1/M9</f>
        <v>0.22343991062403579</v>
      </c>
      <c r="V9" s="199"/>
      <c r="W9" s="298"/>
      <c r="X9" s="698">
        <f ca="1">IF(VLOOKUP($AD9,INDIRECT("'"&amp;$B9&amp;"'!"&amp;"$P$39:$AD$42"),11,FALSE)="Cf. the utilized electricity",0,VLOOKUP($AD9,INDIRECT("'"&amp;$B9&amp;"'!"&amp;"$P$39:$AD$42"),11,FALSE))</f>
        <v>0</v>
      </c>
      <c r="Y9" s="81">
        <f ca="1">VLOOKUP($AD9,INDIRECT("'"&amp;$B9&amp;"'!"&amp;"$P$39:$AD$42"),12,FALSE)</f>
        <v>0</v>
      </c>
      <c r="Z9" s="81">
        <f ca="1">VLOOKUP($AD9,INDIRECT("'"&amp;$B9&amp;"'!"&amp;"$P$39:$AD$42"),13,FALSE)</f>
        <v>0</v>
      </c>
      <c r="AA9" s="81">
        <f ca="1">VLOOKUP($AD9,INDIRECT("'"&amp;$B9&amp;"'!"&amp;"$P$39:$AD$42"),14,FALSE)</f>
        <v>0</v>
      </c>
      <c r="AB9" s="81">
        <f ca="1">VLOOKUP($AD9,INDIRECT("'"&amp;$B9&amp;"'!"&amp;"$P$39:$AD$42"),15,FALSE)</f>
        <v>0</v>
      </c>
      <c r="AC9" s="226"/>
      <c r="AD9" s="81">
        <v>2020</v>
      </c>
      <c r="AE9" s="81"/>
      <c r="AF9" s="220"/>
    </row>
    <row r="10" spans="2:42">
      <c r="B10" s="357" t="s">
        <v>998</v>
      </c>
      <c r="D10" s="212"/>
      <c r="E10" s="261"/>
      <c r="F10" s="224" t="s">
        <v>1149</v>
      </c>
      <c r="G10" s="173" t="str">
        <f>$AI$20</f>
        <v>INDGWH</v>
      </c>
      <c r="H10" s="174"/>
      <c r="I10" s="174"/>
      <c r="K10" s="81"/>
      <c r="L10" s="333"/>
      <c r="M10" s="199"/>
      <c r="N10" s="81"/>
      <c r="O10" s="723"/>
      <c r="P10" s="723"/>
      <c r="Q10" s="81"/>
      <c r="R10" s="200"/>
      <c r="S10" s="772"/>
      <c r="T10" s="772"/>
      <c r="U10" s="199">
        <f ca="1">1-U9</f>
        <v>0.77656008937596421</v>
      </c>
      <c r="V10" s="772"/>
      <c r="W10" s="298"/>
      <c r="X10" s="698"/>
      <c r="Y10" s="81"/>
      <c r="Z10" s="81"/>
      <c r="AA10" s="81"/>
      <c r="AB10" s="81"/>
      <c r="AC10" s="226"/>
      <c r="AD10" s="81"/>
      <c r="AE10" s="81"/>
      <c r="AF10" s="220"/>
    </row>
    <row r="11" spans="2:42">
      <c r="B11" s="357" t="s">
        <v>998</v>
      </c>
      <c r="D11" s="212"/>
      <c r="E11" s="212"/>
      <c r="F11" s="224" t="s">
        <v>1149</v>
      </c>
      <c r="G11" s="173" t="s">
        <v>499</v>
      </c>
      <c r="H11" s="174" t="str">
        <f>$AI$14</f>
        <v>IGDPH</v>
      </c>
      <c r="I11" s="173"/>
      <c r="J11" s="224">
        <f>AD11</f>
        <v>2030</v>
      </c>
      <c r="K11" s="81"/>
      <c r="L11" s="333">
        <v>1</v>
      </c>
      <c r="M11" s="199">
        <f ca="1">VLOOKUP($AD11,INDIRECT("'"&amp;$B11&amp;"'!"&amp;"$P$39:$AD$42"),3,FALSE)</f>
        <v>4.5792982142857133</v>
      </c>
      <c r="N11" s="81"/>
      <c r="O11" s="723">
        <f ca="1">VLOOKUP($AD11,INDIRECT("'"&amp;$B11&amp;"'!"&amp;"$P$39:$AD$42"),6,FALSE)/1000</f>
        <v>4.8425000000000002</v>
      </c>
      <c r="P11" s="723">
        <f ca="1">VLOOKUP($AD11,INDIRECT("'"&amp;$B11&amp;"'!"&amp;"$P$39:$AD$42"),7,FALSE)/1000</f>
        <v>1.49E-2</v>
      </c>
      <c r="Q11" s="81">
        <f ca="1">VLOOKUP($AD11,INDIRECT("'"&amp;$B11&amp;"'!"&amp;"$P$39:$AD$42"),8,FALSE)</f>
        <v>6.6222222222222227</v>
      </c>
      <c r="R11" s="300"/>
      <c r="S11" s="300"/>
      <c r="T11" s="300"/>
      <c r="U11" s="199">
        <f ca="1">1/M11</f>
        <v>0.21837407244637849</v>
      </c>
      <c r="V11" s="199"/>
      <c r="W11" s="298"/>
      <c r="X11" s="698">
        <f ca="1">IF(VLOOKUP($AD11,INDIRECT("'"&amp;$B11&amp;"'!"&amp;"$P$39:$AD$42"),11,FALSE)="Cf. the utilized electricity",0,VLOOKUP($AD11,INDIRECT("'"&amp;$B11&amp;"'!"&amp;"$P$39:$AD$42"),11,FALSE))</f>
        <v>0</v>
      </c>
      <c r="Y11" s="81">
        <f ca="1">VLOOKUP($AD11,INDIRECT("'"&amp;$B11&amp;"'!"&amp;"$P$39:$AD$42"),12,FALSE)</f>
        <v>0</v>
      </c>
      <c r="Z11" s="81">
        <f ca="1">VLOOKUP($AD11,INDIRECT("'"&amp;$B11&amp;"'!"&amp;"$P$39:$AD$42"),13,FALSE)</f>
        <v>0</v>
      </c>
      <c r="AA11" s="81">
        <f ca="1">VLOOKUP($AD11,INDIRECT("'"&amp;$B11&amp;"'!"&amp;"$P$39:$AD$42"),14,FALSE)</f>
        <v>0</v>
      </c>
      <c r="AB11" s="81">
        <f ca="1">VLOOKUP($AD11,INDIRECT("'"&amp;$B11&amp;"'!"&amp;"$P$39:$AD$42"),15,FALSE)</f>
        <v>0</v>
      </c>
      <c r="AC11" s="226"/>
      <c r="AD11" s="81">
        <v>2030</v>
      </c>
      <c r="AE11" s="81"/>
      <c r="AF11" s="220"/>
    </row>
    <row r="12" spans="2:42">
      <c r="B12" s="357" t="s">
        <v>998</v>
      </c>
      <c r="D12" s="212"/>
      <c r="E12" s="212"/>
      <c r="F12" s="224" t="s">
        <v>1149</v>
      </c>
      <c r="G12" s="173" t="str">
        <f>$AI$20</f>
        <v>INDGWH</v>
      </c>
      <c r="H12" s="174"/>
      <c r="I12" s="174"/>
      <c r="K12" s="81"/>
      <c r="L12" s="333"/>
      <c r="M12" s="199"/>
      <c r="N12" s="81"/>
      <c r="O12" s="723"/>
      <c r="P12" s="723"/>
      <c r="Q12" s="81"/>
      <c r="R12" s="300"/>
      <c r="S12" s="300"/>
      <c r="T12" s="300"/>
      <c r="U12" s="199">
        <f ca="1">1-U11</f>
        <v>0.78162592755362148</v>
      </c>
      <c r="V12" s="300"/>
      <c r="W12" s="298"/>
      <c r="X12" s="698"/>
      <c r="Y12" s="81"/>
      <c r="Z12" s="81"/>
      <c r="AA12" s="81"/>
      <c r="AB12" s="81"/>
      <c r="AC12" s="226"/>
      <c r="AD12" s="81"/>
      <c r="AE12" s="81"/>
      <c r="AF12" s="220"/>
      <c r="AI12" s="224" t="s">
        <v>518</v>
      </c>
      <c r="AJ12" s="224" t="str">
        <f>E2</f>
        <v>Glass &amp; Concrete</v>
      </c>
    </row>
    <row r="13" spans="2:42">
      <c r="B13" s="357" t="s">
        <v>998</v>
      </c>
      <c r="D13" s="212"/>
      <c r="E13" s="212"/>
      <c r="F13" s="224" t="s">
        <v>1149</v>
      </c>
      <c r="G13" s="173" t="s">
        <v>499</v>
      </c>
      <c r="H13" s="174" t="str">
        <f>$AI$14</f>
        <v>IGDPH</v>
      </c>
      <c r="I13" s="173"/>
      <c r="J13" s="224">
        <f>AD13</f>
        <v>2050</v>
      </c>
      <c r="K13" s="81"/>
      <c r="L13" s="333">
        <v>1</v>
      </c>
      <c r="M13" s="199">
        <f ca="1">VLOOKUP($AD13,INDIRECT("'"&amp;$B13&amp;"'!"&amp;"$P$39:$AD$42"),3,FALSE)</f>
        <v>4.7191030203571422</v>
      </c>
      <c r="N13" s="81"/>
      <c r="O13" s="723">
        <f ca="1">VLOOKUP($AD13,INDIRECT("'"&amp;$B13&amp;"'!"&amp;"$P$39:$AD$42"),6,FALSE)/1000</f>
        <v>4.3209999999999997</v>
      </c>
      <c r="P13" s="723">
        <f ca="1">VLOOKUP($AD13,INDIRECT("'"&amp;$B13&amp;"'!"&amp;"$P$39:$AD$42"),7,FALSE)/1000</f>
        <v>1.49E-2</v>
      </c>
      <c r="Q13" s="81">
        <f ca="1">VLOOKUP($AD13,INDIRECT("'"&amp;$B13&amp;"'!"&amp;"$P$39:$AD$42"),8,FALSE)</f>
        <v>6.4566666666666661</v>
      </c>
      <c r="R13" s="300"/>
      <c r="S13" s="300"/>
      <c r="T13" s="300"/>
      <c r="U13" s="199">
        <f ca="1">1/M13</f>
        <v>0.21190467673331698</v>
      </c>
      <c r="V13" s="199"/>
      <c r="W13" s="298"/>
      <c r="X13" s="698">
        <f ca="1">IF(VLOOKUP($AD13,INDIRECT("'"&amp;$B13&amp;"'!"&amp;"$P$39:$AD$42"),11,FALSE)="Cf. the utilized electricity",0,VLOOKUP($AD13,INDIRECT("'"&amp;$B13&amp;"'!"&amp;"$P$39:$AD$42"),11,FALSE))</f>
        <v>0</v>
      </c>
      <c r="Y13" s="81">
        <f ca="1">VLOOKUP($AD13,INDIRECT("'"&amp;$B13&amp;"'!"&amp;"$P$39:$AD$42"),12,FALSE)</f>
        <v>0</v>
      </c>
      <c r="Z13" s="81">
        <f ca="1">VLOOKUP($AD13,INDIRECT("'"&amp;$B13&amp;"'!"&amp;"$P$39:$AD$42"),13,FALSE)</f>
        <v>0</v>
      </c>
      <c r="AA13" s="81">
        <f ca="1">VLOOKUP($AD13,INDIRECT("'"&amp;$B13&amp;"'!"&amp;"$P$39:$AD$42"),14,FALSE)</f>
        <v>0</v>
      </c>
      <c r="AB13" s="81">
        <f ca="1">VLOOKUP($AD13,INDIRECT("'"&amp;$B13&amp;"'!"&amp;"$P$39:$AD$42"),15,FALSE)</f>
        <v>0</v>
      </c>
      <c r="AC13" s="226"/>
      <c r="AD13" s="81">
        <v>2050</v>
      </c>
      <c r="AE13" s="81"/>
      <c r="AF13" s="220"/>
      <c r="AI13" s="224" t="str">
        <f>AO14</f>
        <v>IGDPH</v>
      </c>
      <c r="AJ13" s="224" t="str">
        <f>AP14</f>
        <v>Glass &amp; Concrete industry Demand Heat High Temp. over 150C</v>
      </c>
      <c r="AO13" s="224" t="s">
        <v>2085</v>
      </c>
      <c r="AP13" s="224" t="s">
        <v>1150</v>
      </c>
    </row>
    <row r="14" spans="2:42">
      <c r="B14" s="357" t="s">
        <v>998</v>
      </c>
      <c r="D14" s="212"/>
      <c r="E14" s="212"/>
      <c r="F14" s="224" t="s">
        <v>1149</v>
      </c>
      <c r="G14" s="173" t="str">
        <f>$AI$20</f>
        <v>INDGWH</v>
      </c>
      <c r="H14" s="174"/>
      <c r="I14" s="174"/>
      <c r="K14" s="81"/>
      <c r="L14" s="333"/>
      <c r="M14" s="199"/>
      <c r="N14" s="81"/>
      <c r="O14" s="723"/>
      <c r="P14" s="723"/>
      <c r="Q14" s="81"/>
      <c r="R14" s="300"/>
      <c r="S14" s="300"/>
      <c r="T14" s="300"/>
      <c r="U14" s="199">
        <f ca="1">1-U13</f>
        <v>0.78809532326668297</v>
      </c>
      <c r="V14" s="300"/>
      <c r="W14" s="298"/>
      <c r="X14" s="698"/>
      <c r="Y14" s="81"/>
      <c r="Z14" s="81"/>
      <c r="AA14" s="81"/>
      <c r="AB14" s="81"/>
      <c r="AC14" s="226"/>
      <c r="AD14" s="81"/>
      <c r="AE14" s="81"/>
      <c r="AF14" s="220"/>
      <c r="AI14" s="224" t="str">
        <f>AO13</f>
        <v>IGDPH</v>
      </c>
      <c r="AJ14" s="224" t="str">
        <f>AP13</f>
        <v>Glass &amp; Concrete industry Demand Heat Medium Temp. up to 150C</v>
      </c>
      <c r="AO14" s="224" t="s">
        <v>2085</v>
      </c>
      <c r="AP14" s="224" t="s">
        <v>1151</v>
      </c>
    </row>
    <row r="15" spans="2:42">
      <c r="B15" s="357" t="s">
        <v>998</v>
      </c>
      <c r="D15" s="212" t="str">
        <f>"IND"&amp;RIGHT(H15,4)&amp;RIGHT(G15,3)&amp;"N"&amp;RIGHT(E15,1)</f>
        <v>INDGDSHELCN1</v>
      </c>
      <c r="E15" s="261" t="str">
        <f>"Industrial heating technology "&amp;$AJ$12&amp;" "&amp;RIGHT(H15,2)&amp;" - Heat pump utilizing waste heat - new 1"</f>
        <v>Industrial heating technology Glass &amp; Concrete SH - Heat pump utilizing waste heat - new 1</v>
      </c>
      <c r="F15" s="224" t="s">
        <v>1149</v>
      </c>
      <c r="G15" s="173" t="s">
        <v>499</v>
      </c>
      <c r="H15" s="174" t="str">
        <f>$AI$15</f>
        <v>IGDSH</v>
      </c>
      <c r="I15" s="174"/>
      <c r="J15" s="224">
        <f>AD15</f>
        <v>2020</v>
      </c>
      <c r="K15" s="81">
        <v>2020</v>
      </c>
      <c r="L15" s="333">
        <v>1</v>
      </c>
      <c r="M15" s="199">
        <f ca="1">VLOOKUP($AD15,INDIRECT("'"&amp;$B15&amp;"'!"&amp;"$P$39:$AD$42"),3,FALSE)</f>
        <v>4.4754761904761899</v>
      </c>
      <c r="N15" s="81">
        <f ca="1">VLOOKUP($AD15,INDIRECT("'"&amp;$B15&amp;"'!"&amp;"$P$39:$AD$42"),5,FALSE)</f>
        <v>20</v>
      </c>
      <c r="O15" s="723">
        <f ca="1">VLOOKUP($AD15,INDIRECT("'"&amp;$B15&amp;"'!"&amp;"$P$39:$AD$42"),6,FALSE)/1000</f>
        <v>5.4385000000000003</v>
      </c>
      <c r="P15" s="723">
        <f ca="1">VLOOKUP($AD15,INDIRECT("'"&amp;$B15&amp;"'!"&amp;"$P$39:$AD$42"),7,FALSE)/1000</f>
        <v>1.49E-2</v>
      </c>
      <c r="Q15" s="81">
        <f ca="1">VLOOKUP($AD15,INDIRECT("'"&amp;$B15&amp;"'!"&amp;"$P$39:$AD$42"),8,FALSE)</f>
        <v>6.7463888888888883</v>
      </c>
      <c r="R15" s="81">
        <v>3.1536000000000002E-2</v>
      </c>
      <c r="S15" s="199">
        <v>0.5</v>
      </c>
      <c r="T15" s="199">
        <f ca="1">HLOOKUP($T$2,INDIRECT("'"&amp;$B15&amp;"'!"&amp;"$P$6:$AC$19"),IF(H15=$AI$13,6,IF(H15=$AI$14,9,14)),FALSE)</f>
        <v>1</v>
      </c>
      <c r="U15" s="199">
        <f ca="1">1/M15</f>
        <v>0.22343991062403579</v>
      </c>
      <c r="V15" s="199"/>
      <c r="W15" s="298"/>
      <c r="X15" s="698">
        <f ca="1">IF(VLOOKUP($AD15,INDIRECT("'"&amp;$B15&amp;"'!"&amp;"$P$39:$AD$42"),11,FALSE)="Cf. the utilized electricity",0,VLOOKUP($AD15,INDIRECT("'"&amp;$B15&amp;"'!"&amp;"$P$39:$AD$42"),11,FALSE))</f>
        <v>0</v>
      </c>
      <c r="Y15" s="81">
        <f ca="1">VLOOKUP($AD15,INDIRECT("'"&amp;$B15&amp;"'!"&amp;"$P$39:$AD$42"),12,FALSE)</f>
        <v>0</v>
      </c>
      <c r="Z15" s="81">
        <f ca="1">VLOOKUP($AD15,INDIRECT("'"&amp;$B15&amp;"'!"&amp;"$P$39:$AD$42"),13,FALSE)</f>
        <v>0</v>
      </c>
      <c r="AA15" s="81">
        <f ca="1">VLOOKUP($AD15,INDIRECT("'"&amp;$B15&amp;"'!"&amp;"$P$39:$AD$42"),14,FALSE)</f>
        <v>0</v>
      </c>
      <c r="AB15" s="81">
        <f ca="1">VLOOKUP($AD15,INDIRECT("'"&amp;$B15&amp;"'!"&amp;"$P$39:$AD$42"),15,FALSE)</f>
        <v>0</v>
      </c>
      <c r="AC15" s="226"/>
      <c r="AD15" s="81">
        <v>2020</v>
      </c>
      <c r="AE15" s="81"/>
      <c r="AF15" s="220"/>
      <c r="AI15" s="224" t="str">
        <f>AO15</f>
        <v>IGDSH</v>
      </c>
      <c r="AJ15" s="224" t="str">
        <f>AP15</f>
        <v>Glass &amp; Concrete industry Demand Heat Room Heat</v>
      </c>
      <c r="AO15" s="224" t="s">
        <v>2086</v>
      </c>
      <c r="AP15" s="224" t="s">
        <v>1152</v>
      </c>
    </row>
    <row r="16" spans="2:42">
      <c r="B16" s="357" t="s">
        <v>998</v>
      </c>
      <c r="D16" s="212"/>
      <c r="E16" s="261"/>
      <c r="F16" s="224" t="s">
        <v>1149</v>
      </c>
      <c r="G16" s="173" t="str">
        <f>$AI$20</f>
        <v>INDGWH</v>
      </c>
      <c r="H16" s="174"/>
      <c r="I16" s="174"/>
      <c r="K16" s="81"/>
      <c r="L16" s="333"/>
      <c r="M16" s="199"/>
      <c r="N16" s="81"/>
      <c r="O16" s="723"/>
      <c r="P16" s="723"/>
      <c r="Q16" s="81"/>
      <c r="R16" s="200"/>
      <c r="S16" s="772"/>
      <c r="T16" s="772"/>
      <c r="U16" s="199">
        <f ca="1">1-U15</f>
        <v>0.77656008937596421</v>
      </c>
      <c r="V16" s="772"/>
      <c r="W16" s="298"/>
      <c r="X16" s="698"/>
      <c r="Y16" s="81"/>
      <c r="Z16" s="81"/>
      <c r="AA16" s="81"/>
      <c r="AB16" s="81"/>
      <c r="AC16" s="226"/>
      <c r="AD16" s="81"/>
      <c r="AE16" s="81"/>
      <c r="AF16" s="220"/>
      <c r="AI16" s="224" t="str">
        <f t="shared" ref="AI16:AJ19" si="0">AO16</f>
        <v>IGDLA</v>
      </c>
      <c r="AJ16" s="224" t="str">
        <f t="shared" si="0"/>
        <v>Glass &amp; Concrete industry Demand Light</v>
      </c>
      <c r="AO16" s="224" t="s">
        <v>1153</v>
      </c>
      <c r="AP16" s="224" t="s">
        <v>1154</v>
      </c>
    </row>
    <row r="17" spans="2:42">
      <c r="B17" s="357" t="s">
        <v>998</v>
      </c>
      <c r="D17" s="212"/>
      <c r="E17" s="212"/>
      <c r="F17" s="224" t="s">
        <v>1149</v>
      </c>
      <c r="G17" s="173" t="s">
        <v>499</v>
      </c>
      <c r="H17" s="174" t="str">
        <f>$AI$15</f>
        <v>IGDSH</v>
      </c>
      <c r="I17" s="174"/>
      <c r="J17" s="224">
        <f>AD17</f>
        <v>2030</v>
      </c>
      <c r="K17" s="81"/>
      <c r="L17" s="333">
        <v>1</v>
      </c>
      <c r="M17" s="199">
        <f ca="1">VLOOKUP($AD17,INDIRECT("'"&amp;$B17&amp;"'!"&amp;"$P$39:$AD$42"),3,FALSE)</f>
        <v>4.5792982142857133</v>
      </c>
      <c r="N17" s="81"/>
      <c r="O17" s="723">
        <f ca="1">VLOOKUP($AD17,INDIRECT("'"&amp;$B17&amp;"'!"&amp;"$P$39:$AD$42"),6,FALSE)/1000</f>
        <v>4.8425000000000002</v>
      </c>
      <c r="P17" s="723">
        <f ca="1">VLOOKUP($AD17,INDIRECT("'"&amp;$B17&amp;"'!"&amp;"$P$39:$AD$42"),7,FALSE)/1000</f>
        <v>1.49E-2</v>
      </c>
      <c r="Q17" s="81">
        <f ca="1">VLOOKUP($AD17,INDIRECT("'"&amp;$B17&amp;"'!"&amp;"$P$39:$AD$42"),8,FALSE)</f>
        <v>6.6222222222222227</v>
      </c>
      <c r="R17" s="300"/>
      <c r="S17" s="300"/>
      <c r="T17" s="300"/>
      <c r="U17" s="199">
        <f ca="1">1/M17</f>
        <v>0.21837407244637849</v>
      </c>
      <c r="V17" s="199"/>
      <c r="W17" s="298"/>
      <c r="X17" s="698">
        <f ca="1">IF(VLOOKUP($AD17,INDIRECT("'"&amp;$B17&amp;"'!"&amp;"$P$39:$AD$42"),11,FALSE)="Cf. the utilized electricity",0,VLOOKUP($AD17,INDIRECT("'"&amp;$B17&amp;"'!"&amp;"$P$39:$AD$42"),11,FALSE))</f>
        <v>0</v>
      </c>
      <c r="Y17" s="81">
        <f ca="1">VLOOKUP($AD17,INDIRECT("'"&amp;$B17&amp;"'!"&amp;"$P$39:$AD$42"),12,FALSE)</f>
        <v>0</v>
      </c>
      <c r="Z17" s="81">
        <f ca="1">VLOOKUP($AD17,INDIRECT("'"&amp;$B17&amp;"'!"&amp;"$P$39:$AD$42"),13,FALSE)</f>
        <v>0</v>
      </c>
      <c r="AA17" s="81">
        <f ca="1">VLOOKUP($AD17,INDIRECT("'"&amp;$B17&amp;"'!"&amp;"$P$39:$AD$42"),14,FALSE)</f>
        <v>0</v>
      </c>
      <c r="AB17" s="81">
        <f ca="1">VLOOKUP($AD17,INDIRECT("'"&amp;$B17&amp;"'!"&amp;"$P$39:$AD$42"),15,FALSE)</f>
        <v>0</v>
      </c>
      <c r="AC17" s="226"/>
      <c r="AD17" s="81">
        <v>2030</v>
      </c>
      <c r="AE17" s="81"/>
      <c r="AF17" s="220"/>
      <c r="AI17" s="224" t="str">
        <f t="shared" si="0"/>
        <v>IGDEM</v>
      </c>
      <c r="AJ17" s="224" t="str">
        <f t="shared" si="0"/>
        <v>Glass &amp; Concrete industry Demand Electric Motors</v>
      </c>
      <c r="AO17" s="224" t="s">
        <v>1155</v>
      </c>
      <c r="AP17" s="224" t="s">
        <v>1156</v>
      </c>
    </row>
    <row r="18" spans="2:42">
      <c r="B18" s="357" t="s">
        <v>998</v>
      </c>
      <c r="D18" s="212"/>
      <c r="E18" s="212"/>
      <c r="F18" s="224" t="s">
        <v>1149</v>
      </c>
      <c r="G18" s="173" t="str">
        <f>$AI$20</f>
        <v>INDGWH</v>
      </c>
      <c r="H18" s="174"/>
      <c r="I18" s="174"/>
      <c r="K18" s="81"/>
      <c r="L18" s="333"/>
      <c r="M18" s="199"/>
      <c r="N18" s="81"/>
      <c r="O18" s="723"/>
      <c r="P18" s="723"/>
      <c r="Q18" s="81"/>
      <c r="R18" s="300"/>
      <c r="S18" s="300"/>
      <c r="T18" s="300"/>
      <c r="U18" s="199">
        <f ca="1">1-U17</f>
        <v>0.78162592755362148</v>
      </c>
      <c r="V18" s="300"/>
      <c r="W18" s="298"/>
      <c r="X18" s="698"/>
      <c r="Y18" s="81"/>
      <c r="Z18" s="81"/>
      <c r="AA18" s="81"/>
      <c r="AB18" s="81"/>
      <c r="AC18" s="226"/>
      <c r="AD18" s="81"/>
      <c r="AE18" s="81"/>
      <c r="AF18" s="220"/>
      <c r="AI18" s="224" t="str">
        <f t="shared" si="0"/>
        <v>IGDTF</v>
      </c>
      <c r="AJ18" s="224" t="str">
        <f t="shared" si="0"/>
        <v>Glass &amp; Concrete industry Demand Haulage Tractors, Trucks, Fishing boats, Forest machines</v>
      </c>
      <c r="AO18" s="224" t="s">
        <v>1157</v>
      </c>
      <c r="AP18" s="224" t="s">
        <v>1158</v>
      </c>
    </row>
    <row r="19" spans="2:42">
      <c r="B19" s="357" t="s">
        <v>998</v>
      </c>
      <c r="D19" s="212"/>
      <c r="E19" s="212"/>
      <c r="F19" s="224" t="s">
        <v>1149</v>
      </c>
      <c r="G19" s="173" t="s">
        <v>499</v>
      </c>
      <c r="H19" s="174" t="str">
        <f>$AI$15</f>
        <v>IGDSH</v>
      </c>
      <c r="I19" s="174"/>
      <c r="J19" s="224">
        <f>AD19</f>
        <v>2050</v>
      </c>
      <c r="K19" s="81"/>
      <c r="L19" s="333">
        <v>1</v>
      </c>
      <c r="M19" s="199">
        <f ca="1">VLOOKUP($AD19,INDIRECT("'"&amp;$B19&amp;"'!"&amp;"$P$39:$AD$42"),3,FALSE)</f>
        <v>4.7191030203571422</v>
      </c>
      <c r="N19" s="81"/>
      <c r="O19" s="723">
        <f ca="1">VLOOKUP($AD19,INDIRECT("'"&amp;$B19&amp;"'!"&amp;"$P$39:$AD$42"),6,FALSE)/1000</f>
        <v>4.3209999999999997</v>
      </c>
      <c r="P19" s="723">
        <f ca="1">VLOOKUP($AD19,INDIRECT("'"&amp;$B19&amp;"'!"&amp;"$P$39:$AD$42"),7,FALSE)/1000</f>
        <v>1.49E-2</v>
      </c>
      <c r="Q19" s="81">
        <f ca="1">VLOOKUP($AD19,INDIRECT("'"&amp;$B19&amp;"'!"&amp;"$P$39:$AD$42"),8,FALSE)</f>
        <v>6.4566666666666661</v>
      </c>
      <c r="R19" s="300"/>
      <c r="S19" s="300"/>
      <c r="T19" s="300"/>
      <c r="U19" s="199">
        <f ca="1">1/M19</f>
        <v>0.21190467673331698</v>
      </c>
      <c r="V19" s="199"/>
      <c r="W19" s="298"/>
      <c r="X19" s="698">
        <f ca="1">IF(VLOOKUP($AD19,INDIRECT("'"&amp;$B19&amp;"'!"&amp;"$P$39:$AD$42"),11,FALSE)="Cf. the utilized electricity",0,VLOOKUP($AD19,INDIRECT("'"&amp;$B19&amp;"'!"&amp;"$P$39:$AD$42"),11,FALSE))</f>
        <v>0</v>
      </c>
      <c r="Y19" s="81">
        <f ca="1">VLOOKUP($AD19,INDIRECT("'"&amp;$B19&amp;"'!"&amp;"$P$39:$AD$42"),12,FALSE)</f>
        <v>0</v>
      </c>
      <c r="Z19" s="81">
        <f ca="1">VLOOKUP($AD19,INDIRECT("'"&amp;$B19&amp;"'!"&amp;"$P$39:$AD$42"),13,FALSE)</f>
        <v>0</v>
      </c>
      <c r="AA19" s="81">
        <f ca="1">VLOOKUP($AD19,INDIRECT("'"&amp;$B19&amp;"'!"&amp;"$P$39:$AD$42"),14,FALSE)</f>
        <v>0</v>
      </c>
      <c r="AB19" s="81">
        <f ca="1">VLOOKUP($AD19,INDIRECT("'"&amp;$B19&amp;"'!"&amp;"$P$39:$AD$42"),15,FALSE)</f>
        <v>0</v>
      </c>
      <c r="AC19" s="226"/>
      <c r="AD19" s="81">
        <v>2050</v>
      </c>
      <c r="AE19" s="81"/>
      <c r="AF19" s="220"/>
      <c r="AI19" s="224" t="str">
        <f t="shared" si="0"/>
        <v>IGDFL</v>
      </c>
      <c r="AJ19" s="224" t="str">
        <f t="shared" si="0"/>
        <v>Glass &amp; Concrete industry Demand Haulage Forklifts</v>
      </c>
      <c r="AO19" s="224" t="s">
        <v>1159</v>
      </c>
      <c r="AP19" s="224" t="s">
        <v>1160</v>
      </c>
    </row>
    <row r="20" spans="2:42">
      <c r="B20" s="357" t="s">
        <v>998</v>
      </c>
      <c r="D20" s="212"/>
      <c r="E20" s="212"/>
      <c r="F20" s="224" t="s">
        <v>1149</v>
      </c>
      <c r="G20" s="173" t="str">
        <f>$AI$20</f>
        <v>INDGWH</v>
      </c>
      <c r="H20" s="174"/>
      <c r="I20" s="174"/>
      <c r="K20" s="81"/>
      <c r="L20" s="333"/>
      <c r="M20" s="199"/>
      <c r="N20" s="81"/>
      <c r="O20" s="723"/>
      <c r="P20" s="723"/>
      <c r="Q20" s="81"/>
      <c r="R20" s="300"/>
      <c r="S20" s="300"/>
      <c r="T20" s="300"/>
      <c r="U20" s="199">
        <f ca="1">1-U19</f>
        <v>0.78809532326668297</v>
      </c>
      <c r="V20" s="300"/>
      <c r="W20" s="298"/>
      <c r="X20" s="698"/>
      <c r="Y20" s="81"/>
      <c r="Z20" s="81"/>
      <c r="AA20" s="81"/>
      <c r="AB20" s="81"/>
      <c r="AC20" s="226"/>
      <c r="AD20" s="81"/>
      <c r="AE20" s="81"/>
      <c r="AF20" s="220"/>
      <c r="AI20" s="36" t="str">
        <f>"IND"&amp;MID(AI19,2,1)&amp;"WH"</f>
        <v>INDGWH</v>
      </c>
      <c r="AJ20" s="224" t="str">
        <f>$AJ$12&amp;" Industrial Waste Heat"</f>
        <v>Glass &amp; Concrete Industrial Waste Heat</v>
      </c>
    </row>
    <row r="21" spans="2:42">
      <c r="B21" s="357" t="s">
        <v>999</v>
      </c>
      <c r="D21" s="212" t="str">
        <f>"IND"&amp;RIGHT(H21,4)&amp;RIGHT(G21,3)&amp;"N"&amp;RIGHT(E21,1)</f>
        <v>INDGDPHELCN2</v>
      </c>
      <c r="E21" s="261" t="str">
        <f>"Industrial heating technology "&amp;$AJ$12&amp;" "&amp;RIGHT(H21,2)&amp;" - Heat driven heat pump utilizing waste heat - new 2"</f>
        <v>Industrial heating technology Glass &amp; Concrete PH - Heat driven heat pump utilizing waste heat - new 2</v>
      </c>
      <c r="F21" s="224" t="s">
        <v>1149</v>
      </c>
      <c r="G21" s="173" t="s">
        <v>499</v>
      </c>
      <c r="H21" s="174" t="str">
        <f>$AI$14</f>
        <v>IGDPH</v>
      </c>
      <c r="I21" s="174"/>
      <c r="J21" s="224">
        <f t="shared" ref="J21" si="1">AD21</f>
        <v>2020</v>
      </c>
      <c r="K21" s="81">
        <v>2020</v>
      </c>
      <c r="L21" s="333">
        <v>1</v>
      </c>
      <c r="M21" s="199">
        <f ca="1">VLOOKUP($AD21,INDIRECT("'"&amp;$B21&amp;"'!"&amp;"$P$39:$AD$42"),3,FALSE)</f>
        <v>1.68</v>
      </c>
      <c r="N21" s="81">
        <f ca="1">VLOOKUP($AD21,INDIRECT("'"&amp;$B21&amp;"'!"&amp;"$P$39:$AD$42"),5,FALSE)</f>
        <v>20</v>
      </c>
      <c r="O21" s="723">
        <f ca="1">VLOOKUP($AD21,INDIRECT("'"&amp;$B21&amp;"'!"&amp;"$P$39:$AD$42"),6,FALSE)/1000</f>
        <v>4.1720000000000006</v>
      </c>
      <c r="P21" s="723">
        <f ca="1">VLOOKUP($AD21,INDIRECT("'"&amp;$B21&amp;"'!"&amp;"$P$39:$AD$42"),7,FALSE)/1000</f>
        <v>1.49E-2</v>
      </c>
      <c r="Q21" s="81">
        <f ca="1">VLOOKUP($AD21,INDIRECT("'"&amp;$B21&amp;"'!"&amp;"$P$39:$AD$42"),8,FALSE)</f>
        <v>2.0901388888888892</v>
      </c>
      <c r="R21" s="81">
        <v>3.1536000000000002E-2</v>
      </c>
      <c r="S21" s="199">
        <v>0.5</v>
      </c>
      <c r="T21" s="199">
        <f ca="1">HLOOKUP($T$2,INDIRECT("'"&amp;$B21&amp;"'!"&amp;"$P$6:$AC$19"),IF(H21=$AI$13,6,IF(H21=$AI$14,9,14)),FALSE)</f>
        <v>0</v>
      </c>
      <c r="U21" s="199">
        <f ca="1">1/M21</f>
        <v>0.59523809523809523</v>
      </c>
      <c r="V21" s="199"/>
      <c r="W21" s="298"/>
      <c r="X21" s="698">
        <f ca="1">IF(VLOOKUP($AD21,INDIRECT("'"&amp;$B21&amp;"'!"&amp;"$P$39:$AD$42"),11,FALSE)="Cf. the utilized electricity",0,VLOOKUP($AD21,INDIRECT("'"&amp;$B21&amp;"'!"&amp;"$P$39:$AD$42"),11,FALSE))</f>
        <v>0</v>
      </c>
      <c r="Y21" s="81">
        <f ca="1">VLOOKUP($AD21,INDIRECT("'"&amp;$B21&amp;"'!"&amp;"$P$39:$AD$42"),12,FALSE)</f>
        <v>0</v>
      </c>
      <c r="Z21" s="81">
        <f ca="1">VLOOKUP($AD21,INDIRECT("'"&amp;$B21&amp;"'!"&amp;"$P$39:$AD$42"),13,FALSE)</f>
        <v>0</v>
      </c>
      <c r="AA21" s="81">
        <f ca="1">VLOOKUP($AD21,INDIRECT("'"&amp;$B21&amp;"'!"&amp;"$P$39:$AD$42"),14,FALSE)</f>
        <v>0</v>
      </c>
      <c r="AB21" s="81">
        <f ca="1">VLOOKUP($AD21,INDIRECT("'"&amp;$B21&amp;"'!"&amp;"$P$39:$AD$42"),15,FALSE)</f>
        <v>0</v>
      </c>
      <c r="AC21" s="226"/>
      <c r="AD21" s="81">
        <v>2020</v>
      </c>
      <c r="AE21" s="81"/>
      <c r="AF21" s="220"/>
      <c r="AI21" s="224" t="str">
        <f>"I"&amp;LEFT($AJ$12,1)&amp;"DCO"</f>
        <v>IGDCO</v>
      </c>
      <c r="AJ21" s="224" t="s">
        <v>2122</v>
      </c>
    </row>
    <row r="22" spans="2:42">
      <c r="B22" s="357" t="s">
        <v>999</v>
      </c>
      <c r="D22" s="212"/>
      <c r="E22" s="261"/>
      <c r="F22" s="224" t="s">
        <v>1149</v>
      </c>
      <c r="G22" s="173" t="str">
        <f>$AI$20</f>
        <v>INDGWH</v>
      </c>
      <c r="H22" s="174"/>
      <c r="I22" s="174"/>
      <c r="K22" s="81"/>
      <c r="L22" s="333"/>
      <c r="M22" s="199"/>
      <c r="N22" s="81"/>
      <c r="O22" s="723"/>
      <c r="P22" s="723"/>
      <c r="Q22" s="81"/>
      <c r="R22" s="200"/>
      <c r="S22" s="772"/>
      <c r="T22" s="772"/>
      <c r="U22" s="199">
        <f ca="1">1-U21</f>
        <v>0.40476190476190477</v>
      </c>
      <c r="V22" s="772"/>
      <c r="W22" s="298"/>
      <c r="X22" s="698"/>
      <c r="Y22" s="81"/>
      <c r="Z22" s="81"/>
      <c r="AA22" s="81"/>
      <c r="AB22" s="81"/>
      <c r="AC22" s="226"/>
      <c r="AD22" s="81"/>
      <c r="AE22" s="81"/>
      <c r="AF22" s="220"/>
      <c r="AI22" s="224">
        <v>1</v>
      </c>
    </row>
    <row r="23" spans="2:42">
      <c r="B23" s="357" t="s">
        <v>999</v>
      </c>
      <c r="D23" s="212"/>
      <c r="E23" s="212"/>
      <c r="F23" s="224" t="s">
        <v>1149</v>
      </c>
      <c r="G23" s="173" t="s">
        <v>499</v>
      </c>
      <c r="H23" s="174" t="str">
        <f>$AI$14</f>
        <v>IGDPH</v>
      </c>
      <c r="I23" s="174"/>
      <c r="J23" s="224">
        <f t="shared" ref="J23" si="2">AD23</f>
        <v>2030</v>
      </c>
      <c r="K23" s="81"/>
      <c r="L23" s="333">
        <v>1</v>
      </c>
      <c r="M23" s="199">
        <f ca="1">VLOOKUP($AD23,INDIRECT("'"&amp;$B23&amp;"'!"&amp;"$P$39:$AD$42"),3,FALSE)</f>
        <v>1.69</v>
      </c>
      <c r="N23" s="81"/>
      <c r="O23" s="723">
        <f ca="1">VLOOKUP($AD23,INDIRECT("'"&amp;$B23&amp;"'!"&amp;"$P$39:$AD$42"),6,FALSE)/1000</f>
        <v>3.7995000000000001</v>
      </c>
      <c r="P23" s="723">
        <f ca="1">VLOOKUP($AD23,INDIRECT("'"&amp;$B23&amp;"'!"&amp;"$P$39:$AD$42"),7,FALSE)/1000</f>
        <v>1.49E-2</v>
      </c>
      <c r="Q23" s="81">
        <f ca="1">VLOOKUP($AD23,INDIRECT("'"&amp;$B23&amp;"'!"&amp;"$P$39:$AD$42"),8,FALSE)</f>
        <v>2.0694444444444446</v>
      </c>
      <c r="R23" s="300"/>
      <c r="S23" s="300"/>
      <c r="T23" s="300"/>
      <c r="U23" s="199">
        <f ca="1">1/M23</f>
        <v>0.59171597633136097</v>
      </c>
      <c r="V23" s="199"/>
      <c r="W23" s="298"/>
      <c r="X23" s="698">
        <f ca="1">IF(VLOOKUP($AD23,INDIRECT("'"&amp;$B23&amp;"'!"&amp;"$P$39:$AD$42"),11,FALSE)="Cf. the utilized electricity",0,VLOOKUP($AD23,INDIRECT("'"&amp;$B23&amp;"'!"&amp;"$P$39:$AD$42"),11,FALSE))</f>
        <v>0</v>
      </c>
      <c r="Y23" s="81">
        <f ca="1">VLOOKUP($AD23,INDIRECT("'"&amp;$B23&amp;"'!"&amp;"$P$39:$AD$42"),12,FALSE)</f>
        <v>0</v>
      </c>
      <c r="Z23" s="81">
        <f ca="1">VLOOKUP($AD23,INDIRECT("'"&amp;$B23&amp;"'!"&amp;"$P$39:$AD$42"),13,FALSE)</f>
        <v>0</v>
      </c>
      <c r="AA23" s="81">
        <f ca="1">VLOOKUP($AD23,INDIRECT("'"&amp;$B23&amp;"'!"&amp;"$P$39:$AD$42"),14,FALSE)</f>
        <v>0</v>
      </c>
      <c r="AB23" s="81">
        <f ca="1">VLOOKUP($AD23,INDIRECT("'"&amp;$B23&amp;"'!"&amp;"$P$39:$AD$42"),15,FALSE)</f>
        <v>0</v>
      </c>
      <c r="AC23" s="226"/>
      <c r="AD23" s="81">
        <v>2030</v>
      </c>
      <c r="AE23" s="81"/>
      <c r="AF23" s="220"/>
      <c r="AI23" s="224">
        <v>2</v>
      </c>
    </row>
    <row r="24" spans="2:42" ht="14.55" customHeight="1">
      <c r="B24" s="357" t="s">
        <v>999</v>
      </c>
      <c r="D24" s="212"/>
      <c r="E24" s="212"/>
      <c r="F24" s="224" t="s">
        <v>1149</v>
      </c>
      <c r="G24" s="173" t="str">
        <f>$AI$20</f>
        <v>INDGWH</v>
      </c>
      <c r="H24" s="174"/>
      <c r="I24" s="174"/>
      <c r="K24" s="81"/>
      <c r="L24" s="333"/>
      <c r="M24" s="199"/>
      <c r="N24" s="81"/>
      <c r="O24" s="723"/>
      <c r="P24" s="723"/>
      <c r="Q24" s="81"/>
      <c r="R24" s="300"/>
      <c r="S24" s="300"/>
      <c r="T24" s="300"/>
      <c r="U24" s="199">
        <f ca="1">1-U23</f>
        <v>0.40828402366863903</v>
      </c>
      <c r="V24" s="300"/>
      <c r="W24" s="298"/>
      <c r="X24" s="698"/>
      <c r="Y24" s="81"/>
      <c r="Z24" s="81"/>
      <c r="AA24" s="81"/>
      <c r="AB24" s="81"/>
      <c r="AC24" s="226"/>
      <c r="AD24" s="81"/>
      <c r="AE24" s="81"/>
      <c r="AF24" s="220"/>
      <c r="AI24" s="224">
        <v>3</v>
      </c>
    </row>
    <row r="25" spans="2:42" ht="14.55" customHeight="1">
      <c r="B25" s="357" t="s">
        <v>999</v>
      </c>
      <c r="D25" s="212"/>
      <c r="E25" s="212"/>
      <c r="F25" s="224" t="s">
        <v>1149</v>
      </c>
      <c r="G25" s="173" t="s">
        <v>499</v>
      </c>
      <c r="H25" s="174" t="str">
        <f>$AI$14</f>
        <v>IGDPH</v>
      </c>
      <c r="I25" s="174"/>
      <c r="J25" s="224">
        <f t="shared" ref="J25" si="3">AD25</f>
        <v>2050</v>
      </c>
      <c r="K25" s="81"/>
      <c r="L25" s="333">
        <v>1</v>
      </c>
      <c r="M25" s="199">
        <f ca="1">VLOOKUP($AD25,INDIRECT("'"&amp;$B25&amp;"'!"&amp;"$P$39:$AD$42"),3,FALSE)</f>
        <v>1.71</v>
      </c>
      <c r="N25" s="81"/>
      <c r="O25" s="723">
        <f ca="1">VLOOKUP($AD25,INDIRECT("'"&amp;$B25&amp;"'!"&amp;"$P$39:$AD$42"),6,FALSE)/1000</f>
        <v>3.427</v>
      </c>
      <c r="P25" s="723">
        <f ca="1">VLOOKUP($AD25,INDIRECT("'"&amp;$B25&amp;"'!"&amp;"$P$39:$AD$42"),7,FALSE)/1000</f>
        <v>1.49E-2</v>
      </c>
      <c r="Q25" s="81">
        <f ca="1">VLOOKUP($AD25,INDIRECT("'"&amp;$B25&amp;"'!"&amp;"$P$39:$AD$42"),8,FALSE)</f>
        <v>2.0487500000000001</v>
      </c>
      <c r="R25" s="300"/>
      <c r="S25" s="300"/>
      <c r="T25" s="300"/>
      <c r="U25" s="199">
        <f ca="1">1/M25</f>
        <v>0.58479532163742687</v>
      </c>
      <c r="V25" s="199"/>
      <c r="W25" s="298"/>
      <c r="X25" s="698">
        <f ca="1">IF(VLOOKUP($AD25,INDIRECT("'"&amp;$B25&amp;"'!"&amp;"$P$39:$AD$42"),11,FALSE)="Cf. the utilized electricity",0,VLOOKUP($AD25,INDIRECT("'"&amp;$B25&amp;"'!"&amp;"$P$39:$AD$42"),11,FALSE))</f>
        <v>0</v>
      </c>
      <c r="Y25" s="81">
        <f ca="1">VLOOKUP($AD25,INDIRECT("'"&amp;$B25&amp;"'!"&amp;"$P$39:$AD$42"),12,FALSE)</f>
        <v>0</v>
      </c>
      <c r="Z25" s="81">
        <f ca="1">VLOOKUP($AD25,INDIRECT("'"&amp;$B25&amp;"'!"&amp;"$P$39:$AD$42"),13,FALSE)</f>
        <v>0</v>
      </c>
      <c r="AA25" s="81">
        <f ca="1">VLOOKUP($AD25,INDIRECT("'"&amp;$B25&amp;"'!"&amp;"$P$39:$AD$42"),14,FALSE)</f>
        <v>0</v>
      </c>
      <c r="AB25" s="81">
        <f ca="1">VLOOKUP($AD25,INDIRECT("'"&amp;$B25&amp;"'!"&amp;"$P$39:$AD$42"),15,FALSE)</f>
        <v>0</v>
      </c>
      <c r="AC25" s="226"/>
      <c r="AD25" s="81">
        <v>2050</v>
      </c>
      <c r="AE25" s="81"/>
      <c r="AF25" s="220"/>
      <c r="AI25" s="224">
        <v>4</v>
      </c>
    </row>
    <row r="26" spans="2:42" ht="15" customHeight="1">
      <c r="B26" s="357" t="s">
        <v>999</v>
      </c>
      <c r="D26" s="212"/>
      <c r="E26" s="212"/>
      <c r="F26" s="224" t="s">
        <v>1149</v>
      </c>
      <c r="G26" s="173" t="str">
        <f>$AI$20</f>
        <v>INDGWH</v>
      </c>
      <c r="H26" s="174"/>
      <c r="I26" s="174"/>
      <c r="K26" s="81"/>
      <c r="L26" s="333"/>
      <c r="M26" s="199"/>
      <c r="N26" s="81"/>
      <c r="O26" s="723"/>
      <c r="P26" s="723"/>
      <c r="Q26" s="81"/>
      <c r="R26" s="300"/>
      <c r="S26" s="300"/>
      <c r="T26" s="300"/>
      <c r="U26" s="199">
        <f ca="1">1-U25</f>
        <v>0.41520467836257313</v>
      </c>
      <c r="V26" s="300"/>
      <c r="W26" s="298"/>
      <c r="X26" s="698"/>
      <c r="Y26" s="81"/>
      <c r="Z26" s="81"/>
      <c r="AA26" s="81"/>
      <c r="AB26" s="81"/>
      <c r="AC26" s="226"/>
      <c r="AD26" s="81"/>
      <c r="AE26" s="81"/>
      <c r="AF26" s="220"/>
      <c r="AI26" s="224">
        <v>5</v>
      </c>
      <c r="AJ26" s="224" t="s">
        <v>715</v>
      </c>
    </row>
    <row r="27" spans="2:42">
      <c r="B27" s="357" t="s">
        <v>999</v>
      </c>
      <c r="D27" s="212" t="str">
        <f>"IND"&amp;RIGHT(H27,4)&amp;RIGHT(G27,3)&amp;"N"&amp;RIGHT(E27,1)</f>
        <v>INDGDSHELCN2</v>
      </c>
      <c r="E27" s="261" t="str">
        <f>"Industrial heating technology "&amp;$AJ$12&amp;" "&amp;RIGHT(H27,2)&amp;" - Heat driven heat pump utilizing waste heat - new 2"</f>
        <v>Industrial heating technology Glass &amp; Concrete SH - Heat driven heat pump utilizing waste heat - new 2</v>
      </c>
      <c r="F27" s="224" t="s">
        <v>1149</v>
      </c>
      <c r="G27" s="173" t="s">
        <v>499</v>
      </c>
      <c r="H27" s="174" t="str">
        <f>$AI$15</f>
        <v>IGDSH</v>
      </c>
      <c r="I27" s="174"/>
      <c r="J27" s="224">
        <f t="shared" ref="J27" si="4">AD27</f>
        <v>2020</v>
      </c>
      <c r="K27" s="81">
        <v>2020</v>
      </c>
      <c r="L27" s="333">
        <v>1</v>
      </c>
      <c r="M27" s="199">
        <f ca="1">VLOOKUP($AD27,INDIRECT("'"&amp;$B27&amp;"'!"&amp;"$P$39:$AD$42"),3,FALSE)</f>
        <v>1.68</v>
      </c>
      <c r="N27" s="81">
        <f ca="1">VLOOKUP($AD27,INDIRECT("'"&amp;$B27&amp;"'!"&amp;"$P$39:$AD$42"),5,FALSE)</f>
        <v>20</v>
      </c>
      <c r="O27" s="723">
        <f ca="1">VLOOKUP($AD27,INDIRECT("'"&amp;$B27&amp;"'!"&amp;"$P$39:$AD$42"),6,FALSE)/1000</f>
        <v>4.1720000000000006</v>
      </c>
      <c r="P27" s="723">
        <f ca="1">VLOOKUP($AD27,INDIRECT("'"&amp;$B27&amp;"'!"&amp;"$P$39:$AD$42"),7,FALSE)/1000</f>
        <v>1.49E-2</v>
      </c>
      <c r="Q27" s="81">
        <f ca="1">VLOOKUP($AD27,INDIRECT("'"&amp;$B27&amp;"'!"&amp;"$P$39:$AD$42"),8,FALSE)</f>
        <v>2.0901388888888892</v>
      </c>
      <c r="R27" s="81">
        <v>3.1536000000000002E-2</v>
      </c>
      <c r="S27" s="199">
        <v>0.5</v>
      </c>
      <c r="T27" s="199">
        <f ca="1">HLOOKUP($T$2,INDIRECT("'"&amp;$B27&amp;"'!"&amp;"$P$6:$AC$19"),IF(H27=$AI$13,6,IF(H27=$AI$14,9,14)),FALSE)</f>
        <v>1</v>
      </c>
      <c r="U27" s="199">
        <f ca="1">1/M27</f>
        <v>0.59523809523809523</v>
      </c>
      <c r="V27" s="199"/>
      <c r="W27" s="298"/>
      <c r="X27" s="698">
        <f ca="1">IF(VLOOKUP($AD27,INDIRECT("'"&amp;$B27&amp;"'!"&amp;"$P$39:$AD$42"),11,FALSE)="Cf. the utilized electricity",0,VLOOKUP($AD27,INDIRECT("'"&amp;$B27&amp;"'!"&amp;"$P$39:$AD$42"),11,FALSE))</f>
        <v>0</v>
      </c>
      <c r="Y27" s="81">
        <f ca="1">VLOOKUP($AD27,INDIRECT("'"&amp;$B27&amp;"'!"&amp;"$P$39:$AD$42"),12,FALSE)</f>
        <v>0</v>
      </c>
      <c r="Z27" s="81">
        <f ca="1">VLOOKUP($AD27,INDIRECT("'"&amp;$B27&amp;"'!"&amp;"$P$39:$AD$42"),13,FALSE)</f>
        <v>0</v>
      </c>
      <c r="AA27" s="81">
        <f ca="1">VLOOKUP($AD27,INDIRECT("'"&amp;$B27&amp;"'!"&amp;"$P$39:$AD$42"),14,FALSE)</f>
        <v>0</v>
      </c>
      <c r="AB27" s="81">
        <f ca="1">VLOOKUP($AD27,INDIRECT("'"&amp;$B27&amp;"'!"&amp;"$P$39:$AD$42"),15,FALSE)</f>
        <v>0</v>
      </c>
      <c r="AD27" s="81">
        <v>2020</v>
      </c>
      <c r="AE27" s="81"/>
      <c r="AF27" s="220"/>
      <c r="AI27" s="224">
        <v>6</v>
      </c>
    </row>
    <row r="28" spans="2:42" ht="15" customHeight="1">
      <c r="B28" s="357" t="s">
        <v>999</v>
      </c>
      <c r="D28" s="212"/>
      <c r="E28" s="261"/>
      <c r="F28" s="224" t="s">
        <v>1149</v>
      </c>
      <c r="G28" s="173" t="str">
        <f>$AI$20</f>
        <v>INDGWH</v>
      </c>
      <c r="H28" s="174"/>
      <c r="I28" s="174"/>
      <c r="K28" s="81"/>
      <c r="L28" s="333"/>
      <c r="M28" s="199"/>
      <c r="N28" s="81"/>
      <c r="O28" s="723"/>
      <c r="P28" s="723"/>
      <c r="Q28" s="81"/>
      <c r="R28" s="200"/>
      <c r="S28" s="772"/>
      <c r="T28" s="772"/>
      <c r="U28" s="199">
        <f ca="1">1-U27</f>
        <v>0.40476190476190477</v>
      </c>
      <c r="V28" s="772"/>
      <c r="W28" s="298"/>
      <c r="X28" s="698"/>
      <c r="Y28" s="81"/>
      <c r="Z28" s="81"/>
      <c r="AA28" s="81"/>
      <c r="AB28" s="81"/>
      <c r="AD28" s="81"/>
      <c r="AE28" s="81"/>
      <c r="AF28" s="220"/>
      <c r="AI28" s="224">
        <v>7</v>
      </c>
      <c r="AJ28" s="224" t="s">
        <v>716</v>
      </c>
    </row>
    <row r="29" spans="2:42">
      <c r="B29" s="357" t="s">
        <v>999</v>
      </c>
      <c r="D29" s="212"/>
      <c r="E29" s="212"/>
      <c r="F29" s="224" t="s">
        <v>1149</v>
      </c>
      <c r="G29" s="173" t="s">
        <v>499</v>
      </c>
      <c r="H29" s="174" t="str">
        <f>$AI$15</f>
        <v>IGDSH</v>
      </c>
      <c r="I29" s="174"/>
      <c r="J29" s="224">
        <f t="shared" ref="J29" si="5">AD29</f>
        <v>2030</v>
      </c>
      <c r="K29" s="81"/>
      <c r="L29" s="333">
        <v>1</v>
      </c>
      <c r="M29" s="199">
        <f ca="1">VLOOKUP($AD29,INDIRECT("'"&amp;$B29&amp;"'!"&amp;"$P$39:$AD$42"),3,FALSE)</f>
        <v>1.69</v>
      </c>
      <c r="N29" s="81"/>
      <c r="O29" s="723">
        <f ca="1">VLOOKUP($AD29,INDIRECT("'"&amp;$B29&amp;"'!"&amp;"$P$39:$AD$42"),6,FALSE)/1000</f>
        <v>3.7995000000000001</v>
      </c>
      <c r="P29" s="723">
        <f ca="1">VLOOKUP($AD29,INDIRECT("'"&amp;$B29&amp;"'!"&amp;"$P$39:$AD$42"),7,FALSE)/1000</f>
        <v>1.49E-2</v>
      </c>
      <c r="Q29" s="81">
        <f ca="1">VLOOKUP($AD29,INDIRECT("'"&amp;$B29&amp;"'!"&amp;"$P$39:$AD$42"),8,FALSE)</f>
        <v>2.0694444444444446</v>
      </c>
      <c r="R29" s="300"/>
      <c r="S29" s="300"/>
      <c r="T29" s="300"/>
      <c r="U29" s="199">
        <f ca="1">1/M29</f>
        <v>0.59171597633136097</v>
      </c>
      <c r="V29" s="199"/>
      <c r="W29" s="298"/>
      <c r="X29" s="698">
        <f ca="1">IF(VLOOKUP($AD29,INDIRECT("'"&amp;$B29&amp;"'!"&amp;"$P$39:$AD$42"),11,FALSE)="Cf. the utilized electricity",0,VLOOKUP($AD29,INDIRECT("'"&amp;$B29&amp;"'!"&amp;"$P$39:$AD$42"),11,FALSE))</f>
        <v>0</v>
      </c>
      <c r="Y29" s="81">
        <f ca="1">VLOOKUP($AD29,INDIRECT("'"&amp;$B29&amp;"'!"&amp;"$P$39:$AD$42"),12,FALSE)</f>
        <v>0</v>
      </c>
      <c r="Z29" s="81">
        <f ca="1">VLOOKUP($AD29,INDIRECT("'"&amp;$B29&amp;"'!"&amp;"$P$39:$AD$42"),13,FALSE)</f>
        <v>0</v>
      </c>
      <c r="AA29" s="81">
        <f ca="1">VLOOKUP($AD29,INDIRECT("'"&amp;$B29&amp;"'!"&amp;"$P$39:$AD$42"),14,FALSE)</f>
        <v>0</v>
      </c>
      <c r="AB29" s="81">
        <f ca="1">VLOOKUP($AD29,INDIRECT("'"&amp;$B29&amp;"'!"&amp;"$P$39:$AD$42"),15,FALSE)</f>
        <v>0</v>
      </c>
      <c r="AD29" s="81">
        <v>2030</v>
      </c>
      <c r="AE29" s="81"/>
      <c r="AF29" s="220"/>
      <c r="AI29" s="224">
        <v>8</v>
      </c>
    </row>
    <row r="30" spans="2:42" ht="15" customHeight="1">
      <c r="B30" s="357" t="s">
        <v>999</v>
      </c>
      <c r="D30" s="212"/>
      <c r="E30" s="212"/>
      <c r="F30" s="224" t="s">
        <v>1149</v>
      </c>
      <c r="G30" s="173" t="str">
        <f>$AI$20</f>
        <v>INDGWH</v>
      </c>
      <c r="H30" s="174"/>
      <c r="I30" s="174"/>
      <c r="K30" s="81"/>
      <c r="L30" s="333"/>
      <c r="M30" s="199"/>
      <c r="N30" s="81"/>
      <c r="O30" s="723"/>
      <c r="P30" s="723"/>
      <c r="Q30" s="81"/>
      <c r="R30" s="300"/>
      <c r="S30" s="300"/>
      <c r="T30" s="300"/>
      <c r="U30" s="199">
        <f ca="1">1-U29</f>
        <v>0.40828402366863903</v>
      </c>
      <c r="V30" s="300"/>
      <c r="W30" s="298"/>
      <c r="X30" s="698"/>
      <c r="Y30" s="81"/>
      <c r="Z30" s="81"/>
      <c r="AA30" s="81"/>
      <c r="AB30" s="81"/>
      <c r="AD30" s="81"/>
      <c r="AE30" s="81"/>
      <c r="AF30" s="220"/>
      <c r="AI30" s="224">
        <v>9</v>
      </c>
      <c r="AJ30" s="224" t="s">
        <v>717</v>
      </c>
    </row>
    <row r="31" spans="2:42">
      <c r="B31" s="357" t="s">
        <v>999</v>
      </c>
      <c r="D31" s="212"/>
      <c r="E31" s="212"/>
      <c r="F31" s="224" t="s">
        <v>1149</v>
      </c>
      <c r="G31" s="173" t="s">
        <v>499</v>
      </c>
      <c r="H31" s="174" t="str">
        <f>$AI$15</f>
        <v>IGDSH</v>
      </c>
      <c r="I31" s="174"/>
      <c r="J31" s="224">
        <f t="shared" ref="J31" si="6">AD31</f>
        <v>2050</v>
      </c>
      <c r="K31" s="81"/>
      <c r="L31" s="333">
        <v>1</v>
      </c>
      <c r="M31" s="199">
        <f ca="1">VLOOKUP($AD31,INDIRECT("'"&amp;$B31&amp;"'!"&amp;"$P$39:$AD$42"),3,FALSE)</f>
        <v>1.71</v>
      </c>
      <c r="N31" s="81"/>
      <c r="O31" s="723">
        <f ca="1">VLOOKUP($AD31,INDIRECT("'"&amp;$B31&amp;"'!"&amp;"$P$39:$AD$42"),6,FALSE)/1000</f>
        <v>3.427</v>
      </c>
      <c r="P31" s="723">
        <f ca="1">VLOOKUP($AD31,INDIRECT("'"&amp;$B31&amp;"'!"&amp;"$P$39:$AD$42"),7,FALSE)/1000</f>
        <v>1.49E-2</v>
      </c>
      <c r="Q31" s="81">
        <f ca="1">VLOOKUP($AD31,INDIRECT("'"&amp;$B31&amp;"'!"&amp;"$P$39:$AD$42"),8,FALSE)</f>
        <v>2.0487500000000001</v>
      </c>
      <c r="R31" s="300"/>
      <c r="S31" s="300"/>
      <c r="T31" s="300"/>
      <c r="U31" s="199">
        <f ca="1">1/M31</f>
        <v>0.58479532163742687</v>
      </c>
      <c r="V31" s="199"/>
      <c r="W31" s="298"/>
      <c r="X31" s="698">
        <f ca="1">IF(VLOOKUP($AD31,INDIRECT("'"&amp;$B31&amp;"'!"&amp;"$P$39:$AD$42"),11,FALSE)="Cf. the utilized electricity",0,VLOOKUP($AD31,INDIRECT("'"&amp;$B31&amp;"'!"&amp;"$P$39:$AD$42"),11,FALSE))</f>
        <v>0</v>
      </c>
      <c r="Y31" s="81">
        <f ca="1">VLOOKUP($AD31,INDIRECT("'"&amp;$B31&amp;"'!"&amp;"$P$39:$AD$42"),12,FALSE)</f>
        <v>0</v>
      </c>
      <c r="Z31" s="81">
        <f ca="1">VLOOKUP($AD31,INDIRECT("'"&amp;$B31&amp;"'!"&amp;"$P$39:$AD$42"),13,FALSE)</f>
        <v>0</v>
      </c>
      <c r="AA31" s="81">
        <f ca="1">VLOOKUP($AD31,INDIRECT("'"&amp;$B31&amp;"'!"&amp;"$P$39:$AD$42"),14,FALSE)</f>
        <v>0</v>
      </c>
      <c r="AB31" s="81">
        <f ca="1">VLOOKUP($AD31,INDIRECT("'"&amp;$B31&amp;"'!"&amp;"$P$39:$AD$42"),15,FALSE)</f>
        <v>0</v>
      </c>
      <c r="AD31" s="81">
        <v>2050</v>
      </c>
      <c r="AE31" s="81"/>
      <c r="AF31" s="220"/>
      <c r="AI31" s="224">
        <v>10</v>
      </c>
    </row>
    <row r="32" spans="2:42">
      <c r="B32" s="357" t="s">
        <v>999</v>
      </c>
      <c r="D32" s="212"/>
      <c r="E32" s="212"/>
      <c r="F32" s="224" t="s">
        <v>1149</v>
      </c>
      <c r="G32" s="173" t="str">
        <f>$AI$20</f>
        <v>INDGWH</v>
      </c>
      <c r="H32" s="174"/>
      <c r="I32" s="174"/>
      <c r="K32" s="81"/>
      <c r="L32" s="333"/>
      <c r="M32" s="199"/>
      <c r="N32" s="81"/>
      <c r="O32" s="723"/>
      <c r="P32" s="723"/>
      <c r="Q32" s="81"/>
      <c r="R32" s="300"/>
      <c r="S32" s="300"/>
      <c r="T32" s="300"/>
      <c r="U32" s="199">
        <f ca="1">1-U31</f>
        <v>0.41520467836257313</v>
      </c>
      <c r="V32" s="300"/>
      <c r="W32" s="298"/>
      <c r="X32" s="698"/>
      <c r="Y32" s="81"/>
      <c r="Z32" s="81"/>
      <c r="AA32" s="81"/>
      <c r="AB32" s="81"/>
      <c r="AD32" s="81"/>
      <c r="AE32" s="81"/>
      <c r="AF32" s="220"/>
      <c r="AI32" s="224">
        <v>11</v>
      </c>
      <c r="AJ32" s="224" t="s">
        <v>718</v>
      </c>
    </row>
    <row r="33" spans="2:36">
      <c r="B33" s="357" t="s">
        <v>1000</v>
      </c>
      <c r="D33" s="212" t="str">
        <f>"IND"&amp;RIGHT(H33,4)&amp;RIGHT(G33,3)&amp;"N"&amp;RIGHT(E33,1)</f>
        <v>INDGDPHELCN3</v>
      </c>
      <c r="E33" s="261" t="str">
        <f>"Industrial heating technology "&amp;$AJ$12&amp;" "&amp;RIGHT(H33,2)&amp;" - High Temp abs. Heat pump utilizing waste heat - new 3"</f>
        <v>Industrial heating technology Glass &amp; Concrete PH - High Temp abs. Heat pump utilizing waste heat - new 3</v>
      </c>
      <c r="F33" s="224" t="s">
        <v>1149</v>
      </c>
      <c r="G33" s="173" t="s">
        <v>499</v>
      </c>
      <c r="H33" s="174" t="str">
        <f>$AI$14</f>
        <v>IGDPH</v>
      </c>
      <c r="I33" s="174"/>
      <c r="J33" s="224">
        <f t="shared" ref="J33" si="7">AD33</f>
        <v>2020</v>
      </c>
      <c r="K33" s="81">
        <v>2020</v>
      </c>
      <c r="L33" s="333">
        <v>1</v>
      </c>
      <c r="M33" s="199">
        <f ca="1">VLOOKUP($AD33,INDIRECT("'"&amp;$B33&amp;"'!"&amp;"$P$39:$AD$42"),3,FALSE)</f>
        <v>2.75</v>
      </c>
      <c r="N33" s="81">
        <f ca="1">VLOOKUP($AD33,INDIRECT("'"&amp;$B33&amp;"'!"&amp;"$P$39:$AD$42"),5,FALSE)</f>
        <v>20</v>
      </c>
      <c r="O33" s="723">
        <f ca="1">VLOOKUP($AD33,INDIRECT("'"&amp;$B33&amp;"'!"&amp;"$P$39:$AD$42"),6,FALSE)/1000</f>
        <v>7.1394840000000004</v>
      </c>
      <c r="P33" s="723">
        <f ca="1">VLOOKUP($AD33,INDIRECT("'"&amp;$B33&amp;"'!"&amp;"$P$39:$AD$42"),7,FALSE)/1000</f>
        <v>7.2264999999999994E-3</v>
      </c>
      <c r="Q33" s="81">
        <f ca="1">VLOOKUP($AD33,INDIRECT("'"&amp;$B33&amp;"'!"&amp;"$P$39:$AD$42"),8,FALSE)</f>
        <v>6.7463888888888883</v>
      </c>
      <c r="R33" s="81">
        <v>3.1536000000000002E-2</v>
      </c>
      <c r="S33" s="199">
        <v>0.5</v>
      </c>
      <c r="T33" s="199">
        <f ca="1">HLOOKUP($T$2,INDIRECT("'"&amp;$B33&amp;"'!"&amp;"$P$6:$AC$19"),IF(H33=$AI$13,6,IF(H33=$AI$14,9,14)),FALSE)-T9</f>
        <v>0</v>
      </c>
      <c r="U33" s="199">
        <f ca="1">1/M33</f>
        <v>0.36363636363636365</v>
      </c>
      <c r="V33" s="199"/>
      <c r="W33" s="298"/>
      <c r="X33" s="698">
        <f ca="1">IF(VLOOKUP($AD33,INDIRECT("'"&amp;$B33&amp;"'!"&amp;"$P$39:$AD$42"),11,FALSE)="Cf. the utilized electricity",0,VLOOKUP($AD33,INDIRECT("'"&amp;$B33&amp;"'!"&amp;"$P$39:$AD$42"),11,FALSE))</f>
        <v>0</v>
      </c>
      <c r="Y33" s="81">
        <f ca="1">VLOOKUP($AD33,INDIRECT("'"&amp;$B33&amp;"'!"&amp;"$P$39:$AD$42"),12,FALSE)</f>
        <v>0</v>
      </c>
      <c r="Z33" s="81">
        <f ca="1">VLOOKUP($AD33,INDIRECT("'"&amp;$B33&amp;"'!"&amp;"$P$39:$AD$42"),13,FALSE)</f>
        <v>0</v>
      </c>
      <c r="AA33" s="81">
        <f ca="1">VLOOKUP($AD33,INDIRECT("'"&amp;$B33&amp;"'!"&amp;"$P$39:$AD$42"),14,FALSE)</f>
        <v>0</v>
      </c>
      <c r="AB33" s="81">
        <f ca="1">VLOOKUP($AD33,INDIRECT("'"&amp;$B33&amp;"'!"&amp;"$P$39:$AD$42"),15,FALSE)</f>
        <v>0</v>
      </c>
      <c r="AD33" s="81">
        <v>2020</v>
      </c>
      <c r="AE33" s="81"/>
      <c r="AF33" s="220"/>
      <c r="AI33" s="224">
        <v>12</v>
      </c>
    </row>
    <row r="34" spans="2:36">
      <c r="B34" s="357" t="s">
        <v>1000</v>
      </c>
      <c r="D34" s="212"/>
      <c r="E34" s="261"/>
      <c r="F34" s="224" t="s">
        <v>1149</v>
      </c>
      <c r="G34" s="173" t="str">
        <f>$AI$20</f>
        <v>INDGWH</v>
      </c>
      <c r="H34" s="174"/>
      <c r="I34" s="174"/>
      <c r="K34" s="81"/>
      <c r="L34" s="333"/>
      <c r="M34" s="199"/>
      <c r="N34" s="81"/>
      <c r="O34" s="723"/>
      <c r="P34" s="723"/>
      <c r="Q34" s="81"/>
      <c r="R34" s="200"/>
      <c r="S34" s="772"/>
      <c r="T34" s="772"/>
      <c r="U34" s="199">
        <f ca="1">1-U33</f>
        <v>0.63636363636363635</v>
      </c>
      <c r="V34" s="772"/>
      <c r="W34" s="298"/>
      <c r="X34" s="698"/>
      <c r="Y34" s="81"/>
      <c r="Z34" s="81"/>
      <c r="AA34" s="81"/>
      <c r="AB34" s="81"/>
      <c r="AD34" s="81"/>
      <c r="AE34" s="81"/>
      <c r="AF34" s="220"/>
      <c r="AI34" s="224">
        <v>13</v>
      </c>
      <c r="AJ34" s="224" t="s">
        <v>719</v>
      </c>
    </row>
    <row r="35" spans="2:36">
      <c r="B35" s="357" t="s">
        <v>1000</v>
      </c>
      <c r="D35" s="212"/>
      <c r="E35" s="212"/>
      <c r="F35" s="224" t="s">
        <v>1149</v>
      </c>
      <c r="G35" s="173" t="s">
        <v>499</v>
      </c>
      <c r="H35" s="174" t="str">
        <f>$AI$14</f>
        <v>IGDPH</v>
      </c>
      <c r="I35" s="174"/>
      <c r="J35" s="224">
        <f t="shared" ref="J35" si="8">AD35</f>
        <v>2030</v>
      </c>
      <c r="K35" s="81"/>
      <c r="L35" s="333">
        <v>1</v>
      </c>
      <c r="M35" s="199">
        <f ca="1">VLOOKUP($AD35,INDIRECT("'"&amp;$B35&amp;"'!"&amp;"$P$39:$AD$42"),3,FALSE)</f>
        <v>2.875</v>
      </c>
      <c r="N35" s="81"/>
      <c r="O35" s="723">
        <f ca="1">VLOOKUP($AD35,INDIRECT("'"&amp;$B35&amp;"'!"&amp;"$P$39:$AD$42"),6,FALSE)/1000</f>
        <v>6.3822660000000013</v>
      </c>
      <c r="P35" s="723">
        <f ca="1">VLOOKUP($AD35,INDIRECT("'"&amp;$B35&amp;"'!"&amp;"$P$39:$AD$42"),7,FALSE)/1000</f>
        <v>6.4814999999999994E-3</v>
      </c>
      <c r="Q35" s="81">
        <f ca="1">VLOOKUP($AD35,INDIRECT("'"&amp;$B35&amp;"'!"&amp;"$P$39:$AD$42"),8,FALSE)</f>
        <v>6.6222222222222227</v>
      </c>
      <c r="R35" s="300"/>
      <c r="S35" s="300"/>
      <c r="T35" s="300"/>
      <c r="U35" s="199">
        <f ca="1">1/M35</f>
        <v>0.34782608695652173</v>
      </c>
      <c r="V35" s="199"/>
      <c r="W35" s="298"/>
      <c r="X35" s="698">
        <f ca="1">IF(VLOOKUP($AD35,INDIRECT("'"&amp;$B35&amp;"'!"&amp;"$P$39:$AD$42"),11,FALSE)="Cf. the utilized electricity",0,VLOOKUP($AD35,INDIRECT("'"&amp;$B35&amp;"'!"&amp;"$P$39:$AD$42"),11,FALSE))</f>
        <v>0</v>
      </c>
      <c r="Y35" s="81">
        <f ca="1">VLOOKUP($AD35,INDIRECT("'"&amp;$B35&amp;"'!"&amp;"$P$39:$AD$42"),12,FALSE)</f>
        <v>0</v>
      </c>
      <c r="Z35" s="81">
        <f ca="1">VLOOKUP($AD35,INDIRECT("'"&amp;$B35&amp;"'!"&amp;"$P$39:$AD$42"),13,FALSE)</f>
        <v>0</v>
      </c>
      <c r="AA35" s="81">
        <f ca="1">VLOOKUP($AD35,INDIRECT("'"&amp;$B35&amp;"'!"&amp;"$P$39:$AD$42"),14,FALSE)</f>
        <v>0</v>
      </c>
      <c r="AB35" s="81">
        <f ca="1">VLOOKUP($AD35,INDIRECT("'"&amp;$B35&amp;"'!"&amp;"$P$39:$AD$42"),15,FALSE)</f>
        <v>0</v>
      </c>
      <c r="AD35" s="81">
        <v>2030</v>
      </c>
      <c r="AE35" s="81"/>
      <c r="AF35" s="220"/>
      <c r="AI35" s="224">
        <v>14</v>
      </c>
    </row>
    <row r="36" spans="2:36">
      <c r="B36" s="357" t="s">
        <v>1000</v>
      </c>
      <c r="D36" s="212"/>
      <c r="E36" s="212"/>
      <c r="F36" s="224" t="s">
        <v>1149</v>
      </c>
      <c r="G36" s="173" t="str">
        <f>$AI$20</f>
        <v>INDGWH</v>
      </c>
      <c r="H36" s="174"/>
      <c r="I36" s="174"/>
      <c r="K36" s="81"/>
      <c r="L36" s="333"/>
      <c r="M36" s="199"/>
      <c r="N36" s="81"/>
      <c r="O36" s="723"/>
      <c r="P36" s="723"/>
      <c r="Q36" s="81"/>
      <c r="R36" s="300"/>
      <c r="S36" s="300"/>
      <c r="T36" s="300"/>
      <c r="U36" s="199">
        <f ca="1">1-U35</f>
        <v>0.65217391304347827</v>
      </c>
      <c r="V36" s="300"/>
      <c r="W36" s="298"/>
      <c r="X36" s="698"/>
      <c r="Y36" s="81"/>
      <c r="Z36" s="81"/>
      <c r="AA36" s="81"/>
      <c r="AB36" s="81"/>
      <c r="AD36" s="81"/>
      <c r="AE36" s="81"/>
      <c r="AF36" s="220"/>
    </row>
    <row r="37" spans="2:36">
      <c r="B37" s="357" t="s">
        <v>1000</v>
      </c>
      <c r="D37" s="212"/>
      <c r="E37" s="212"/>
      <c r="F37" s="224" t="s">
        <v>1149</v>
      </c>
      <c r="G37" s="173" t="s">
        <v>499</v>
      </c>
      <c r="H37" s="174" t="str">
        <f>$AI$14</f>
        <v>IGDPH</v>
      </c>
      <c r="I37" s="174"/>
      <c r="J37" s="224">
        <f t="shared" ref="J37" si="9">AD37</f>
        <v>2050</v>
      </c>
      <c r="K37" s="81"/>
      <c r="L37" s="333">
        <v>1</v>
      </c>
      <c r="M37" s="199">
        <f ca="1">VLOOKUP($AD37,INDIRECT("'"&amp;$B37&amp;"'!"&amp;"$P$39:$AD$42"),3,FALSE)</f>
        <v>3.0249999999999999</v>
      </c>
      <c r="N37" s="81"/>
      <c r="O37" s="723">
        <f ca="1">VLOOKUP($AD37,INDIRECT("'"&amp;$B37&amp;"'!"&amp;"$P$39:$AD$42"),6,FALSE)/1000</f>
        <v>5.7365000000000004</v>
      </c>
      <c r="P37" s="723">
        <f ca="1">VLOOKUP($AD37,INDIRECT("'"&amp;$B37&amp;"'!"&amp;"$P$39:$AD$42"),7,FALSE)/1000</f>
        <v>5.3639999999999998E-3</v>
      </c>
      <c r="Q37" s="81">
        <f ca="1">VLOOKUP($AD37,INDIRECT("'"&amp;$B37&amp;"'!"&amp;"$P$39:$AD$42"),8,FALSE)</f>
        <v>6.4566666666666661</v>
      </c>
      <c r="R37" s="300"/>
      <c r="S37" s="300"/>
      <c r="T37" s="300"/>
      <c r="U37" s="199">
        <f ca="1">1/M37</f>
        <v>0.33057851239669422</v>
      </c>
      <c r="V37" s="199"/>
      <c r="W37" s="298"/>
      <c r="X37" s="698">
        <f ca="1">IF(VLOOKUP($AD37,INDIRECT("'"&amp;$B37&amp;"'!"&amp;"$P$39:$AD$42"),11,FALSE)="Cf. the utilized electricity",0,VLOOKUP($AD37,INDIRECT("'"&amp;$B37&amp;"'!"&amp;"$P$39:$AD$42"),11,FALSE))</f>
        <v>0</v>
      </c>
      <c r="Y37" s="81">
        <f ca="1">VLOOKUP($AD37,INDIRECT("'"&amp;$B37&amp;"'!"&amp;"$P$39:$AD$42"),12,FALSE)</f>
        <v>0</v>
      </c>
      <c r="Z37" s="81">
        <f ca="1">VLOOKUP($AD37,INDIRECT("'"&amp;$B37&amp;"'!"&amp;"$P$39:$AD$42"),13,FALSE)</f>
        <v>0</v>
      </c>
      <c r="AA37" s="81">
        <f ca="1">VLOOKUP($AD37,INDIRECT("'"&amp;$B37&amp;"'!"&amp;"$P$39:$AD$42"),14,FALSE)</f>
        <v>0</v>
      </c>
      <c r="AB37" s="81">
        <f ca="1">VLOOKUP($AD37,INDIRECT("'"&amp;$B37&amp;"'!"&amp;"$P$39:$AD$42"),15,FALSE)</f>
        <v>0</v>
      </c>
      <c r="AD37" s="81">
        <v>2050</v>
      </c>
      <c r="AE37" s="81"/>
      <c r="AF37" s="220"/>
    </row>
    <row r="38" spans="2:36">
      <c r="B38" s="357" t="s">
        <v>1000</v>
      </c>
      <c r="D38" s="212"/>
      <c r="E38" s="212"/>
      <c r="F38" s="224" t="s">
        <v>1149</v>
      </c>
      <c r="G38" s="173" t="str">
        <f>$AI$20</f>
        <v>INDGWH</v>
      </c>
      <c r="H38" s="174"/>
      <c r="I38" s="174"/>
      <c r="K38" s="81"/>
      <c r="L38" s="333"/>
      <c r="M38" s="199"/>
      <c r="N38" s="81"/>
      <c r="O38" s="723"/>
      <c r="P38" s="723"/>
      <c r="Q38" s="81"/>
      <c r="R38" s="300"/>
      <c r="S38" s="300"/>
      <c r="T38" s="300"/>
      <c r="U38" s="199">
        <f ca="1">1-U37</f>
        <v>0.66942148760330578</v>
      </c>
      <c r="V38" s="300"/>
      <c r="W38" s="298"/>
      <c r="X38" s="698"/>
      <c r="Y38" s="81"/>
      <c r="Z38" s="81"/>
      <c r="AA38" s="81"/>
      <c r="AB38" s="81"/>
      <c r="AD38" s="81"/>
      <c r="AE38" s="81"/>
      <c r="AF38" s="220"/>
    </row>
    <row r="39" spans="2:36">
      <c r="B39" s="357" t="s">
        <v>1000</v>
      </c>
      <c r="D39" s="212" t="str">
        <f>"IND"&amp;RIGHT(H39,4)&amp;RIGHT(G39,3)&amp;"N"&amp;RIGHT(E39,1)</f>
        <v>INDGDSHELCN3</v>
      </c>
      <c r="E39" s="261" t="str">
        <f>"Industrial heating technology "&amp;$AJ$12&amp;" "&amp;RIGHT(H39,2)&amp;" - High Temp abs. Heat pump utilizing waste heat - new 3"</f>
        <v>Industrial heating technology Glass &amp; Concrete SH - High Temp abs. Heat pump utilizing waste heat - new 3</v>
      </c>
      <c r="F39" s="224" t="s">
        <v>1149</v>
      </c>
      <c r="G39" s="173" t="s">
        <v>499</v>
      </c>
      <c r="H39" s="174" t="str">
        <f>$AI$15</f>
        <v>IGDSH</v>
      </c>
      <c r="I39" s="174"/>
      <c r="J39" s="224">
        <f t="shared" ref="J39" si="10">AD39</f>
        <v>2020</v>
      </c>
      <c r="K39" s="81">
        <v>2020</v>
      </c>
      <c r="L39" s="333">
        <v>1</v>
      </c>
      <c r="M39" s="199">
        <f ca="1">VLOOKUP($AD39,INDIRECT("'"&amp;$B39&amp;"'!"&amp;"$P$39:$AD$42"),3,FALSE)</f>
        <v>2.75</v>
      </c>
      <c r="N39" s="81">
        <f ca="1">VLOOKUP($AD39,INDIRECT("'"&amp;$B39&amp;"'!"&amp;"$P$39:$AD$42"),5,FALSE)</f>
        <v>20</v>
      </c>
      <c r="O39" s="723">
        <f ca="1">VLOOKUP($AD39,INDIRECT("'"&amp;$B39&amp;"'!"&amp;"$P$39:$AD$42"),6,FALSE)/1000</f>
        <v>7.1394840000000004</v>
      </c>
      <c r="P39" s="723">
        <f ca="1">VLOOKUP($AD39,INDIRECT("'"&amp;$B39&amp;"'!"&amp;"$P$39:$AD$42"),7,FALSE)/1000</f>
        <v>7.2264999999999994E-3</v>
      </c>
      <c r="Q39" s="81">
        <f ca="1">VLOOKUP($AD39,INDIRECT("'"&amp;$B39&amp;"'!"&amp;"$P$39:$AD$42"),8,FALSE)</f>
        <v>6.7463888888888883</v>
      </c>
      <c r="R39" s="81">
        <v>3.1536000000000002E-2</v>
      </c>
      <c r="S39" s="199">
        <v>0.5</v>
      </c>
      <c r="T39" s="199">
        <f ca="1">HLOOKUP($T$2,INDIRECT("'"&amp;$B39&amp;"'!"&amp;"$P$6:$AC$19"),IF(H39=$AI$13,6,IF(H39=$AI$14,9,14)),FALSE)</f>
        <v>1</v>
      </c>
      <c r="U39" s="199">
        <f ca="1">1/M39</f>
        <v>0.36363636363636365</v>
      </c>
      <c r="V39" s="199"/>
      <c r="W39" s="298"/>
      <c r="X39" s="698">
        <f ca="1">IF(VLOOKUP($AD39,INDIRECT("'"&amp;$B39&amp;"'!"&amp;"$P$39:$AD$42"),11,FALSE)="Cf. the utilized electricity",0,VLOOKUP($AD39,INDIRECT("'"&amp;$B39&amp;"'!"&amp;"$P$39:$AD$42"),11,FALSE))</f>
        <v>0</v>
      </c>
      <c r="Y39" s="81">
        <f ca="1">VLOOKUP($AD39,INDIRECT("'"&amp;$B39&amp;"'!"&amp;"$P$39:$AD$42"),12,FALSE)</f>
        <v>0</v>
      </c>
      <c r="Z39" s="81">
        <f ca="1">VLOOKUP($AD39,INDIRECT("'"&amp;$B39&amp;"'!"&amp;"$P$39:$AD$42"),13,FALSE)</f>
        <v>0</v>
      </c>
      <c r="AA39" s="81">
        <f ca="1">VLOOKUP($AD39,INDIRECT("'"&amp;$B39&amp;"'!"&amp;"$P$39:$AD$42"),14,FALSE)</f>
        <v>0</v>
      </c>
      <c r="AB39" s="81">
        <f ca="1">VLOOKUP($AD39,INDIRECT("'"&amp;$B39&amp;"'!"&amp;"$P$39:$AD$42"),15,FALSE)</f>
        <v>0</v>
      </c>
      <c r="AD39" s="81">
        <v>2020</v>
      </c>
      <c r="AE39" s="81"/>
      <c r="AF39" s="220"/>
    </row>
    <row r="40" spans="2:36">
      <c r="B40" s="357" t="s">
        <v>1000</v>
      </c>
      <c r="D40" s="212"/>
      <c r="E40" s="261"/>
      <c r="F40" s="224" t="s">
        <v>1149</v>
      </c>
      <c r="G40" s="173" t="str">
        <f>$AI$20</f>
        <v>INDGWH</v>
      </c>
      <c r="H40" s="174"/>
      <c r="I40" s="174"/>
      <c r="K40" s="81"/>
      <c r="L40" s="333"/>
      <c r="M40" s="199"/>
      <c r="N40" s="81"/>
      <c r="O40" s="723"/>
      <c r="P40" s="723"/>
      <c r="Q40" s="81"/>
      <c r="R40" s="200"/>
      <c r="S40" s="772"/>
      <c r="T40" s="772"/>
      <c r="U40" s="199">
        <f ca="1">1-U39</f>
        <v>0.63636363636363635</v>
      </c>
      <c r="V40" s="772"/>
      <c r="W40" s="298"/>
      <c r="X40" s="698"/>
      <c r="Y40" s="81"/>
      <c r="Z40" s="81"/>
      <c r="AA40" s="81"/>
      <c r="AB40" s="81"/>
      <c r="AD40" s="81"/>
      <c r="AE40" s="81"/>
      <c r="AF40" s="220"/>
    </row>
    <row r="41" spans="2:36">
      <c r="B41" s="357" t="s">
        <v>1000</v>
      </c>
      <c r="D41" s="212"/>
      <c r="E41" s="212"/>
      <c r="F41" s="224" t="s">
        <v>1149</v>
      </c>
      <c r="G41" s="173" t="s">
        <v>499</v>
      </c>
      <c r="H41" s="174" t="str">
        <f>$AI$15</f>
        <v>IGDSH</v>
      </c>
      <c r="I41" s="174"/>
      <c r="J41" s="224">
        <f t="shared" ref="J41" si="11">AD41</f>
        <v>2030</v>
      </c>
      <c r="K41" s="81"/>
      <c r="L41" s="333">
        <v>1</v>
      </c>
      <c r="M41" s="199">
        <f ca="1">VLOOKUP($AD41,INDIRECT("'"&amp;$B41&amp;"'!"&amp;"$P$39:$AD$42"),3,FALSE)</f>
        <v>2.875</v>
      </c>
      <c r="N41" s="81"/>
      <c r="O41" s="723">
        <f ca="1">VLOOKUP($AD41,INDIRECT("'"&amp;$B41&amp;"'!"&amp;"$P$39:$AD$42"),6,FALSE)/1000</f>
        <v>6.3822660000000013</v>
      </c>
      <c r="P41" s="723">
        <f ca="1">VLOOKUP($AD41,INDIRECT("'"&amp;$B41&amp;"'!"&amp;"$P$39:$AD$42"),7,FALSE)/1000</f>
        <v>6.4814999999999994E-3</v>
      </c>
      <c r="Q41" s="81">
        <f ca="1">VLOOKUP($AD41,INDIRECT("'"&amp;$B41&amp;"'!"&amp;"$P$39:$AD$42"),8,FALSE)</f>
        <v>6.6222222222222227</v>
      </c>
      <c r="R41" s="300"/>
      <c r="S41" s="300"/>
      <c r="T41" s="300"/>
      <c r="U41" s="199">
        <f ca="1">1/M41</f>
        <v>0.34782608695652173</v>
      </c>
      <c r="V41" s="199"/>
      <c r="W41" s="298"/>
      <c r="X41" s="698">
        <f ca="1">IF(VLOOKUP($AD41,INDIRECT("'"&amp;$B41&amp;"'!"&amp;"$P$39:$AD$42"),11,FALSE)="Cf. the utilized electricity",0,VLOOKUP($AD41,INDIRECT("'"&amp;$B41&amp;"'!"&amp;"$P$39:$AD$42"),11,FALSE))</f>
        <v>0</v>
      </c>
      <c r="Y41" s="81">
        <f ca="1">VLOOKUP($AD41,INDIRECT("'"&amp;$B41&amp;"'!"&amp;"$P$39:$AD$42"),12,FALSE)</f>
        <v>0</v>
      </c>
      <c r="Z41" s="81">
        <f ca="1">VLOOKUP($AD41,INDIRECT("'"&amp;$B41&amp;"'!"&amp;"$P$39:$AD$42"),13,FALSE)</f>
        <v>0</v>
      </c>
      <c r="AA41" s="81">
        <f ca="1">VLOOKUP($AD41,INDIRECT("'"&amp;$B41&amp;"'!"&amp;"$P$39:$AD$42"),14,FALSE)</f>
        <v>0</v>
      </c>
      <c r="AB41" s="81">
        <f ca="1">VLOOKUP($AD41,INDIRECT("'"&amp;$B41&amp;"'!"&amp;"$P$39:$AD$42"),15,FALSE)</f>
        <v>0</v>
      </c>
      <c r="AD41" s="81">
        <v>2030</v>
      </c>
      <c r="AE41" s="81"/>
      <c r="AF41" s="220"/>
    </row>
    <row r="42" spans="2:36">
      <c r="B42" s="357" t="s">
        <v>1000</v>
      </c>
      <c r="D42" s="212"/>
      <c r="E42" s="212"/>
      <c r="F42" s="224" t="s">
        <v>1149</v>
      </c>
      <c r="G42" s="173" t="str">
        <f>$AI$20</f>
        <v>INDGWH</v>
      </c>
      <c r="H42" s="174"/>
      <c r="I42" s="174"/>
      <c r="K42" s="81"/>
      <c r="L42" s="333"/>
      <c r="M42" s="199"/>
      <c r="N42" s="81"/>
      <c r="O42" s="723"/>
      <c r="P42" s="723"/>
      <c r="Q42" s="81"/>
      <c r="R42" s="300"/>
      <c r="S42" s="300"/>
      <c r="T42" s="300"/>
      <c r="U42" s="199">
        <f ca="1">1-U41</f>
        <v>0.65217391304347827</v>
      </c>
      <c r="V42" s="300"/>
      <c r="W42" s="298"/>
      <c r="X42" s="698"/>
      <c r="Y42" s="81"/>
      <c r="Z42" s="81"/>
      <c r="AA42" s="81"/>
      <c r="AB42" s="81"/>
      <c r="AD42" s="81"/>
      <c r="AE42" s="81"/>
      <c r="AF42" s="220"/>
    </row>
    <row r="43" spans="2:36">
      <c r="B43" s="357" t="s">
        <v>1000</v>
      </c>
      <c r="D43" s="212"/>
      <c r="E43" s="212"/>
      <c r="F43" s="224" t="s">
        <v>1149</v>
      </c>
      <c r="G43" s="173" t="s">
        <v>499</v>
      </c>
      <c r="H43" s="174" t="str">
        <f>$AI$15</f>
        <v>IGDSH</v>
      </c>
      <c r="I43" s="174"/>
      <c r="J43" s="224">
        <f t="shared" ref="J43" si="12">AD43</f>
        <v>2050</v>
      </c>
      <c r="K43" s="81"/>
      <c r="L43" s="333">
        <v>1</v>
      </c>
      <c r="M43" s="199">
        <f ca="1">VLOOKUP($AD43,INDIRECT("'"&amp;$B43&amp;"'!"&amp;"$P$39:$AD$42"),3,FALSE)</f>
        <v>3.0249999999999999</v>
      </c>
      <c r="N43" s="81"/>
      <c r="O43" s="723">
        <f ca="1">VLOOKUP($AD43,INDIRECT("'"&amp;$B43&amp;"'!"&amp;"$P$39:$AD$42"),6,FALSE)/1000</f>
        <v>5.7365000000000004</v>
      </c>
      <c r="P43" s="723">
        <f ca="1">VLOOKUP($AD43,INDIRECT("'"&amp;$B43&amp;"'!"&amp;"$P$39:$AD$42"),7,FALSE)/1000</f>
        <v>5.3639999999999998E-3</v>
      </c>
      <c r="Q43" s="81">
        <f ca="1">VLOOKUP($AD43,INDIRECT("'"&amp;$B43&amp;"'!"&amp;"$P$39:$AD$42"),8,FALSE)</f>
        <v>6.4566666666666661</v>
      </c>
      <c r="R43" s="300"/>
      <c r="S43" s="300"/>
      <c r="T43" s="300"/>
      <c r="U43" s="199">
        <f ca="1">1/M43</f>
        <v>0.33057851239669422</v>
      </c>
      <c r="V43" s="199"/>
      <c r="W43" s="298"/>
      <c r="X43" s="698">
        <f ca="1">IF(VLOOKUP($AD43,INDIRECT("'"&amp;$B43&amp;"'!"&amp;"$P$39:$AD$42"),11,FALSE)="Cf. the utilized electricity",0,VLOOKUP($AD43,INDIRECT("'"&amp;$B43&amp;"'!"&amp;"$P$39:$AD$42"),11,FALSE))</f>
        <v>0</v>
      </c>
      <c r="Y43" s="81">
        <f ca="1">VLOOKUP($AD43,INDIRECT("'"&amp;$B43&amp;"'!"&amp;"$P$39:$AD$42"),12,FALSE)</f>
        <v>0</v>
      </c>
      <c r="Z43" s="81">
        <f ca="1">VLOOKUP($AD43,INDIRECT("'"&amp;$B43&amp;"'!"&amp;"$P$39:$AD$42"),13,FALSE)</f>
        <v>0</v>
      </c>
      <c r="AA43" s="81">
        <f ca="1">VLOOKUP($AD43,INDIRECT("'"&amp;$B43&amp;"'!"&amp;"$P$39:$AD$42"),14,FALSE)</f>
        <v>0</v>
      </c>
      <c r="AB43" s="81">
        <f ca="1">VLOOKUP($AD43,INDIRECT("'"&amp;$B43&amp;"'!"&amp;"$P$39:$AD$42"),15,FALSE)</f>
        <v>0</v>
      </c>
      <c r="AD43" s="81">
        <v>2050</v>
      </c>
      <c r="AE43" s="81"/>
      <c r="AF43" s="220"/>
    </row>
    <row r="44" spans="2:36">
      <c r="B44" s="357" t="s">
        <v>1000</v>
      </c>
      <c r="D44" s="212"/>
      <c r="E44" s="212"/>
      <c r="F44" s="224" t="s">
        <v>1149</v>
      </c>
      <c r="G44" s="173" t="str">
        <f>$AI$20</f>
        <v>INDGWH</v>
      </c>
      <c r="H44" s="174"/>
      <c r="I44" s="174"/>
      <c r="K44" s="81"/>
      <c r="L44" s="333"/>
      <c r="M44" s="199"/>
      <c r="N44" s="81"/>
      <c r="O44" s="723"/>
      <c r="P44" s="723"/>
      <c r="Q44" s="81"/>
      <c r="R44" s="300"/>
      <c r="S44" s="300"/>
      <c r="T44" s="300"/>
      <c r="U44" s="199">
        <f ca="1">1-U43</f>
        <v>0.66942148760330578</v>
      </c>
      <c r="V44" s="300"/>
      <c r="W44" s="298"/>
      <c r="X44" s="698"/>
      <c r="Y44" s="81"/>
      <c r="Z44" s="81"/>
      <c r="AA44" s="81"/>
      <c r="AB44" s="81"/>
      <c r="AD44" s="81"/>
      <c r="AE44" s="81"/>
      <c r="AF44" s="220"/>
    </row>
    <row r="45" spans="2:36">
      <c r="B45" s="357" t="s">
        <v>1001</v>
      </c>
      <c r="D45" s="212" t="str">
        <f>"IND"&amp;RIGHT(H45,4)&amp;RIGHT(G45,3)&amp;"N"&amp;RIGHT(E45,1)</f>
        <v>INDGDPHELCN4</v>
      </c>
      <c r="E45" s="261" t="str">
        <f>"Industrial heating technology "&amp;$AJ$12&amp;" "&amp;RIGHT(H45,2)&amp;" - Booster Heat pump utilizing waste heat - new 4"</f>
        <v>Industrial heating technology Glass &amp; Concrete PH - Booster Heat pump utilizing waste heat - new 4</v>
      </c>
      <c r="F45" s="224" t="s">
        <v>1149</v>
      </c>
      <c r="G45" s="173" t="s">
        <v>499</v>
      </c>
      <c r="H45" s="174" t="str">
        <f>$AI$14</f>
        <v>IGDPH</v>
      </c>
      <c r="I45" s="174"/>
      <c r="J45" s="224">
        <f t="shared" ref="J45" si="13">AD45</f>
        <v>2020</v>
      </c>
      <c r="K45" s="81">
        <v>2020</v>
      </c>
      <c r="L45" s="333">
        <v>1</v>
      </c>
      <c r="M45" s="199">
        <f ca="1">VLOOKUP($AD45,INDIRECT("'"&amp;$B45&amp;"'!"&amp;"$P$39:$AD$42"),3,FALSE)</f>
        <v>1.93</v>
      </c>
      <c r="N45" s="81">
        <f ca="1">VLOOKUP($AD45,INDIRECT("'"&amp;$B45&amp;"'!"&amp;"$P$39:$AD$42"),5,FALSE)</f>
        <v>20</v>
      </c>
      <c r="O45" s="723">
        <f ca="1">VLOOKUP($AD45,INDIRECT("'"&amp;$B45&amp;"'!"&amp;"$P$39:$AD$42"),6,FALSE)/1000</f>
        <v>12.158890687341184</v>
      </c>
      <c r="P45" s="723">
        <f ca="1">VLOOKUP($AD45,INDIRECT("'"&amp;$B45&amp;"'!"&amp;"$P$39:$AD$42"),7,FALSE)/1000</f>
        <v>1.49E-2</v>
      </c>
      <c r="Q45" s="81">
        <f ca="1">VLOOKUP($AD45,INDIRECT("'"&amp;$B45&amp;"'!"&amp;"$P$39:$AD$42"),8,FALSE)</f>
        <v>7.1188888888888897</v>
      </c>
      <c r="R45" s="81">
        <v>3.1536000000000002E-2</v>
      </c>
      <c r="S45" s="199">
        <v>0.5</v>
      </c>
      <c r="T45" s="199">
        <f ca="1">HLOOKUP($T$2,INDIRECT("'"&amp;$B45&amp;"'!"&amp;"$P$6:$AC$19"),IF(H45=$AI$13,6,IF(H45=$AI$14,9,14)),FALSE)-T9</f>
        <v>0</v>
      </c>
      <c r="U45" s="199">
        <f ca="1">1/M45</f>
        <v>0.5181347150259068</v>
      </c>
      <c r="V45" s="199"/>
      <c r="W45" s="298"/>
      <c r="X45" s="698">
        <f ca="1">IF(VLOOKUP($AD45,INDIRECT("'"&amp;$B45&amp;"'!"&amp;"$P$39:$AD$42"),11,FALSE)="Cf. the utilized electricity",0,VLOOKUP($AD45,INDIRECT("'"&amp;$B45&amp;"'!"&amp;"$P$39:$AD$42"),11,FALSE))</f>
        <v>0</v>
      </c>
      <c r="Y45" s="81">
        <f ca="1">VLOOKUP($AD45,INDIRECT("'"&amp;$B45&amp;"'!"&amp;"$P$39:$AD$42"),12,FALSE)</f>
        <v>0</v>
      </c>
      <c r="Z45" s="81">
        <f ca="1">VLOOKUP($AD45,INDIRECT("'"&amp;$B45&amp;"'!"&amp;"$P$39:$AD$42"),13,FALSE)</f>
        <v>0</v>
      </c>
      <c r="AA45" s="81">
        <f ca="1">VLOOKUP($AD45,INDIRECT("'"&amp;$B45&amp;"'!"&amp;"$P$39:$AD$42"),14,FALSE)</f>
        <v>0</v>
      </c>
      <c r="AB45" s="81">
        <f ca="1">VLOOKUP($AD45,INDIRECT("'"&amp;$B45&amp;"'!"&amp;"$P$39:$AD$42"),15,FALSE)</f>
        <v>0</v>
      </c>
      <c r="AD45" s="81">
        <v>2020</v>
      </c>
      <c r="AE45" s="81"/>
      <c r="AF45" s="220"/>
    </row>
    <row r="46" spans="2:36">
      <c r="B46" s="357" t="s">
        <v>1001</v>
      </c>
      <c r="D46" s="212"/>
      <c r="E46" s="261"/>
      <c r="F46" s="224" t="s">
        <v>1149</v>
      </c>
      <c r="G46" s="173" t="str">
        <f>$AI$20</f>
        <v>INDGWH</v>
      </c>
      <c r="H46" s="174"/>
      <c r="I46" s="174"/>
      <c r="K46" s="81"/>
      <c r="L46" s="333"/>
      <c r="M46" s="199"/>
      <c r="N46" s="81"/>
      <c r="O46" s="723"/>
      <c r="P46" s="723"/>
      <c r="Q46" s="81"/>
      <c r="R46" s="200"/>
      <c r="S46" s="772"/>
      <c r="T46" s="772"/>
      <c r="U46" s="199">
        <f ca="1">1-U45</f>
        <v>0.4818652849740932</v>
      </c>
      <c r="V46" s="772"/>
      <c r="W46" s="298"/>
      <c r="X46" s="698"/>
      <c r="Y46" s="81"/>
      <c r="Z46" s="81"/>
      <c r="AA46" s="81"/>
      <c r="AB46" s="81"/>
      <c r="AD46" s="81"/>
      <c r="AE46" s="81"/>
      <c r="AF46" s="220"/>
    </row>
    <row r="47" spans="2:36">
      <c r="B47" s="357" t="s">
        <v>1001</v>
      </c>
      <c r="D47" s="212"/>
      <c r="E47" s="212"/>
      <c r="F47" s="224" t="s">
        <v>1149</v>
      </c>
      <c r="G47" s="173" t="s">
        <v>499</v>
      </c>
      <c r="H47" s="174" t="str">
        <f>$AI$14</f>
        <v>IGDPH</v>
      </c>
      <c r="I47" s="174"/>
      <c r="J47" s="224">
        <f t="shared" ref="J47" si="14">AD47</f>
        <v>2030</v>
      </c>
      <c r="K47" s="81"/>
      <c r="L47" s="333">
        <v>1</v>
      </c>
      <c r="M47" s="199">
        <f ca="1">VLOOKUP($AD47,INDIRECT("'"&amp;$B47&amp;"'!"&amp;"$P$39:$AD$42"),3,FALSE)</f>
        <v>1.9894000000000001</v>
      </c>
      <c r="N47" s="81"/>
      <c r="O47" s="723">
        <f ca="1">VLOOKUP($AD47,INDIRECT("'"&amp;$B47&amp;"'!"&amp;"$P$39:$AD$42"),6,FALSE)/1000</f>
        <v>9.8570539139933757</v>
      </c>
      <c r="P47" s="723">
        <f ca="1">VLOOKUP($AD47,INDIRECT("'"&amp;$B47&amp;"'!"&amp;"$P$39:$AD$42"),7,FALSE)/1000</f>
        <v>1.49E-2</v>
      </c>
      <c r="Q47" s="81">
        <f ca="1">VLOOKUP($AD47,INDIRECT("'"&amp;$B47&amp;"'!"&amp;"$P$39:$AD$42"),8,FALSE)</f>
        <v>6.9740277777777777</v>
      </c>
      <c r="R47" s="300"/>
      <c r="S47" s="300"/>
      <c r="T47" s="300"/>
      <c r="U47" s="199">
        <f ca="1">1/M47</f>
        <v>0.50266411983512616</v>
      </c>
      <c r="V47" s="199"/>
      <c r="W47" s="298"/>
      <c r="X47" s="698">
        <f ca="1">IF(VLOOKUP($AD47,INDIRECT("'"&amp;$B47&amp;"'!"&amp;"$P$39:$AD$42"),11,FALSE)="Cf. the utilized electricity",0,VLOOKUP($AD47,INDIRECT("'"&amp;$B47&amp;"'!"&amp;"$P$39:$AD$42"),11,FALSE))</f>
        <v>0</v>
      </c>
      <c r="Y47" s="81">
        <f ca="1">VLOOKUP($AD47,INDIRECT("'"&amp;$B47&amp;"'!"&amp;"$P$39:$AD$42"),12,FALSE)</f>
        <v>0</v>
      </c>
      <c r="Z47" s="81">
        <f ca="1">VLOOKUP($AD47,INDIRECT("'"&amp;$B47&amp;"'!"&amp;"$P$39:$AD$42"),13,FALSE)</f>
        <v>0</v>
      </c>
      <c r="AA47" s="81">
        <f ca="1">VLOOKUP($AD47,INDIRECT("'"&amp;$B47&amp;"'!"&amp;"$P$39:$AD$42"),14,FALSE)</f>
        <v>0</v>
      </c>
      <c r="AB47" s="81">
        <f ca="1">VLOOKUP($AD47,INDIRECT("'"&amp;$B47&amp;"'!"&amp;"$P$39:$AD$42"),15,FALSE)</f>
        <v>0</v>
      </c>
      <c r="AD47" s="81">
        <v>2030</v>
      </c>
      <c r="AE47" s="81"/>
      <c r="AF47" s="220"/>
    </row>
    <row r="48" spans="2:36">
      <c r="B48" s="357" t="s">
        <v>1001</v>
      </c>
      <c r="D48" s="212"/>
      <c r="E48" s="212"/>
      <c r="F48" s="224" t="s">
        <v>1149</v>
      </c>
      <c r="G48" s="173" t="str">
        <f>$AI$20</f>
        <v>INDGWH</v>
      </c>
      <c r="H48" s="174"/>
      <c r="I48" s="174"/>
      <c r="K48" s="81"/>
      <c r="L48" s="333"/>
      <c r="M48" s="199"/>
      <c r="N48" s="81"/>
      <c r="O48" s="723"/>
      <c r="P48" s="723"/>
      <c r="Q48" s="81"/>
      <c r="R48" s="300"/>
      <c r="S48" s="300"/>
      <c r="T48" s="300"/>
      <c r="U48" s="199">
        <f ca="1">1-U47</f>
        <v>0.49733588016487384</v>
      </c>
      <c r="V48" s="300"/>
      <c r="W48" s="298"/>
      <c r="X48" s="698"/>
      <c r="Y48" s="81"/>
      <c r="Z48" s="81"/>
      <c r="AA48" s="81"/>
      <c r="AB48" s="81"/>
      <c r="AD48" s="81"/>
      <c r="AE48" s="81"/>
      <c r="AF48" s="220"/>
    </row>
    <row r="49" spans="2:32">
      <c r="B49" s="357" t="s">
        <v>1001</v>
      </c>
      <c r="D49" s="212"/>
      <c r="E49" s="212"/>
      <c r="F49" s="224" t="s">
        <v>1149</v>
      </c>
      <c r="G49" s="173" t="s">
        <v>499</v>
      </c>
      <c r="H49" s="174" t="str">
        <f>$AI$14</f>
        <v>IGDPH</v>
      </c>
      <c r="I49" s="174"/>
      <c r="J49" s="224">
        <f t="shared" ref="J49" si="15">AD49</f>
        <v>2050</v>
      </c>
      <c r="K49" s="81"/>
      <c r="L49" s="333">
        <v>1</v>
      </c>
      <c r="M49" s="199">
        <f ca="1">VLOOKUP($AD49,INDIRECT("'"&amp;$B49&amp;"'!"&amp;"$P$39:$AD$42"),3,FALSE)</f>
        <v>2.0509898799999999</v>
      </c>
      <c r="N49" s="81"/>
      <c r="O49" s="723">
        <f ca="1">VLOOKUP($AD49,INDIRECT("'"&amp;$B49&amp;"'!"&amp;"$P$39:$AD$42"),6,FALSE)/1000</f>
        <v>6.955935359434223</v>
      </c>
      <c r="P49" s="723">
        <f ca="1">VLOOKUP($AD49,INDIRECT("'"&amp;$B49&amp;"'!"&amp;"$P$39:$AD$42"),7,FALSE)/1000</f>
        <v>1.49E-2</v>
      </c>
      <c r="Q49" s="81">
        <f ca="1">VLOOKUP($AD49,INDIRECT("'"&amp;$B49&amp;"'!"&amp;"$P$39:$AD$42"),8,FALSE)</f>
        <v>6.7877777777777784</v>
      </c>
      <c r="R49" s="300"/>
      <c r="S49" s="300"/>
      <c r="T49" s="300"/>
      <c r="U49" s="199">
        <f ca="1">1/M49</f>
        <v>0.48756944622271858</v>
      </c>
      <c r="V49" s="199"/>
      <c r="W49" s="298"/>
      <c r="X49" s="698">
        <f ca="1">IF(VLOOKUP($AD49,INDIRECT("'"&amp;$B49&amp;"'!"&amp;"$P$39:$AD$42"),11,FALSE)="Cf. the utilized electricity",0,VLOOKUP($AD49,INDIRECT("'"&amp;$B49&amp;"'!"&amp;"$P$39:$AD$42"),11,FALSE))</f>
        <v>0</v>
      </c>
      <c r="Y49" s="81">
        <f ca="1">VLOOKUP($AD49,INDIRECT("'"&amp;$B49&amp;"'!"&amp;"$P$39:$AD$42"),12,FALSE)</f>
        <v>0</v>
      </c>
      <c r="Z49" s="81">
        <f ca="1">VLOOKUP($AD49,INDIRECT("'"&amp;$B49&amp;"'!"&amp;"$P$39:$AD$42"),13,FALSE)</f>
        <v>0</v>
      </c>
      <c r="AA49" s="81">
        <f ca="1">VLOOKUP($AD49,INDIRECT("'"&amp;$B49&amp;"'!"&amp;"$P$39:$AD$42"),14,FALSE)</f>
        <v>0</v>
      </c>
      <c r="AB49" s="81">
        <f ca="1">VLOOKUP($AD49,INDIRECT("'"&amp;$B49&amp;"'!"&amp;"$P$39:$AD$42"),15,FALSE)</f>
        <v>0</v>
      </c>
      <c r="AD49" s="81">
        <v>2050</v>
      </c>
      <c r="AE49" s="81"/>
      <c r="AF49" s="220"/>
    </row>
    <row r="50" spans="2:32">
      <c r="B50" s="357" t="s">
        <v>1001</v>
      </c>
      <c r="D50" s="212"/>
      <c r="E50" s="212"/>
      <c r="F50" s="224" t="s">
        <v>1149</v>
      </c>
      <c r="G50" s="173" t="str">
        <f>$AI$20</f>
        <v>INDGWH</v>
      </c>
      <c r="H50" s="174"/>
      <c r="I50" s="174"/>
      <c r="K50" s="81"/>
      <c r="L50" s="333"/>
      <c r="M50" s="199"/>
      <c r="N50" s="81"/>
      <c r="O50" s="723"/>
      <c r="P50" s="723"/>
      <c r="Q50" s="81"/>
      <c r="R50" s="300"/>
      <c r="S50" s="300"/>
      <c r="T50" s="300"/>
      <c r="U50" s="199">
        <f ca="1">1-U49</f>
        <v>0.51243055377728142</v>
      </c>
      <c r="V50" s="300"/>
      <c r="W50" s="298"/>
      <c r="X50" s="698"/>
      <c r="Y50" s="81"/>
      <c r="Z50" s="81"/>
      <c r="AA50" s="81"/>
      <c r="AB50" s="81"/>
      <c r="AD50" s="81"/>
      <c r="AE50" s="81"/>
      <c r="AF50" s="220"/>
    </row>
    <row r="51" spans="2:32">
      <c r="B51" s="357" t="s">
        <v>1001</v>
      </c>
      <c r="D51" s="212" t="str">
        <f>"IND"&amp;RIGHT(H51,4)&amp;RIGHT(G51,3)&amp;"N"&amp;RIGHT(E51,1)</f>
        <v>INDGDSHELCN4</v>
      </c>
      <c r="E51" s="261" t="str">
        <f>"Industrial heating technology "&amp;$AJ$12&amp;" "&amp;RIGHT(H51,2)&amp;" - Booster Heat pump utilizing waste heat - new 4"</f>
        <v>Industrial heating technology Glass &amp; Concrete SH - Booster Heat pump utilizing waste heat - new 4</v>
      </c>
      <c r="F51" s="224" t="s">
        <v>1149</v>
      </c>
      <c r="G51" s="173" t="s">
        <v>499</v>
      </c>
      <c r="H51" s="174" t="str">
        <f>$AI$15</f>
        <v>IGDSH</v>
      </c>
      <c r="I51" s="174"/>
      <c r="J51" s="224">
        <f t="shared" ref="J51" si="16">AD51</f>
        <v>2020</v>
      </c>
      <c r="K51" s="81">
        <v>2020</v>
      </c>
      <c r="L51" s="333">
        <v>1</v>
      </c>
      <c r="M51" s="199">
        <f ca="1">VLOOKUP($AD51,INDIRECT("'"&amp;$B51&amp;"'!"&amp;"$P$39:$AD$42"),3,FALSE)</f>
        <v>1.93</v>
      </c>
      <c r="N51" s="81">
        <f ca="1">VLOOKUP($AD51,INDIRECT("'"&amp;$B51&amp;"'!"&amp;"$P$39:$AD$42"),5,FALSE)</f>
        <v>20</v>
      </c>
      <c r="O51" s="723">
        <f ca="1">VLOOKUP($AD51,INDIRECT("'"&amp;$B51&amp;"'!"&amp;"$P$39:$AD$42"),6,FALSE)/1000</f>
        <v>12.158890687341184</v>
      </c>
      <c r="P51" s="723">
        <f ca="1">VLOOKUP($AD51,INDIRECT("'"&amp;$B51&amp;"'!"&amp;"$P$39:$AD$42"),7,FALSE)/1000</f>
        <v>1.49E-2</v>
      </c>
      <c r="Q51" s="81">
        <f ca="1">VLOOKUP($AD51,INDIRECT("'"&amp;$B51&amp;"'!"&amp;"$P$39:$AD$42"),8,FALSE)</f>
        <v>7.1188888888888897</v>
      </c>
      <c r="R51" s="81">
        <v>3.1536000000000002E-2</v>
      </c>
      <c r="S51" s="199">
        <v>0.5</v>
      </c>
      <c r="T51" s="199">
        <f ca="1">HLOOKUP($T$2,INDIRECT("'"&amp;$B51&amp;"'!"&amp;"$P$6:$AC$19"),IF(H51=$AI$13,6,IF(H51=$AI$14,9,14)),FALSE)</f>
        <v>1</v>
      </c>
      <c r="U51" s="199">
        <f ca="1">1/M51</f>
        <v>0.5181347150259068</v>
      </c>
      <c r="V51" s="199"/>
      <c r="W51" s="298"/>
      <c r="X51" s="698">
        <f ca="1">IF(VLOOKUP($AD51,INDIRECT("'"&amp;$B51&amp;"'!"&amp;"$P$39:$AD$42"),11,FALSE)="Cf. the utilized electricity",0,VLOOKUP($AD51,INDIRECT("'"&amp;$B51&amp;"'!"&amp;"$P$39:$AD$42"),11,FALSE))</f>
        <v>0</v>
      </c>
      <c r="Y51" s="81">
        <f ca="1">VLOOKUP($AD51,INDIRECT("'"&amp;$B51&amp;"'!"&amp;"$P$39:$AD$42"),12,FALSE)</f>
        <v>0</v>
      </c>
      <c r="Z51" s="81">
        <f ca="1">VLOOKUP($AD51,INDIRECT("'"&amp;$B51&amp;"'!"&amp;"$P$39:$AD$42"),13,FALSE)</f>
        <v>0</v>
      </c>
      <c r="AA51" s="81">
        <f ca="1">VLOOKUP($AD51,INDIRECT("'"&amp;$B51&amp;"'!"&amp;"$P$39:$AD$42"),14,FALSE)</f>
        <v>0</v>
      </c>
      <c r="AB51" s="81">
        <f ca="1">VLOOKUP($AD51,INDIRECT("'"&amp;$B51&amp;"'!"&amp;"$P$39:$AD$42"),15,FALSE)</f>
        <v>0</v>
      </c>
      <c r="AD51" s="81">
        <v>2020</v>
      </c>
      <c r="AE51" s="81"/>
      <c r="AF51" s="220"/>
    </row>
    <row r="52" spans="2:32">
      <c r="B52" s="357" t="s">
        <v>1001</v>
      </c>
      <c r="D52" s="212"/>
      <c r="E52" s="261"/>
      <c r="F52" s="224" t="s">
        <v>1149</v>
      </c>
      <c r="G52" s="173" t="str">
        <f>$AI$20</f>
        <v>INDGWH</v>
      </c>
      <c r="H52" s="174"/>
      <c r="I52" s="174"/>
      <c r="K52" s="81"/>
      <c r="L52" s="333"/>
      <c r="M52" s="199"/>
      <c r="N52" s="81"/>
      <c r="O52" s="723"/>
      <c r="P52" s="723"/>
      <c r="Q52" s="81"/>
      <c r="R52" s="200"/>
      <c r="S52" s="772"/>
      <c r="T52" s="772"/>
      <c r="U52" s="199">
        <f ca="1">1-U51</f>
        <v>0.4818652849740932</v>
      </c>
      <c r="V52" s="772"/>
      <c r="W52" s="298"/>
      <c r="X52" s="698"/>
      <c r="Y52" s="81"/>
      <c r="Z52" s="81"/>
      <c r="AA52" s="81"/>
      <c r="AB52" s="81"/>
      <c r="AD52" s="81"/>
      <c r="AE52" s="81"/>
      <c r="AF52" s="220"/>
    </row>
    <row r="53" spans="2:32">
      <c r="B53" s="357" t="s">
        <v>1001</v>
      </c>
      <c r="D53" s="212"/>
      <c r="E53" s="212"/>
      <c r="F53" s="224" t="s">
        <v>1149</v>
      </c>
      <c r="G53" s="173" t="s">
        <v>499</v>
      </c>
      <c r="H53" s="174" t="str">
        <f>$AI$15</f>
        <v>IGDSH</v>
      </c>
      <c r="I53" s="174"/>
      <c r="J53" s="224">
        <f t="shared" ref="J53" si="17">AD53</f>
        <v>2030</v>
      </c>
      <c r="K53" s="81"/>
      <c r="L53" s="333">
        <v>1</v>
      </c>
      <c r="M53" s="199">
        <f ca="1">VLOOKUP($AD53,INDIRECT("'"&amp;$B53&amp;"'!"&amp;"$P$39:$AD$42"),3,FALSE)</f>
        <v>1.9894000000000001</v>
      </c>
      <c r="N53" s="81"/>
      <c r="O53" s="723">
        <f ca="1">VLOOKUP($AD53,INDIRECT("'"&amp;$B53&amp;"'!"&amp;"$P$39:$AD$42"),6,FALSE)/1000</f>
        <v>9.8570539139933757</v>
      </c>
      <c r="P53" s="723">
        <f ca="1">VLOOKUP($AD53,INDIRECT("'"&amp;$B53&amp;"'!"&amp;"$P$39:$AD$42"),7,FALSE)/1000</f>
        <v>1.49E-2</v>
      </c>
      <c r="Q53" s="81">
        <f ca="1">VLOOKUP($AD53,INDIRECT("'"&amp;$B53&amp;"'!"&amp;"$P$39:$AD$42"),8,FALSE)</f>
        <v>6.9740277777777777</v>
      </c>
      <c r="R53" s="300"/>
      <c r="S53" s="300"/>
      <c r="T53" s="300"/>
      <c r="U53" s="199">
        <f ca="1">1/M53</f>
        <v>0.50266411983512616</v>
      </c>
      <c r="V53" s="199"/>
      <c r="W53" s="298"/>
      <c r="X53" s="698">
        <f ca="1">IF(VLOOKUP($AD53,INDIRECT("'"&amp;$B53&amp;"'!"&amp;"$P$39:$AD$42"),11,FALSE)="Cf. the utilized electricity",0,VLOOKUP($AD53,INDIRECT("'"&amp;$B53&amp;"'!"&amp;"$P$39:$AD$42"),11,FALSE))</f>
        <v>0</v>
      </c>
      <c r="Y53" s="81">
        <f ca="1">VLOOKUP($AD53,INDIRECT("'"&amp;$B53&amp;"'!"&amp;"$P$39:$AD$42"),12,FALSE)</f>
        <v>0</v>
      </c>
      <c r="Z53" s="81">
        <f ca="1">VLOOKUP($AD53,INDIRECT("'"&amp;$B53&amp;"'!"&amp;"$P$39:$AD$42"),13,FALSE)</f>
        <v>0</v>
      </c>
      <c r="AA53" s="81">
        <f ca="1">VLOOKUP($AD53,INDIRECT("'"&amp;$B53&amp;"'!"&amp;"$P$39:$AD$42"),14,FALSE)</f>
        <v>0</v>
      </c>
      <c r="AB53" s="81">
        <f ca="1">VLOOKUP($AD53,INDIRECT("'"&amp;$B53&amp;"'!"&amp;"$P$39:$AD$42"),15,FALSE)</f>
        <v>0</v>
      </c>
      <c r="AD53" s="81">
        <v>2030</v>
      </c>
      <c r="AE53" s="81"/>
      <c r="AF53" s="220"/>
    </row>
    <row r="54" spans="2:32">
      <c r="B54" s="357" t="s">
        <v>1001</v>
      </c>
      <c r="D54" s="212"/>
      <c r="E54" s="212"/>
      <c r="F54" s="224" t="s">
        <v>1149</v>
      </c>
      <c r="G54" s="173" t="str">
        <f>$AI$20</f>
        <v>INDGWH</v>
      </c>
      <c r="H54" s="174"/>
      <c r="I54" s="174"/>
      <c r="K54" s="81"/>
      <c r="L54" s="333"/>
      <c r="M54" s="199"/>
      <c r="N54" s="81"/>
      <c r="O54" s="723"/>
      <c r="P54" s="723"/>
      <c r="Q54" s="81"/>
      <c r="R54" s="300"/>
      <c r="S54" s="300"/>
      <c r="T54" s="300"/>
      <c r="U54" s="199">
        <f ca="1">1-U53</f>
        <v>0.49733588016487384</v>
      </c>
      <c r="V54" s="300"/>
      <c r="W54" s="298"/>
      <c r="X54" s="698"/>
      <c r="Y54" s="81"/>
      <c r="Z54" s="81"/>
      <c r="AA54" s="81"/>
      <c r="AB54" s="81"/>
      <c r="AD54" s="81"/>
      <c r="AE54" s="81"/>
      <c r="AF54" s="220"/>
    </row>
    <row r="55" spans="2:32">
      <c r="B55" s="357" t="s">
        <v>1001</v>
      </c>
      <c r="D55" s="212"/>
      <c r="E55" s="212"/>
      <c r="F55" s="224" t="s">
        <v>1149</v>
      </c>
      <c r="G55" s="173" t="s">
        <v>499</v>
      </c>
      <c r="H55" s="174" t="str">
        <f>$AI$15</f>
        <v>IGDSH</v>
      </c>
      <c r="I55" s="174"/>
      <c r="J55" s="224">
        <f t="shared" ref="J55" si="18">AD55</f>
        <v>2050</v>
      </c>
      <c r="K55" s="81"/>
      <c r="L55" s="333">
        <v>1</v>
      </c>
      <c r="M55" s="199">
        <f ca="1">VLOOKUP($AD55,INDIRECT("'"&amp;$B55&amp;"'!"&amp;"$P$39:$AD$42"),3,FALSE)</f>
        <v>2.0509898799999999</v>
      </c>
      <c r="N55" s="81"/>
      <c r="O55" s="723">
        <f ca="1">VLOOKUP($AD55,INDIRECT("'"&amp;$B55&amp;"'!"&amp;"$P$39:$AD$42"),6,FALSE)/1000</f>
        <v>6.955935359434223</v>
      </c>
      <c r="P55" s="723">
        <f ca="1">VLOOKUP($AD55,INDIRECT("'"&amp;$B55&amp;"'!"&amp;"$P$39:$AD$42"),7,FALSE)/1000</f>
        <v>1.49E-2</v>
      </c>
      <c r="Q55" s="81">
        <f ca="1">VLOOKUP($AD55,INDIRECT("'"&amp;$B55&amp;"'!"&amp;"$P$39:$AD$42"),8,FALSE)</f>
        <v>6.7877777777777784</v>
      </c>
      <c r="R55" s="300"/>
      <c r="S55" s="300"/>
      <c r="T55" s="300"/>
      <c r="U55" s="199">
        <f ca="1">1/M55</f>
        <v>0.48756944622271858</v>
      </c>
      <c r="V55" s="199"/>
      <c r="W55" s="298"/>
      <c r="X55" s="698">
        <f ca="1">IF(VLOOKUP($AD55,INDIRECT("'"&amp;$B55&amp;"'!"&amp;"$P$39:$AD$42"),11,FALSE)="Cf. the utilized electricity",0,VLOOKUP($AD55,INDIRECT("'"&amp;$B55&amp;"'!"&amp;"$P$39:$AD$42"),11,FALSE))</f>
        <v>0</v>
      </c>
      <c r="Y55" s="81">
        <f ca="1">VLOOKUP($AD55,INDIRECT("'"&amp;$B55&amp;"'!"&amp;"$P$39:$AD$42"),12,FALSE)</f>
        <v>0</v>
      </c>
      <c r="Z55" s="81">
        <f ca="1">VLOOKUP($AD55,INDIRECT("'"&amp;$B55&amp;"'!"&amp;"$P$39:$AD$42"),13,FALSE)</f>
        <v>0</v>
      </c>
      <c r="AA55" s="81">
        <f ca="1">VLOOKUP($AD55,INDIRECT("'"&amp;$B55&amp;"'!"&amp;"$P$39:$AD$42"),14,FALSE)</f>
        <v>0</v>
      </c>
      <c r="AB55" s="81">
        <f ca="1">VLOOKUP($AD55,INDIRECT("'"&amp;$B55&amp;"'!"&amp;"$P$39:$AD$42"),15,FALSE)</f>
        <v>0</v>
      </c>
      <c r="AD55" s="81">
        <v>2050</v>
      </c>
      <c r="AE55" s="81"/>
      <c r="AF55" s="220"/>
    </row>
    <row r="56" spans="2:32">
      <c r="B56" s="357" t="s">
        <v>1001</v>
      </c>
      <c r="D56" s="212"/>
      <c r="E56" s="212"/>
      <c r="F56" s="224" t="s">
        <v>1149</v>
      </c>
      <c r="G56" s="173" t="str">
        <f>$AI$20</f>
        <v>INDGWH</v>
      </c>
      <c r="H56" s="174"/>
      <c r="I56" s="174"/>
      <c r="K56" s="81"/>
      <c r="L56" s="333"/>
      <c r="M56" s="199"/>
      <c r="N56" s="81"/>
      <c r="O56" s="723"/>
      <c r="P56" s="723"/>
      <c r="Q56" s="81"/>
      <c r="R56" s="300"/>
      <c r="S56" s="300"/>
      <c r="T56" s="300"/>
      <c r="U56" s="199">
        <f ca="1">1-U55</f>
        <v>0.51243055377728142</v>
      </c>
      <c r="V56" s="300"/>
      <c r="W56" s="298"/>
      <c r="X56" s="698"/>
      <c r="Y56" s="81"/>
      <c r="Z56" s="81"/>
      <c r="AA56" s="81"/>
      <c r="AB56" s="81"/>
      <c r="AD56" s="81"/>
      <c r="AE56" s="81"/>
      <c r="AF56" s="220"/>
    </row>
    <row r="57" spans="2:32">
      <c r="B57" s="357" t="s">
        <v>1002</v>
      </c>
      <c r="D57" s="212" t="str">
        <f>"IND"&amp;RIGHT(H57,4)&amp;RIGHT(G57,3)&amp;"N"&amp;RIGHT(E57,1)</f>
        <v>INDGDPHELCN5</v>
      </c>
      <c r="E57" s="261" t="str">
        <f>"Industrial heating technology "&amp;$AJ$12&amp;" "&amp;RIGHT(H57,2)&amp;" - MVR utilizing waste heat - new 5"</f>
        <v>Industrial heating technology Glass &amp; Concrete PH - MVR utilizing waste heat - new 5</v>
      </c>
      <c r="F57" s="224" t="s">
        <v>1149</v>
      </c>
      <c r="G57" s="173" t="s">
        <v>499</v>
      </c>
      <c r="H57" s="174" t="str">
        <f>$AI$14</f>
        <v>IGDPH</v>
      </c>
      <c r="I57" s="174"/>
      <c r="J57" s="224">
        <f t="shared" ref="J57" si="19">AD57</f>
        <v>2020</v>
      </c>
      <c r="K57" s="81">
        <v>2020</v>
      </c>
      <c r="L57" s="333">
        <v>1</v>
      </c>
      <c r="M57" s="199">
        <f ca="1">VLOOKUP($AD57,INDIRECT("'"&amp;$B57&amp;"'!"&amp;"$P$39:$AD$42"),3,FALSE)</f>
        <v>12.1</v>
      </c>
      <c r="N57" s="81">
        <f ca="1">VLOOKUP($AD57,INDIRECT("'"&amp;$B57&amp;"'!"&amp;"$P$39:$AD$42"),5,FALSE)</f>
        <v>25</v>
      </c>
      <c r="O57" s="723">
        <f ca="1">VLOOKUP($AD57,INDIRECT("'"&amp;$B57&amp;"'!"&amp;"$P$39:$AD$42"),6,FALSE)/1000</f>
        <v>2.6074999999999999</v>
      </c>
      <c r="P57" s="723">
        <f ca="1">VLOOKUP($AD57,INDIRECT("'"&amp;$B57&amp;"'!"&amp;"$P$39:$AD$42"),7,FALSE)/1000</f>
        <v>1.49E-2</v>
      </c>
      <c r="Q57" s="81">
        <f ca="1">VLOOKUP($AD57,INDIRECT("'"&amp;$B57&amp;"'!"&amp;"$P$39:$AD$42"),8,FALSE)</f>
        <v>5.2356944444444444</v>
      </c>
      <c r="R57" s="81">
        <v>3.1536000000000002E-2</v>
      </c>
      <c r="S57" s="199">
        <v>0.5</v>
      </c>
      <c r="T57" s="199">
        <f ca="1">HLOOKUP($T$2,INDIRECT("'"&amp;$B57&amp;"'!"&amp;"$P$6:$AC$19"),IF(H57=$AI$13,6,IF(H57=$AI$14,9,14)),FALSE)</f>
        <v>0</v>
      </c>
      <c r="U57" s="199">
        <f ca="1">1/M57</f>
        <v>8.2644628099173556E-2</v>
      </c>
      <c r="V57" s="199"/>
      <c r="W57" s="298"/>
      <c r="X57" s="698">
        <f ca="1">IF(VLOOKUP($AD57,INDIRECT("'"&amp;$B57&amp;"'!"&amp;"$P$39:$AD$42"),11,FALSE)="Cf. the utilized electricity",0,VLOOKUP($AD57,INDIRECT("'"&amp;$B57&amp;"'!"&amp;"$P$39:$AD$42"),11,FALSE))</f>
        <v>0</v>
      </c>
      <c r="Y57" s="81">
        <f ca="1">VLOOKUP($AD57,INDIRECT("'"&amp;$B57&amp;"'!"&amp;"$P$39:$AD$42"),12,FALSE)</f>
        <v>0</v>
      </c>
      <c r="Z57" s="81">
        <f ca="1">VLOOKUP($AD57,INDIRECT("'"&amp;$B57&amp;"'!"&amp;"$P$39:$AD$42"),13,FALSE)</f>
        <v>0</v>
      </c>
      <c r="AA57" s="81">
        <f ca="1">VLOOKUP($AD57,INDIRECT("'"&amp;$B57&amp;"'!"&amp;"$P$39:$AD$42"),14,FALSE)</f>
        <v>0</v>
      </c>
      <c r="AB57" s="81">
        <f ca="1">VLOOKUP($AD57,INDIRECT("'"&amp;$B57&amp;"'!"&amp;"$P$39:$AD$42"),15,FALSE)</f>
        <v>0</v>
      </c>
      <c r="AD57" s="81">
        <v>2020</v>
      </c>
      <c r="AE57" s="81"/>
      <c r="AF57" s="220"/>
    </row>
    <row r="58" spans="2:32">
      <c r="B58" s="357" t="s">
        <v>1002</v>
      </c>
      <c r="D58" s="212"/>
      <c r="E58" s="261"/>
      <c r="F58" s="224" t="s">
        <v>1149</v>
      </c>
      <c r="G58" s="173" t="str">
        <f>$AI$20</f>
        <v>INDGWH</v>
      </c>
      <c r="H58" s="174"/>
      <c r="I58" s="174"/>
      <c r="K58" s="81"/>
      <c r="L58" s="199"/>
      <c r="M58" s="199"/>
      <c r="N58" s="81"/>
      <c r="O58" s="723"/>
      <c r="P58" s="723"/>
      <c r="Q58" s="81"/>
      <c r="R58" s="200"/>
      <c r="S58" s="772"/>
      <c r="T58" s="772"/>
      <c r="U58" s="199">
        <f ca="1">1-U57</f>
        <v>0.9173553719008265</v>
      </c>
      <c r="V58" s="772"/>
      <c r="W58" s="298"/>
      <c r="X58" s="698"/>
      <c r="Y58" s="81"/>
      <c r="Z58" s="81"/>
      <c r="AA58" s="81"/>
      <c r="AB58" s="81"/>
      <c r="AD58" s="81"/>
      <c r="AE58" s="81"/>
      <c r="AF58" s="220"/>
    </row>
    <row r="59" spans="2:32">
      <c r="B59" s="357" t="s">
        <v>1002</v>
      </c>
      <c r="D59" s="212"/>
      <c r="E59" s="212"/>
      <c r="F59" s="224" t="s">
        <v>1149</v>
      </c>
      <c r="G59" s="173" t="s">
        <v>499</v>
      </c>
      <c r="H59" s="174" t="str">
        <f>$AI$14</f>
        <v>IGDPH</v>
      </c>
      <c r="I59" s="174"/>
      <c r="J59" s="224">
        <f t="shared" ref="J59" si="20">AD59</f>
        <v>2030</v>
      </c>
      <c r="K59" s="81"/>
      <c r="L59" s="333">
        <v>1</v>
      </c>
      <c r="M59" s="199">
        <f ca="1">VLOOKUP($AD59,INDIRECT("'"&amp;$B59&amp;"'!"&amp;"$P$39:$AD$42"),3,FALSE)</f>
        <v>12.7</v>
      </c>
      <c r="N59" s="81"/>
      <c r="O59" s="723">
        <f ca="1">VLOOKUP($AD59,INDIRECT("'"&amp;$B59&amp;"'!"&amp;"$P$39:$AD$42"),6,FALSE)/1000</f>
        <v>2.4585000000000004</v>
      </c>
      <c r="P59" s="723">
        <f ca="1">VLOOKUP($AD59,INDIRECT("'"&amp;$B59&amp;"'!"&amp;"$P$39:$AD$42"),7,FALSE)/1000</f>
        <v>1.49E-2</v>
      </c>
      <c r="Q59" s="81">
        <f ca="1">VLOOKUP($AD59,INDIRECT("'"&amp;$B59&amp;"'!"&amp;"$P$39:$AD$42"),8,FALSE)</f>
        <v>5.0701388888888888</v>
      </c>
      <c r="R59" s="300"/>
      <c r="S59" s="300"/>
      <c r="T59" s="300"/>
      <c r="U59" s="199">
        <f ca="1">1/M59</f>
        <v>7.874015748031496E-2</v>
      </c>
      <c r="V59" s="199"/>
      <c r="W59" s="298"/>
      <c r="X59" s="698">
        <f ca="1">IF(VLOOKUP($AD59,INDIRECT("'"&amp;$B59&amp;"'!"&amp;"$P$39:$AD$42"),11,FALSE)="Cf. the utilized electricity",0,VLOOKUP($AD59,INDIRECT("'"&amp;$B59&amp;"'!"&amp;"$P$39:$AD$42"),11,FALSE))</f>
        <v>0</v>
      </c>
      <c r="Y59" s="81">
        <f ca="1">VLOOKUP($AD59,INDIRECT("'"&amp;$B59&amp;"'!"&amp;"$P$39:$AD$42"),12,FALSE)</f>
        <v>0</v>
      </c>
      <c r="Z59" s="81">
        <f ca="1">VLOOKUP($AD59,INDIRECT("'"&amp;$B59&amp;"'!"&amp;"$P$39:$AD$42"),13,FALSE)</f>
        <v>0</v>
      </c>
      <c r="AA59" s="81">
        <f ca="1">VLOOKUP($AD59,INDIRECT("'"&amp;$B59&amp;"'!"&amp;"$P$39:$AD$42"),14,FALSE)</f>
        <v>0</v>
      </c>
      <c r="AB59" s="81">
        <f ca="1">VLOOKUP($AD59,INDIRECT("'"&amp;$B59&amp;"'!"&amp;"$P$39:$AD$42"),15,FALSE)</f>
        <v>0</v>
      </c>
      <c r="AD59" s="81">
        <v>2030</v>
      </c>
      <c r="AE59" s="81"/>
      <c r="AF59" s="220"/>
    </row>
    <row r="60" spans="2:32">
      <c r="B60" s="357" t="s">
        <v>1002</v>
      </c>
      <c r="D60" s="212"/>
      <c r="E60" s="212"/>
      <c r="F60" s="224" t="s">
        <v>1149</v>
      </c>
      <c r="G60" s="173" t="str">
        <f>$AI$20</f>
        <v>INDGWH</v>
      </c>
      <c r="H60" s="174"/>
      <c r="I60" s="174"/>
      <c r="K60" s="81"/>
      <c r="L60" s="199"/>
      <c r="M60" s="199"/>
      <c r="N60" s="81"/>
      <c r="O60" s="723"/>
      <c r="P60" s="723"/>
      <c r="Q60" s="81"/>
      <c r="R60" s="300"/>
      <c r="S60" s="300"/>
      <c r="T60" s="300"/>
      <c r="U60" s="199">
        <f ca="1">1-U59</f>
        <v>0.92125984251968507</v>
      </c>
      <c r="V60" s="300"/>
      <c r="W60" s="298"/>
      <c r="X60" s="698"/>
      <c r="Y60" s="81"/>
      <c r="Z60" s="81"/>
      <c r="AA60" s="81"/>
      <c r="AB60" s="81"/>
      <c r="AD60" s="81"/>
      <c r="AE60" s="81"/>
      <c r="AF60" s="220"/>
    </row>
    <row r="61" spans="2:32">
      <c r="B61" s="357" t="s">
        <v>1002</v>
      </c>
      <c r="D61" s="212"/>
      <c r="E61" s="212"/>
      <c r="F61" s="224" t="s">
        <v>1149</v>
      </c>
      <c r="G61" s="173" t="s">
        <v>499</v>
      </c>
      <c r="H61" s="174" t="str">
        <f>$AI$14</f>
        <v>IGDPH</v>
      </c>
      <c r="I61" s="174"/>
      <c r="J61" s="224">
        <f t="shared" ref="J61" si="21">AD61</f>
        <v>2050</v>
      </c>
      <c r="K61" s="81"/>
      <c r="L61" s="333">
        <v>1</v>
      </c>
      <c r="M61" s="199">
        <f ca="1">VLOOKUP($AD61,INDIRECT("'"&amp;$B61&amp;"'!"&amp;"$P$39:$AD$42"),3,FALSE)</f>
        <v>13.8</v>
      </c>
      <c r="N61" s="81"/>
      <c r="O61" s="723">
        <f ca="1">VLOOKUP($AD61,INDIRECT("'"&amp;$B61&amp;"'!"&amp;"$P$39:$AD$42"),6,FALSE)/1000</f>
        <v>2.3094999999999999</v>
      </c>
      <c r="P61" s="723">
        <f ca="1">VLOOKUP($AD61,INDIRECT("'"&amp;$B61&amp;"'!"&amp;"$P$39:$AD$42"),7,FALSE)/1000</f>
        <v>1.49E-2</v>
      </c>
      <c r="Q61" s="81">
        <f ca="1">VLOOKUP($AD61,INDIRECT("'"&amp;$B61&amp;"'!"&amp;"$P$39:$AD$42"),8,FALSE)</f>
        <v>4.8838888888888903</v>
      </c>
      <c r="R61" s="300"/>
      <c r="S61" s="300"/>
      <c r="T61" s="300"/>
      <c r="U61" s="199">
        <f ca="1">1/M61</f>
        <v>7.2463768115942032E-2</v>
      </c>
      <c r="V61" s="199"/>
      <c r="W61" s="298"/>
      <c r="X61" s="698">
        <f ca="1">IF(VLOOKUP($AD61,INDIRECT("'"&amp;$B61&amp;"'!"&amp;"$P$39:$AD$42"),11,FALSE)="Cf. the utilized electricity",0,VLOOKUP($AD61,INDIRECT("'"&amp;$B61&amp;"'!"&amp;"$P$39:$AD$42"),11,FALSE))</f>
        <v>0</v>
      </c>
      <c r="Y61" s="81">
        <f ca="1">VLOOKUP($AD61,INDIRECT("'"&amp;$B61&amp;"'!"&amp;"$P$39:$AD$42"),12,FALSE)</f>
        <v>0</v>
      </c>
      <c r="Z61" s="81">
        <f ca="1">VLOOKUP($AD61,INDIRECT("'"&amp;$B61&amp;"'!"&amp;"$P$39:$AD$42"),13,FALSE)</f>
        <v>0</v>
      </c>
      <c r="AA61" s="81">
        <f ca="1">VLOOKUP($AD61,INDIRECT("'"&amp;$B61&amp;"'!"&amp;"$P$39:$AD$42"),14,FALSE)</f>
        <v>0</v>
      </c>
      <c r="AB61" s="81">
        <f ca="1">VLOOKUP($AD61,INDIRECT("'"&amp;$B61&amp;"'!"&amp;"$P$39:$AD$42"),15,FALSE)</f>
        <v>0</v>
      </c>
      <c r="AD61" s="81">
        <v>2050</v>
      </c>
      <c r="AE61" s="81"/>
      <c r="AF61" s="220"/>
    </row>
    <row r="62" spans="2:32" ht="15" thickBot="1">
      <c r="B62" s="786" t="s">
        <v>1002</v>
      </c>
      <c r="C62" s="787"/>
      <c r="D62" s="732"/>
      <c r="E62" s="732"/>
      <c r="F62" s="224" t="s">
        <v>1149</v>
      </c>
      <c r="G62" s="788" t="str">
        <f>$AI$20</f>
        <v>INDGWH</v>
      </c>
      <c r="H62" s="788"/>
      <c r="I62" s="788"/>
      <c r="K62" s="789"/>
      <c r="L62" s="790"/>
      <c r="M62" s="790"/>
      <c r="N62" s="789"/>
      <c r="O62" s="791"/>
      <c r="P62" s="791"/>
      <c r="Q62" s="789"/>
      <c r="R62" s="792"/>
      <c r="S62" s="792"/>
      <c r="T62" s="792"/>
      <c r="U62" s="790">
        <f ca="1">1-U61</f>
        <v>0.92753623188405798</v>
      </c>
      <c r="V62" s="796"/>
      <c r="W62" s="793"/>
      <c r="X62" s="794"/>
      <c r="Y62" s="789"/>
      <c r="Z62" s="789"/>
      <c r="AA62" s="789"/>
      <c r="AB62" s="789"/>
      <c r="AC62" s="787"/>
      <c r="AD62" s="789"/>
      <c r="AE62" s="789"/>
      <c r="AF62" s="795"/>
    </row>
    <row r="63" spans="2:32">
      <c r="B63" s="357" t="s">
        <v>920</v>
      </c>
      <c r="D63" s="212" t="str">
        <f>"IND"&amp;RIGHT(H63,4)&amp;RIGHT(G63,3)&amp;"N"&amp;RIGHT(E63,1)</f>
        <v>INDGDPHWSTN1</v>
      </c>
      <c r="E63" s="261" t="str">
        <f>"Industrial heating technology "&amp;$AJ$12&amp;" "&amp;RIGHT(H63,2)&amp;" - Hotdisc - new 1"</f>
        <v>Industrial heating technology Glass &amp; Concrete PH - Hotdisc - new 1</v>
      </c>
      <c r="F63" s="224" t="s">
        <v>1149</v>
      </c>
      <c r="G63" s="832" t="s">
        <v>1005</v>
      </c>
      <c r="H63" s="174" t="str">
        <f>$AI$13</f>
        <v>IGDPH</v>
      </c>
      <c r="I63" s="173" t="str">
        <f t="shared" ref="I63:I70" si="22">$AI$20</f>
        <v>INDGWH</v>
      </c>
      <c r="J63" s="224">
        <f>IF(AD63=2020,2011,AD63)</f>
        <v>2011</v>
      </c>
      <c r="K63" s="299">
        <v>2025</v>
      </c>
      <c r="L63" s="699">
        <f t="shared" ref="L63:L80" ca="1" si="23">VLOOKUP($AD63,INDIRECT("'"&amp;$B63&amp;"'!"&amp;"$P$39:$AD$42"),3,FALSE)</f>
        <v>0.9</v>
      </c>
      <c r="M63" s="699"/>
      <c r="N63" s="299">
        <f ca="1">VLOOKUP($AD63,INDIRECT("'"&amp;$B63&amp;"'!"&amp;"$P$39:$AD$42"),5,FALSE)</f>
        <v>20</v>
      </c>
      <c r="O63" s="725">
        <f t="shared" ref="O63:O80" ca="1" si="24">VLOOKUP($AD63,INDIRECT("'"&amp;$B63&amp;"'!"&amp;"$P$39:$AD$42"),6,FALSE)/1000</f>
        <v>3.7250000000000001</v>
      </c>
      <c r="P63" s="725">
        <f t="shared" ref="P63:P80" ca="1" si="25">VLOOKUP($AD63,INDIRECT("'"&amp;$B63&amp;"'!"&amp;"$P$39:$AD$42"),7,FALSE)/1000</f>
        <v>2.98E-3</v>
      </c>
      <c r="Q63" s="299">
        <f t="shared" ref="Q63:Q80" ca="1" si="26">VLOOKUP($AD63,INDIRECT("'"&amp;$B63&amp;"'!"&amp;"$P$39:$AD$42"),8,FALSE)</f>
        <v>2.4315972222222224</v>
      </c>
      <c r="R63" s="299">
        <v>3.1536000000000002E-2</v>
      </c>
      <c r="S63" s="699">
        <v>0.5</v>
      </c>
      <c r="T63" s="699">
        <f ca="1">HLOOKUP($S$2,INDIRECT("'"&amp;$B63&amp;"'!"&amp;"$P$6:$AC$19"),IF(H63=$AI$13,6,IF(H63=$AI$14,9,14)),FALSE)</f>
        <v>0.15</v>
      </c>
      <c r="U63" s="772"/>
      <c r="V63" s="199">
        <f ca="1">IF(IF(RIGHT(H63,2)="PH",(1-L63)+$W$2,IF(RIGHT(H63,2)="HT",(1-L63)+$W$1,IF(RIGHT(H63,2)="SH",(1-L63)+$W$3,"")))&gt;0,IF(RIGHT(H63,2)="PH",(1-L63)+$W$2,IF(RIGHT(H63,2)="HT",(1-L63)+$W$1,IF(RIGHT(H63,2)="SH",(1-L63)+$W$3,""))),0)</f>
        <v>0.3</v>
      </c>
      <c r="W63" s="298"/>
      <c r="X63" s="785">
        <f t="shared" ref="X63:X94" ca="1" si="27">IF(VLOOKUP($AD63,INDIRECT("'"&amp;$B63&amp;"'!"&amp;"$P$39:$AD$42"),11,FALSE)="Cf. the utilized electricity",0,VLOOKUP($AD63,INDIRECT("'"&amp;$B63&amp;"'!"&amp;"$P$39:$AD$42"),11,FALSE))</f>
        <v>8.3000000000000007</v>
      </c>
      <c r="Y63" s="299">
        <f t="shared" ref="Y63:Y80" ca="1" si="28">VLOOKUP($AD63,INDIRECT("'"&amp;$B63&amp;"'!"&amp;"$P$39:$AD$42"),12,FALSE)</f>
        <v>56</v>
      </c>
      <c r="Z63" s="299">
        <f t="shared" ref="Z63:Z80" ca="1" si="29">VLOOKUP($AD63,INDIRECT("'"&amp;$B63&amp;"'!"&amp;"$P$39:$AD$42"),13,FALSE)</f>
        <v>0.1</v>
      </c>
      <c r="AA63" s="299">
        <f t="shared" ref="AA63:AA80" ca="1" si="30">VLOOKUP($AD63,INDIRECT("'"&amp;$B63&amp;"'!"&amp;"$P$39:$AD$42"),14,FALSE)</f>
        <v>1</v>
      </c>
      <c r="AB63" s="299">
        <f t="shared" ref="AB63:AB80" ca="1" si="31">VLOOKUP($AD63,INDIRECT("'"&amp;$B63&amp;"'!"&amp;"$P$39:$AD$42"),15,FALSE)</f>
        <v>0.28999999999999998</v>
      </c>
      <c r="AD63" s="299">
        <v>2020</v>
      </c>
      <c r="AE63" s="299"/>
      <c r="AF63" s="220"/>
    </row>
    <row r="64" spans="2:32">
      <c r="B64" s="357" t="s">
        <v>920</v>
      </c>
      <c r="D64" s="212"/>
      <c r="E64" s="212"/>
      <c r="F64" s="224" t="s">
        <v>1149</v>
      </c>
      <c r="H64" s="174"/>
      <c r="I64" s="173" t="str">
        <f t="shared" si="22"/>
        <v>INDGWH</v>
      </c>
      <c r="J64" s="224">
        <f t="shared" ref="J64:J127" si="32">IF(AD64=2020,2011,AD64)</f>
        <v>2030</v>
      </c>
      <c r="K64" s="81"/>
      <c r="L64" s="199">
        <f t="shared" ca="1" si="23"/>
        <v>0.91</v>
      </c>
      <c r="M64" s="199"/>
      <c r="N64" s="81"/>
      <c r="O64" s="723">
        <f t="shared" ca="1" si="24"/>
        <v>3.4642500000000003</v>
      </c>
      <c r="P64" s="723">
        <f t="shared" ca="1" si="25"/>
        <v>2.98E-3</v>
      </c>
      <c r="Q64" s="81">
        <f t="shared" ca="1" si="26"/>
        <v>2.4729861111111116</v>
      </c>
      <c r="R64" s="300"/>
      <c r="S64" s="300"/>
      <c r="T64" s="300"/>
      <c r="U64" s="300"/>
      <c r="V64" s="199">
        <f ca="1">IF(IF(RIGHT(H63,2)="PH",(1-L64)+$W$2,IF(RIGHT(H63,2)="HT",(1-L64)+$W$1,IF(RIGHT(H63,2)="SH",(1-L64)+$W$3,"")))&gt;0,IF(RIGHT(H63,2)="PH",(1-L64)+$W$2,IF(RIGHT(H63,2)="HT",(1-L64)+$W$1,IF(RIGHT(H63,2)="SH",(1-L64)+$W$3,""))),0)</f>
        <v>0.28999999999999998</v>
      </c>
      <c r="W64" s="298"/>
      <c r="X64" s="698">
        <f t="shared" ca="1" si="27"/>
        <v>8.3000000000000007</v>
      </c>
      <c r="Y64" s="81">
        <f t="shared" ca="1" si="28"/>
        <v>45</v>
      </c>
      <c r="Z64" s="81">
        <f t="shared" ca="1" si="29"/>
        <v>0.1</v>
      </c>
      <c r="AA64" s="81">
        <f t="shared" ca="1" si="30"/>
        <v>1</v>
      </c>
      <c r="AB64" s="81">
        <f t="shared" ca="1" si="31"/>
        <v>0.28999999999999998</v>
      </c>
      <c r="AD64" s="81">
        <v>2030</v>
      </c>
      <c r="AE64" s="81"/>
      <c r="AF64" s="220"/>
    </row>
    <row r="65" spans="2:32">
      <c r="B65" s="357" t="s">
        <v>920</v>
      </c>
      <c r="D65" s="212"/>
      <c r="E65" s="212"/>
      <c r="F65" s="224" t="s">
        <v>1149</v>
      </c>
      <c r="H65" s="174"/>
      <c r="I65" s="173" t="str">
        <f t="shared" si="22"/>
        <v>INDGWH</v>
      </c>
      <c r="J65" s="224">
        <f t="shared" si="32"/>
        <v>2050</v>
      </c>
      <c r="K65" s="81"/>
      <c r="L65" s="199">
        <f t="shared" ca="1" si="23"/>
        <v>0.93</v>
      </c>
      <c r="M65" s="199"/>
      <c r="N65" s="81"/>
      <c r="O65" s="723">
        <f t="shared" ca="1" si="24"/>
        <v>3.3525</v>
      </c>
      <c r="P65" s="723">
        <f t="shared" ca="1" si="25"/>
        <v>2.98E-3</v>
      </c>
      <c r="Q65" s="81">
        <f t="shared" ca="1" si="26"/>
        <v>2.4936805555555561</v>
      </c>
      <c r="R65" s="300"/>
      <c r="S65" s="300"/>
      <c r="T65" s="300"/>
      <c r="U65" s="300"/>
      <c r="V65" s="199">
        <f ca="1">IF(IF(RIGHT(H63,2)="PH",(1-L65)+$W$2,IF(RIGHT(H63,2)="HT",(1-L65)+$W$1,IF(RIGHT(H63,2)="SH",(1-L65)+$W$3,"")))&gt;0,IF(RIGHT(H63,2)="PH",(1-L65)+$W$2,IF(RIGHT(H63,2)="HT",(1-L65)+$W$1,IF(RIGHT(H63,2)="SH",(1-L65)+$W$3,""))),0)</f>
        <v>0.26999999999999996</v>
      </c>
      <c r="W65" s="298"/>
      <c r="X65" s="698">
        <f t="shared" ca="1" si="27"/>
        <v>8.3000000000000007</v>
      </c>
      <c r="Y65" s="81">
        <f t="shared" ca="1" si="28"/>
        <v>11</v>
      </c>
      <c r="Z65" s="81">
        <f t="shared" ca="1" si="29"/>
        <v>0.1</v>
      </c>
      <c r="AA65" s="81">
        <f t="shared" ca="1" si="30"/>
        <v>1</v>
      </c>
      <c r="AB65" s="81">
        <f t="shared" ca="1" si="31"/>
        <v>0.28999999999999998</v>
      </c>
      <c r="AD65" s="81">
        <v>2050</v>
      </c>
      <c r="AE65" s="81"/>
      <c r="AF65" s="220"/>
    </row>
    <row r="66" spans="2:32">
      <c r="B66" s="357" t="s">
        <v>922</v>
      </c>
      <c r="D66" s="212" t="str">
        <f>"IND"&amp;RIGHT(H66,4)&amp;RIGHT(G66,3)&amp;"N"&amp;RIGHT(E66,1)</f>
        <v>INDGDPHELCN6</v>
      </c>
      <c r="E66" s="261" t="str">
        <f>"Industrial heating technology "&amp;$AJ$12&amp;" "&amp;RIGHT(H66,2)&amp;" - Dielectric heating - new 6"</f>
        <v>Industrial heating technology Glass &amp; Concrete PH - Dielectric heating - new 6</v>
      </c>
      <c r="F66" s="224" t="s">
        <v>1149</v>
      </c>
      <c r="G66" s="173" t="s">
        <v>499</v>
      </c>
      <c r="H66" s="174" t="str">
        <f>$AI$14</f>
        <v>IGDPH</v>
      </c>
      <c r="I66" s="173" t="str">
        <f t="shared" si="22"/>
        <v>INDGWH</v>
      </c>
      <c r="J66" s="224">
        <f t="shared" si="32"/>
        <v>2011</v>
      </c>
      <c r="K66" s="299">
        <v>2020</v>
      </c>
      <c r="L66" s="199">
        <f t="shared" ca="1" si="23"/>
        <v>0.95</v>
      </c>
      <c r="M66" s="199"/>
      <c r="N66" s="81">
        <f ca="1">VLOOKUP($AD66,INDIRECT("'"&amp;$B66&amp;"'!"&amp;"$P$39:$AD$42"),5,FALSE)</f>
        <v>30</v>
      </c>
      <c r="O66" s="723">
        <f t="shared" ca="1" si="24"/>
        <v>20.115000000000002</v>
      </c>
      <c r="P66" s="723">
        <f t="shared" ca="1" si="25"/>
        <v>0</v>
      </c>
      <c r="Q66" s="81">
        <f t="shared" ca="1" si="26"/>
        <v>94.828152777777774</v>
      </c>
      <c r="R66" s="81">
        <v>3.1536000000000002E-2</v>
      </c>
      <c r="S66" s="199">
        <v>0.5</v>
      </c>
      <c r="T66" s="199">
        <f ca="1">HLOOKUP($S$2,INDIRECT("'"&amp;$B66&amp;"'!"&amp;"$P$6:$AC$19"),IF(H66=$AI$13,6,IF(H66=$AI$14,9,14)),FALSE)</f>
        <v>0</v>
      </c>
      <c r="U66" s="772"/>
      <c r="V66" s="199">
        <f t="shared" ref="V66" ca="1" si="33">IF(IF(RIGHT(H66,2)="PH",(1-L66)+$W$2,IF(RIGHT(H66,2)="HT",(1-L66)+$W$1,IF(RIGHT(H66,2)="SH",(1-L66)+$W$3,"")))&gt;0,IF(RIGHT(H66,2)="PH",(1-L66)+$W$2,IF(RIGHT(H66,2)="HT",(1-L66)+$W$1,IF(RIGHT(H66,2)="SH",(1-L66)+$W$3,""))),0)</f>
        <v>0.25000000000000006</v>
      </c>
      <c r="W66" s="298"/>
      <c r="X66" s="698">
        <f t="shared" ca="1" si="27"/>
        <v>0</v>
      </c>
      <c r="Y66" s="81">
        <f t="shared" ca="1" si="28"/>
        <v>0</v>
      </c>
      <c r="Z66" s="81">
        <f t="shared" ca="1" si="29"/>
        <v>0</v>
      </c>
      <c r="AA66" s="81">
        <f t="shared" ca="1" si="30"/>
        <v>0</v>
      </c>
      <c r="AB66" s="81">
        <f t="shared" ca="1" si="31"/>
        <v>0</v>
      </c>
      <c r="AD66" s="81">
        <v>2020</v>
      </c>
      <c r="AE66" s="81"/>
      <c r="AF66" s="220"/>
    </row>
    <row r="67" spans="2:32">
      <c r="B67" s="357" t="s">
        <v>922</v>
      </c>
      <c r="D67" s="212"/>
      <c r="E67" s="212"/>
      <c r="F67" s="224" t="s">
        <v>1149</v>
      </c>
      <c r="H67" s="174"/>
      <c r="I67" s="173" t="str">
        <f t="shared" si="22"/>
        <v>INDGWH</v>
      </c>
      <c r="J67" s="224">
        <f t="shared" si="32"/>
        <v>2030</v>
      </c>
      <c r="K67" s="81"/>
      <c r="L67" s="199">
        <f t="shared" ca="1" si="23"/>
        <v>0.95</v>
      </c>
      <c r="M67" s="199"/>
      <c r="N67" s="81"/>
      <c r="O67" s="723">
        <f t="shared" ca="1" si="24"/>
        <v>19.511550000000003</v>
      </c>
      <c r="P67" s="723">
        <f t="shared" ca="1" si="25"/>
        <v>0</v>
      </c>
      <c r="Q67" s="81">
        <f t="shared" ca="1" si="26"/>
        <v>94.832291666666663</v>
      </c>
      <c r="R67" s="300"/>
      <c r="S67" s="300"/>
      <c r="T67" s="300"/>
      <c r="U67" s="300"/>
      <c r="V67" s="199">
        <f t="shared" ref="V67" ca="1" si="34">IF(IF(RIGHT(H66,2)="PH",(1-L67)+$W$2,IF(RIGHT(H66,2)="HT",(1-L67)+$W$1,IF(RIGHT(H66,2)="SH",(1-L67)+$W$3,"")))&gt;0,IF(RIGHT(H66,2)="PH",(1-L67)+$W$2,IF(RIGHT(H66,2)="HT",(1-L67)+$W$1,IF(RIGHT(H66,2)="SH",(1-L67)+$W$3,""))),0)</f>
        <v>0.25000000000000006</v>
      </c>
      <c r="W67" s="298"/>
      <c r="X67" s="698">
        <f t="shared" ca="1" si="27"/>
        <v>0</v>
      </c>
      <c r="Y67" s="81">
        <f t="shared" ca="1" si="28"/>
        <v>0</v>
      </c>
      <c r="Z67" s="81">
        <f t="shared" ca="1" si="29"/>
        <v>0</v>
      </c>
      <c r="AA67" s="81">
        <f t="shared" ca="1" si="30"/>
        <v>0</v>
      </c>
      <c r="AB67" s="81">
        <f t="shared" ca="1" si="31"/>
        <v>0</v>
      </c>
      <c r="AD67" s="81">
        <v>2030</v>
      </c>
      <c r="AE67" s="81"/>
      <c r="AF67" s="220"/>
    </row>
    <row r="68" spans="2:32">
      <c r="B68" s="357" t="s">
        <v>922</v>
      </c>
      <c r="D68" s="212"/>
      <c r="E68" s="212"/>
      <c r="F68" s="224" t="s">
        <v>1149</v>
      </c>
      <c r="H68" s="174"/>
      <c r="I68" s="173" t="str">
        <f t="shared" si="22"/>
        <v>INDGWH</v>
      </c>
      <c r="J68" s="224">
        <f t="shared" si="32"/>
        <v>2050</v>
      </c>
      <c r="K68" s="81"/>
      <c r="L68" s="199">
        <f t="shared" ca="1" si="23"/>
        <v>0.95</v>
      </c>
      <c r="M68" s="199"/>
      <c r="N68" s="81"/>
      <c r="O68" s="723">
        <f t="shared" ca="1" si="24"/>
        <v>18.1035</v>
      </c>
      <c r="P68" s="723">
        <f t="shared" ca="1" si="25"/>
        <v>0</v>
      </c>
      <c r="Q68" s="81">
        <f t="shared" ca="1" si="26"/>
        <v>94.834361111111107</v>
      </c>
      <c r="R68" s="300"/>
      <c r="S68" s="300"/>
      <c r="T68" s="300"/>
      <c r="U68" s="300"/>
      <c r="V68" s="199">
        <f t="shared" ref="V68" ca="1" si="35">IF(IF(RIGHT(H66,2)="PH",(1-L68)+$W$2,IF(RIGHT(H66,2)="HT",(1-L68)+$W$1,IF(RIGHT(H66,2)="SH",(1-L68)+$W$3,"")))&gt;0,IF(RIGHT(H66,2)="PH",(1-L68)+$W$2,IF(RIGHT(H66,2)="HT",(1-L68)+$W$1,IF(RIGHT(H66,2)="SH",(1-L68)+$W$3,""))),0)</f>
        <v>0.25000000000000006</v>
      </c>
      <c r="W68" s="298"/>
      <c r="X68" s="698">
        <f t="shared" ca="1" si="27"/>
        <v>0</v>
      </c>
      <c r="Y68" s="81">
        <f t="shared" ca="1" si="28"/>
        <v>0</v>
      </c>
      <c r="Z68" s="81">
        <f t="shared" ca="1" si="29"/>
        <v>0</v>
      </c>
      <c r="AA68" s="81">
        <f t="shared" ca="1" si="30"/>
        <v>0</v>
      </c>
      <c r="AB68" s="81">
        <f t="shared" ca="1" si="31"/>
        <v>0</v>
      </c>
      <c r="AD68" s="81">
        <v>2050</v>
      </c>
      <c r="AE68" s="81"/>
      <c r="AF68" s="220"/>
    </row>
    <row r="69" spans="2:32">
      <c r="B69" s="357" t="s">
        <v>1006</v>
      </c>
      <c r="D69" s="212" t="str">
        <f>"IND"&amp;RIGHT(H69,4)&amp;RIGHT(G69,3)&amp;"N"&amp;RIGHT(E69,1)</f>
        <v>INDGDPHELCN7</v>
      </c>
      <c r="E69" s="261" t="str">
        <f>"Industrial heating technology "&amp;$AJ$12&amp;" "&amp;RIGHT(H69,2)&amp;" - Infrared heating - new 7"</f>
        <v>Industrial heating technology Glass &amp; Concrete PH - Infrared heating - new 7</v>
      </c>
      <c r="F69" s="224" t="s">
        <v>1149</v>
      </c>
      <c r="G69" s="173" t="s">
        <v>499</v>
      </c>
      <c r="H69" s="174" t="str">
        <f>$AI$14</f>
        <v>IGDPH</v>
      </c>
      <c r="I69" s="173" t="str">
        <f t="shared" si="22"/>
        <v>INDGWH</v>
      </c>
      <c r="J69" s="224">
        <f t="shared" si="32"/>
        <v>2011</v>
      </c>
      <c r="K69" s="299">
        <v>2020</v>
      </c>
      <c r="L69" s="199">
        <f t="shared" ca="1" si="23"/>
        <v>0.96</v>
      </c>
      <c r="M69" s="199"/>
      <c r="N69" s="81">
        <f ca="1">VLOOKUP($AD69,INDIRECT("'"&amp;$B69&amp;"'!"&amp;"$P$39:$AD$42"),5,FALSE)</f>
        <v>30</v>
      </c>
      <c r="O69" s="723">
        <f t="shared" ca="1" si="24"/>
        <v>2.6074999999999999</v>
      </c>
      <c r="P69" s="723">
        <f t="shared" ca="1" si="25"/>
        <v>0</v>
      </c>
      <c r="Q69" s="81">
        <f t="shared" ca="1" si="26"/>
        <v>242.27606944444443</v>
      </c>
      <c r="R69" s="81">
        <v>3.1536000000000002E-2</v>
      </c>
      <c r="S69" s="199">
        <v>0.5</v>
      </c>
      <c r="T69" s="199">
        <f ca="1">HLOOKUP($S$2,INDIRECT("'"&amp;$B69&amp;"'!"&amp;"$P$6:$AC$19"),IF(H69=$AI$13,6,IF(H69=$AI$14,9,14)),FALSE)</f>
        <v>0</v>
      </c>
      <c r="U69" s="772"/>
      <c r="V69" s="199">
        <f t="shared" ref="V69" ca="1" si="36">IF(IF(RIGHT(H69,2)="PH",(1-L69)+$W$2,IF(RIGHT(H69,2)="HT",(1-L69)+$W$1,IF(RIGHT(H69,2)="SH",(1-L69)+$W$3,"")))&gt;0,IF(RIGHT(H69,2)="PH",(1-L69)+$W$2,IF(RIGHT(H69,2)="HT",(1-L69)+$W$1,IF(RIGHT(H69,2)="SH",(1-L69)+$W$3,""))),0)</f>
        <v>0.24000000000000005</v>
      </c>
      <c r="W69" s="298"/>
      <c r="X69" s="698">
        <f t="shared" ca="1" si="27"/>
        <v>0</v>
      </c>
      <c r="Y69" s="81">
        <f t="shared" ca="1" si="28"/>
        <v>0</v>
      </c>
      <c r="Z69" s="81">
        <f t="shared" ca="1" si="29"/>
        <v>0</v>
      </c>
      <c r="AA69" s="81">
        <f t="shared" ca="1" si="30"/>
        <v>0</v>
      </c>
      <c r="AB69" s="81">
        <f t="shared" ca="1" si="31"/>
        <v>0</v>
      </c>
      <c r="AD69" s="81">
        <v>2020</v>
      </c>
      <c r="AE69" s="81"/>
      <c r="AF69" s="220"/>
    </row>
    <row r="70" spans="2:32">
      <c r="B70" s="357" t="s">
        <v>1006</v>
      </c>
      <c r="D70" s="212"/>
      <c r="E70" s="212"/>
      <c r="F70" s="224" t="s">
        <v>1149</v>
      </c>
      <c r="H70" s="174"/>
      <c r="I70" s="173" t="str">
        <f t="shared" si="22"/>
        <v>INDGWH</v>
      </c>
      <c r="J70" s="224">
        <f t="shared" si="32"/>
        <v>2030</v>
      </c>
      <c r="K70" s="81"/>
      <c r="L70" s="199">
        <f t="shared" ca="1" si="23"/>
        <v>0.96</v>
      </c>
      <c r="M70" s="199"/>
      <c r="N70" s="81"/>
      <c r="O70" s="723">
        <f t="shared" ca="1" si="24"/>
        <v>2.5330000000000004</v>
      </c>
      <c r="P70" s="723">
        <f t="shared" ca="1" si="25"/>
        <v>0</v>
      </c>
      <c r="Q70" s="81">
        <f t="shared" ca="1" si="26"/>
        <v>242.28020833333332</v>
      </c>
      <c r="R70" s="300"/>
      <c r="S70" s="300"/>
      <c r="T70" s="300"/>
      <c r="U70" s="300"/>
      <c r="V70" s="199">
        <f t="shared" ref="V70" ca="1" si="37">IF(IF(RIGHT(H69,2)="PH",(1-L70)+$W$2,IF(RIGHT(H69,2)="HT",(1-L70)+$W$1,IF(RIGHT(H69,2)="SH",(1-L70)+$W$3,"")))&gt;0,IF(RIGHT(H69,2)="PH",(1-L70)+$W$2,IF(RIGHT(H69,2)="HT",(1-L70)+$W$1,IF(RIGHT(H69,2)="SH",(1-L70)+$W$3,""))),0)</f>
        <v>0.24000000000000005</v>
      </c>
      <c r="W70" s="298"/>
      <c r="X70" s="698">
        <f t="shared" ca="1" si="27"/>
        <v>0</v>
      </c>
      <c r="Y70" s="81">
        <f t="shared" ca="1" si="28"/>
        <v>0</v>
      </c>
      <c r="Z70" s="81">
        <f t="shared" ca="1" si="29"/>
        <v>0</v>
      </c>
      <c r="AA70" s="81">
        <f t="shared" ca="1" si="30"/>
        <v>0</v>
      </c>
      <c r="AB70" s="81">
        <f t="shared" ca="1" si="31"/>
        <v>0</v>
      </c>
      <c r="AD70" s="81">
        <v>2030</v>
      </c>
      <c r="AE70" s="81"/>
      <c r="AF70" s="220"/>
    </row>
    <row r="71" spans="2:32">
      <c r="B71" s="357" t="s">
        <v>1006</v>
      </c>
      <c r="D71" s="212"/>
      <c r="E71" s="212"/>
      <c r="F71" s="224" t="s">
        <v>1149</v>
      </c>
      <c r="H71" s="174"/>
      <c r="I71" s="174" t="str">
        <f t="shared" ref="I71:I134" si="38">$AI$20</f>
        <v>INDGWH</v>
      </c>
      <c r="J71" s="224">
        <f t="shared" si="32"/>
        <v>2050</v>
      </c>
      <c r="K71" s="81"/>
      <c r="L71" s="199">
        <f t="shared" ca="1" si="23"/>
        <v>0.96</v>
      </c>
      <c r="M71" s="199"/>
      <c r="N71" s="81"/>
      <c r="O71" s="723">
        <f t="shared" ca="1" si="24"/>
        <v>2.3467500000000001</v>
      </c>
      <c r="P71" s="723">
        <f t="shared" ca="1" si="25"/>
        <v>0</v>
      </c>
      <c r="Q71" s="81">
        <f t="shared" ca="1" si="26"/>
        <v>242.28227777777775</v>
      </c>
      <c r="R71" s="300"/>
      <c r="S71" s="300"/>
      <c r="T71" s="300"/>
      <c r="U71" s="300"/>
      <c r="V71" s="199">
        <f t="shared" ref="V71" ca="1" si="39">IF(IF(RIGHT(H69,2)="PH",(1-L71)+$W$2,IF(RIGHT(H69,2)="HT",(1-L71)+$W$1,IF(RIGHT(H69,2)="SH",(1-L71)+$W$3,"")))&gt;0,IF(RIGHT(H69,2)="PH",(1-L71)+$W$2,IF(RIGHT(H69,2)="HT",(1-L71)+$W$1,IF(RIGHT(H69,2)="SH",(1-L71)+$W$3,""))),0)</f>
        <v>0.24000000000000005</v>
      </c>
      <c r="W71" s="298"/>
      <c r="X71" s="698">
        <f t="shared" ca="1" si="27"/>
        <v>0</v>
      </c>
      <c r="Y71" s="81">
        <f t="shared" ca="1" si="28"/>
        <v>0</v>
      </c>
      <c r="Z71" s="81">
        <f t="shared" ca="1" si="29"/>
        <v>0</v>
      </c>
      <c r="AA71" s="81">
        <f t="shared" ca="1" si="30"/>
        <v>0</v>
      </c>
      <c r="AB71" s="81">
        <f t="shared" ca="1" si="31"/>
        <v>0</v>
      </c>
      <c r="AD71" s="81">
        <v>2050</v>
      </c>
      <c r="AE71" s="81"/>
      <c r="AF71" s="220"/>
    </row>
    <row r="72" spans="2:32">
      <c r="B72" s="357" t="s">
        <v>1007</v>
      </c>
      <c r="D72" s="212" t="str">
        <f>"IND"&amp;RIGHT(H72,4)&amp;RIGHT(G72,3)&amp;"N"&amp;RIGHT(E72,1)</f>
        <v>INDGDPHELCN8</v>
      </c>
      <c r="E72" s="261" t="str">
        <f>"Industrial heating technology "&amp;$AJ$12&amp;" "&amp;RIGHT(H72,2)&amp;" - Electric boiler (Steam) - new 8"</f>
        <v>Industrial heating technology Glass &amp; Concrete PH - Electric boiler (Steam) - new 8</v>
      </c>
      <c r="F72" s="224" t="s">
        <v>1149</v>
      </c>
      <c r="G72" s="173" t="s">
        <v>499</v>
      </c>
      <c r="H72" s="174" t="str">
        <f>$AI$13</f>
        <v>IGDPH</v>
      </c>
      <c r="I72" s="174" t="str">
        <f t="shared" si="38"/>
        <v>INDGWH</v>
      </c>
      <c r="J72" s="224">
        <f t="shared" si="32"/>
        <v>2011</v>
      </c>
      <c r="K72" s="299">
        <v>2020</v>
      </c>
      <c r="L72" s="199">
        <f t="shared" ca="1" si="23"/>
        <v>0.99</v>
      </c>
      <c r="M72" s="199"/>
      <c r="N72" s="81">
        <f ca="1">VLOOKUP($AD72,INDIRECT("'"&amp;$B72&amp;"'!"&amp;"$P$39:$AD$42"),5,FALSE)</f>
        <v>25</v>
      </c>
      <c r="O72" s="723">
        <f t="shared" ca="1" si="24"/>
        <v>0.59599999999999997</v>
      </c>
      <c r="P72" s="723">
        <f t="shared" ca="1" si="25"/>
        <v>7.9714999999999994E-3</v>
      </c>
      <c r="Q72" s="81">
        <f t="shared" ca="1" si="26"/>
        <v>1.7900694444444445</v>
      </c>
      <c r="R72" s="81">
        <v>3.1536000000000002E-2</v>
      </c>
      <c r="S72" s="199">
        <v>0.5</v>
      </c>
      <c r="T72" s="199">
        <f ca="1">HLOOKUP($T$2,INDIRECT("'"&amp;$B72&amp;"'!"&amp;"$P$6:$AC$19"),IF(H72=$AI$13,6,IF(H72=$AI$14,9,14)),FALSE)</f>
        <v>1</v>
      </c>
      <c r="U72" s="772"/>
      <c r="V72" s="199">
        <f t="shared" ref="V72" ca="1" si="40">IF(IF(RIGHT(H72,2)="PH",(1-L72)+$W$2,IF(RIGHT(H72,2)="HT",(1-L72)+$W$1,IF(RIGHT(H72,2)="SH",(1-L72)+$W$3,"")))&gt;0,IF(RIGHT(H72,2)="PH",(1-L72)+$W$2,IF(RIGHT(H72,2)="HT",(1-L72)+$W$1,IF(RIGHT(H72,2)="SH",(1-L72)+$W$3,""))),0)</f>
        <v>0.21000000000000002</v>
      </c>
      <c r="W72" s="298"/>
      <c r="X72" s="698">
        <f t="shared" ca="1" si="27"/>
        <v>0</v>
      </c>
      <c r="Y72" s="81">
        <f t="shared" ca="1" si="28"/>
        <v>0</v>
      </c>
      <c r="Z72" s="81">
        <f t="shared" ca="1" si="29"/>
        <v>0</v>
      </c>
      <c r="AA72" s="81">
        <f t="shared" ca="1" si="30"/>
        <v>0</v>
      </c>
      <c r="AB72" s="81">
        <f t="shared" ca="1" si="31"/>
        <v>0</v>
      </c>
      <c r="AD72" s="81">
        <v>2020</v>
      </c>
      <c r="AE72" s="81"/>
      <c r="AF72" s="220"/>
    </row>
    <row r="73" spans="2:32">
      <c r="B73" s="357" t="s">
        <v>1007</v>
      </c>
      <c r="D73" s="212"/>
      <c r="E73" s="212"/>
      <c r="F73" s="224" t="s">
        <v>1149</v>
      </c>
      <c r="H73" s="174"/>
      <c r="I73" s="174" t="str">
        <f t="shared" si="38"/>
        <v>INDGWH</v>
      </c>
      <c r="J73" s="224">
        <f t="shared" si="32"/>
        <v>2030</v>
      </c>
      <c r="K73" s="81"/>
      <c r="L73" s="199">
        <f t="shared" ca="1" si="23"/>
        <v>0.99</v>
      </c>
      <c r="M73" s="199"/>
      <c r="N73" s="81"/>
      <c r="O73" s="723">
        <f t="shared" ca="1" si="24"/>
        <v>0.52150000000000007</v>
      </c>
      <c r="P73" s="723">
        <f t="shared" ca="1" si="25"/>
        <v>7.5989999999999999E-3</v>
      </c>
      <c r="Q73" s="81">
        <f t="shared" ca="1" si="26"/>
        <v>1.8107638888888888</v>
      </c>
      <c r="R73" s="300"/>
      <c r="S73" s="300"/>
      <c r="T73" s="300"/>
      <c r="U73" s="300"/>
      <c r="V73" s="199">
        <f t="shared" ref="V73" ca="1" si="41">IF(IF(RIGHT(H72,2)="PH",(1-L73)+$W$2,IF(RIGHT(H72,2)="HT",(1-L73)+$W$1,IF(RIGHT(H72,2)="SH",(1-L73)+$W$3,"")))&gt;0,IF(RIGHT(H72,2)="PH",(1-L73)+$W$2,IF(RIGHT(H72,2)="HT",(1-L73)+$W$1,IF(RIGHT(H72,2)="SH",(1-L73)+$W$3,""))),0)</f>
        <v>0.21000000000000002</v>
      </c>
      <c r="W73" s="298"/>
      <c r="X73" s="698">
        <f t="shared" ca="1" si="27"/>
        <v>0</v>
      </c>
      <c r="Y73" s="81">
        <f t="shared" ca="1" si="28"/>
        <v>0</v>
      </c>
      <c r="Z73" s="81">
        <f t="shared" ca="1" si="29"/>
        <v>0</v>
      </c>
      <c r="AA73" s="81">
        <f t="shared" ca="1" si="30"/>
        <v>0</v>
      </c>
      <c r="AB73" s="81">
        <f t="shared" ca="1" si="31"/>
        <v>0</v>
      </c>
      <c r="AD73" s="81">
        <v>2030</v>
      </c>
      <c r="AE73" s="81"/>
      <c r="AF73" s="220"/>
    </row>
    <row r="74" spans="2:32">
      <c r="B74" s="357" t="s">
        <v>1007</v>
      </c>
      <c r="D74" s="212"/>
      <c r="E74" s="212"/>
      <c r="F74" s="224" t="s">
        <v>1149</v>
      </c>
      <c r="H74" s="174"/>
      <c r="I74" s="174" t="str">
        <f t="shared" si="38"/>
        <v>INDGWH</v>
      </c>
      <c r="J74" s="224">
        <f t="shared" si="32"/>
        <v>2050</v>
      </c>
      <c r="K74" s="81"/>
      <c r="L74" s="199">
        <f t="shared" ca="1" si="23"/>
        <v>0.99</v>
      </c>
      <c r="M74" s="199"/>
      <c r="N74" s="81"/>
      <c r="O74" s="723">
        <f t="shared" ca="1" si="24"/>
        <v>0.52150000000000007</v>
      </c>
      <c r="P74" s="723">
        <f t="shared" ca="1" si="25"/>
        <v>6.8539999999999998E-3</v>
      </c>
      <c r="Q74" s="81">
        <f t="shared" ca="1" si="26"/>
        <v>1.6141666666666665</v>
      </c>
      <c r="R74" s="300"/>
      <c r="S74" s="300"/>
      <c r="T74" s="300"/>
      <c r="U74" s="300"/>
      <c r="V74" s="199">
        <f t="shared" ref="V74" ca="1" si="42">IF(IF(RIGHT(H72,2)="PH",(1-L74)+$W$2,IF(RIGHT(H72,2)="HT",(1-L74)+$W$1,IF(RIGHT(H72,2)="SH",(1-L74)+$W$3,"")))&gt;0,IF(RIGHT(H72,2)="PH",(1-L74)+$W$2,IF(RIGHT(H72,2)="HT",(1-L74)+$W$1,IF(RIGHT(H72,2)="SH",(1-L74)+$W$3,""))),0)</f>
        <v>0.21000000000000002</v>
      </c>
      <c r="W74" s="298"/>
      <c r="X74" s="698">
        <f t="shared" ca="1" si="27"/>
        <v>0</v>
      </c>
      <c r="Y74" s="81">
        <f t="shared" ca="1" si="28"/>
        <v>0</v>
      </c>
      <c r="Z74" s="81">
        <f t="shared" ca="1" si="29"/>
        <v>0</v>
      </c>
      <c r="AA74" s="81">
        <f t="shared" ca="1" si="30"/>
        <v>0</v>
      </c>
      <c r="AB74" s="81">
        <f t="shared" ca="1" si="31"/>
        <v>0</v>
      </c>
      <c r="AD74" s="81">
        <v>2050</v>
      </c>
      <c r="AE74" s="81"/>
      <c r="AF74" s="220"/>
    </row>
    <row r="75" spans="2:32">
      <c r="B75" s="357" t="s">
        <v>1007</v>
      </c>
      <c r="D75" s="212" t="str">
        <f>"IND"&amp;RIGHT(H75,4)&amp;RIGHT(G75,3)&amp;"N"&amp;RIGHT(E75,1)</f>
        <v>INDGDPHELCN8</v>
      </c>
      <c r="E75" s="261" t="str">
        <f>"Industrial heating technology "&amp;$AJ$12&amp;" "&amp;RIGHT(H75,2)&amp;" - Electric boiler (Steam) - new 8"</f>
        <v>Industrial heating technology Glass &amp; Concrete PH - Electric boiler (Steam) - new 8</v>
      </c>
      <c r="F75" s="224" t="s">
        <v>1149</v>
      </c>
      <c r="G75" s="173" t="s">
        <v>499</v>
      </c>
      <c r="H75" s="174" t="str">
        <f>$AI$14</f>
        <v>IGDPH</v>
      </c>
      <c r="I75" s="174" t="str">
        <f t="shared" si="38"/>
        <v>INDGWH</v>
      </c>
      <c r="J75" s="224">
        <f t="shared" si="32"/>
        <v>2011</v>
      </c>
      <c r="K75" s="299">
        <v>2020</v>
      </c>
      <c r="L75" s="199">
        <f t="shared" ca="1" si="23"/>
        <v>0.99</v>
      </c>
      <c r="M75" s="199"/>
      <c r="N75" s="81">
        <f ca="1">VLOOKUP($AD75,INDIRECT("'"&amp;$B75&amp;"'!"&amp;"$P$39:$AD$42"),5,FALSE)</f>
        <v>25</v>
      </c>
      <c r="O75" s="723">
        <f t="shared" ca="1" si="24"/>
        <v>0.59599999999999997</v>
      </c>
      <c r="P75" s="723">
        <f t="shared" ca="1" si="25"/>
        <v>7.9714999999999994E-3</v>
      </c>
      <c r="Q75" s="81">
        <f t="shared" ca="1" si="26"/>
        <v>1.7900694444444445</v>
      </c>
      <c r="R75" s="81">
        <v>3.1536000000000002E-2</v>
      </c>
      <c r="S75" s="199">
        <v>0.5</v>
      </c>
      <c r="T75" s="199">
        <f ca="1">HLOOKUP($T$2,INDIRECT("'"&amp;$B75&amp;"'!"&amp;"$P$6:$AC$19"),IF(H75=$AI$13,6,IF(H75=$AI$14,9,14)),FALSE)</f>
        <v>1</v>
      </c>
      <c r="U75" s="772"/>
      <c r="V75" s="199">
        <f t="shared" ref="V75" ca="1" si="43">IF(IF(RIGHT(H75,2)="PH",(1-L75)+$W$2,IF(RIGHT(H75,2)="HT",(1-L75)+$W$1,IF(RIGHT(H75,2)="SH",(1-L75)+$W$3,"")))&gt;0,IF(RIGHT(H75,2)="PH",(1-L75)+$W$2,IF(RIGHT(H75,2)="HT",(1-L75)+$W$1,IF(RIGHT(H75,2)="SH",(1-L75)+$W$3,""))),0)</f>
        <v>0.21000000000000002</v>
      </c>
      <c r="W75" s="298"/>
      <c r="X75" s="698">
        <f t="shared" ca="1" si="27"/>
        <v>0</v>
      </c>
      <c r="Y75" s="81">
        <f t="shared" ca="1" si="28"/>
        <v>0</v>
      </c>
      <c r="Z75" s="81">
        <f t="shared" ca="1" si="29"/>
        <v>0</v>
      </c>
      <c r="AA75" s="81">
        <f t="shared" ca="1" si="30"/>
        <v>0</v>
      </c>
      <c r="AB75" s="81">
        <f t="shared" ca="1" si="31"/>
        <v>0</v>
      </c>
      <c r="AD75" s="81">
        <v>2020</v>
      </c>
      <c r="AE75" s="81"/>
      <c r="AF75" s="220"/>
    </row>
    <row r="76" spans="2:32">
      <c r="B76" s="357" t="s">
        <v>1007</v>
      </c>
      <c r="D76" s="212"/>
      <c r="E76" s="212"/>
      <c r="F76" s="224" t="s">
        <v>1149</v>
      </c>
      <c r="H76" s="174"/>
      <c r="I76" s="174" t="str">
        <f t="shared" si="38"/>
        <v>INDGWH</v>
      </c>
      <c r="J76" s="224">
        <f t="shared" si="32"/>
        <v>2030</v>
      </c>
      <c r="K76" s="81"/>
      <c r="L76" s="199">
        <f t="shared" ca="1" si="23"/>
        <v>0.99</v>
      </c>
      <c r="M76" s="199"/>
      <c r="N76" s="81"/>
      <c r="O76" s="723">
        <f t="shared" ca="1" si="24"/>
        <v>0.52150000000000007</v>
      </c>
      <c r="P76" s="723">
        <f t="shared" ca="1" si="25"/>
        <v>7.5989999999999999E-3</v>
      </c>
      <c r="Q76" s="81">
        <f t="shared" ca="1" si="26"/>
        <v>1.8107638888888888</v>
      </c>
      <c r="R76" s="300"/>
      <c r="S76" s="300"/>
      <c r="T76" s="300"/>
      <c r="U76" s="300"/>
      <c r="V76" s="199">
        <f t="shared" ref="V76" ca="1" si="44">IF(IF(RIGHT(H75,2)="PH",(1-L76)+$W$2,IF(RIGHT(H75,2)="HT",(1-L76)+$W$1,IF(RIGHT(H75,2)="SH",(1-L76)+$W$3,"")))&gt;0,IF(RIGHT(H75,2)="PH",(1-L76)+$W$2,IF(RIGHT(H75,2)="HT",(1-L76)+$W$1,IF(RIGHT(H75,2)="SH",(1-L76)+$W$3,""))),0)</f>
        <v>0.21000000000000002</v>
      </c>
      <c r="W76" s="298"/>
      <c r="X76" s="698">
        <f t="shared" ca="1" si="27"/>
        <v>0</v>
      </c>
      <c r="Y76" s="81">
        <f t="shared" ca="1" si="28"/>
        <v>0</v>
      </c>
      <c r="Z76" s="81">
        <f t="shared" ca="1" si="29"/>
        <v>0</v>
      </c>
      <c r="AA76" s="81">
        <f t="shared" ca="1" si="30"/>
        <v>0</v>
      </c>
      <c r="AB76" s="81">
        <f t="shared" ca="1" si="31"/>
        <v>0</v>
      </c>
      <c r="AD76" s="81">
        <v>2030</v>
      </c>
      <c r="AE76" s="81"/>
      <c r="AF76" s="220"/>
    </row>
    <row r="77" spans="2:32">
      <c r="B77" s="357" t="s">
        <v>1007</v>
      </c>
      <c r="D77" s="212"/>
      <c r="E77" s="212"/>
      <c r="F77" s="224" t="s">
        <v>1149</v>
      </c>
      <c r="H77" s="174"/>
      <c r="I77" s="174" t="str">
        <f t="shared" si="38"/>
        <v>INDGWH</v>
      </c>
      <c r="J77" s="224">
        <f t="shared" si="32"/>
        <v>2050</v>
      </c>
      <c r="K77" s="81"/>
      <c r="L77" s="199">
        <f t="shared" ca="1" si="23"/>
        <v>0.99</v>
      </c>
      <c r="M77" s="199"/>
      <c r="N77" s="81"/>
      <c r="O77" s="723">
        <f t="shared" ca="1" si="24"/>
        <v>0.52150000000000007</v>
      </c>
      <c r="P77" s="723">
        <f t="shared" ca="1" si="25"/>
        <v>6.8539999999999998E-3</v>
      </c>
      <c r="Q77" s="81">
        <f t="shared" ca="1" si="26"/>
        <v>1.6141666666666665</v>
      </c>
      <c r="R77" s="300"/>
      <c r="S77" s="300"/>
      <c r="T77" s="300"/>
      <c r="U77" s="300"/>
      <c r="V77" s="199">
        <f t="shared" ref="V77" ca="1" si="45">IF(IF(RIGHT(H75,2)="PH",(1-L77)+$W$2,IF(RIGHT(H75,2)="HT",(1-L77)+$W$1,IF(RIGHT(H75,2)="SH",(1-L77)+$W$3,"")))&gt;0,IF(RIGHT(H75,2)="PH",(1-L77)+$W$2,IF(RIGHT(H75,2)="HT",(1-L77)+$W$1,IF(RIGHT(H75,2)="SH",(1-L77)+$W$3,""))),0)</f>
        <v>0.21000000000000002</v>
      </c>
      <c r="W77" s="298"/>
      <c r="X77" s="698">
        <f t="shared" ca="1" si="27"/>
        <v>0</v>
      </c>
      <c r="Y77" s="81">
        <f t="shared" ca="1" si="28"/>
        <v>0</v>
      </c>
      <c r="Z77" s="81">
        <f t="shared" ca="1" si="29"/>
        <v>0</v>
      </c>
      <c r="AA77" s="81">
        <f t="shared" ca="1" si="30"/>
        <v>0</v>
      </c>
      <c r="AB77" s="81">
        <f t="shared" ca="1" si="31"/>
        <v>0</v>
      </c>
      <c r="AD77" s="81">
        <v>2050</v>
      </c>
      <c r="AE77" s="706"/>
      <c r="AF77" s="220"/>
    </row>
    <row r="78" spans="2:32">
      <c r="B78" s="357" t="s">
        <v>1007</v>
      </c>
      <c r="D78" s="212" t="str">
        <f>"IND"&amp;RIGHT(H78,4)&amp;RIGHT(G78,3)&amp;"N"&amp;RIGHT(E78,1)</f>
        <v>INDGDSHELCN8</v>
      </c>
      <c r="E78" s="261" t="str">
        <f>"Industrial heating technology "&amp;$AJ$12&amp;" "&amp;RIGHT(H78,2)&amp;" - Electric boiler (Steam) - new 8"</f>
        <v>Industrial heating technology Glass &amp; Concrete SH - Electric boiler (Steam) - new 8</v>
      </c>
      <c r="F78" s="224" t="s">
        <v>1149</v>
      </c>
      <c r="G78" s="173" t="s">
        <v>499</v>
      </c>
      <c r="H78" s="174" t="str">
        <f>$AI$15</f>
        <v>IGDSH</v>
      </c>
      <c r="I78" s="174" t="str">
        <f t="shared" si="38"/>
        <v>INDGWH</v>
      </c>
      <c r="J78" s="224">
        <f t="shared" si="32"/>
        <v>2011</v>
      </c>
      <c r="K78" s="299">
        <v>2020</v>
      </c>
      <c r="L78" s="199">
        <f t="shared" ca="1" si="23"/>
        <v>0.99</v>
      </c>
      <c r="M78" s="199"/>
      <c r="N78" s="81">
        <f ca="1">VLOOKUP($AD78,INDIRECT("'"&amp;$B78&amp;"'!"&amp;"$P$39:$AD$42"),5,FALSE)</f>
        <v>25</v>
      </c>
      <c r="O78" s="723">
        <f t="shared" ca="1" si="24"/>
        <v>0.59599999999999997</v>
      </c>
      <c r="P78" s="723">
        <f t="shared" ca="1" si="25"/>
        <v>7.9714999999999994E-3</v>
      </c>
      <c r="Q78" s="81">
        <f t="shared" ca="1" si="26"/>
        <v>1.7900694444444445</v>
      </c>
      <c r="R78" s="81">
        <v>3.1536000000000002E-2</v>
      </c>
      <c r="S78" s="199">
        <v>0.5</v>
      </c>
      <c r="T78" s="199">
        <f ca="1">HLOOKUP($T$2,INDIRECT("'"&amp;$B78&amp;"'!"&amp;"$P$6:$AC$19"),IF(H78=$AI$13,6,IF(H78=$AI$14,9,14)),FALSE)</f>
        <v>1</v>
      </c>
      <c r="U78" s="772"/>
      <c r="V78" s="199">
        <f t="shared" ref="V78" ca="1" si="46">IF(IF(RIGHT(H78,2)="PH",(1-L78)+$W$2,IF(RIGHT(H78,2)="HT",(1-L78)+$W$1,IF(RIGHT(H78,2)="SH",(1-L78)+$W$3,"")))&gt;0,IF(RIGHT(H78,2)="PH",(1-L78)+$W$2,IF(RIGHT(H78,2)="HT",(1-L78)+$W$1,IF(RIGHT(H78,2)="SH",(1-L78)+$W$3,""))),0)</f>
        <v>1.0000000000000009E-2</v>
      </c>
      <c r="W78" s="298"/>
      <c r="X78" s="698">
        <f t="shared" ca="1" si="27"/>
        <v>0</v>
      </c>
      <c r="Y78" s="81">
        <f t="shared" ca="1" si="28"/>
        <v>0</v>
      </c>
      <c r="Z78" s="81">
        <f t="shared" ca="1" si="29"/>
        <v>0</v>
      </c>
      <c r="AA78" s="81">
        <f t="shared" ca="1" si="30"/>
        <v>0</v>
      </c>
      <c r="AB78" s="81">
        <f t="shared" ca="1" si="31"/>
        <v>0</v>
      </c>
      <c r="AC78" s="296"/>
      <c r="AD78" s="81">
        <v>2020</v>
      </c>
      <c r="AE78" s="81"/>
      <c r="AF78" s="710"/>
    </row>
    <row r="79" spans="2:32">
      <c r="B79" s="357" t="s">
        <v>1007</v>
      </c>
      <c r="D79" s="212"/>
      <c r="E79" s="212"/>
      <c r="F79" s="224" t="s">
        <v>1149</v>
      </c>
      <c r="H79" s="174"/>
      <c r="I79" s="174" t="str">
        <f t="shared" si="38"/>
        <v>INDGWH</v>
      </c>
      <c r="J79" s="224">
        <f t="shared" si="32"/>
        <v>2030</v>
      </c>
      <c r="K79" s="81"/>
      <c r="L79" s="199">
        <f t="shared" ca="1" si="23"/>
        <v>0.99</v>
      </c>
      <c r="M79" s="199"/>
      <c r="N79" s="81"/>
      <c r="O79" s="723">
        <f t="shared" ca="1" si="24"/>
        <v>0.52150000000000007</v>
      </c>
      <c r="P79" s="723">
        <f t="shared" ca="1" si="25"/>
        <v>7.5989999999999999E-3</v>
      </c>
      <c r="Q79" s="81">
        <f t="shared" ca="1" si="26"/>
        <v>1.8107638888888888</v>
      </c>
      <c r="R79" s="300"/>
      <c r="S79" s="300"/>
      <c r="T79" s="300"/>
      <c r="U79" s="300"/>
      <c r="V79" s="199">
        <f t="shared" ref="V79" ca="1" si="47">IF(IF(RIGHT(H78,2)="PH",(1-L79)+$W$2,IF(RIGHT(H78,2)="HT",(1-L79)+$W$1,IF(RIGHT(H78,2)="SH",(1-L79)+$W$3,"")))&gt;0,IF(RIGHT(H78,2)="PH",(1-L79)+$W$2,IF(RIGHT(H78,2)="HT",(1-L79)+$W$1,IF(RIGHT(H78,2)="SH",(1-L79)+$W$3,""))),0)</f>
        <v>1.0000000000000009E-2</v>
      </c>
      <c r="W79" s="298"/>
      <c r="X79" s="698">
        <f t="shared" ca="1" si="27"/>
        <v>0</v>
      </c>
      <c r="Y79" s="81">
        <f t="shared" ca="1" si="28"/>
        <v>0</v>
      </c>
      <c r="Z79" s="81">
        <f t="shared" ca="1" si="29"/>
        <v>0</v>
      </c>
      <c r="AA79" s="81">
        <f t="shared" ca="1" si="30"/>
        <v>0</v>
      </c>
      <c r="AB79" s="81">
        <f t="shared" ca="1" si="31"/>
        <v>0</v>
      </c>
      <c r="AC79" s="55"/>
      <c r="AD79" s="81">
        <v>2030</v>
      </c>
      <c r="AE79" s="81"/>
      <c r="AF79" s="700"/>
    </row>
    <row r="80" spans="2:32">
      <c r="B80" s="357" t="s">
        <v>1007</v>
      </c>
      <c r="D80" s="212"/>
      <c r="E80" s="212"/>
      <c r="F80" s="224" t="s">
        <v>1149</v>
      </c>
      <c r="H80" s="174"/>
      <c r="I80" s="174" t="str">
        <f t="shared" si="38"/>
        <v>INDGWH</v>
      </c>
      <c r="J80" s="224">
        <f t="shared" si="32"/>
        <v>2050</v>
      </c>
      <c r="K80" s="706"/>
      <c r="L80" s="199">
        <f t="shared" ca="1" si="23"/>
        <v>0.99</v>
      </c>
      <c r="M80" s="774"/>
      <c r="N80" s="706"/>
      <c r="O80" s="724">
        <f t="shared" ca="1" si="24"/>
        <v>0.52150000000000007</v>
      </c>
      <c r="P80" s="724">
        <f t="shared" ca="1" si="25"/>
        <v>6.8539999999999998E-3</v>
      </c>
      <c r="Q80" s="706">
        <f t="shared" ca="1" si="26"/>
        <v>1.6141666666666665</v>
      </c>
      <c r="R80" s="300"/>
      <c r="S80" s="300"/>
      <c r="T80" s="300"/>
      <c r="U80" s="300"/>
      <c r="V80" s="199">
        <f t="shared" ref="V80" ca="1" si="48">IF(IF(RIGHT(H78,2)="PH",(1-L80)+$W$2,IF(RIGHT(H78,2)="HT",(1-L80)+$W$1,IF(RIGHT(H78,2)="SH",(1-L80)+$W$3,"")))&gt;0,IF(RIGHT(H78,2)="PH",(1-L80)+$W$2,IF(RIGHT(H78,2)="HT",(1-L80)+$W$1,IF(RIGHT(H78,2)="SH",(1-L80)+$W$3,""))),0)</f>
        <v>1.0000000000000009E-2</v>
      </c>
      <c r="W80" s="298"/>
      <c r="X80" s="698">
        <f t="shared" ca="1" si="27"/>
        <v>0</v>
      </c>
      <c r="Y80" s="706">
        <f t="shared" ca="1" si="28"/>
        <v>0</v>
      </c>
      <c r="Z80" s="706">
        <f t="shared" ca="1" si="29"/>
        <v>0</v>
      </c>
      <c r="AA80" s="706">
        <f t="shared" ca="1" si="30"/>
        <v>0</v>
      </c>
      <c r="AB80" s="706">
        <f t="shared" ca="1" si="31"/>
        <v>0</v>
      </c>
      <c r="AC80" s="55"/>
      <c r="AD80" s="706">
        <v>2050</v>
      </c>
      <c r="AE80" s="81"/>
      <c r="AF80" s="700"/>
    </row>
    <row r="81" spans="1:33">
      <c r="B81" s="716" t="s">
        <v>1007</v>
      </c>
      <c r="C81" s="296"/>
      <c r="D81" s="707" t="str">
        <f>"IND"&amp;RIGHT(H81,4)&amp;RIGHT(G81,3)&amp;"N"&amp;RIGHT(E81,1)</f>
        <v>INDGDPHELCN9</v>
      </c>
      <c r="E81" s="707" t="str">
        <f>"Industrial heating technology "&amp;$AJ$12&amp;" "&amp;RIGHT(H81,2)&amp;" - Electric boiler (Hot Water) - new 9"</f>
        <v>Industrial heating technology Glass &amp; Concrete PH - Electric boiler (Hot Water) - new 9</v>
      </c>
      <c r="F81" s="224" t="s">
        <v>1149</v>
      </c>
      <c r="G81" s="708" t="s">
        <v>499</v>
      </c>
      <c r="H81" s="708" t="str">
        <f>$AI$14</f>
        <v>IGDPH</v>
      </c>
      <c r="I81" s="708" t="str">
        <f t="shared" si="38"/>
        <v>INDGWH</v>
      </c>
      <c r="J81" s="224">
        <f t="shared" si="32"/>
        <v>2011</v>
      </c>
      <c r="K81" s="299">
        <v>2020</v>
      </c>
      <c r="L81" s="199">
        <f t="shared" ref="L81:L86" ca="1" si="49">VLOOKUP($AD81,INDIRECT("'"&amp;$B81&amp;"'!"&amp;"$P$118:$AD$121"),3,FALSE)</f>
        <v>0.99</v>
      </c>
      <c r="M81" s="199"/>
      <c r="N81" s="81">
        <f ca="1">VLOOKUP($AD81,INDIRECT("'"&amp;$B81&amp;"'!"&amp;"$P$118:$AD$121"),5,FALSE)</f>
        <v>25</v>
      </c>
      <c r="O81" s="723">
        <f t="shared" ref="O81:O86" ca="1" si="50">VLOOKUP($AD81,INDIRECT("'"&amp;$B81&amp;"'!"&amp;"$P$118:$AD$121"),6,FALSE)/1000</f>
        <v>0.52150000000000007</v>
      </c>
      <c r="P81" s="723">
        <f t="shared" ref="P81:P86" ca="1" si="51">VLOOKUP($AD81,INDIRECT("'"&amp;$B81&amp;"'!"&amp;"$P$118:$AD$121"),7,FALSE)/1000</f>
        <v>7.9714999999999994E-3</v>
      </c>
      <c r="Q81" s="81">
        <f t="shared" ref="Q81:Q86" ca="1" si="52">VLOOKUP($AD81,INDIRECT("'"&amp;$B81&amp;"'!"&amp;"$P$118:$AD$121"),8,FALSE)</f>
        <v>1.7900694444444445</v>
      </c>
      <c r="R81" s="81">
        <v>3.1536000000000002E-2</v>
      </c>
      <c r="S81" s="199">
        <v>0.5</v>
      </c>
      <c r="T81" s="199">
        <f ca="1">HLOOKUP($T$2,INDIRECT("'"&amp;$B81&amp;"'!"&amp;"$P$85:$AC$98"),IF(H81=$AI$13,6,IF(H81=$AI$14,9,14)),FALSE)</f>
        <v>0</v>
      </c>
      <c r="U81" s="773"/>
      <c r="V81" s="199">
        <f t="shared" ref="V81" ca="1" si="53">IF(IF(RIGHT(H81,2)="PH",(1-L81)+$W$2,IF(RIGHT(H81,2)="HT",(1-L81)+$W$1,IF(RIGHT(H81,2)="SH",(1-L81)+$W$3,"")))&gt;0,IF(RIGHT(H81,2)="PH",(1-L81)+$W$2,IF(RIGHT(H81,2)="HT",(1-L81)+$W$1,IF(RIGHT(H81,2)="SH",(1-L81)+$W$3,""))),0)</f>
        <v>0.21000000000000002</v>
      </c>
      <c r="W81" s="709"/>
      <c r="X81" s="698">
        <f t="shared" ca="1" si="27"/>
        <v>0</v>
      </c>
      <c r="Y81" s="698">
        <f t="shared" ref="Y81:Y86" ca="1" si="54">VLOOKUP($AD81,INDIRECT("'"&amp;$B81&amp;"'!"&amp;"$P$118:$AD$121"),12,FALSE)</f>
        <v>0</v>
      </c>
      <c r="Z81" s="698">
        <f t="shared" ref="Z81:Z86" ca="1" si="55">VLOOKUP($AD81,INDIRECT("'"&amp;$B81&amp;"'!"&amp;"$P$118:$AD$121"),13,FALSE)</f>
        <v>0</v>
      </c>
      <c r="AA81" s="698">
        <f t="shared" ref="AA81:AA86" ca="1" si="56">VLOOKUP($AD81,INDIRECT("'"&amp;$B81&amp;"'!"&amp;"$P$118:$AD$121"),14,FALSE)</f>
        <v>0</v>
      </c>
      <c r="AB81" s="698">
        <f t="shared" ref="AB81:AB86" ca="1" si="57">VLOOKUP($AD81,INDIRECT("'"&amp;$B81&amp;"'!"&amp;"$P$118:$AD$121"),15,FALSE)</f>
        <v>0</v>
      </c>
      <c r="AC81" s="55"/>
      <c r="AD81" s="81">
        <v>2020</v>
      </c>
      <c r="AE81" s="81"/>
      <c r="AF81" s="700"/>
    </row>
    <row r="82" spans="1:33">
      <c r="B82" s="357" t="s">
        <v>1007</v>
      </c>
      <c r="C82" s="55"/>
      <c r="D82" s="261"/>
      <c r="E82" s="261"/>
      <c r="F82" s="224" t="s">
        <v>1149</v>
      </c>
      <c r="G82" s="55"/>
      <c r="H82" s="174"/>
      <c r="I82" s="174" t="str">
        <f t="shared" si="38"/>
        <v>INDGWH</v>
      </c>
      <c r="J82" s="224">
        <f t="shared" si="32"/>
        <v>2030</v>
      </c>
      <c r="K82" s="81"/>
      <c r="L82" s="199">
        <f t="shared" ca="1" si="49"/>
        <v>0.99</v>
      </c>
      <c r="M82" s="199"/>
      <c r="N82" s="81"/>
      <c r="O82" s="723">
        <f t="shared" ca="1" si="50"/>
        <v>0.44700000000000001</v>
      </c>
      <c r="P82" s="723">
        <f t="shared" ca="1" si="51"/>
        <v>7.5989999999999999E-3</v>
      </c>
      <c r="Q82" s="81">
        <f t="shared" ca="1" si="52"/>
        <v>1.8107638888888888</v>
      </c>
      <c r="R82" s="300"/>
      <c r="S82" s="300"/>
      <c r="T82" s="300"/>
      <c r="U82" s="300"/>
      <c r="V82" s="199">
        <f t="shared" ref="V82" ca="1" si="58">IF(IF(RIGHT(H81,2)="PH",(1-L82)+$W$2,IF(RIGHT(H81,2)="HT",(1-L82)+$W$1,IF(RIGHT(H81,2)="SH",(1-L82)+$W$3,"")))&gt;0,IF(RIGHT(H81,2)="PH",(1-L82)+$W$2,IF(RIGHT(H81,2)="HT",(1-L82)+$W$1,IF(RIGHT(H81,2)="SH",(1-L82)+$W$3,""))),0)</f>
        <v>0.21000000000000002</v>
      </c>
      <c r="W82" s="298"/>
      <c r="X82" s="698">
        <f t="shared" ca="1" si="27"/>
        <v>0</v>
      </c>
      <c r="Y82" s="698">
        <f t="shared" ca="1" si="54"/>
        <v>0</v>
      </c>
      <c r="Z82" s="698">
        <f t="shared" ca="1" si="55"/>
        <v>0</v>
      </c>
      <c r="AA82" s="698">
        <f t="shared" ca="1" si="56"/>
        <v>0</v>
      </c>
      <c r="AB82" s="698">
        <f t="shared" ca="1" si="57"/>
        <v>0</v>
      </c>
      <c r="AC82" s="55"/>
      <c r="AD82" s="81">
        <v>2030</v>
      </c>
      <c r="AE82" s="81"/>
      <c r="AF82" s="700"/>
    </row>
    <row r="83" spans="1:33">
      <c r="B83" s="357" t="s">
        <v>1007</v>
      </c>
      <c r="C83" s="55"/>
      <c r="D83" s="261"/>
      <c r="E83" s="261"/>
      <c r="F83" s="224" t="s">
        <v>1149</v>
      </c>
      <c r="G83" s="55"/>
      <c r="H83" s="174"/>
      <c r="I83" s="174" t="str">
        <f t="shared" si="38"/>
        <v>INDGWH</v>
      </c>
      <c r="J83" s="224">
        <f t="shared" si="32"/>
        <v>2050</v>
      </c>
      <c r="K83" s="81"/>
      <c r="L83" s="199">
        <f t="shared" ca="1" si="49"/>
        <v>0.99</v>
      </c>
      <c r="M83" s="199"/>
      <c r="N83" s="81"/>
      <c r="O83" s="723">
        <f t="shared" ca="1" si="50"/>
        <v>0.44700000000000001</v>
      </c>
      <c r="P83" s="723">
        <f t="shared" ca="1" si="51"/>
        <v>6.8539999999999998E-3</v>
      </c>
      <c r="Q83" s="81">
        <f t="shared" ca="1" si="52"/>
        <v>1.6141666666666665</v>
      </c>
      <c r="R83" s="300"/>
      <c r="S83" s="300"/>
      <c r="T83" s="300"/>
      <c r="U83" s="300"/>
      <c r="V83" s="199">
        <f t="shared" ref="V83" ca="1" si="59">IF(IF(RIGHT(H81,2)="PH",(1-L83)+$W$2,IF(RIGHT(H81,2)="HT",(1-L83)+$W$1,IF(RIGHT(H81,2)="SH",(1-L83)+$W$3,"")))&gt;0,IF(RIGHT(H81,2)="PH",(1-L83)+$W$2,IF(RIGHT(H81,2)="HT",(1-L83)+$W$1,IF(RIGHT(H81,2)="SH",(1-L83)+$W$3,""))),0)</f>
        <v>0.21000000000000002</v>
      </c>
      <c r="W83" s="298"/>
      <c r="X83" s="698">
        <f t="shared" ca="1" si="27"/>
        <v>0</v>
      </c>
      <c r="Y83" s="698">
        <f t="shared" ca="1" si="54"/>
        <v>0</v>
      </c>
      <c r="Z83" s="698">
        <f t="shared" ca="1" si="55"/>
        <v>0</v>
      </c>
      <c r="AA83" s="698">
        <f t="shared" ca="1" si="56"/>
        <v>0</v>
      </c>
      <c r="AB83" s="698">
        <f t="shared" ca="1" si="57"/>
        <v>0</v>
      </c>
      <c r="AC83" s="203"/>
      <c r="AD83" s="81">
        <v>2050</v>
      </c>
      <c r="AE83" s="81"/>
      <c r="AF83" s="705"/>
    </row>
    <row r="84" spans="1:33">
      <c r="B84" s="357" t="s">
        <v>1007</v>
      </c>
      <c r="C84" s="55"/>
      <c r="D84" s="261" t="str">
        <f>"IND"&amp;RIGHT(H84,4)&amp;RIGHT(G84,3)&amp;"N"&amp;RIGHT(E84,1)</f>
        <v>INDGDSHELCN9</v>
      </c>
      <c r="E84" s="261" t="str">
        <f>"Industrial heating technology "&amp;$AJ$12&amp;" "&amp;RIGHT(H84,2)&amp;" - Electric boiler (Hot Water) - new 9"</f>
        <v>Industrial heating technology Glass &amp; Concrete SH - Electric boiler (Hot Water) - new 9</v>
      </c>
      <c r="F84" s="224" t="s">
        <v>1149</v>
      </c>
      <c r="G84" s="174" t="s">
        <v>499</v>
      </c>
      <c r="H84" s="174" t="str">
        <f>$AI$15</f>
        <v>IGDSH</v>
      </c>
      <c r="I84" s="174" t="str">
        <f t="shared" si="38"/>
        <v>INDGWH</v>
      </c>
      <c r="J84" s="224">
        <f t="shared" si="32"/>
        <v>2011</v>
      </c>
      <c r="K84" s="299">
        <v>2020</v>
      </c>
      <c r="L84" s="199">
        <f t="shared" ca="1" si="49"/>
        <v>0.99</v>
      </c>
      <c r="M84" s="199"/>
      <c r="N84" s="81">
        <f ca="1">VLOOKUP($AD84,INDIRECT("'"&amp;$B84&amp;"'!"&amp;"$P$118:$AD$121"),5,FALSE)</f>
        <v>25</v>
      </c>
      <c r="O84" s="723">
        <f t="shared" ca="1" si="50"/>
        <v>0.52150000000000007</v>
      </c>
      <c r="P84" s="723">
        <f t="shared" ca="1" si="51"/>
        <v>7.9714999999999994E-3</v>
      </c>
      <c r="Q84" s="81">
        <f t="shared" ca="1" si="52"/>
        <v>1.7900694444444445</v>
      </c>
      <c r="R84" s="81">
        <v>3.1536000000000002E-2</v>
      </c>
      <c r="S84" s="199">
        <v>0.5</v>
      </c>
      <c r="T84" s="199">
        <f ca="1">HLOOKUP($T$2,INDIRECT("'"&amp;$B84&amp;"'!"&amp;"$P$85:$AC$98"),IF(H84=$AI$13,6,IF(H84=$AI$14,9,14)),FALSE)</f>
        <v>1</v>
      </c>
      <c r="U84" s="772"/>
      <c r="V84" s="199">
        <f t="shared" ref="V84" ca="1" si="60">IF(IF(RIGHT(H84,2)="PH",(1-L84)+$W$2,IF(RIGHT(H84,2)="HT",(1-L84)+$W$1,IF(RIGHT(H84,2)="SH",(1-L84)+$W$3,"")))&gt;0,IF(RIGHT(H84,2)="PH",(1-L84)+$W$2,IF(RIGHT(H84,2)="HT",(1-L84)+$W$1,IF(RIGHT(H84,2)="SH",(1-L84)+$W$3,""))),0)</f>
        <v>1.0000000000000009E-2</v>
      </c>
      <c r="W84" s="298"/>
      <c r="X84" s="698">
        <f t="shared" ca="1" si="27"/>
        <v>0</v>
      </c>
      <c r="Y84" s="698">
        <f t="shared" ca="1" si="54"/>
        <v>0</v>
      </c>
      <c r="Z84" s="698">
        <f t="shared" ca="1" si="55"/>
        <v>0</v>
      </c>
      <c r="AA84" s="698">
        <f t="shared" ca="1" si="56"/>
        <v>0</v>
      </c>
      <c r="AB84" s="698">
        <f t="shared" ca="1" si="57"/>
        <v>0</v>
      </c>
      <c r="AD84" s="81">
        <v>2020</v>
      </c>
      <c r="AE84" s="299"/>
      <c r="AF84" s="220"/>
    </row>
    <row r="85" spans="1:33">
      <c r="B85" s="357" t="s">
        <v>1007</v>
      </c>
      <c r="C85" s="55"/>
      <c r="D85" s="261"/>
      <c r="E85" s="261"/>
      <c r="F85" s="224" t="s">
        <v>1149</v>
      </c>
      <c r="G85" s="55"/>
      <c r="H85" s="174"/>
      <c r="I85" s="174" t="str">
        <f t="shared" si="38"/>
        <v>INDGWH</v>
      </c>
      <c r="J85" s="224">
        <f t="shared" si="32"/>
        <v>2030</v>
      </c>
      <c r="K85" s="81"/>
      <c r="L85" s="199">
        <f t="shared" ca="1" si="49"/>
        <v>0.99</v>
      </c>
      <c r="M85" s="199"/>
      <c r="N85" s="81"/>
      <c r="O85" s="723">
        <f t="shared" ca="1" si="50"/>
        <v>0.44700000000000001</v>
      </c>
      <c r="P85" s="723">
        <f t="shared" ca="1" si="51"/>
        <v>7.5989999999999999E-3</v>
      </c>
      <c r="Q85" s="81">
        <f t="shared" ca="1" si="52"/>
        <v>1.8107638888888888</v>
      </c>
      <c r="R85" s="300"/>
      <c r="S85" s="300"/>
      <c r="T85" s="300"/>
      <c r="U85" s="300"/>
      <c r="V85" s="199">
        <f t="shared" ref="V85" ca="1" si="61">IF(IF(RIGHT(H84,2)="PH",(1-L85)+$W$2,IF(RIGHT(H84,2)="HT",(1-L85)+$W$1,IF(RIGHT(H84,2)="SH",(1-L85)+$W$3,"")))&gt;0,IF(RIGHT(H84,2)="PH",(1-L85)+$W$2,IF(RIGHT(H84,2)="HT",(1-L85)+$W$1,IF(RIGHT(H84,2)="SH",(1-L85)+$W$3,""))),0)</f>
        <v>1.0000000000000009E-2</v>
      </c>
      <c r="W85" s="298"/>
      <c r="X85" s="698">
        <f t="shared" ca="1" si="27"/>
        <v>0</v>
      </c>
      <c r="Y85" s="698">
        <f t="shared" ca="1" si="54"/>
        <v>0</v>
      </c>
      <c r="Z85" s="698">
        <f t="shared" ca="1" si="55"/>
        <v>0</v>
      </c>
      <c r="AA85" s="698">
        <f t="shared" ca="1" si="56"/>
        <v>0</v>
      </c>
      <c r="AB85" s="698">
        <f t="shared" ca="1" si="57"/>
        <v>0</v>
      </c>
      <c r="AD85" s="81">
        <v>2030</v>
      </c>
      <c r="AE85" s="81"/>
      <c r="AF85" s="220"/>
    </row>
    <row r="86" spans="1:33">
      <c r="B86" s="356" t="s">
        <v>1007</v>
      </c>
      <c r="C86" s="203"/>
      <c r="D86" s="701"/>
      <c r="E86" s="701"/>
      <c r="F86" s="224" t="s">
        <v>1149</v>
      </c>
      <c r="G86" s="203"/>
      <c r="H86" s="702"/>
      <c r="I86" s="702" t="str">
        <f t="shared" si="38"/>
        <v>INDGWH</v>
      </c>
      <c r="J86" s="224">
        <f t="shared" si="32"/>
        <v>2050</v>
      </c>
      <c r="K86" s="81"/>
      <c r="L86" s="199">
        <f t="shared" ca="1" si="49"/>
        <v>0.99</v>
      </c>
      <c r="M86" s="199"/>
      <c r="N86" s="81"/>
      <c r="O86" s="723">
        <f t="shared" ca="1" si="50"/>
        <v>0.44700000000000001</v>
      </c>
      <c r="P86" s="723">
        <f t="shared" ca="1" si="51"/>
        <v>6.8539999999999998E-3</v>
      </c>
      <c r="Q86" s="81">
        <f t="shared" ca="1" si="52"/>
        <v>1.6141666666666665</v>
      </c>
      <c r="R86" s="703"/>
      <c r="S86" s="703"/>
      <c r="T86" s="703"/>
      <c r="U86" s="703"/>
      <c r="V86" s="199">
        <f t="shared" ref="V86" ca="1" si="62">IF(IF(RIGHT(H84,2)="PH",(1-L86)+$W$2,IF(RIGHT(H84,2)="HT",(1-L86)+$W$1,IF(RIGHT(H84,2)="SH",(1-L86)+$W$3,"")))&gt;0,IF(RIGHT(H84,2)="PH",(1-L86)+$W$2,IF(RIGHT(H84,2)="HT",(1-L86)+$W$1,IF(RIGHT(H84,2)="SH",(1-L86)+$W$3,""))),0)</f>
        <v>1.0000000000000009E-2</v>
      </c>
      <c r="W86" s="704"/>
      <c r="X86" s="698">
        <f t="shared" ca="1" si="27"/>
        <v>0</v>
      </c>
      <c r="Y86" s="698">
        <f t="shared" ca="1" si="54"/>
        <v>0</v>
      </c>
      <c r="Z86" s="698">
        <f t="shared" ca="1" si="55"/>
        <v>0</v>
      </c>
      <c r="AA86" s="698">
        <f t="shared" ca="1" si="56"/>
        <v>0</v>
      </c>
      <c r="AB86" s="698">
        <f t="shared" ca="1" si="57"/>
        <v>0</v>
      </c>
      <c r="AD86" s="81">
        <v>2050</v>
      </c>
      <c r="AE86" s="81"/>
      <c r="AF86" s="220"/>
    </row>
    <row r="87" spans="1:33">
      <c r="B87" s="357" t="s">
        <v>1008</v>
      </c>
      <c r="D87" s="212" t="str">
        <f>"IND"&amp;RIGHT(H87,4)&amp;RIGHT(G87,3)&amp;"N"&amp;RIGHT(E87,1)</f>
        <v>INDGDPHWCHN1</v>
      </c>
      <c r="E87" s="261" t="str">
        <f>"Industrial heating technology "&amp;$AJ$12&amp;" "&amp;RIGHT(H87,2)&amp;" - Wood chip boiler (Steam) - new 1"</f>
        <v>Industrial heating technology Glass &amp; Concrete PH - Wood chip boiler (Steam) - new 1</v>
      </c>
      <c r="F87" s="224" t="s">
        <v>1149</v>
      </c>
      <c r="G87" s="173" t="s">
        <v>498</v>
      </c>
      <c r="H87" s="174" t="str">
        <f>$AI$13</f>
        <v>IGDPH</v>
      </c>
      <c r="I87" s="174" t="str">
        <f t="shared" si="38"/>
        <v>INDGWH</v>
      </c>
      <c r="J87" s="224">
        <f t="shared" si="32"/>
        <v>2011</v>
      </c>
      <c r="K87" s="299">
        <v>2025</v>
      </c>
      <c r="L87" s="199">
        <f t="shared" ref="L87:L95" ca="1" si="63">VLOOKUP($AD87,INDIRECT("'"&amp;$B87&amp;"'!"&amp;"$P$39:$AD$42"),3,FALSE)</f>
        <v>0.89</v>
      </c>
      <c r="M87" s="699"/>
      <c r="N87" s="299">
        <f ca="1">VLOOKUP($AD87,INDIRECT("'"&amp;$B87&amp;"'!"&amp;"$P$39:$AD$42"),5,FALSE)</f>
        <v>25</v>
      </c>
      <c r="O87" s="725">
        <f t="shared" ref="O87:O95" ca="1" si="64">VLOOKUP($AD87,INDIRECT("'"&amp;$B87&amp;"'!"&amp;"$P$39:$AD$42"),6,FALSE)/1000</f>
        <v>4.6054545454545455</v>
      </c>
      <c r="P87" s="725">
        <f t="shared" ref="P87:P95" ca="1" si="65">VLOOKUP($AD87,INDIRECT("'"&amp;$B87&amp;"'!"&amp;"$P$39:$AD$42"),7,FALSE)/1000</f>
        <v>0.25106499999999998</v>
      </c>
      <c r="Q87" s="299">
        <f t="shared" ref="Q87:Q95" ca="1" si="66">VLOOKUP($AD87,INDIRECT("'"&amp;$B87&amp;"'!"&amp;"$P$39:$AD$42"),8,FALSE)</f>
        <v>5.7509861111111107</v>
      </c>
      <c r="R87" s="299">
        <v>3.1536000000000002E-2</v>
      </c>
      <c r="S87" s="699">
        <v>0.5</v>
      </c>
      <c r="T87" s="699">
        <f ca="1">HLOOKUP($T$2,INDIRECT("'"&amp;$B87&amp;"'!"&amp;"$P$6:$AC$19"),IF(H87=$AI$13,6,IF(H87=$AI$14,9,14)),FALSE)</f>
        <v>1</v>
      </c>
      <c r="U87" s="772"/>
      <c r="V87" s="199">
        <f t="shared" ref="V87" ca="1" si="67">IF(IF(RIGHT(H87,2)="PH",(1-L87)+$W$2,IF(RIGHT(H87,2)="HT",(1-L87)+$W$1,IF(RIGHT(H87,2)="SH",(1-L87)+$W$3,"")))&gt;0,IF(RIGHT(H87,2)="PH",(1-L87)+$W$2,IF(RIGHT(H87,2)="HT",(1-L87)+$W$1,IF(RIGHT(H87,2)="SH",(1-L87)+$W$3,""))),0)</f>
        <v>0.31</v>
      </c>
      <c r="W87" s="298"/>
      <c r="X87" s="698">
        <f t="shared" ca="1" si="27"/>
        <v>11</v>
      </c>
      <c r="Y87" s="299">
        <f t="shared" ref="Y87:Y95" ca="1" si="68">VLOOKUP($AD87,INDIRECT("'"&amp;$B87&amp;"'!"&amp;"$P$39:$AD$42"),12,FALSE)</f>
        <v>63</v>
      </c>
      <c r="Z87" s="299">
        <f t="shared" ref="Z87:Z95" ca="1" si="69">VLOOKUP($AD87,INDIRECT("'"&amp;$B87&amp;"'!"&amp;"$P$39:$AD$42"),13,FALSE)</f>
        <v>11</v>
      </c>
      <c r="AA87" s="299">
        <f t="shared" ref="AA87:AA95" ca="1" si="70">VLOOKUP($AD87,INDIRECT("'"&amp;$B87&amp;"'!"&amp;"$P$39:$AD$42"),14,FALSE)</f>
        <v>3</v>
      </c>
      <c r="AB87" s="299">
        <f t="shared" ref="AB87:AB95" ca="1" si="71">VLOOKUP($AD87,INDIRECT("'"&amp;$B87&amp;"'!"&amp;"$P$39:$AD$42"),15,FALSE)</f>
        <v>10</v>
      </c>
      <c r="AD87" s="299">
        <v>2020</v>
      </c>
      <c r="AE87" s="81"/>
      <c r="AF87" s="220"/>
    </row>
    <row r="88" spans="1:33">
      <c r="B88" s="357" t="s">
        <v>1008</v>
      </c>
      <c r="D88" s="212"/>
      <c r="E88" s="212"/>
      <c r="F88" s="224" t="s">
        <v>1149</v>
      </c>
      <c r="H88" s="174"/>
      <c r="I88" s="174" t="str">
        <f t="shared" si="38"/>
        <v>INDGWH</v>
      </c>
      <c r="J88" s="224">
        <f t="shared" si="32"/>
        <v>2030</v>
      </c>
      <c r="K88" s="81"/>
      <c r="L88" s="199">
        <f t="shared" ca="1" si="63"/>
        <v>0.89</v>
      </c>
      <c r="M88" s="199"/>
      <c r="N88" s="81"/>
      <c r="O88" s="723">
        <f t="shared" ca="1" si="64"/>
        <v>4.4022727272727264</v>
      </c>
      <c r="P88" s="723">
        <f t="shared" ca="1" si="65"/>
        <v>0.267455</v>
      </c>
      <c r="Q88" s="81">
        <f t="shared" ca="1" si="66"/>
        <v>5.8461805555555557</v>
      </c>
      <c r="R88" s="300"/>
      <c r="S88" s="300"/>
      <c r="T88" s="300"/>
      <c r="U88" s="300"/>
      <c r="V88" s="199">
        <f t="shared" ref="V88" ca="1" si="72">IF(IF(RIGHT(H87,2)="PH",(1-L88)+$W$2,IF(RIGHT(H87,2)="HT",(1-L88)+$W$1,IF(RIGHT(H87,2)="SH",(1-L88)+$W$3,"")))&gt;0,IF(RIGHT(H87,2)="PH",(1-L88)+$W$2,IF(RIGHT(H87,2)="HT",(1-L88)+$W$1,IF(RIGHT(H87,2)="SH",(1-L88)+$W$3,""))),0)</f>
        <v>0.31</v>
      </c>
      <c r="W88" s="298"/>
      <c r="X88" s="698">
        <f t="shared" ca="1" si="27"/>
        <v>11</v>
      </c>
      <c r="Y88" s="81">
        <f t="shared" ca="1" si="68"/>
        <v>49</v>
      </c>
      <c r="Z88" s="81">
        <f t="shared" ca="1" si="69"/>
        <v>8</v>
      </c>
      <c r="AA88" s="81">
        <f t="shared" ca="1" si="70"/>
        <v>3</v>
      </c>
      <c r="AB88" s="81">
        <f t="shared" ca="1" si="71"/>
        <v>10</v>
      </c>
      <c r="AD88" s="81">
        <v>2030</v>
      </c>
      <c r="AE88" s="81"/>
      <c r="AF88" s="220"/>
    </row>
    <row r="89" spans="1:33">
      <c r="B89" s="357" t="s">
        <v>1008</v>
      </c>
      <c r="D89" s="212"/>
      <c r="E89" s="212"/>
      <c r="F89" s="224" t="s">
        <v>1149</v>
      </c>
      <c r="H89" s="174"/>
      <c r="I89" s="174" t="str">
        <f t="shared" si="38"/>
        <v>INDGWH</v>
      </c>
      <c r="J89" s="224">
        <f t="shared" si="32"/>
        <v>2050</v>
      </c>
      <c r="K89" s="81"/>
      <c r="L89" s="199">
        <f t="shared" ca="1" si="63"/>
        <v>0.9</v>
      </c>
      <c r="M89" s="199"/>
      <c r="N89" s="81"/>
      <c r="O89" s="723">
        <f t="shared" ca="1" si="64"/>
        <v>3.9959090909090902</v>
      </c>
      <c r="P89" s="723">
        <f t="shared" ca="1" si="65"/>
        <v>0.25106499999999998</v>
      </c>
      <c r="Q89" s="81">
        <f t="shared" ca="1" si="66"/>
        <v>5.8937777777777782</v>
      </c>
      <c r="R89" s="300"/>
      <c r="S89" s="300"/>
      <c r="T89" s="300"/>
      <c r="U89" s="300"/>
      <c r="V89" s="199">
        <f t="shared" ref="V89" ca="1" si="73">IF(IF(RIGHT(H87,2)="PH",(1-L89)+$W$2,IF(RIGHT(H87,2)="HT",(1-L89)+$W$1,IF(RIGHT(H87,2)="SH",(1-L89)+$W$3,"")))&gt;0,IF(RIGHT(H87,2)="PH",(1-L89)+$W$2,IF(RIGHT(H87,2)="HT",(1-L89)+$W$1,IF(RIGHT(H87,2)="SH",(1-L89)+$W$3,""))),0)</f>
        <v>0.3</v>
      </c>
      <c r="W89" s="298"/>
      <c r="X89" s="698">
        <f t="shared" ca="1" si="27"/>
        <v>11</v>
      </c>
      <c r="Y89" s="81">
        <f t="shared" ca="1" si="68"/>
        <v>41</v>
      </c>
      <c r="Z89" s="81">
        <f t="shared" ca="1" si="69"/>
        <v>4</v>
      </c>
      <c r="AA89" s="81">
        <f t="shared" ca="1" si="70"/>
        <v>1</v>
      </c>
      <c r="AB89" s="81">
        <f t="shared" ca="1" si="71"/>
        <v>10</v>
      </c>
      <c r="AD89" s="81">
        <v>2050</v>
      </c>
      <c r="AE89" s="81"/>
      <c r="AF89" s="220"/>
    </row>
    <row r="90" spans="1:33" s="226" customFormat="1">
      <c r="A90" s="224"/>
      <c r="B90" s="357" t="s">
        <v>1008</v>
      </c>
      <c r="C90" s="224"/>
      <c r="D90" s="212" t="str">
        <f>"IND"&amp;RIGHT(H90,4)&amp;RIGHT(G90,3)&amp;"N"&amp;RIGHT(E90,1)</f>
        <v>INDGDPHWCHN1</v>
      </c>
      <c r="E90" s="261" t="str">
        <f>"Industrial heating technology "&amp;$AJ$12&amp;" "&amp;RIGHT(H90,2)&amp;" - Wood chip boiler (Steam) - new 1"</f>
        <v>Industrial heating technology Glass &amp; Concrete PH - Wood chip boiler (Steam) - new 1</v>
      </c>
      <c r="F90" s="224" t="s">
        <v>1149</v>
      </c>
      <c r="G90" s="173" t="s">
        <v>498</v>
      </c>
      <c r="H90" s="174" t="str">
        <f>$AI$14</f>
        <v>IGDPH</v>
      </c>
      <c r="I90" s="174" t="str">
        <f t="shared" si="38"/>
        <v>INDGWH</v>
      </c>
      <c r="J90" s="224">
        <f t="shared" si="32"/>
        <v>2011</v>
      </c>
      <c r="K90" s="299">
        <v>2025</v>
      </c>
      <c r="L90" s="199">
        <f t="shared" ca="1" si="63"/>
        <v>0.89</v>
      </c>
      <c r="M90" s="199"/>
      <c r="N90" s="81">
        <f ca="1">VLOOKUP($AD90,INDIRECT("'"&amp;$B90&amp;"'!"&amp;"$P$39:$AD$42"),5,FALSE)</f>
        <v>25</v>
      </c>
      <c r="O90" s="723">
        <f t="shared" ca="1" si="64"/>
        <v>4.6054545454545455</v>
      </c>
      <c r="P90" s="723">
        <f t="shared" ca="1" si="65"/>
        <v>0.25106499999999998</v>
      </c>
      <c r="Q90" s="81">
        <f t="shared" ca="1" si="66"/>
        <v>5.7509861111111107</v>
      </c>
      <c r="R90" s="81">
        <v>3.1536000000000002E-2</v>
      </c>
      <c r="S90" s="199">
        <v>0.5</v>
      </c>
      <c r="T90" s="199">
        <f ca="1">HLOOKUP($T$2,INDIRECT("'"&amp;$B90&amp;"'!"&amp;"$P$6:$AC$19"),IF(H90=$AI$13,6,IF(H90=$AI$14,9,14)),FALSE)</f>
        <v>1</v>
      </c>
      <c r="U90" s="772"/>
      <c r="V90" s="199">
        <f t="shared" ref="V90" ca="1" si="74">IF(IF(RIGHT(H90,2)="PH",(1-L90)+$W$2,IF(RIGHT(H90,2)="HT",(1-L90)+$W$1,IF(RIGHT(H90,2)="SH",(1-L90)+$W$3,"")))&gt;0,IF(RIGHT(H90,2)="PH",(1-L90)+$W$2,IF(RIGHT(H90,2)="HT",(1-L90)+$W$1,IF(RIGHT(H90,2)="SH",(1-L90)+$W$3,""))),0)</f>
        <v>0.31</v>
      </c>
      <c r="W90" s="298"/>
      <c r="X90" s="698">
        <f t="shared" ca="1" si="27"/>
        <v>11</v>
      </c>
      <c r="Y90" s="81">
        <f t="shared" ca="1" si="68"/>
        <v>63</v>
      </c>
      <c r="Z90" s="81">
        <f t="shared" ca="1" si="69"/>
        <v>11</v>
      </c>
      <c r="AA90" s="81">
        <f t="shared" ca="1" si="70"/>
        <v>3</v>
      </c>
      <c r="AB90" s="81">
        <f t="shared" ca="1" si="71"/>
        <v>10</v>
      </c>
      <c r="AC90" s="224"/>
      <c r="AD90" s="81">
        <v>2020</v>
      </c>
      <c r="AE90" s="81"/>
      <c r="AF90" s="220"/>
      <c r="AG90" s="224"/>
    </row>
    <row r="91" spans="1:33" s="226" customFormat="1">
      <c r="A91" s="224"/>
      <c r="B91" s="357" t="s">
        <v>1008</v>
      </c>
      <c r="C91" s="224"/>
      <c r="D91" s="212"/>
      <c r="E91" s="212"/>
      <c r="F91" s="224" t="s">
        <v>1149</v>
      </c>
      <c r="G91" s="224"/>
      <c r="H91" s="174"/>
      <c r="I91" s="174" t="str">
        <f t="shared" si="38"/>
        <v>INDGWH</v>
      </c>
      <c r="J91" s="224">
        <f t="shared" si="32"/>
        <v>2030</v>
      </c>
      <c r="K91" s="81"/>
      <c r="L91" s="199">
        <f t="shared" ca="1" si="63"/>
        <v>0.89</v>
      </c>
      <c r="M91" s="199"/>
      <c r="N91" s="81"/>
      <c r="O91" s="723">
        <f t="shared" ca="1" si="64"/>
        <v>4.4022727272727264</v>
      </c>
      <c r="P91" s="723">
        <f t="shared" ca="1" si="65"/>
        <v>0.267455</v>
      </c>
      <c r="Q91" s="81">
        <f t="shared" ca="1" si="66"/>
        <v>5.8461805555555557</v>
      </c>
      <c r="R91" s="300"/>
      <c r="S91" s="300"/>
      <c r="T91" s="300"/>
      <c r="U91" s="300"/>
      <c r="V91" s="199">
        <f t="shared" ref="V91" ca="1" si="75">IF(IF(RIGHT(H90,2)="PH",(1-L91)+$W$2,IF(RIGHT(H90,2)="HT",(1-L91)+$W$1,IF(RIGHT(H90,2)="SH",(1-L91)+$W$3,"")))&gt;0,IF(RIGHT(H90,2)="PH",(1-L91)+$W$2,IF(RIGHT(H90,2)="HT",(1-L91)+$W$1,IF(RIGHT(H90,2)="SH",(1-L91)+$W$3,""))),0)</f>
        <v>0.31</v>
      </c>
      <c r="W91" s="298"/>
      <c r="X91" s="698">
        <f t="shared" ca="1" si="27"/>
        <v>11</v>
      </c>
      <c r="Y91" s="81">
        <f t="shared" ca="1" si="68"/>
        <v>49</v>
      </c>
      <c r="Z91" s="81">
        <f t="shared" ca="1" si="69"/>
        <v>8</v>
      </c>
      <c r="AA91" s="81">
        <f t="shared" ca="1" si="70"/>
        <v>3</v>
      </c>
      <c r="AB91" s="81">
        <f t="shared" ca="1" si="71"/>
        <v>10</v>
      </c>
      <c r="AC91" s="224"/>
      <c r="AD91" s="81">
        <v>2030</v>
      </c>
      <c r="AE91" s="81"/>
      <c r="AF91" s="220"/>
    </row>
    <row r="92" spans="1:33" s="226" customFormat="1">
      <c r="A92" s="224"/>
      <c r="B92" s="357" t="s">
        <v>1008</v>
      </c>
      <c r="C92" s="224"/>
      <c r="D92" s="212"/>
      <c r="E92" s="212"/>
      <c r="F92" s="224" t="s">
        <v>1149</v>
      </c>
      <c r="G92" s="224"/>
      <c r="H92" s="174"/>
      <c r="I92" s="174" t="str">
        <f t="shared" si="38"/>
        <v>INDGWH</v>
      </c>
      <c r="J92" s="224">
        <f t="shared" si="32"/>
        <v>2050</v>
      </c>
      <c r="K92" s="81"/>
      <c r="L92" s="199">
        <f t="shared" ca="1" si="63"/>
        <v>0.9</v>
      </c>
      <c r="M92" s="199"/>
      <c r="N92" s="81"/>
      <c r="O92" s="723">
        <f t="shared" ca="1" si="64"/>
        <v>3.9959090909090902</v>
      </c>
      <c r="P92" s="723">
        <f t="shared" ca="1" si="65"/>
        <v>0.25106499999999998</v>
      </c>
      <c r="Q92" s="81">
        <f t="shared" ca="1" si="66"/>
        <v>5.8937777777777782</v>
      </c>
      <c r="R92" s="300"/>
      <c r="S92" s="300"/>
      <c r="T92" s="300"/>
      <c r="U92" s="300"/>
      <c r="V92" s="199">
        <f t="shared" ref="V92" ca="1" si="76">IF(IF(RIGHT(H90,2)="PH",(1-L92)+$W$2,IF(RIGHT(H90,2)="HT",(1-L92)+$W$1,IF(RIGHT(H90,2)="SH",(1-L92)+$W$3,"")))&gt;0,IF(RIGHT(H90,2)="PH",(1-L92)+$W$2,IF(RIGHT(H90,2)="HT",(1-L92)+$W$1,IF(RIGHT(H90,2)="SH",(1-L92)+$W$3,""))),0)</f>
        <v>0.3</v>
      </c>
      <c r="W92" s="298"/>
      <c r="X92" s="698">
        <f t="shared" ca="1" si="27"/>
        <v>11</v>
      </c>
      <c r="Y92" s="81">
        <f t="shared" ca="1" si="68"/>
        <v>41</v>
      </c>
      <c r="Z92" s="81">
        <f t="shared" ca="1" si="69"/>
        <v>4</v>
      </c>
      <c r="AA92" s="81">
        <f t="shared" ca="1" si="70"/>
        <v>1</v>
      </c>
      <c r="AB92" s="81">
        <f t="shared" ca="1" si="71"/>
        <v>10</v>
      </c>
      <c r="AC92" s="224"/>
      <c r="AD92" s="81">
        <v>2050</v>
      </c>
      <c r="AE92" s="706"/>
      <c r="AF92" s="220"/>
    </row>
    <row r="93" spans="1:33" s="226" customFormat="1">
      <c r="A93" s="224"/>
      <c r="B93" s="357" t="s">
        <v>1008</v>
      </c>
      <c r="C93" s="224"/>
      <c r="D93" s="212" t="str">
        <f>"IND"&amp;RIGHT(H93,4)&amp;RIGHT(G93,3)&amp;"N"&amp;RIGHT(E93,1)</f>
        <v>INDGDSHWCHN1</v>
      </c>
      <c r="E93" s="261" t="str">
        <f>"Industrial heating technology "&amp;$AJ$12&amp;" "&amp;RIGHT(H93,2)&amp;" - Wood chip boiler (Steam) - new 1"</f>
        <v>Industrial heating technology Glass &amp; Concrete SH - Wood chip boiler (Steam) - new 1</v>
      </c>
      <c r="F93" s="224" t="s">
        <v>1149</v>
      </c>
      <c r="G93" s="173" t="s">
        <v>498</v>
      </c>
      <c r="H93" s="174" t="str">
        <f>$AI$15</f>
        <v>IGDSH</v>
      </c>
      <c r="I93" s="174" t="str">
        <f t="shared" si="38"/>
        <v>INDGWH</v>
      </c>
      <c r="J93" s="224">
        <f t="shared" si="32"/>
        <v>2011</v>
      </c>
      <c r="K93" s="299">
        <v>2025</v>
      </c>
      <c r="L93" s="199">
        <f t="shared" ca="1" si="63"/>
        <v>0.89</v>
      </c>
      <c r="M93" s="199"/>
      <c r="N93" s="81">
        <f ca="1">VLOOKUP($AD93,INDIRECT("'"&amp;$B93&amp;"'!"&amp;"$P$39:$AD$42"),5,FALSE)</f>
        <v>25</v>
      </c>
      <c r="O93" s="723">
        <f t="shared" ca="1" si="64"/>
        <v>4.6054545454545455</v>
      </c>
      <c r="P93" s="723">
        <f t="shared" ca="1" si="65"/>
        <v>0.25106499999999998</v>
      </c>
      <c r="Q93" s="81">
        <f t="shared" ca="1" si="66"/>
        <v>5.7509861111111107</v>
      </c>
      <c r="R93" s="81">
        <v>3.1536000000000002E-2</v>
      </c>
      <c r="S93" s="199">
        <v>0.5</v>
      </c>
      <c r="T93" s="199">
        <f ca="1">HLOOKUP($T$2,INDIRECT("'"&amp;$B93&amp;"'!"&amp;"$P$6:$AC$19"),IF(H93=$AI$13,6,IF(H93=$AI$14,9,14)),FALSE)</f>
        <v>1</v>
      </c>
      <c r="U93" s="772"/>
      <c r="V93" s="199">
        <f t="shared" ref="V93" ca="1" si="77">IF(IF(RIGHT(H93,2)="PH",(1-L93)+$W$2,IF(RIGHT(H93,2)="HT",(1-L93)+$W$1,IF(RIGHT(H93,2)="SH",(1-L93)+$W$3,"")))&gt;0,IF(RIGHT(H93,2)="PH",(1-L93)+$W$2,IF(RIGHT(H93,2)="HT",(1-L93)+$W$1,IF(RIGHT(H93,2)="SH",(1-L93)+$W$3,""))),0)</f>
        <v>0.10999999999999999</v>
      </c>
      <c r="W93" s="298"/>
      <c r="X93" s="698">
        <f t="shared" ca="1" si="27"/>
        <v>11</v>
      </c>
      <c r="Y93" s="81">
        <f t="shared" ca="1" si="68"/>
        <v>63</v>
      </c>
      <c r="Z93" s="81">
        <f t="shared" ca="1" si="69"/>
        <v>11</v>
      </c>
      <c r="AA93" s="81">
        <f t="shared" ca="1" si="70"/>
        <v>3</v>
      </c>
      <c r="AB93" s="81">
        <f t="shared" ca="1" si="71"/>
        <v>10</v>
      </c>
      <c r="AC93" s="296"/>
      <c r="AD93" s="81">
        <v>2020</v>
      </c>
      <c r="AE93" s="81"/>
      <c r="AF93" s="710"/>
    </row>
    <row r="94" spans="1:33" s="226" customFormat="1">
      <c r="A94" s="224"/>
      <c r="B94" s="357" t="s">
        <v>1008</v>
      </c>
      <c r="C94" s="224"/>
      <c r="D94" s="212"/>
      <c r="E94" s="212"/>
      <c r="F94" s="224" t="s">
        <v>1149</v>
      </c>
      <c r="G94" s="224"/>
      <c r="H94" s="174"/>
      <c r="I94" s="174" t="str">
        <f t="shared" si="38"/>
        <v>INDGWH</v>
      </c>
      <c r="J94" s="224">
        <f t="shared" si="32"/>
        <v>2030</v>
      </c>
      <c r="K94" s="81"/>
      <c r="L94" s="199">
        <f t="shared" ca="1" si="63"/>
        <v>0.89</v>
      </c>
      <c r="M94" s="199"/>
      <c r="N94" s="81"/>
      <c r="O94" s="723">
        <f t="shared" ca="1" si="64"/>
        <v>4.4022727272727264</v>
      </c>
      <c r="P94" s="723">
        <f t="shared" ca="1" si="65"/>
        <v>0.267455</v>
      </c>
      <c r="Q94" s="81">
        <f t="shared" ca="1" si="66"/>
        <v>5.8461805555555557</v>
      </c>
      <c r="R94" s="300"/>
      <c r="S94" s="300"/>
      <c r="T94" s="300"/>
      <c r="U94" s="300"/>
      <c r="V94" s="199">
        <f t="shared" ref="V94" ca="1" si="78">IF(IF(RIGHT(H93,2)="PH",(1-L94)+$W$2,IF(RIGHT(H93,2)="HT",(1-L94)+$W$1,IF(RIGHT(H93,2)="SH",(1-L94)+$W$3,"")))&gt;0,IF(RIGHT(H93,2)="PH",(1-L94)+$W$2,IF(RIGHT(H93,2)="HT",(1-L94)+$W$1,IF(RIGHT(H93,2)="SH",(1-L94)+$W$3,""))),0)</f>
        <v>0.10999999999999999</v>
      </c>
      <c r="W94" s="298"/>
      <c r="X94" s="698">
        <f t="shared" ca="1" si="27"/>
        <v>11</v>
      </c>
      <c r="Y94" s="81">
        <f t="shared" ca="1" si="68"/>
        <v>49</v>
      </c>
      <c r="Z94" s="81">
        <f t="shared" ca="1" si="69"/>
        <v>8</v>
      </c>
      <c r="AA94" s="81">
        <f t="shared" ca="1" si="70"/>
        <v>3</v>
      </c>
      <c r="AB94" s="81">
        <f t="shared" ca="1" si="71"/>
        <v>10</v>
      </c>
      <c r="AC94" s="55"/>
      <c r="AD94" s="81">
        <v>2030</v>
      </c>
      <c r="AE94" s="81"/>
      <c r="AF94" s="700"/>
    </row>
    <row r="95" spans="1:33" s="226" customFormat="1">
      <c r="A95" s="224"/>
      <c r="B95" s="357" t="s">
        <v>1008</v>
      </c>
      <c r="C95" s="224"/>
      <c r="D95" s="212"/>
      <c r="E95" s="212"/>
      <c r="F95" s="224" t="s">
        <v>1149</v>
      </c>
      <c r="G95" s="224"/>
      <c r="H95" s="174"/>
      <c r="I95" s="174" t="str">
        <f t="shared" si="38"/>
        <v>INDGWH</v>
      </c>
      <c r="J95" s="224">
        <f t="shared" si="32"/>
        <v>2050</v>
      </c>
      <c r="K95" s="706"/>
      <c r="L95" s="199">
        <f t="shared" ca="1" si="63"/>
        <v>0.9</v>
      </c>
      <c r="M95" s="774"/>
      <c r="N95" s="706"/>
      <c r="O95" s="724">
        <f t="shared" ca="1" si="64"/>
        <v>3.9959090909090902</v>
      </c>
      <c r="P95" s="724">
        <f t="shared" ca="1" si="65"/>
        <v>0.25106499999999998</v>
      </c>
      <c r="Q95" s="706">
        <f t="shared" ca="1" si="66"/>
        <v>5.8937777777777782</v>
      </c>
      <c r="R95" s="300"/>
      <c r="S95" s="300"/>
      <c r="T95" s="300"/>
      <c r="U95" s="300"/>
      <c r="V95" s="199">
        <f t="shared" ref="V95" ca="1" si="79">IF(IF(RIGHT(H93,2)="PH",(1-L95)+$W$2,IF(RIGHT(H93,2)="HT",(1-L95)+$W$1,IF(RIGHT(H93,2)="SH",(1-L95)+$W$3,"")))&gt;0,IF(RIGHT(H93,2)="PH",(1-L95)+$W$2,IF(RIGHT(H93,2)="HT",(1-L95)+$W$1,IF(RIGHT(H93,2)="SH",(1-L95)+$W$3,""))),0)</f>
        <v>9.9999999999999978E-2</v>
      </c>
      <c r="W95" s="298"/>
      <c r="X95" s="698">
        <f t="shared" ref="X95:X126" ca="1" si="80">IF(VLOOKUP($AD95,INDIRECT("'"&amp;$B95&amp;"'!"&amp;"$P$39:$AD$42"),11,FALSE)="Cf. the utilized electricity",0,VLOOKUP($AD95,INDIRECT("'"&amp;$B95&amp;"'!"&amp;"$P$39:$AD$42"),11,FALSE))</f>
        <v>11</v>
      </c>
      <c r="Y95" s="706">
        <f t="shared" ca="1" si="68"/>
        <v>41</v>
      </c>
      <c r="Z95" s="706">
        <f t="shared" ca="1" si="69"/>
        <v>4</v>
      </c>
      <c r="AA95" s="706">
        <f t="shared" ca="1" si="70"/>
        <v>1</v>
      </c>
      <c r="AB95" s="706">
        <f t="shared" ca="1" si="71"/>
        <v>10</v>
      </c>
      <c r="AC95" s="55"/>
      <c r="AD95" s="706">
        <v>2050</v>
      </c>
      <c r="AE95" s="81"/>
      <c r="AF95" s="700"/>
    </row>
    <row r="96" spans="1:33">
      <c r="B96" s="716" t="s">
        <v>1008</v>
      </c>
      <c r="C96" s="296"/>
      <c r="D96" s="707" t="str">
        <f>"IND"&amp;RIGHT(H96,4)&amp;RIGHT(G96,3)&amp;"N"&amp;RIGHT(E96,1)</f>
        <v>INDGDPHWCHN2</v>
      </c>
      <c r="E96" s="707" t="str">
        <f>"Industrial heating technology "&amp;$AJ$12&amp;" "&amp;RIGHT(H96,2)&amp;" - Wood chip boiler (Steam - condensing) - new 2"</f>
        <v>Industrial heating technology Glass &amp; Concrete PH - Wood chip boiler (Steam - condensing) - new 2</v>
      </c>
      <c r="F96" s="224" t="s">
        <v>1149</v>
      </c>
      <c r="G96" s="708" t="s">
        <v>498</v>
      </c>
      <c r="H96" s="708" t="str">
        <f>$AI$14</f>
        <v>IGDPH</v>
      </c>
      <c r="I96" s="708" t="str">
        <f t="shared" si="38"/>
        <v>INDGWH</v>
      </c>
      <c r="J96" s="224">
        <f t="shared" si="32"/>
        <v>2011</v>
      </c>
      <c r="K96" s="299">
        <v>2025</v>
      </c>
      <c r="L96" s="199">
        <f t="shared" ref="L96:L101" ca="1" si="81">VLOOKUP($AD96,INDIRECT("'"&amp;$B96&amp;"'!"&amp;"$P$118:$AD$121"),3,FALSE)</f>
        <v>1.1618960947726835</v>
      </c>
      <c r="M96" s="199"/>
      <c r="N96" s="81">
        <f ca="1">VLOOKUP($AD96,INDIRECT("'"&amp;$B96&amp;"'!"&amp;"$P$118:$AD$121"),5,FALSE)</f>
        <v>25</v>
      </c>
      <c r="O96" s="723">
        <f t="shared" ref="O96:O101" ca="1" si="82">VLOOKUP($AD96,INDIRECT("'"&amp;$B96&amp;"'!"&amp;"$P$118:$AD$121"),6,FALSE)/1000</f>
        <v>5.0660000000000007</v>
      </c>
      <c r="P96" s="723">
        <f t="shared" ref="P96:P101" ca="1" si="83">VLOOKUP($AD96,INDIRECT("'"&amp;$B96&amp;"'!"&amp;"$P$118:$AD$121"),7,FALSE)/1000</f>
        <v>0.27564999999999995</v>
      </c>
      <c r="Q96" s="81">
        <f t="shared" ref="Q96:Q101" ca="1" si="84">VLOOKUP($AD96,INDIRECT("'"&amp;$B96&amp;"'!"&amp;"$P$118:$AD$121"),8,FALSE)</f>
        <v>5.7509861111111107</v>
      </c>
      <c r="R96" s="81">
        <v>3.1536000000000002E-2</v>
      </c>
      <c r="S96" s="199">
        <v>0.5</v>
      </c>
      <c r="T96" s="199">
        <f ca="1">HLOOKUP($T$2,INDIRECT("'"&amp;$B96&amp;"'!"&amp;"$P$85:$AC$98"),IF(H96=$AI$13,6,IF(H96=$AI$14,9,14)),FALSE)</f>
        <v>0</v>
      </c>
      <c r="U96" s="773"/>
      <c r="V96" s="199">
        <f t="shared" ref="V96" ca="1" si="85">IF(IF(RIGHT(H96,2)="PH",(1-L96)+$W$2,IF(RIGHT(H96,2)="HT",(1-L96)+$W$1,IF(RIGHT(H96,2)="SH",(1-L96)+$W$3,"")))&gt;0,IF(RIGHT(H96,2)="PH",(1-L96)+$W$2,IF(RIGHT(H96,2)="HT",(1-L96)+$W$1,IF(RIGHT(H96,2)="SH",(1-L96)+$W$3,""))),0)</f>
        <v>3.8103905227316492E-2</v>
      </c>
      <c r="W96" s="709"/>
      <c r="X96" s="698">
        <f t="shared" ca="1" si="80"/>
        <v>11</v>
      </c>
      <c r="Y96" s="698">
        <f t="shared" ref="Y96:Y101" ca="1" si="86">VLOOKUP($AD96,INDIRECT("'"&amp;$B96&amp;"'!"&amp;"$P$118:$AD$121"),12,FALSE)</f>
        <v>63</v>
      </c>
      <c r="Z96" s="698">
        <f t="shared" ref="Z96:Z101" ca="1" si="87">VLOOKUP($AD96,INDIRECT("'"&amp;$B96&amp;"'!"&amp;"$P$118:$AD$121"),13,FALSE)</f>
        <v>11</v>
      </c>
      <c r="AA96" s="698">
        <f t="shared" ref="AA96:AA101" ca="1" si="88">VLOOKUP($AD96,INDIRECT("'"&amp;$B96&amp;"'!"&amp;"$P$118:$AD$121"),14,FALSE)</f>
        <v>3</v>
      </c>
      <c r="AB96" s="698">
        <f t="shared" ref="AB96:AB101" ca="1" si="89">VLOOKUP($AD96,INDIRECT("'"&amp;$B96&amp;"'!"&amp;"$P$118:$AD$121"),15,FALSE)</f>
        <v>10</v>
      </c>
      <c r="AC96" s="55"/>
      <c r="AD96" s="81">
        <v>2020</v>
      </c>
      <c r="AE96" s="81"/>
      <c r="AF96" s="700"/>
      <c r="AG96" s="226"/>
    </row>
    <row r="97" spans="2:32">
      <c r="B97" s="357" t="s">
        <v>1008</v>
      </c>
      <c r="C97" s="55"/>
      <c r="D97" s="261"/>
      <c r="E97" s="261"/>
      <c r="F97" s="224" t="s">
        <v>1149</v>
      </c>
      <c r="G97" s="55"/>
      <c r="H97" s="174"/>
      <c r="I97" s="174" t="str">
        <f t="shared" si="38"/>
        <v>INDGWH</v>
      </c>
      <c r="J97" s="224">
        <f t="shared" si="32"/>
        <v>2030</v>
      </c>
      <c r="K97" s="81"/>
      <c r="L97" s="199">
        <f t="shared" ca="1" si="81"/>
        <v>1.1618960947726835</v>
      </c>
      <c r="M97" s="199"/>
      <c r="N97" s="81"/>
      <c r="O97" s="723">
        <f t="shared" ca="1" si="82"/>
        <v>4.8425000000000002</v>
      </c>
      <c r="P97" s="723">
        <f t="shared" ca="1" si="83"/>
        <v>0.267455</v>
      </c>
      <c r="Q97" s="81">
        <f t="shared" ca="1" si="84"/>
        <v>5.8461805555555557</v>
      </c>
      <c r="R97" s="300"/>
      <c r="S97" s="300"/>
      <c r="T97" s="300"/>
      <c r="U97" s="300"/>
      <c r="V97" s="199">
        <f t="shared" ref="V97" ca="1" si="90">IF(IF(RIGHT(H96,2)="PH",(1-L97)+$W$2,IF(RIGHT(H96,2)="HT",(1-L97)+$W$1,IF(RIGHT(H96,2)="SH",(1-L97)+$W$3,"")))&gt;0,IF(RIGHT(H96,2)="PH",(1-L97)+$W$2,IF(RIGHT(H96,2)="HT",(1-L97)+$W$1,IF(RIGHT(H96,2)="SH",(1-L97)+$W$3,""))),0)</f>
        <v>3.8103905227316492E-2</v>
      </c>
      <c r="W97" s="298"/>
      <c r="X97" s="698">
        <f t="shared" ca="1" si="80"/>
        <v>11</v>
      </c>
      <c r="Y97" s="698">
        <f t="shared" ca="1" si="86"/>
        <v>49</v>
      </c>
      <c r="Z97" s="698">
        <f t="shared" ca="1" si="87"/>
        <v>8</v>
      </c>
      <c r="AA97" s="698">
        <f t="shared" ca="1" si="88"/>
        <v>3</v>
      </c>
      <c r="AB97" s="698">
        <f t="shared" ca="1" si="89"/>
        <v>10</v>
      </c>
      <c r="AC97" s="55"/>
      <c r="AD97" s="81">
        <v>2030</v>
      </c>
      <c r="AE97" s="81"/>
      <c r="AF97" s="700"/>
    </row>
    <row r="98" spans="2:32">
      <c r="B98" s="357" t="s">
        <v>1008</v>
      </c>
      <c r="C98" s="55"/>
      <c r="D98" s="261"/>
      <c r="E98" s="261"/>
      <c r="F98" s="224" t="s">
        <v>1149</v>
      </c>
      <c r="G98" s="55"/>
      <c r="H98" s="174"/>
      <c r="I98" s="174" t="str">
        <f t="shared" si="38"/>
        <v>INDGWH</v>
      </c>
      <c r="J98" s="224">
        <f t="shared" si="32"/>
        <v>2050</v>
      </c>
      <c r="K98" s="81"/>
      <c r="L98" s="199">
        <f t="shared" ca="1" si="81"/>
        <v>1.1618960947726835</v>
      </c>
      <c r="M98" s="199"/>
      <c r="N98" s="81"/>
      <c r="O98" s="723">
        <f t="shared" ca="1" si="82"/>
        <v>4.3955000000000002</v>
      </c>
      <c r="P98" s="723">
        <f t="shared" ca="1" si="83"/>
        <v>0.25106499999999998</v>
      </c>
      <c r="Q98" s="81">
        <f t="shared" ca="1" si="84"/>
        <v>5.8937777777777782</v>
      </c>
      <c r="R98" s="300"/>
      <c r="S98" s="300"/>
      <c r="T98" s="300"/>
      <c r="U98" s="300"/>
      <c r="V98" s="199">
        <f t="shared" ref="V98" ca="1" si="91">IF(IF(RIGHT(H96,2)="PH",(1-L98)+$W$2,IF(RIGHT(H96,2)="HT",(1-L98)+$W$1,IF(RIGHT(H96,2)="SH",(1-L98)+$W$3,"")))&gt;0,IF(RIGHT(H96,2)="PH",(1-L98)+$W$2,IF(RIGHT(H96,2)="HT",(1-L98)+$W$1,IF(RIGHT(H96,2)="SH",(1-L98)+$W$3,""))),0)</f>
        <v>3.8103905227316492E-2</v>
      </c>
      <c r="W98" s="298"/>
      <c r="X98" s="698">
        <f t="shared" ca="1" si="80"/>
        <v>11</v>
      </c>
      <c r="Y98" s="698">
        <f t="shared" ca="1" si="86"/>
        <v>41</v>
      </c>
      <c r="Z98" s="698">
        <f t="shared" ca="1" si="87"/>
        <v>4</v>
      </c>
      <c r="AA98" s="698">
        <f t="shared" ca="1" si="88"/>
        <v>1</v>
      </c>
      <c r="AB98" s="698">
        <f t="shared" ca="1" si="89"/>
        <v>10</v>
      </c>
      <c r="AC98" s="203"/>
      <c r="AD98" s="81">
        <v>2050</v>
      </c>
      <c r="AE98" s="81"/>
      <c r="AF98" s="705"/>
    </row>
    <row r="99" spans="2:32">
      <c r="B99" s="357" t="s">
        <v>1008</v>
      </c>
      <c r="C99" s="55"/>
      <c r="D99" s="261" t="str">
        <f>"IND"&amp;RIGHT(H99,4)&amp;RIGHT(G99,3)&amp;"N"&amp;RIGHT(E99,1)</f>
        <v>INDGDSHWCHN2</v>
      </c>
      <c r="E99" s="261" t="str">
        <f>"Industrial heating technology "&amp;$AJ$12&amp;" "&amp;RIGHT(H99,2)&amp;" - Wood chip boiler (Steam - condensing) - new 2"</f>
        <v>Industrial heating technology Glass &amp; Concrete SH - Wood chip boiler (Steam - condensing) - new 2</v>
      </c>
      <c r="F99" s="224" t="s">
        <v>1149</v>
      </c>
      <c r="G99" s="174" t="s">
        <v>498</v>
      </c>
      <c r="H99" s="174" t="str">
        <f>$AI$15</f>
        <v>IGDSH</v>
      </c>
      <c r="I99" s="174" t="str">
        <f t="shared" si="38"/>
        <v>INDGWH</v>
      </c>
      <c r="J99" s="224">
        <f t="shared" si="32"/>
        <v>2011</v>
      </c>
      <c r="K99" s="299">
        <v>2025</v>
      </c>
      <c r="L99" s="199">
        <f t="shared" ca="1" si="81"/>
        <v>1.1618960947726835</v>
      </c>
      <c r="M99" s="199"/>
      <c r="N99" s="81">
        <f ca="1">VLOOKUP($AD99,INDIRECT("'"&amp;$B99&amp;"'!"&amp;"$P$118:$AD$121"),5,FALSE)</f>
        <v>25</v>
      </c>
      <c r="O99" s="723">
        <f t="shared" ca="1" si="82"/>
        <v>5.0660000000000007</v>
      </c>
      <c r="P99" s="723">
        <f t="shared" ca="1" si="83"/>
        <v>0.27564999999999995</v>
      </c>
      <c r="Q99" s="81">
        <f t="shared" ca="1" si="84"/>
        <v>5.7509861111111107</v>
      </c>
      <c r="R99" s="81">
        <v>3.1536000000000002E-2</v>
      </c>
      <c r="S99" s="199">
        <v>0.5</v>
      </c>
      <c r="T99" s="199">
        <f ca="1">HLOOKUP($T$2,INDIRECT("'"&amp;$B99&amp;"'!"&amp;"$P$85:$AC$98"),IF(H99=$AI$13,6,IF(H99=$AI$14,9,14)),FALSE)</f>
        <v>0</v>
      </c>
      <c r="U99" s="772"/>
      <c r="V99" s="199">
        <f t="shared" ref="V99" ca="1" si="92">IF(IF(RIGHT(H99,2)="PH",(1-L99)+$W$2,IF(RIGHT(H99,2)="HT",(1-L99)+$W$1,IF(RIGHT(H99,2)="SH",(1-L99)+$W$3,"")))&gt;0,IF(RIGHT(H99,2)="PH",(1-L99)+$W$2,IF(RIGHT(H99,2)="HT",(1-L99)+$W$1,IF(RIGHT(H99,2)="SH",(1-L99)+$W$3,""))),0)</f>
        <v>0</v>
      </c>
      <c r="W99" s="298"/>
      <c r="X99" s="698">
        <f t="shared" ca="1" si="80"/>
        <v>11</v>
      </c>
      <c r="Y99" s="698">
        <f t="shared" ca="1" si="86"/>
        <v>63</v>
      </c>
      <c r="Z99" s="698">
        <f t="shared" ca="1" si="87"/>
        <v>11</v>
      </c>
      <c r="AA99" s="698">
        <f t="shared" ca="1" si="88"/>
        <v>3</v>
      </c>
      <c r="AB99" s="698">
        <f t="shared" ca="1" si="89"/>
        <v>10</v>
      </c>
      <c r="AC99" s="296"/>
      <c r="AD99" s="81">
        <v>2020</v>
      </c>
      <c r="AE99" s="81"/>
      <c r="AF99" s="710"/>
    </row>
    <row r="100" spans="2:32">
      <c r="B100" s="357" t="s">
        <v>1008</v>
      </c>
      <c r="C100" s="55"/>
      <c r="D100" s="261"/>
      <c r="E100" s="261"/>
      <c r="F100" s="224" t="s">
        <v>1149</v>
      </c>
      <c r="G100" s="55"/>
      <c r="H100" s="174"/>
      <c r="I100" s="174" t="str">
        <f t="shared" si="38"/>
        <v>INDGWH</v>
      </c>
      <c r="J100" s="224">
        <f t="shared" si="32"/>
        <v>2030</v>
      </c>
      <c r="K100" s="81"/>
      <c r="L100" s="199">
        <f t="shared" ca="1" si="81"/>
        <v>1.1618960947726835</v>
      </c>
      <c r="M100" s="199"/>
      <c r="N100" s="81"/>
      <c r="O100" s="723">
        <f t="shared" ca="1" si="82"/>
        <v>4.8425000000000002</v>
      </c>
      <c r="P100" s="723">
        <f t="shared" ca="1" si="83"/>
        <v>0.267455</v>
      </c>
      <c r="Q100" s="81">
        <f t="shared" ca="1" si="84"/>
        <v>5.8461805555555557</v>
      </c>
      <c r="R100" s="300"/>
      <c r="S100" s="300"/>
      <c r="T100" s="300"/>
      <c r="U100" s="300"/>
      <c r="V100" s="199">
        <f t="shared" ref="V100" ca="1" si="93">IF(IF(RIGHT(H99,2)="PH",(1-L100)+$W$2,IF(RIGHT(H99,2)="HT",(1-L100)+$W$1,IF(RIGHT(H99,2)="SH",(1-L100)+$W$3,"")))&gt;0,IF(RIGHT(H99,2)="PH",(1-L100)+$W$2,IF(RIGHT(H99,2)="HT",(1-L100)+$W$1,IF(RIGHT(H99,2)="SH",(1-L100)+$W$3,""))),0)</f>
        <v>0</v>
      </c>
      <c r="W100" s="298"/>
      <c r="X100" s="698">
        <f t="shared" ca="1" si="80"/>
        <v>11</v>
      </c>
      <c r="Y100" s="698">
        <f t="shared" ca="1" si="86"/>
        <v>49</v>
      </c>
      <c r="Z100" s="698">
        <f t="shared" ca="1" si="87"/>
        <v>8</v>
      </c>
      <c r="AA100" s="698">
        <f t="shared" ca="1" si="88"/>
        <v>3</v>
      </c>
      <c r="AB100" s="698">
        <f t="shared" ca="1" si="89"/>
        <v>10</v>
      </c>
      <c r="AC100" s="55"/>
      <c r="AD100" s="81">
        <v>2030</v>
      </c>
      <c r="AE100" s="81"/>
      <c r="AF100" s="700"/>
    </row>
    <row r="101" spans="2:32">
      <c r="B101" s="356" t="s">
        <v>1008</v>
      </c>
      <c r="C101" s="203"/>
      <c r="D101" s="701"/>
      <c r="E101" s="701"/>
      <c r="F101" s="224" t="s">
        <v>1149</v>
      </c>
      <c r="G101" s="203"/>
      <c r="H101" s="702"/>
      <c r="I101" s="702" t="str">
        <f t="shared" si="38"/>
        <v>INDGWH</v>
      </c>
      <c r="J101" s="224">
        <f t="shared" si="32"/>
        <v>2050</v>
      </c>
      <c r="K101" s="81"/>
      <c r="L101" s="199">
        <f t="shared" ca="1" si="81"/>
        <v>1.1618960947726835</v>
      </c>
      <c r="M101" s="199"/>
      <c r="N101" s="81"/>
      <c r="O101" s="723">
        <f t="shared" ca="1" si="82"/>
        <v>4.3955000000000002</v>
      </c>
      <c r="P101" s="723">
        <f t="shared" ca="1" si="83"/>
        <v>0.25106499999999998</v>
      </c>
      <c r="Q101" s="81">
        <f t="shared" ca="1" si="84"/>
        <v>5.8937777777777782</v>
      </c>
      <c r="R101" s="703"/>
      <c r="S101" s="703"/>
      <c r="T101" s="703"/>
      <c r="U101" s="703"/>
      <c r="V101" s="199">
        <f t="shared" ref="V101" ca="1" si="94">IF(IF(RIGHT(H99,2)="PH",(1-L101)+$W$2,IF(RIGHT(H99,2)="HT",(1-L101)+$W$1,IF(RIGHT(H99,2)="SH",(1-L101)+$W$3,"")))&gt;0,IF(RIGHT(H99,2)="PH",(1-L101)+$W$2,IF(RIGHT(H99,2)="HT",(1-L101)+$W$1,IF(RIGHT(H99,2)="SH",(1-L101)+$W$3,""))),0)</f>
        <v>0</v>
      </c>
      <c r="W101" s="704"/>
      <c r="X101" s="698">
        <f t="shared" ca="1" si="80"/>
        <v>11</v>
      </c>
      <c r="Y101" s="698">
        <f t="shared" ca="1" si="86"/>
        <v>41</v>
      </c>
      <c r="Z101" s="698">
        <f t="shared" ca="1" si="87"/>
        <v>4</v>
      </c>
      <c r="AA101" s="698">
        <f t="shared" ca="1" si="88"/>
        <v>1</v>
      </c>
      <c r="AB101" s="698">
        <f t="shared" ca="1" si="89"/>
        <v>10</v>
      </c>
      <c r="AC101" s="55"/>
      <c r="AD101" s="81">
        <v>2050</v>
      </c>
      <c r="AE101" s="81"/>
      <c r="AF101" s="700"/>
    </row>
    <row r="102" spans="2:32">
      <c r="B102" s="717" t="s">
        <v>1008</v>
      </c>
      <c r="C102" s="712"/>
      <c r="D102" s="707" t="str">
        <f>"IND"&amp;RIGHT(H102,4)&amp;RIGHT(G102,3)&amp;"N"&amp;RIGHT(E102,1)</f>
        <v>INDGDPHWCHN3</v>
      </c>
      <c r="E102" s="707" t="str">
        <f>"Industrial heating technology "&amp;$AJ$12&amp;" "&amp;RIGHT(H102,2)&amp;" - Wood chip boiler (Hot Water) - new 3"</f>
        <v>Industrial heating technology Glass &amp; Concrete PH - Wood chip boiler (Hot Water) - new 3</v>
      </c>
      <c r="F102" s="224" t="s">
        <v>1149</v>
      </c>
      <c r="G102" s="708" t="s">
        <v>498</v>
      </c>
      <c r="H102" s="708" t="str">
        <f>$AI$14</f>
        <v>IGDPH</v>
      </c>
      <c r="I102" s="708" t="str">
        <f t="shared" si="38"/>
        <v>INDGWH</v>
      </c>
      <c r="J102" s="224">
        <f t="shared" si="32"/>
        <v>2011</v>
      </c>
      <c r="K102" s="299">
        <v>2025</v>
      </c>
      <c r="L102" s="199">
        <f t="shared" ref="L102:L107" ca="1" si="95">VLOOKUP($AD102,INDIRECT("'"&amp;$B102&amp;"'!"&amp;"$P$200:$AD$203"),3,FALSE)</f>
        <v>0.9</v>
      </c>
      <c r="M102" s="199"/>
      <c r="N102" s="81">
        <f ca="1">VLOOKUP($AD102,INDIRECT("'"&amp;$B102&amp;"'!"&amp;"$P$200:$AD$203"),5,FALSE)</f>
        <v>25</v>
      </c>
      <c r="O102" s="723">
        <f t="shared" ref="O102:O107" ca="1" si="96">VLOOKUP($AD102,INDIRECT("'"&amp;$B102&amp;"'!"&amp;"$P$200:$AD$203"),6,FALSE)/1000</f>
        <v>4.6054545454545437</v>
      </c>
      <c r="P102" s="723">
        <f t="shared" ref="P102:P107" ca="1" si="97">VLOOKUP($AD102,INDIRECT("'"&amp;$B102&amp;"'!"&amp;"$P$200:$AD$203"),7,FALSE)/1000</f>
        <v>0.25106499999999998</v>
      </c>
      <c r="Q102" s="81">
        <f t="shared" ref="Q102:Q107" ca="1" si="98">VLOOKUP($AD102,INDIRECT("'"&amp;$B102&amp;"'!"&amp;"$P$200:$AD$203"),8,FALSE)</f>
        <v>5.7509861111111107</v>
      </c>
      <c r="R102" s="81">
        <v>3.1536000000000002E-2</v>
      </c>
      <c r="S102" s="199">
        <v>0.5</v>
      </c>
      <c r="T102" s="199">
        <f ca="1">HLOOKUP($T$2,INDIRECT("'"&amp;$B102&amp;"'!"&amp;"$P$167:$AC$180"),IF(H102=$AI$13,6,IF(H102=$AI$14,9,14)),FALSE)</f>
        <v>0</v>
      </c>
      <c r="U102" s="773"/>
      <c r="V102" s="199">
        <f t="shared" ref="V102" ca="1" si="99">IF(IF(RIGHT(H102,2)="PH",(1-L102)+$W$2,IF(RIGHT(H102,2)="HT",(1-L102)+$W$1,IF(RIGHT(H102,2)="SH",(1-L102)+$W$3,"")))&gt;0,IF(RIGHT(H102,2)="PH",(1-L102)+$W$2,IF(RIGHT(H102,2)="HT",(1-L102)+$W$1,IF(RIGHT(H102,2)="SH",(1-L102)+$W$3,""))),0)</f>
        <v>0.3</v>
      </c>
      <c r="W102" s="709"/>
      <c r="X102" s="698">
        <f t="shared" ca="1" si="80"/>
        <v>11</v>
      </c>
      <c r="Y102" s="698">
        <f t="shared" ref="Y102:Y107" ca="1" si="100">VLOOKUP($AD102,INDIRECT("'"&amp;$B102&amp;"'!"&amp;"$P$200:$AD$203"),12,FALSE)</f>
        <v>63</v>
      </c>
      <c r="Z102" s="698">
        <f t="shared" ref="Z102:Z107" ca="1" si="101">VLOOKUP($AD102,INDIRECT("'"&amp;$B102&amp;"'!"&amp;"$P$200:$AD$203"),13,FALSE)</f>
        <v>11</v>
      </c>
      <c r="AA102" s="698">
        <f t="shared" ref="AA102:AA107" ca="1" si="102">VLOOKUP($AD102,INDIRECT("'"&amp;$B102&amp;"'!"&amp;"$P$200:$AD$203"),14,FALSE)</f>
        <v>3</v>
      </c>
      <c r="AB102" s="698">
        <f t="shared" ref="AB102:AB107" ca="1" si="103">VLOOKUP($AD102,INDIRECT("'"&amp;$B102&amp;"'!"&amp;"$P$200:$AD$203"),15,FALSE)</f>
        <v>10</v>
      </c>
      <c r="AC102" s="55"/>
      <c r="AD102" s="81">
        <v>2020</v>
      </c>
      <c r="AE102" s="81"/>
      <c r="AF102" s="700"/>
    </row>
    <row r="103" spans="2:32">
      <c r="B103" s="718" t="s">
        <v>1008</v>
      </c>
      <c r="C103" s="226"/>
      <c r="D103" s="261"/>
      <c r="E103" s="261"/>
      <c r="F103" s="224" t="s">
        <v>1149</v>
      </c>
      <c r="G103" s="55"/>
      <c r="H103" s="174"/>
      <c r="I103" s="174" t="str">
        <f t="shared" si="38"/>
        <v>INDGWH</v>
      </c>
      <c r="J103" s="224">
        <f t="shared" si="32"/>
        <v>2030</v>
      </c>
      <c r="K103" s="81"/>
      <c r="L103" s="199">
        <f t="shared" ca="1" si="95"/>
        <v>0.9</v>
      </c>
      <c r="M103" s="199"/>
      <c r="N103" s="81"/>
      <c r="O103" s="723">
        <f t="shared" ca="1" si="96"/>
        <v>4.4022727272727282</v>
      </c>
      <c r="P103" s="723">
        <f t="shared" ca="1" si="97"/>
        <v>0.267455</v>
      </c>
      <c r="Q103" s="81">
        <f t="shared" ca="1" si="98"/>
        <v>5.8461805555555557</v>
      </c>
      <c r="R103" s="300"/>
      <c r="S103" s="300"/>
      <c r="T103" s="300"/>
      <c r="U103" s="300"/>
      <c r="V103" s="199">
        <f t="shared" ref="V103" ca="1" si="104">IF(IF(RIGHT(H102,2)="PH",(1-L103)+$W$2,IF(RIGHT(H102,2)="HT",(1-L103)+$W$1,IF(RIGHT(H102,2)="SH",(1-L103)+$W$3,"")))&gt;0,IF(RIGHT(H102,2)="PH",(1-L103)+$W$2,IF(RIGHT(H102,2)="HT",(1-L103)+$W$1,IF(RIGHT(H102,2)="SH",(1-L103)+$W$3,""))),0)</f>
        <v>0.3</v>
      </c>
      <c r="W103" s="298"/>
      <c r="X103" s="698">
        <f t="shared" ca="1" si="80"/>
        <v>11</v>
      </c>
      <c r="Y103" s="698">
        <f t="shared" ca="1" si="100"/>
        <v>49</v>
      </c>
      <c r="Z103" s="698">
        <f t="shared" ca="1" si="101"/>
        <v>8</v>
      </c>
      <c r="AA103" s="698">
        <f t="shared" ca="1" si="102"/>
        <v>3</v>
      </c>
      <c r="AB103" s="698">
        <f t="shared" ca="1" si="103"/>
        <v>10</v>
      </c>
      <c r="AC103" s="55"/>
      <c r="AD103" s="81">
        <v>2030</v>
      </c>
      <c r="AE103" s="81"/>
      <c r="AF103" s="700"/>
    </row>
    <row r="104" spans="2:32">
      <c r="B104" s="718" t="s">
        <v>1008</v>
      </c>
      <c r="C104" s="226"/>
      <c r="D104" s="261"/>
      <c r="E104" s="261"/>
      <c r="F104" s="224" t="s">
        <v>1149</v>
      </c>
      <c r="G104" s="55"/>
      <c r="H104" s="174"/>
      <c r="I104" s="174" t="str">
        <f t="shared" si="38"/>
        <v>INDGWH</v>
      </c>
      <c r="J104" s="224">
        <f t="shared" si="32"/>
        <v>2050</v>
      </c>
      <c r="K104" s="81"/>
      <c r="L104" s="199">
        <f t="shared" ca="1" si="95"/>
        <v>0.91</v>
      </c>
      <c r="M104" s="199"/>
      <c r="N104" s="81"/>
      <c r="O104" s="723">
        <f t="shared" ca="1" si="96"/>
        <v>3.9959090909090884</v>
      </c>
      <c r="P104" s="723">
        <f t="shared" ca="1" si="97"/>
        <v>0.25106499999999998</v>
      </c>
      <c r="Q104" s="81">
        <f t="shared" ca="1" si="98"/>
        <v>5.8937777777777782</v>
      </c>
      <c r="R104" s="300"/>
      <c r="S104" s="300"/>
      <c r="T104" s="300"/>
      <c r="U104" s="300"/>
      <c r="V104" s="199">
        <f t="shared" ref="V104" ca="1" si="105">IF(IF(RIGHT(H102,2)="PH",(1-L104)+$W$2,IF(RIGHT(H102,2)="HT",(1-L104)+$W$1,IF(RIGHT(H102,2)="SH",(1-L104)+$W$3,"")))&gt;0,IF(RIGHT(H102,2)="PH",(1-L104)+$W$2,IF(RIGHT(H102,2)="HT",(1-L104)+$W$1,IF(RIGHT(H102,2)="SH",(1-L104)+$W$3,""))),0)</f>
        <v>0.28999999999999998</v>
      </c>
      <c r="W104" s="298"/>
      <c r="X104" s="698">
        <f t="shared" ca="1" si="80"/>
        <v>11</v>
      </c>
      <c r="Y104" s="698">
        <f t="shared" ca="1" si="100"/>
        <v>41</v>
      </c>
      <c r="Z104" s="698">
        <f t="shared" ca="1" si="101"/>
        <v>4</v>
      </c>
      <c r="AA104" s="698">
        <f t="shared" ca="1" si="102"/>
        <v>1</v>
      </c>
      <c r="AB104" s="698">
        <f t="shared" ca="1" si="103"/>
        <v>10</v>
      </c>
      <c r="AC104" s="203"/>
      <c r="AD104" s="81">
        <v>2050</v>
      </c>
      <c r="AE104" s="81"/>
      <c r="AF104" s="705"/>
    </row>
    <row r="105" spans="2:32">
      <c r="B105" s="718" t="s">
        <v>1008</v>
      </c>
      <c r="C105" s="226"/>
      <c r="D105" s="261" t="str">
        <f>"IND"&amp;RIGHT(H105,4)&amp;RIGHT(G105,3)&amp;"N"&amp;RIGHT(E105,1)</f>
        <v>INDGDSHWCHN3</v>
      </c>
      <c r="E105" s="261" t="str">
        <f>"Industrial heating technology "&amp;$AJ$12&amp;" "&amp;RIGHT(H105,2)&amp;" - Wood chip boiler (Hot Water) - new 3"</f>
        <v>Industrial heating technology Glass &amp; Concrete SH - Wood chip boiler (Hot Water) - new 3</v>
      </c>
      <c r="F105" s="224" t="s">
        <v>1149</v>
      </c>
      <c r="G105" s="174" t="s">
        <v>498</v>
      </c>
      <c r="H105" s="174" t="str">
        <f>$AI$15</f>
        <v>IGDSH</v>
      </c>
      <c r="I105" s="174" t="str">
        <f t="shared" si="38"/>
        <v>INDGWH</v>
      </c>
      <c r="J105" s="224">
        <f t="shared" si="32"/>
        <v>2011</v>
      </c>
      <c r="K105" s="299">
        <v>2025</v>
      </c>
      <c r="L105" s="199">
        <f t="shared" ca="1" si="95"/>
        <v>0.9</v>
      </c>
      <c r="M105" s="199"/>
      <c r="N105" s="81">
        <f ca="1">VLOOKUP($AD105,INDIRECT("'"&amp;$B105&amp;"'!"&amp;"$P$200:$AD$203"),5,FALSE)</f>
        <v>25</v>
      </c>
      <c r="O105" s="723">
        <f t="shared" ca="1" si="96"/>
        <v>4.6054545454545437</v>
      </c>
      <c r="P105" s="723">
        <f t="shared" ca="1" si="97"/>
        <v>0.25106499999999998</v>
      </c>
      <c r="Q105" s="81">
        <f t="shared" ca="1" si="98"/>
        <v>5.7509861111111107</v>
      </c>
      <c r="R105" s="81">
        <v>3.1536000000000002E-2</v>
      </c>
      <c r="S105" s="199">
        <v>0.5</v>
      </c>
      <c r="T105" s="199">
        <f ca="1">HLOOKUP($T$2,INDIRECT("'"&amp;$B105&amp;"'!"&amp;"$P$167:$AC$180"),IF(H105=$AI$13,6,IF(H105=$AI$14,9,14)),FALSE)</f>
        <v>1</v>
      </c>
      <c r="U105" s="773"/>
      <c r="V105" s="199">
        <f t="shared" ref="V105" ca="1" si="106">IF(IF(RIGHT(H105,2)="PH",(1-L105)+$W$2,IF(RIGHT(H105,2)="HT",(1-L105)+$W$1,IF(RIGHT(H105,2)="SH",(1-L105)+$W$3,"")))&gt;0,IF(RIGHT(H105,2)="PH",(1-L105)+$W$2,IF(RIGHT(H105,2)="HT",(1-L105)+$W$1,IF(RIGHT(H105,2)="SH",(1-L105)+$W$3,""))),0)</f>
        <v>9.9999999999999978E-2</v>
      </c>
      <c r="W105" s="709"/>
      <c r="X105" s="698">
        <f t="shared" ca="1" si="80"/>
        <v>11</v>
      </c>
      <c r="Y105" s="698">
        <f t="shared" ca="1" si="100"/>
        <v>63</v>
      </c>
      <c r="Z105" s="698">
        <f t="shared" ca="1" si="101"/>
        <v>11</v>
      </c>
      <c r="AA105" s="698">
        <f t="shared" ca="1" si="102"/>
        <v>3</v>
      </c>
      <c r="AB105" s="698">
        <f t="shared" ca="1" si="103"/>
        <v>10</v>
      </c>
      <c r="AC105" s="296"/>
      <c r="AD105" s="81">
        <v>2020</v>
      </c>
      <c r="AE105" s="81"/>
      <c r="AF105" s="710"/>
    </row>
    <row r="106" spans="2:32">
      <c r="B106" s="718" t="s">
        <v>1008</v>
      </c>
      <c r="C106" s="226"/>
      <c r="D106" s="261"/>
      <c r="E106" s="261"/>
      <c r="F106" s="224" t="s">
        <v>1149</v>
      </c>
      <c r="G106" s="55"/>
      <c r="H106" s="174"/>
      <c r="I106" s="174" t="str">
        <f t="shared" si="38"/>
        <v>INDGWH</v>
      </c>
      <c r="J106" s="224">
        <f t="shared" si="32"/>
        <v>2030</v>
      </c>
      <c r="K106" s="81"/>
      <c r="L106" s="199">
        <f t="shared" ca="1" si="95"/>
        <v>0.9</v>
      </c>
      <c r="M106" s="199"/>
      <c r="N106" s="81"/>
      <c r="O106" s="723">
        <f t="shared" ca="1" si="96"/>
        <v>4.4022727272727282</v>
      </c>
      <c r="P106" s="723">
        <f t="shared" ca="1" si="97"/>
        <v>0.267455</v>
      </c>
      <c r="Q106" s="81">
        <f t="shared" ca="1" si="98"/>
        <v>5.8461805555555557</v>
      </c>
      <c r="R106" s="300"/>
      <c r="S106" s="300"/>
      <c r="T106" s="300"/>
      <c r="U106" s="300"/>
      <c r="V106" s="199">
        <f t="shared" ref="V106" ca="1" si="107">IF(IF(RIGHT(H105,2)="PH",(1-L106)+$W$2,IF(RIGHT(H105,2)="HT",(1-L106)+$W$1,IF(RIGHT(H105,2)="SH",(1-L106)+$W$3,"")))&gt;0,IF(RIGHT(H105,2)="PH",(1-L106)+$W$2,IF(RIGHT(H105,2)="HT",(1-L106)+$W$1,IF(RIGHT(H105,2)="SH",(1-L106)+$W$3,""))),0)</f>
        <v>9.9999999999999978E-2</v>
      </c>
      <c r="W106" s="298"/>
      <c r="X106" s="698">
        <f t="shared" ca="1" si="80"/>
        <v>11</v>
      </c>
      <c r="Y106" s="698">
        <f t="shared" ca="1" si="100"/>
        <v>49</v>
      </c>
      <c r="Z106" s="698">
        <f t="shared" ca="1" si="101"/>
        <v>8</v>
      </c>
      <c r="AA106" s="698">
        <f t="shared" ca="1" si="102"/>
        <v>3</v>
      </c>
      <c r="AB106" s="698">
        <f t="shared" ca="1" si="103"/>
        <v>10</v>
      </c>
      <c r="AC106" s="55"/>
      <c r="AD106" s="81">
        <v>2030</v>
      </c>
      <c r="AE106" s="81"/>
      <c r="AF106" s="700"/>
    </row>
    <row r="107" spans="2:32">
      <c r="B107" s="719" t="s">
        <v>1008</v>
      </c>
      <c r="C107" s="713"/>
      <c r="D107" s="701"/>
      <c r="E107" s="701"/>
      <c r="F107" s="224" t="s">
        <v>1149</v>
      </c>
      <c r="G107" s="203"/>
      <c r="H107" s="702"/>
      <c r="I107" s="702" t="str">
        <f t="shared" si="38"/>
        <v>INDGWH</v>
      </c>
      <c r="J107" s="224">
        <f t="shared" si="32"/>
        <v>2050</v>
      </c>
      <c r="K107" s="81"/>
      <c r="L107" s="199">
        <f t="shared" ca="1" si="95"/>
        <v>0.91</v>
      </c>
      <c r="M107" s="199"/>
      <c r="N107" s="81"/>
      <c r="O107" s="723">
        <f t="shared" ca="1" si="96"/>
        <v>3.9959090909090884</v>
      </c>
      <c r="P107" s="723">
        <f t="shared" ca="1" si="97"/>
        <v>0.25106499999999998</v>
      </c>
      <c r="Q107" s="81">
        <f t="shared" ca="1" si="98"/>
        <v>5.8937777777777782</v>
      </c>
      <c r="R107" s="300"/>
      <c r="S107" s="300"/>
      <c r="T107" s="300"/>
      <c r="U107" s="300"/>
      <c r="V107" s="199">
        <f t="shared" ref="V107" ca="1" si="108">IF(IF(RIGHT(H105,2)="PH",(1-L107)+$W$2,IF(RIGHT(H105,2)="HT",(1-L107)+$W$1,IF(RIGHT(H105,2)="SH",(1-L107)+$W$3,"")))&gt;0,IF(RIGHT(H105,2)="PH",(1-L107)+$W$2,IF(RIGHT(H105,2)="HT",(1-L107)+$W$1,IF(RIGHT(H105,2)="SH",(1-L107)+$W$3,""))),0)</f>
        <v>8.9999999999999969E-2</v>
      </c>
      <c r="W107" s="298"/>
      <c r="X107" s="698">
        <f t="shared" ca="1" si="80"/>
        <v>11</v>
      </c>
      <c r="Y107" s="698">
        <f t="shared" ca="1" si="100"/>
        <v>41</v>
      </c>
      <c r="Z107" s="698">
        <f t="shared" ca="1" si="101"/>
        <v>4</v>
      </c>
      <c r="AA107" s="698">
        <f t="shared" ca="1" si="102"/>
        <v>1</v>
      </c>
      <c r="AB107" s="698">
        <f t="shared" ca="1" si="103"/>
        <v>10</v>
      </c>
      <c r="AC107" s="55"/>
      <c r="AD107" s="81">
        <v>2050</v>
      </c>
      <c r="AE107" s="81"/>
      <c r="AF107" s="700"/>
    </row>
    <row r="108" spans="2:32">
      <c r="B108" s="717" t="s">
        <v>1008</v>
      </c>
      <c r="C108" s="712"/>
      <c r="D108" s="707" t="str">
        <f>"IND"&amp;RIGHT(H108,4)&amp;RIGHT(G108,3)&amp;"N"&amp;RIGHT(E108,1)</f>
        <v>INDGDPHWCHN4</v>
      </c>
      <c r="E108" s="707" t="str">
        <f>"Industrial heating technology "&amp;$AJ$12&amp;" "&amp;RIGHT(H108,2)&amp;" - Wood chip boiler (Hot Water - condensing) - new 4"</f>
        <v>Industrial heating technology Glass &amp; Concrete PH - Wood chip boiler (Hot Water - condensing) - new 4</v>
      </c>
      <c r="F108" s="224" t="s">
        <v>1149</v>
      </c>
      <c r="G108" s="708" t="s">
        <v>498</v>
      </c>
      <c r="H108" s="708" t="str">
        <f>$AI$14</f>
        <v>IGDPH</v>
      </c>
      <c r="I108" s="708" t="str">
        <f t="shared" si="38"/>
        <v>INDGWH</v>
      </c>
      <c r="J108" s="224">
        <f t="shared" si="32"/>
        <v>2011</v>
      </c>
      <c r="K108" s="299">
        <v>2025</v>
      </c>
      <c r="L108" s="199">
        <f t="shared" ref="L108:L113" ca="1" si="109">VLOOKUP($AD108,INDIRECT("'"&amp;$B108&amp;"'!"&amp;"$P$279:$AD$282"),3,FALSE)</f>
        <v>1.1618960947726835</v>
      </c>
      <c r="M108" s="199"/>
      <c r="N108" s="81">
        <f ca="1">VLOOKUP($AD108,INDIRECT("'"&amp;$B108&amp;"'!"&amp;"$P$279:$AD$282"),5,FALSE)</f>
        <v>25</v>
      </c>
      <c r="O108" s="723">
        <f t="shared" ref="O108:O113" ca="1" si="110">VLOOKUP($AD108,INDIRECT("'"&amp;$B108&amp;"'!"&amp;"$P$279:$AD$282"),6,FALSE)/1000</f>
        <v>5.0660000000000007</v>
      </c>
      <c r="P108" s="723">
        <f t="shared" ref="P108:P113" ca="1" si="111">VLOOKUP($AD108,INDIRECT("'"&amp;$B108&amp;"'!"&amp;"$P$279:$AD$282"),7,FALSE)/1000</f>
        <v>0.27564999999999995</v>
      </c>
      <c r="Q108" s="81">
        <f t="shared" ref="Q108:Q113" ca="1" si="112">VLOOKUP($AD108,INDIRECT("'"&amp;$B108&amp;"'!"&amp;"$P$279:$AD$282"),8,FALSE)</f>
        <v>5.7509861111111107</v>
      </c>
      <c r="R108" s="81">
        <v>3.1536000000000002E-2</v>
      </c>
      <c r="S108" s="199">
        <v>0.5</v>
      </c>
      <c r="T108" s="199">
        <f ca="1">HLOOKUP($T$2,INDIRECT("'"&amp;$B108&amp;"'!"&amp;"$P$246:$AC$259"),IF(H108=$AI$13,6,IF(H108=$AI$14,9,14)),FALSE)</f>
        <v>0</v>
      </c>
      <c r="U108" s="773"/>
      <c r="V108" s="199">
        <f t="shared" ref="V108" ca="1" si="113">IF(IF(RIGHT(H108,2)="PH",(1-L108)+$W$2,IF(RIGHT(H108,2)="HT",(1-L108)+$W$1,IF(RIGHT(H108,2)="SH",(1-L108)+$W$3,"")))&gt;0,IF(RIGHT(H108,2)="PH",(1-L108)+$W$2,IF(RIGHT(H108,2)="HT",(1-L108)+$W$1,IF(RIGHT(H108,2)="SH",(1-L108)+$W$3,""))),0)</f>
        <v>3.8103905227316492E-2</v>
      </c>
      <c r="W108" s="709"/>
      <c r="X108" s="698">
        <f t="shared" ca="1" si="80"/>
        <v>11</v>
      </c>
      <c r="Y108" s="698">
        <f t="shared" ref="Y108:Y113" ca="1" si="114">VLOOKUP($AD108,INDIRECT("'"&amp;$B108&amp;"'!"&amp;"$P$279:$AD$282"),12,FALSE)</f>
        <v>63</v>
      </c>
      <c r="Z108" s="698">
        <f t="shared" ref="Z108:Z113" ca="1" si="115">VLOOKUP($AD108,INDIRECT("'"&amp;$B108&amp;"'!"&amp;"$P$279:$AD$282"),13,FALSE)</f>
        <v>11</v>
      </c>
      <c r="AA108" s="698">
        <f t="shared" ref="AA108:AA113" ca="1" si="116">VLOOKUP($AD108,INDIRECT("'"&amp;$B108&amp;"'!"&amp;"$P$279:$AD$282"),14,FALSE)</f>
        <v>3</v>
      </c>
      <c r="AB108" s="698">
        <f t="shared" ref="AB108:AB113" ca="1" si="117">VLOOKUP($AD108,INDIRECT("'"&amp;$B108&amp;"'!"&amp;"$P$279:$AD$282"),15,FALSE)</f>
        <v>10</v>
      </c>
      <c r="AC108" s="55"/>
      <c r="AD108" s="81">
        <v>2020</v>
      </c>
      <c r="AE108" s="81"/>
      <c r="AF108" s="700"/>
    </row>
    <row r="109" spans="2:32">
      <c r="B109" s="718" t="s">
        <v>1008</v>
      </c>
      <c r="C109" s="226"/>
      <c r="D109" s="261"/>
      <c r="E109" s="261"/>
      <c r="F109" s="224" t="s">
        <v>1149</v>
      </c>
      <c r="G109" s="55"/>
      <c r="H109" s="174"/>
      <c r="I109" s="174" t="str">
        <f t="shared" si="38"/>
        <v>INDGWH</v>
      </c>
      <c r="J109" s="224">
        <f t="shared" si="32"/>
        <v>2030</v>
      </c>
      <c r="K109" s="81"/>
      <c r="L109" s="199">
        <f t="shared" ca="1" si="109"/>
        <v>1.1618960947726835</v>
      </c>
      <c r="M109" s="199"/>
      <c r="N109" s="81"/>
      <c r="O109" s="723">
        <f t="shared" ca="1" si="110"/>
        <v>4.8425000000000002</v>
      </c>
      <c r="P109" s="723">
        <f t="shared" ca="1" si="111"/>
        <v>0.267455</v>
      </c>
      <c r="Q109" s="81">
        <f t="shared" ca="1" si="112"/>
        <v>5.8461805555555557</v>
      </c>
      <c r="R109" s="300"/>
      <c r="S109" s="300"/>
      <c r="T109" s="300"/>
      <c r="U109" s="300"/>
      <c r="V109" s="199">
        <f t="shared" ref="V109" ca="1" si="118">IF(IF(RIGHT(H108,2)="PH",(1-L109)+$W$2,IF(RIGHT(H108,2)="HT",(1-L109)+$W$1,IF(RIGHT(H108,2)="SH",(1-L109)+$W$3,"")))&gt;0,IF(RIGHT(H108,2)="PH",(1-L109)+$W$2,IF(RIGHT(H108,2)="HT",(1-L109)+$W$1,IF(RIGHT(H108,2)="SH",(1-L109)+$W$3,""))),0)</f>
        <v>3.8103905227316492E-2</v>
      </c>
      <c r="W109" s="298"/>
      <c r="X109" s="698">
        <f t="shared" ca="1" si="80"/>
        <v>11</v>
      </c>
      <c r="Y109" s="698">
        <f t="shared" ca="1" si="114"/>
        <v>49</v>
      </c>
      <c r="Z109" s="698">
        <f t="shared" ca="1" si="115"/>
        <v>8</v>
      </c>
      <c r="AA109" s="698">
        <f t="shared" ca="1" si="116"/>
        <v>3</v>
      </c>
      <c r="AB109" s="698">
        <f t="shared" ca="1" si="117"/>
        <v>10</v>
      </c>
      <c r="AC109" s="55"/>
      <c r="AD109" s="81">
        <v>2030</v>
      </c>
      <c r="AE109" s="81"/>
      <c r="AF109" s="700"/>
    </row>
    <row r="110" spans="2:32">
      <c r="B110" s="718" t="s">
        <v>1008</v>
      </c>
      <c r="C110" s="226"/>
      <c r="D110" s="261"/>
      <c r="E110" s="261"/>
      <c r="F110" s="224" t="s">
        <v>1149</v>
      </c>
      <c r="G110" s="55"/>
      <c r="H110" s="174"/>
      <c r="I110" s="174" t="str">
        <f t="shared" si="38"/>
        <v>INDGWH</v>
      </c>
      <c r="J110" s="224">
        <f t="shared" si="32"/>
        <v>2050</v>
      </c>
      <c r="K110" s="81"/>
      <c r="L110" s="199">
        <f t="shared" ca="1" si="109"/>
        <v>1.1618960947726835</v>
      </c>
      <c r="M110" s="199"/>
      <c r="N110" s="81"/>
      <c r="O110" s="723">
        <f t="shared" ca="1" si="110"/>
        <v>4.3955000000000002</v>
      </c>
      <c r="P110" s="723">
        <f t="shared" ca="1" si="111"/>
        <v>0.25106499999999998</v>
      </c>
      <c r="Q110" s="81">
        <f t="shared" ca="1" si="112"/>
        <v>5.8937777777777782</v>
      </c>
      <c r="R110" s="300"/>
      <c r="S110" s="300"/>
      <c r="T110" s="300"/>
      <c r="U110" s="300"/>
      <c r="V110" s="199">
        <f t="shared" ref="V110" ca="1" si="119">IF(IF(RIGHT(H108,2)="PH",(1-L110)+$W$2,IF(RIGHT(H108,2)="HT",(1-L110)+$W$1,IF(RIGHT(H108,2)="SH",(1-L110)+$W$3,"")))&gt;0,IF(RIGHT(H108,2)="PH",(1-L110)+$W$2,IF(RIGHT(H108,2)="HT",(1-L110)+$W$1,IF(RIGHT(H108,2)="SH",(1-L110)+$W$3,""))),0)</f>
        <v>3.8103905227316492E-2</v>
      </c>
      <c r="W110" s="298"/>
      <c r="X110" s="698">
        <f t="shared" ca="1" si="80"/>
        <v>11</v>
      </c>
      <c r="Y110" s="698">
        <f t="shared" ca="1" si="114"/>
        <v>41</v>
      </c>
      <c r="Z110" s="698">
        <f t="shared" ca="1" si="115"/>
        <v>4</v>
      </c>
      <c r="AA110" s="698">
        <f t="shared" ca="1" si="116"/>
        <v>1</v>
      </c>
      <c r="AB110" s="698">
        <f t="shared" ca="1" si="117"/>
        <v>10</v>
      </c>
      <c r="AC110" s="203"/>
      <c r="AD110" s="81">
        <v>2050</v>
      </c>
      <c r="AE110" s="81"/>
      <c r="AF110" s="705"/>
    </row>
    <row r="111" spans="2:32">
      <c r="B111" s="718" t="s">
        <v>1008</v>
      </c>
      <c r="C111" s="226"/>
      <c r="D111" s="261" t="str">
        <f>"IND"&amp;RIGHT(H111,4)&amp;RIGHT(G111,3)&amp;"N"&amp;RIGHT(E111,1)</f>
        <v>INDGDSHWCHN4</v>
      </c>
      <c r="E111" s="261" t="str">
        <f>"Industrial heating technology "&amp;$AJ$12&amp;" "&amp;RIGHT(H111,2)&amp;" - Wood chip boiler (Hot Water- condensing) - new 4"</f>
        <v>Industrial heating technology Glass &amp; Concrete SH - Wood chip boiler (Hot Water- condensing) - new 4</v>
      </c>
      <c r="F111" s="224" t="s">
        <v>1149</v>
      </c>
      <c r="G111" s="174" t="s">
        <v>498</v>
      </c>
      <c r="H111" s="174" t="str">
        <f>$AI$15</f>
        <v>IGDSH</v>
      </c>
      <c r="I111" s="174" t="str">
        <f t="shared" si="38"/>
        <v>INDGWH</v>
      </c>
      <c r="J111" s="224">
        <f t="shared" si="32"/>
        <v>2011</v>
      </c>
      <c r="K111" s="299">
        <v>2025</v>
      </c>
      <c r="L111" s="199">
        <f t="shared" ca="1" si="109"/>
        <v>1.1618960947726835</v>
      </c>
      <c r="M111" s="199"/>
      <c r="N111" s="81">
        <f ca="1">VLOOKUP($AD111,INDIRECT("'"&amp;$B111&amp;"'!"&amp;"$P$279:$AD$282"),5,FALSE)</f>
        <v>25</v>
      </c>
      <c r="O111" s="723">
        <f t="shared" ca="1" si="110"/>
        <v>5.0660000000000007</v>
      </c>
      <c r="P111" s="723">
        <f t="shared" ca="1" si="111"/>
        <v>0.27564999999999995</v>
      </c>
      <c r="Q111" s="81">
        <f t="shared" ca="1" si="112"/>
        <v>5.7509861111111107</v>
      </c>
      <c r="R111" s="81">
        <v>3.1536000000000002E-2</v>
      </c>
      <c r="S111" s="199">
        <v>0.5</v>
      </c>
      <c r="T111" s="199">
        <f ca="1">HLOOKUP($T$2,INDIRECT("'"&amp;$B111&amp;"'!"&amp;"$P$246:$AC$259"),IF(H111=$AI$13,6,IF(H111=$AI$14,9,14)),FALSE)</f>
        <v>0</v>
      </c>
      <c r="U111" s="773"/>
      <c r="V111" s="199">
        <f t="shared" ref="V111" ca="1" si="120">IF(IF(RIGHT(H111,2)="PH",(1-L111)+$W$2,IF(RIGHT(H111,2)="HT",(1-L111)+$W$1,IF(RIGHT(H111,2)="SH",(1-L111)+$W$3,"")))&gt;0,IF(RIGHT(H111,2)="PH",(1-L111)+$W$2,IF(RIGHT(H111,2)="HT",(1-L111)+$W$1,IF(RIGHT(H111,2)="SH",(1-L111)+$W$3,""))),0)</f>
        <v>0</v>
      </c>
      <c r="W111" s="709"/>
      <c r="X111" s="698">
        <f t="shared" ca="1" si="80"/>
        <v>11</v>
      </c>
      <c r="Y111" s="698">
        <f t="shared" ca="1" si="114"/>
        <v>63</v>
      </c>
      <c r="Z111" s="698">
        <f t="shared" ca="1" si="115"/>
        <v>11</v>
      </c>
      <c r="AA111" s="698">
        <f t="shared" ca="1" si="116"/>
        <v>3</v>
      </c>
      <c r="AB111" s="698">
        <f t="shared" ca="1" si="117"/>
        <v>10</v>
      </c>
      <c r="AD111" s="81">
        <v>2020</v>
      </c>
      <c r="AE111" s="81"/>
      <c r="AF111" s="220"/>
    </row>
    <row r="112" spans="2:32">
      <c r="B112" s="718" t="s">
        <v>1008</v>
      </c>
      <c r="C112" s="226"/>
      <c r="D112" s="261"/>
      <c r="E112" s="261"/>
      <c r="F112" s="224" t="s">
        <v>1149</v>
      </c>
      <c r="G112" s="55"/>
      <c r="H112" s="174"/>
      <c r="I112" s="174" t="str">
        <f t="shared" si="38"/>
        <v>INDGWH</v>
      </c>
      <c r="J112" s="224">
        <f t="shared" si="32"/>
        <v>2030</v>
      </c>
      <c r="K112" s="81"/>
      <c r="L112" s="199">
        <f t="shared" ca="1" si="109"/>
        <v>1.1618960947726835</v>
      </c>
      <c r="M112" s="199"/>
      <c r="N112" s="81"/>
      <c r="O112" s="723">
        <f t="shared" ca="1" si="110"/>
        <v>4.8425000000000002</v>
      </c>
      <c r="P112" s="723">
        <f t="shared" ca="1" si="111"/>
        <v>0.267455</v>
      </c>
      <c r="Q112" s="81">
        <f t="shared" ca="1" si="112"/>
        <v>5.8461805555555557</v>
      </c>
      <c r="R112" s="300"/>
      <c r="S112" s="300"/>
      <c r="T112" s="300"/>
      <c r="U112" s="300"/>
      <c r="V112" s="199">
        <f t="shared" ref="V112" ca="1" si="121">IF(IF(RIGHT(H111,2)="PH",(1-L112)+$W$2,IF(RIGHT(H111,2)="HT",(1-L112)+$W$1,IF(RIGHT(H111,2)="SH",(1-L112)+$W$3,"")))&gt;0,IF(RIGHT(H111,2)="PH",(1-L112)+$W$2,IF(RIGHT(H111,2)="HT",(1-L112)+$W$1,IF(RIGHT(H111,2)="SH",(1-L112)+$W$3,""))),0)</f>
        <v>0</v>
      </c>
      <c r="W112" s="298"/>
      <c r="X112" s="698">
        <f t="shared" ca="1" si="80"/>
        <v>11</v>
      </c>
      <c r="Y112" s="698">
        <f t="shared" ca="1" si="114"/>
        <v>49</v>
      </c>
      <c r="Z112" s="698">
        <f t="shared" ca="1" si="115"/>
        <v>8</v>
      </c>
      <c r="AA112" s="698">
        <f t="shared" ca="1" si="116"/>
        <v>3</v>
      </c>
      <c r="AB112" s="698">
        <f t="shared" ca="1" si="117"/>
        <v>10</v>
      </c>
      <c r="AD112" s="81">
        <v>2030</v>
      </c>
      <c r="AE112" s="81"/>
      <c r="AF112" s="220"/>
    </row>
    <row r="113" spans="2:32">
      <c r="B113" s="719" t="s">
        <v>1008</v>
      </c>
      <c r="C113" s="713"/>
      <c r="D113" s="701"/>
      <c r="E113" s="701"/>
      <c r="F113" s="224" t="s">
        <v>1149</v>
      </c>
      <c r="G113" s="203"/>
      <c r="H113" s="702"/>
      <c r="I113" s="702" t="str">
        <f t="shared" si="38"/>
        <v>INDGWH</v>
      </c>
      <c r="J113" s="224">
        <f t="shared" si="32"/>
        <v>2050</v>
      </c>
      <c r="K113" s="81"/>
      <c r="L113" s="199">
        <f t="shared" ca="1" si="109"/>
        <v>1.1618960947726835</v>
      </c>
      <c r="M113" s="199"/>
      <c r="N113" s="81"/>
      <c r="O113" s="723">
        <f t="shared" ca="1" si="110"/>
        <v>4.3955000000000002</v>
      </c>
      <c r="P113" s="723">
        <f t="shared" ca="1" si="111"/>
        <v>0.25106499999999998</v>
      </c>
      <c r="Q113" s="81">
        <f t="shared" ca="1" si="112"/>
        <v>5.8937777777777782</v>
      </c>
      <c r="R113" s="300"/>
      <c r="S113" s="300"/>
      <c r="T113" s="300"/>
      <c r="U113" s="300"/>
      <c r="V113" s="199">
        <f t="shared" ref="V113" ca="1" si="122">IF(IF(RIGHT(H111,2)="PH",(1-L113)+$W$2,IF(RIGHT(H111,2)="HT",(1-L113)+$W$1,IF(RIGHT(H111,2)="SH",(1-L113)+$W$3,"")))&gt;0,IF(RIGHT(H111,2)="PH",(1-L113)+$W$2,IF(RIGHT(H111,2)="HT",(1-L113)+$W$1,IF(RIGHT(H111,2)="SH",(1-L113)+$W$3,""))),0)</f>
        <v>0</v>
      </c>
      <c r="W113" s="714"/>
      <c r="X113" s="698">
        <f t="shared" ca="1" si="80"/>
        <v>11</v>
      </c>
      <c r="Y113" s="698">
        <f t="shared" ca="1" si="114"/>
        <v>41</v>
      </c>
      <c r="Z113" s="698">
        <f t="shared" ca="1" si="115"/>
        <v>4</v>
      </c>
      <c r="AA113" s="698">
        <f t="shared" ca="1" si="116"/>
        <v>1</v>
      </c>
      <c r="AB113" s="698">
        <f t="shared" ca="1" si="117"/>
        <v>10</v>
      </c>
      <c r="AD113" s="81">
        <v>2050</v>
      </c>
      <c r="AE113" s="81"/>
      <c r="AF113" s="220"/>
    </row>
    <row r="114" spans="2:32">
      <c r="B114" s="718" t="s">
        <v>1014</v>
      </c>
      <c r="C114" s="226"/>
      <c r="D114" s="212" t="str">
        <f>"IND"&amp;RIGHT(H114,4)&amp;RIGHT(G114,3)&amp;"N"&amp;RIGHT(E114,2)</f>
        <v>INDGDPHELCN10</v>
      </c>
      <c r="E114" s="261" t="str">
        <f>"Industrial heating technology "&amp;$AJ$12&amp;" "&amp;RIGHT(H114,2)&amp;" - Direct electric heating - new 10"</f>
        <v>Industrial heating technology Glass &amp; Concrete PH - Direct electric heating - new 10</v>
      </c>
      <c r="F114" s="224" t="s">
        <v>1149</v>
      </c>
      <c r="G114" s="173" t="s">
        <v>499</v>
      </c>
      <c r="H114" s="174" t="str">
        <f>$AI$13</f>
        <v>IGDPH</v>
      </c>
      <c r="I114" s="174" t="str">
        <f t="shared" si="38"/>
        <v>INDGWH</v>
      </c>
      <c r="J114" s="224">
        <f t="shared" si="32"/>
        <v>2011</v>
      </c>
      <c r="K114" s="299">
        <v>2020</v>
      </c>
      <c r="L114" s="199">
        <f t="shared" ref="L114:L128" ca="1" si="123">VLOOKUP($AD114,INDIRECT("'"&amp;$B114&amp;"'!"&amp;"$P$39:$AD$42"),3,FALSE)</f>
        <v>1</v>
      </c>
      <c r="M114" s="199"/>
      <c r="N114" s="81">
        <f ca="1">VLOOKUP($AD114,INDIRECT("'"&amp;$B114&amp;"'!"&amp;"$P$39:$AD$42"),5,FALSE)</f>
        <v>12.5</v>
      </c>
      <c r="O114" s="723">
        <f t="shared" ref="O114:O128" ca="1" si="124">VLOOKUP($AD114,INDIRECT("'"&amp;$B114&amp;"'!"&amp;"$P$39:$AD$42"),6,FALSE)/1000</f>
        <v>0.44700000000000001</v>
      </c>
      <c r="P114" s="723">
        <f t="shared" ref="P114:P128" ca="1" si="125">VLOOKUP($AD114,INDIRECT("'"&amp;$B114&amp;"'!"&amp;"$P$39:$AD$42"),7,FALSE)/1000</f>
        <v>0</v>
      </c>
      <c r="Q114" s="81">
        <f t="shared" ref="Q114:Q128" ca="1" si="126">VLOOKUP($AD114,INDIRECT("'"&amp;$B114&amp;"'!"&amp;"$P$39:$AD$42"),8,FALSE)</f>
        <v>0.37767361111111114</v>
      </c>
      <c r="R114" s="81">
        <v>3.1536000000000002E-2</v>
      </c>
      <c r="S114" s="199">
        <v>0.5</v>
      </c>
      <c r="T114" s="199">
        <f ca="1">HLOOKUP($S$2,INDIRECT("'"&amp;$B114&amp;"'!"&amp;"$P$6:$AC$19"),IF(H114=$AI$13,6,IF(H114=$AI$14,9,14)),FALSE)</f>
        <v>0</v>
      </c>
      <c r="U114" s="772"/>
      <c r="V114" s="199">
        <f t="shared" ref="V114" ca="1" si="127">IF(IF(RIGHT(H114,2)="PH",(1-L114)+$W$2,IF(RIGHT(H114,2)="HT",(1-L114)+$W$1,IF(RIGHT(H114,2)="SH",(1-L114)+$W$3,"")))&gt;0,IF(RIGHT(H114,2)="PH",(1-L114)+$W$2,IF(RIGHT(H114,2)="HT",(1-L114)+$W$1,IF(RIGHT(H114,2)="SH",(1-L114)+$W$3,""))),0)</f>
        <v>0.2</v>
      </c>
      <c r="W114" s="298"/>
      <c r="X114" s="698">
        <f t="shared" ca="1" si="80"/>
        <v>0</v>
      </c>
      <c r="Y114" s="81">
        <f t="shared" ref="Y114:Y128" ca="1" si="128">VLOOKUP($AD114,INDIRECT("'"&amp;$B114&amp;"'!"&amp;"$P$39:$AD$42"),12,FALSE)</f>
        <v>0</v>
      </c>
      <c r="Z114" s="81">
        <f t="shared" ref="Z114:Z128" ca="1" si="129">VLOOKUP($AD114,INDIRECT("'"&amp;$B114&amp;"'!"&amp;"$P$39:$AD$42"),13,FALSE)</f>
        <v>0</v>
      </c>
      <c r="AA114" s="81">
        <f t="shared" ref="AA114:AA128" ca="1" si="130">VLOOKUP($AD114,INDIRECT("'"&amp;$B114&amp;"'!"&amp;"$P$39:$AD$42"),14,FALSE)</f>
        <v>0</v>
      </c>
      <c r="AB114" s="81">
        <f t="shared" ref="AB114:AB128" ca="1" si="131">VLOOKUP($AD114,INDIRECT("'"&amp;$B114&amp;"'!"&amp;"$P$39:$AD$42"),15,FALSE)</f>
        <v>0</v>
      </c>
      <c r="AD114" s="81">
        <v>2020</v>
      </c>
      <c r="AE114" s="81"/>
      <c r="AF114" s="220"/>
    </row>
    <row r="115" spans="2:32">
      <c r="B115" s="718" t="s">
        <v>1014</v>
      </c>
      <c r="C115" s="226"/>
      <c r="D115" s="212"/>
      <c r="E115" s="212"/>
      <c r="F115" s="224" t="s">
        <v>1149</v>
      </c>
      <c r="H115" s="174"/>
      <c r="I115" s="174" t="str">
        <f t="shared" si="38"/>
        <v>INDGWH</v>
      </c>
      <c r="J115" s="224">
        <f t="shared" si="32"/>
        <v>2030</v>
      </c>
      <c r="K115" s="81"/>
      <c r="L115" s="199">
        <f t="shared" ca="1" si="123"/>
        <v>1</v>
      </c>
      <c r="M115" s="199"/>
      <c r="N115" s="81"/>
      <c r="O115" s="723">
        <f t="shared" ca="1" si="124"/>
        <v>0.44700000000000001</v>
      </c>
      <c r="P115" s="723">
        <f t="shared" ca="1" si="125"/>
        <v>0</v>
      </c>
      <c r="Q115" s="81">
        <f t="shared" ca="1" si="126"/>
        <v>0.38802083333333331</v>
      </c>
      <c r="R115" s="300"/>
      <c r="S115" s="300"/>
      <c r="T115" s="300"/>
      <c r="U115" s="300"/>
      <c r="V115" s="199">
        <f t="shared" ref="V115" ca="1" si="132">IF(IF(RIGHT(H114,2)="PH",(1-L115)+$W$2,IF(RIGHT(H114,2)="HT",(1-L115)+$W$1,IF(RIGHT(H114,2)="SH",(1-L115)+$W$3,"")))&gt;0,IF(RIGHT(H114,2)="PH",(1-L115)+$W$2,IF(RIGHT(H114,2)="HT",(1-L115)+$W$1,IF(RIGHT(H114,2)="SH",(1-L115)+$W$3,""))),0)</f>
        <v>0.2</v>
      </c>
      <c r="W115" s="298"/>
      <c r="X115" s="698">
        <f t="shared" ca="1" si="80"/>
        <v>0</v>
      </c>
      <c r="Y115" s="81">
        <f t="shared" ca="1" si="128"/>
        <v>0</v>
      </c>
      <c r="Z115" s="81">
        <f t="shared" ca="1" si="129"/>
        <v>0</v>
      </c>
      <c r="AA115" s="81">
        <f t="shared" ca="1" si="130"/>
        <v>0</v>
      </c>
      <c r="AB115" s="81">
        <f t="shared" ca="1" si="131"/>
        <v>0</v>
      </c>
      <c r="AD115" s="81">
        <v>2030</v>
      </c>
      <c r="AE115" s="81"/>
      <c r="AF115" s="220"/>
    </row>
    <row r="116" spans="2:32">
      <c r="B116" s="718" t="s">
        <v>1014</v>
      </c>
      <c r="C116" s="226"/>
      <c r="D116" s="212"/>
      <c r="E116" s="212"/>
      <c r="F116" s="224" t="s">
        <v>1149</v>
      </c>
      <c r="H116" s="174"/>
      <c r="I116" s="174" t="str">
        <f t="shared" si="38"/>
        <v>INDGWH</v>
      </c>
      <c r="J116" s="224">
        <f t="shared" si="32"/>
        <v>2050</v>
      </c>
      <c r="K116" s="81"/>
      <c r="L116" s="199">
        <f t="shared" ca="1" si="123"/>
        <v>1</v>
      </c>
      <c r="M116" s="199"/>
      <c r="N116" s="81"/>
      <c r="O116" s="723">
        <f t="shared" ca="1" si="124"/>
        <v>0.44700000000000001</v>
      </c>
      <c r="P116" s="723">
        <f t="shared" ca="1" si="125"/>
        <v>0</v>
      </c>
      <c r="Q116" s="81">
        <f t="shared" ca="1" si="126"/>
        <v>0.39319444444444446</v>
      </c>
      <c r="R116" s="300"/>
      <c r="S116" s="300"/>
      <c r="T116" s="300"/>
      <c r="U116" s="300"/>
      <c r="V116" s="199">
        <f t="shared" ref="V116" ca="1" si="133">IF(IF(RIGHT(H114,2)="PH",(1-L116)+$W$2,IF(RIGHT(H114,2)="HT",(1-L116)+$W$1,IF(RIGHT(H114,2)="SH",(1-L116)+$W$3,"")))&gt;0,IF(RIGHT(H114,2)="PH",(1-L116)+$W$2,IF(RIGHT(H114,2)="HT",(1-L116)+$W$1,IF(RIGHT(H114,2)="SH",(1-L116)+$W$3,""))),0)</f>
        <v>0.2</v>
      </c>
      <c r="W116" s="298"/>
      <c r="X116" s="698">
        <f t="shared" ca="1" si="80"/>
        <v>0</v>
      </c>
      <c r="Y116" s="81">
        <f t="shared" ca="1" si="128"/>
        <v>0</v>
      </c>
      <c r="Z116" s="81">
        <f t="shared" ca="1" si="129"/>
        <v>0</v>
      </c>
      <c r="AA116" s="81">
        <f t="shared" ca="1" si="130"/>
        <v>0</v>
      </c>
      <c r="AB116" s="81">
        <f t="shared" ca="1" si="131"/>
        <v>0</v>
      </c>
      <c r="AC116" s="203"/>
      <c r="AD116" s="81">
        <v>2050</v>
      </c>
      <c r="AE116" s="81"/>
      <c r="AF116" s="705"/>
    </row>
    <row r="117" spans="2:32">
      <c r="B117" s="718" t="s">
        <v>1014</v>
      </c>
      <c r="C117" s="226"/>
      <c r="D117" s="212" t="str">
        <f>"IND"&amp;RIGHT(H117,4)&amp;RIGHT(G117,3)&amp;"N"&amp;RIGHT(E117,2)</f>
        <v>INDGDPHELCN10</v>
      </c>
      <c r="E117" s="261" t="str">
        <f>"Industrial heating technology "&amp;$AJ$12&amp;" "&amp;RIGHT(H117,2)&amp;" - Direct electric heating - new 10"</f>
        <v>Industrial heating technology Glass &amp; Concrete PH - Direct electric heating - new 10</v>
      </c>
      <c r="F117" s="224" t="s">
        <v>1149</v>
      </c>
      <c r="G117" s="173" t="s">
        <v>499</v>
      </c>
      <c r="H117" s="174" t="str">
        <f>$AI$14</f>
        <v>IGDPH</v>
      </c>
      <c r="I117" s="174" t="str">
        <f t="shared" si="38"/>
        <v>INDGWH</v>
      </c>
      <c r="J117" s="224">
        <f t="shared" si="32"/>
        <v>2011</v>
      </c>
      <c r="K117" s="299">
        <v>2020</v>
      </c>
      <c r="L117" s="199">
        <f t="shared" ca="1" si="123"/>
        <v>1</v>
      </c>
      <c r="M117" s="199"/>
      <c r="N117" s="81">
        <f ca="1">VLOOKUP($AD117,INDIRECT("'"&amp;$B117&amp;"'!"&amp;"$P$39:$AD$42"),5,FALSE)</f>
        <v>12.5</v>
      </c>
      <c r="O117" s="723">
        <f t="shared" ca="1" si="124"/>
        <v>0.44700000000000001</v>
      </c>
      <c r="P117" s="723">
        <f t="shared" ca="1" si="125"/>
        <v>0</v>
      </c>
      <c r="Q117" s="81">
        <f t="shared" ca="1" si="126"/>
        <v>0.37767361111111114</v>
      </c>
      <c r="R117" s="81">
        <v>3.1536000000000002E-2</v>
      </c>
      <c r="S117" s="199">
        <v>0.5</v>
      </c>
      <c r="T117" s="199">
        <f ca="1">HLOOKUP($S$2,INDIRECT("'"&amp;$B117&amp;"'!"&amp;"$P$6:$AC$19"),IF(H117=$AI$13,6,IF(H117=$AI$14,9,14)),FALSE)</f>
        <v>0</v>
      </c>
      <c r="U117" s="772"/>
      <c r="V117" s="199">
        <f t="shared" ref="V117" ca="1" si="134">IF(IF(RIGHT(H117,2)="PH",(1-L117)+$W$2,IF(RIGHT(H117,2)="HT",(1-L117)+$W$1,IF(RIGHT(H117,2)="SH",(1-L117)+$W$3,"")))&gt;0,IF(RIGHT(H117,2)="PH",(1-L117)+$W$2,IF(RIGHT(H117,2)="HT",(1-L117)+$W$1,IF(RIGHT(H117,2)="SH",(1-L117)+$W$3,""))),0)</f>
        <v>0.2</v>
      </c>
      <c r="W117" s="298"/>
      <c r="X117" s="698">
        <f t="shared" ca="1" si="80"/>
        <v>0</v>
      </c>
      <c r="Y117" s="81">
        <f t="shared" ca="1" si="128"/>
        <v>0</v>
      </c>
      <c r="Z117" s="81">
        <f t="shared" ca="1" si="129"/>
        <v>0</v>
      </c>
      <c r="AA117" s="81">
        <f t="shared" ca="1" si="130"/>
        <v>0</v>
      </c>
      <c r="AB117" s="81">
        <f t="shared" ca="1" si="131"/>
        <v>0</v>
      </c>
      <c r="AD117" s="81">
        <v>2020</v>
      </c>
      <c r="AE117" s="299"/>
      <c r="AF117" s="220"/>
    </row>
    <row r="118" spans="2:32">
      <c r="B118" s="718" t="s">
        <v>1014</v>
      </c>
      <c r="C118" s="226"/>
      <c r="D118" s="212"/>
      <c r="E118" s="212"/>
      <c r="F118" s="224" t="s">
        <v>1149</v>
      </c>
      <c r="H118" s="174"/>
      <c r="I118" s="174" t="str">
        <f t="shared" si="38"/>
        <v>INDGWH</v>
      </c>
      <c r="J118" s="224">
        <f t="shared" si="32"/>
        <v>2030</v>
      </c>
      <c r="K118" s="81"/>
      <c r="L118" s="199">
        <f t="shared" ca="1" si="123"/>
        <v>1</v>
      </c>
      <c r="M118" s="199"/>
      <c r="N118" s="81"/>
      <c r="O118" s="723">
        <f t="shared" ca="1" si="124"/>
        <v>0.44700000000000001</v>
      </c>
      <c r="P118" s="723">
        <f t="shared" ca="1" si="125"/>
        <v>0</v>
      </c>
      <c r="Q118" s="81">
        <f t="shared" ca="1" si="126"/>
        <v>0.38802083333333331</v>
      </c>
      <c r="R118" s="300"/>
      <c r="S118" s="300"/>
      <c r="T118" s="300"/>
      <c r="U118" s="300"/>
      <c r="V118" s="199">
        <f t="shared" ref="V118" ca="1" si="135">IF(IF(RIGHT(H117,2)="PH",(1-L118)+$W$2,IF(RIGHT(H117,2)="HT",(1-L118)+$W$1,IF(RIGHT(H117,2)="SH",(1-L118)+$W$3,"")))&gt;0,IF(RIGHT(H117,2)="PH",(1-L118)+$W$2,IF(RIGHT(H117,2)="HT",(1-L118)+$W$1,IF(RIGHT(H117,2)="SH",(1-L118)+$W$3,""))),0)</f>
        <v>0.2</v>
      </c>
      <c r="W118" s="298"/>
      <c r="X118" s="698">
        <f t="shared" ca="1" si="80"/>
        <v>0</v>
      </c>
      <c r="Y118" s="81">
        <f t="shared" ca="1" si="128"/>
        <v>0</v>
      </c>
      <c r="Z118" s="81">
        <f t="shared" ca="1" si="129"/>
        <v>0</v>
      </c>
      <c r="AA118" s="81">
        <f t="shared" ca="1" si="130"/>
        <v>0</v>
      </c>
      <c r="AB118" s="81">
        <f t="shared" ca="1" si="131"/>
        <v>0</v>
      </c>
      <c r="AD118" s="81">
        <v>2030</v>
      </c>
      <c r="AE118" s="81"/>
      <c r="AF118" s="220"/>
    </row>
    <row r="119" spans="2:32">
      <c r="B119" s="719" t="s">
        <v>1014</v>
      </c>
      <c r="C119" s="713"/>
      <c r="D119" s="701"/>
      <c r="E119" s="701"/>
      <c r="F119" s="224" t="s">
        <v>1149</v>
      </c>
      <c r="G119" s="203"/>
      <c r="H119" s="702"/>
      <c r="I119" s="702" t="str">
        <f t="shared" si="38"/>
        <v>INDGWH</v>
      </c>
      <c r="J119" s="224">
        <f t="shared" si="32"/>
        <v>2050</v>
      </c>
      <c r="K119" s="81"/>
      <c r="L119" s="199">
        <f t="shared" ca="1" si="123"/>
        <v>1</v>
      </c>
      <c r="M119" s="199"/>
      <c r="N119" s="81"/>
      <c r="O119" s="723">
        <f t="shared" ca="1" si="124"/>
        <v>0.44700000000000001</v>
      </c>
      <c r="P119" s="723">
        <f t="shared" ca="1" si="125"/>
        <v>0</v>
      </c>
      <c r="Q119" s="81">
        <f t="shared" ca="1" si="126"/>
        <v>0.39319444444444446</v>
      </c>
      <c r="R119" s="703"/>
      <c r="S119" s="703"/>
      <c r="T119" s="703"/>
      <c r="U119" s="703"/>
      <c r="V119" s="199">
        <f t="shared" ref="V119" ca="1" si="136">IF(IF(RIGHT(H117,2)="PH",(1-L119)+$W$2,IF(RIGHT(H117,2)="HT",(1-L119)+$W$1,IF(RIGHT(H117,2)="SH",(1-L119)+$W$3,"")))&gt;0,IF(RIGHT(H117,2)="PH",(1-L119)+$W$2,IF(RIGHT(H117,2)="HT",(1-L119)+$W$1,IF(RIGHT(H117,2)="SH",(1-L119)+$W$3,""))),0)</f>
        <v>0.2</v>
      </c>
      <c r="W119" s="704"/>
      <c r="X119" s="698">
        <f t="shared" ca="1" si="80"/>
        <v>0</v>
      </c>
      <c r="Y119" s="81">
        <f t="shared" ca="1" si="128"/>
        <v>0</v>
      </c>
      <c r="Z119" s="81">
        <f t="shared" ca="1" si="129"/>
        <v>0</v>
      </c>
      <c r="AA119" s="81">
        <f t="shared" ca="1" si="130"/>
        <v>0</v>
      </c>
      <c r="AB119" s="81">
        <f t="shared" ca="1" si="131"/>
        <v>0</v>
      </c>
      <c r="AD119" s="81">
        <v>2050</v>
      </c>
      <c r="AE119" s="81"/>
      <c r="AF119" s="220"/>
    </row>
    <row r="120" spans="2:32">
      <c r="B120" s="718" t="s">
        <v>1009</v>
      </c>
      <c r="C120" s="226"/>
      <c r="D120" s="212" t="str">
        <f>"IND"&amp;RIGHT(H120,4)&amp;"DSL"&amp;"N"&amp;RIGHT(E120,1)</f>
        <v>INDGDPHDSLN1</v>
      </c>
      <c r="E120" s="261" t="str">
        <f>"Industrial heating technology "&amp;$AJ$12&amp;" "&amp;RIGHT(H120,2)&amp;" - Oil boiler (Steam) - new 1"</f>
        <v>Industrial heating technology Glass &amp; Concrete PH - Oil boiler (Steam) - new 1</v>
      </c>
      <c r="F120" s="224" t="s">
        <v>1149</v>
      </c>
      <c r="G120" s="173" t="s">
        <v>2081</v>
      </c>
      <c r="H120" s="174" t="str">
        <f>$AI$13</f>
        <v>IGDPH</v>
      </c>
      <c r="I120" s="174" t="str">
        <f t="shared" si="38"/>
        <v>INDGWH</v>
      </c>
      <c r="J120" s="224">
        <f t="shared" si="32"/>
        <v>2011</v>
      </c>
      <c r="K120" s="299">
        <v>2025</v>
      </c>
      <c r="L120" s="199">
        <f t="shared" ca="1" si="123"/>
        <v>0.94</v>
      </c>
      <c r="M120" s="699"/>
      <c r="N120" s="299">
        <f ca="1">VLOOKUP($AD120,INDIRECT("'"&amp;$B120&amp;"'!"&amp;"$P$39:$AD$42"),5,FALSE)</f>
        <v>25</v>
      </c>
      <c r="O120" s="725">
        <f t="shared" ca="1" si="124"/>
        <v>0.40975</v>
      </c>
      <c r="P120" s="725">
        <f t="shared" ca="1" si="125"/>
        <v>1.341E-2</v>
      </c>
      <c r="Q120" s="299">
        <f t="shared" ca="1" si="126"/>
        <v>2.0694444444444446</v>
      </c>
      <c r="R120" s="299">
        <v>3.1536000000000002E-2</v>
      </c>
      <c r="S120" s="699">
        <v>0.5</v>
      </c>
      <c r="T120" s="699">
        <f ca="1">HLOOKUP($T$2,INDIRECT("'"&amp;$B120&amp;"'!"&amp;"$P$6:$AC$19"),IF(H120=$AI$13,6,IF(H120=$AI$14,9,14)),FALSE)</f>
        <v>1</v>
      </c>
      <c r="U120" s="772"/>
      <c r="V120" s="199">
        <f t="shared" ref="V120" ca="1" si="137">IF(IF(RIGHT(H120,2)="PH",(1-L120)+$W$2,IF(RIGHT(H120,2)="HT",(1-L120)+$W$1,IF(RIGHT(H120,2)="SH",(1-L120)+$W$3,"")))&gt;0,IF(RIGHT(H120,2)="PH",(1-L120)+$W$2,IF(RIGHT(H120,2)="HT",(1-L120)+$W$1,IF(RIGHT(H120,2)="SH",(1-L120)+$W$3,""))),0)</f>
        <v>0.26000000000000006</v>
      </c>
      <c r="W120" s="298"/>
      <c r="X120" s="698">
        <f t="shared" ca="1" si="80"/>
        <v>0.5</v>
      </c>
      <c r="Y120" s="299">
        <f t="shared" ca="1" si="128"/>
        <v>25</v>
      </c>
      <c r="Z120" s="299">
        <f t="shared" ca="1" si="129"/>
        <v>0</v>
      </c>
      <c r="AA120" s="299">
        <f t="shared" ca="1" si="130"/>
        <v>0</v>
      </c>
      <c r="AB120" s="299">
        <f t="shared" ca="1" si="131"/>
        <v>0.1</v>
      </c>
      <c r="AD120" s="299">
        <v>2020</v>
      </c>
      <c r="AE120" s="81"/>
      <c r="AF120" s="220"/>
    </row>
    <row r="121" spans="2:32">
      <c r="B121" s="718" t="s">
        <v>1009</v>
      </c>
      <c r="C121" s="226"/>
      <c r="D121" s="212"/>
      <c r="E121" s="212"/>
      <c r="F121" s="224" t="s">
        <v>1149</v>
      </c>
      <c r="H121" s="174"/>
      <c r="I121" s="174" t="str">
        <f t="shared" si="38"/>
        <v>INDGWH</v>
      </c>
      <c r="J121" s="224">
        <f t="shared" si="32"/>
        <v>2030</v>
      </c>
      <c r="K121" s="81"/>
      <c r="L121" s="199">
        <f t="shared" ca="1" si="123"/>
        <v>0.95</v>
      </c>
      <c r="M121" s="199"/>
      <c r="N121" s="81"/>
      <c r="O121" s="723">
        <f t="shared" ca="1" si="124"/>
        <v>0.3469940346244772</v>
      </c>
      <c r="P121" s="723">
        <f t="shared" ca="1" si="125"/>
        <v>1.2664999999999999E-2</v>
      </c>
      <c r="Q121" s="81">
        <f t="shared" ca="1" si="126"/>
        <v>1.8625</v>
      </c>
      <c r="R121" s="300"/>
      <c r="S121" s="300"/>
      <c r="T121" s="300"/>
      <c r="U121" s="300"/>
      <c r="V121" s="199">
        <f t="shared" ref="V121" ca="1" si="138">IF(IF(RIGHT(H120,2)="PH",(1-L121)+$W$2,IF(RIGHT(H120,2)="HT",(1-L121)+$W$1,IF(RIGHT(H120,2)="SH",(1-L121)+$W$3,"")))&gt;0,IF(RIGHT(H120,2)="PH",(1-L121)+$W$2,IF(RIGHT(H120,2)="HT",(1-L121)+$W$1,IF(RIGHT(H120,2)="SH",(1-L121)+$W$3,""))),0)</f>
        <v>0.25000000000000006</v>
      </c>
      <c r="W121" s="298"/>
      <c r="X121" s="698">
        <f t="shared" ca="1" si="80"/>
        <v>0.5</v>
      </c>
      <c r="Y121" s="81">
        <f t="shared" ca="1" si="128"/>
        <v>20</v>
      </c>
      <c r="Z121" s="81">
        <f t="shared" ca="1" si="129"/>
        <v>0</v>
      </c>
      <c r="AA121" s="81">
        <f t="shared" ca="1" si="130"/>
        <v>0</v>
      </c>
      <c r="AB121" s="81">
        <f t="shared" ca="1" si="131"/>
        <v>0.1</v>
      </c>
      <c r="AD121" s="81">
        <v>2030</v>
      </c>
      <c r="AE121" s="81"/>
      <c r="AF121" s="220"/>
    </row>
    <row r="122" spans="2:32">
      <c r="B122" s="718" t="s">
        <v>1009</v>
      </c>
      <c r="C122" s="226"/>
      <c r="D122" s="212"/>
      <c r="E122" s="212"/>
      <c r="F122" s="224" t="s">
        <v>1149</v>
      </c>
      <c r="H122" s="174"/>
      <c r="I122" s="174" t="str">
        <f t="shared" si="38"/>
        <v>INDGWH</v>
      </c>
      <c r="J122" s="224">
        <f t="shared" si="32"/>
        <v>2050</v>
      </c>
      <c r="K122" s="81"/>
      <c r="L122" s="199">
        <f t="shared" ca="1" si="123"/>
        <v>0.96</v>
      </c>
      <c r="M122" s="199"/>
      <c r="N122" s="81"/>
      <c r="O122" s="723">
        <f t="shared" ca="1" si="124"/>
        <v>0.32813985758696651</v>
      </c>
      <c r="P122" s="723">
        <f t="shared" ca="1" si="125"/>
        <v>1.1175000000000001E-2</v>
      </c>
      <c r="Q122" s="81">
        <f t="shared" ca="1" si="126"/>
        <v>1.8625</v>
      </c>
      <c r="R122" s="300"/>
      <c r="S122" s="300"/>
      <c r="T122" s="300"/>
      <c r="U122" s="300"/>
      <c r="V122" s="199">
        <f t="shared" ref="V122" ca="1" si="139">IF(IF(RIGHT(H120,2)="PH",(1-L122)+$W$2,IF(RIGHT(H120,2)="HT",(1-L122)+$W$1,IF(RIGHT(H120,2)="SH",(1-L122)+$W$3,"")))&gt;0,IF(RIGHT(H120,2)="PH",(1-L122)+$W$2,IF(RIGHT(H120,2)="HT",(1-L122)+$W$1,IF(RIGHT(H120,2)="SH",(1-L122)+$W$3,""))),0)</f>
        <v>0.24000000000000005</v>
      </c>
      <c r="W122" s="298"/>
      <c r="X122" s="698">
        <f t="shared" ca="1" si="80"/>
        <v>0.5</v>
      </c>
      <c r="Y122" s="81">
        <f t="shared" ca="1" si="128"/>
        <v>15</v>
      </c>
      <c r="Z122" s="81">
        <f t="shared" ca="1" si="129"/>
        <v>0</v>
      </c>
      <c r="AA122" s="81">
        <f t="shared" ca="1" si="130"/>
        <v>0</v>
      </c>
      <c r="AB122" s="81">
        <f t="shared" ca="1" si="131"/>
        <v>0.1</v>
      </c>
      <c r="AD122" s="81">
        <v>2050</v>
      </c>
      <c r="AE122" s="81"/>
      <c r="AF122" s="220"/>
    </row>
    <row r="123" spans="2:32">
      <c r="B123" s="718" t="s">
        <v>1009</v>
      </c>
      <c r="C123" s="226"/>
      <c r="D123" s="212" t="str">
        <f>"IND"&amp;RIGHT(H123,4)&amp;"DSL"&amp;"N"&amp;RIGHT(E123,1)</f>
        <v>INDGDPHDSLN1</v>
      </c>
      <c r="E123" s="261" t="str">
        <f>"Industrial heating technology "&amp;$AJ$12&amp;" "&amp;RIGHT(H123,2)&amp;" - Oil boiler (Steam) - new 1"</f>
        <v>Industrial heating technology Glass &amp; Concrete PH - Oil boiler (Steam) - new 1</v>
      </c>
      <c r="F123" s="224" t="s">
        <v>1149</v>
      </c>
      <c r="G123" s="173" t="s">
        <v>2081</v>
      </c>
      <c r="H123" s="174" t="str">
        <f>$AI$14</f>
        <v>IGDPH</v>
      </c>
      <c r="I123" s="174" t="str">
        <f t="shared" si="38"/>
        <v>INDGWH</v>
      </c>
      <c r="J123" s="224">
        <f t="shared" si="32"/>
        <v>2011</v>
      </c>
      <c r="K123" s="299">
        <v>2025</v>
      </c>
      <c r="L123" s="199">
        <f t="shared" ca="1" si="123"/>
        <v>0.94</v>
      </c>
      <c r="M123" s="199"/>
      <c r="N123" s="81">
        <f ca="1">VLOOKUP($AD123,INDIRECT("'"&amp;$B123&amp;"'!"&amp;"$P$39:$AD$42"),5,FALSE)</f>
        <v>25</v>
      </c>
      <c r="O123" s="723">
        <f t="shared" ca="1" si="124"/>
        <v>0.40975</v>
      </c>
      <c r="P123" s="723">
        <f t="shared" ca="1" si="125"/>
        <v>1.341E-2</v>
      </c>
      <c r="Q123" s="81">
        <f t="shared" ca="1" si="126"/>
        <v>2.0694444444444446</v>
      </c>
      <c r="R123" s="81">
        <v>3.1536000000000002E-2</v>
      </c>
      <c r="S123" s="199">
        <v>0.5</v>
      </c>
      <c r="T123" s="199">
        <f ca="1">HLOOKUP($T$2,INDIRECT("'"&amp;$B123&amp;"'!"&amp;"$P$6:$AC$19"),IF(H123=$AI$13,6,IF(H123=$AI$14,9,14)),FALSE)</f>
        <v>1</v>
      </c>
      <c r="U123" s="772"/>
      <c r="V123" s="199">
        <f t="shared" ref="V123" ca="1" si="140">IF(IF(RIGHT(H123,2)="PH",(1-L123)+$W$2,IF(RIGHT(H123,2)="HT",(1-L123)+$W$1,IF(RIGHT(H123,2)="SH",(1-L123)+$W$3,"")))&gt;0,IF(RIGHT(H123,2)="PH",(1-L123)+$W$2,IF(RIGHT(H123,2)="HT",(1-L123)+$W$1,IF(RIGHT(H123,2)="SH",(1-L123)+$W$3,""))),0)</f>
        <v>0.26000000000000006</v>
      </c>
      <c r="W123" s="298"/>
      <c r="X123" s="698">
        <f t="shared" ca="1" si="80"/>
        <v>0.5</v>
      </c>
      <c r="Y123" s="81">
        <f t="shared" ca="1" si="128"/>
        <v>25</v>
      </c>
      <c r="Z123" s="81">
        <f t="shared" ca="1" si="129"/>
        <v>0</v>
      </c>
      <c r="AA123" s="81">
        <f t="shared" ca="1" si="130"/>
        <v>0</v>
      </c>
      <c r="AB123" s="81">
        <f t="shared" ca="1" si="131"/>
        <v>0.1</v>
      </c>
      <c r="AD123" s="81">
        <v>2020</v>
      </c>
      <c r="AE123" s="81"/>
      <c r="AF123" s="220"/>
    </row>
    <row r="124" spans="2:32">
      <c r="B124" s="718" t="s">
        <v>1009</v>
      </c>
      <c r="C124" s="226"/>
      <c r="D124" s="212"/>
      <c r="E124" s="212"/>
      <c r="F124" s="224" t="s">
        <v>1149</v>
      </c>
      <c r="H124" s="174"/>
      <c r="I124" s="174" t="str">
        <f t="shared" si="38"/>
        <v>INDGWH</v>
      </c>
      <c r="J124" s="224">
        <f t="shared" si="32"/>
        <v>2030</v>
      </c>
      <c r="K124" s="81"/>
      <c r="L124" s="199">
        <f t="shared" ca="1" si="123"/>
        <v>0.95</v>
      </c>
      <c r="M124" s="199"/>
      <c r="N124" s="81"/>
      <c r="O124" s="723">
        <f t="shared" ca="1" si="124"/>
        <v>0.3469940346244772</v>
      </c>
      <c r="P124" s="723">
        <f t="shared" ca="1" si="125"/>
        <v>1.2664999999999999E-2</v>
      </c>
      <c r="Q124" s="81">
        <f t="shared" ca="1" si="126"/>
        <v>1.8625</v>
      </c>
      <c r="R124" s="300"/>
      <c r="S124" s="300"/>
      <c r="T124" s="300"/>
      <c r="U124" s="300"/>
      <c r="V124" s="199">
        <f t="shared" ref="V124" ca="1" si="141">IF(IF(RIGHT(H123,2)="PH",(1-L124)+$W$2,IF(RIGHT(H123,2)="HT",(1-L124)+$W$1,IF(RIGHT(H123,2)="SH",(1-L124)+$W$3,"")))&gt;0,IF(RIGHT(H123,2)="PH",(1-L124)+$W$2,IF(RIGHT(H123,2)="HT",(1-L124)+$W$1,IF(RIGHT(H123,2)="SH",(1-L124)+$W$3,""))),0)</f>
        <v>0.25000000000000006</v>
      </c>
      <c r="W124" s="298"/>
      <c r="X124" s="698">
        <f t="shared" ca="1" si="80"/>
        <v>0.5</v>
      </c>
      <c r="Y124" s="81">
        <f t="shared" ca="1" si="128"/>
        <v>20</v>
      </c>
      <c r="Z124" s="81">
        <f t="shared" ca="1" si="129"/>
        <v>0</v>
      </c>
      <c r="AA124" s="81">
        <f t="shared" ca="1" si="130"/>
        <v>0</v>
      </c>
      <c r="AB124" s="81">
        <f t="shared" ca="1" si="131"/>
        <v>0.1</v>
      </c>
      <c r="AD124" s="81">
        <v>2030</v>
      </c>
      <c r="AE124" s="81"/>
      <c r="AF124" s="220"/>
    </row>
    <row r="125" spans="2:32">
      <c r="B125" s="718" t="s">
        <v>1009</v>
      </c>
      <c r="C125" s="226"/>
      <c r="D125" s="212"/>
      <c r="E125" s="212"/>
      <c r="F125" s="224" t="s">
        <v>1149</v>
      </c>
      <c r="H125" s="174"/>
      <c r="I125" s="174" t="str">
        <f t="shared" si="38"/>
        <v>INDGWH</v>
      </c>
      <c r="J125" s="224">
        <f t="shared" si="32"/>
        <v>2050</v>
      </c>
      <c r="K125" s="81"/>
      <c r="L125" s="199">
        <f t="shared" ca="1" si="123"/>
        <v>0.96</v>
      </c>
      <c r="M125" s="199"/>
      <c r="N125" s="81"/>
      <c r="O125" s="723">
        <f t="shared" ca="1" si="124"/>
        <v>0.32813985758696651</v>
      </c>
      <c r="P125" s="723">
        <f t="shared" ca="1" si="125"/>
        <v>1.1175000000000001E-2</v>
      </c>
      <c r="Q125" s="81">
        <f t="shared" ca="1" si="126"/>
        <v>1.8625</v>
      </c>
      <c r="R125" s="300"/>
      <c r="S125" s="300"/>
      <c r="T125" s="300"/>
      <c r="U125" s="300"/>
      <c r="V125" s="199">
        <f t="shared" ref="V125" ca="1" si="142">IF(IF(RIGHT(H123,2)="PH",(1-L125)+$W$2,IF(RIGHT(H123,2)="HT",(1-L125)+$W$1,IF(RIGHT(H123,2)="SH",(1-L125)+$W$3,"")))&gt;0,IF(RIGHT(H123,2)="PH",(1-L125)+$W$2,IF(RIGHT(H123,2)="HT",(1-L125)+$W$1,IF(RIGHT(H123,2)="SH",(1-L125)+$W$3,""))),0)</f>
        <v>0.24000000000000005</v>
      </c>
      <c r="W125" s="298"/>
      <c r="X125" s="698">
        <f t="shared" ca="1" si="80"/>
        <v>0.5</v>
      </c>
      <c r="Y125" s="81">
        <f t="shared" ca="1" si="128"/>
        <v>15</v>
      </c>
      <c r="Z125" s="81">
        <f t="shared" ca="1" si="129"/>
        <v>0</v>
      </c>
      <c r="AA125" s="81">
        <f t="shared" ca="1" si="130"/>
        <v>0</v>
      </c>
      <c r="AB125" s="81">
        <f t="shared" ca="1" si="131"/>
        <v>0.1</v>
      </c>
      <c r="AC125" s="203"/>
      <c r="AD125" s="81">
        <v>2050</v>
      </c>
      <c r="AE125" s="81"/>
      <c r="AF125" s="705"/>
    </row>
    <row r="126" spans="2:32">
      <c r="B126" s="718" t="s">
        <v>1009</v>
      </c>
      <c r="C126" s="226"/>
      <c r="D126" s="212" t="str">
        <f>"IND"&amp;RIGHT(H126,4)&amp;"DSL"&amp;"N"&amp;RIGHT(E126,1)</f>
        <v>INDGDSHDSLN1</v>
      </c>
      <c r="E126" s="261" t="str">
        <f>"Industrial heating technology "&amp;$AJ$12&amp;" "&amp;RIGHT(H126,2)&amp;" - Oil boiler (Steam) - new 1"</f>
        <v>Industrial heating technology Glass &amp; Concrete SH - Oil boiler (Steam) - new 1</v>
      </c>
      <c r="F126" s="224" t="s">
        <v>1149</v>
      </c>
      <c r="G126" s="173" t="s">
        <v>2081</v>
      </c>
      <c r="H126" s="174" t="str">
        <f>$AI$15</f>
        <v>IGDSH</v>
      </c>
      <c r="I126" s="174" t="str">
        <f t="shared" si="38"/>
        <v>INDGWH</v>
      </c>
      <c r="J126" s="224">
        <f t="shared" si="32"/>
        <v>2011</v>
      </c>
      <c r="K126" s="299">
        <v>2025</v>
      </c>
      <c r="L126" s="199">
        <f t="shared" ca="1" si="123"/>
        <v>0.94</v>
      </c>
      <c r="M126" s="199"/>
      <c r="N126" s="81">
        <f ca="1">VLOOKUP($AD126,INDIRECT("'"&amp;$B126&amp;"'!"&amp;"$P$39:$AD$42"),5,FALSE)</f>
        <v>25</v>
      </c>
      <c r="O126" s="723">
        <f t="shared" ca="1" si="124"/>
        <v>0.40975</v>
      </c>
      <c r="P126" s="723">
        <f t="shared" ca="1" si="125"/>
        <v>1.341E-2</v>
      </c>
      <c r="Q126" s="81">
        <f t="shared" ca="1" si="126"/>
        <v>2.0694444444444446</v>
      </c>
      <c r="R126" s="81">
        <v>3.1536000000000002E-2</v>
      </c>
      <c r="S126" s="199">
        <v>0.5</v>
      </c>
      <c r="T126" s="199">
        <f ca="1">HLOOKUP($T$2,INDIRECT("'"&amp;$B126&amp;"'!"&amp;"$P$6:$AC$19"),IF(H126=$AI$13,6,IF(H126=$AI$14,9,14)),FALSE)</f>
        <v>1</v>
      </c>
      <c r="U126" s="772"/>
      <c r="V126" s="199">
        <f t="shared" ref="V126" ca="1" si="143">IF(IF(RIGHT(H126,2)="PH",(1-L126)+$W$2,IF(RIGHT(H126,2)="HT",(1-L126)+$W$1,IF(RIGHT(H126,2)="SH",(1-L126)+$W$3,"")))&gt;0,IF(RIGHT(H126,2)="PH",(1-L126)+$W$2,IF(RIGHT(H126,2)="HT",(1-L126)+$W$1,IF(RIGHT(H126,2)="SH",(1-L126)+$W$3,""))),0)</f>
        <v>6.0000000000000053E-2</v>
      </c>
      <c r="W126" s="298"/>
      <c r="X126" s="698">
        <f t="shared" ca="1" si="80"/>
        <v>0.5</v>
      </c>
      <c r="Y126" s="81">
        <f t="shared" ca="1" si="128"/>
        <v>25</v>
      </c>
      <c r="Z126" s="81">
        <f t="shared" ca="1" si="129"/>
        <v>0</v>
      </c>
      <c r="AA126" s="81">
        <f t="shared" ca="1" si="130"/>
        <v>0</v>
      </c>
      <c r="AB126" s="81">
        <f t="shared" ca="1" si="131"/>
        <v>0.1</v>
      </c>
      <c r="AC126" s="296"/>
      <c r="AD126" s="81">
        <v>2020</v>
      </c>
      <c r="AE126" s="81"/>
      <c r="AF126" s="710"/>
    </row>
    <row r="127" spans="2:32">
      <c r="B127" s="718" t="s">
        <v>1009</v>
      </c>
      <c r="C127" s="226"/>
      <c r="D127" s="212"/>
      <c r="E127" s="212"/>
      <c r="F127" s="224" t="s">
        <v>1149</v>
      </c>
      <c r="H127" s="174"/>
      <c r="I127" s="174" t="str">
        <f t="shared" si="38"/>
        <v>INDGWH</v>
      </c>
      <c r="J127" s="224">
        <f t="shared" si="32"/>
        <v>2030</v>
      </c>
      <c r="K127" s="81"/>
      <c r="L127" s="199">
        <f t="shared" ca="1" si="123"/>
        <v>0.95</v>
      </c>
      <c r="M127" s="199"/>
      <c r="N127" s="81"/>
      <c r="O127" s="723">
        <f t="shared" ca="1" si="124"/>
        <v>0.3469940346244772</v>
      </c>
      <c r="P127" s="723">
        <f t="shared" ca="1" si="125"/>
        <v>1.2664999999999999E-2</v>
      </c>
      <c r="Q127" s="81">
        <f t="shared" ca="1" si="126"/>
        <v>1.8625</v>
      </c>
      <c r="R127" s="300"/>
      <c r="S127" s="300"/>
      <c r="T127" s="300"/>
      <c r="U127" s="300"/>
      <c r="V127" s="199">
        <f t="shared" ref="V127" ca="1" si="144">IF(IF(RIGHT(H126,2)="PH",(1-L127)+$W$2,IF(RIGHT(H126,2)="HT",(1-L127)+$W$1,IF(RIGHT(H126,2)="SH",(1-L127)+$W$3,"")))&gt;0,IF(RIGHT(H126,2)="PH",(1-L127)+$W$2,IF(RIGHT(H126,2)="HT",(1-L127)+$W$1,IF(RIGHT(H126,2)="SH",(1-L127)+$W$3,""))),0)</f>
        <v>5.0000000000000044E-2</v>
      </c>
      <c r="W127" s="298"/>
      <c r="X127" s="698">
        <f t="shared" ref="X127:X158" ca="1" si="145">IF(VLOOKUP($AD127,INDIRECT("'"&amp;$B127&amp;"'!"&amp;"$P$39:$AD$42"),11,FALSE)="Cf. the utilized electricity",0,VLOOKUP($AD127,INDIRECT("'"&amp;$B127&amp;"'!"&amp;"$P$39:$AD$42"),11,FALSE))</f>
        <v>0.5</v>
      </c>
      <c r="Y127" s="81">
        <f t="shared" ca="1" si="128"/>
        <v>20</v>
      </c>
      <c r="Z127" s="81">
        <f t="shared" ca="1" si="129"/>
        <v>0</v>
      </c>
      <c r="AA127" s="81">
        <f t="shared" ca="1" si="130"/>
        <v>0</v>
      </c>
      <c r="AB127" s="81">
        <f t="shared" ca="1" si="131"/>
        <v>0.1</v>
      </c>
      <c r="AC127" s="55"/>
      <c r="AD127" s="81">
        <v>2030</v>
      </c>
      <c r="AE127" s="81"/>
      <c r="AF127" s="700"/>
    </row>
    <row r="128" spans="2:32">
      <c r="B128" s="719" t="s">
        <v>1009</v>
      </c>
      <c r="C128" s="713"/>
      <c r="D128" s="701"/>
      <c r="E128" s="701"/>
      <c r="F128" s="224" t="s">
        <v>1149</v>
      </c>
      <c r="G128" s="203"/>
      <c r="H128" s="702"/>
      <c r="I128" s="702" t="str">
        <f t="shared" si="38"/>
        <v>INDGWH</v>
      </c>
      <c r="J128" s="224">
        <f t="shared" ref="J128:J186" si="146">IF(AD128=2020,2011,AD128)</f>
        <v>2050</v>
      </c>
      <c r="K128" s="81"/>
      <c r="L128" s="199">
        <f t="shared" ca="1" si="123"/>
        <v>0.96</v>
      </c>
      <c r="M128" s="199"/>
      <c r="N128" s="81"/>
      <c r="O128" s="723">
        <f t="shared" ca="1" si="124"/>
        <v>0.32813985758696651</v>
      </c>
      <c r="P128" s="723">
        <f t="shared" ca="1" si="125"/>
        <v>1.1175000000000001E-2</v>
      </c>
      <c r="Q128" s="81">
        <f t="shared" ca="1" si="126"/>
        <v>1.8625</v>
      </c>
      <c r="R128" s="703"/>
      <c r="S128" s="703"/>
      <c r="T128" s="703"/>
      <c r="U128" s="703"/>
      <c r="V128" s="199">
        <f t="shared" ref="V128" ca="1" si="147">IF(IF(RIGHT(H126,2)="PH",(1-L128)+$W$2,IF(RIGHT(H126,2)="HT",(1-L128)+$W$1,IF(RIGHT(H126,2)="SH",(1-L128)+$W$3,"")))&gt;0,IF(RIGHT(H126,2)="PH",(1-L128)+$W$2,IF(RIGHT(H126,2)="HT",(1-L128)+$W$1,IF(RIGHT(H126,2)="SH",(1-L128)+$W$3,""))),0)</f>
        <v>4.0000000000000036E-2</v>
      </c>
      <c r="W128" s="704"/>
      <c r="X128" s="698">
        <f t="shared" ca="1" si="145"/>
        <v>0.5</v>
      </c>
      <c r="Y128" s="81">
        <f t="shared" ca="1" si="128"/>
        <v>15</v>
      </c>
      <c r="Z128" s="81">
        <f t="shared" ca="1" si="129"/>
        <v>0</v>
      </c>
      <c r="AA128" s="81">
        <f t="shared" ca="1" si="130"/>
        <v>0</v>
      </c>
      <c r="AB128" s="81">
        <f t="shared" ca="1" si="131"/>
        <v>0.1</v>
      </c>
      <c r="AC128" s="55"/>
      <c r="AD128" s="81">
        <v>2050</v>
      </c>
      <c r="AE128" s="81"/>
      <c r="AF128" s="700"/>
    </row>
    <row r="129" spans="2:32">
      <c r="B129" s="718" t="s">
        <v>1009</v>
      </c>
      <c r="C129" s="226"/>
      <c r="D129" s="212" t="str">
        <f>"IND"&amp;RIGHT(H129,4)&amp;"DSL"&amp;"N"&amp;RIGHT(E129,1)</f>
        <v>INDGDPHDSLN2</v>
      </c>
      <c r="E129" s="707" t="str">
        <f>"Industrial heating technology "&amp;$AJ$12&amp;" "&amp;RIGHT(H129,2)&amp;" - Oil boiler (Steam - condensing) - new 2"</f>
        <v>Industrial heating technology Glass &amp; Concrete PH - Oil boiler (Steam - condensing) - new 2</v>
      </c>
      <c r="F129" s="224" t="s">
        <v>1149</v>
      </c>
      <c r="G129" s="173" t="s">
        <v>2081</v>
      </c>
      <c r="H129" s="708" t="str">
        <f>$AI$14</f>
        <v>IGDPH</v>
      </c>
      <c r="I129" s="708" t="str">
        <f t="shared" si="38"/>
        <v>INDGWH</v>
      </c>
      <c r="J129" s="224">
        <f t="shared" si="146"/>
        <v>2011</v>
      </c>
      <c r="K129" s="299">
        <v>2025</v>
      </c>
      <c r="L129" s="199">
        <f t="shared" ref="L129:L134" ca="1" si="148">VLOOKUP($AD129,INDIRECT("'"&amp;$B129&amp;"'!"&amp;"$P$118:$AD$121"),3,FALSE)</f>
        <v>0.95</v>
      </c>
      <c r="M129" s="199"/>
      <c r="N129" s="81">
        <f ca="1">VLOOKUP($AD129,INDIRECT("'"&amp;$B129&amp;"'!"&amp;"$P$118:$AD$121"),5,FALSE)</f>
        <v>25</v>
      </c>
      <c r="O129" s="723">
        <f t="shared" ref="O129:O134" ca="1" si="149">VLOOKUP($AD129,INDIRECT("'"&amp;$B129&amp;"'!"&amp;"$P$118:$AD$121"),6,FALSE)/1000</f>
        <v>0.32780000000000004</v>
      </c>
      <c r="P129" s="723">
        <f t="shared" ref="P129:P134" ca="1" si="150">VLOOKUP($AD129,INDIRECT("'"&amp;$B129&amp;"'!"&amp;"$P$118:$AD$121"),7,FALSE)/1000</f>
        <v>1.341E-2</v>
      </c>
      <c r="Q129" s="81">
        <f t="shared" ref="Q129:Q134" ca="1" si="151">VLOOKUP($AD129,INDIRECT("'"&amp;$B129&amp;"'!"&amp;"$P$118:$AD$121"),8,FALSE)</f>
        <v>2.0694444444444446</v>
      </c>
      <c r="R129" s="81">
        <v>3.1536000000000002E-2</v>
      </c>
      <c r="S129" s="199">
        <v>0.5</v>
      </c>
      <c r="T129" s="199">
        <f ca="1">HLOOKUP($T$2,INDIRECT("'"&amp;$B129&amp;"'!"&amp;"$P$85:$AC$98"),IF(H129=$AI$13,6,IF(H129=$AI$14,9,14)),FALSE)</f>
        <v>0</v>
      </c>
      <c r="U129" s="773"/>
      <c r="V129" s="199">
        <f t="shared" ref="V129" ca="1" si="152">IF(IF(RIGHT(H129,2)="PH",(1-L129)+$W$2,IF(RIGHT(H129,2)="HT",(1-L129)+$W$1,IF(RIGHT(H129,2)="SH",(1-L129)+$W$3,"")))&gt;0,IF(RIGHT(H129,2)="PH",(1-L129)+$W$2,IF(RIGHT(H129,2)="HT",(1-L129)+$W$1,IF(RIGHT(H129,2)="SH",(1-L129)+$W$3,""))),0)</f>
        <v>0.25000000000000006</v>
      </c>
      <c r="W129" s="709"/>
      <c r="X129" s="698">
        <f t="shared" ca="1" si="145"/>
        <v>0.5</v>
      </c>
      <c r="Y129" s="698">
        <f t="shared" ref="Y129:Y134" ca="1" si="153">VLOOKUP($AD129,INDIRECT("'"&amp;$B129&amp;"'!"&amp;"$P$118:$AD$121"),12,FALSE)</f>
        <v>25</v>
      </c>
      <c r="Z129" s="698">
        <f t="shared" ref="Z129:Z134" ca="1" si="154">VLOOKUP($AD129,INDIRECT("'"&amp;$B129&amp;"'!"&amp;"$P$118:$AD$121"),13,FALSE)</f>
        <v>0</v>
      </c>
      <c r="AA129" s="698">
        <f t="shared" ref="AA129:AA134" ca="1" si="155">VLOOKUP($AD129,INDIRECT("'"&amp;$B129&amp;"'!"&amp;"$P$118:$AD$121"),14,FALSE)</f>
        <v>0</v>
      </c>
      <c r="AB129" s="698">
        <f t="shared" ref="AB129:AB134" ca="1" si="156">VLOOKUP($AD129,INDIRECT("'"&amp;$B129&amp;"'!"&amp;"$P$118:$AD$121"),15,FALSE)</f>
        <v>0.1</v>
      </c>
      <c r="AC129" s="55"/>
      <c r="AD129" s="81">
        <v>2020</v>
      </c>
      <c r="AE129" s="81"/>
      <c r="AF129" s="700"/>
    </row>
    <row r="130" spans="2:32">
      <c r="B130" s="718" t="s">
        <v>1009</v>
      </c>
      <c r="C130" s="226"/>
      <c r="D130" s="212"/>
      <c r="E130" s="261"/>
      <c r="F130" s="224" t="s">
        <v>1149</v>
      </c>
      <c r="G130" s="55"/>
      <c r="H130" s="174"/>
      <c r="I130" s="174" t="str">
        <f t="shared" si="38"/>
        <v>INDGWH</v>
      </c>
      <c r="J130" s="224">
        <f t="shared" si="146"/>
        <v>2030</v>
      </c>
      <c r="K130" s="81"/>
      <c r="L130" s="199">
        <f t="shared" ca="1" si="148"/>
        <v>0.96</v>
      </c>
      <c r="M130" s="199"/>
      <c r="N130" s="81"/>
      <c r="O130" s="723">
        <f t="shared" ca="1" si="149"/>
        <v>0.27759522769958173</v>
      </c>
      <c r="P130" s="723">
        <f t="shared" ca="1" si="150"/>
        <v>1.2664999999999999E-2</v>
      </c>
      <c r="Q130" s="81">
        <f t="shared" ca="1" si="151"/>
        <v>1.8625</v>
      </c>
      <c r="R130" s="300"/>
      <c r="S130" s="300"/>
      <c r="T130" s="300"/>
      <c r="U130" s="300"/>
      <c r="V130" s="199">
        <f t="shared" ref="V130" ca="1" si="157">IF(IF(RIGHT(H129,2)="PH",(1-L130)+$W$2,IF(RIGHT(H129,2)="HT",(1-L130)+$W$1,IF(RIGHT(H129,2)="SH",(1-L130)+$W$3,"")))&gt;0,IF(RIGHT(H129,2)="PH",(1-L130)+$W$2,IF(RIGHT(H129,2)="HT",(1-L130)+$W$1,IF(RIGHT(H129,2)="SH",(1-L130)+$W$3,""))),0)</f>
        <v>0.24000000000000005</v>
      </c>
      <c r="W130" s="298"/>
      <c r="X130" s="698">
        <f t="shared" ca="1" si="145"/>
        <v>0.5</v>
      </c>
      <c r="Y130" s="698">
        <f t="shared" ca="1" si="153"/>
        <v>20</v>
      </c>
      <c r="Z130" s="698">
        <f t="shared" ca="1" si="154"/>
        <v>0</v>
      </c>
      <c r="AA130" s="698">
        <f t="shared" ca="1" si="155"/>
        <v>0</v>
      </c>
      <c r="AB130" s="698">
        <f t="shared" ca="1" si="156"/>
        <v>0.1</v>
      </c>
      <c r="AC130" s="55"/>
      <c r="AD130" s="81">
        <v>2030</v>
      </c>
      <c r="AE130" s="81"/>
      <c r="AF130" s="700"/>
    </row>
    <row r="131" spans="2:32">
      <c r="B131" s="718" t="s">
        <v>1009</v>
      </c>
      <c r="C131" s="226"/>
      <c r="E131" s="261"/>
      <c r="F131" s="224" t="s">
        <v>1149</v>
      </c>
      <c r="G131" s="55"/>
      <c r="H131" s="174"/>
      <c r="I131" s="174" t="str">
        <f t="shared" si="38"/>
        <v>INDGWH</v>
      </c>
      <c r="J131" s="224">
        <f t="shared" si="146"/>
        <v>2050</v>
      </c>
      <c r="K131" s="81"/>
      <c r="L131" s="199">
        <f t="shared" ca="1" si="148"/>
        <v>0.97</v>
      </c>
      <c r="M131" s="199"/>
      <c r="N131" s="81"/>
      <c r="O131" s="723">
        <f t="shared" ca="1" si="149"/>
        <v>0.26251188606957326</v>
      </c>
      <c r="P131" s="723">
        <f t="shared" ca="1" si="150"/>
        <v>1.1175000000000001E-2</v>
      </c>
      <c r="Q131" s="81">
        <f t="shared" ca="1" si="151"/>
        <v>1.8625</v>
      </c>
      <c r="R131" s="300"/>
      <c r="S131" s="300"/>
      <c r="T131" s="300"/>
      <c r="U131" s="300"/>
      <c r="V131" s="199">
        <f t="shared" ref="V131" ca="1" si="158">IF(IF(RIGHT(H129,2)="PH",(1-L131)+$W$2,IF(RIGHT(H129,2)="HT",(1-L131)+$W$1,IF(RIGHT(H129,2)="SH",(1-L131)+$W$3,"")))&gt;0,IF(RIGHT(H129,2)="PH",(1-L131)+$W$2,IF(RIGHT(H129,2)="HT",(1-L131)+$W$1,IF(RIGHT(H129,2)="SH",(1-L131)+$W$3,""))),0)</f>
        <v>0.23000000000000004</v>
      </c>
      <c r="W131" s="298"/>
      <c r="X131" s="698">
        <f t="shared" ca="1" si="145"/>
        <v>0.5</v>
      </c>
      <c r="Y131" s="698">
        <f t="shared" ca="1" si="153"/>
        <v>15</v>
      </c>
      <c r="Z131" s="698">
        <f t="shared" ca="1" si="154"/>
        <v>0</v>
      </c>
      <c r="AA131" s="698">
        <f t="shared" ca="1" si="155"/>
        <v>0</v>
      </c>
      <c r="AB131" s="698">
        <f t="shared" ca="1" si="156"/>
        <v>0.1</v>
      </c>
      <c r="AC131" s="203"/>
      <c r="AD131" s="81">
        <v>2050</v>
      </c>
      <c r="AE131" s="81"/>
      <c r="AF131" s="705"/>
    </row>
    <row r="132" spans="2:32">
      <c r="B132" s="718" t="s">
        <v>1009</v>
      </c>
      <c r="C132" s="226"/>
      <c r="D132" s="212" t="str">
        <f>"IND"&amp;RIGHT(H132,4)&amp;"DSL"&amp;"N"&amp;RIGHT(E132,1)</f>
        <v>INDGDSHDSLN2</v>
      </c>
      <c r="E132" s="261" t="str">
        <f>"Industrial heating technology "&amp;$AJ$12&amp;" "&amp;RIGHT(H132,2)&amp;" - Oil boiler (Steam - condensing) - new 2"</f>
        <v>Industrial heating technology Glass &amp; Concrete SH - Oil boiler (Steam - condensing) - new 2</v>
      </c>
      <c r="F132" s="224" t="s">
        <v>1149</v>
      </c>
      <c r="G132" s="173" t="s">
        <v>2081</v>
      </c>
      <c r="H132" s="174" t="str">
        <f>$AI$15</f>
        <v>IGDSH</v>
      </c>
      <c r="I132" s="174" t="str">
        <f t="shared" si="38"/>
        <v>INDGWH</v>
      </c>
      <c r="J132" s="224">
        <f t="shared" si="146"/>
        <v>2011</v>
      </c>
      <c r="K132" s="299">
        <v>2025</v>
      </c>
      <c r="L132" s="199">
        <f t="shared" ca="1" si="148"/>
        <v>0.95</v>
      </c>
      <c r="M132" s="199"/>
      <c r="N132" s="81">
        <f ca="1">VLOOKUP($AD132,INDIRECT("'"&amp;$B132&amp;"'!"&amp;"$P$118:$AD$121"),5,FALSE)</f>
        <v>25</v>
      </c>
      <c r="O132" s="723">
        <f t="shared" ca="1" si="149"/>
        <v>0.32780000000000004</v>
      </c>
      <c r="P132" s="723">
        <f t="shared" ca="1" si="150"/>
        <v>1.341E-2</v>
      </c>
      <c r="Q132" s="81">
        <f t="shared" ca="1" si="151"/>
        <v>2.0694444444444446</v>
      </c>
      <c r="R132" s="81">
        <v>3.1536000000000002E-2</v>
      </c>
      <c r="S132" s="199">
        <v>0.5</v>
      </c>
      <c r="T132" s="199">
        <f ca="1">HLOOKUP($T$2,INDIRECT("'"&amp;$B132&amp;"'!"&amp;"$P$85:$AC$98"),IF(H132=$AI$13,6,IF(H132=$AI$14,9,14)),FALSE)</f>
        <v>1</v>
      </c>
      <c r="U132" s="772"/>
      <c r="V132" s="199">
        <f t="shared" ref="V132" ca="1" si="159">IF(IF(RIGHT(H132,2)="PH",(1-L132)+$W$2,IF(RIGHT(H132,2)="HT",(1-L132)+$W$1,IF(RIGHT(H132,2)="SH",(1-L132)+$W$3,"")))&gt;0,IF(RIGHT(H132,2)="PH",(1-L132)+$W$2,IF(RIGHT(H132,2)="HT",(1-L132)+$W$1,IF(RIGHT(H132,2)="SH",(1-L132)+$W$3,""))),0)</f>
        <v>5.0000000000000044E-2</v>
      </c>
      <c r="W132" s="298"/>
      <c r="X132" s="698">
        <f t="shared" ca="1" si="145"/>
        <v>0.5</v>
      </c>
      <c r="Y132" s="698">
        <f t="shared" ca="1" si="153"/>
        <v>25</v>
      </c>
      <c r="Z132" s="698">
        <f t="shared" ca="1" si="154"/>
        <v>0</v>
      </c>
      <c r="AA132" s="698">
        <f t="shared" ca="1" si="155"/>
        <v>0</v>
      </c>
      <c r="AB132" s="698">
        <f t="shared" ca="1" si="156"/>
        <v>0.1</v>
      </c>
      <c r="AD132" s="81">
        <v>2020</v>
      </c>
      <c r="AE132" s="299"/>
      <c r="AF132" s="220"/>
    </row>
    <row r="133" spans="2:32">
      <c r="B133" s="718" t="s">
        <v>1009</v>
      </c>
      <c r="C133" s="226"/>
      <c r="E133" s="261"/>
      <c r="F133" s="224" t="s">
        <v>1149</v>
      </c>
      <c r="G133" s="55"/>
      <c r="H133" s="174"/>
      <c r="I133" s="174" t="str">
        <f t="shared" si="38"/>
        <v>INDGWH</v>
      </c>
      <c r="J133" s="224">
        <f t="shared" si="146"/>
        <v>2030</v>
      </c>
      <c r="K133" s="81"/>
      <c r="L133" s="199">
        <f t="shared" ca="1" si="148"/>
        <v>0.96</v>
      </c>
      <c r="M133" s="199"/>
      <c r="N133" s="81"/>
      <c r="O133" s="723">
        <f t="shared" ca="1" si="149"/>
        <v>0.27759522769958173</v>
      </c>
      <c r="P133" s="723">
        <f t="shared" ca="1" si="150"/>
        <v>1.2664999999999999E-2</v>
      </c>
      <c r="Q133" s="81">
        <f t="shared" ca="1" si="151"/>
        <v>1.8625</v>
      </c>
      <c r="R133" s="300"/>
      <c r="S133" s="300"/>
      <c r="T133" s="300"/>
      <c r="U133" s="300"/>
      <c r="V133" s="199">
        <f t="shared" ref="V133" ca="1" si="160">IF(IF(RIGHT(H132,2)="PH",(1-L133)+$W$2,IF(RIGHT(H132,2)="HT",(1-L133)+$W$1,IF(RIGHT(H132,2)="SH",(1-L133)+$W$3,"")))&gt;0,IF(RIGHT(H132,2)="PH",(1-L133)+$W$2,IF(RIGHT(H132,2)="HT",(1-L133)+$W$1,IF(RIGHT(H132,2)="SH",(1-L133)+$W$3,""))),0)</f>
        <v>4.0000000000000036E-2</v>
      </c>
      <c r="W133" s="298"/>
      <c r="X133" s="698">
        <f t="shared" ca="1" si="145"/>
        <v>0.5</v>
      </c>
      <c r="Y133" s="698">
        <f t="shared" ca="1" si="153"/>
        <v>20</v>
      </c>
      <c r="Z133" s="698">
        <f t="shared" ca="1" si="154"/>
        <v>0</v>
      </c>
      <c r="AA133" s="698">
        <f t="shared" ca="1" si="155"/>
        <v>0</v>
      </c>
      <c r="AB133" s="698">
        <f t="shared" ca="1" si="156"/>
        <v>0.1</v>
      </c>
      <c r="AD133" s="81">
        <v>2030</v>
      </c>
      <c r="AE133" s="81"/>
      <c r="AF133" s="220"/>
    </row>
    <row r="134" spans="2:32">
      <c r="B134" s="719" t="s">
        <v>1009</v>
      </c>
      <c r="C134" s="713"/>
      <c r="D134" s="701"/>
      <c r="E134" s="701"/>
      <c r="F134" s="224" t="s">
        <v>1149</v>
      </c>
      <c r="G134" s="203"/>
      <c r="H134" s="702"/>
      <c r="I134" s="702" t="str">
        <f t="shared" si="38"/>
        <v>INDGWH</v>
      </c>
      <c r="J134" s="224">
        <f t="shared" si="146"/>
        <v>2050</v>
      </c>
      <c r="K134" s="81"/>
      <c r="L134" s="199">
        <f t="shared" ca="1" si="148"/>
        <v>0.97</v>
      </c>
      <c r="M134" s="199"/>
      <c r="N134" s="81"/>
      <c r="O134" s="723">
        <f t="shared" ca="1" si="149"/>
        <v>0.26251188606957326</v>
      </c>
      <c r="P134" s="723">
        <f t="shared" ca="1" si="150"/>
        <v>1.1175000000000001E-2</v>
      </c>
      <c r="Q134" s="81">
        <f t="shared" ca="1" si="151"/>
        <v>1.8625</v>
      </c>
      <c r="R134" s="703"/>
      <c r="S134" s="703"/>
      <c r="T134" s="703"/>
      <c r="U134" s="703"/>
      <c r="V134" s="199">
        <f t="shared" ref="V134" ca="1" si="161">IF(IF(RIGHT(H132,2)="PH",(1-L134)+$W$2,IF(RIGHT(H132,2)="HT",(1-L134)+$W$1,IF(RIGHT(H132,2)="SH",(1-L134)+$W$3,"")))&gt;0,IF(RIGHT(H132,2)="PH",(1-L134)+$W$2,IF(RIGHT(H132,2)="HT",(1-L134)+$W$1,IF(RIGHT(H132,2)="SH",(1-L134)+$W$3,""))),0)</f>
        <v>3.0000000000000027E-2</v>
      </c>
      <c r="W134" s="704"/>
      <c r="X134" s="698">
        <f t="shared" ca="1" si="145"/>
        <v>0.5</v>
      </c>
      <c r="Y134" s="698">
        <f t="shared" ca="1" si="153"/>
        <v>15</v>
      </c>
      <c r="Z134" s="698">
        <f t="shared" ca="1" si="154"/>
        <v>0</v>
      </c>
      <c r="AA134" s="698">
        <f t="shared" ca="1" si="155"/>
        <v>0</v>
      </c>
      <c r="AB134" s="698">
        <f t="shared" ca="1" si="156"/>
        <v>0.1</v>
      </c>
      <c r="AD134" s="81">
        <v>2050</v>
      </c>
      <c r="AE134" s="81"/>
      <c r="AF134" s="220"/>
    </row>
    <row r="135" spans="2:32">
      <c r="B135" s="718" t="s">
        <v>1010</v>
      </c>
      <c r="C135" s="226"/>
      <c r="D135" s="212" t="str">
        <f>"IND"&amp;RIGHT(H135,4)&amp;"GAS"&amp;"N"&amp;RIGHT(E135,1)</f>
        <v>INDGDPHGASN1</v>
      </c>
      <c r="E135" s="261" t="str">
        <f>"Industrial heating technology "&amp;$AJ$12&amp;" "&amp;RIGHT(H135,2)&amp;" - Gas boiler (Steam) - new 1"</f>
        <v>Industrial heating technology Glass &amp; Concrete PH - Gas boiler (Steam) - new 1</v>
      </c>
      <c r="F135" s="224" t="s">
        <v>1149</v>
      </c>
      <c r="G135" s="173" t="s">
        <v>2080</v>
      </c>
      <c r="H135" s="174" t="str">
        <f>$AI$13</f>
        <v>IGDPH</v>
      </c>
      <c r="I135" s="174" t="str">
        <f t="shared" ref="I135:I182" si="162">$AI$20</f>
        <v>INDGWH</v>
      </c>
      <c r="J135" s="224">
        <f t="shared" si="146"/>
        <v>2011</v>
      </c>
      <c r="K135" s="299">
        <v>2011</v>
      </c>
      <c r="L135" s="199">
        <f t="shared" ref="L135:L143" ca="1" si="163">VLOOKUP($AD135,INDIRECT("'"&amp;$B135&amp;"'!"&amp;"$P$39:$AD$42"),3,FALSE)</f>
        <v>0.92</v>
      </c>
      <c r="M135" s="699"/>
      <c r="N135" s="299">
        <f ca="1">VLOOKUP($AD135,INDIRECT("'"&amp;$B135&amp;"'!"&amp;"$P$39:$AD$42"),5,FALSE)</f>
        <v>25</v>
      </c>
      <c r="O135" s="725">
        <f t="shared" ref="O135:O143" ca="1" si="164">VLOOKUP($AD135,INDIRECT("'"&amp;$B135&amp;"'!"&amp;"$P$39:$AD$42"),6,FALSE)/1000</f>
        <v>0.40636363636363632</v>
      </c>
      <c r="P135" s="725">
        <f t="shared" ref="P135:P143" ca="1" si="165">VLOOKUP($AD135,INDIRECT("'"&amp;$B135&amp;"'!"&amp;"$P$39:$AD$42"),7,FALSE)/1000</f>
        <v>1.49E-2</v>
      </c>
      <c r="Q135" s="299">
        <f t="shared" ref="Q135:Q143" ca="1" si="166">VLOOKUP($AD135,INDIRECT("'"&amp;$B135&amp;"'!"&amp;"$P$39:$AD$42"),8,FALSE)</f>
        <v>2.276388888888889</v>
      </c>
      <c r="R135" s="299">
        <v>3.1536000000000002E-2</v>
      </c>
      <c r="S135" s="699">
        <v>0.5</v>
      </c>
      <c r="T135" s="699">
        <f ca="1">HLOOKUP($T$2,INDIRECT("'"&amp;$B135&amp;"'!"&amp;"$P$6:$AC$19"),IF(H135=$AI$13,6,IF(H135=$AI$14,9,14)),FALSE)</f>
        <v>1</v>
      </c>
      <c r="U135" s="772"/>
      <c r="V135" s="199">
        <f t="shared" ref="V135" ca="1" si="167">IF(IF(RIGHT(H135,2)="PH",(1-L135)+$W$2,IF(RIGHT(H135,2)="HT",(1-L135)+$W$1,IF(RIGHT(H135,2)="SH",(1-L135)+$W$3,"")))&gt;0,IF(RIGHT(H135,2)="PH",(1-L135)+$W$2,IF(RIGHT(H135,2)="HT",(1-L135)+$W$1,IF(RIGHT(H135,2)="SH",(1-L135)+$W$3,""))),0)</f>
        <v>0.27999999999999997</v>
      </c>
      <c r="W135" s="298"/>
      <c r="X135" s="698">
        <f t="shared" ca="1" si="145"/>
        <v>0.3</v>
      </c>
      <c r="Y135" s="299">
        <f t="shared" ref="Y135:Y143" ca="1" si="168">VLOOKUP($AD135,INDIRECT("'"&amp;$B135&amp;"'!"&amp;"$P$39:$AD$42"),12,FALSE)</f>
        <v>9</v>
      </c>
      <c r="Z135" s="299">
        <f t="shared" ref="Z135:Z143" ca="1" si="169">VLOOKUP($AD135,INDIRECT("'"&amp;$B135&amp;"'!"&amp;"$P$39:$AD$42"),13,FALSE)</f>
        <v>3</v>
      </c>
      <c r="AA135" s="299">
        <f t="shared" ref="AA135:AA143" ca="1" si="170">VLOOKUP($AD135,INDIRECT("'"&amp;$B135&amp;"'!"&amp;"$P$39:$AD$42"),14,FALSE)</f>
        <v>1</v>
      </c>
      <c r="AB135" s="299">
        <f t="shared" ref="AB135:AB143" ca="1" si="171">VLOOKUP($AD135,INDIRECT("'"&amp;$B135&amp;"'!"&amp;"$P$39:$AD$42"),15,FALSE)</f>
        <v>0.1</v>
      </c>
      <c r="AD135" s="299">
        <v>2020</v>
      </c>
      <c r="AE135" s="81"/>
      <c r="AF135" s="220"/>
    </row>
    <row r="136" spans="2:32">
      <c r="B136" s="718" t="s">
        <v>1010</v>
      </c>
      <c r="C136" s="226"/>
      <c r="E136" s="212"/>
      <c r="F136" s="224" t="s">
        <v>1149</v>
      </c>
      <c r="H136" s="174"/>
      <c r="I136" s="174" t="str">
        <f t="shared" si="162"/>
        <v>INDGWH</v>
      </c>
      <c r="J136" s="224">
        <f t="shared" si="146"/>
        <v>2030</v>
      </c>
      <c r="K136" s="81"/>
      <c r="L136" s="199">
        <f t="shared" ca="1" si="163"/>
        <v>0.93</v>
      </c>
      <c r="M136" s="199"/>
      <c r="N136" s="81"/>
      <c r="O136" s="723">
        <f t="shared" ca="1" si="164"/>
        <v>0.33863636363636368</v>
      </c>
      <c r="P136" s="723">
        <f t="shared" ca="1" si="165"/>
        <v>1.4154999999999999E-2</v>
      </c>
      <c r="Q136" s="81">
        <f t="shared" ca="1" si="166"/>
        <v>2.0694444444444446</v>
      </c>
      <c r="R136" s="300"/>
      <c r="S136" s="300"/>
      <c r="T136" s="300"/>
      <c r="U136" s="300"/>
      <c r="V136" s="199">
        <f t="shared" ref="V136" ca="1" si="172">IF(IF(RIGHT(H135,2)="PH",(1-L136)+$W$2,IF(RIGHT(H135,2)="HT",(1-L136)+$W$1,IF(RIGHT(H135,2)="SH",(1-L136)+$W$3,"")))&gt;0,IF(RIGHT(H135,2)="PH",(1-L136)+$W$2,IF(RIGHT(H135,2)="HT",(1-L136)+$W$1,IF(RIGHT(H135,2)="SH",(1-L136)+$W$3,""))),0)</f>
        <v>0.26999999999999996</v>
      </c>
      <c r="W136" s="298"/>
      <c r="X136" s="698">
        <f t="shared" ca="1" si="145"/>
        <v>0.3</v>
      </c>
      <c r="Y136" s="81">
        <f t="shared" ca="1" si="168"/>
        <v>7</v>
      </c>
      <c r="Z136" s="81">
        <f t="shared" ca="1" si="169"/>
        <v>2</v>
      </c>
      <c r="AA136" s="81">
        <f t="shared" ca="1" si="170"/>
        <v>1</v>
      </c>
      <c r="AB136" s="81">
        <f t="shared" ca="1" si="171"/>
        <v>0.1</v>
      </c>
      <c r="AD136" s="81">
        <v>2030</v>
      </c>
      <c r="AE136" s="81"/>
      <c r="AF136" s="220"/>
    </row>
    <row r="137" spans="2:32">
      <c r="B137" s="718" t="s">
        <v>1010</v>
      </c>
      <c r="C137" s="226"/>
      <c r="E137" s="212"/>
      <c r="F137" s="224" t="s">
        <v>1149</v>
      </c>
      <c r="H137" s="174"/>
      <c r="I137" s="174" t="str">
        <f t="shared" si="162"/>
        <v>INDGWH</v>
      </c>
      <c r="J137" s="224">
        <f t="shared" si="146"/>
        <v>2050</v>
      </c>
      <c r="K137" s="81"/>
      <c r="L137" s="199">
        <f t="shared" ca="1" si="163"/>
        <v>0.94</v>
      </c>
      <c r="M137" s="199"/>
      <c r="N137" s="81"/>
      <c r="O137" s="723">
        <f t="shared" ca="1" si="164"/>
        <v>0.33863636363636368</v>
      </c>
      <c r="P137" s="723">
        <f t="shared" ca="1" si="165"/>
        <v>1.2664999999999999E-2</v>
      </c>
      <c r="Q137" s="81">
        <f t="shared" ca="1" si="166"/>
        <v>2.0694444444444446</v>
      </c>
      <c r="R137" s="300"/>
      <c r="S137" s="300"/>
      <c r="T137" s="300"/>
      <c r="U137" s="300"/>
      <c r="V137" s="199">
        <f t="shared" ref="V137" ca="1" si="173">IF(IF(RIGHT(H135,2)="PH",(1-L137)+$W$2,IF(RIGHT(H135,2)="HT",(1-L137)+$W$1,IF(RIGHT(H135,2)="SH",(1-L137)+$W$3,"")))&gt;0,IF(RIGHT(H135,2)="PH",(1-L137)+$W$2,IF(RIGHT(H135,2)="HT",(1-L137)+$W$1,IF(RIGHT(H135,2)="SH",(1-L137)+$W$3,""))),0)</f>
        <v>0.26000000000000006</v>
      </c>
      <c r="W137" s="298"/>
      <c r="X137" s="698">
        <f t="shared" ca="1" si="145"/>
        <v>0.3</v>
      </c>
      <c r="Y137" s="81">
        <f t="shared" ca="1" si="168"/>
        <v>6</v>
      </c>
      <c r="Z137" s="81">
        <f t="shared" ca="1" si="169"/>
        <v>2</v>
      </c>
      <c r="AA137" s="81">
        <f t="shared" ca="1" si="170"/>
        <v>1</v>
      </c>
      <c r="AB137" s="81">
        <f t="shared" ca="1" si="171"/>
        <v>0.1</v>
      </c>
      <c r="AD137" s="81">
        <v>2050</v>
      </c>
      <c r="AE137" s="81"/>
      <c r="AF137" s="220"/>
    </row>
    <row r="138" spans="2:32">
      <c r="B138" s="718" t="s">
        <v>1010</v>
      </c>
      <c r="C138" s="226"/>
      <c r="D138" s="212" t="str">
        <f>"IND"&amp;RIGHT(H138,4)&amp;"GAS"&amp;"N"&amp;RIGHT(E138,1)</f>
        <v>INDGDPHGASN1</v>
      </c>
      <c r="E138" s="261" t="str">
        <f>"Industrial heating technology "&amp;$AJ$12&amp;" "&amp;RIGHT(H138,2)&amp;" - Gas boiler (Steam) - new 1"</f>
        <v>Industrial heating technology Glass &amp; Concrete PH - Gas boiler (Steam) - new 1</v>
      </c>
      <c r="F138" s="224" t="s">
        <v>1149</v>
      </c>
      <c r="G138" s="173" t="s">
        <v>2080</v>
      </c>
      <c r="H138" s="174" t="str">
        <f>$AI$14</f>
        <v>IGDPH</v>
      </c>
      <c r="I138" s="174" t="str">
        <f t="shared" si="162"/>
        <v>INDGWH</v>
      </c>
      <c r="J138" s="224">
        <f t="shared" si="146"/>
        <v>2011</v>
      </c>
      <c r="K138" s="299">
        <f>J138</f>
        <v>2011</v>
      </c>
      <c r="L138" s="199">
        <f t="shared" ca="1" si="163"/>
        <v>0.92</v>
      </c>
      <c r="M138" s="199"/>
      <c r="N138" s="81">
        <f ca="1">VLOOKUP($AD138,INDIRECT("'"&amp;$B138&amp;"'!"&amp;"$P$39:$AD$42"),5,FALSE)</f>
        <v>25</v>
      </c>
      <c r="O138" s="723">
        <f t="shared" ca="1" si="164"/>
        <v>0.40636363636363632</v>
      </c>
      <c r="P138" s="723">
        <f t="shared" ca="1" si="165"/>
        <v>1.49E-2</v>
      </c>
      <c r="Q138" s="81">
        <f t="shared" ca="1" si="166"/>
        <v>2.276388888888889</v>
      </c>
      <c r="R138" s="81">
        <v>3.1536000000000002E-2</v>
      </c>
      <c r="S138" s="199">
        <v>0.5</v>
      </c>
      <c r="T138" s="199">
        <f ca="1">HLOOKUP($T$2,INDIRECT("'"&amp;$B138&amp;"'!"&amp;"$P$6:$AC$19"),IF(H138=$AI$13,6,IF(H138=$AI$14,9,14)),FALSE)</f>
        <v>1</v>
      </c>
      <c r="U138" s="772"/>
      <c r="V138" s="199">
        <f t="shared" ref="V138" ca="1" si="174">IF(IF(RIGHT(H138,2)="PH",(1-L138)+$W$2,IF(RIGHT(H138,2)="HT",(1-L138)+$W$1,IF(RIGHT(H138,2)="SH",(1-L138)+$W$3,"")))&gt;0,IF(RIGHT(H138,2)="PH",(1-L138)+$W$2,IF(RIGHT(H138,2)="HT",(1-L138)+$W$1,IF(RIGHT(H138,2)="SH",(1-L138)+$W$3,""))),0)</f>
        <v>0.27999999999999997</v>
      </c>
      <c r="W138" s="298"/>
      <c r="X138" s="698">
        <f t="shared" ca="1" si="145"/>
        <v>0.3</v>
      </c>
      <c r="Y138" s="81">
        <f t="shared" ca="1" si="168"/>
        <v>9</v>
      </c>
      <c r="Z138" s="81">
        <f t="shared" ca="1" si="169"/>
        <v>3</v>
      </c>
      <c r="AA138" s="81">
        <f t="shared" ca="1" si="170"/>
        <v>1</v>
      </c>
      <c r="AB138" s="81">
        <f t="shared" ca="1" si="171"/>
        <v>0.1</v>
      </c>
      <c r="AD138" s="81">
        <v>2020</v>
      </c>
      <c r="AE138" s="81"/>
      <c r="AF138" s="220"/>
    </row>
    <row r="139" spans="2:32">
      <c r="B139" s="718" t="s">
        <v>1010</v>
      </c>
      <c r="C139" s="226"/>
      <c r="E139" s="212"/>
      <c r="F139" s="224" t="s">
        <v>1149</v>
      </c>
      <c r="H139" s="174"/>
      <c r="I139" s="174" t="str">
        <f t="shared" si="162"/>
        <v>INDGWH</v>
      </c>
      <c r="J139" s="224">
        <f t="shared" si="146"/>
        <v>2030</v>
      </c>
      <c r="K139" s="81"/>
      <c r="L139" s="199">
        <f t="shared" ca="1" si="163"/>
        <v>0.93</v>
      </c>
      <c r="M139" s="199"/>
      <c r="N139" s="81"/>
      <c r="O139" s="723">
        <f t="shared" ca="1" si="164"/>
        <v>0.33863636363636368</v>
      </c>
      <c r="P139" s="723">
        <f t="shared" ca="1" si="165"/>
        <v>1.4154999999999999E-2</v>
      </c>
      <c r="Q139" s="81">
        <f t="shared" ca="1" si="166"/>
        <v>2.0694444444444446</v>
      </c>
      <c r="R139" s="300"/>
      <c r="S139" s="300"/>
      <c r="T139" s="300"/>
      <c r="U139" s="300"/>
      <c r="V139" s="199">
        <f t="shared" ref="V139" ca="1" si="175">IF(IF(RIGHT(H138,2)="PH",(1-L139)+$W$2,IF(RIGHT(H138,2)="HT",(1-L139)+$W$1,IF(RIGHT(H138,2)="SH",(1-L139)+$W$3,"")))&gt;0,IF(RIGHT(H138,2)="PH",(1-L139)+$W$2,IF(RIGHT(H138,2)="HT",(1-L139)+$W$1,IF(RIGHT(H138,2)="SH",(1-L139)+$W$3,""))),0)</f>
        <v>0.26999999999999996</v>
      </c>
      <c r="W139" s="298"/>
      <c r="X139" s="698">
        <f t="shared" ca="1" si="145"/>
        <v>0.3</v>
      </c>
      <c r="Y139" s="81">
        <f t="shared" ca="1" si="168"/>
        <v>7</v>
      </c>
      <c r="Z139" s="81">
        <f t="shared" ca="1" si="169"/>
        <v>2</v>
      </c>
      <c r="AA139" s="81">
        <f t="shared" ca="1" si="170"/>
        <v>1</v>
      </c>
      <c r="AB139" s="81">
        <f t="shared" ca="1" si="171"/>
        <v>0.1</v>
      </c>
      <c r="AD139" s="81">
        <v>2030</v>
      </c>
      <c r="AE139" s="81"/>
      <c r="AF139" s="220"/>
    </row>
    <row r="140" spans="2:32">
      <c r="B140" s="718" t="s">
        <v>1010</v>
      </c>
      <c r="C140" s="226"/>
      <c r="E140" s="212"/>
      <c r="F140" s="224" t="s">
        <v>1149</v>
      </c>
      <c r="H140" s="174"/>
      <c r="I140" s="174" t="str">
        <f t="shared" si="162"/>
        <v>INDGWH</v>
      </c>
      <c r="J140" s="224">
        <f t="shared" si="146"/>
        <v>2050</v>
      </c>
      <c r="K140" s="81"/>
      <c r="L140" s="199">
        <f t="shared" ca="1" si="163"/>
        <v>0.94</v>
      </c>
      <c r="M140" s="199"/>
      <c r="N140" s="81"/>
      <c r="O140" s="723">
        <f t="shared" ca="1" si="164"/>
        <v>0.33863636363636368</v>
      </c>
      <c r="P140" s="723">
        <f t="shared" ca="1" si="165"/>
        <v>1.2664999999999999E-2</v>
      </c>
      <c r="Q140" s="81">
        <f t="shared" ca="1" si="166"/>
        <v>2.0694444444444446</v>
      </c>
      <c r="R140" s="300"/>
      <c r="S140" s="300"/>
      <c r="T140" s="300"/>
      <c r="U140" s="300"/>
      <c r="V140" s="199">
        <f t="shared" ref="V140" ca="1" si="176">IF(IF(RIGHT(H138,2)="PH",(1-L140)+$W$2,IF(RIGHT(H138,2)="HT",(1-L140)+$W$1,IF(RIGHT(H138,2)="SH",(1-L140)+$W$3,"")))&gt;0,IF(RIGHT(H138,2)="PH",(1-L140)+$W$2,IF(RIGHT(H138,2)="HT",(1-L140)+$W$1,IF(RIGHT(H138,2)="SH",(1-L140)+$W$3,""))),0)</f>
        <v>0.26000000000000006</v>
      </c>
      <c r="W140" s="298"/>
      <c r="X140" s="698">
        <f t="shared" ca="1" si="145"/>
        <v>0.3</v>
      </c>
      <c r="Y140" s="81">
        <f t="shared" ca="1" si="168"/>
        <v>6</v>
      </c>
      <c r="Z140" s="81">
        <f t="shared" ca="1" si="169"/>
        <v>2</v>
      </c>
      <c r="AA140" s="81">
        <f t="shared" ca="1" si="170"/>
        <v>1</v>
      </c>
      <c r="AB140" s="81">
        <f t="shared" ca="1" si="171"/>
        <v>0.1</v>
      </c>
      <c r="AC140" s="203"/>
      <c r="AD140" s="81">
        <v>2050</v>
      </c>
      <c r="AE140" s="81"/>
      <c r="AF140" s="705"/>
    </row>
    <row r="141" spans="2:32">
      <c r="B141" s="718" t="s">
        <v>1010</v>
      </c>
      <c r="C141" s="226"/>
      <c r="D141" s="212" t="str">
        <f>"IND"&amp;RIGHT(H141,4)&amp;"GAS"&amp;"N"&amp;RIGHT(E141,1)</f>
        <v>INDGDSHGASN1</v>
      </c>
      <c r="E141" s="261" t="str">
        <f>"Industrial heating technology "&amp;$AJ$12&amp;" "&amp;RIGHT(H141,2)&amp;" - Gas boiler (Steam) - new 1"</f>
        <v>Industrial heating technology Glass &amp; Concrete SH - Gas boiler (Steam) - new 1</v>
      </c>
      <c r="F141" s="224" t="s">
        <v>1149</v>
      </c>
      <c r="G141" s="173" t="s">
        <v>2080</v>
      </c>
      <c r="H141" s="174" t="str">
        <f>$AI$15</f>
        <v>IGDSH</v>
      </c>
      <c r="I141" s="174" t="str">
        <f t="shared" si="162"/>
        <v>INDGWH</v>
      </c>
      <c r="J141" s="224">
        <f t="shared" si="146"/>
        <v>2011</v>
      </c>
      <c r="K141" s="299">
        <f>J141</f>
        <v>2011</v>
      </c>
      <c r="L141" s="199">
        <f t="shared" ca="1" si="163"/>
        <v>0.92</v>
      </c>
      <c r="M141" s="199"/>
      <c r="N141" s="81">
        <f ca="1">VLOOKUP($AD141,INDIRECT("'"&amp;$B141&amp;"'!"&amp;"$P$39:$AD$42"),5,FALSE)</f>
        <v>25</v>
      </c>
      <c r="O141" s="723">
        <f t="shared" ca="1" si="164"/>
        <v>0.40636363636363632</v>
      </c>
      <c r="P141" s="723">
        <f t="shared" ca="1" si="165"/>
        <v>1.49E-2</v>
      </c>
      <c r="Q141" s="81">
        <f t="shared" ca="1" si="166"/>
        <v>2.276388888888889</v>
      </c>
      <c r="R141" s="81">
        <v>3.1536000000000002E-2</v>
      </c>
      <c r="S141" s="199">
        <v>0.5</v>
      </c>
      <c r="T141" s="199">
        <f ca="1">HLOOKUP($T$2,INDIRECT("'"&amp;$B141&amp;"'!"&amp;"$P$6:$AC$19"),IF(H141=$AI$13,6,IF(H141=$AI$14,9,14)),FALSE)</f>
        <v>1</v>
      </c>
      <c r="U141" s="772"/>
      <c r="V141" s="199">
        <f t="shared" ref="V141" ca="1" si="177">IF(IF(RIGHT(H141,2)="PH",(1-L141)+$W$2,IF(RIGHT(H141,2)="HT",(1-L141)+$W$1,IF(RIGHT(H141,2)="SH",(1-L141)+$W$3,"")))&gt;0,IF(RIGHT(H141,2)="PH",(1-L141)+$W$2,IF(RIGHT(H141,2)="HT",(1-L141)+$W$1,IF(RIGHT(H141,2)="SH",(1-L141)+$W$3,""))),0)</f>
        <v>7.999999999999996E-2</v>
      </c>
      <c r="W141" s="298"/>
      <c r="X141" s="698">
        <f t="shared" ca="1" si="145"/>
        <v>0.3</v>
      </c>
      <c r="Y141" s="81">
        <f t="shared" ca="1" si="168"/>
        <v>9</v>
      </c>
      <c r="Z141" s="81">
        <f t="shared" ca="1" si="169"/>
        <v>3</v>
      </c>
      <c r="AA141" s="81">
        <f t="shared" ca="1" si="170"/>
        <v>1</v>
      </c>
      <c r="AB141" s="81">
        <f t="shared" ca="1" si="171"/>
        <v>0.1</v>
      </c>
      <c r="AC141" s="296"/>
      <c r="AD141" s="81">
        <v>2020</v>
      </c>
      <c r="AE141" s="81"/>
      <c r="AF141" s="710"/>
    </row>
    <row r="142" spans="2:32">
      <c r="B142" s="718" t="s">
        <v>1010</v>
      </c>
      <c r="C142" s="226"/>
      <c r="E142" s="212"/>
      <c r="F142" s="224" t="s">
        <v>1149</v>
      </c>
      <c r="H142" s="174"/>
      <c r="I142" s="174" t="str">
        <f t="shared" si="162"/>
        <v>INDGWH</v>
      </c>
      <c r="J142" s="224">
        <f t="shared" si="146"/>
        <v>2030</v>
      </c>
      <c r="K142" s="81"/>
      <c r="L142" s="199">
        <f t="shared" ca="1" si="163"/>
        <v>0.93</v>
      </c>
      <c r="M142" s="199"/>
      <c r="N142" s="81"/>
      <c r="O142" s="723">
        <f t="shared" ca="1" si="164"/>
        <v>0.33863636363636368</v>
      </c>
      <c r="P142" s="723">
        <f t="shared" ca="1" si="165"/>
        <v>1.4154999999999999E-2</v>
      </c>
      <c r="Q142" s="81">
        <f t="shared" ca="1" si="166"/>
        <v>2.0694444444444446</v>
      </c>
      <c r="R142" s="300"/>
      <c r="S142" s="300"/>
      <c r="T142" s="300"/>
      <c r="U142" s="300"/>
      <c r="V142" s="199">
        <f t="shared" ref="V142" ca="1" si="178">IF(IF(RIGHT(H141,2)="PH",(1-L142)+$W$2,IF(RIGHT(H141,2)="HT",(1-L142)+$W$1,IF(RIGHT(H141,2)="SH",(1-L142)+$W$3,"")))&gt;0,IF(RIGHT(H141,2)="PH",(1-L142)+$W$2,IF(RIGHT(H141,2)="HT",(1-L142)+$W$1,IF(RIGHT(H141,2)="SH",(1-L142)+$W$3,""))),0)</f>
        <v>6.9999999999999951E-2</v>
      </c>
      <c r="W142" s="298"/>
      <c r="X142" s="698">
        <f t="shared" ca="1" si="145"/>
        <v>0.3</v>
      </c>
      <c r="Y142" s="81">
        <f t="shared" ca="1" si="168"/>
        <v>7</v>
      </c>
      <c r="Z142" s="81">
        <f t="shared" ca="1" si="169"/>
        <v>2</v>
      </c>
      <c r="AA142" s="81">
        <f t="shared" ca="1" si="170"/>
        <v>1</v>
      </c>
      <c r="AB142" s="81">
        <f t="shared" ca="1" si="171"/>
        <v>0.1</v>
      </c>
      <c r="AC142" s="55"/>
      <c r="AD142" s="81">
        <v>2030</v>
      </c>
      <c r="AE142" s="81"/>
      <c r="AF142" s="700"/>
    </row>
    <row r="143" spans="2:32">
      <c r="B143" s="719" t="s">
        <v>1010</v>
      </c>
      <c r="C143" s="713"/>
      <c r="D143" s="203"/>
      <c r="E143" s="701"/>
      <c r="F143" s="224" t="s">
        <v>1149</v>
      </c>
      <c r="G143" s="203"/>
      <c r="H143" s="702"/>
      <c r="I143" s="702" t="str">
        <f t="shared" si="162"/>
        <v>INDGWH</v>
      </c>
      <c r="J143" s="224">
        <f t="shared" si="146"/>
        <v>2050</v>
      </c>
      <c r="K143" s="81"/>
      <c r="L143" s="199">
        <f t="shared" ca="1" si="163"/>
        <v>0.94</v>
      </c>
      <c r="M143" s="199"/>
      <c r="N143" s="81"/>
      <c r="O143" s="723">
        <f t="shared" ca="1" si="164"/>
        <v>0.33863636363636368</v>
      </c>
      <c r="P143" s="723">
        <f t="shared" ca="1" si="165"/>
        <v>1.2664999999999999E-2</v>
      </c>
      <c r="Q143" s="81">
        <f t="shared" ca="1" si="166"/>
        <v>2.0694444444444446</v>
      </c>
      <c r="R143" s="703"/>
      <c r="S143" s="703"/>
      <c r="T143" s="703"/>
      <c r="U143" s="703"/>
      <c r="V143" s="199">
        <f t="shared" ref="V143" ca="1" si="179">IF(IF(RIGHT(H141,2)="PH",(1-L143)+$W$2,IF(RIGHT(H141,2)="HT",(1-L143)+$W$1,IF(RIGHT(H141,2)="SH",(1-L143)+$W$3,"")))&gt;0,IF(RIGHT(H141,2)="PH",(1-L143)+$W$2,IF(RIGHT(H141,2)="HT",(1-L143)+$W$1,IF(RIGHT(H141,2)="SH",(1-L143)+$W$3,""))),0)</f>
        <v>6.0000000000000053E-2</v>
      </c>
      <c r="W143" s="704"/>
      <c r="X143" s="698">
        <f t="shared" ca="1" si="145"/>
        <v>0.3</v>
      </c>
      <c r="Y143" s="81">
        <f t="shared" ca="1" si="168"/>
        <v>6</v>
      </c>
      <c r="Z143" s="81">
        <f t="shared" ca="1" si="169"/>
        <v>2</v>
      </c>
      <c r="AA143" s="81">
        <f t="shared" ca="1" si="170"/>
        <v>1</v>
      </c>
      <c r="AB143" s="81">
        <f t="shared" ca="1" si="171"/>
        <v>0.1</v>
      </c>
      <c r="AC143" s="55"/>
      <c r="AD143" s="81">
        <v>2050</v>
      </c>
      <c r="AE143" s="81"/>
      <c r="AF143" s="700"/>
    </row>
    <row r="144" spans="2:32">
      <c r="B144" s="718" t="s">
        <v>1010</v>
      </c>
      <c r="C144" s="226"/>
      <c r="D144" s="212" t="str">
        <f>"IND"&amp;RIGHT(H144,4)&amp;"GAS"&amp;"N"&amp;RIGHT(E144,1)</f>
        <v>INDGDPHGASN2</v>
      </c>
      <c r="E144" s="707" t="str">
        <f>"Industrial heating technology "&amp;$AJ$12&amp;" "&amp;RIGHT(H144,2)&amp;" - Gas boiler (Steam - condensing) - new 2"</f>
        <v>Industrial heating technology Glass &amp; Concrete PH - Gas boiler (Steam - condensing) - new 2</v>
      </c>
      <c r="F144" s="224" t="s">
        <v>1149</v>
      </c>
      <c r="G144" s="173" t="s">
        <v>2080</v>
      </c>
      <c r="H144" s="708" t="str">
        <f>$AI$14</f>
        <v>IGDPH</v>
      </c>
      <c r="I144" s="708" t="str">
        <f t="shared" si="162"/>
        <v>INDGWH</v>
      </c>
      <c r="J144" s="224">
        <f t="shared" si="146"/>
        <v>2011</v>
      </c>
      <c r="K144" s="299">
        <f>J144</f>
        <v>2011</v>
      </c>
      <c r="L144" s="199">
        <f t="shared" ref="L144:L149" ca="1" si="180">VLOOKUP($AD144,INDIRECT("'"&amp;$B144&amp;"'!"&amp;"$P$118:$AD$121"),3,FALSE)</f>
        <v>1.01</v>
      </c>
      <c r="M144" s="199"/>
      <c r="N144" s="81">
        <f ca="1">VLOOKUP($AD144,INDIRECT("'"&amp;$B144&amp;"'!"&amp;"$P$118:$AD$121"),5,FALSE)</f>
        <v>25</v>
      </c>
      <c r="O144" s="723">
        <f t="shared" ref="O144:O149" ca="1" si="181">VLOOKUP($AD144,INDIRECT("'"&amp;$B144&amp;"'!"&amp;"$P$118:$AD$121"),6,FALSE)/1000</f>
        <v>0.44700000000000001</v>
      </c>
      <c r="P144" s="723">
        <f t="shared" ref="P144:P149" ca="1" si="182">VLOOKUP($AD144,INDIRECT("'"&amp;$B144&amp;"'!"&amp;"$P$118:$AD$121"),7,FALSE)/1000</f>
        <v>1.49E-2</v>
      </c>
      <c r="Q144" s="81">
        <f t="shared" ref="Q144:Q149" ca="1" si="183">VLOOKUP($AD144,INDIRECT("'"&amp;$B144&amp;"'!"&amp;"$P$118:$AD$121"),8,FALSE)</f>
        <v>2.276388888888889</v>
      </c>
      <c r="R144" s="81">
        <v>3.1536000000000002E-2</v>
      </c>
      <c r="S144" s="199">
        <v>0.5</v>
      </c>
      <c r="T144" s="199">
        <f ca="1">HLOOKUP($T$2,INDIRECT("'"&amp;$B144&amp;"'!"&amp;"$P$85:$AC$98"),IF(H144=$AI$13,6,IF(H144=$AI$14,9,14)),FALSE)</f>
        <v>0</v>
      </c>
      <c r="U144" s="773"/>
      <c r="V144" s="199">
        <f t="shared" ref="V144" ca="1" si="184">IF(IF(RIGHT(H144,2)="PH",(1-L144)+$W$2,IF(RIGHT(H144,2)="HT",(1-L144)+$W$1,IF(RIGHT(H144,2)="SH",(1-L144)+$W$3,"")))&gt;0,IF(RIGHT(H144,2)="PH",(1-L144)+$W$2,IF(RIGHT(H144,2)="HT",(1-L144)+$W$1,IF(RIGHT(H144,2)="SH",(1-L144)+$W$3,""))),0)</f>
        <v>0.19</v>
      </c>
      <c r="W144" s="709"/>
      <c r="X144" s="698">
        <f t="shared" ca="1" si="145"/>
        <v>0.3</v>
      </c>
      <c r="Y144" s="698">
        <f t="shared" ref="Y144:Y149" ca="1" si="185">VLOOKUP($AD144,INDIRECT("'"&amp;$B144&amp;"'!"&amp;"$P$118:$AD$121"),12,FALSE)</f>
        <v>9</v>
      </c>
      <c r="Z144" s="698">
        <f t="shared" ref="Z144:Z149" ca="1" si="186">VLOOKUP($AD144,INDIRECT("'"&amp;$B144&amp;"'!"&amp;"$P$118:$AD$121"),13,FALSE)</f>
        <v>3</v>
      </c>
      <c r="AA144" s="698">
        <f t="shared" ref="AA144:AA149" ca="1" si="187">VLOOKUP($AD144,INDIRECT("'"&amp;$B144&amp;"'!"&amp;"$P$118:$AD$121"),14,FALSE)</f>
        <v>1</v>
      </c>
      <c r="AB144" s="698">
        <f t="shared" ref="AB144:AB149" ca="1" si="188">VLOOKUP($AD144,INDIRECT("'"&amp;$B144&amp;"'!"&amp;"$P$118:$AD$121"),15,FALSE)</f>
        <v>0.1</v>
      </c>
      <c r="AC144" s="55"/>
      <c r="AD144" s="81">
        <v>2020</v>
      </c>
      <c r="AE144" s="81"/>
      <c r="AF144" s="700"/>
    </row>
    <row r="145" spans="1:32">
      <c r="B145" s="718" t="s">
        <v>1010</v>
      </c>
      <c r="C145" s="226"/>
      <c r="E145" s="261"/>
      <c r="F145" s="224" t="s">
        <v>1149</v>
      </c>
      <c r="G145" s="55"/>
      <c r="H145" s="174"/>
      <c r="I145" s="174" t="str">
        <f t="shared" si="162"/>
        <v>INDGWH</v>
      </c>
      <c r="J145" s="224">
        <f t="shared" si="146"/>
        <v>2030</v>
      </c>
      <c r="K145" s="81"/>
      <c r="L145" s="199">
        <f t="shared" ca="1" si="180"/>
        <v>1.03</v>
      </c>
      <c r="M145" s="199"/>
      <c r="N145" s="81"/>
      <c r="O145" s="723">
        <f t="shared" ca="1" si="181"/>
        <v>0.37250000000000005</v>
      </c>
      <c r="P145" s="723">
        <f t="shared" ca="1" si="182"/>
        <v>1.4154999999999999E-2</v>
      </c>
      <c r="Q145" s="81">
        <f t="shared" ca="1" si="183"/>
        <v>2.0694444444444446</v>
      </c>
      <c r="R145" s="300"/>
      <c r="S145" s="300"/>
      <c r="T145" s="300"/>
      <c r="U145" s="300"/>
      <c r="V145" s="199">
        <f t="shared" ref="V145" ca="1" si="189">IF(IF(RIGHT(H144,2)="PH",(1-L145)+$W$2,IF(RIGHT(H144,2)="HT",(1-L145)+$W$1,IF(RIGHT(H144,2)="SH",(1-L145)+$W$3,"")))&gt;0,IF(RIGHT(H144,2)="PH",(1-L145)+$W$2,IF(RIGHT(H144,2)="HT",(1-L145)+$W$1,IF(RIGHT(H144,2)="SH",(1-L145)+$W$3,""))),0)</f>
        <v>0.16999999999999998</v>
      </c>
      <c r="W145" s="298"/>
      <c r="X145" s="698">
        <f t="shared" ca="1" si="145"/>
        <v>0.3</v>
      </c>
      <c r="Y145" s="698">
        <f t="shared" ca="1" si="185"/>
        <v>7</v>
      </c>
      <c r="Z145" s="698">
        <f t="shared" ca="1" si="186"/>
        <v>2</v>
      </c>
      <c r="AA145" s="698">
        <f t="shared" ca="1" si="187"/>
        <v>1</v>
      </c>
      <c r="AB145" s="698">
        <f t="shared" ca="1" si="188"/>
        <v>0.1</v>
      </c>
      <c r="AC145" s="55"/>
      <c r="AD145" s="81">
        <v>2030</v>
      </c>
      <c r="AE145" s="81"/>
      <c r="AF145" s="700"/>
    </row>
    <row r="146" spans="1:32">
      <c r="A146" s="226"/>
      <c r="B146" s="718" t="s">
        <v>1010</v>
      </c>
      <c r="C146" s="226"/>
      <c r="E146" s="261"/>
      <c r="F146" s="224" t="s">
        <v>1149</v>
      </c>
      <c r="G146" s="55"/>
      <c r="H146" s="174"/>
      <c r="I146" s="174" t="str">
        <f t="shared" si="162"/>
        <v>INDGWH</v>
      </c>
      <c r="J146" s="224">
        <f t="shared" si="146"/>
        <v>2050</v>
      </c>
      <c r="K146" s="81"/>
      <c r="L146" s="199">
        <f t="shared" ca="1" si="180"/>
        <v>1.03</v>
      </c>
      <c r="M146" s="199"/>
      <c r="N146" s="81"/>
      <c r="O146" s="723">
        <f t="shared" ca="1" si="181"/>
        <v>0.37250000000000005</v>
      </c>
      <c r="P146" s="723">
        <f t="shared" ca="1" si="182"/>
        <v>1.2664999999999999E-2</v>
      </c>
      <c r="Q146" s="81">
        <f t="shared" ca="1" si="183"/>
        <v>2.0694444444444446</v>
      </c>
      <c r="R146" s="300"/>
      <c r="S146" s="300"/>
      <c r="T146" s="300"/>
      <c r="U146" s="300"/>
      <c r="V146" s="199">
        <f t="shared" ref="V146" ca="1" si="190">IF(IF(RIGHT(H144,2)="PH",(1-L146)+$W$2,IF(RIGHT(H144,2)="HT",(1-L146)+$W$1,IF(RIGHT(H144,2)="SH",(1-L146)+$W$3,"")))&gt;0,IF(RIGHT(H144,2)="PH",(1-L146)+$W$2,IF(RIGHT(H144,2)="HT",(1-L146)+$W$1,IF(RIGHT(H144,2)="SH",(1-L146)+$W$3,""))),0)</f>
        <v>0.16999999999999998</v>
      </c>
      <c r="W146" s="298"/>
      <c r="X146" s="698">
        <f t="shared" ca="1" si="145"/>
        <v>0.3</v>
      </c>
      <c r="Y146" s="698">
        <f t="shared" ca="1" si="185"/>
        <v>6</v>
      </c>
      <c r="Z146" s="698">
        <f t="shared" ca="1" si="186"/>
        <v>2</v>
      </c>
      <c r="AA146" s="698">
        <f t="shared" ca="1" si="187"/>
        <v>1</v>
      </c>
      <c r="AB146" s="698">
        <f t="shared" ca="1" si="188"/>
        <v>0.1</v>
      </c>
      <c r="AC146" s="203"/>
      <c r="AD146" s="81">
        <v>2050</v>
      </c>
      <c r="AE146" s="81"/>
      <c r="AF146" s="705"/>
    </row>
    <row r="147" spans="1:32">
      <c r="A147" s="226"/>
      <c r="B147" s="718" t="s">
        <v>1010</v>
      </c>
      <c r="C147" s="226"/>
      <c r="D147" s="212" t="str">
        <f>"IND"&amp;RIGHT(H147,4)&amp;"GAS"&amp;"N"&amp;RIGHT(E147,1)</f>
        <v>INDGDSHGASN2</v>
      </c>
      <c r="E147" s="261" t="str">
        <f>"Industrial heating technology "&amp;$AJ$12&amp;" "&amp;RIGHT(H147,2)&amp;" - Gas boiler (Steam - condensing) - new 2"</f>
        <v>Industrial heating technology Glass &amp; Concrete SH - Gas boiler (Steam - condensing) - new 2</v>
      </c>
      <c r="F147" s="224" t="s">
        <v>1149</v>
      </c>
      <c r="G147" s="173" t="s">
        <v>2080</v>
      </c>
      <c r="H147" s="174" t="str">
        <f>$AI$15</f>
        <v>IGDSH</v>
      </c>
      <c r="I147" s="174" t="str">
        <f t="shared" si="162"/>
        <v>INDGWH</v>
      </c>
      <c r="J147" s="224">
        <f t="shared" si="146"/>
        <v>2011</v>
      </c>
      <c r="K147" s="299">
        <f>J147</f>
        <v>2011</v>
      </c>
      <c r="L147" s="199">
        <f t="shared" ca="1" si="180"/>
        <v>1.01</v>
      </c>
      <c r="M147" s="199"/>
      <c r="N147" s="81">
        <f ca="1">VLOOKUP($AD147,INDIRECT("'"&amp;$B147&amp;"'!"&amp;"$P$118:$AD$121"),5,FALSE)</f>
        <v>25</v>
      </c>
      <c r="O147" s="723">
        <f t="shared" ca="1" si="181"/>
        <v>0.44700000000000001</v>
      </c>
      <c r="P147" s="723">
        <f t="shared" ca="1" si="182"/>
        <v>1.49E-2</v>
      </c>
      <c r="Q147" s="81">
        <f t="shared" ca="1" si="183"/>
        <v>2.276388888888889</v>
      </c>
      <c r="R147" s="81">
        <v>3.1536000000000002E-2</v>
      </c>
      <c r="S147" s="199">
        <v>0.5</v>
      </c>
      <c r="T147" s="199">
        <f ca="1">HLOOKUP($T$2,INDIRECT("'"&amp;$B147&amp;"'!"&amp;"$P$85:$AC$98"),IF(H147=$AI$13,6,IF(H147=$AI$14,9,14)),FALSE)</f>
        <v>0</v>
      </c>
      <c r="U147" s="772"/>
      <c r="V147" s="199">
        <f t="shared" ref="V147" ca="1" si="191">IF(IF(RIGHT(H147,2)="PH",(1-L147)+$W$2,IF(RIGHT(H147,2)="HT",(1-L147)+$W$1,IF(RIGHT(H147,2)="SH",(1-L147)+$W$3,"")))&gt;0,IF(RIGHT(H147,2)="PH",(1-L147)+$W$2,IF(RIGHT(H147,2)="HT",(1-L147)+$W$1,IF(RIGHT(H147,2)="SH",(1-L147)+$W$3,""))),0)</f>
        <v>0</v>
      </c>
      <c r="W147" s="298"/>
      <c r="X147" s="698">
        <f t="shared" ca="1" si="145"/>
        <v>0.3</v>
      </c>
      <c r="Y147" s="698">
        <f t="shared" ca="1" si="185"/>
        <v>9</v>
      </c>
      <c r="Z147" s="698">
        <f t="shared" ca="1" si="186"/>
        <v>3</v>
      </c>
      <c r="AA147" s="698">
        <f t="shared" ca="1" si="187"/>
        <v>1</v>
      </c>
      <c r="AB147" s="698">
        <f t="shared" ca="1" si="188"/>
        <v>0.1</v>
      </c>
      <c r="AC147" s="296"/>
      <c r="AD147" s="81">
        <v>2020</v>
      </c>
      <c r="AE147" s="81"/>
      <c r="AF147" s="710"/>
    </row>
    <row r="148" spans="1:32">
      <c r="A148" s="226"/>
      <c r="B148" s="718" t="s">
        <v>1010</v>
      </c>
      <c r="C148" s="226"/>
      <c r="E148" s="261"/>
      <c r="F148" s="224" t="s">
        <v>1149</v>
      </c>
      <c r="G148" s="55"/>
      <c r="H148" s="174"/>
      <c r="I148" s="174" t="str">
        <f t="shared" si="162"/>
        <v>INDGWH</v>
      </c>
      <c r="J148" s="224">
        <f t="shared" si="146"/>
        <v>2030</v>
      </c>
      <c r="K148" s="81"/>
      <c r="L148" s="199">
        <f t="shared" ca="1" si="180"/>
        <v>1.03</v>
      </c>
      <c r="M148" s="199"/>
      <c r="N148" s="81"/>
      <c r="O148" s="723">
        <f t="shared" ca="1" si="181"/>
        <v>0.37250000000000005</v>
      </c>
      <c r="P148" s="723">
        <f t="shared" ca="1" si="182"/>
        <v>1.4154999999999999E-2</v>
      </c>
      <c r="Q148" s="81">
        <f t="shared" ca="1" si="183"/>
        <v>2.0694444444444446</v>
      </c>
      <c r="R148" s="300"/>
      <c r="S148" s="300"/>
      <c r="T148" s="300"/>
      <c r="U148" s="300"/>
      <c r="V148" s="199">
        <f t="shared" ref="V148" ca="1" si="192">IF(IF(RIGHT(H147,2)="PH",(1-L148)+$W$2,IF(RIGHT(H147,2)="HT",(1-L148)+$W$1,IF(RIGHT(H147,2)="SH",(1-L148)+$W$3,"")))&gt;0,IF(RIGHT(H147,2)="PH",(1-L148)+$W$2,IF(RIGHT(H147,2)="HT",(1-L148)+$W$1,IF(RIGHT(H147,2)="SH",(1-L148)+$W$3,""))),0)</f>
        <v>0</v>
      </c>
      <c r="W148" s="298"/>
      <c r="X148" s="698">
        <f t="shared" ca="1" si="145"/>
        <v>0.3</v>
      </c>
      <c r="Y148" s="698">
        <f t="shared" ca="1" si="185"/>
        <v>7</v>
      </c>
      <c r="Z148" s="698">
        <f t="shared" ca="1" si="186"/>
        <v>2</v>
      </c>
      <c r="AA148" s="698">
        <f t="shared" ca="1" si="187"/>
        <v>1</v>
      </c>
      <c r="AB148" s="698">
        <f t="shared" ca="1" si="188"/>
        <v>0.1</v>
      </c>
      <c r="AC148" s="55"/>
      <c r="AD148" s="81">
        <v>2030</v>
      </c>
      <c r="AE148" s="81"/>
      <c r="AF148" s="700"/>
    </row>
    <row r="149" spans="1:32">
      <c r="A149" s="226"/>
      <c r="B149" s="719" t="s">
        <v>1010</v>
      </c>
      <c r="C149" s="713"/>
      <c r="D149" s="203"/>
      <c r="E149" s="701"/>
      <c r="F149" s="224" t="s">
        <v>1149</v>
      </c>
      <c r="G149" s="203"/>
      <c r="H149" s="702"/>
      <c r="I149" s="702" t="str">
        <f t="shared" si="162"/>
        <v>INDGWH</v>
      </c>
      <c r="J149" s="224">
        <f t="shared" si="146"/>
        <v>2050</v>
      </c>
      <c r="K149" s="81"/>
      <c r="L149" s="199">
        <f t="shared" ca="1" si="180"/>
        <v>1.03</v>
      </c>
      <c r="M149" s="199"/>
      <c r="N149" s="81"/>
      <c r="O149" s="723">
        <f t="shared" ca="1" si="181"/>
        <v>0.37250000000000005</v>
      </c>
      <c r="P149" s="723">
        <f t="shared" ca="1" si="182"/>
        <v>1.2664999999999999E-2</v>
      </c>
      <c r="Q149" s="81">
        <f t="shared" ca="1" si="183"/>
        <v>2.0694444444444446</v>
      </c>
      <c r="R149" s="703"/>
      <c r="S149" s="703"/>
      <c r="T149" s="703"/>
      <c r="U149" s="703"/>
      <c r="V149" s="199">
        <f t="shared" ref="V149" ca="1" si="193">IF(IF(RIGHT(H147,2)="PH",(1-L149)+$W$2,IF(RIGHT(H147,2)="HT",(1-L149)+$W$1,IF(RIGHT(H147,2)="SH",(1-L149)+$W$3,"")))&gt;0,IF(RIGHT(H147,2)="PH",(1-L149)+$W$2,IF(RIGHT(H147,2)="HT",(1-L149)+$W$1,IF(RIGHT(H147,2)="SH",(1-L149)+$W$3,""))),0)</f>
        <v>0</v>
      </c>
      <c r="W149" s="704"/>
      <c r="X149" s="698">
        <f t="shared" ca="1" si="145"/>
        <v>0.3</v>
      </c>
      <c r="Y149" s="698">
        <f t="shared" ca="1" si="185"/>
        <v>6</v>
      </c>
      <c r="Z149" s="698">
        <f t="shared" ca="1" si="186"/>
        <v>2</v>
      </c>
      <c r="AA149" s="698">
        <f t="shared" ca="1" si="187"/>
        <v>1</v>
      </c>
      <c r="AB149" s="698">
        <f t="shared" ca="1" si="188"/>
        <v>0.1</v>
      </c>
      <c r="AC149" s="55"/>
      <c r="AD149" s="81">
        <v>2050</v>
      </c>
      <c r="AE149" s="81"/>
      <c r="AF149" s="700"/>
    </row>
    <row r="150" spans="1:32">
      <c r="A150" s="226"/>
      <c r="B150" s="718" t="s">
        <v>1010</v>
      </c>
      <c r="C150" s="226"/>
      <c r="D150" s="212" t="str">
        <f>"IND"&amp;RIGHT(H150,4)&amp;"GAS"&amp;"N"&amp;RIGHT(E150,1)</f>
        <v>INDGDPHGASN3</v>
      </c>
      <c r="E150" s="707" t="str">
        <f>"Industrial heating technology "&amp;$AJ$12&amp;" "&amp;RIGHT(H150,2)&amp;" - Gas boiler (Hot Water) - new 3"</f>
        <v>Industrial heating technology Glass &amp; Concrete PH - Gas boiler (Hot Water) - new 3</v>
      </c>
      <c r="F150" s="224" t="s">
        <v>1149</v>
      </c>
      <c r="G150" s="173" t="s">
        <v>2080</v>
      </c>
      <c r="H150" s="708" t="str">
        <f>$AI$14</f>
        <v>IGDPH</v>
      </c>
      <c r="I150" s="708" t="str">
        <f t="shared" si="162"/>
        <v>INDGWH</v>
      </c>
      <c r="J150" s="224">
        <f t="shared" si="146"/>
        <v>2011</v>
      </c>
      <c r="K150" s="299">
        <f>J150</f>
        <v>2011</v>
      </c>
      <c r="L150" s="199">
        <f t="shared" ref="L150:L155" ca="1" si="194">VLOOKUP($AD150,INDIRECT("'"&amp;$B150&amp;"'!"&amp;"$P$200:$AD$203"),3,FALSE)</f>
        <v>0.93</v>
      </c>
      <c r="M150" s="199"/>
      <c r="N150" s="81">
        <f ca="1">VLOOKUP($AD150,INDIRECT("'"&amp;$B150&amp;"'!"&amp;"$P$200:$AD$203"),5,FALSE)</f>
        <v>25</v>
      </c>
      <c r="O150" s="723">
        <f t="shared" ref="O150:O155" ca="1" si="195">VLOOKUP($AD150,INDIRECT("'"&amp;$B150&amp;"'!"&amp;"$P$200:$AD$203"),6,FALSE)/1000</f>
        <v>0.3250909090909091</v>
      </c>
      <c r="P150" s="723">
        <f t="shared" ref="P150:P155" ca="1" si="196">VLOOKUP($AD150,INDIRECT("'"&amp;$B150&amp;"'!"&amp;"$P$200:$AD$203"),7,FALSE)/1000</f>
        <v>1.49E-2</v>
      </c>
      <c r="Q150" s="81">
        <f t="shared" ref="Q150:Q155" ca="1" si="197">VLOOKUP($AD150,INDIRECT("'"&amp;$B150&amp;"'!"&amp;"$P$200:$AD$203"),8,FALSE)</f>
        <v>2.276388888888889</v>
      </c>
      <c r="R150" s="81">
        <v>3.1536000000000002E-2</v>
      </c>
      <c r="S150" s="199">
        <v>0.5</v>
      </c>
      <c r="T150" s="199">
        <f ca="1">HLOOKUP($T$2,INDIRECT("'"&amp;$B150&amp;"'!"&amp;"$P$167:$AC$180"),IF(H150=$AI$13,6,IF(H150=$AI$14,9,14)),FALSE)</f>
        <v>0</v>
      </c>
      <c r="U150" s="773"/>
      <c r="V150" s="199">
        <f t="shared" ref="V150" ca="1" si="198">IF(IF(RIGHT(H150,2)="PH",(1-L150)+$W$2,IF(RIGHT(H150,2)="HT",(1-L150)+$W$1,IF(RIGHT(H150,2)="SH",(1-L150)+$W$3,"")))&gt;0,IF(RIGHT(H150,2)="PH",(1-L150)+$W$2,IF(RIGHT(H150,2)="HT",(1-L150)+$W$1,IF(RIGHT(H150,2)="SH",(1-L150)+$W$3,""))),0)</f>
        <v>0.26999999999999996</v>
      </c>
      <c r="W150" s="709"/>
      <c r="X150" s="698">
        <f t="shared" ca="1" si="145"/>
        <v>0.3</v>
      </c>
      <c r="Y150" s="698">
        <f t="shared" ref="Y150:Y155" ca="1" si="199">VLOOKUP($AD150,INDIRECT("'"&amp;$B150&amp;"'!"&amp;"$P$200:$AD$203"),12,FALSE)</f>
        <v>9</v>
      </c>
      <c r="Z150" s="698">
        <f t="shared" ref="Z150:Z155" ca="1" si="200">VLOOKUP($AD150,INDIRECT("'"&amp;$B150&amp;"'!"&amp;"$P$200:$AD$203"),13,FALSE)</f>
        <v>3</v>
      </c>
      <c r="AA150" s="698">
        <f t="shared" ref="AA150:AA155" ca="1" si="201">VLOOKUP($AD150,INDIRECT("'"&amp;$B150&amp;"'!"&amp;"$P$200:$AD$203"),14,FALSE)</f>
        <v>1</v>
      </c>
      <c r="AB150" s="698">
        <f t="shared" ref="AB150:AB155" ca="1" si="202">VLOOKUP($AD150,INDIRECT("'"&amp;$B150&amp;"'!"&amp;"$P$200:$AD$203"),15,FALSE)</f>
        <v>0.1</v>
      </c>
      <c r="AC150" s="55"/>
      <c r="AD150" s="81">
        <v>2020</v>
      </c>
      <c r="AE150" s="81"/>
      <c r="AF150" s="700"/>
    </row>
    <row r="151" spans="1:32">
      <c r="A151" s="226"/>
      <c r="B151" s="718" t="s">
        <v>1010</v>
      </c>
      <c r="C151" s="226"/>
      <c r="E151" s="261"/>
      <c r="F151" s="224" t="s">
        <v>1149</v>
      </c>
      <c r="G151" s="55"/>
      <c r="H151" s="174"/>
      <c r="I151" s="174" t="str">
        <f t="shared" si="162"/>
        <v>INDGWH</v>
      </c>
      <c r="J151" s="224">
        <f t="shared" si="146"/>
        <v>2030</v>
      </c>
      <c r="K151" s="81"/>
      <c r="L151" s="199">
        <f t="shared" ca="1" si="194"/>
        <v>0.94</v>
      </c>
      <c r="M151" s="199"/>
      <c r="N151" s="81"/>
      <c r="O151" s="723">
        <f t="shared" ca="1" si="195"/>
        <v>0.27090909090909093</v>
      </c>
      <c r="P151" s="723">
        <f t="shared" ca="1" si="196"/>
        <v>1.4154999999999999E-2</v>
      </c>
      <c r="Q151" s="81">
        <f t="shared" ca="1" si="197"/>
        <v>2.0694444444444446</v>
      </c>
      <c r="R151" s="300"/>
      <c r="S151" s="300"/>
      <c r="T151" s="300"/>
      <c r="U151" s="300"/>
      <c r="V151" s="199">
        <f t="shared" ref="V151" ca="1" si="203">IF(IF(RIGHT(H150,2)="PH",(1-L151)+$W$2,IF(RIGHT(H150,2)="HT",(1-L151)+$W$1,IF(RIGHT(H150,2)="SH",(1-L151)+$W$3,"")))&gt;0,IF(RIGHT(H150,2)="PH",(1-L151)+$W$2,IF(RIGHT(H150,2)="HT",(1-L151)+$W$1,IF(RIGHT(H150,2)="SH",(1-L151)+$W$3,""))),0)</f>
        <v>0.26000000000000006</v>
      </c>
      <c r="W151" s="298"/>
      <c r="X151" s="698">
        <f t="shared" ca="1" si="145"/>
        <v>0.3</v>
      </c>
      <c r="Y151" s="698">
        <f t="shared" ca="1" si="199"/>
        <v>7</v>
      </c>
      <c r="Z151" s="698">
        <f t="shared" ca="1" si="200"/>
        <v>2</v>
      </c>
      <c r="AA151" s="698">
        <f t="shared" ca="1" si="201"/>
        <v>1</v>
      </c>
      <c r="AB151" s="698">
        <f t="shared" ca="1" si="202"/>
        <v>0.1</v>
      </c>
      <c r="AC151" s="55"/>
      <c r="AD151" s="81">
        <v>2030</v>
      </c>
      <c r="AE151" s="81"/>
      <c r="AF151" s="700"/>
    </row>
    <row r="152" spans="1:32">
      <c r="B152" s="718" t="s">
        <v>1010</v>
      </c>
      <c r="C152" s="226"/>
      <c r="E152" s="261"/>
      <c r="F152" s="224" t="s">
        <v>1149</v>
      </c>
      <c r="G152" s="55"/>
      <c r="H152" s="174"/>
      <c r="I152" s="174" t="str">
        <f t="shared" si="162"/>
        <v>INDGWH</v>
      </c>
      <c r="J152" s="224">
        <f t="shared" si="146"/>
        <v>2050</v>
      </c>
      <c r="K152" s="81"/>
      <c r="L152" s="199">
        <f t="shared" ca="1" si="194"/>
        <v>0.95</v>
      </c>
      <c r="M152" s="199"/>
      <c r="N152" s="81"/>
      <c r="O152" s="723">
        <f t="shared" ca="1" si="195"/>
        <v>0.27090909090909093</v>
      </c>
      <c r="P152" s="723">
        <f t="shared" ca="1" si="196"/>
        <v>1.2664999999999999E-2</v>
      </c>
      <c r="Q152" s="81">
        <f t="shared" ca="1" si="197"/>
        <v>2.0694444444444446</v>
      </c>
      <c r="R152" s="300"/>
      <c r="S152" s="300"/>
      <c r="T152" s="300"/>
      <c r="U152" s="300"/>
      <c r="V152" s="199">
        <f t="shared" ref="V152" ca="1" si="204">IF(IF(RIGHT(H150,2)="PH",(1-L152)+$W$2,IF(RIGHT(H150,2)="HT",(1-L152)+$W$1,IF(RIGHT(H150,2)="SH",(1-L152)+$W$3,"")))&gt;0,IF(RIGHT(H150,2)="PH",(1-L152)+$W$2,IF(RIGHT(H150,2)="HT",(1-L152)+$W$1,IF(RIGHT(H150,2)="SH",(1-L152)+$W$3,""))),0)</f>
        <v>0.25000000000000006</v>
      </c>
      <c r="W152" s="720"/>
      <c r="X152" s="698">
        <f t="shared" ca="1" si="145"/>
        <v>0.3</v>
      </c>
      <c r="Y152" s="698">
        <f t="shared" ca="1" si="199"/>
        <v>6</v>
      </c>
      <c r="Z152" s="698">
        <f t="shared" ca="1" si="200"/>
        <v>2</v>
      </c>
      <c r="AA152" s="698">
        <f t="shared" ca="1" si="201"/>
        <v>1</v>
      </c>
      <c r="AB152" s="698">
        <f t="shared" ca="1" si="202"/>
        <v>0.1</v>
      </c>
      <c r="AC152" s="203"/>
      <c r="AD152" s="81">
        <v>2050</v>
      </c>
      <c r="AE152" s="81"/>
      <c r="AF152" s="705"/>
    </row>
    <row r="153" spans="1:32">
      <c r="B153" s="718" t="s">
        <v>1010</v>
      </c>
      <c r="C153" s="64"/>
      <c r="D153" s="212" t="str">
        <f>"IND"&amp;RIGHT(H153,4)&amp;"GAS"&amp;"N"&amp;RIGHT(E153,1)</f>
        <v>INDGDSHGASN3</v>
      </c>
      <c r="E153" s="261" t="str">
        <f>"Industrial heating technology "&amp;$AJ$12&amp;" "&amp;RIGHT(H153,2)&amp;" - Gas boiler (Hot Water) - new 3"</f>
        <v>Industrial heating technology Glass &amp; Concrete SH - Gas boiler (Hot Water) - new 3</v>
      </c>
      <c r="F153" s="224" t="s">
        <v>1149</v>
      </c>
      <c r="G153" s="173" t="s">
        <v>2080</v>
      </c>
      <c r="H153" s="174" t="str">
        <f>$AI$15</f>
        <v>IGDSH</v>
      </c>
      <c r="I153" s="174" t="str">
        <f t="shared" si="162"/>
        <v>INDGWH</v>
      </c>
      <c r="J153" s="224">
        <f t="shared" si="146"/>
        <v>2011</v>
      </c>
      <c r="K153" s="299">
        <f>J153</f>
        <v>2011</v>
      </c>
      <c r="L153" s="199">
        <f t="shared" ca="1" si="194"/>
        <v>0.93</v>
      </c>
      <c r="M153" s="199"/>
      <c r="N153" s="81">
        <f ca="1">VLOOKUP($AD153,INDIRECT("'"&amp;$B153&amp;"'!"&amp;"$P$200:$AD$203"),5,FALSE)</f>
        <v>25</v>
      </c>
      <c r="O153" s="723">
        <f t="shared" ca="1" si="195"/>
        <v>0.3250909090909091</v>
      </c>
      <c r="P153" s="723">
        <f t="shared" ca="1" si="196"/>
        <v>1.49E-2</v>
      </c>
      <c r="Q153" s="81">
        <f t="shared" ca="1" si="197"/>
        <v>2.276388888888889</v>
      </c>
      <c r="R153" s="81">
        <v>3.1536000000000002E-2</v>
      </c>
      <c r="S153" s="199">
        <v>0.5</v>
      </c>
      <c r="T153" s="199">
        <f ca="1">HLOOKUP($T$2,INDIRECT("'"&amp;$B153&amp;"'!"&amp;"$P$167:$AC$180"),IF(H153=$AI$13,6,IF(H153=$AI$14,9,14)),FALSE)</f>
        <v>1</v>
      </c>
      <c r="U153" s="772"/>
      <c r="V153" s="199">
        <f t="shared" ref="V153" ca="1" si="205">IF(IF(RIGHT(H153,2)="PH",(1-L153)+$W$2,IF(RIGHT(H153,2)="HT",(1-L153)+$W$1,IF(RIGHT(H153,2)="SH",(1-L153)+$W$3,"")))&gt;0,IF(RIGHT(H153,2)="PH",(1-L153)+$W$2,IF(RIGHT(H153,2)="HT",(1-L153)+$W$1,IF(RIGHT(H153,2)="SH",(1-L153)+$W$3,""))),0)</f>
        <v>6.9999999999999951E-2</v>
      </c>
      <c r="W153" s="298"/>
      <c r="X153" s="698">
        <f t="shared" ca="1" si="145"/>
        <v>0.3</v>
      </c>
      <c r="Y153" s="698">
        <f t="shared" ca="1" si="199"/>
        <v>9</v>
      </c>
      <c r="Z153" s="698">
        <f t="shared" ca="1" si="200"/>
        <v>3</v>
      </c>
      <c r="AA153" s="698">
        <f t="shared" ca="1" si="201"/>
        <v>1</v>
      </c>
      <c r="AB153" s="698">
        <f t="shared" ca="1" si="202"/>
        <v>0.1</v>
      </c>
      <c r="AC153" s="296"/>
      <c r="AD153" s="81">
        <v>2020</v>
      </c>
      <c r="AE153" s="81"/>
      <c r="AF153" s="710"/>
    </row>
    <row r="154" spans="1:32">
      <c r="B154" s="718" t="s">
        <v>1010</v>
      </c>
      <c r="C154" s="64"/>
      <c r="E154" s="261"/>
      <c r="F154" s="224" t="s">
        <v>1149</v>
      </c>
      <c r="G154" s="55"/>
      <c r="H154" s="174"/>
      <c r="I154" s="174" t="str">
        <f t="shared" si="162"/>
        <v>INDGWH</v>
      </c>
      <c r="J154" s="224">
        <f t="shared" si="146"/>
        <v>2030</v>
      </c>
      <c r="K154" s="81"/>
      <c r="L154" s="199">
        <f t="shared" ca="1" si="194"/>
        <v>0.94</v>
      </c>
      <c r="M154" s="199"/>
      <c r="N154" s="81"/>
      <c r="O154" s="723">
        <f t="shared" ca="1" si="195"/>
        <v>0.27090909090909093</v>
      </c>
      <c r="P154" s="723">
        <f t="shared" ca="1" si="196"/>
        <v>1.4154999999999999E-2</v>
      </c>
      <c r="Q154" s="81">
        <f t="shared" ca="1" si="197"/>
        <v>2.0694444444444446</v>
      </c>
      <c r="R154" s="300"/>
      <c r="S154" s="300"/>
      <c r="T154" s="300"/>
      <c r="U154" s="300"/>
      <c r="V154" s="199">
        <f t="shared" ref="V154" ca="1" si="206">IF(IF(RIGHT(H153,2)="PH",(1-L154)+$W$2,IF(RIGHT(H153,2)="HT",(1-L154)+$W$1,IF(RIGHT(H153,2)="SH",(1-L154)+$W$3,"")))&gt;0,IF(RIGHT(H153,2)="PH",(1-L154)+$W$2,IF(RIGHT(H153,2)="HT",(1-L154)+$W$1,IF(RIGHT(H153,2)="SH",(1-L154)+$W$3,""))),0)</f>
        <v>6.0000000000000053E-2</v>
      </c>
      <c r="W154" s="298"/>
      <c r="X154" s="698">
        <f t="shared" ca="1" si="145"/>
        <v>0.3</v>
      </c>
      <c r="Y154" s="698">
        <f t="shared" ca="1" si="199"/>
        <v>7</v>
      </c>
      <c r="Z154" s="698">
        <f t="shared" ca="1" si="200"/>
        <v>2</v>
      </c>
      <c r="AA154" s="698">
        <f t="shared" ca="1" si="201"/>
        <v>1</v>
      </c>
      <c r="AB154" s="698">
        <f t="shared" ca="1" si="202"/>
        <v>0.1</v>
      </c>
      <c r="AC154" s="55"/>
      <c r="AD154" s="81">
        <v>2030</v>
      </c>
      <c r="AE154" s="81"/>
      <c r="AF154" s="700"/>
    </row>
    <row r="155" spans="1:32">
      <c r="A155" s="226"/>
      <c r="B155" s="719" t="s">
        <v>1010</v>
      </c>
      <c r="C155" s="713"/>
      <c r="D155" s="203"/>
      <c r="E155" s="701"/>
      <c r="F155" s="224" t="s">
        <v>1149</v>
      </c>
      <c r="G155" s="203"/>
      <c r="H155" s="702"/>
      <c r="I155" s="702" t="str">
        <f t="shared" si="162"/>
        <v>INDGWH</v>
      </c>
      <c r="J155" s="224">
        <f t="shared" si="146"/>
        <v>2050</v>
      </c>
      <c r="K155" s="81"/>
      <c r="L155" s="199">
        <f t="shared" ca="1" si="194"/>
        <v>0.95</v>
      </c>
      <c r="M155" s="199"/>
      <c r="N155" s="81"/>
      <c r="O155" s="723">
        <f t="shared" ca="1" si="195"/>
        <v>0.27090909090909093</v>
      </c>
      <c r="P155" s="723">
        <f t="shared" ca="1" si="196"/>
        <v>1.2664999999999999E-2</v>
      </c>
      <c r="Q155" s="81">
        <f t="shared" ca="1" si="197"/>
        <v>2.0694444444444446</v>
      </c>
      <c r="R155" s="300"/>
      <c r="S155" s="300"/>
      <c r="T155" s="300"/>
      <c r="U155" s="300"/>
      <c r="V155" s="199">
        <f t="shared" ref="V155" ca="1" si="207">IF(IF(RIGHT(H153,2)="PH",(1-L155)+$W$2,IF(RIGHT(H153,2)="HT",(1-L155)+$W$1,IF(RIGHT(H153,2)="SH",(1-L155)+$W$3,"")))&gt;0,IF(RIGHT(H153,2)="PH",(1-L155)+$W$2,IF(RIGHT(H153,2)="HT",(1-L155)+$W$1,IF(RIGHT(H153,2)="SH",(1-L155)+$W$3,""))),0)</f>
        <v>5.0000000000000044E-2</v>
      </c>
      <c r="W155" s="298"/>
      <c r="X155" s="698">
        <f t="shared" ca="1" si="145"/>
        <v>0.3</v>
      </c>
      <c r="Y155" s="698">
        <f t="shared" ca="1" si="199"/>
        <v>6</v>
      </c>
      <c r="Z155" s="698">
        <f t="shared" ca="1" si="200"/>
        <v>2</v>
      </c>
      <c r="AA155" s="698">
        <f t="shared" ca="1" si="201"/>
        <v>1</v>
      </c>
      <c r="AB155" s="698">
        <f t="shared" ca="1" si="202"/>
        <v>0.1</v>
      </c>
      <c r="AC155" s="55"/>
      <c r="AD155" s="81">
        <v>2050</v>
      </c>
      <c r="AE155" s="81"/>
      <c r="AF155" s="700"/>
    </row>
    <row r="156" spans="1:32">
      <c r="B156" s="718" t="s">
        <v>1010</v>
      </c>
      <c r="C156" s="64"/>
      <c r="D156" s="212" t="str">
        <f>"IND"&amp;RIGHT(H156,4)&amp;"GAS"&amp;"N"&amp;RIGHT(E156,1)</f>
        <v>INDGDPHGASN4</v>
      </c>
      <c r="E156" s="707" t="str">
        <f>"Industrial heating technology "&amp;$AJ$12&amp;" "&amp;RIGHT(H156,2)&amp;" - Gas boiler (Hot Water - condensing) - new 4"</f>
        <v>Industrial heating technology Glass &amp; Concrete PH - Gas boiler (Hot Water - condensing) - new 4</v>
      </c>
      <c r="F156" s="224" t="s">
        <v>1149</v>
      </c>
      <c r="G156" s="173" t="s">
        <v>2080</v>
      </c>
      <c r="H156" s="708" t="str">
        <f>$AI$14</f>
        <v>IGDPH</v>
      </c>
      <c r="I156" s="708" t="str">
        <f t="shared" si="162"/>
        <v>INDGWH</v>
      </c>
      <c r="J156" s="224">
        <f t="shared" si="146"/>
        <v>2011</v>
      </c>
      <c r="K156" s="299">
        <f>J156</f>
        <v>2011</v>
      </c>
      <c r="L156" s="199">
        <f t="shared" ref="L156:L161" ca="1" si="208">VLOOKUP($AD156,INDIRECT("'"&amp;$B156&amp;"'!"&amp;"$P$279:$AD$282"),3,FALSE)</f>
        <v>1.01</v>
      </c>
      <c r="M156" s="199"/>
      <c r="N156" s="81">
        <f ca="1">VLOOKUP($AD156,INDIRECT("'"&amp;$B156&amp;"'!"&amp;"$P$279:$AD$282"),5,FALSE)</f>
        <v>25</v>
      </c>
      <c r="O156" s="723">
        <f t="shared" ref="O156:O161" ca="1" si="209">VLOOKUP($AD156,INDIRECT("'"&amp;$B156&amp;"'!"&amp;"$P$279:$AD$282"),6,FALSE)/1000</f>
        <v>0.35760000000000003</v>
      </c>
      <c r="P156" s="723">
        <f t="shared" ref="P156:P161" ca="1" si="210">VLOOKUP($AD156,INDIRECT("'"&amp;$B156&amp;"'!"&amp;"$P$279:$AD$282"),7,FALSE)/1000</f>
        <v>1.49E-2</v>
      </c>
      <c r="Q156" s="81">
        <f t="shared" ref="Q156:Q161" ca="1" si="211">VLOOKUP($AD156,INDIRECT("'"&amp;$B156&amp;"'!"&amp;"$P$279:$AD$282"),8,FALSE)</f>
        <v>2.276388888888889</v>
      </c>
      <c r="R156" s="81">
        <v>3.1536000000000002E-2</v>
      </c>
      <c r="S156" s="199">
        <v>0.5</v>
      </c>
      <c r="T156" s="199">
        <f ca="1">HLOOKUP($T$2,INDIRECT("'"&amp;$B156&amp;"'!"&amp;"$P$246:$AC$259"),IF(H156=$AI$13,6,IF(H156=$AI$14,9,14)),FALSE)</f>
        <v>0</v>
      </c>
      <c r="U156" s="773"/>
      <c r="V156" s="199">
        <f t="shared" ref="V156" ca="1" si="212">IF(IF(RIGHT(H156,2)="PH",(1-L156)+$W$2,IF(RIGHT(H156,2)="HT",(1-L156)+$W$1,IF(RIGHT(H156,2)="SH",(1-L156)+$W$3,"")))&gt;0,IF(RIGHT(H156,2)="PH",(1-L156)+$W$2,IF(RIGHT(H156,2)="HT",(1-L156)+$W$1,IF(RIGHT(H156,2)="SH",(1-L156)+$W$3,""))),0)</f>
        <v>0.19</v>
      </c>
      <c r="W156" s="709"/>
      <c r="X156" s="698">
        <f t="shared" ca="1" si="145"/>
        <v>0.3</v>
      </c>
      <c r="Y156" s="698">
        <f t="shared" ref="Y156:Y161" ca="1" si="213">VLOOKUP($AD156,INDIRECT("'"&amp;$B156&amp;"'!"&amp;"$P$279:$AD$282"),12,FALSE)</f>
        <v>9</v>
      </c>
      <c r="Z156" s="698">
        <f t="shared" ref="Z156:Z161" ca="1" si="214">VLOOKUP($AD156,INDIRECT("'"&amp;$B156&amp;"'!"&amp;"$P$279:$AD$282"),13,FALSE)</f>
        <v>3</v>
      </c>
      <c r="AA156" s="698">
        <f t="shared" ref="AA156:AA161" ca="1" si="215">VLOOKUP($AD156,INDIRECT("'"&amp;$B156&amp;"'!"&amp;"$P$279:$AD$282"),14,FALSE)</f>
        <v>1</v>
      </c>
      <c r="AB156" s="698">
        <f t="shared" ref="AB156:AB161" ca="1" si="216">VLOOKUP($AD156,INDIRECT("'"&amp;$B156&amp;"'!"&amp;"$P$279:$AD$282"),15,FALSE)</f>
        <v>0.1</v>
      </c>
      <c r="AC156" s="55"/>
      <c r="AD156" s="81">
        <v>2020</v>
      </c>
      <c r="AE156" s="81"/>
      <c r="AF156" s="700"/>
    </row>
    <row r="157" spans="1:32">
      <c r="B157" s="718" t="s">
        <v>1010</v>
      </c>
      <c r="C157" s="64"/>
      <c r="E157" s="261"/>
      <c r="F157" s="224" t="s">
        <v>1149</v>
      </c>
      <c r="G157" s="55"/>
      <c r="H157" s="174"/>
      <c r="I157" s="174" t="str">
        <f t="shared" si="162"/>
        <v>INDGWH</v>
      </c>
      <c r="J157" s="224">
        <f t="shared" si="146"/>
        <v>2030</v>
      </c>
      <c r="K157" s="81"/>
      <c r="L157" s="199">
        <f t="shared" ca="1" si="208"/>
        <v>1.03</v>
      </c>
      <c r="M157" s="199"/>
      <c r="N157" s="81"/>
      <c r="O157" s="723">
        <f t="shared" ca="1" si="209"/>
        <v>0.29800000000000004</v>
      </c>
      <c r="P157" s="723">
        <f t="shared" ca="1" si="210"/>
        <v>1.4154999999999999E-2</v>
      </c>
      <c r="Q157" s="81">
        <f t="shared" ca="1" si="211"/>
        <v>2.0694444444444446</v>
      </c>
      <c r="R157" s="300"/>
      <c r="S157" s="300"/>
      <c r="T157" s="300"/>
      <c r="U157" s="300"/>
      <c r="V157" s="199">
        <f t="shared" ref="V157" ca="1" si="217">IF(IF(RIGHT(H156,2)="PH",(1-L157)+$W$2,IF(RIGHT(H156,2)="HT",(1-L157)+$W$1,IF(RIGHT(H156,2)="SH",(1-L157)+$W$3,"")))&gt;0,IF(RIGHT(H156,2)="PH",(1-L157)+$W$2,IF(RIGHT(H156,2)="HT",(1-L157)+$W$1,IF(RIGHT(H156,2)="SH",(1-L157)+$W$3,""))),0)</f>
        <v>0.16999999999999998</v>
      </c>
      <c r="W157" s="298"/>
      <c r="X157" s="698">
        <f t="shared" ca="1" si="145"/>
        <v>0.3</v>
      </c>
      <c r="Y157" s="698">
        <f t="shared" ca="1" si="213"/>
        <v>7</v>
      </c>
      <c r="Z157" s="698">
        <f t="shared" ca="1" si="214"/>
        <v>2</v>
      </c>
      <c r="AA157" s="698">
        <f t="shared" ca="1" si="215"/>
        <v>1</v>
      </c>
      <c r="AB157" s="698">
        <f t="shared" ca="1" si="216"/>
        <v>0.1</v>
      </c>
      <c r="AC157" s="55"/>
      <c r="AD157" s="81">
        <v>2030</v>
      </c>
      <c r="AE157" s="81"/>
      <c r="AF157" s="700"/>
    </row>
    <row r="158" spans="1:32">
      <c r="B158" s="718" t="s">
        <v>1010</v>
      </c>
      <c r="C158" s="64"/>
      <c r="E158" s="261"/>
      <c r="F158" s="224" t="s">
        <v>1149</v>
      </c>
      <c r="G158" s="55"/>
      <c r="H158" s="174"/>
      <c r="I158" s="174" t="str">
        <f t="shared" si="162"/>
        <v>INDGWH</v>
      </c>
      <c r="J158" s="224">
        <f t="shared" si="146"/>
        <v>2050</v>
      </c>
      <c r="K158" s="81"/>
      <c r="L158" s="199">
        <f t="shared" ca="1" si="208"/>
        <v>1.03</v>
      </c>
      <c r="M158" s="199"/>
      <c r="N158" s="81"/>
      <c r="O158" s="723">
        <f t="shared" ca="1" si="209"/>
        <v>0.29800000000000004</v>
      </c>
      <c r="P158" s="723">
        <f t="shared" ca="1" si="210"/>
        <v>1.2664999999999999E-2</v>
      </c>
      <c r="Q158" s="81">
        <f t="shared" ca="1" si="211"/>
        <v>2.0694444444444446</v>
      </c>
      <c r="R158" s="300"/>
      <c r="S158" s="300"/>
      <c r="T158" s="300"/>
      <c r="U158" s="300"/>
      <c r="V158" s="199">
        <f t="shared" ref="V158" ca="1" si="218">IF(IF(RIGHT(H156,2)="PH",(1-L158)+$W$2,IF(RIGHT(H156,2)="HT",(1-L158)+$W$1,IF(RIGHT(H156,2)="SH",(1-L158)+$W$3,"")))&gt;0,IF(RIGHT(H156,2)="PH",(1-L158)+$W$2,IF(RIGHT(H156,2)="HT",(1-L158)+$W$1,IF(RIGHT(H156,2)="SH",(1-L158)+$W$3,""))),0)</f>
        <v>0.16999999999999998</v>
      </c>
      <c r="W158" s="298"/>
      <c r="X158" s="698">
        <f t="shared" ca="1" si="145"/>
        <v>0.3</v>
      </c>
      <c r="Y158" s="698">
        <f t="shared" ca="1" si="213"/>
        <v>6</v>
      </c>
      <c r="Z158" s="698">
        <f t="shared" ca="1" si="214"/>
        <v>2</v>
      </c>
      <c r="AA158" s="698">
        <f t="shared" ca="1" si="215"/>
        <v>1</v>
      </c>
      <c r="AB158" s="698">
        <f t="shared" ca="1" si="216"/>
        <v>0.1</v>
      </c>
      <c r="AC158" s="203"/>
      <c r="AD158" s="81">
        <v>2050</v>
      </c>
      <c r="AE158" s="81"/>
      <c r="AF158" s="705"/>
    </row>
    <row r="159" spans="1:32">
      <c r="A159" s="226"/>
      <c r="B159" s="718" t="s">
        <v>1010</v>
      </c>
      <c r="C159" s="64"/>
      <c r="D159" s="212" t="str">
        <f>"IND"&amp;RIGHT(H159,4)&amp;"GAS"&amp;"N"&amp;RIGHT(E159,1)</f>
        <v>INDGDSHGASN4</v>
      </c>
      <c r="E159" s="261" t="str">
        <f>"Industrial heating technology "&amp;$AJ$12&amp;" "&amp;RIGHT(H159,2)&amp;" - Gas boiler (Hot Water- condensing) - new 4"</f>
        <v>Industrial heating technology Glass &amp; Concrete SH - Gas boiler (Hot Water- condensing) - new 4</v>
      </c>
      <c r="F159" s="224" t="s">
        <v>1149</v>
      </c>
      <c r="G159" s="173" t="s">
        <v>2080</v>
      </c>
      <c r="H159" s="174" t="str">
        <f>$AI$15</f>
        <v>IGDSH</v>
      </c>
      <c r="I159" s="174" t="str">
        <f t="shared" si="162"/>
        <v>INDGWH</v>
      </c>
      <c r="J159" s="224">
        <f t="shared" si="146"/>
        <v>2011</v>
      </c>
      <c r="K159" s="299">
        <f>J159</f>
        <v>2011</v>
      </c>
      <c r="L159" s="199">
        <f t="shared" ca="1" si="208"/>
        <v>1.01</v>
      </c>
      <c r="M159" s="199"/>
      <c r="N159" s="81">
        <f ca="1">VLOOKUP($AD159,INDIRECT("'"&amp;$B159&amp;"'!"&amp;"$P$279:$AD$282"),5,FALSE)</f>
        <v>25</v>
      </c>
      <c r="O159" s="723">
        <f t="shared" ca="1" si="209"/>
        <v>0.35760000000000003</v>
      </c>
      <c r="P159" s="723">
        <f t="shared" ca="1" si="210"/>
        <v>1.49E-2</v>
      </c>
      <c r="Q159" s="81">
        <f t="shared" ca="1" si="211"/>
        <v>2.276388888888889</v>
      </c>
      <c r="R159" s="81">
        <v>3.1536000000000002E-2</v>
      </c>
      <c r="S159" s="199">
        <v>0.5</v>
      </c>
      <c r="T159" s="199">
        <f ca="1">HLOOKUP($T$2,INDIRECT("'"&amp;$B159&amp;"'!"&amp;"$P$246:$AC$259"),IF(H159=$AI$13,6,IF(H159=$AI$14,9,14)),FALSE)</f>
        <v>0</v>
      </c>
      <c r="U159" s="773"/>
      <c r="V159" s="199">
        <f t="shared" ref="V159" ca="1" si="219">IF(IF(RIGHT(H159,2)="PH",(1-L159)+$W$2,IF(RIGHT(H159,2)="HT",(1-L159)+$W$1,IF(RIGHT(H159,2)="SH",(1-L159)+$W$3,"")))&gt;0,IF(RIGHT(H159,2)="PH",(1-L159)+$W$2,IF(RIGHT(H159,2)="HT",(1-L159)+$W$1,IF(RIGHT(H159,2)="SH",(1-L159)+$W$3,""))),0)</f>
        <v>0</v>
      </c>
      <c r="W159" s="709"/>
      <c r="X159" s="698">
        <f t="shared" ref="X159:X177" ca="1" si="220">IF(VLOOKUP($AD159,INDIRECT("'"&amp;$B159&amp;"'!"&amp;"$P$39:$AD$42"),11,FALSE)="Cf. the utilized electricity",0,VLOOKUP($AD159,INDIRECT("'"&amp;$B159&amp;"'!"&amp;"$P$39:$AD$42"),11,FALSE))</f>
        <v>0.3</v>
      </c>
      <c r="Y159" s="698">
        <f t="shared" ca="1" si="213"/>
        <v>9</v>
      </c>
      <c r="Z159" s="698">
        <f t="shared" ca="1" si="214"/>
        <v>3</v>
      </c>
      <c r="AA159" s="698">
        <f t="shared" ca="1" si="215"/>
        <v>1</v>
      </c>
      <c r="AB159" s="698">
        <f t="shared" ca="1" si="216"/>
        <v>0.1</v>
      </c>
      <c r="AC159" s="296"/>
      <c r="AD159" s="81">
        <v>2020</v>
      </c>
      <c r="AE159" s="81"/>
      <c r="AF159" s="710"/>
    </row>
    <row r="160" spans="1:32">
      <c r="B160" s="718" t="s">
        <v>1010</v>
      </c>
      <c r="C160" s="64"/>
      <c r="E160" s="261"/>
      <c r="F160" s="224" t="s">
        <v>1149</v>
      </c>
      <c r="G160" s="55"/>
      <c r="H160" s="174"/>
      <c r="I160" s="174" t="str">
        <f t="shared" si="162"/>
        <v>INDGWH</v>
      </c>
      <c r="J160" s="224">
        <f t="shared" si="146"/>
        <v>2030</v>
      </c>
      <c r="K160" s="81"/>
      <c r="L160" s="199">
        <f t="shared" ca="1" si="208"/>
        <v>1.03</v>
      </c>
      <c r="M160" s="199"/>
      <c r="N160" s="81"/>
      <c r="O160" s="723">
        <f t="shared" ca="1" si="209"/>
        <v>0.29800000000000004</v>
      </c>
      <c r="P160" s="723">
        <f t="shared" ca="1" si="210"/>
        <v>1.4154999999999999E-2</v>
      </c>
      <c r="Q160" s="81">
        <f t="shared" ca="1" si="211"/>
        <v>2.0694444444444446</v>
      </c>
      <c r="R160" s="300"/>
      <c r="S160" s="300"/>
      <c r="T160" s="300"/>
      <c r="U160" s="300"/>
      <c r="V160" s="199">
        <f t="shared" ref="V160" ca="1" si="221">IF(IF(RIGHT(H159,2)="PH",(1-L160)+$W$2,IF(RIGHT(H159,2)="HT",(1-L160)+$W$1,IF(RIGHT(H159,2)="SH",(1-L160)+$W$3,"")))&gt;0,IF(RIGHT(H159,2)="PH",(1-L160)+$W$2,IF(RIGHT(H159,2)="HT",(1-L160)+$W$1,IF(RIGHT(H159,2)="SH",(1-L160)+$W$3,""))),0)</f>
        <v>0</v>
      </c>
      <c r="W160" s="298"/>
      <c r="X160" s="698">
        <f t="shared" ca="1" si="220"/>
        <v>0.3</v>
      </c>
      <c r="Y160" s="698">
        <f t="shared" ca="1" si="213"/>
        <v>7</v>
      </c>
      <c r="Z160" s="698">
        <f t="shared" ca="1" si="214"/>
        <v>2</v>
      </c>
      <c r="AA160" s="698">
        <f t="shared" ca="1" si="215"/>
        <v>1</v>
      </c>
      <c r="AB160" s="698">
        <f t="shared" ca="1" si="216"/>
        <v>0.1</v>
      </c>
      <c r="AC160" s="55"/>
      <c r="AD160" s="81">
        <v>2030</v>
      </c>
      <c r="AE160" s="81"/>
      <c r="AF160" s="700"/>
    </row>
    <row r="161" spans="1:32">
      <c r="B161" s="719" t="s">
        <v>1010</v>
      </c>
      <c r="C161" s="713"/>
      <c r="D161" s="701"/>
      <c r="E161" s="701"/>
      <c r="F161" s="224" t="s">
        <v>1149</v>
      </c>
      <c r="G161" s="203"/>
      <c r="H161" s="702"/>
      <c r="I161" s="702" t="str">
        <f t="shared" si="162"/>
        <v>INDGWH</v>
      </c>
      <c r="J161" s="224">
        <f t="shared" si="146"/>
        <v>2050</v>
      </c>
      <c r="K161" s="81"/>
      <c r="L161" s="199">
        <f t="shared" ca="1" si="208"/>
        <v>1.03</v>
      </c>
      <c r="M161" s="199"/>
      <c r="N161" s="81"/>
      <c r="O161" s="723">
        <f t="shared" ca="1" si="209"/>
        <v>0.29800000000000004</v>
      </c>
      <c r="P161" s="723">
        <f t="shared" ca="1" si="210"/>
        <v>1.2664999999999999E-2</v>
      </c>
      <c r="Q161" s="81">
        <f t="shared" ca="1" si="211"/>
        <v>2.0694444444444446</v>
      </c>
      <c r="R161" s="300"/>
      <c r="S161" s="300"/>
      <c r="T161" s="300"/>
      <c r="U161" s="300"/>
      <c r="V161" s="199">
        <f t="shared" ref="V161" ca="1" si="222">IF(IF(RIGHT(H159,2)="PH",(1-L161)+$W$2,IF(RIGHT(H159,2)="HT",(1-L161)+$W$1,IF(RIGHT(H159,2)="SH",(1-L161)+$W$3,"")))&gt;0,IF(RIGHT(H159,2)="PH",(1-L161)+$W$2,IF(RIGHT(H159,2)="HT",(1-L161)+$W$1,IF(RIGHT(H159,2)="SH",(1-L161)+$W$3,""))),0)</f>
        <v>0</v>
      </c>
      <c r="W161" s="714"/>
      <c r="X161" s="698">
        <f t="shared" ca="1" si="220"/>
        <v>0.3</v>
      </c>
      <c r="Y161" s="698">
        <f t="shared" ca="1" si="213"/>
        <v>6</v>
      </c>
      <c r="Z161" s="698">
        <f t="shared" ca="1" si="214"/>
        <v>2</v>
      </c>
      <c r="AA161" s="698">
        <f t="shared" ca="1" si="215"/>
        <v>1</v>
      </c>
      <c r="AB161" s="698">
        <f t="shared" ca="1" si="216"/>
        <v>0.1</v>
      </c>
      <c r="AC161" s="55"/>
      <c r="AD161" s="81">
        <v>2050</v>
      </c>
      <c r="AE161" s="81"/>
      <c r="AF161" s="700"/>
    </row>
    <row r="162" spans="1:32">
      <c r="B162" s="718" t="s">
        <v>1010</v>
      </c>
      <c r="C162" s="64"/>
      <c r="D162" s="212" t="str">
        <f>"IND"&amp;RIGHT(H162,4)&amp;"GAS"&amp;"N"&amp;RIGHT(E162,1)</f>
        <v>INDGDPHGASN5</v>
      </c>
      <c r="E162" s="707" t="str">
        <f>"Industrial heating technology "&amp;$AJ$12&amp;" "&amp;RIGHT(H162,2)&amp;" - Gas boiler (Direct firing) - new 5"</f>
        <v>Industrial heating technology Glass &amp; Concrete PH - Gas boiler (Direct firing) - new 5</v>
      </c>
      <c r="F162" s="224" t="s">
        <v>1149</v>
      </c>
      <c r="G162" s="173" t="s">
        <v>2080</v>
      </c>
      <c r="H162" s="174" t="str">
        <f>$AI$13</f>
        <v>IGDPH</v>
      </c>
      <c r="I162" s="174" t="str">
        <f t="shared" si="162"/>
        <v>INDGWH</v>
      </c>
      <c r="J162" s="224">
        <f t="shared" si="146"/>
        <v>2011</v>
      </c>
      <c r="K162" s="299">
        <f>J162</f>
        <v>2011</v>
      </c>
      <c r="L162" s="199">
        <f t="shared" ref="L162:L167" ca="1" si="223">VLOOKUP($AD162,INDIRECT("'"&amp;$B162&amp;"'!"&amp;"$P$345:$AD$348"),3,FALSE)</f>
        <v>1</v>
      </c>
      <c r="M162" s="199"/>
      <c r="N162" s="81">
        <f ca="1">VLOOKUP($AD162,INDIRECT("'"&amp;$B162&amp;"'!"&amp;"$P$345:$AD$348"),5,FALSE)</f>
        <v>15</v>
      </c>
      <c r="O162" s="723">
        <f t="shared" ref="O162:O167" ca="1" si="224">VLOOKUP($AD162,INDIRECT("'"&amp;$B162&amp;"'!"&amp;"$P$345:$AD$348"),6,FALSE)/1000</f>
        <v>0.11175</v>
      </c>
      <c r="P162" s="723">
        <f t="shared" ref="P162:P167" ca="1" si="225">VLOOKUP($AD162,INDIRECT("'"&amp;$B162&amp;"'!"&amp;"$P$345:$AD$348"),7,FALSE)/1000</f>
        <v>1.3545454545454561E-3</v>
      </c>
      <c r="Q162" s="81">
        <f t="shared" ref="Q162:Q167" ca="1" si="226">VLOOKUP($AD162,INDIRECT("'"&amp;$B162&amp;"'!"&amp;"$P$345:$AD$348"),8,FALSE)</f>
        <v>0.58461805555555546</v>
      </c>
      <c r="R162" s="81">
        <v>3.1536000000000002E-2</v>
      </c>
      <c r="S162" s="199">
        <v>0.5</v>
      </c>
      <c r="T162" s="199">
        <f ca="1">HLOOKUP($S$2,INDIRECT("'"&amp;$B162&amp;"'!"&amp;"$P$312:$AC$325"),IF(H162=$AI$13,6,IF(H162=$AI$14,9,14)),FALSE)</f>
        <v>1</v>
      </c>
      <c r="U162" s="773"/>
      <c r="V162" s="199">
        <f t="shared" ref="V162" ca="1" si="227">IF(IF(RIGHT(H162,2)="PH",(1-L162)+$W$2,IF(RIGHT(H162,2)="HT",(1-L162)+$W$1,IF(RIGHT(H162,2)="SH",(1-L162)+$W$3,"")))&gt;0,IF(RIGHT(H162,2)="PH",(1-L162)+$W$2,IF(RIGHT(H162,2)="HT",(1-L162)+$W$1,IF(RIGHT(H162,2)="SH",(1-L162)+$W$3,""))),0)</f>
        <v>0.2</v>
      </c>
      <c r="W162" s="709"/>
      <c r="X162" s="698">
        <f t="shared" ca="1" si="220"/>
        <v>0.3</v>
      </c>
      <c r="Y162" s="698">
        <f t="shared" ref="Y162:Y167" ca="1" si="228">VLOOKUP($AD162,INDIRECT("'"&amp;$B162&amp;"'!"&amp;"$P$345:$AD$348"),12,FALSE)</f>
        <v>9</v>
      </c>
      <c r="Z162" s="698">
        <f t="shared" ref="Z162:Z167" ca="1" si="229">VLOOKUP($AD162,INDIRECT("'"&amp;$B162&amp;"'!"&amp;"$P$345:$AD$348"),13,FALSE)</f>
        <v>3</v>
      </c>
      <c r="AA162" s="698">
        <f t="shared" ref="AA162:AA167" ca="1" si="230">VLOOKUP($AD162,INDIRECT("'"&amp;$B162&amp;"'!"&amp;"$P$345:$AD$348"),14,FALSE)</f>
        <v>1</v>
      </c>
      <c r="AB162" s="698">
        <f t="shared" ref="AB162:AB167" ca="1" si="231">VLOOKUP($AD162,INDIRECT("'"&amp;$B162&amp;"'!"&amp;"$P$345:$AD$348"),15,FALSE)</f>
        <v>0.1</v>
      </c>
      <c r="AC162" s="55"/>
      <c r="AD162" s="81">
        <v>2020</v>
      </c>
      <c r="AE162" s="81"/>
      <c r="AF162" s="700"/>
    </row>
    <row r="163" spans="1:32">
      <c r="B163" s="718" t="s">
        <v>1010</v>
      </c>
      <c r="C163" s="64"/>
      <c r="E163" s="261"/>
      <c r="F163" s="224" t="s">
        <v>1149</v>
      </c>
      <c r="G163" s="55"/>
      <c r="H163" s="174"/>
      <c r="I163" s="174" t="str">
        <f t="shared" si="162"/>
        <v>INDGWH</v>
      </c>
      <c r="J163" s="224">
        <f t="shared" si="146"/>
        <v>2030</v>
      </c>
      <c r="K163" s="81"/>
      <c r="L163" s="199">
        <f t="shared" ca="1" si="223"/>
        <v>1</v>
      </c>
      <c r="M163" s="199"/>
      <c r="N163" s="81"/>
      <c r="O163" s="723">
        <f t="shared" ca="1" si="224"/>
        <v>0.11175</v>
      </c>
      <c r="P163" s="723">
        <f t="shared" ca="1" si="225"/>
        <v>1.3206818181818161E-3</v>
      </c>
      <c r="Q163" s="81">
        <f t="shared" ca="1" si="226"/>
        <v>0.5742708333333334</v>
      </c>
      <c r="R163" s="300"/>
      <c r="S163" s="300"/>
      <c r="T163" s="300"/>
      <c r="U163" s="300"/>
      <c r="V163" s="199">
        <f t="shared" ref="V163" ca="1" si="232">IF(IF(RIGHT(H162,2)="PH",(1-L163)+$W$2,IF(RIGHT(H162,2)="HT",(1-L163)+$W$1,IF(RIGHT(H162,2)="SH",(1-L163)+$W$3,"")))&gt;0,IF(RIGHT(H162,2)="PH",(1-L163)+$W$2,IF(RIGHT(H162,2)="HT",(1-L163)+$W$1,IF(RIGHT(H162,2)="SH",(1-L163)+$W$3,""))),0)</f>
        <v>0.2</v>
      </c>
      <c r="W163" s="298"/>
      <c r="X163" s="698">
        <f t="shared" ca="1" si="220"/>
        <v>0.3</v>
      </c>
      <c r="Y163" s="698">
        <f t="shared" ca="1" si="228"/>
        <v>7</v>
      </c>
      <c r="Z163" s="698">
        <f t="shared" ca="1" si="229"/>
        <v>2</v>
      </c>
      <c r="AA163" s="698">
        <f t="shared" ca="1" si="230"/>
        <v>1</v>
      </c>
      <c r="AB163" s="698">
        <f t="shared" ca="1" si="231"/>
        <v>0.1</v>
      </c>
      <c r="AC163" s="55"/>
      <c r="AD163" s="81">
        <v>2030</v>
      </c>
      <c r="AE163" s="81"/>
      <c r="AF163" s="700"/>
    </row>
    <row r="164" spans="1:32">
      <c r="B164" s="718" t="s">
        <v>1010</v>
      </c>
      <c r="C164" s="64"/>
      <c r="E164" s="261"/>
      <c r="F164" s="224" t="s">
        <v>1149</v>
      </c>
      <c r="G164" s="55"/>
      <c r="H164" s="174"/>
      <c r="I164" s="174" t="str">
        <f t="shared" si="162"/>
        <v>INDGWH</v>
      </c>
      <c r="J164" s="224">
        <f t="shared" si="146"/>
        <v>2050</v>
      </c>
      <c r="K164" s="81"/>
      <c r="L164" s="199">
        <f t="shared" ca="1" si="223"/>
        <v>1</v>
      </c>
      <c r="M164" s="199"/>
      <c r="N164" s="81"/>
      <c r="O164" s="723">
        <f t="shared" ca="1" si="224"/>
        <v>0.11175</v>
      </c>
      <c r="P164" s="723">
        <f t="shared" ca="1" si="225"/>
        <v>1.1513636363636396E-3</v>
      </c>
      <c r="Q164" s="81">
        <f t="shared" ca="1" si="226"/>
        <v>0.57944444444444443</v>
      </c>
      <c r="R164" s="300"/>
      <c r="S164" s="300"/>
      <c r="T164" s="300"/>
      <c r="U164" s="300"/>
      <c r="V164" s="199">
        <f t="shared" ref="V164" ca="1" si="233">IF(IF(RIGHT(H162,2)="PH",(1-L164)+$W$2,IF(RIGHT(H162,2)="HT",(1-L164)+$W$1,IF(RIGHT(H162,2)="SH",(1-L164)+$W$3,"")))&gt;0,IF(RIGHT(H162,2)="PH",(1-L164)+$W$2,IF(RIGHT(H162,2)="HT",(1-L164)+$W$1,IF(RIGHT(H162,2)="SH",(1-L164)+$W$3,""))),0)</f>
        <v>0.2</v>
      </c>
      <c r="W164" s="298"/>
      <c r="X164" s="698">
        <f t="shared" ca="1" si="220"/>
        <v>0.3</v>
      </c>
      <c r="Y164" s="698">
        <f t="shared" ca="1" si="228"/>
        <v>6</v>
      </c>
      <c r="Z164" s="698">
        <f t="shared" ca="1" si="229"/>
        <v>2</v>
      </c>
      <c r="AA164" s="698">
        <f t="shared" ca="1" si="230"/>
        <v>1</v>
      </c>
      <c r="AB164" s="698">
        <f t="shared" ca="1" si="231"/>
        <v>0.1</v>
      </c>
      <c r="AC164" s="203"/>
      <c r="AD164" s="81">
        <v>2050</v>
      </c>
      <c r="AE164" s="81"/>
      <c r="AF164" s="700"/>
    </row>
    <row r="165" spans="1:32">
      <c r="B165" s="718" t="s">
        <v>1010</v>
      </c>
      <c r="C165" s="64"/>
      <c r="D165" s="212" t="str">
        <f>"IND"&amp;RIGHT(H165,4)&amp;"GAS"&amp;"N"&amp;RIGHT(E165,1)</f>
        <v>INDGDPHGASN5</v>
      </c>
      <c r="E165" s="261" t="str">
        <f>"Industrial heating technology "&amp;$AJ$12&amp;" "&amp;RIGHT(H165,2)&amp;" - Gas boiler (Direct firing) - new 5"</f>
        <v>Industrial heating technology Glass &amp; Concrete PH - Gas boiler (Direct firing) - new 5</v>
      </c>
      <c r="F165" s="224" t="s">
        <v>1149</v>
      </c>
      <c r="G165" s="173" t="s">
        <v>2080</v>
      </c>
      <c r="H165" s="174" t="str">
        <f>$AI$14</f>
        <v>IGDPH</v>
      </c>
      <c r="I165" s="721" t="str">
        <f t="shared" si="162"/>
        <v>INDGWH</v>
      </c>
      <c r="J165" s="224">
        <f t="shared" si="146"/>
        <v>2011</v>
      </c>
      <c r="K165" s="299">
        <f>J165</f>
        <v>2011</v>
      </c>
      <c r="L165" s="199">
        <f t="shared" ca="1" si="223"/>
        <v>1</v>
      </c>
      <c r="M165" s="199"/>
      <c r="N165" s="81">
        <f ca="1">VLOOKUP($AD165,INDIRECT("'"&amp;$B165&amp;"'!"&amp;"$P$279:$AD$282"),5,FALSE)</f>
        <v>25</v>
      </c>
      <c r="O165" s="723">
        <f t="shared" ca="1" si="224"/>
        <v>0.11175</v>
      </c>
      <c r="P165" s="723">
        <f t="shared" ca="1" si="225"/>
        <v>1.3545454545454561E-3</v>
      </c>
      <c r="Q165" s="81">
        <f t="shared" ca="1" si="226"/>
        <v>0.58461805555555546</v>
      </c>
      <c r="R165" s="81">
        <v>3.1536000000000002E-2</v>
      </c>
      <c r="S165" s="199">
        <v>0.5</v>
      </c>
      <c r="T165" s="199">
        <f ca="1">HLOOKUP($S$2,INDIRECT("'"&amp;$B165&amp;"'!"&amp;"$P$312:$AC$325"),IF(H165=$AI$13,6,IF(H165=$AI$14,9,14)),FALSE)</f>
        <v>1</v>
      </c>
      <c r="U165" s="773"/>
      <c r="V165" s="199">
        <f t="shared" ref="V165" ca="1" si="234">IF(IF(RIGHT(H165,2)="PH",(1-L165)+$W$2,IF(RIGHT(H165,2)="HT",(1-L165)+$W$1,IF(RIGHT(H165,2)="SH",(1-L165)+$W$3,"")))&gt;0,IF(RIGHT(H165,2)="PH",(1-L165)+$W$2,IF(RIGHT(H165,2)="HT",(1-L165)+$W$1,IF(RIGHT(H165,2)="SH",(1-L165)+$W$3,""))),0)</f>
        <v>0.2</v>
      </c>
      <c r="W165" s="709"/>
      <c r="X165" s="698">
        <f t="shared" ca="1" si="220"/>
        <v>0.3</v>
      </c>
      <c r="Y165" s="698">
        <f t="shared" ca="1" si="228"/>
        <v>9</v>
      </c>
      <c r="Z165" s="698">
        <f t="shared" ca="1" si="229"/>
        <v>3</v>
      </c>
      <c r="AA165" s="698">
        <f t="shared" ca="1" si="230"/>
        <v>1</v>
      </c>
      <c r="AB165" s="698">
        <f t="shared" ca="1" si="231"/>
        <v>0.1</v>
      </c>
      <c r="AD165" s="277">
        <v>2020</v>
      </c>
      <c r="AE165" s="273"/>
      <c r="AF165" s="830"/>
    </row>
    <row r="166" spans="1:32">
      <c r="B166" s="718" t="s">
        <v>1010</v>
      </c>
      <c r="C166" s="64"/>
      <c r="E166" s="261"/>
      <c r="F166" s="224" t="s">
        <v>1149</v>
      </c>
      <c r="G166" s="55"/>
      <c r="H166" s="174"/>
      <c r="I166" s="174" t="str">
        <f t="shared" si="162"/>
        <v>INDGWH</v>
      </c>
      <c r="J166" s="224">
        <f t="shared" si="146"/>
        <v>2030</v>
      </c>
      <c r="K166" s="81"/>
      <c r="L166" s="199">
        <f t="shared" ca="1" si="223"/>
        <v>1</v>
      </c>
      <c r="M166" s="199"/>
      <c r="N166" s="81"/>
      <c r="O166" s="723">
        <f t="shared" ca="1" si="224"/>
        <v>0.11175</v>
      </c>
      <c r="P166" s="723">
        <f t="shared" ca="1" si="225"/>
        <v>1.3206818181818161E-3</v>
      </c>
      <c r="Q166" s="81">
        <f t="shared" ca="1" si="226"/>
        <v>0.5742708333333334</v>
      </c>
      <c r="R166" s="300"/>
      <c r="S166" s="300"/>
      <c r="T166" s="300"/>
      <c r="U166" s="300"/>
      <c r="V166" s="199">
        <f t="shared" ref="V166" ca="1" si="235">IF(IF(RIGHT(H165,2)="PH",(1-L166)+$W$2,IF(RIGHT(H165,2)="HT",(1-L166)+$W$1,IF(RIGHT(H165,2)="SH",(1-L166)+$W$3,"")))&gt;0,IF(RIGHT(H165,2)="PH",(1-L166)+$W$2,IF(RIGHT(H165,2)="HT",(1-L166)+$W$1,IF(RIGHT(H165,2)="SH",(1-L166)+$W$3,""))),0)</f>
        <v>0.2</v>
      </c>
      <c r="W166" s="298"/>
      <c r="X166" s="698">
        <f t="shared" ca="1" si="220"/>
        <v>0.3</v>
      </c>
      <c r="Y166" s="698">
        <f t="shared" ca="1" si="228"/>
        <v>7</v>
      </c>
      <c r="Z166" s="698">
        <f t="shared" ca="1" si="229"/>
        <v>2</v>
      </c>
      <c r="AA166" s="698">
        <f t="shared" ca="1" si="230"/>
        <v>1</v>
      </c>
      <c r="AB166" s="698">
        <f t="shared" ca="1" si="231"/>
        <v>0.1</v>
      </c>
      <c r="AD166" s="81">
        <v>2030</v>
      </c>
      <c r="AE166" s="273"/>
      <c r="AF166" s="828"/>
    </row>
    <row r="167" spans="1:32">
      <c r="A167" s="169"/>
      <c r="B167" s="719" t="s">
        <v>1010</v>
      </c>
      <c r="C167" s="713"/>
      <c r="D167" s="701"/>
      <c r="E167" s="701"/>
      <c r="F167" s="224" t="s">
        <v>1149</v>
      </c>
      <c r="G167" s="203"/>
      <c r="H167" s="702"/>
      <c r="I167" s="702" t="str">
        <f t="shared" si="162"/>
        <v>INDGWH</v>
      </c>
      <c r="J167" s="224">
        <f t="shared" si="146"/>
        <v>2050</v>
      </c>
      <c r="K167" s="81"/>
      <c r="L167" s="199">
        <f t="shared" ca="1" si="223"/>
        <v>1</v>
      </c>
      <c r="M167" s="199"/>
      <c r="N167" s="81"/>
      <c r="O167" s="723">
        <f t="shared" ca="1" si="224"/>
        <v>0.11175</v>
      </c>
      <c r="P167" s="723">
        <f t="shared" ca="1" si="225"/>
        <v>1.1513636363636396E-3</v>
      </c>
      <c r="Q167" s="81">
        <f t="shared" ca="1" si="226"/>
        <v>0.57944444444444443</v>
      </c>
      <c r="R167" s="722"/>
      <c r="S167" s="703"/>
      <c r="T167" s="703"/>
      <c r="U167" s="703"/>
      <c r="V167" s="199">
        <f t="shared" ref="V167" ca="1" si="236">IF(IF(RIGHT(H165,2)="PH",(1-L167)+$W$2,IF(RIGHT(H165,2)="HT",(1-L167)+$W$1,IF(RIGHT(H165,2)="SH",(1-L167)+$W$3,"")))&gt;0,IF(RIGHT(H165,2)="PH",(1-L167)+$W$2,IF(RIGHT(H165,2)="HT",(1-L167)+$W$1,IF(RIGHT(H165,2)="SH",(1-L167)+$W$3,""))),0)</f>
        <v>0.2</v>
      </c>
      <c r="W167" s="714"/>
      <c r="X167" s="698">
        <f t="shared" ca="1" si="220"/>
        <v>0.3</v>
      </c>
      <c r="Y167" s="698">
        <f t="shared" ca="1" si="228"/>
        <v>6</v>
      </c>
      <c r="Z167" s="698">
        <f t="shared" ca="1" si="229"/>
        <v>2</v>
      </c>
      <c r="AA167" s="698">
        <f t="shared" ca="1" si="230"/>
        <v>1</v>
      </c>
      <c r="AB167" s="698">
        <f t="shared" ca="1" si="231"/>
        <v>0.1</v>
      </c>
      <c r="AD167" s="81">
        <v>2050</v>
      </c>
      <c r="AE167" s="273"/>
      <c r="AF167" s="828"/>
    </row>
    <row r="168" spans="1:32">
      <c r="A168" s="169"/>
      <c r="B168" s="718" t="s">
        <v>1099</v>
      </c>
      <c r="C168" s="226"/>
      <c r="D168" s="707" t="str">
        <f>"IND"&amp;RIGHT(H168,4)&amp;RIGHT(G168,3)&amp;"N"&amp;RIGHT(E168,1)</f>
        <v>INDGDPHCOAN1</v>
      </c>
      <c r="E168" s="261" t="str">
        <f>"Industrial heating technology "&amp;$AJ$12&amp;" "&amp;RIGHT(H168,2)&amp;" - Coal boiler (Steam) - new 1"</f>
        <v>Industrial heating technology Glass &amp; Concrete PH - Coal boiler (Steam) - new 1</v>
      </c>
      <c r="F168" s="224" t="s">
        <v>1149</v>
      </c>
      <c r="G168" s="55" t="s">
        <v>617</v>
      </c>
      <c r="H168" s="174" t="str">
        <f>$AI$13</f>
        <v>IGDPH</v>
      </c>
      <c r="I168" s="174" t="str">
        <f t="shared" si="162"/>
        <v>INDGWH</v>
      </c>
      <c r="J168" s="224">
        <f t="shared" si="146"/>
        <v>2011</v>
      </c>
      <c r="K168" s="299">
        <v>2025</v>
      </c>
      <c r="L168" s="199">
        <f t="shared" ref="L168:L176" ca="1" si="237">VLOOKUP($AD168,INDIRECT("'"&amp;$B168&amp;"'!"&amp;"$P$39:$AD$42"),3,FALSE)</f>
        <v>0.89</v>
      </c>
      <c r="M168" s="699"/>
      <c r="N168" s="299">
        <f ca="1">VLOOKUP($AD168,INDIRECT("'"&amp;$B168&amp;"'!"&amp;"$P$39:$AD$42"),5,FALSE)</f>
        <v>25</v>
      </c>
      <c r="O168" s="725">
        <f t="shared" ref="O168:O176" ca="1" si="238">VLOOKUP($AD168,INDIRECT("'"&amp;$B168&amp;"'!"&amp;"$P$39:$AD$42"),6,FALSE)/1000</f>
        <v>3.7250000000000001</v>
      </c>
      <c r="P168" s="725">
        <f t="shared" ref="P168:P176" ca="1" si="239">VLOOKUP($AD168,INDIRECT("'"&amp;$B168&amp;"'!"&amp;"$P$39:$AD$42"),7,FALSE)/1000</f>
        <v>0.25106499999999998</v>
      </c>
      <c r="Q168" s="299">
        <f t="shared" ref="Q168:Q176" ca="1" si="240">VLOOKUP($AD168,INDIRECT("'"&amp;$B168&amp;"'!"&amp;"$P$39:$AD$42"),8,FALSE)</f>
        <v>3.9381527777777778</v>
      </c>
      <c r="R168" s="299">
        <v>3.1536000000000002E-2</v>
      </c>
      <c r="S168" s="699">
        <v>0.5</v>
      </c>
      <c r="T168" s="699">
        <f ca="1">HLOOKUP($T$2,INDIRECT("'"&amp;$B168&amp;"'!"&amp;"$P$6:$AC$19"),IF(H168=$AI$13,6,IF(H168=$AI$14,9,14)),FALSE)</f>
        <v>1</v>
      </c>
      <c r="U168" s="772"/>
      <c r="V168" s="199">
        <f t="shared" ref="V168" ca="1" si="241">IF(IF(RIGHT(H168,2)="PH",(1-L168)+$W$2,IF(RIGHT(H168,2)="HT",(1-L168)+$W$1,IF(RIGHT(H168,2)="SH",(1-L168)+$W$3,"")))&gt;0,IF(RIGHT(H168,2)="PH",(1-L168)+$W$2,IF(RIGHT(H168,2)="HT",(1-L168)+$W$1,IF(RIGHT(H168,2)="SH",(1-L168)+$W$3,""))),0)</f>
        <v>0.31</v>
      </c>
      <c r="W168" s="298"/>
      <c r="X168" s="698">
        <f t="shared" ca="1" si="220"/>
        <v>8</v>
      </c>
      <c r="Y168" s="299">
        <f t="shared" ref="Y168:Y176" ca="1" si="242">VLOOKUP($AD168,INDIRECT("'"&amp;$B168&amp;"'!"&amp;"$P$39:$AD$42"),12,FALSE)</f>
        <v>35</v>
      </c>
      <c r="Z168" s="299">
        <f t="shared" ref="Z168:Z176" ca="1" si="243">VLOOKUP($AD168,INDIRECT("'"&amp;$B168&amp;"'!"&amp;"$P$39:$AD$42"),13,FALSE)</f>
        <v>1.5</v>
      </c>
      <c r="AA168" s="299">
        <f t="shared" ref="AA168:AA176" ca="1" si="244">VLOOKUP($AD168,INDIRECT("'"&amp;$B168&amp;"'!"&amp;"$P$39:$AD$42"),14,FALSE)</f>
        <v>0.8</v>
      </c>
      <c r="AB168" s="299">
        <f t="shared" ref="AB168:AB176" ca="1" si="245">VLOOKUP($AD168,INDIRECT("'"&amp;$B168&amp;"'!"&amp;"$P$39:$AD$42"),15,FALSE)</f>
        <v>2.1</v>
      </c>
      <c r="AD168" s="81">
        <v>2020</v>
      </c>
      <c r="AE168" s="273"/>
      <c r="AF168" s="828"/>
    </row>
    <row r="169" spans="1:32">
      <c r="A169" s="169"/>
      <c r="B169" s="718" t="s">
        <v>1099</v>
      </c>
      <c r="C169" s="226"/>
      <c r="D169" s="261"/>
      <c r="E169" s="261"/>
      <c r="F169" s="224" t="s">
        <v>1149</v>
      </c>
      <c r="G169" s="55"/>
      <c r="H169" s="174"/>
      <c r="I169" s="174" t="str">
        <f t="shared" si="162"/>
        <v>INDGWH</v>
      </c>
      <c r="J169" s="224">
        <f t="shared" si="146"/>
        <v>2030</v>
      </c>
      <c r="K169" s="81"/>
      <c r="L169" s="199">
        <f t="shared" ca="1" si="237"/>
        <v>0.89</v>
      </c>
      <c r="M169" s="772"/>
      <c r="N169" s="200"/>
      <c r="O169" s="725">
        <f t="shared" ca="1" si="238"/>
        <v>3.4699403462447704</v>
      </c>
      <c r="P169" s="725">
        <f t="shared" ca="1" si="239"/>
        <v>0.24287</v>
      </c>
      <c r="Q169" s="299">
        <f t="shared" ca="1" si="240"/>
        <v>3.9836805555555559</v>
      </c>
      <c r="R169" s="823"/>
      <c r="S169" s="300"/>
      <c r="T169" s="300"/>
      <c r="U169" s="300"/>
      <c r="V169" s="199">
        <f t="shared" ref="V169" ca="1" si="246">IF(IF(RIGHT(H168,2)="PH",(1-L169)+$W$2,IF(RIGHT(H168,2)="HT",(1-L169)+$W$1,IF(RIGHT(H168,2)="SH",(1-L169)+$W$3,"")))&gt;0,IF(RIGHT(H168,2)="PH",(1-L169)+$W$2,IF(RIGHT(H168,2)="HT",(1-L169)+$W$1,IF(RIGHT(H168,2)="SH",(1-L169)+$W$3,""))),0)</f>
        <v>0.31</v>
      </c>
      <c r="W169" s="298"/>
      <c r="X169" s="698">
        <f t="shared" ca="1" si="220"/>
        <v>8</v>
      </c>
      <c r="Y169" s="299">
        <f t="shared" ca="1" si="242"/>
        <v>35</v>
      </c>
      <c r="Z169" s="299">
        <f t="shared" ca="1" si="243"/>
        <v>1.5</v>
      </c>
      <c r="AA169" s="299">
        <f t="shared" ca="1" si="244"/>
        <v>0.8</v>
      </c>
      <c r="AB169" s="299">
        <f t="shared" ca="1" si="245"/>
        <v>2.1</v>
      </c>
      <c r="AD169" s="81">
        <v>2030</v>
      </c>
      <c r="AE169" s="273"/>
      <c r="AF169" s="828"/>
    </row>
    <row r="170" spans="1:32">
      <c r="A170" s="169"/>
      <c r="B170" s="718" t="s">
        <v>1099</v>
      </c>
      <c r="C170" s="226"/>
      <c r="D170" s="261"/>
      <c r="E170" s="261"/>
      <c r="F170" s="224" t="s">
        <v>1149</v>
      </c>
      <c r="G170" s="55"/>
      <c r="H170" s="174"/>
      <c r="I170" s="174" t="str">
        <f t="shared" si="162"/>
        <v>INDGWH</v>
      </c>
      <c r="J170" s="224">
        <f t="shared" si="146"/>
        <v>2050</v>
      </c>
      <c r="K170" s="81"/>
      <c r="L170" s="199">
        <f t="shared" ca="1" si="237"/>
        <v>0.91</v>
      </c>
      <c r="M170" s="772"/>
      <c r="N170" s="200"/>
      <c r="O170" s="725">
        <f t="shared" ca="1" si="238"/>
        <v>3.2813985758696647</v>
      </c>
      <c r="P170" s="725">
        <f t="shared" ca="1" si="239"/>
        <v>0.22797000000000001</v>
      </c>
      <c r="Q170" s="299">
        <f t="shared" ca="1" si="240"/>
        <v>4.0064444444444449</v>
      </c>
      <c r="R170" s="823"/>
      <c r="S170" s="300"/>
      <c r="T170" s="300"/>
      <c r="U170" s="300"/>
      <c r="V170" s="199">
        <f t="shared" ref="V170" ca="1" si="247">IF(IF(RIGHT(H168,2)="PH",(1-L170)+$W$2,IF(RIGHT(H168,2)="HT",(1-L170)+$W$1,IF(RIGHT(H168,2)="SH",(1-L170)+$W$3,"")))&gt;0,IF(RIGHT(H168,2)="PH",(1-L170)+$W$2,IF(RIGHT(H168,2)="HT",(1-L170)+$W$1,IF(RIGHT(H168,2)="SH",(1-L170)+$W$3,""))),0)</f>
        <v>0.28999999999999998</v>
      </c>
      <c r="W170" s="298"/>
      <c r="X170" s="698">
        <f t="shared" ca="1" si="220"/>
        <v>8</v>
      </c>
      <c r="Y170" s="299">
        <f t="shared" ca="1" si="242"/>
        <v>35</v>
      </c>
      <c r="Z170" s="299">
        <f t="shared" ca="1" si="243"/>
        <v>1.5</v>
      </c>
      <c r="AA170" s="299">
        <f t="shared" ca="1" si="244"/>
        <v>0.8</v>
      </c>
      <c r="AB170" s="299">
        <f t="shared" ca="1" si="245"/>
        <v>2.1</v>
      </c>
      <c r="AD170" s="81">
        <v>2050</v>
      </c>
      <c r="AE170" s="273"/>
      <c r="AF170" s="828"/>
    </row>
    <row r="171" spans="1:32">
      <c r="A171" s="169"/>
      <c r="B171" s="718" t="s">
        <v>1099</v>
      </c>
      <c r="C171" s="226"/>
      <c r="D171" s="261" t="str">
        <f>"IND"&amp;RIGHT(H171,4)&amp;RIGHT(G171,3)&amp;"N"&amp;RIGHT(E171,1)</f>
        <v>INDGDPHCOAN1</v>
      </c>
      <c r="E171" s="261" t="str">
        <f>"Industrial heating technology "&amp;$AJ$12&amp;" "&amp;RIGHT(H171,2)&amp;" - Coal boiler (Steam) - new 1"</f>
        <v>Industrial heating technology Glass &amp; Concrete PH - Coal boiler (Steam) - new 1</v>
      </c>
      <c r="F171" s="224" t="s">
        <v>1149</v>
      </c>
      <c r="G171" s="55" t="s">
        <v>617</v>
      </c>
      <c r="H171" s="174" t="str">
        <f>$AI$14</f>
        <v>IGDPH</v>
      </c>
      <c r="I171" s="174" t="str">
        <f t="shared" si="162"/>
        <v>INDGWH</v>
      </c>
      <c r="J171" s="224">
        <f t="shared" si="146"/>
        <v>2011</v>
      </c>
      <c r="K171" s="299">
        <v>2025</v>
      </c>
      <c r="L171" s="199">
        <f t="shared" ca="1" si="237"/>
        <v>0.89</v>
      </c>
      <c r="M171" s="199"/>
      <c r="N171" s="81">
        <f ca="1">VLOOKUP($AD171,INDIRECT("'"&amp;$B171&amp;"'!"&amp;"$P$39:$AD$42"),5,FALSE)</f>
        <v>25</v>
      </c>
      <c r="O171" s="725">
        <f t="shared" ca="1" si="238"/>
        <v>3.7250000000000001</v>
      </c>
      <c r="P171" s="725">
        <f t="shared" ca="1" si="239"/>
        <v>0.25106499999999998</v>
      </c>
      <c r="Q171" s="299">
        <f t="shared" ca="1" si="240"/>
        <v>3.9381527777777778</v>
      </c>
      <c r="R171" s="81">
        <v>3.1536000000000002E-2</v>
      </c>
      <c r="S171" s="199">
        <v>0.5</v>
      </c>
      <c r="T171" s="199">
        <f ca="1">HLOOKUP($T$2,INDIRECT("'"&amp;$B171&amp;"'!"&amp;"$P$6:$AC$19"),IF(H171=$AI$13,6,IF(H171=$AI$14,9,14)),FALSE)</f>
        <v>1</v>
      </c>
      <c r="U171" s="772"/>
      <c r="V171" s="199">
        <f t="shared" ref="V171" ca="1" si="248">IF(IF(RIGHT(H171,2)="PH",(1-L171)+$W$2,IF(RIGHT(H171,2)="HT",(1-L171)+$W$1,IF(RIGHT(H171,2)="SH",(1-L171)+$W$3,"")))&gt;0,IF(RIGHT(H171,2)="PH",(1-L171)+$W$2,IF(RIGHT(H171,2)="HT",(1-L171)+$W$1,IF(RIGHT(H171,2)="SH",(1-L171)+$W$3,""))),0)</f>
        <v>0.31</v>
      </c>
      <c r="W171" s="298"/>
      <c r="X171" s="698">
        <f t="shared" ca="1" si="220"/>
        <v>8</v>
      </c>
      <c r="Y171" s="299">
        <f t="shared" ca="1" si="242"/>
        <v>35</v>
      </c>
      <c r="Z171" s="299">
        <f t="shared" ca="1" si="243"/>
        <v>1.5</v>
      </c>
      <c r="AA171" s="299">
        <f t="shared" ca="1" si="244"/>
        <v>0.8</v>
      </c>
      <c r="AB171" s="299">
        <f t="shared" ca="1" si="245"/>
        <v>2.1</v>
      </c>
      <c r="AD171" s="81">
        <v>2020</v>
      </c>
      <c r="AE171" s="273"/>
      <c r="AF171" s="828"/>
    </row>
    <row r="172" spans="1:32">
      <c r="A172" s="169"/>
      <c r="B172" s="718" t="s">
        <v>1099</v>
      </c>
      <c r="C172" s="226"/>
      <c r="D172" s="261"/>
      <c r="E172" s="261"/>
      <c r="F172" s="224" t="s">
        <v>1149</v>
      </c>
      <c r="G172" s="55"/>
      <c r="H172" s="174"/>
      <c r="I172" s="174" t="str">
        <f t="shared" si="162"/>
        <v>INDGWH</v>
      </c>
      <c r="J172" s="224">
        <f t="shared" si="146"/>
        <v>2030</v>
      </c>
      <c r="K172" s="81"/>
      <c r="L172" s="199">
        <f t="shared" ca="1" si="237"/>
        <v>0.89</v>
      </c>
      <c r="M172" s="772"/>
      <c r="N172" s="200"/>
      <c r="O172" s="725">
        <f t="shared" ca="1" si="238"/>
        <v>3.4699403462447704</v>
      </c>
      <c r="P172" s="725">
        <f t="shared" ca="1" si="239"/>
        <v>0.24287</v>
      </c>
      <c r="Q172" s="299">
        <f t="shared" ca="1" si="240"/>
        <v>3.9836805555555559</v>
      </c>
      <c r="R172" s="823"/>
      <c r="S172" s="300"/>
      <c r="T172" s="300"/>
      <c r="U172" s="300"/>
      <c r="V172" s="199">
        <f t="shared" ref="V172" ca="1" si="249">IF(IF(RIGHT(H171,2)="PH",(1-L172)+$W$2,IF(RIGHT(H171,2)="HT",(1-L172)+$W$1,IF(RIGHT(H171,2)="SH",(1-L172)+$W$3,"")))&gt;0,IF(RIGHT(H171,2)="PH",(1-L172)+$W$2,IF(RIGHT(H171,2)="HT",(1-L172)+$W$1,IF(RIGHT(H171,2)="SH",(1-L172)+$W$3,""))),0)</f>
        <v>0.31</v>
      </c>
      <c r="W172" s="298"/>
      <c r="X172" s="698">
        <f t="shared" ca="1" si="220"/>
        <v>8</v>
      </c>
      <c r="Y172" s="299">
        <f t="shared" ca="1" si="242"/>
        <v>35</v>
      </c>
      <c r="Z172" s="299">
        <f t="shared" ca="1" si="243"/>
        <v>1.5</v>
      </c>
      <c r="AA172" s="299">
        <f t="shared" ca="1" si="244"/>
        <v>0.8</v>
      </c>
      <c r="AB172" s="299">
        <f t="shared" ca="1" si="245"/>
        <v>2.1</v>
      </c>
      <c r="AD172" s="81">
        <v>2030</v>
      </c>
      <c r="AE172" s="273"/>
      <c r="AF172" s="828"/>
    </row>
    <row r="173" spans="1:32">
      <c r="A173" s="169"/>
      <c r="B173" s="718" t="s">
        <v>1099</v>
      </c>
      <c r="C173" s="226"/>
      <c r="D173" s="261"/>
      <c r="E173" s="261"/>
      <c r="F173" s="224" t="s">
        <v>1149</v>
      </c>
      <c r="G173" s="55"/>
      <c r="H173" s="174"/>
      <c r="I173" s="174" t="str">
        <f t="shared" si="162"/>
        <v>INDGWH</v>
      </c>
      <c r="J173" s="224">
        <f t="shared" si="146"/>
        <v>2050</v>
      </c>
      <c r="K173" s="81"/>
      <c r="L173" s="199">
        <f t="shared" ca="1" si="237"/>
        <v>0.91</v>
      </c>
      <c r="M173" s="772"/>
      <c r="N173" s="200"/>
      <c r="O173" s="725">
        <f t="shared" ca="1" si="238"/>
        <v>3.2813985758696647</v>
      </c>
      <c r="P173" s="725">
        <f t="shared" ca="1" si="239"/>
        <v>0.22797000000000001</v>
      </c>
      <c r="Q173" s="299">
        <f t="shared" ca="1" si="240"/>
        <v>4.0064444444444449</v>
      </c>
      <c r="R173" s="823"/>
      <c r="S173" s="300"/>
      <c r="T173" s="300"/>
      <c r="U173" s="300"/>
      <c r="V173" s="199">
        <f t="shared" ref="V173" ca="1" si="250">IF(IF(RIGHT(H171,2)="PH",(1-L173)+$W$2,IF(RIGHT(H171,2)="HT",(1-L173)+$W$1,IF(RIGHT(H171,2)="SH",(1-L173)+$W$3,"")))&gt;0,IF(RIGHT(H171,2)="PH",(1-L173)+$W$2,IF(RIGHT(H171,2)="HT",(1-L173)+$W$1,IF(RIGHT(H171,2)="SH",(1-L173)+$W$3,""))),0)</f>
        <v>0.28999999999999998</v>
      </c>
      <c r="W173" s="298"/>
      <c r="X173" s="698">
        <f t="shared" ca="1" si="220"/>
        <v>8</v>
      </c>
      <c r="Y173" s="299">
        <f t="shared" ca="1" si="242"/>
        <v>35</v>
      </c>
      <c r="Z173" s="299">
        <f t="shared" ca="1" si="243"/>
        <v>1.5</v>
      </c>
      <c r="AA173" s="299">
        <f t="shared" ca="1" si="244"/>
        <v>0.8</v>
      </c>
      <c r="AB173" s="299">
        <f t="shared" ca="1" si="245"/>
        <v>2.1</v>
      </c>
      <c r="AD173" s="81">
        <v>2050</v>
      </c>
      <c r="AE173" s="273"/>
      <c r="AF173" s="828"/>
    </row>
    <row r="174" spans="1:32">
      <c r="A174" s="169"/>
      <c r="B174" s="718" t="s">
        <v>1099</v>
      </c>
      <c r="C174" s="226"/>
      <c r="D174" s="261" t="str">
        <f>"IND"&amp;RIGHT(H174,4)&amp;RIGHT(G174,3)&amp;"N"&amp;RIGHT(E174,1)</f>
        <v>INDGDSHCOAN1</v>
      </c>
      <c r="E174" s="261" t="str">
        <f>"Industrial heating technology "&amp;$AJ$12&amp;" "&amp;RIGHT(H174,2)&amp;" - Coal boiler (Steam) - new 1"</f>
        <v>Industrial heating technology Glass &amp; Concrete SH - Coal boiler (Steam) - new 1</v>
      </c>
      <c r="F174" s="224" t="s">
        <v>1149</v>
      </c>
      <c r="G174" s="55" t="s">
        <v>617</v>
      </c>
      <c r="H174" s="174" t="str">
        <f>$AI$15</f>
        <v>IGDSH</v>
      </c>
      <c r="I174" s="174" t="str">
        <f t="shared" si="162"/>
        <v>INDGWH</v>
      </c>
      <c r="J174" s="224">
        <f t="shared" si="146"/>
        <v>2011</v>
      </c>
      <c r="K174" s="299">
        <v>2025</v>
      </c>
      <c r="L174" s="199">
        <f t="shared" ca="1" si="237"/>
        <v>0.89</v>
      </c>
      <c r="M174" s="199"/>
      <c r="N174" s="81">
        <f ca="1">VLOOKUP($AD174,INDIRECT("'"&amp;$B174&amp;"'!"&amp;"$P$39:$AD$42"),5,FALSE)</f>
        <v>25</v>
      </c>
      <c r="O174" s="725">
        <f t="shared" ca="1" si="238"/>
        <v>3.7250000000000001</v>
      </c>
      <c r="P174" s="725">
        <f t="shared" ca="1" si="239"/>
        <v>0.25106499999999998</v>
      </c>
      <c r="Q174" s="299">
        <f t="shared" ca="1" si="240"/>
        <v>3.9381527777777778</v>
      </c>
      <c r="R174" s="81">
        <v>3.1536000000000002E-2</v>
      </c>
      <c r="S174" s="199">
        <v>0.5</v>
      </c>
      <c r="T174" s="199">
        <f ca="1">HLOOKUP($T$2,INDIRECT("'"&amp;$B174&amp;"'!"&amp;"$P$6:$AC$19"),IF(H174=$AI$13,6,IF(H174=$AI$14,9,14)),FALSE)</f>
        <v>1</v>
      </c>
      <c r="U174" s="772"/>
      <c r="V174" s="199">
        <f t="shared" ref="V174" ca="1" si="251">IF(IF(RIGHT(H174,2)="PH",(1-L174)+$W$2,IF(RIGHT(H174,2)="HT",(1-L174)+$W$1,IF(RIGHT(H174,2)="SH",(1-L174)+$W$3,"")))&gt;0,IF(RIGHT(H174,2)="PH",(1-L174)+$W$2,IF(RIGHT(H174,2)="HT",(1-L174)+$W$1,IF(RIGHT(H174,2)="SH",(1-L174)+$W$3,""))),0)</f>
        <v>0.10999999999999999</v>
      </c>
      <c r="W174" s="298"/>
      <c r="X174" s="698">
        <f t="shared" ca="1" si="220"/>
        <v>8</v>
      </c>
      <c r="Y174" s="299">
        <f t="shared" ca="1" si="242"/>
        <v>35</v>
      </c>
      <c r="Z174" s="299">
        <f t="shared" ca="1" si="243"/>
        <v>1.5</v>
      </c>
      <c r="AA174" s="299">
        <f t="shared" ca="1" si="244"/>
        <v>0.8</v>
      </c>
      <c r="AB174" s="299">
        <f t="shared" ca="1" si="245"/>
        <v>2.1</v>
      </c>
      <c r="AD174" s="81">
        <v>2020</v>
      </c>
      <c r="AE174" s="273"/>
      <c r="AF174" s="828"/>
    </row>
    <row r="175" spans="1:32">
      <c r="A175" s="169"/>
      <c r="B175" s="718" t="s">
        <v>1099</v>
      </c>
      <c r="C175" s="226"/>
      <c r="D175" s="261"/>
      <c r="E175" s="261"/>
      <c r="F175" s="224" t="s">
        <v>1149</v>
      </c>
      <c r="G175" s="55"/>
      <c r="H175" s="174"/>
      <c r="I175" s="174" t="str">
        <f t="shared" si="162"/>
        <v>INDGWH</v>
      </c>
      <c r="J175" s="224">
        <f t="shared" si="146"/>
        <v>2030</v>
      </c>
      <c r="K175" s="81"/>
      <c r="L175" s="199">
        <f t="shared" ca="1" si="237"/>
        <v>0.89</v>
      </c>
      <c r="M175" s="772"/>
      <c r="N175" s="200"/>
      <c r="O175" s="725">
        <f t="shared" ca="1" si="238"/>
        <v>3.4699403462447704</v>
      </c>
      <c r="P175" s="725">
        <f t="shared" ca="1" si="239"/>
        <v>0.24287</v>
      </c>
      <c r="Q175" s="299">
        <f t="shared" ca="1" si="240"/>
        <v>3.9836805555555559</v>
      </c>
      <c r="R175" s="823"/>
      <c r="S175" s="300"/>
      <c r="T175" s="300"/>
      <c r="U175" s="300"/>
      <c r="V175" s="199">
        <f t="shared" ref="V175" ca="1" si="252">IF(IF(RIGHT(H174,2)="PH",(1-L175)+$W$2,IF(RIGHT(H174,2)="HT",(1-L175)+$W$1,IF(RIGHT(H174,2)="SH",(1-L175)+$W$3,"")))&gt;0,IF(RIGHT(H174,2)="PH",(1-L175)+$W$2,IF(RIGHT(H174,2)="HT",(1-L175)+$W$1,IF(RIGHT(H174,2)="SH",(1-L175)+$W$3,""))),0)</f>
        <v>0.10999999999999999</v>
      </c>
      <c r="W175" s="298"/>
      <c r="X175" s="698">
        <f t="shared" ca="1" si="220"/>
        <v>8</v>
      </c>
      <c r="Y175" s="299">
        <f t="shared" ca="1" si="242"/>
        <v>35</v>
      </c>
      <c r="Z175" s="299">
        <f t="shared" ca="1" si="243"/>
        <v>1.5</v>
      </c>
      <c r="AA175" s="299">
        <f t="shared" ca="1" si="244"/>
        <v>0.8</v>
      </c>
      <c r="AB175" s="299">
        <f t="shared" ca="1" si="245"/>
        <v>2.1</v>
      </c>
      <c r="AD175" s="81">
        <v>2030</v>
      </c>
      <c r="AE175" s="273"/>
      <c r="AF175" s="828"/>
    </row>
    <row r="176" spans="1:32">
      <c r="A176" s="169"/>
      <c r="B176" s="719" t="s">
        <v>1099</v>
      </c>
      <c r="C176" s="713"/>
      <c r="D176" s="701"/>
      <c r="E176" s="701"/>
      <c r="F176" s="224" t="s">
        <v>1149</v>
      </c>
      <c r="G176" s="203"/>
      <c r="H176" s="702"/>
      <c r="I176" s="702" t="str">
        <f t="shared" si="162"/>
        <v>INDGWH</v>
      </c>
      <c r="J176" s="224">
        <f t="shared" si="146"/>
        <v>2050</v>
      </c>
      <c r="K176" s="81"/>
      <c r="L176" s="199">
        <f t="shared" ca="1" si="237"/>
        <v>0.91</v>
      </c>
      <c r="M176" s="826"/>
      <c r="N176" s="825"/>
      <c r="O176" s="725">
        <f t="shared" ca="1" si="238"/>
        <v>3.2813985758696647</v>
      </c>
      <c r="P176" s="725">
        <f t="shared" ca="1" si="239"/>
        <v>0.22797000000000001</v>
      </c>
      <c r="Q176" s="299">
        <f t="shared" ca="1" si="240"/>
        <v>4.0064444444444449</v>
      </c>
      <c r="R176" s="722"/>
      <c r="S176" s="703"/>
      <c r="T176" s="703"/>
      <c r="U176" s="703"/>
      <c r="V176" s="199">
        <f t="shared" ref="V176" ca="1" si="253">IF(IF(RIGHT(H174,2)="PH",(1-L176)+$W$2,IF(RIGHT(H174,2)="HT",(1-L176)+$W$1,IF(RIGHT(H174,2)="SH",(1-L176)+$W$3,"")))&gt;0,IF(RIGHT(H174,2)="PH",(1-L176)+$W$2,IF(RIGHT(H174,2)="HT",(1-L176)+$W$1,IF(RIGHT(H174,2)="SH",(1-L176)+$W$3,""))),0)</f>
        <v>8.9999999999999969E-2</v>
      </c>
      <c r="W176" s="704"/>
      <c r="X176" s="698">
        <f t="shared" ca="1" si="220"/>
        <v>8</v>
      </c>
      <c r="Y176" s="299">
        <f t="shared" ca="1" si="242"/>
        <v>35</v>
      </c>
      <c r="Z176" s="299">
        <f t="shared" ca="1" si="243"/>
        <v>1.5</v>
      </c>
      <c r="AA176" s="299">
        <f t="shared" ca="1" si="244"/>
        <v>0.8</v>
      </c>
      <c r="AB176" s="299">
        <f t="shared" ca="1" si="245"/>
        <v>2.1</v>
      </c>
      <c r="AC176" s="203"/>
      <c r="AD176" s="81">
        <v>2050</v>
      </c>
      <c r="AE176" s="273"/>
      <c r="AF176" s="829"/>
    </row>
    <row r="177" spans="1:32">
      <c r="A177" s="169"/>
      <c r="B177" s="718" t="s">
        <v>1099</v>
      </c>
      <c r="C177" s="226"/>
      <c r="D177" s="707" t="str">
        <f>"IND"&amp;RIGHT(H177,4)&amp;RIGHT(G177,3)&amp;"N"&amp;RIGHT(E177,1)</f>
        <v>INDGDPHCOAN2</v>
      </c>
      <c r="E177" s="261" t="str">
        <f>"Industrial heating technology "&amp;$AJ$12&amp;" "&amp;RIGHT(H177,2)&amp;" - Coal boiler (Hot Water) - new 2"</f>
        <v>Industrial heating technology Glass &amp; Concrete PH - Coal boiler (Hot Water) - new 2</v>
      </c>
      <c r="F177" s="224" t="s">
        <v>1149</v>
      </c>
      <c r="G177" s="55" t="s">
        <v>617</v>
      </c>
      <c r="H177" s="174" t="str">
        <f>$AI$14</f>
        <v>IGDPH</v>
      </c>
      <c r="I177" s="174" t="str">
        <f t="shared" si="162"/>
        <v>INDGWH</v>
      </c>
      <c r="J177" s="224">
        <f t="shared" si="146"/>
        <v>2011</v>
      </c>
      <c r="K177" s="299">
        <v>2025</v>
      </c>
      <c r="L177" s="199">
        <f t="shared" ref="L177:L182" ca="1" si="254">VLOOKUP($AD177,INDIRECT("'"&amp;$B177&amp;"'!"&amp;"$P$118:$AD$121"),3,FALSE)</f>
        <v>0.89</v>
      </c>
      <c r="M177" s="199"/>
      <c r="N177" s="81">
        <f ca="1">VLOOKUP($AD177,INDIRECT("'"&amp;$B177&amp;"'!"&amp;"$P$118:$AD$121"),5,FALSE)</f>
        <v>25</v>
      </c>
      <c r="O177" s="723">
        <f t="shared" ref="O177:O182" ca="1" si="255">VLOOKUP($AD177,INDIRECT("'"&amp;$B177&amp;"'!"&amp;"$P$118:$AD$121"),6,FALSE)/1000</f>
        <v>3.7250000000000001</v>
      </c>
      <c r="P177" s="723">
        <f t="shared" ref="P177:P182" ca="1" si="256">VLOOKUP($AD177,INDIRECT("'"&amp;$B177&amp;"'!"&amp;"$P$118:$AD$121"),7,FALSE)/1000</f>
        <v>0.25106499999999998</v>
      </c>
      <c r="Q177" s="81">
        <f t="shared" ref="Q177:Q182" ca="1" si="257">VLOOKUP($AD177,INDIRECT("'"&amp;$B177&amp;"'!"&amp;"$P$118:$AD$121"),8,FALSE)</f>
        <v>3.9381527777777778</v>
      </c>
      <c r="R177" s="81">
        <v>3.1536000000000002E-2</v>
      </c>
      <c r="S177" s="199">
        <v>0.5</v>
      </c>
      <c r="T177" s="199">
        <f ca="1">HLOOKUP($T$2,INDIRECT("'"&amp;$B177&amp;"'!"&amp;"$P$85:$AC$98"),IF(H177=$AI$13,6,IF(H177=$AI$14,9,14)),FALSE)</f>
        <v>0</v>
      </c>
      <c r="U177" s="773"/>
      <c r="V177" s="199">
        <f t="shared" ref="V177" ca="1" si="258">IF(IF(RIGHT(H177,2)="PH",(1-L177)+$W$2,IF(RIGHT(H177,2)="HT",(1-L177)+$W$1,IF(RIGHT(H177,2)="SH",(1-L177)+$W$3,"")))&gt;0,IF(RIGHT(H177,2)="PH",(1-L177)+$W$2,IF(RIGHT(H177,2)="HT",(1-L177)+$W$1,IF(RIGHT(H177,2)="SH",(1-L177)+$W$3,""))),0)</f>
        <v>0.31</v>
      </c>
      <c r="W177" s="709"/>
      <c r="X177" s="698">
        <f t="shared" ca="1" si="220"/>
        <v>8</v>
      </c>
      <c r="Y177" s="698">
        <f ca="1">VLOOKUP($AD177,INDIRECT("'"&amp;$B177&amp;"'!"&amp;"$P$118:$AD$121"),12,FALSE)</f>
        <v>35</v>
      </c>
      <c r="Z177" s="698">
        <f ca="1">VLOOKUP($AD177,INDIRECT("'"&amp;$B177&amp;"'!"&amp;"$P$118:$AD$121"),13,FALSE)</f>
        <v>1.5</v>
      </c>
      <c r="AA177" s="698">
        <f ca="1">VLOOKUP($AD177,INDIRECT("'"&amp;$B177&amp;"'!"&amp;"$P$118:$AD$121"),14,FALSE)</f>
        <v>0.8</v>
      </c>
      <c r="AB177" s="698">
        <f ca="1">VLOOKUP($AD177,INDIRECT("'"&amp;$B177&amp;"'!"&amp;"$P$118:$AD$121"),15,FALSE)</f>
        <v>2.1</v>
      </c>
      <c r="AC177" s="55"/>
      <c r="AD177" s="81">
        <v>2020</v>
      </c>
      <c r="AE177" s="273"/>
      <c r="AF177" s="828"/>
    </row>
    <row r="178" spans="1:32">
      <c r="A178" s="169"/>
      <c r="B178" s="718" t="s">
        <v>1099</v>
      </c>
      <c r="C178" s="226"/>
      <c r="D178" s="261"/>
      <c r="E178" s="261"/>
      <c r="F178" s="224" t="s">
        <v>1149</v>
      </c>
      <c r="G178" s="55"/>
      <c r="H178" s="174"/>
      <c r="I178" s="174" t="str">
        <f t="shared" si="162"/>
        <v>INDGWH</v>
      </c>
      <c r="J178" s="224">
        <f t="shared" si="146"/>
        <v>2030</v>
      </c>
      <c r="K178" s="81"/>
      <c r="L178" s="199">
        <f t="shared" ca="1" si="254"/>
        <v>0.89</v>
      </c>
      <c r="M178" s="772"/>
      <c r="N178" s="200"/>
      <c r="O178" s="723">
        <f t="shared" ca="1" si="255"/>
        <v>3.7250000000000001</v>
      </c>
      <c r="P178" s="723">
        <f t="shared" ca="1" si="256"/>
        <v>0.24287</v>
      </c>
      <c r="Q178" s="81">
        <f t="shared" ca="1" si="257"/>
        <v>3.9836805555555559</v>
      </c>
      <c r="R178" s="823"/>
      <c r="S178" s="300"/>
      <c r="T178" s="300"/>
      <c r="U178" s="300"/>
      <c r="V178" s="199">
        <f t="shared" ref="V178" ca="1" si="259">IF(IF(RIGHT(H177,2)="PH",(1-L178)+$W$2,IF(RIGHT(H177,2)="HT",(1-L178)+$W$1,IF(RIGHT(H177,2)="SH",(1-L178)+$W$3,"")))&gt;0,IF(RIGHT(H177,2)="PH",(1-L178)+$W$2,IF(RIGHT(H177,2)="HT",(1-L178)+$W$1,IF(RIGHT(H177,2)="SH",(1-L178)+$W$3,""))),0)</f>
        <v>0.31</v>
      </c>
      <c r="W178" s="298"/>
      <c r="X178" s="824"/>
      <c r="Y178" s="824"/>
      <c r="Z178" s="824"/>
      <c r="AA178" s="824"/>
      <c r="AB178" s="824"/>
      <c r="AD178" s="81">
        <v>2030</v>
      </c>
      <c r="AE178" s="273"/>
      <c r="AF178" s="828"/>
    </row>
    <row r="179" spans="1:32">
      <c r="A179" s="169"/>
      <c r="B179" s="718" t="s">
        <v>1099</v>
      </c>
      <c r="C179" s="226"/>
      <c r="D179" s="261"/>
      <c r="E179" s="261"/>
      <c r="F179" s="224" t="s">
        <v>1149</v>
      </c>
      <c r="G179" s="55"/>
      <c r="H179" s="174"/>
      <c r="I179" s="174" t="str">
        <f t="shared" si="162"/>
        <v>INDGWH</v>
      </c>
      <c r="J179" s="224">
        <f t="shared" si="146"/>
        <v>2050</v>
      </c>
      <c r="K179" s="81"/>
      <c r="L179" s="199">
        <f t="shared" ca="1" si="254"/>
        <v>0.91</v>
      </c>
      <c r="M179" s="772"/>
      <c r="N179" s="200"/>
      <c r="O179" s="723">
        <f t="shared" ca="1" si="255"/>
        <v>3.7250000000000001</v>
      </c>
      <c r="P179" s="723">
        <f t="shared" ca="1" si="256"/>
        <v>0.22797000000000001</v>
      </c>
      <c r="Q179" s="81">
        <f t="shared" ca="1" si="257"/>
        <v>4.0064444444444449</v>
      </c>
      <c r="R179" s="823"/>
      <c r="S179" s="300"/>
      <c r="T179" s="300"/>
      <c r="U179" s="300"/>
      <c r="V179" s="199">
        <f t="shared" ref="V179" ca="1" si="260">IF(IF(RIGHT(H177,2)="PH",(1-L179)+$W$2,IF(RIGHT(H177,2)="HT",(1-L179)+$W$1,IF(RIGHT(H177,2)="SH",(1-L179)+$W$3,"")))&gt;0,IF(RIGHT(H177,2)="PH",(1-L179)+$W$2,IF(RIGHT(H177,2)="HT",(1-L179)+$W$1,IF(RIGHT(H177,2)="SH",(1-L179)+$W$3,""))),0)</f>
        <v>0.28999999999999998</v>
      </c>
      <c r="W179" s="298"/>
      <c r="X179" s="824"/>
      <c r="Y179" s="824"/>
      <c r="Z179" s="824"/>
      <c r="AA179" s="824"/>
      <c r="AB179" s="824"/>
      <c r="AD179" s="81">
        <v>2050</v>
      </c>
      <c r="AE179" s="273"/>
      <c r="AF179" s="828"/>
    </row>
    <row r="180" spans="1:32">
      <c r="A180" s="169"/>
      <c r="B180" s="718" t="s">
        <v>1099</v>
      </c>
      <c r="C180" s="226"/>
      <c r="D180" s="261" t="str">
        <f>"IND"&amp;RIGHT(H180,4)&amp;RIGHT(G180,3)&amp;"N"&amp;RIGHT(E180,1)</f>
        <v>INDGDSHCOAN2</v>
      </c>
      <c r="E180" s="261" t="str">
        <f>"Industrial heating technology "&amp;$AJ$12&amp;" "&amp;RIGHT(H180,2)&amp;" - Coal boiler (Hot Water) - new 2"</f>
        <v>Industrial heating technology Glass &amp; Concrete SH - Coal boiler (Hot Water) - new 2</v>
      </c>
      <c r="F180" s="224" t="s">
        <v>1149</v>
      </c>
      <c r="G180" s="55" t="s">
        <v>617</v>
      </c>
      <c r="H180" s="174" t="str">
        <f>$AI$15</f>
        <v>IGDSH</v>
      </c>
      <c r="I180" s="174" t="str">
        <f t="shared" si="162"/>
        <v>INDGWH</v>
      </c>
      <c r="J180" s="224">
        <f t="shared" si="146"/>
        <v>2011</v>
      </c>
      <c r="K180" s="299">
        <v>2025</v>
      </c>
      <c r="L180" s="199">
        <f t="shared" ca="1" si="254"/>
        <v>0.89</v>
      </c>
      <c r="M180" s="199"/>
      <c r="N180" s="81">
        <f ca="1">VLOOKUP($AD180,INDIRECT("'"&amp;$B180&amp;"'!"&amp;"$P$118:$AD$121"),5,FALSE)</f>
        <v>25</v>
      </c>
      <c r="O180" s="723">
        <f t="shared" ca="1" si="255"/>
        <v>3.7250000000000001</v>
      </c>
      <c r="P180" s="723">
        <f t="shared" ca="1" si="256"/>
        <v>0.25106499999999998</v>
      </c>
      <c r="Q180" s="81">
        <f t="shared" ca="1" si="257"/>
        <v>3.9381527777777778</v>
      </c>
      <c r="R180" s="81">
        <v>3.1536000000000002E-2</v>
      </c>
      <c r="S180" s="199">
        <v>0.5</v>
      </c>
      <c r="T180" s="199">
        <f ca="1">HLOOKUP($T$2,INDIRECT("'"&amp;$B180&amp;"'!"&amp;"$P$85:$AC$98"),IF(H180=$AI$13,6,IF(H180=$AI$14,9,14)),FALSE)</f>
        <v>1</v>
      </c>
      <c r="U180" s="773"/>
      <c r="V180" s="199">
        <f t="shared" ref="V180" ca="1" si="261">IF(IF(RIGHT(H180,2)="PH",(1-L180)+$W$2,IF(RIGHT(H180,2)="HT",(1-L180)+$W$1,IF(RIGHT(H180,2)="SH",(1-L180)+$W$3,"")))&gt;0,IF(RIGHT(H180,2)="PH",(1-L180)+$W$2,IF(RIGHT(H180,2)="HT",(1-L180)+$W$1,IF(RIGHT(H180,2)="SH",(1-L180)+$W$3,""))),0)</f>
        <v>0.10999999999999999</v>
      </c>
      <c r="W180" s="709"/>
      <c r="X180" s="698">
        <f ca="1">IF(VLOOKUP($AD180,INDIRECT("'"&amp;$B180&amp;"'!"&amp;"$P$39:$AD$42"),11,FALSE)="Cf. the utilized electricity",0,VLOOKUP($AD180,INDIRECT("'"&amp;$B180&amp;"'!"&amp;"$P$39:$AD$42"),11,FALSE))</f>
        <v>8</v>
      </c>
      <c r="Y180" s="698">
        <f ca="1">VLOOKUP($AD180,INDIRECT("'"&amp;$B180&amp;"'!"&amp;"$P$118:$AD$121"),12,FALSE)</f>
        <v>35</v>
      </c>
      <c r="Z180" s="698">
        <f ca="1">VLOOKUP($AD180,INDIRECT("'"&amp;$B180&amp;"'!"&amp;"$P$118:$AD$121"),13,FALSE)</f>
        <v>1.5</v>
      </c>
      <c r="AA180" s="698">
        <f ca="1">VLOOKUP($AD180,INDIRECT("'"&amp;$B180&amp;"'!"&amp;"$P$118:$AD$121"),14,FALSE)</f>
        <v>0.8</v>
      </c>
      <c r="AB180" s="698">
        <f ca="1">VLOOKUP($AD180,INDIRECT("'"&amp;$B180&amp;"'!"&amp;"$P$118:$AD$121"),15,FALSE)</f>
        <v>2.1</v>
      </c>
      <c r="AC180" s="55"/>
      <c r="AD180" s="81">
        <v>2020</v>
      </c>
      <c r="AE180" s="273"/>
      <c r="AF180" s="828"/>
    </row>
    <row r="181" spans="1:32">
      <c r="A181" s="169"/>
      <c r="B181" s="718" t="s">
        <v>1099</v>
      </c>
      <c r="C181" s="226"/>
      <c r="D181" s="261"/>
      <c r="E181" s="261"/>
      <c r="F181" s="224" t="s">
        <v>1149</v>
      </c>
      <c r="G181" s="55"/>
      <c r="H181" s="174"/>
      <c r="I181" s="174" t="str">
        <f t="shared" si="162"/>
        <v>INDGWH</v>
      </c>
      <c r="J181" s="224">
        <f t="shared" si="146"/>
        <v>2030</v>
      </c>
      <c r="K181" s="200"/>
      <c r="L181" s="199">
        <f t="shared" ca="1" si="254"/>
        <v>0.89</v>
      </c>
      <c r="M181" s="772"/>
      <c r="N181" s="200"/>
      <c r="O181" s="723">
        <f t="shared" ca="1" si="255"/>
        <v>3.7250000000000001</v>
      </c>
      <c r="P181" s="723">
        <f t="shared" ca="1" si="256"/>
        <v>0.24287</v>
      </c>
      <c r="Q181" s="81">
        <f t="shared" ca="1" si="257"/>
        <v>3.9836805555555559</v>
      </c>
      <c r="R181" s="823"/>
      <c r="S181" s="300"/>
      <c r="T181" s="300"/>
      <c r="U181" s="300"/>
      <c r="V181" s="199">
        <f t="shared" ref="V181" ca="1" si="262">IF(IF(RIGHT(H180,2)="PH",(1-L181)+$W$2,IF(RIGHT(H180,2)="HT",(1-L181)+$W$1,IF(RIGHT(H180,2)="SH",(1-L181)+$W$3,"")))&gt;0,IF(RIGHT(H180,2)="PH",(1-L181)+$W$2,IF(RIGHT(H180,2)="HT",(1-L181)+$W$1,IF(RIGHT(H180,2)="SH",(1-L181)+$W$3,""))),0)</f>
        <v>0.10999999999999999</v>
      </c>
      <c r="W181" s="298"/>
      <c r="X181" s="824"/>
      <c r="Y181" s="824"/>
      <c r="Z181" s="824"/>
      <c r="AA181" s="824"/>
      <c r="AB181" s="824"/>
      <c r="AD181" s="81">
        <v>2030</v>
      </c>
      <c r="AE181" s="273"/>
      <c r="AF181" s="828"/>
    </row>
    <row r="182" spans="1:32">
      <c r="A182" s="831"/>
      <c r="B182" s="719" t="s">
        <v>1099</v>
      </c>
      <c r="C182" s="713"/>
      <c r="D182" s="701"/>
      <c r="E182" s="701"/>
      <c r="F182" s="224" t="s">
        <v>1149</v>
      </c>
      <c r="G182" s="203"/>
      <c r="H182" s="702"/>
      <c r="I182" s="266" t="str">
        <f t="shared" si="162"/>
        <v>INDGWH</v>
      </c>
      <c r="J182" s="224">
        <f t="shared" si="146"/>
        <v>2050</v>
      </c>
      <c r="K182" s="825"/>
      <c r="L182" s="199">
        <f t="shared" ca="1" si="254"/>
        <v>0.91</v>
      </c>
      <c r="M182" s="826"/>
      <c r="N182" s="825"/>
      <c r="O182" s="723">
        <f t="shared" ca="1" si="255"/>
        <v>3.7250000000000001</v>
      </c>
      <c r="P182" s="723">
        <f t="shared" ca="1" si="256"/>
        <v>0.22797000000000001</v>
      </c>
      <c r="Q182" s="81">
        <f t="shared" ca="1" si="257"/>
        <v>4.0064444444444449</v>
      </c>
      <c r="R182" s="722"/>
      <c r="S182" s="703"/>
      <c r="T182" s="703"/>
      <c r="U182" s="703"/>
      <c r="V182" s="199">
        <f t="shared" ref="V182" ca="1" si="263">IF(IF(RIGHT(H180,2)="PH",(1-L182)+$W$2,IF(RIGHT(H180,2)="HT",(1-L182)+$W$1,IF(RIGHT(H180,2)="SH",(1-L182)+$W$3,"")))&gt;0,IF(RIGHT(H180,2)="PH",(1-L182)+$W$2,IF(RIGHT(H180,2)="HT",(1-L182)+$W$1,IF(RIGHT(H180,2)="SH",(1-L182)+$W$3,""))),0)</f>
        <v>8.9999999999999969E-2</v>
      </c>
      <c r="W182" s="704"/>
      <c r="X182" s="827"/>
      <c r="Y182" s="827"/>
      <c r="Z182" s="827"/>
      <c r="AA182" s="827"/>
      <c r="AB182" s="827"/>
      <c r="AC182" s="203"/>
      <c r="AD182" s="81">
        <v>2050</v>
      </c>
      <c r="AE182" s="273"/>
      <c r="AF182" s="829"/>
    </row>
    <row r="183" spans="1:32">
      <c r="A183" s="831"/>
      <c r="B183" s="226" t="s">
        <v>576</v>
      </c>
      <c r="C183" s="901"/>
      <c r="D183" s="261" t="str">
        <f>"IND"&amp;RIGHT(H183,4)&amp;RIGHT(G183,3)&amp;"N"&amp;RIGHT(E183,1)</f>
        <v>INDGDSHSOLN1</v>
      </c>
      <c r="E183" s="261" t="str">
        <f>"Industrial heating technology "&amp;$AJ$12&amp;" "&amp;RIGHT(H183,2)&amp;" - Solar - new 1"</f>
        <v>Industrial heating technology Glass &amp; Concrete SH - Solar - new 1</v>
      </c>
      <c r="F183" s="224" t="s">
        <v>1149</v>
      </c>
      <c r="G183" s="55" t="s">
        <v>500</v>
      </c>
      <c r="H183" s="174" t="str">
        <f>$AI$15</f>
        <v>IGDSH</v>
      </c>
      <c r="I183" s="174"/>
      <c r="J183" s="224">
        <f t="shared" si="146"/>
        <v>2011</v>
      </c>
      <c r="K183" s="299">
        <v>2025</v>
      </c>
      <c r="L183" s="199">
        <f ca="1">VLOOKUP($AD183,INDIRECT("'"&amp;$B183&amp;"'!"&amp;"$J$40:$X$43"),3,FALSE)</f>
        <v>1</v>
      </c>
      <c r="M183" s="772"/>
      <c r="N183" s="199">
        <f ca="1">VLOOKUP($AD183,INDIRECT("'"&amp;$B183&amp;"'!"&amp;"$J$40:$X$43"),5,FALSE)</f>
        <v>25</v>
      </c>
      <c r="O183" s="199">
        <f ca="1">VLOOKUP($AD183,INDIRECT("'"&amp;$B183&amp;"'!"&amp;"$J$40:$X$43"),6,FALSE)/1000</f>
        <v>4.2857142857142865</v>
      </c>
      <c r="P183" s="199">
        <f ca="1">VLOOKUP($AD183,INDIRECT("'"&amp;$B183&amp;"'!"&amp;"$J$40:$X$43"),7,FALSE)/1000</f>
        <v>2.0660433158225668E-2</v>
      </c>
      <c r="Q183" s="199">
        <f ca="1">VLOOKUP($AD183,INDIRECT("'"&amp;$B183&amp;"'!"&amp;"$J$40:$X$43"),8,FALSE)</f>
        <v>0</v>
      </c>
      <c r="R183" s="81">
        <v>3.1536000000000002E-2</v>
      </c>
      <c r="S183" s="199">
        <v>8.5500000000000007E-2</v>
      </c>
      <c r="T183" s="199">
        <v>1</v>
      </c>
      <c r="U183" s="300"/>
      <c r="V183" s="199"/>
      <c r="W183" s="298"/>
      <c r="X183" s="698">
        <v>0</v>
      </c>
      <c r="Y183" s="81">
        <v>0</v>
      </c>
      <c r="Z183" s="81">
        <v>0</v>
      </c>
      <c r="AA183" s="81">
        <v>0</v>
      </c>
      <c r="AB183" s="81">
        <v>0</v>
      </c>
      <c r="AC183" s="55"/>
      <c r="AD183" s="81">
        <v>2020</v>
      </c>
      <c r="AE183" s="200"/>
      <c r="AF183" s="700"/>
    </row>
    <row r="184" spans="1:32">
      <c r="A184" s="831"/>
      <c r="B184" s="226" t="s">
        <v>576</v>
      </c>
      <c r="C184" s="902"/>
      <c r="D184" s="261"/>
      <c r="E184" s="261"/>
      <c r="F184" s="224" t="s">
        <v>1149</v>
      </c>
      <c r="G184" s="55"/>
      <c r="H184" s="174"/>
      <c r="I184" s="174"/>
      <c r="J184" s="224">
        <f t="shared" si="146"/>
        <v>2030</v>
      </c>
      <c r="K184" s="200"/>
      <c r="L184" s="199">
        <f ca="1">VLOOKUP($AD184,INDIRECT("'"&amp;$B184&amp;"'!"&amp;"$J$40:$X$43"),3,FALSE)</f>
        <v>1</v>
      </c>
      <c r="M184" s="772"/>
      <c r="N184" s="199">
        <f ca="1">VLOOKUP($AD184,INDIRECT("'"&amp;$B184&amp;"'!"&amp;"$J$40:$X$43"),5,FALSE)</f>
        <v>30</v>
      </c>
      <c r="O184" s="199">
        <f ca="1">VLOOKUP($AD184,INDIRECT("'"&amp;$B184&amp;"'!"&amp;"$J$40:$X$43"),6,FALSE)/1000</f>
        <v>3.9285714285714284</v>
      </c>
      <c r="P184" s="199">
        <f ca="1">VLOOKUP($AD184,INDIRECT("'"&amp;$B184&amp;"'!"&amp;"$J$40:$X$43"),7,FALSE)/1000</f>
        <v>2.328125E-2</v>
      </c>
      <c r="Q184" s="199">
        <f ca="1">VLOOKUP($AD184,INDIRECT("'"&amp;$B184&amp;"'!"&amp;"$J$40:$X$43"),8,FALSE)</f>
        <v>0</v>
      </c>
      <c r="R184" s="823"/>
      <c r="S184" s="300"/>
      <c r="T184" s="300"/>
      <c r="U184" s="300"/>
      <c r="V184" s="772"/>
      <c r="W184" s="298"/>
      <c r="X184" s="824"/>
      <c r="Y184" s="824"/>
      <c r="Z184" s="824"/>
      <c r="AA184" s="824"/>
      <c r="AB184" s="824"/>
      <c r="AC184" s="55"/>
      <c r="AD184" s="81">
        <v>2030</v>
      </c>
      <c r="AE184" s="200"/>
      <c r="AF184" s="700"/>
    </row>
    <row r="185" spans="1:32" s="203" customFormat="1">
      <c r="A185" s="900"/>
      <c r="B185" s="713" t="s">
        <v>576</v>
      </c>
      <c r="C185" s="903"/>
      <c r="D185" s="701"/>
      <c r="E185" s="701"/>
      <c r="F185" s="224" t="s">
        <v>1149</v>
      </c>
      <c r="H185" s="702"/>
      <c r="I185" s="702"/>
      <c r="J185" s="224">
        <f t="shared" si="146"/>
        <v>2050</v>
      </c>
      <c r="K185" s="825"/>
      <c r="L185" s="199">
        <f ca="1">VLOOKUP($AD185,INDIRECT("'"&amp;$B185&amp;"'!"&amp;"$J$40:$X$43"),3,FALSE)</f>
        <v>1</v>
      </c>
      <c r="M185" s="826"/>
      <c r="N185" s="199">
        <f ca="1">VLOOKUP($AD185,INDIRECT("'"&amp;$B185&amp;"'!"&amp;"$J$40:$X$43"),5,FALSE)</f>
        <v>30</v>
      </c>
      <c r="O185" s="199">
        <f ca="1">VLOOKUP($AD185,INDIRECT("'"&amp;$B185&amp;"'!"&amp;"$J$40:$X$43"),6,FALSE)/1000</f>
        <v>3.5714285714285721</v>
      </c>
      <c r="P185" s="199">
        <f ca="1">VLOOKUP($AD185,INDIRECT("'"&amp;$B185&amp;"'!"&amp;"$J$40:$X$43"),7,FALSE)/1000</f>
        <v>2.1498571428571429E-2</v>
      </c>
      <c r="Q185" s="199">
        <f ca="1">VLOOKUP($AD185,INDIRECT("'"&amp;$B185&amp;"'!"&amp;"$J$40:$X$43"),8,FALSE)</f>
        <v>0</v>
      </c>
      <c r="R185" s="722"/>
      <c r="S185" s="703"/>
      <c r="T185" s="703"/>
      <c r="U185" s="703"/>
      <c r="V185" s="826"/>
      <c r="W185" s="704"/>
      <c r="X185" s="827"/>
      <c r="Y185" s="827"/>
      <c r="Z185" s="827"/>
      <c r="AA185" s="827"/>
      <c r="AB185" s="827"/>
      <c r="AD185" s="81">
        <v>2050</v>
      </c>
      <c r="AE185" s="825"/>
      <c r="AF185" s="705"/>
    </row>
    <row r="186" spans="1:32">
      <c r="A186" s="169"/>
      <c r="D186" s="36" t="s">
        <v>503</v>
      </c>
      <c r="E186" s="36"/>
      <c r="F186" s="224" t="s">
        <v>1149</v>
      </c>
      <c r="H186" s="173"/>
      <c r="I186" s="173"/>
      <c r="J186" s="224">
        <f t="shared" si="146"/>
        <v>0</v>
      </c>
      <c r="K186" s="198"/>
      <c r="L186" s="204"/>
      <c r="M186" s="204"/>
      <c r="N186" s="204"/>
      <c r="O186" s="37"/>
      <c r="P186" s="37"/>
      <c r="Q186" s="205"/>
      <c r="R186" s="252"/>
      <c r="S186" s="274"/>
      <c r="T186" s="204"/>
      <c r="U186" s="204"/>
      <c r="V186" s="204"/>
      <c r="W186" s="204"/>
      <c r="X186" s="204"/>
      <c r="Y186" s="204"/>
      <c r="Z186" s="204"/>
      <c r="AA186" s="204"/>
      <c r="AB186" s="204"/>
    </row>
    <row r="187" spans="1:32">
      <c r="A187" s="169"/>
      <c r="D187" s="212" t="str">
        <f t="shared" ref="D187:D192" si="264">"IND"&amp;RIGHT(H187,4)&amp;RIGHT(G187,3)&amp;"N"&amp;RIGHT(E187,1)</f>
        <v>INDGDSHHCEN1</v>
      </c>
      <c r="E187" s="224" t="str">
        <f>"Industrial heating technology "&amp;$AJ$12&amp;" "&amp;RIGHT(H187,2)&amp;" - central district heating - within DH area - new 1"</f>
        <v>Industrial heating technology Glass &amp; Concrete SH - central district heating - within DH area - new 1</v>
      </c>
      <c r="F187" s="224" t="s">
        <v>1149</v>
      </c>
      <c r="G187" s="225" t="s">
        <v>501</v>
      </c>
      <c r="H187" s="225" t="str">
        <f>AI15</f>
        <v>IGDSH</v>
      </c>
      <c r="I187" s="225"/>
      <c r="J187" s="81">
        <v>2011</v>
      </c>
      <c r="K187" s="299">
        <v>2025</v>
      </c>
      <c r="L187" s="81">
        <v>0.96</v>
      </c>
      <c r="M187" s="81"/>
      <c r="N187" s="81">
        <v>30</v>
      </c>
      <c r="O187" s="253">
        <v>1.17</v>
      </c>
      <c r="P187" s="254">
        <f>'DH network'!$M$9</f>
        <v>5.8735799999999998E-2</v>
      </c>
      <c r="Q187" s="254">
        <f ca="1">Q31*0.95</f>
        <v>1.9463124999999999</v>
      </c>
      <c r="R187" s="201">
        <v>3.1536000000000002E-2</v>
      </c>
      <c r="S187" s="275">
        <v>0.5</v>
      </c>
      <c r="T187" s="228"/>
      <c r="U187" s="228"/>
      <c r="V187" s="228"/>
      <c r="W187" s="287"/>
      <c r="X187" s="278"/>
      <c r="Y187" s="61"/>
      <c r="Z187" s="61"/>
      <c r="AA187" s="61"/>
      <c r="AB187" s="61"/>
    </row>
    <row r="188" spans="1:32">
      <c r="A188" s="169"/>
      <c r="D188" s="212" t="str">
        <f t="shared" si="264"/>
        <v>INDGDPHHCEN1</v>
      </c>
      <c r="E188" s="224" t="str">
        <f>"Industrial heating technology "&amp;$AJ$12&amp;" "&amp;RIGHT(H188,2)&amp;" - central district heating - within DH area - new 1"</f>
        <v>Industrial heating technology Glass &amp; Concrete PH - central district heating - within DH area - new 1</v>
      </c>
      <c r="F188" s="224" t="s">
        <v>1149</v>
      </c>
      <c r="G188" s="225" t="s">
        <v>501</v>
      </c>
      <c r="H188" s="281" t="str">
        <f>AI14</f>
        <v>IGDPH</v>
      </c>
      <c r="I188" s="281"/>
      <c r="J188" s="81">
        <v>2011</v>
      </c>
      <c r="K188" s="299">
        <v>2025</v>
      </c>
      <c r="L188" s="81">
        <v>0.96</v>
      </c>
      <c r="M188" s="81"/>
      <c r="N188" s="81">
        <v>30</v>
      </c>
      <c r="O188" s="253">
        <v>1.17</v>
      </c>
      <c r="P188" s="254">
        <f>'DH network'!$M$9</f>
        <v>5.8735799999999998E-2</v>
      </c>
      <c r="Q188" s="254">
        <f ca="1">Q33*0.95</f>
        <v>6.4090694444444436</v>
      </c>
      <c r="R188" s="201">
        <v>3.1536000000000002E-2</v>
      </c>
      <c r="S188" s="275">
        <v>0.5</v>
      </c>
      <c r="T188" s="228">
        <v>0.05</v>
      </c>
      <c r="U188" s="228"/>
      <c r="V188" s="228"/>
      <c r="W188" s="287"/>
      <c r="X188" s="278"/>
      <c r="Y188" s="61"/>
      <c r="Z188" s="61"/>
      <c r="AA188" s="61"/>
      <c r="AB188" s="61"/>
      <c r="AC188" s="226"/>
      <c r="AD188" s="226"/>
      <c r="AE188" s="226"/>
      <c r="AF188" s="226"/>
    </row>
    <row r="189" spans="1:32">
      <c r="A189" s="169"/>
      <c r="D189" s="212" t="str">
        <f t="shared" si="264"/>
        <v>INDGDSHHSEN1</v>
      </c>
      <c r="E189" s="224" t="str">
        <f>"Industrial heating technology "&amp;$AJ$12&amp;" "&amp;RIGHT(H189,2)&amp;" - central district heating - within DH area - new 1"</f>
        <v>Industrial heating technology Glass &amp; Concrete SH - central district heating - within DH area - new 1</v>
      </c>
      <c r="F189" s="224" t="s">
        <v>1149</v>
      </c>
      <c r="G189" s="225" t="s">
        <v>2125</v>
      </c>
      <c r="H189" s="225" t="str">
        <f>H187</f>
        <v>IGDSH</v>
      </c>
      <c r="I189" s="225"/>
      <c r="J189" s="81">
        <f t="shared" ref="J189:L190" si="265">J187</f>
        <v>2011</v>
      </c>
      <c r="K189" s="81">
        <f t="shared" si="265"/>
        <v>2025</v>
      </c>
      <c r="L189" s="81">
        <f t="shared" si="265"/>
        <v>0.96</v>
      </c>
      <c r="M189" s="81"/>
      <c r="N189" s="81">
        <f t="shared" ref="N189:S190" si="266">N187</f>
        <v>30</v>
      </c>
      <c r="O189" s="81">
        <f t="shared" si="266"/>
        <v>1.17</v>
      </c>
      <c r="P189" s="81">
        <f t="shared" si="266"/>
        <v>5.8735799999999998E-2</v>
      </c>
      <c r="Q189" s="81">
        <f t="shared" ca="1" si="266"/>
        <v>1.9463124999999999</v>
      </c>
      <c r="R189" s="81">
        <f t="shared" si="266"/>
        <v>3.1536000000000002E-2</v>
      </c>
      <c r="S189" s="81">
        <f t="shared" si="266"/>
        <v>0.5</v>
      </c>
      <c r="T189" s="228"/>
      <c r="U189" s="228"/>
      <c r="V189" s="228"/>
      <c r="W189" s="287"/>
      <c r="X189" s="278"/>
      <c r="Y189" s="61"/>
      <c r="Z189" s="61"/>
      <c r="AA189" s="61"/>
      <c r="AB189" s="61"/>
    </row>
    <row r="190" spans="1:32">
      <c r="A190" s="169"/>
      <c r="D190" s="212" t="str">
        <f t="shared" si="264"/>
        <v>INDGDPHHSEN1</v>
      </c>
      <c r="E190" s="224" t="str">
        <f>"Industrial heating technology "&amp;$AJ$12&amp;" "&amp;RIGHT(H190,2)&amp;" - central district heating - within DH area - new 1"</f>
        <v>Industrial heating technology Glass &amp; Concrete PH - central district heating - within DH area - new 1</v>
      </c>
      <c r="F190" s="224" t="s">
        <v>1149</v>
      </c>
      <c r="G190" s="225" t="s">
        <v>2125</v>
      </c>
      <c r="H190" s="225" t="str">
        <f>H188</f>
        <v>IGDPH</v>
      </c>
      <c r="I190" s="281"/>
      <c r="J190" s="81">
        <f t="shared" si="265"/>
        <v>2011</v>
      </c>
      <c r="K190" s="81">
        <f t="shared" si="265"/>
        <v>2025</v>
      </c>
      <c r="L190" s="81">
        <f t="shared" si="265"/>
        <v>0.96</v>
      </c>
      <c r="M190" s="81"/>
      <c r="N190" s="81">
        <f t="shared" si="266"/>
        <v>30</v>
      </c>
      <c r="O190" s="81">
        <f t="shared" si="266"/>
        <v>1.17</v>
      </c>
      <c r="P190" s="81">
        <f t="shared" si="266"/>
        <v>5.8735799999999998E-2</v>
      </c>
      <c r="Q190" s="81">
        <f t="shared" ca="1" si="266"/>
        <v>6.4090694444444436</v>
      </c>
      <c r="R190" s="81">
        <f t="shared" si="266"/>
        <v>3.1536000000000002E-2</v>
      </c>
      <c r="S190" s="81">
        <f t="shared" si="266"/>
        <v>0.5</v>
      </c>
      <c r="T190" s="81">
        <f>T188</f>
        <v>0.05</v>
      </c>
      <c r="U190" s="228"/>
      <c r="V190" s="228"/>
      <c r="W190" s="287"/>
      <c r="X190" s="278"/>
      <c r="Y190" s="61"/>
      <c r="Z190" s="61"/>
      <c r="AA190" s="61"/>
      <c r="AB190" s="61"/>
      <c r="AC190" s="226"/>
      <c r="AD190" s="226"/>
      <c r="AE190" s="226"/>
      <c r="AF190" s="226"/>
    </row>
    <row r="191" spans="1:32">
      <c r="A191" s="169"/>
      <c r="D191" s="212" t="str">
        <f t="shared" si="264"/>
        <v>INDGDSHHDEN1</v>
      </c>
      <c r="E191" s="224" t="str">
        <f>"Industrial heating technology "&amp;$AJ$12&amp;" "&amp;RIGHT(H191,2)&amp;" - decentral district heating - within DH area - new 1"</f>
        <v>Industrial heating technology Glass &amp; Concrete SH - decentral district heating - within DH area - new 1</v>
      </c>
      <c r="F191" s="224" t="s">
        <v>1149</v>
      </c>
      <c r="G191" s="259" t="s">
        <v>502</v>
      </c>
      <c r="H191" s="265" t="str">
        <f>AI15</f>
        <v>IGDSH</v>
      </c>
      <c r="I191" s="265"/>
      <c r="J191" s="81">
        <v>2011</v>
      </c>
      <c r="K191" s="299">
        <v>2025</v>
      </c>
      <c r="L191" s="81">
        <f>L187</f>
        <v>0.96</v>
      </c>
      <c r="M191" s="81"/>
      <c r="N191" s="81">
        <v>30</v>
      </c>
      <c r="O191" s="253">
        <v>1.25</v>
      </c>
      <c r="P191" s="254">
        <f>'DH network'!$M$9</f>
        <v>5.8735799999999998E-2</v>
      </c>
      <c r="Q191" s="254">
        <f ca="1">Q187</f>
        <v>1.9463124999999999</v>
      </c>
      <c r="R191" s="201">
        <v>3.1536000000000002E-2</v>
      </c>
      <c r="S191" s="275">
        <v>0.5</v>
      </c>
      <c r="T191" s="228"/>
      <c r="U191" s="228"/>
      <c r="V191" s="228"/>
      <c r="W191" s="287"/>
      <c r="X191" s="278"/>
      <c r="Y191" s="61"/>
      <c r="Z191" s="61"/>
      <c r="AA191" s="61"/>
      <c r="AB191" s="61"/>
      <c r="AC191" s="226"/>
      <c r="AD191" s="226"/>
      <c r="AE191" s="226"/>
      <c r="AF191" s="226"/>
    </row>
    <row r="192" spans="1:32">
      <c r="A192" s="169"/>
      <c r="D192" s="212" t="str">
        <f t="shared" si="264"/>
        <v>INDGDPHHDEN1</v>
      </c>
      <c r="E192" s="224" t="str">
        <f>"Industrial heating technology "&amp;$AJ$12&amp;" "&amp;RIGHT(H192,2)&amp;" - decentral district heating - within DH area - new 1"</f>
        <v>Industrial heating technology Glass &amp; Concrete PH - decentral district heating - within DH area - new 1</v>
      </c>
      <c r="F192" s="224" t="s">
        <v>1149</v>
      </c>
      <c r="G192" s="259" t="s">
        <v>502</v>
      </c>
      <c r="H192" s="225" t="str">
        <f>AI14</f>
        <v>IGDPH</v>
      </c>
      <c r="I192" s="225"/>
      <c r="J192" s="81">
        <v>2011</v>
      </c>
      <c r="K192" s="299">
        <v>2025</v>
      </c>
      <c r="L192" s="81">
        <f>L188</f>
        <v>0.96</v>
      </c>
      <c r="M192" s="81"/>
      <c r="N192" s="81">
        <v>30</v>
      </c>
      <c r="O192" s="253">
        <v>1.25</v>
      </c>
      <c r="P192" s="254">
        <f>'DH network'!$M$9</f>
        <v>5.8735799999999998E-2</v>
      </c>
      <c r="Q192" s="254">
        <f ca="1">Q188</f>
        <v>6.4090694444444436</v>
      </c>
      <c r="R192" s="201">
        <v>3.1536000000000002E-2</v>
      </c>
      <c r="S192" s="275">
        <v>0.5</v>
      </c>
      <c r="T192" s="228">
        <v>0.05</v>
      </c>
      <c r="U192" s="228"/>
      <c r="V192" s="228"/>
      <c r="W192" s="287"/>
      <c r="X192" s="278"/>
      <c r="Y192" s="61"/>
      <c r="Z192" s="61"/>
      <c r="AA192" s="61"/>
      <c r="AB192" s="61"/>
      <c r="AC192" s="226"/>
      <c r="AD192" s="226"/>
      <c r="AE192" s="226"/>
      <c r="AF192" s="226"/>
    </row>
    <row r="193" spans="1:32">
      <c r="A193" s="169"/>
      <c r="B193" s="226"/>
      <c r="C193" s="226"/>
      <c r="D193" s="258" t="s">
        <v>497</v>
      </c>
      <c r="E193" s="258"/>
      <c r="F193" s="224" t="s">
        <v>1149</v>
      </c>
      <c r="G193" s="206"/>
      <c r="H193" s="225"/>
      <c r="I193" s="225"/>
      <c r="J193" s="200"/>
      <c r="K193" s="200"/>
      <c r="L193" s="200"/>
      <c r="M193" s="200"/>
      <c r="N193" s="200"/>
      <c r="O193" s="227"/>
      <c r="P193" s="227"/>
      <c r="Q193" s="227"/>
      <c r="R193" s="202"/>
      <c r="S193" s="228"/>
      <c r="T193" s="228"/>
      <c r="U193" s="228"/>
      <c r="V193" s="228"/>
      <c r="W193" s="287"/>
      <c r="X193" s="226"/>
      <c r="Y193" s="226"/>
      <c r="Z193" s="226"/>
      <c r="AA193" s="226"/>
      <c r="AB193" s="226"/>
      <c r="AC193" s="226"/>
      <c r="AD193" s="226"/>
      <c r="AE193" s="226"/>
      <c r="AF193" s="226"/>
    </row>
    <row r="194" spans="1:32">
      <c r="A194" s="169"/>
      <c r="B194" s="226"/>
      <c r="C194" s="226"/>
      <c r="D194" s="212" t="str">
        <f>"IND"&amp;RIGHT(H194,4)&amp;RIGHT(G194,3)&amp;"N"&amp;RIGHT(E194,1)</f>
        <v>INDGDLAELCN1</v>
      </c>
      <c r="E194" s="224" t="str">
        <f>"Industry "&amp;$AJ$12&amp;" "&amp;RIGHT(H194,2)&amp;" Electricity Light Appliance - New 1"</f>
        <v>Industry Glass &amp; Concrete LA Electricity Light Appliance - New 1</v>
      </c>
      <c r="F194" s="224" t="s">
        <v>1149</v>
      </c>
      <c r="G194" s="225" t="s">
        <v>499</v>
      </c>
      <c r="H194" s="225" t="str">
        <f>AI16</f>
        <v>IGDLA</v>
      </c>
      <c r="I194" s="225"/>
      <c r="J194" s="81">
        <v>2011</v>
      </c>
      <c r="K194" s="81">
        <v>2011</v>
      </c>
      <c r="L194" s="256">
        <v>1</v>
      </c>
      <c r="M194" s="256"/>
      <c r="N194" s="256">
        <v>10</v>
      </c>
      <c r="O194" s="254"/>
      <c r="P194" s="254"/>
      <c r="Q194" s="254"/>
      <c r="R194" s="201"/>
      <c r="S194" s="275">
        <v>0.9</v>
      </c>
      <c r="T194" s="228"/>
      <c r="U194" s="228"/>
      <c r="V194" s="228"/>
      <c r="W194" s="287"/>
      <c r="X194" s="279"/>
      <c r="Y194" s="255"/>
      <c r="Z194" s="255"/>
      <c r="AA194" s="255"/>
      <c r="AB194" s="255"/>
      <c r="AC194" s="226"/>
      <c r="AD194" s="226"/>
      <c r="AE194" s="226"/>
      <c r="AF194" s="226"/>
    </row>
    <row r="195" spans="1:32">
      <c r="A195" s="169"/>
      <c r="B195" s="226"/>
      <c r="C195" s="226"/>
      <c r="F195" s="224" t="s">
        <v>1149</v>
      </c>
      <c r="G195" s="225"/>
      <c r="H195" s="226"/>
      <c r="I195" s="226"/>
      <c r="J195" s="256">
        <v>2020</v>
      </c>
      <c r="K195" s="256"/>
      <c r="L195" s="256"/>
      <c r="M195" s="256"/>
      <c r="N195" s="256"/>
      <c r="O195" s="254"/>
      <c r="P195" s="254"/>
      <c r="Q195" s="254"/>
      <c r="R195" s="201"/>
      <c r="S195" s="275"/>
      <c r="T195" s="228"/>
      <c r="U195" s="228"/>
      <c r="V195" s="228"/>
      <c r="W195" s="287"/>
      <c r="X195" s="279"/>
      <c r="Y195" s="255"/>
      <c r="Z195" s="255"/>
      <c r="AA195" s="255"/>
      <c r="AB195" s="255"/>
      <c r="AC195" s="226"/>
      <c r="AD195" s="226"/>
      <c r="AE195" s="226"/>
      <c r="AF195" s="226"/>
    </row>
    <row r="196" spans="1:32">
      <c r="A196" s="169"/>
      <c r="B196" s="226"/>
      <c r="C196" s="226"/>
      <c r="F196" s="224" t="s">
        <v>1149</v>
      </c>
      <c r="G196" s="225"/>
      <c r="H196" s="225"/>
      <c r="I196" s="225"/>
      <c r="J196" s="256">
        <v>2030</v>
      </c>
      <c r="K196" s="256"/>
      <c r="L196" s="256"/>
      <c r="M196" s="256"/>
      <c r="N196" s="256"/>
      <c r="O196" s="254"/>
      <c r="P196" s="254"/>
      <c r="Q196" s="254"/>
      <c r="R196" s="201"/>
      <c r="S196" s="275"/>
      <c r="T196" s="228"/>
      <c r="U196" s="228"/>
      <c r="V196" s="228"/>
      <c r="W196" s="287"/>
      <c r="X196" s="279"/>
      <c r="Y196" s="255"/>
      <c r="Z196" s="255"/>
      <c r="AA196" s="255"/>
      <c r="AB196" s="255"/>
    </row>
    <row r="197" spans="1:32">
      <c r="A197" s="169"/>
      <c r="B197" s="226"/>
      <c r="C197" s="226"/>
      <c r="F197" s="224" t="s">
        <v>1149</v>
      </c>
      <c r="G197" s="225"/>
      <c r="H197" s="225"/>
      <c r="I197" s="225"/>
      <c r="J197" s="256">
        <v>2050</v>
      </c>
      <c r="K197" s="256"/>
      <c r="L197" s="256"/>
      <c r="M197" s="256"/>
      <c r="N197" s="256"/>
      <c r="O197" s="254"/>
      <c r="P197" s="254"/>
      <c r="Q197" s="254"/>
      <c r="R197" s="201"/>
      <c r="S197" s="275"/>
      <c r="T197" s="228"/>
      <c r="U197" s="228"/>
      <c r="V197" s="228"/>
      <c r="W197" s="287"/>
      <c r="X197" s="279"/>
      <c r="Y197" s="255"/>
      <c r="Z197" s="255"/>
      <c r="AA197" s="255"/>
      <c r="AB197" s="255"/>
    </row>
    <row r="198" spans="1:32">
      <c r="A198" s="169"/>
      <c r="B198" s="226"/>
      <c r="C198" s="226"/>
      <c r="D198" s="212" t="str">
        <f>"IND"&amp;RIGHT(H198,4)&amp;RIGHT(G198,3)&amp;"N"&amp;RIGHT(E198,1)</f>
        <v>INDGDEMELCN1</v>
      </c>
      <c r="E198" s="224" t="str">
        <f>"Industry "&amp;$AJ$12&amp;" "&amp;RIGHT(H198,2)&amp;" Electricity Motors - New 1"</f>
        <v>Industry Glass &amp; Concrete EM Electricity Motors - New 1</v>
      </c>
      <c r="F198" s="224" t="s">
        <v>1149</v>
      </c>
      <c r="G198" s="225" t="s">
        <v>499</v>
      </c>
      <c r="H198" s="225" t="str">
        <f>AI17</f>
        <v>IGDEM</v>
      </c>
      <c r="I198" s="225"/>
      <c r="J198" s="81">
        <v>2011</v>
      </c>
      <c r="K198" s="81">
        <v>2011</v>
      </c>
      <c r="L198" s="256">
        <v>1</v>
      </c>
      <c r="M198" s="256"/>
      <c r="N198" s="256">
        <v>10</v>
      </c>
      <c r="O198" s="254"/>
      <c r="P198" s="254"/>
      <c r="Q198" s="254"/>
      <c r="R198" s="201"/>
      <c r="S198" s="275">
        <v>0.9</v>
      </c>
      <c r="T198" s="228"/>
      <c r="U198" s="228"/>
      <c r="V198" s="228"/>
      <c r="W198" s="287"/>
      <c r="X198" s="279"/>
      <c r="Y198" s="255"/>
      <c r="Z198" s="255"/>
      <c r="AA198" s="255"/>
      <c r="AB198" s="255"/>
    </row>
    <row r="199" spans="1:32">
      <c r="A199" s="169"/>
      <c r="D199" s="170"/>
      <c r="E199" s="64"/>
      <c r="F199" s="224" t="s">
        <v>1149</v>
      </c>
      <c r="H199" s="173"/>
      <c r="I199" s="173"/>
      <c r="J199" s="256">
        <v>2020</v>
      </c>
      <c r="K199" s="257"/>
      <c r="L199" s="257"/>
      <c r="M199" s="257"/>
      <c r="N199" s="257"/>
      <c r="O199" s="61"/>
      <c r="P199" s="61"/>
      <c r="Q199" s="61"/>
      <c r="R199" s="61"/>
      <c r="S199" s="276"/>
      <c r="T199" s="55"/>
      <c r="U199" s="55"/>
      <c r="V199" s="55"/>
      <c r="W199" s="283"/>
      <c r="X199" s="278"/>
      <c r="Y199" s="61"/>
      <c r="Z199" s="61"/>
      <c r="AA199" s="61"/>
      <c r="AB199" s="61"/>
    </row>
    <row r="200" spans="1:32">
      <c r="A200" s="169"/>
      <c r="F200" s="224" t="s">
        <v>1149</v>
      </c>
      <c r="H200" s="173"/>
      <c r="I200" s="173"/>
      <c r="J200" s="256">
        <v>2030</v>
      </c>
      <c r="K200" s="257"/>
      <c r="L200" s="257"/>
      <c r="M200" s="257"/>
      <c r="N200" s="257"/>
      <c r="O200" s="61"/>
      <c r="P200" s="61"/>
      <c r="Q200" s="61"/>
      <c r="R200" s="61"/>
      <c r="S200" s="276"/>
      <c r="T200" s="55"/>
      <c r="U200" s="55"/>
      <c r="V200" s="55"/>
      <c r="W200" s="283"/>
      <c r="X200" s="278"/>
      <c r="Y200" s="61"/>
      <c r="Z200" s="61"/>
      <c r="AA200" s="61"/>
      <c r="AB200" s="61"/>
    </row>
    <row r="201" spans="1:32">
      <c r="A201" s="169"/>
      <c r="D201" s="203"/>
      <c r="E201" s="203"/>
      <c r="F201" s="224" t="s">
        <v>1149</v>
      </c>
      <c r="G201" s="203"/>
      <c r="H201" s="266"/>
      <c r="I201" s="266"/>
      <c r="J201" s="256">
        <v>2050</v>
      </c>
      <c r="K201" s="257"/>
      <c r="L201" s="257"/>
      <c r="M201" s="257"/>
      <c r="N201" s="257"/>
      <c r="O201" s="61"/>
      <c r="P201" s="61"/>
      <c r="Q201" s="61"/>
      <c r="R201" s="61"/>
      <c r="S201" s="276"/>
      <c r="T201" s="55"/>
      <c r="U201" s="55"/>
      <c r="V201" s="55"/>
      <c r="W201" s="283"/>
      <c r="X201" s="278"/>
      <c r="Y201" s="61"/>
      <c r="Z201" s="61"/>
      <c r="AA201" s="61"/>
      <c r="AB201" s="61"/>
    </row>
    <row r="202" spans="1:32">
      <c r="A202" s="169" t="s">
        <v>2057</v>
      </c>
      <c r="B202" s="224" t="s">
        <v>2064</v>
      </c>
      <c r="D202" s="212" t="str">
        <f>"IND"&amp;RIGHT(H202,4)&amp;"DSL"&amp;"N"&amp;RIGHT(E202,1)</f>
        <v>INDGDTFDSLN1</v>
      </c>
      <c r="E202" s="224" t="str">
        <f>"Industry "&amp;$AJ$12&amp;" "&amp;RIGHT(H202,2)&amp;" Tractors, Trucks, Fishing boats - New 1"</f>
        <v>Industry Glass &amp; Concrete TF Tractors, Trucks, Fishing boats - New 1</v>
      </c>
      <c r="F202" s="224" t="s">
        <v>1149</v>
      </c>
      <c r="G202" s="173" t="s">
        <v>2081</v>
      </c>
      <c r="H202" s="174" t="str">
        <f>$AI$18</f>
        <v>IGDTF</v>
      </c>
      <c r="I202" s="174"/>
      <c r="J202" s="81">
        <v>2011</v>
      </c>
      <c r="K202" s="81">
        <v>2011</v>
      </c>
      <c r="L202" s="1127">
        <f>L203</f>
        <v>1</v>
      </c>
      <c r="M202" s="256"/>
      <c r="N202" s="256">
        <v>20</v>
      </c>
      <c r="O202" s="1127">
        <f>O203</f>
        <v>30.836264040545181</v>
      </c>
      <c r="P202" s="254"/>
      <c r="Q202" s="254"/>
      <c r="R202" s="1126">
        <v>1</v>
      </c>
      <c r="S202" s="1127">
        <v>1</v>
      </c>
      <c r="T202" s="228"/>
      <c r="U202" s="228"/>
      <c r="V202" s="228"/>
      <c r="W202" s="287"/>
      <c r="X202" s="55"/>
      <c r="Y202" s="55"/>
      <c r="Z202" s="55"/>
      <c r="AA202" s="55"/>
      <c r="AB202" s="55"/>
    </row>
    <row r="203" spans="1:32">
      <c r="A203" s="169" t="s">
        <v>2057</v>
      </c>
      <c r="B203" s="224" t="s">
        <v>2064</v>
      </c>
      <c r="D203" s="55"/>
      <c r="E203" s="55"/>
      <c r="F203" s="224" t="s">
        <v>1149</v>
      </c>
      <c r="G203" s="55"/>
      <c r="H203" s="174"/>
      <c r="I203" s="174"/>
      <c r="J203" s="256">
        <v>2017</v>
      </c>
      <c r="K203" s="256"/>
      <c r="L203" s="1127">
        <f>1/SUMIFS(Transport!$AS$13:$AS$264,Transport!$D$13:$D$264,$B203,Transport!$E$13:$E$264,$A203,Transport!$A$13:$A$264,$J203)</f>
        <v>1</v>
      </c>
      <c r="M203" s="256"/>
      <c r="N203" s="256"/>
      <c r="O203" s="1127">
        <f>SUMIFS(Transport!$AT$13:$AT$264,Transport!$D$13:$D$264,$B203,Transport!$E$13:$E$264,$A203,Transport!$A$13:$A$264,$J203)/1000*6.5</f>
        <v>30.836264040545181</v>
      </c>
      <c r="P203" s="254"/>
      <c r="Q203" s="254"/>
      <c r="R203" s="1126"/>
      <c r="S203" s="275"/>
      <c r="T203" s="228"/>
      <c r="U203" s="228"/>
      <c r="V203" s="228"/>
      <c r="W203" s="228"/>
      <c r="X203" s="55"/>
      <c r="Y203" s="55"/>
      <c r="Z203" s="55"/>
      <c r="AA203" s="55"/>
      <c r="AB203" s="55"/>
    </row>
    <row r="204" spans="1:32">
      <c r="A204" s="169" t="s">
        <v>2057</v>
      </c>
      <c r="B204" s="224" t="s">
        <v>2064</v>
      </c>
      <c r="D204" s="55"/>
      <c r="E204" s="55"/>
      <c r="F204" s="224" t="s">
        <v>1149</v>
      </c>
      <c r="G204" s="55"/>
      <c r="J204" s="256">
        <v>2030</v>
      </c>
      <c r="K204" s="256"/>
      <c r="L204" s="1127">
        <f>1/SUMIFS(Transport!$AS$13:$AS$264,Transport!$D$13:$D$264,$B204,Transport!$E$13:$E$264,$A204,Transport!$A$13:$A$264,$J204)</f>
        <v>1.4579105312754643</v>
      </c>
      <c r="M204" s="256"/>
      <c r="N204" s="256"/>
      <c r="O204" s="1127">
        <f>SUMIFS(Transport!$AT$13:$AT$264,Transport!$D$13:$D$264,$B204,Transport!$E$13:$E$264,$A204,Transport!$A$13:$A$264,$J204)/1000*6.5</f>
        <v>31.806294618979205</v>
      </c>
      <c r="P204" s="254"/>
      <c r="Q204" s="254"/>
      <c r="R204" s="1126"/>
      <c r="S204" s="275"/>
      <c r="T204" s="228"/>
      <c r="U204" s="228"/>
      <c r="V204" s="228"/>
      <c r="W204" s="228"/>
      <c r="X204" s="55"/>
      <c r="Y204" s="55"/>
      <c r="Z204" s="55"/>
      <c r="AA204" s="55"/>
      <c r="AB204" s="55"/>
    </row>
    <row r="205" spans="1:32">
      <c r="A205" s="169" t="s">
        <v>2057</v>
      </c>
      <c r="B205" s="224" t="s">
        <v>2064</v>
      </c>
      <c r="D205" s="55"/>
      <c r="E205" s="55"/>
      <c r="F205" s="224" t="s">
        <v>1149</v>
      </c>
      <c r="G205" s="55"/>
      <c r="J205" s="256">
        <v>2050</v>
      </c>
      <c r="K205" s="256"/>
      <c r="L205" s="1127">
        <f>1/SUMIFS(Transport!$AS$13:$AS$264,Transport!$D$13:$D$264,$B205,Transport!$E$13:$E$264,$A205,Transport!$A$13:$A$264,$J205)</f>
        <v>1.612189818950156</v>
      </c>
      <c r="M205" s="256"/>
      <c r="N205" s="256"/>
      <c r="O205" s="1127">
        <f>SUMIFS(Transport!$AT$13:$AT$264,Transport!$D$13:$D$264,$B205,Transport!$E$13:$E$264,$A205,Transport!$A$13:$A$264,$J205)/1000*6.5</f>
        <v>32.165108628526795</v>
      </c>
      <c r="P205" s="254"/>
      <c r="Q205" s="254"/>
      <c r="R205" s="1126"/>
      <c r="S205" s="275"/>
      <c r="T205" s="228"/>
      <c r="U205" s="228"/>
      <c r="V205" s="228"/>
      <c r="W205" s="228"/>
      <c r="X205" s="55"/>
      <c r="Y205" s="55"/>
      <c r="Z205" s="55"/>
      <c r="AA205" s="55"/>
      <c r="AB205" s="55"/>
    </row>
    <row r="206" spans="1:32">
      <c r="A206" s="169" t="s">
        <v>2062</v>
      </c>
      <c r="B206" s="224" t="s">
        <v>2064</v>
      </c>
      <c r="D206" s="212" t="str">
        <f>"IND"&amp;RIGHT(H206,4)&amp;"H2G"&amp;"N"&amp;RIGHT(E206,1)</f>
        <v>INDGDTFH2GN2</v>
      </c>
      <c r="E206" s="224" t="str">
        <f>"Industry "&amp;$AJ$12&amp;" "&amp;RIGHT(H206,2)&amp;" Tractors, Trucks, Fishing boats - New 2"</f>
        <v>Industry Glass &amp; Concrete TF Tractors, Trucks, Fishing boats - New 2</v>
      </c>
      <c r="F206" s="224" t="s">
        <v>1149</v>
      </c>
      <c r="G206" s="55" t="s">
        <v>2077</v>
      </c>
      <c r="H206" s="174" t="str">
        <f>$AI$18</f>
        <v>IGDTF</v>
      </c>
      <c r="I206" s="174"/>
      <c r="J206" s="81">
        <v>2017</v>
      </c>
      <c r="K206" s="81">
        <v>2030</v>
      </c>
      <c r="L206" s="1127">
        <f>1/SUMIFS(Transport!$AS$13:$AS$264,Transport!$D$13:$D$264,$B206,Transport!$E$13:$E$264,$A206,Transport!$A$13:$A$264,$J206)</f>
        <v>1.6201914448931107</v>
      </c>
      <c r="M206" s="256"/>
      <c r="N206" s="256">
        <v>20</v>
      </c>
      <c r="O206" s="1127">
        <f>SUMIFS(Transport!$AT$13:$AT$264,Transport!$D$13:$D$264,$B206,Transport!$E$13:$E$264,$A206,Transport!$A$13:$A$264,$J206)/1000*6.5</f>
        <v>81.840656028484005</v>
      </c>
      <c r="P206" s="254"/>
      <c r="Q206" s="254"/>
      <c r="R206" s="1126">
        <v>1</v>
      </c>
      <c r="S206" s="1127">
        <v>1</v>
      </c>
      <c r="T206" s="228"/>
      <c r="U206" s="228"/>
      <c r="V206" s="228"/>
      <c r="W206" s="287"/>
      <c r="X206" s="55"/>
      <c r="Y206" s="55"/>
      <c r="Z206" s="55"/>
      <c r="AA206" s="55"/>
      <c r="AB206" s="55"/>
    </row>
    <row r="207" spans="1:32">
      <c r="A207" s="169" t="s">
        <v>2062</v>
      </c>
      <c r="B207" s="224" t="s">
        <v>2064</v>
      </c>
      <c r="D207" s="55"/>
      <c r="E207" s="55"/>
      <c r="F207" s="224" t="s">
        <v>1149</v>
      </c>
      <c r="G207" s="55"/>
      <c r="H207" s="174"/>
      <c r="I207" s="174"/>
      <c r="J207" s="256">
        <v>2017</v>
      </c>
      <c r="K207" s="256"/>
      <c r="L207" s="1127">
        <f>1/SUMIFS(Transport!$AS$13:$AS$264,Transport!$D$13:$D$264,$B207,Transport!$E$13:$E$264,$A207,Transport!$A$13:$A$264,$J207)</f>
        <v>1.6201914448931107</v>
      </c>
      <c r="M207" s="256"/>
      <c r="N207" s="256"/>
      <c r="O207" s="1127">
        <f>SUMIFS(Transport!$AT$13:$AT$264,Transport!$D$13:$D$264,$B207,Transport!$E$13:$E$264,$A207,Transport!$A$13:$A$264,$J207)/1000*6.5</f>
        <v>81.840656028484005</v>
      </c>
      <c r="P207" s="254"/>
      <c r="Q207" s="254"/>
      <c r="R207" s="1126"/>
      <c r="S207" s="275"/>
      <c r="T207" s="228"/>
      <c r="U207" s="228"/>
      <c r="V207" s="228"/>
      <c r="W207" s="228"/>
      <c r="X207" s="55"/>
      <c r="Y207" s="55"/>
      <c r="Z207" s="55"/>
      <c r="AA207" s="55"/>
      <c r="AB207" s="55"/>
    </row>
    <row r="208" spans="1:32">
      <c r="A208" s="169" t="s">
        <v>2062</v>
      </c>
      <c r="B208" s="224" t="s">
        <v>2064</v>
      </c>
      <c r="D208" s="55"/>
      <c r="E208" s="55"/>
      <c r="F208" s="224" t="s">
        <v>1149</v>
      </c>
      <c r="G208" s="55"/>
      <c r="J208" s="256">
        <v>2030</v>
      </c>
      <c r="K208" s="256"/>
      <c r="L208" s="1127">
        <f>1/SUMIFS(Transport!$AS$13:$AS$264,Transport!$D$13:$D$264,$B208,Transport!$E$13:$E$264,$A208,Transport!$A$13:$A$264,$J208)</f>
        <v>2.4143776559781225</v>
      </c>
      <c r="M208" s="256"/>
      <c r="N208" s="256"/>
      <c r="O208" s="1127">
        <f>SUMIFS(Transport!$AT$13:$AT$264,Transport!$D$13:$D$264,$B208,Transport!$E$13:$E$264,$A208,Transport!$A$13:$A$264,$J208)/1000*6.5</f>
        <v>34.253254247071318</v>
      </c>
      <c r="P208" s="254"/>
      <c r="Q208" s="254"/>
      <c r="R208" s="1126"/>
      <c r="S208" s="275"/>
      <c r="T208" s="228"/>
      <c r="U208" s="228"/>
      <c r="V208" s="228"/>
      <c r="W208" s="228"/>
      <c r="X208" s="55"/>
      <c r="Y208" s="55"/>
      <c r="Z208" s="55"/>
      <c r="AA208" s="55"/>
      <c r="AB208" s="55"/>
    </row>
    <row r="209" spans="1:28">
      <c r="A209" s="169" t="s">
        <v>2062</v>
      </c>
      <c r="B209" s="224" t="s">
        <v>2064</v>
      </c>
      <c r="D209" s="55"/>
      <c r="E209" s="55"/>
      <c r="F209" s="224" t="s">
        <v>1149</v>
      </c>
      <c r="G209" s="55"/>
      <c r="J209" s="256">
        <v>2050</v>
      </c>
      <c r="K209" s="256"/>
      <c r="L209" s="1127">
        <f>1/SUMIFS(Transport!$AS$13:$AS$264,Transport!$D$13:$D$264,$B209,Transport!$E$13:$E$264,$A209,Transport!$A$13:$A$264,$J209)</f>
        <v>2.9956358502626648</v>
      </c>
      <c r="M209" s="256"/>
      <c r="N209" s="256"/>
      <c r="O209" s="1127">
        <f>SUMIFS(Transport!$AT$13:$AT$264,Transport!$D$13:$D$264,$B209,Transport!$E$13:$E$264,$A209,Transport!$A$13:$A$264,$J209)/1000*6.5</f>
        <v>28.800352543800432</v>
      </c>
      <c r="P209" s="254"/>
      <c r="Q209" s="254"/>
      <c r="R209" s="1126"/>
      <c r="S209" s="275"/>
      <c r="T209" s="228"/>
      <c r="U209" s="228"/>
      <c r="V209" s="228"/>
      <c r="W209" s="228"/>
      <c r="X209" s="55"/>
      <c r="Y209" s="55"/>
      <c r="Z209" s="55"/>
      <c r="AA209" s="55"/>
      <c r="AB209" s="55"/>
    </row>
    <row r="210" spans="1:28">
      <c r="A210" s="169" t="s">
        <v>2061</v>
      </c>
      <c r="B210" s="224" t="s">
        <v>2064</v>
      </c>
      <c r="D210" s="212" t="str">
        <f>"IND"&amp;RIGHT(H210,4)&amp;"ELC"&amp;"N"&amp;RIGHT(E210,1)</f>
        <v>INDGDTFELCN3</v>
      </c>
      <c r="E210" s="224" t="str">
        <f>"Industry "&amp;$AJ$12&amp;" "&amp;RIGHT(H210,2)&amp;" Tractors, Trucks, Fishing boats - New 3"</f>
        <v>Industry Glass &amp; Concrete TF Tractors, Trucks, Fishing boats - New 3</v>
      </c>
      <c r="F210" s="224" t="s">
        <v>1149</v>
      </c>
      <c r="G210" s="55" t="s">
        <v>499</v>
      </c>
      <c r="H210" s="174" t="str">
        <f>$AI$18</f>
        <v>IGDTF</v>
      </c>
      <c r="I210" s="174"/>
      <c r="J210" s="81">
        <v>2017</v>
      </c>
      <c r="K210" s="81">
        <v>2025</v>
      </c>
      <c r="L210" s="1127">
        <f>1/SUMIFS(Transport!$AS$13:$AS$264,Transport!$D$13:$D$264,$B210,Transport!$E$13:$E$264,$A210,Transport!$A$13:$A$264,$J210)</f>
        <v>3.2991956437648962</v>
      </c>
      <c r="M210" s="256"/>
      <c r="N210" s="256">
        <v>20</v>
      </c>
      <c r="O210" s="1127">
        <f>SUMIFS(Transport!$AT$13:$AT$264,Transport!$D$13:$D$264,$B210,Transport!$E$13:$E$264,$A210,Transport!$A$13:$A$264,$J210)/1000*6.5</f>
        <v>72.592990417868862</v>
      </c>
      <c r="P210" s="254"/>
      <c r="Q210" s="254"/>
      <c r="R210" s="1126">
        <v>1</v>
      </c>
      <c r="S210" s="1127">
        <v>1</v>
      </c>
      <c r="T210" s="228"/>
      <c r="U210" s="228"/>
      <c r="V210" s="228"/>
      <c r="W210" s="287"/>
      <c r="X210" s="55"/>
      <c r="Y210" s="55"/>
      <c r="Z210" s="55"/>
      <c r="AA210" s="55"/>
      <c r="AB210" s="55"/>
    </row>
    <row r="211" spans="1:28">
      <c r="A211" s="169" t="s">
        <v>2061</v>
      </c>
      <c r="B211" s="224" t="s">
        <v>2064</v>
      </c>
      <c r="D211" s="55"/>
      <c r="E211" s="55"/>
      <c r="F211" s="224" t="s">
        <v>1149</v>
      </c>
      <c r="G211" s="55"/>
      <c r="H211" s="174"/>
      <c r="I211" s="174"/>
      <c r="J211" s="256">
        <v>2017</v>
      </c>
      <c r="K211" s="256"/>
      <c r="L211" s="1127">
        <f>1/SUMIFS(Transport!$AS$13:$AS$264,Transport!$D$13:$D$264,$B211,Transport!$E$13:$E$264,$A211,Transport!$A$13:$A$264,$J211)</f>
        <v>3.2991956437648962</v>
      </c>
      <c r="M211" s="256"/>
      <c r="N211" s="256"/>
      <c r="O211" s="1127">
        <f>SUMIFS(Transport!$AT$13:$AT$264,Transport!$D$13:$D$264,$B211,Transport!$E$13:$E$264,$A211,Transport!$A$13:$A$264,$J211)/1000*6.5</f>
        <v>72.592990417868862</v>
      </c>
      <c r="P211" s="254"/>
      <c r="Q211" s="254"/>
      <c r="R211" s="201"/>
      <c r="S211" s="275"/>
      <c r="T211" s="228"/>
      <c r="U211" s="228"/>
      <c r="V211" s="228"/>
      <c r="W211" s="228"/>
      <c r="X211" s="55"/>
      <c r="Y211" s="55"/>
      <c r="Z211" s="55"/>
      <c r="AA211" s="55"/>
      <c r="AB211" s="55"/>
    </row>
    <row r="212" spans="1:28">
      <c r="A212" s="169" t="s">
        <v>2061</v>
      </c>
      <c r="B212" s="224" t="s">
        <v>2064</v>
      </c>
      <c r="D212" s="55"/>
      <c r="E212" s="55"/>
      <c r="F212" s="224" t="s">
        <v>1149</v>
      </c>
      <c r="G212" s="55"/>
      <c r="J212" s="256">
        <v>2030</v>
      </c>
      <c r="K212" s="256"/>
      <c r="L212" s="1127">
        <f>1/SUMIFS(Transport!$AS$13:$AS$264,Transport!$D$13:$D$264,$B212,Transport!$E$13:$E$264,$A212,Transport!$A$13:$A$264,$J212)</f>
        <v>3.2991956437648962</v>
      </c>
      <c r="M212" s="256"/>
      <c r="N212" s="256"/>
      <c r="O212" s="1127">
        <f>SUMIFS(Transport!$AT$13:$AT$264,Transport!$D$13:$D$264,$B212,Transport!$E$13:$E$264,$A212,Transport!$A$13:$A$264,$J212)/1000*6.5</f>
        <v>35.973025982850046</v>
      </c>
      <c r="P212" s="254"/>
      <c r="Q212" s="254"/>
      <c r="R212" s="201"/>
      <c r="S212" s="275"/>
      <c r="T212" s="228"/>
      <c r="U212" s="228"/>
      <c r="V212" s="228"/>
      <c r="W212" s="228"/>
      <c r="X212" s="55"/>
      <c r="Y212" s="55"/>
      <c r="Z212" s="55"/>
      <c r="AA212" s="55"/>
      <c r="AB212" s="55"/>
    </row>
    <row r="213" spans="1:28">
      <c r="A213" s="169" t="s">
        <v>2061</v>
      </c>
      <c r="B213" s="224" t="s">
        <v>2064</v>
      </c>
      <c r="D213" s="55"/>
      <c r="E213" s="55"/>
      <c r="F213" s="224" t="s">
        <v>1149</v>
      </c>
      <c r="G213" s="55"/>
      <c r="J213" s="256">
        <v>2050</v>
      </c>
      <c r="K213" s="256"/>
      <c r="L213" s="1127">
        <f>1/SUMIFS(Transport!$AS$13:$AS$264,Transport!$D$13:$D$264,$B213,Transport!$E$13:$E$264,$A213,Transport!$A$13:$A$264,$J213)</f>
        <v>3.2991956437648962</v>
      </c>
      <c r="M213" s="256"/>
      <c r="N213" s="256"/>
      <c r="O213" s="1127">
        <f>SUMIFS(Transport!$AT$13:$AT$264,Transport!$D$13:$D$264,$B213,Transport!$E$13:$E$264,$A213,Transport!$A$13:$A$264,$J213)/1000*6.5</f>
        <v>28.759134300809922</v>
      </c>
      <c r="P213" s="254"/>
      <c r="Q213" s="254"/>
      <c r="R213" s="201"/>
      <c r="S213" s="275"/>
      <c r="T213" s="228"/>
      <c r="U213" s="228"/>
      <c r="V213" s="228"/>
      <c r="W213" s="228"/>
      <c r="X213" s="55"/>
      <c r="Y213" s="55"/>
      <c r="Z213" s="55"/>
      <c r="AA213" s="55"/>
      <c r="AB213" s="55"/>
    </row>
    <row r="214" spans="1:28">
      <c r="A214" s="169"/>
      <c r="D214" s="212" t="str">
        <f>"IND"&amp;RIGHT(H214,4)&amp;RIGHT(G214,3)&amp;"N"&amp;RIGHT(E214,1)</f>
        <v>INDGDFLSYNN1</v>
      </c>
      <c r="E214" s="224" t="str">
        <f>"Industry "&amp;$AJ$12&amp;" "&amp;RIGHT(H202,2)&amp;" Forklifts - New 1"</f>
        <v>Industry Glass &amp; Concrete TF Forklifts - New 1</v>
      </c>
      <c r="F214" s="224" t="s">
        <v>1149</v>
      </c>
      <c r="G214" s="173" t="s">
        <v>2082</v>
      </c>
      <c r="H214" s="224" t="str">
        <f>AI19</f>
        <v>IGDFL</v>
      </c>
      <c r="J214" s="81">
        <v>2011</v>
      </c>
      <c r="K214" s="81">
        <v>2011</v>
      </c>
      <c r="L214" s="256">
        <v>1</v>
      </c>
      <c r="M214" s="256"/>
      <c r="N214" s="256">
        <v>10</v>
      </c>
      <c r="O214" s="254"/>
      <c r="P214" s="254"/>
      <c r="Q214" s="254"/>
      <c r="R214" s="201"/>
      <c r="S214" s="275">
        <v>0.9</v>
      </c>
      <c r="T214" s="228"/>
      <c r="U214" s="228"/>
      <c r="V214" s="228"/>
      <c r="W214" s="228"/>
      <c r="X214" s="55"/>
      <c r="Y214" s="55"/>
      <c r="Z214" s="55"/>
      <c r="AA214" s="55"/>
      <c r="AB214" s="55"/>
    </row>
    <row r="215" spans="1:28">
      <c r="A215" s="169"/>
      <c r="D215" s="55"/>
      <c r="E215" s="55"/>
      <c r="F215" s="224" t="s">
        <v>1149</v>
      </c>
      <c r="G215" s="55"/>
      <c r="H215" s="174"/>
      <c r="I215" s="174"/>
      <c r="J215" s="256">
        <v>2020</v>
      </c>
      <c r="K215" s="256"/>
      <c r="L215" s="256"/>
      <c r="M215" s="256"/>
      <c r="N215" s="257"/>
      <c r="O215" s="61"/>
      <c r="P215" s="61"/>
      <c r="Q215" s="61"/>
      <c r="R215" s="61"/>
      <c r="S215" s="276"/>
      <c r="T215" s="55"/>
      <c r="U215" s="55"/>
      <c r="V215" s="55"/>
      <c r="W215" s="55"/>
      <c r="X215" s="55"/>
      <c r="Y215" s="55"/>
      <c r="Z215" s="55"/>
      <c r="AA215" s="55"/>
      <c r="AB215" s="55"/>
    </row>
    <row r="216" spans="1:28">
      <c r="A216" s="169"/>
      <c r="D216" s="55"/>
      <c r="E216" s="55"/>
      <c r="F216" s="224" t="s">
        <v>1149</v>
      </c>
      <c r="G216" s="55"/>
      <c r="J216" s="256">
        <v>2030</v>
      </c>
      <c r="K216" s="256"/>
      <c r="L216" s="256"/>
      <c r="M216" s="256"/>
      <c r="N216" s="257"/>
      <c r="O216" s="61"/>
      <c r="P216" s="61"/>
      <c r="Q216" s="61"/>
      <c r="R216" s="61"/>
      <c r="S216" s="276"/>
      <c r="T216" s="55"/>
      <c r="U216" s="55"/>
      <c r="V216" s="55"/>
      <c r="W216" s="55"/>
      <c r="X216" s="55"/>
      <c r="Y216" s="55"/>
      <c r="Z216" s="55"/>
      <c r="AA216" s="55"/>
      <c r="AB216" s="55"/>
    </row>
    <row r="217" spans="1:28">
      <c r="A217" s="169"/>
      <c r="D217" s="55"/>
      <c r="E217" s="55"/>
      <c r="F217" s="224" t="s">
        <v>1149</v>
      </c>
      <c r="G217" s="55"/>
      <c r="H217" s="174"/>
      <c r="I217" s="174"/>
      <c r="J217" s="256">
        <v>2050</v>
      </c>
      <c r="K217" s="256"/>
      <c r="L217" s="256"/>
      <c r="M217" s="256"/>
      <c r="N217" s="257"/>
      <c r="O217" s="61"/>
      <c r="P217" s="61"/>
      <c r="Q217" s="61"/>
      <c r="R217" s="61"/>
      <c r="S217" s="276"/>
      <c r="T217" s="55"/>
      <c r="U217" s="55"/>
      <c r="V217" s="55"/>
      <c r="W217" s="55"/>
      <c r="X217" s="55"/>
      <c r="Y217" s="55"/>
      <c r="Z217" s="55"/>
      <c r="AA217" s="55"/>
      <c r="AB217" s="55"/>
    </row>
    <row r="218" spans="1:28">
      <c r="A218" s="169" t="s">
        <v>2109</v>
      </c>
      <c r="D218" s="212" t="str">
        <f>"IND"&amp;RIGHT(H218,4)&amp;RIGHT(G218,3)&amp;"N"&amp;RIGHT(E218,1)</f>
        <v>INDGDCOELCN1</v>
      </c>
      <c r="E218" s="224" t="str">
        <f>"Industry "&amp;$AJ$12&amp;" "&amp;RIGHT(H218,2)&amp;" Cooling - New 1"</f>
        <v>Industry Glass &amp; Concrete CO Cooling - New 1</v>
      </c>
      <c r="F218" s="224" t="s">
        <v>1149</v>
      </c>
      <c r="G218" s="173" t="s">
        <v>499</v>
      </c>
      <c r="H218" s="224" t="str">
        <f>AI21</f>
        <v>IGDCO</v>
      </c>
      <c r="J218" s="82">
        <v>2015</v>
      </c>
      <c r="K218" s="82">
        <v>2015</v>
      </c>
      <c r="L218" s="1128">
        <v>1</v>
      </c>
      <c r="M218" s="1129"/>
      <c r="N218" s="1129">
        <v>12</v>
      </c>
      <c r="O218" s="1130">
        <v>3.3525</v>
      </c>
      <c r="P218" s="1131">
        <v>0.31662500000000005</v>
      </c>
      <c r="Q218" s="1131"/>
      <c r="R218" s="1132">
        <v>3.1536000000000002E-2</v>
      </c>
      <c r="S218" s="1133">
        <v>8.3999999999999991E-2</v>
      </c>
    </row>
    <row r="219" spans="1:28">
      <c r="A219" s="169"/>
      <c r="F219" s="224" t="s">
        <v>1149</v>
      </c>
      <c r="H219" s="173"/>
      <c r="I219" s="173"/>
      <c r="J219" s="1129">
        <v>2020</v>
      </c>
      <c r="K219" s="1129"/>
      <c r="L219" s="1128">
        <v>1</v>
      </c>
      <c r="M219" s="1129"/>
      <c r="N219" s="257">
        <v>12</v>
      </c>
      <c r="O219" s="61">
        <v>3.1662499999999998</v>
      </c>
      <c r="P219" s="61">
        <v>0.30110722454958749</v>
      </c>
      <c r="Q219" s="61"/>
      <c r="R219" s="61">
        <v>3.1536000000000002E-2</v>
      </c>
      <c r="S219" s="276">
        <v>8.3999999999999991E-2</v>
      </c>
    </row>
    <row r="220" spans="1:28">
      <c r="A220" s="169"/>
      <c r="F220" s="224" t="s">
        <v>1149</v>
      </c>
      <c r="J220" s="1129">
        <v>2030</v>
      </c>
      <c r="K220" s="1129"/>
      <c r="L220" s="1128">
        <v>1</v>
      </c>
      <c r="M220" s="1129"/>
      <c r="N220" s="257">
        <v>12</v>
      </c>
      <c r="O220" s="61">
        <v>3.1662499999999998</v>
      </c>
      <c r="P220" s="61">
        <v>0.30110722454958749</v>
      </c>
      <c r="Q220" s="61"/>
      <c r="R220" s="61">
        <v>3.1536000000000002E-2</v>
      </c>
      <c r="S220" s="276">
        <v>8.3999999999999991E-2</v>
      </c>
    </row>
    <row r="221" spans="1:28">
      <c r="A221" s="169"/>
      <c r="F221" s="224" t="s">
        <v>1149</v>
      </c>
      <c r="H221" s="173"/>
      <c r="I221" s="173"/>
      <c r="J221" s="1129">
        <v>2050</v>
      </c>
      <c r="K221" s="1129"/>
      <c r="L221" s="1128">
        <v>1</v>
      </c>
      <c r="M221" s="1129"/>
      <c r="N221" s="257">
        <v>12</v>
      </c>
      <c r="O221" s="61">
        <v>3.1662499999999998</v>
      </c>
      <c r="P221" s="61">
        <v>0.30110722454958749</v>
      </c>
      <c r="Q221" s="61"/>
      <c r="R221" s="61">
        <v>3.1536000000000002E-2</v>
      </c>
      <c r="S221" s="276">
        <v>8.3999999999999991E-2</v>
      </c>
    </row>
    <row r="222" spans="1:28">
      <c r="A222" s="169"/>
    </row>
    <row r="223" spans="1:28">
      <c r="A223" s="169"/>
    </row>
    <row r="224" spans="1:28">
      <c r="A224" s="169"/>
    </row>
    <row r="225" spans="1:10">
      <c r="A225" s="169"/>
    </row>
    <row r="226" spans="1:10">
      <c r="A226" s="169"/>
      <c r="C226" s="207" t="s">
        <v>467</v>
      </c>
      <c r="D226" s="208"/>
      <c r="E226" s="208"/>
      <c r="F226" s="208"/>
      <c r="G226" s="208"/>
      <c r="H226" s="208"/>
      <c r="I226" s="208"/>
      <c r="J226" s="208"/>
    </row>
    <row r="227" spans="1:10">
      <c r="A227" s="169"/>
      <c r="C227" s="209" t="s">
        <v>466</v>
      </c>
      <c r="D227" s="209" t="s">
        <v>425</v>
      </c>
      <c r="E227" s="209" t="s">
        <v>465</v>
      </c>
      <c r="F227" s="209" t="s">
        <v>464</v>
      </c>
      <c r="G227" s="209" t="s">
        <v>463</v>
      </c>
      <c r="H227" s="209" t="s">
        <v>462</v>
      </c>
      <c r="I227" s="209" t="s">
        <v>461</v>
      </c>
      <c r="J227" s="209" t="s">
        <v>460</v>
      </c>
    </row>
    <row r="228" spans="1:10" ht="21" thickBot="1">
      <c r="A228" s="169"/>
      <c r="C228" s="210" t="s">
        <v>459</v>
      </c>
      <c r="D228" s="210" t="s">
        <v>458</v>
      </c>
      <c r="E228" s="210" t="s">
        <v>457</v>
      </c>
      <c r="F228" s="210" t="s">
        <v>456</v>
      </c>
      <c r="G228" s="210" t="s">
        <v>455</v>
      </c>
      <c r="H228" s="210" t="s">
        <v>454</v>
      </c>
      <c r="I228" s="210" t="s">
        <v>453</v>
      </c>
      <c r="J228" s="210" t="s">
        <v>452</v>
      </c>
    </row>
    <row r="229" spans="1:10">
      <c r="A229" s="169"/>
      <c r="C229" s="211" t="s">
        <v>504</v>
      </c>
      <c r="D229" s="212" t="str">
        <f>D9</f>
        <v>INDGDPHELCN1</v>
      </c>
      <c r="E229" s="212" t="str">
        <f t="shared" ref="E229:E260" si="267">VLOOKUP(D229,$D$9:$E$222,2,FALSE)</f>
        <v>Industrial heating technology Glass &amp; Concrete PH - Heat pump utilizing waste heat - new 1</v>
      </c>
      <c r="F229" s="211" t="s">
        <v>450</v>
      </c>
      <c r="G229" s="211" t="s">
        <v>449</v>
      </c>
      <c r="H229" s="263" t="s">
        <v>620</v>
      </c>
      <c r="I229" s="301"/>
      <c r="J229" s="208" t="s">
        <v>469</v>
      </c>
    </row>
    <row r="230" spans="1:10">
      <c r="A230" s="169"/>
      <c r="B230" s="301"/>
      <c r="C230" s="301"/>
      <c r="D230" s="212" t="str">
        <f t="shared" ref="D230:D238" ca="1" si="268">OFFSET($D$9,(ROW(D1)*6),0)</f>
        <v>INDGDSHELCN1</v>
      </c>
      <c r="E230" s="212" t="str">
        <f t="shared" ca="1" si="267"/>
        <v>Industrial heating technology Glass &amp; Concrete SH - Heat pump utilizing waste heat - new 1</v>
      </c>
      <c r="F230" s="262" t="s">
        <v>450</v>
      </c>
      <c r="G230" s="262" t="s">
        <v>449</v>
      </c>
      <c r="H230" s="263" t="s">
        <v>620</v>
      </c>
      <c r="I230" s="301"/>
      <c r="J230" s="264" t="s">
        <v>469</v>
      </c>
    </row>
    <row r="231" spans="1:10">
      <c r="A231" s="169"/>
      <c r="D231" s="212" t="str">
        <f t="shared" ca="1" si="268"/>
        <v>INDGDPHELCN2</v>
      </c>
      <c r="E231" s="212" t="str">
        <f t="shared" ca="1" si="267"/>
        <v>Industrial heating technology Glass &amp; Concrete PH - Heat driven heat pump utilizing waste heat - new 2</v>
      </c>
      <c r="F231" s="211" t="s">
        <v>450</v>
      </c>
      <c r="G231" s="211" t="s">
        <v>449</v>
      </c>
      <c r="H231" s="263" t="s">
        <v>620</v>
      </c>
      <c r="I231" s="208"/>
      <c r="J231" s="264" t="s">
        <v>469</v>
      </c>
    </row>
    <row r="232" spans="1:10">
      <c r="A232" s="169"/>
      <c r="B232" s="211"/>
      <c r="C232" s="211"/>
      <c r="D232" s="212" t="str">
        <f t="shared" ca="1" si="268"/>
        <v>INDGDSHELCN2</v>
      </c>
      <c r="E232" s="212" t="str">
        <f t="shared" ca="1" si="267"/>
        <v>Industrial heating technology Glass &amp; Concrete SH - Heat driven heat pump utilizing waste heat - new 2</v>
      </c>
      <c r="F232" s="262" t="s">
        <v>450</v>
      </c>
      <c r="G232" s="262" t="s">
        <v>449</v>
      </c>
      <c r="H232" s="263" t="s">
        <v>620</v>
      </c>
      <c r="I232" s="264"/>
      <c r="J232" s="264" t="s">
        <v>469</v>
      </c>
    </row>
    <row r="233" spans="1:10">
      <c r="A233" s="169"/>
      <c r="B233" s="211"/>
      <c r="C233" s="211"/>
      <c r="D233" s="212" t="str">
        <f t="shared" ca="1" si="268"/>
        <v>INDGDPHELCN3</v>
      </c>
      <c r="E233" s="212" t="str">
        <f t="shared" ca="1" si="267"/>
        <v>Industrial heating technology Glass &amp; Concrete PH - High Temp abs. Heat pump utilizing waste heat - new 3</v>
      </c>
      <c r="F233" s="262" t="s">
        <v>450</v>
      </c>
      <c r="G233" s="262" t="s">
        <v>449</v>
      </c>
      <c r="H233" s="263" t="s">
        <v>620</v>
      </c>
      <c r="I233" s="264"/>
      <c r="J233" s="264" t="s">
        <v>469</v>
      </c>
    </row>
    <row r="234" spans="1:10">
      <c r="A234" s="169"/>
      <c r="B234" s="211"/>
      <c r="C234" s="211"/>
      <c r="D234" s="212" t="str">
        <f t="shared" ca="1" si="268"/>
        <v>INDGDSHELCN3</v>
      </c>
      <c r="E234" s="212" t="str">
        <f t="shared" ca="1" si="267"/>
        <v>Industrial heating technology Glass &amp; Concrete SH - High Temp abs. Heat pump utilizing waste heat - new 3</v>
      </c>
      <c r="F234" s="262" t="s">
        <v>450</v>
      </c>
      <c r="G234" s="262" t="s">
        <v>449</v>
      </c>
      <c r="H234" s="263" t="s">
        <v>620</v>
      </c>
      <c r="I234" s="264"/>
      <c r="J234" s="264" t="s">
        <v>469</v>
      </c>
    </row>
    <row r="235" spans="1:10">
      <c r="A235" s="169"/>
      <c r="B235" s="211"/>
      <c r="C235" s="211"/>
      <c r="D235" s="212" t="str">
        <f t="shared" ca="1" si="268"/>
        <v>INDGDPHELCN4</v>
      </c>
      <c r="E235" s="212" t="str">
        <f t="shared" ca="1" si="267"/>
        <v>Industrial heating technology Glass &amp; Concrete PH - Booster Heat pump utilizing waste heat - new 4</v>
      </c>
      <c r="F235" s="262" t="s">
        <v>450</v>
      </c>
      <c r="G235" s="262" t="s">
        <v>449</v>
      </c>
      <c r="H235" s="263" t="s">
        <v>620</v>
      </c>
      <c r="I235" s="264"/>
      <c r="J235" s="264" t="s">
        <v>469</v>
      </c>
    </row>
    <row r="236" spans="1:10">
      <c r="A236" s="169"/>
      <c r="B236" s="211"/>
      <c r="C236" s="211"/>
      <c r="D236" s="212" t="str">
        <f t="shared" ca="1" si="268"/>
        <v>INDGDSHELCN4</v>
      </c>
      <c r="E236" s="212" t="str">
        <f t="shared" ca="1" si="267"/>
        <v>Industrial heating technology Glass &amp; Concrete SH - Booster Heat pump utilizing waste heat - new 4</v>
      </c>
      <c r="F236" s="262" t="s">
        <v>450</v>
      </c>
      <c r="G236" s="262" t="s">
        <v>449</v>
      </c>
      <c r="H236" s="263" t="s">
        <v>620</v>
      </c>
      <c r="I236" s="264"/>
      <c r="J236" s="264" t="s">
        <v>469</v>
      </c>
    </row>
    <row r="237" spans="1:10">
      <c r="A237" s="169"/>
      <c r="B237" s="211"/>
      <c r="C237" s="211"/>
      <c r="D237" s="212" t="str">
        <f t="shared" ca="1" si="268"/>
        <v>INDGDPHELCN5</v>
      </c>
      <c r="E237" s="212" t="str">
        <f t="shared" ca="1" si="267"/>
        <v>Industrial heating technology Glass &amp; Concrete PH - MVR utilizing waste heat - new 5</v>
      </c>
      <c r="F237" s="262" t="s">
        <v>450</v>
      </c>
      <c r="G237" s="262" t="s">
        <v>449</v>
      </c>
      <c r="H237" s="263"/>
      <c r="I237" s="264"/>
      <c r="J237" s="264" t="s">
        <v>469</v>
      </c>
    </row>
    <row r="238" spans="1:10">
      <c r="A238" s="169"/>
      <c r="B238" s="211"/>
      <c r="C238" s="211"/>
      <c r="D238" s="212" t="str">
        <f t="shared" ca="1" si="268"/>
        <v>INDGDPHWSTN1</v>
      </c>
      <c r="E238" s="212" t="str">
        <f t="shared" ca="1" si="267"/>
        <v>Industrial heating technology Glass &amp; Concrete PH - Hotdisc - new 1</v>
      </c>
      <c r="F238" s="262" t="s">
        <v>450</v>
      </c>
      <c r="G238" s="262" t="s">
        <v>449</v>
      </c>
      <c r="H238" s="263" t="s">
        <v>620</v>
      </c>
      <c r="I238" s="264"/>
      <c r="J238" s="264" t="s">
        <v>469</v>
      </c>
    </row>
    <row r="239" spans="1:10">
      <c r="A239" s="169"/>
      <c r="B239" s="211"/>
      <c r="C239" s="211"/>
      <c r="D239" s="212" t="str">
        <f t="shared" ref="D239:D278" ca="1" si="269">OFFSET($D$9,(ROW(D19)*3),0)</f>
        <v>INDGDPHELCN6</v>
      </c>
      <c r="E239" s="212" t="str">
        <f t="shared" ca="1" si="267"/>
        <v>Industrial heating technology Glass &amp; Concrete PH - Dielectric heating - new 6</v>
      </c>
      <c r="F239" s="262" t="s">
        <v>450</v>
      </c>
      <c r="G239" s="262" t="s">
        <v>449</v>
      </c>
      <c r="H239" s="263" t="s">
        <v>620</v>
      </c>
      <c r="I239" s="264"/>
      <c r="J239" s="264" t="s">
        <v>469</v>
      </c>
    </row>
    <row r="240" spans="1:10">
      <c r="A240" s="169"/>
      <c r="B240" s="211"/>
      <c r="C240" s="211"/>
      <c r="D240" s="212" t="str">
        <f t="shared" ca="1" si="269"/>
        <v>INDGDPHELCN7</v>
      </c>
      <c r="E240" s="212" t="str">
        <f t="shared" ca="1" si="267"/>
        <v>Industrial heating technology Glass &amp; Concrete PH - Infrared heating - new 7</v>
      </c>
      <c r="F240" s="262" t="s">
        <v>450</v>
      </c>
      <c r="G240" s="262" t="s">
        <v>449</v>
      </c>
      <c r="H240" s="263" t="s">
        <v>620</v>
      </c>
      <c r="I240" s="264"/>
      <c r="J240" s="264" t="s">
        <v>469</v>
      </c>
    </row>
    <row r="241" spans="1:16">
      <c r="A241" s="169"/>
      <c r="B241" s="211"/>
      <c r="C241" s="211"/>
      <c r="D241" s="212" t="str">
        <f t="shared" ca="1" si="269"/>
        <v>INDGDPHELCN8</v>
      </c>
      <c r="E241" s="212" t="str">
        <f t="shared" ca="1" si="267"/>
        <v>Industrial heating technology Glass &amp; Concrete PH - Electric boiler (Steam) - new 8</v>
      </c>
      <c r="F241" s="262" t="s">
        <v>450</v>
      </c>
      <c r="G241" s="262" t="s">
        <v>449</v>
      </c>
      <c r="H241" s="263" t="s">
        <v>620</v>
      </c>
      <c r="I241" s="264"/>
      <c r="J241" s="264" t="s">
        <v>469</v>
      </c>
    </row>
    <row r="242" spans="1:16">
      <c r="A242" s="169"/>
      <c r="B242" s="211"/>
      <c r="C242" s="211"/>
      <c r="D242" s="212" t="str">
        <f t="shared" ca="1" si="269"/>
        <v>INDGDPHELCN8</v>
      </c>
      <c r="E242" s="212" t="str">
        <f t="shared" ca="1" si="267"/>
        <v>Industrial heating technology Glass &amp; Concrete PH - Electric boiler (Steam) - new 8</v>
      </c>
      <c r="F242" s="262" t="s">
        <v>450</v>
      </c>
      <c r="G242" s="262" t="s">
        <v>449</v>
      </c>
      <c r="H242" s="263" t="s">
        <v>620</v>
      </c>
      <c r="I242" s="264"/>
      <c r="J242" s="264" t="s">
        <v>469</v>
      </c>
    </row>
    <row r="243" spans="1:16">
      <c r="A243" s="169"/>
      <c r="B243" s="211"/>
      <c r="C243" s="211"/>
      <c r="D243" s="212" t="str">
        <f t="shared" ca="1" si="269"/>
        <v>INDGDSHELCN8</v>
      </c>
      <c r="E243" s="212" t="str">
        <f t="shared" ca="1" si="267"/>
        <v>Industrial heating technology Glass &amp; Concrete SH - Electric boiler (Steam) - new 8</v>
      </c>
      <c r="F243" s="262" t="s">
        <v>450</v>
      </c>
      <c r="G243" s="262" t="s">
        <v>449</v>
      </c>
      <c r="H243" s="263" t="s">
        <v>620</v>
      </c>
      <c r="I243" s="264"/>
      <c r="J243" s="264" t="s">
        <v>469</v>
      </c>
      <c r="P243" s="173"/>
    </row>
    <row r="244" spans="1:16">
      <c r="A244" s="169"/>
      <c r="B244" s="211"/>
      <c r="C244" s="211"/>
      <c r="D244" s="212" t="str">
        <f t="shared" ca="1" si="269"/>
        <v>INDGDPHELCN9</v>
      </c>
      <c r="E244" s="212" t="str">
        <f t="shared" ca="1" si="267"/>
        <v>Industrial heating technology Glass &amp; Concrete PH - Electric boiler (Hot Water) - new 9</v>
      </c>
      <c r="F244" s="262" t="s">
        <v>450</v>
      </c>
      <c r="G244" s="262" t="s">
        <v>449</v>
      </c>
      <c r="H244" s="263" t="s">
        <v>620</v>
      </c>
      <c r="I244" s="264"/>
      <c r="J244" s="264" t="s">
        <v>469</v>
      </c>
      <c r="P244" s="173"/>
    </row>
    <row r="245" spans="1:16">
      <c r="A245" s="169"/>
      <c r="B245" s="211"/>
      <c r="C245" s="211"/>
      <c r="D245" s="212" t="str">
        <f t="shared" ca="1" si="269"/>
        <v>INDGDSHELCN9</v>
      </c>
      <c r="E245" s="212" t="str">
        <f t="shared" ca="1" si="267"/>
        <v>Industrial heating technology Glass &amp; Concrete SH - Electric boiler (Hot Water) - new 9</v>
      </c>
      <c r="F245" s="262" t="s">
        <v>450</v>
      </c>
      <c r="G245" s="262" t="s">
        <v>449</v>
      </c>
      <c r="H245" s="263" t="s">
        <v>620</v>
      </c>
      <c r="I245" s="264"/>
      <c r="J245" s="264" t="s">
        <v>469</v>
      </c>
      <c r="P245" s="173"/>
    </row>
    <row r="246" spans="1:16">
      <c r="A246" s="169"/>
      <c r="B246" s="211"/>
      <c r="C246" s="211"/>
      <c r="D246" s="212" t="str">
        <f t="shared" ca="1" si="269"/>
        <v>INDGDPHWCHN1</v>
      </c>
      <c r="E246" s="212" t="str">
        <f t="shared" ca="1" si="267"/>
        <v>Industrial heating technology Glass &amp; Concrete PH - Wood chip boiler (Steam) - new 1</v>
      </c>
      <c r="F246" s="262" t="s">
        <v>450</v>
      </c>
      <c r="G246" s="262" t="s">
        <v>449</v>
      </c>
      <c r="H246" s="263"/>
      <c r="I246" s="264"/>
      <c r="J246" s="264" t="s">
        <v>469</v>
      </c>
      <c r="P246" s="173"/>
    </row>
    <row r="247" spans="1:16">
      <c r="A247" s="169"/>
      <c r="B247" s="211"/>
      <c r="C247" s="211"/>
      <c r="D247" s="212" t="str">
        <f t="shared" ca="1" si="269"/>
        <v>INDGDPHWCHN1</v>
      </c>
      <c r="E247" s="212" t="str">
        <f t="shared" ca="1" si="267"/>
        <v>Industrial heating technology Glass &amp; Concrete PH - Wood chip boiler (Steam) - new 1</v>
      </c>
      <c r="F247" s="262" t="s">
        <v>450</v>
      </c>
      <c r="G247" s="262" t="s">
        <v>449</v>
      </c>
      <c r="H247" s="263"/>
      <c r="I247" s="264"/>
      <c r="J247" s="264" t="s">
        <v>469</v>
      </c>
      <c r="M247" s="171"/>
      <c r="N247" s="171"/>
      <c r="P247" s="173"/>
    </row>
    <row r="248" spans="1:16">
      <c r="A248" s="169"/>
      <c r="B248" s="211"/>
      <c r="C248" s="211"/>
      <c r="D248" s="212" t="str">
        <f t="shared" ca="1" si="269"/>
        <v>INDGDSHWCHN1</v>
      </c>
      <c r="E248" s="212" t="str">
        <f t="shared" ca="1" si="267"/>
        <v>Industrial heating technology Glass &amp; Concrete SH - Wood chip boiler (Steam) - new 1</v>
      </c>
      <c r="F248" s="262" t="s">
        <v>450</v>
      </c>
      <c r="G248" s="262" t="s">
        <v>449</v>
      </c>
      <c r="H248" s="263"/>
      <c r="I248" s="264"/>
      <c r="J248" s="264" t="s">
        <v>469</v>
      </c>
      <c r="M248" s="171"/>
      <c r="N248" s="171"/>
      <c r="P248" s="173"/>
    </row>
    <row r="249" spans="1:16">
      <c r="A249" s="169"/>
      <c r="B249" s="211"/>
      <c r="C249" s="211"/>
      <c r="D249" s="212" t="str">
        <f t="shared" ca="1" si="269"/>
        <v>INDGDPHWCHN2</v>
      </c>
      <c r="E249" s="212" t="str">
        <f t="shared" ca="1" si="267"/>
        <v>Industrial heating technology Glass &amp; Concrete PH - Wood chip boiler (Steam - condensing) - new 2</v>
      </c>
      <c r="F249" s="262" t="s">
        <v>450</v>
      </c>
      <c r="G249" s="262" t="s">
        <v>449</v>
      </c>
      <c r="H249" s="263"/>
      <c r="I249" s="264"/>
      <c r="J249" s="264" t="s">
        <v>469</v>
      </c>
      <c r="M249" s="171"/>
      <c r="N249" s="171"/>
      <c r="P249" s="173"/>
    </row>
    <row r="250" spans="1:16">
      <c r="A250" s="169"/>
      <c r="B250" s="212"/>
      <c r="C250" s="212"/>
      <c r="D250" s="212" t="str">
        <f t="shared" ca="1" si="269"/>
        <v>INDGDSHWCHN2</v>
      </c>
      <c r="E250" s="212" t="str">
        <f t="shared" ca="1" si="267"/>
        <v>Industrial heating technology Glass &amp; Concrete SH - Wood chip boiler (Steam - condensing) - new 2</v>
      </c>
      <c r="F250" s="262" t="s">
        <v>450</v>
      </c>
      <c r="G250" s="262" t="s">
        <v>449</v>
      </c>
      <c r="H250" s="263"/>
      <c r="I250" s="264"/>
      <c r="J250" s="264" t="s">
        <v>469</v>
      </c>
    </row>
    <row r="251" spans="1:16">
      <c r="A251" s="169"/>
      <c r="B251" s="212"/>
      <c r="C251" s="212"/>
      <c r="D251" s="212" t="str">
        <f t="shared" ca="1" si="269"/>
        <v>INDGDPHWCHN3</v>
      </c>
      <c r="E251" s="212" t="str">
        <f t="shared" ca="1" si="267"/>
        <v>Industrial heating technology Glass &amp; Concrete PH - Wood chip boiler (Hot Water) - new 3</v>
      </c>
      <c r="F251" s="262" t="s">
        <v>450</v>
      </c>
      <c r="G251" s="262" t="s">
        <v>449</v>
      </c>
      <c r="H251" s="261"/>
      <c r="I251" s="261"/>
      <c r="J251" s="264" t="s">
        <v>469</v>
      </c>
    </row>
    <row r="252" spans="1:16">
      <c r="A252" s="169"/>
      <c r="B252" s="212"/>
      <c r="C252" s="212"/>
      <c r="D252" s="212" t="str">
        <f t="shared" ca="1" si="269"/>
        <v>INDGDSHWCHN3</v>
      </c>
      <c r="E252" s="212" t="str">
        <f t="shared" ca="1" si="267"/>
        <v>Industrial heating technology Glass &amp; Concrete SH - Wood chip boiler (Hot Water) - new 3</v>
      </c>
      <c r="F252" s="262" t="s">
        <v>450</v>
      </c>
      <c r="G252" s="262" t="s">
        <v>449</v>
      </c>
      <c r="H252" s="261"/>
      <c r="I252" s="261"/>
      <c r="J252" s="264" t="s">
        <v>469</v>
      </c>
    </row>
    <row r="253" spans="1:16">
      <c r="A253" s="169"/>
      <c r="B253" s="212"/>
      <c r="C253" s="212"/>
      <c r="D253" s="212" t="str">
        <f t="shared" ca="1" si="269"/>
        <v>INDGDPHWCHN4</v>
      </c>
      <c r="E253" s="212" t="str">
        <f t="shared" ca="1" si="267"/>
        <v>Industrial heating technology Glass &amp; Concrete PH - Wood chip boiler (Hot Water - condensing) - new 4</v>
      </c>
      <c r="F253" s="262" t="s">
        <v>450</v>
      </c>
      <c r="G253" s="262" t="s">
        <v>449</v>
      </c>
      <c r="H253" s="261"/>
      <c r="I253" s="261"/>
      <c r="J253" s="264" t="s">
        <v>469</v>
      </c>
    </row>
    <row r="254" spans="1:16">
      <c r="A254" s="169"/>
      <c r="B254" s="212"/>
      <c r="C254" s="212"/>
      <c r="D254" s="212" t="str">
        <f t="shared" ca="1" si="269"/>
        <v>INDGDSHWCHN4</v>
      </c>
      <c r="E254" s="212" t="str">
        <f t="shared" ca="1" si="267"/>
        <v>Industrial heating technology Glass &amp; Concrete SH - Wood chip boiler (Hot Water- condensing) - new 4</v>
      </c>
      <c r="F254" s="262" t="s">
        <v>450</v>
      </c>
      <c r="G254" s="262" t="s">
        <v>449</v>
      </c>
      <c r="H254" s="261"/>
      <c r="I254" s="261"/>
      <c r="J254" s="264" t="s">
        <v>469</v>
      </c>
    </row>
    <row r="255" spans="1:16">
      <c r="B255" s="212"/>
      <c r="C255" s="212"/>
      <c r="D255" s="212" t="str">
        <f t="shared" ca="1" si="269"/>
        <v>INDGDPHELCN10</v>
      </c>
      <c r="E255" s="212" t="str">
        <f t="shared" ca="1" si="267"/>
        <v>Industrial heating technology Glass &amp; Concrete PH - Direct electric heating - new 10</v>
      </c>
      <c r="F255" s="262" t="s">
        <v>450</v>
      </c>
      <c r="G255" s="262" t="s">
        <v>449</v>
      </c>
      <c r="H255" s="261"/>
      <c r="I255" s="261"/>
      <c r="J255" s="264" t="s">
        <v>469</v>
      </c>
    </row>
    <row r="256" spans="1:16">
      <c r="B256" s="212"/>
      <c r="C256" s="212"/>
      <c r="D256" s="212" t="str">
        <f t="shared" ca="1" si="269"/>
        <v>INDGDPHELCN10</v>
      </c>
      <c r="E256" s="212" t="str">
        <f t="shared" ca="1" si="267"/>
        <v>Industrial heating technology Glass &amp; Concrete PH - Direct electric heating - new 10</v>
      </c>
      <c r="F256" s="262" t="s">
        <v>450</v>
      </c>
      <c r="G256" s="262" t="s">
        <v>449</v>
      </c>
      <c r="H256" s="261"/>
      <c r="I256" s="261"/>
      <c r="J256" s="264" t="s">
        <v>469</v>
      </c>
    </row>
    <row r="257" spans="1:10">
      <c r="B257" s="212"/>
      <c r="C257" s="212"/>
      <c r="D257" s="212" t="str">
        <f t="shared" ca="1" si="269"/>
        <v>INDGDPHDSLN1</v>
      </c>
      <c r="E257" s="212" t="str">
        <f t="shared" ca="1" si="267"/>
        <v>Industrial heating technology Glass &amp; Concrete PH - Oil boiler (Steam) - new 1</v>
      </c>
      <c r="F257" s="262" t="s">
        <v>450</v>
      </c>
      <c r="G257" s="262" t="s">
        <v>449</v>
      </c>
      <c r="H257" s="261"/>
      <c r="I257" s="261"/>
      <c r="J257" s="264" t="s">
        <v>469</v>
      </c>
    </row>
    <row r="258" spans="1:10">
      <c r="B258" s="212"/>
      <c r="C258" s="212"/>
      <c r="D258" s="212" t="str">
        <f t="shared" ca="1" si="269"/>
        <v>INDGDPHDSLN1</v>
      </c>
      <c r="E258" s="212" t="str">
        <f t="shared" ca="1" si="267"/>
        <v>Industrial heating technology Glass &amp; Concrete PH - Oil boiler (Steam) - new 1</v>
      </c>
      <c r="F258" s="262" t="s">
        <v>450</v>
      </c>
      <c r="G258" s="262" t="s">
        <v>449</v>
      </c>
      <c r="H258" s="261"/>
      <c r="I258" s="261"/>
      <c r="J258" s="264" t="s">
        <v>469</v>
      </c>
    </row>
    <row r="259" spans="1:10">
      <c r="B259" s="212"/>
      <c r="C259" s="212"/>
      <c r="D259" s="212" t="str">
        <f t="shared" ca="1" si="269"/>
        <v>INDGDSHDSLN1</v>
      </c>
      <c r="E259" s="212" t="str">
        <f t="shared" ca="1" si="267"/>
        <v>Industrial heating technology Glass &amp; Concrete SH - Oil boiler (Steam) - new 1</v>
      </c>
      <c r="F259" s="262" t="s">
        <v>450</v>
      </c>
      <c r="G259" s="262" t="s">
        <v>449</v>
      </c>
      <c r="H259" s="261"/>
      <c r="I259" s="261"/>
      <c r="J259" s="264" t="s">
        <v>469</v>
      </c>
    </row>
    <row r="260" spans="1:10">
      <c r="A260" s="214"/>
      <c r="B260" s="212"/>
      <c r="C260" s="212"/>
      <c r="D260" s="212" t="str">
        <f t="shared" ca="1" si="269"/>
        <v>INDGDPHDSLN2</v>
      </c>
      <c r="E260" s="212" t="str">
        <f t="shared" ca="1" si="267"/>
        <v>Industrial heating technology Glass &amp; Concrete PH - Oil boiler (Steam - condensing) - new 2</v>
      </c>
      <c r="F260" s="262" t="s">
        <v>450</v>
      </c>
      <c r="G260" s="262" t="s">
        <v>449</v>
      </c>
      <c r="H260" s="261"/>
      <c r="I260" s="261"/>
      <c r="J260" s="264" t="s">
        <v>469</v>
      </c>
    </row>
    <row r="261" spans="1:10">
      <c r="A261" s="214"/>
      <c r="B261" s="212"/>
      <c r="C261" s="212"/>
      <c r="D261" s="212" t="str">
        <f t="shared" ca="1" si="269"/>
        <v>INDGDSHDSLN2</v>
      </c>
      <c r="E261" s="212" t="str">
        <f t="shared" ref="E261:E290" ca="1" si="270">VLOOKUP(D261,$D$9:$E$222,2,FALSE)</f>
        <v>Industrial heating technology Glass &amp; Concrete SH - Oil boiler (Steam - condensing) - new 2</v>
      </c>
      <c r="F261" s="262" t="s">
        <v>450</v>
      </c>
      <c r="G261" s="262" t="s">
        <v>449</v>
      </c>
      <c r="H261" s="261"/>
      <c r="I261" s="261"/>
      <c r="J261" s="264" t="s">
        <v>469</v>
      </c>
    </row>
    <row r="262" spans="1:10">
      <c r="A262" s="214"/>
      <c r="B262" s="212"/>
      <c r="C262" s="212"/>
      <c r="D262" s="212" t="str">
        <f t="shared" ca="1" si="269"/>
        <v>INDGDPHGASN1</v>
      </c>
      <c r="E262" s="212" t="str">
        <f t="shared" ca="1" si="270"/>
        <v>Industrial heating technology Glass &amp; Concrete PH - Gas boiler (Steam) - new 1</v>
      </c>
      <c r="F262" s="262" t="s">
        <v>450</v>
      </c>
      <c r="G262" s="262" t="s">
        <v>449</v>
      </c>
      <c r="H262" s="261"/>
      <c r="I262" s="261"/>
      <c r="J262" s="264" t="s">
        <v>469</v>
      </c>
    </row>
    <row r="263" spans="1:10">
      <c r="A263" s="214"/>
      <c r="B263" s="212"/>
      <c r="C263" s="212"/>
      <c r="D263" s="212" t="str">
        <f t="shared" ca="1" si="269"/>
        <v>INDGDPHGASN1</v>
      </c>
      <c r="E263" s="212" t="str">
        <f t="shared" ca="1" si="270"/>
        <v>Industrial heating technology Glass &amp; Concrete PH - Gas boiler (Steam) - new 1</v>
      </c>
      <c r="F263" s="262" t="s">
        <v>450</v>
      </c>
      <c r="G263" s="262" t="s">
        <v>449</v>
      </c>
      <c r="H263" s="261"/>
      <c r="I263" s="261"/>
      <c r="J263" s="264" t="s">
        <v>469</v>
      </c>
    </row>
    <row r="264" spans="1:10">
      <c r="B264" s="212"/>
      <c r="C264" s="212"/>
      <c r="D264" s="212" t="str">
        <f t="shared" ca="1" si="269"/>
        <v>INDGDSHGASN1</v>
      </c>
      <c r="E264" s="212" t="str">
        <f t="shared" ca="1" si="270"/>
        <v>Industrial heating technology Glass &amp; Concrete SH - Gas boiler (Steam) - new 1</v>
      </c>
      <c r="F264" s="262" t="s">
        <v>450</v>
      </c>
      <c r="G264" s="262" t="s">
        <v>449</v>
      </c>
      <c r="H264" s="261"/>
      <c r="I264" s="261"/>
      <c r="J264" s="264" t="s">
        <v>469</v>
      </c>
    </row>
    <row r="265" spans="1:10">
      <c r="B265" s="212"/>
      <c r="C265" s="212"/>
      <c r="D265" s="212" t="str">
        <f t="shared" ca="1" si="269"/>
        <v>INDGDPHGASN2</v>
      </c>
      <c r="E265" s="212" t="str">
        <f t="shared" ca="1" si="270"/>
        <v>Industrial heating technology Glass &amp; Concrete PH - Gas boiler (Steam - condensing) - new 2</v>
      </c>
      <c r="F265" s="262" t="s">
        <v>450</v>
      </c>
      <c r="G265" s="262" t="s">
        <v>449</v>
      </c>
      <c r="H265" s="261"/>
      <c r="I265" s="261"/>
      <c r="J265" s="264" t="s">
        <v>469</v>
      </c>
    </row>
    <row r="266" spans="1:10">
      <c r="B266" s="212"/>
      <c r="C266" s="212"/>
      <c r="D266" s="212" t="str">
        <f t="shared" ca="1" si="269"/>
        <v>INDGDSHGASN2</v>
      </c>
      <c r="E266" s="212" t="str">
        <f t="shared" ca="1" si="270"/>
        <v>Industrial heating technology Glass &amp; Concrete SH - Gas boiler (Steam - condensing) - new 2</v>
      </c>
      <c r="F266" s="262" t="s">
        <v>450</v>
      </c>
      <c r="G266" s="262" t="s">
        <v>449</v>
      </c>
      <c r="H266" s="261"/>
      <c r="I266" s="261"/>
      <c r="J266" s="264" t="s">
        <v>469</v>
      </c>
    </row>
    <row r="267" spans="1:10">
      <c r="B267" s="212"/>
      <c r="C267" s="212"/>
      <c r="D267" s="212" t="str">
        <f t="shared" ca="1" si="269"/>
        <v>INDGDPHGASN3</v>
      </c>
      <c r="E267" s="212" t="str">
        <f t="shared" ca="1" si="270"/>
        <v>Industrial heating technology Glass &amp; Concrete PH - Gas boiler (Hot Water) - new 3</v>
      </c>
      <c r="F267" s="262" t="s">
        <v>450</v>
      </c>
      <c r="G267" s="262" t="s">
        <v>449</v>
      </c>
      <c r="H267" s="261"/>
      <c r="I267" s="261"/>
      <c r="J267" s="264" t="s">
        <v>469</v>
      </c>
    </row>
    <row r="268" spans="1:10">
      <c r="B268" s="212"/>
      <c r="C268" s="212"/>
      <c r="D268" s="212" t="str">
        <f t="shared" ca="1" si="269"/>
        <v>INDGDSHGASN3</v>
      </c>
      <c r="E268" s="212" t="str">
        <f t="shared" ca="1" si="270"/>
        <v>Industrial heating technology Glass &amp; Concrete SH - Gas boiler (Hot Water) - new 3</v>
      </c>
      <c r="F268" s="262" t="s">
        <v>450</v>
      </c>
      <c r="G268" s="262" t="s">
        <v>449</v>
      </c>
      <c r="H268" s="261"/>
      <c r="I268" s="261"/>
      <c r="J268" s="264" t="s">
        <v>469</v>
      </c>
    </row>
    <row r="269" spans="1:10">
      <c r="B269" s="212"/>
      <c r="C269" s="212"/>
      <c r="D269" s="212" t="str">
        <f t="shared" ca="1" si="269"/>
        <v>INDGDPHGASN4</v>
      </c>
      <c r="E269" s="212" t="str">
        <f t="shared" ca="1" si="270"/>
        <v>Industrial heating technology Glass &amp; Concrete PH - Gas boiler (Hot Water - condensing) - new 4</v>
      </c>
      <c r="F269" s="262" t="s">
        <v>450</v>
      </c>
      <c r="G269" s="262" t="s">
        <v>449</v>
      </c>
      <c r="H269" s="261"/>
      <c r="I269" s="261"/>
      <c r="J269" s="264" t="s">
        <v>469</v>
      </c>
    </row>
    <row r="270" spans="1:10">
      <c r="B270" s="212"/>
      <c r="C270" s="212"/>
      <c r="D270" s="212" t="str">
        <f t="shared" ca="1" si="269"/>
        <v>INDGDSHGASN4</v>
      </c>
      <c r="E270" s="212" t="str">
        <f t="shared" ca="1" si="270"/>
        <v>Industrial heating technology Glass &amp; Concrete SH - Gas boiler (Hot Water- condensing) - new 4</v>
      </c>
      <c r="F270" s="262" t="s">
        <v>450</v>
      </c>
      <c r="G270" s="262" t="s">
        <v>449</v>
      </c>
      <c r="H270" s="261"/>
      <c r="I270" s="261"/>
      <c r="J270" s="264" t="s">
        <v>469</v>
      </c>
    </row>
    <row r="271" spans="1:10">
      <c r="B271" s="212"/>
      <c r="C271" s="212"/>
      <c r="D271" s="212" t="str">
        <f t="shared" ca="1" si="269"/>
        <v>INDGDPHGASN5</v>
      </c>
      <c r="E271" s="212" t="str">
        <f t="shared" ca="1" si="270"/>
        <v>Industrial heating technology Glass &amp; Concrete PH - Gas boiler (Direct firing) - new 5</v>
      </c>
      <c r="F271" s="262" t="s">
        <v>450</v>
      </c>
      <c r="G271" s="262" t="s">
        <v>449</v>
      </c>
      <c r="H271" s="261"/>
      <c r="I271" s="261"/>
      <c r="J271" s="264" t="s">
        <v>469</v>
      </c>
    </row>
    <row r="272" spans="1:10">
      <c r="B272" s="212"/>
      <c r="C272" s="212"/>
      <c r="D272" s="212" t="str">
        <f t="shared" ca="1" si="269"/>
        <v>INDGDPHGASN5</v>
      </c>
      <c r="E272" s="212" t="str">
        <f t="shared" ca="1" si="270"/>
        <v>Industrial heating technology Glass &amp; Concrete PH - Gas boiler (Direct firing) - new 5</v>
      </c>
      <c r="F272" s="262" t="s">
        <v>450</v>
      </c>
      <c r="G272" s="262" t="s">
        <v>449</v>
      </c>
      <c r="H272" s="261"/>
      <c r="I272" s="261"/>
      <c r="J272" s="264" t="s">
        <v>469</v>
      </c>
    </row>
    <row r="273" spans="2:10">
      <c r="B273" s="212"/>
      <c r="C273" s="212"/>
      <c r="D273" s="212" t="str">
        <f t="shared" ca="1" si="269"/>
        <v>INDGDPHCOAN1</v>
      </c>
      <c r="E273" s="212" t="str">
        <f t="shared" ca="1" si="270"/>
        <v>Industrial heating technology Glass &amp; Concrete PH - Coal boiler (Steam) - new 1</v>
      </c>
      <c r="F273" s="262" t="s">
        <v>450</v>
      </c>
      <c r="G273" s="262" t="s">
        <v>449</v>
      </c>
      <c r="H273" s="261"/>
      <c r="I273" s="261"/>
      <c r="J273" s="264" t="s">
        <v>469</v>
      </c>
    </row>
    <row r="274" spans="2:10">
      <c r="B274" s="212"/>
      <c r="C274" s="212"/>
      <c r="D274" s="212" t="str">
        <f t="shared" ca="1" si="269"/>
        <v>INDGDPHCOAN1</v>
      </c>
      <c r="E274" s="212" t="str">
        <f t="shared" ca="1" si="270"/>
        <v>Industrial heating technology Glass &amp; Concrete PH - Coal boiler (Steam) - new 1</v>
      </c>
      <c r="F274" s="262" t="s">
        <v>450</v>
      </c>
      <c r="G274" s="262" t="s">
        <v>449</v>
      </c>
      <c r="H274" s="261"/>
      <c r="I274" s="261"/>
      <c r="J274" s="264" t="s">
        <v>469</v>
      </c>
    </row>
    <row r="275" spans="2:10">
      <c r="B275" s="212"/>
      <c r="C275" s="212"/>
      <c r="D275" s="212" t="str">
        <f t="shared" ca="1" si="269"/>
        <v>INDGDSHCOAN1</v>
      </c>
      <c r="E275" s="212" t="str">
        <f t="shared" ca="1" si="270"/>
        <v>Industrial heating technology Glass &amp; Concrete SH - Coal boiler (Steam) - new 1</v>
      </c>
      <c r="F275" s="262" t="s">
        <v>450</v>
      </c>
      <c r="G275" s="262" t="s">
        <v>449</v>
      </c>
      <c r="H275" s="261"/>
      <c r="I275" s="261"/>
      <c r="J275" s="264" t="s">
        <v>469</v>
      </c>
    </row>
    <row r="276" spans="2:10">
      <c r="B276" s="212"/>
      <c r="C276" s="212"/>
      <c r="D276" s="212" t="str">
        <f t="shared" ca="1" si="269"/>
        <v>INDGDPHCOAN2</v>
      </c>
      <c r="E276" s="212" t="str">
        <f t="shared" ca="1" si="270"/>
        <v>Industrial heating technology Glass &amp; Concrete PH - Coal boiler (Hot Water) - new 2</v>
      </c>
      <c r="F276" s="262" t="s">
        <v>450</v>
      </c>
      <c r="G276" s="262" t="s">
        <v>449</v>
      </c>
      <c r="H276" s="261"/>
      <c r="I276" s="261"/>
      <c r="J276" s="264" t="s">
        <v>469</v>
      </c>
    </row>
    <row r="277" spans="2:10">
      <c r="B277" s="212"/>
      <c r="C277" s="212"/>
      <c r="D277" s="212" t="str">
        <f t="shared" ca="1" si="269"/>
        <v>INDGDSHCOAN2</v>
      </c>
      <c r="E277" s="212" t="str">
        <f t="shared" ca="1" si="270"/>
        <v>Industrial heating technology Glass &amp; Concrete SH - Coal boiler (Hot Water) - new 2</v>
      </c>
      <c r="F277" s="262" t="s">
        <v>450</v>
      </c>
      <c r="G277" s="262" t="s">
        <v>449</v>
      </c>
      <c r="H277" s="261"/>
      <c r="I277" s="261"/>
      <c r="J277" s="264" t="s">
        <v>469</v>
      </c>
    </row>
    <row r="278" spans="2:10">
      <c r="B278" s="212"/>
      <c r="C278" s="212"/>
      <c r="D278" s="212" t="str">
        <f t="shared" ca="1" si="269"/>
        <v>INDGDSHSOLN1</v>
      </c>
      <c r="E278" s="212" t="str">
        <f t="shared" ca="1" si="270"/>
        <v>Industrial heating technology Glass &amp; Concrete SH - Solar - new 1</v>
      </c>
      <c r="F278" s="262" t="s">
        <v>450</v>
      </c>
      <c r="G278" s="262" t="s">
        <v>449</v>
      </c>
      <c r="H278" s="263" t="s">
        <v>620</v>
      </c>
      <c r="I278" s="261"/>
      <c r="J278" s="264" t="s">
        <v>469</v>
      </c>
    </row>
    <row r="279" spans="2:10">
      <c r="B279" s="212"/>
      <c r="C279" s="212"/>
      <c r="D279" s="889" t="str">
        <f>D187</f>
        <v>INDGDSHHCEN1</v>
      </c>
      <c r="E279" s="889" t="str">
        <f t="shared" si="270"/>
        <v>Industrial heating technology Glass &amp; Concrete SH - central district heating - within DH area - new 1</v>
      </c>
      <c r="F279" s="262" t="s">
        <v>450</v>
      </c>
      <c r="G279" s="262" t="s">
        <v>449</v>
      </c>
      <c r="H279" s="890"/>
      <c r="I279" s="890"/>
      <c r="J279" s="263" t="s">
        <v>469</v>
      </c>
    </row>
    <row r="280" spans="2:10">
      <c r="B280" s="212"/>
      <c r="C280" s="212"/>
      <c r="D280" s="889" t="str">
        <f>D188</f>
        <v>INDGDPHHCEN1</v>
      </c>
      <c r="E280" s="889" t="str">
        <f t="shared" si="270"/>
        <v>Industrial heating technology Glass &amp; Concrete PH - central district heating - within DH area - new 1</v>
      </c>
      <c r="F280" s="262" t="s">
        <v>450</v>
      </c>
      <c r="G280" s="262" t="s">
        <v>449</v>
      </c>
      <c r="H280" s="890"/>
      <c r="I280" s="890"/>
      <c r="J280" s="263" t="s">
        <v>469</v>
      </c>
    </row>
    <row r="281" spans="2:10">
      <c r="B281" s="212"/>
      <c r="C281" s="212"/>
      <c r="D281" s="889" t="str">
        <f>D189</f>
        <v>INDGDSHHSEN1</v>
      </c>
      <c r="E281" s="889" t="str">
        <f t="shared" si="270"/>
        <v>Industrial heating technology Glass &amp; Concrete SH - central district heating - within DH area - new 1</v>
      </c>
      <c r="F281" s="262" t="s">
        <v>450</v>
      </c>
      <c r="G281" s="262" t="s">
        <v>449</v>
      </c>
      <c r="H281" s="890"/>
      <c r="I281" s="890"/>
      <c r="J281" s="263" t="s">
        <v>469</v>
      </c>
    </row>
    <row r="282" spans="2:10">
      <c r="B282" s="212"/>
      <c r="C282" s="212"/>
      <c r="D282" s="889" t="str">
        <f>D190</f>
        <v>INDGDPHHSEN1</v>
      </c>
      <c r="E282" s="889" t="str">
        <f t="shared" si="270"/>
        <v>Industrial heating technology Glass &amp; Concrete PH - central district heating - within DH area - new 1</v>
      </c>
      <c r="F282" s="262" t="s">
        <v>450</v>
      </c>
      <c r="G282" s="262" t="s">
        <v>449</v>
      </c>
      <c r="H282" s="890"/>
      <c r="I282" s="890"/>
      <c r="J282" s="263" t="s">
        <v>469</v>
      </c>
    </row>
    <row r="283" spans="2:10">
      <c r="B283" s="212"/>
      <c r="C283" s="212"/>
      <c r="D283" s="212" t="str">
        <f t="shared" ref="D283" si="271">D191</f>
        <v>INDGDSHHDEN1</v>
      </c>
      <c r="E283" s="212" t="str">
        <f t="shared" si="270"/>
        <v>Industrial heating technology Glass &amp; Concrete SH - decentral district heating - within DH area - new 1</v>
      </c>
      <c r="F283" s="262" t="s">
        <v>450</v>
      </c>
      <c r="G283" s="262" t="s">
        <v>449</v>
      </c>
      <c r="H283" s="261"/>
      <c r="I283" s="261"/>
      <c r="J283" s="264" t="s">
        <v>469</v>
      </c>
    </row>
    <row r="284" spans="2:10">
      <c r="B284" s="212"/>
      <c r="C284" s="212"/>
      <c r="D284" s="212" t="str">
        <f>D192</f>
        <v>INDGDPHHDEN1</v>
      </c>
      <c r="E284" s="212" t="str">
        <f t="shared" si="270"/>
        <v>Industrial heating technology Glass &amp; Concrete PH - decentral district heating - within DH area - new 1</v>
      </c>
      <c r="F284" s="262" t="s">
        <v>450</v>
      </c>
      <c r="G284" s="262" t="s">
        <v>449</v>
      </c>
      <c r="H284" s="261"/>
      <c r="I284" s="261"/>
      <c r="J284" s="264" t="s">
        <v>469</v>
      </c>
    </row>
    <row r="285" spans="2:10">
      <c r="B285" s="212"/>
      <c r="C285" s="212"/>
      <c r="D285" s="212" t="str">
        <f>D194</f>
        <v>INDGDLAELCN1</v>
      </c>
      <c r="E285" s="212" t="str">
        <f t="shared" si="270"/>
        <v>Industry Glass &amp; Concrete LA Electricity Light Appliance - New 1</v>
      </c>
      <c r="F285" s="262" t="s">
        <v>450</v>
      </c>
      <c r="G285" s="262" t="s">
        <v>449</v>
      </c>
      <c r="H285" s="261"/>
      <c r="I285" s="261"/>
      <c r="J285" s="264" t="s">
        <v>469</v>
      </c>
    </row>
    <row r="286" spans="2:10">
      <c r="B286" s="212"/>
      <c r="C286" s="212"/>
      <c r="D286" s="212" t="str">
        <f>D198</f>
        <v>INDGDEMELCN1</v>
      </c>
      <c r="E286" s="212" t="str">
        <f t="shared" si="270"/>
        <v>Industry Glass &amp; Concrete EM Electricity Motors - New 1</v>
      </c>
      <c r="F286" s="262" t="s">
        <v>450</v>
      </c>
      <c r="G286" s="262" t="s">
        <v>449</v>
      </c>
      <c r="H286" s="261"/>
      <c r="I286" s="261"/>
      <c r="J286" s="264" t="s">
        <v>469</v>
      </c>
    </row>
    <row r="287" spans="2:10">
      <c r="B287" s="212"/>
      <c r="C287" s="212"/>
      <c r="D287" s="212" t="str">
        <f>D202</f>
        <v>INDGDTFDSLN1</v>
      </c>
      <c r="E287" s="212" t="str">
        <f t="shared" si="270"/>
        <v>Industry Glass &amp; Concrete TF Tractors, Trucks, Fishing boats - New 1</v>
      </c>
      <c r="F287" s="262" t="s">
        <v>450</v>
      </c>
      <c r="G287" s="262" t="s">
        <v>2078</v>
      </c>
      <c r="H287" s="261"/>
      <c r="I287" s="261"/>
      <c r="J287" s="264" t="s">
        <v>469</v>
      </c>
    </row>
    <row r="288" spans="2:10">
      <c r="B288" s="212"/>
      <c r="C288" s="212"/>
      <c r="D288" s="212" t="str">
        <f>D206</f>
        <v>INDGDTFH2GN2</v>
      </c>
      <c r="E288" s="212" t="str">
        <f t="shared" si="270"/>
        <v>Industry Glass &amp; Concrete TF Tractors, Trucks, Fishing boats - New 2</v>
      </c>
      <c r="F288" s="262" t="s">
        <v>450</v>
      </c>
      <c r="G288" s="262" t="s">
        <v>2078</v>
      </c>
      <c r="H288" s="261"/>
      <c r="I288" s="261"/>
      <c r="J288" s="264" t="s">
        <v>469</v>
      </c>
    </row>
    <row r="289" spans="2:10">
      <c r="B289" s="212"/>
      <c r="C289" s="212"/>
      <c r="D289" s="212" t="str">
        <f>D210</f>
        <v>INDGDTFELCN3</v>
      </c>
      <c r="E289" s="212" t="str">
        <f t="shared" si="270"/>
        <v>Industry Glass &amp; Concrete TF Tractors, Trucks, Fishing boats - New 3</v>
      </c>
      <c r="F289" s="262" t="s">
        <v>450</v>
      </c>
      <c r="G289" s="262" t="s">
        <v>2078</v>
      </c>
      <c r="H289" s="261"/>
      <c r="I289" s="261"/>
      <c r="J289" s="264" t="s">
        <v>469</v>
      </c>
    </row>
    <row r="290" spans="2:10">
      <c r="B290" s="212"/>
      <c r="C290" s="212"/>
      <c r="D290" s="212" t="str">
        <f>D214</f>
        <v>INDGDFLSYNN1</v>
      </c>
      <c r="E290" s="212" t="str">
        <f t="shared" si="270"/>
        <v>Industry Glass &amp; Concrete TF Forklifts - New 1</v>
      </c>
      <c r="F290" s="262" t="s">
        <v>450</v>
      </c>
      <c r="G290" s="262" t="s">
        <v>449</v>
      </c>
      <c r="H290" s="261"/>
      <c r="I290" s="261"/>
      <c r="J290" s="264" t="s">
        <v>469</v>
      </c>
    </row>
    <row r="291" spans="2:10">
      <c r="B291" s="212"/>
      <c r="C291" s="212"/>
      <c r="D291" s="212" t="str">
        <f>D218</f>
        <v>INDGDCOELCN1</v>
      </c>
      <c r="E291" s="212" t="str">
        <f>E218</f>
        <v>Industry Glass &amp; Concrete CO Cooling - New 1</v>
      </c>
      <c r="F291" s="262" t="s">
        <v>450</v>
      </c>
      <c r="G291" s="262" t="s">
        <v>449</v>
      </c>
      <c r="H291" s="261" t="s">
        <v>620</v>
      </c>
      <c r="I291" s="261"/>
      <c r="J291" s="264"/>
    </row>
    <row r="292" spans="2:10">
      <c r="D292" s="212"/>
      <c r="E292" s="212"/>
    </row>
    <row r="293" spans="2:10">
      <c r="B293" s="213" t="s">
        <v>448</v>
      </c>
      <c r="C293" s="213"/>
      <c r="D293" s="214"/>
      <c r="E293" s="214"/>
      <c r="F293" s="214"/>
      <c r="G293" s="214"/>
      <c r="H293" s="214"/>
      <c r="I293" s="214"/>
      <c r="J293" s="214"/>
    </row>
    <row r="294" spans="2:10">
      <c r="B294" s="209" t="s">
        <v>447</v>
      </c>
      <c r="C294" s="209" t="s">
        <v>446</v>
      </c>
      <c r="D294" s="209" t="s">
        <v>445</v>
      </c>
      <c r="E294" s="209" t="s">
        <v>444</v>
      </c>
      <c r="F294" s="209" t="s">
        <v>435</v>
      </c>
      <c r="G294" s="209" t="s">
        <v>443</v>
      </c>
      <c r="H294" s="209" t="s">
        <v>442</v>
      </c>
      <c r="I294" s="209" t="s">
        <v>441</v>
      </c>
      <c r="J294" s="209" t="s">
        <v>440</v>
      </c>
    </row>
    <row r="295" spans="2:10" ht="21" thickBot="1">
      <c r="B295" s="215" t="s">
        <v>439</v>
      </c>
      <c r="C295" s="216" t="s">
        <v>438</v>
      </c>
      <c r="D295" s="216" t="s">
        <v>437</v>
      </c>
      <c r="E295" s="216" t="s">
        <v>436</v>
      </c>
      <c r="F295" s="216" t="s">
        <v>435</v>
      </c>
      <c r="G295" s="216" t="s">
        <v>434</v>
      </c>
      <c r="H295" s="216" t="s">
        <v>433</v>
      </c>
      <c r="I295" s="216" t="s">
        <v>432</v>
      </c>
      <c r="J295" s="216" t="s">
        <v>431</v>
      </c>
    </row>
    <row r="296" spans="2:10">
      <c r="B296" s="217" t="s">
        <v>430</v>
      </c>
      <c r="C296" s="218"/>
      <c r="D296" s="260" t="str">
        <f>"I"&amp;LEFT($AJ$12,1)&amp;"DSOx"</f>
        <v>IGDSOx</v>
      </c>
      <c r="E296" s="270" t="str">
        <f>"Industrial heating  heating technology "&amp;$AJ$12&amp;" - SOx emission"</f>
        <v>Industrial heating  heating technology Glass &amp; Concrete - SOx emission</v>
      </c>
      <c r="F296" s="219" t="s">
        <v>352</v>
      </c>
      <c r="G296" s="211"/>
      <c r="H296" s="211"/>
      <c r="I296" s="211"/>
      <c r="J296" s="211"/>
    </row>
    <row r="297" spans="2:10">
      <c r="B297" s="214"/>
      <c r="C297" s="214"/>
      <c r="D297" s="260" t="str">
        <f>"I"&amp;LEFT($AJ$12,1)&amp;"DNOx"</f>
        <v>IGDNOx</v>
      </c>
      <c r="E297" s="270" t="str">
        <f>"Industrial heating  heating technology "&amp;$AJ$12&amp;" - NOx emission"</f>
        <v>Industrial heating  heating technology Glass &amp; Concrete - NOx emission</v>
      </c>
      <c r="F297" s="219" t="s">
        <v>352</v>
      </c>
      <c r="G297" s="211"/>
      <c r="H297" s="214"/>
      <c r="I297" s="214"/>
      <c r="J297" s="214"/>
    </row>
    <row r="298" spans="2:10">
      <c r="B298" s="214"/>
      <c r="C298" s="214"/>
      <c r="D298" s="260" t="str">
        <f>"I"&amp;LEFT($AJ$12,1)&amp;"DCH4"</f>
        <v>IGDCH4</v>
      </c>
      <c r="E298" s="270" t="str">
        <f>"Industrial heating  heating technology "&amp;$AJ$12&amp;" - CH4 emission"</f>
        <v>Industrial heating  heating technology Glass &amp; Concrete - CH4 emission</v>
      </c>
      <c r="F298" s="219" t="s">
        <v>352</v>
      </c>
      <c r="G298" s="211"/>
      <c r="H298" s="214"/>
      <c r="I298" s="214"/>
      <c r="J298" s="214"/>
    </row>
    <row r="299" spans="2:10">
      <c r="B299" s="214"/>
      <c r="C299" s="214"/>
      <c r="D299" s="260" t="str">
        <f>"I"&amp;LEFT($AJ$12,1)&amp;"DNO2"</f>
        <v>IGDNO2</v>
      </c>
      <c r="E299" s="270" t="str">
        <f>"Industrial heating  heating technology "&amp;$AJ$12&amp;" - NO2 emission"</f>
        <v>Industrial heating  heating technology Glass &amp; Concrete - NO2 emission</v>
      </c>
      <c r="F299" s="219" t="s">
        <v>352</v>
      </c>
      <c r="G299" s="211"/>
      <c r="H299" s="214"/>
      <c r="I299" s="214"/>
      <c r="J299" s="214"/>
    </row>
    <row r="300" spans="2:10">
      <c r="B300" s="214"/>
      <c r="C300" s="214"/>
      <c r="D300" s="260" t="str">
        <f>"I"&amp;LEFT($AJ$12,1)&amp;"DPM"</f>
        <v>IGDPM</v>
      </c>
      <c r="E300" s="270" t="str">
        <f>"Industrial heating  heating technology "&amp;$AJ$12&amp;" - Particle emission"</f>
        <v>Industrial heating  heating technology Glass &amp; Concrete - Particle emission</v>
      </c>
      <c r="F300" s="219" t="s">
        <v>352</v>
      </c>
      <c r="G300" s="211"/>
      <c r="H300" s="214"/>
      <c r="I300" s="214"/>
      <c r="J300" s="214"/>
    </row>
    <row r="301" spans="2:10">
      <c r="B301" s="224" t="s">
        <v>1057</v>
      </c>
      <c r="D301" s="224" t="str">
        <f>AI20</f>
        <v>INDGWH</v>
      </c>
      <c r="E301" s="270" t="str">
        <f>"Industrial heating technology "&amp;$AJ$12&amp;" - Waste heat"</f>
        <v>Industrial heating technology Glass &amp; Concrete - Waste heat</v>
      </c>
      <c r="F301" s="263" t="s">
        <v>450</v>
      </c>
    </row>
  </sheetData>
  <pageMargins left="0.7" right="0.7" top="0.75" bottom="0.75" header="0.3" footer="0.3"/>
  <pageSetup paperSize="9"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CF4DF305-EC1D-4DE3-BEC7-234BCFC314DB}">
          <x14:formula1>
            <xm:f>'Oil-fired boiler_NEW'!$T$4:$X$4</xm:f>
          </x14:formula1>
          <xm:sqref>E1</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072A8-A721-4E40-88EE-BB1F0F28A315}">
  <sheetPr>
    <tabColor rgb="FFFFFF00"/>
  </sheetPr>
  <dimension ref="A2:AR387"/>
  <sheetViews>
    <sheetView zoomScale="70" zoomScaleNormal="70" workbookViewId="0">
      <selection activeCell="B20" sqref="B20"/>
    </sheetView>
  </sheetViews>
  <sheetFormatPr defaultColWidth="8.77734375" defaultRowHeight="14.4" outlineLevelRow="1"/>
  <cols>
    <col min="1" max="1" width="42.6640625" style="224" bestFit="1" customWidth="1"/>
    <col min="2" max="2" width="63.44140625" style="224" bestFit="1" customWidth="1"/>
    <col min="3" max="3" width="11.44140625" style="224" customWidth="1"/>
    <col min="4" max="6" width="11" style="224" bestFit="1" customWidth="1"/>
    <col min="7" max="12" width="11" style="224" customWidth="1"/>
    <col min="13" max="13" width="8.77734375" style="224"/>
    <col min="14" max="14" width="4.44140625" style="224" customWidth="1"/>
    <col min="15" max="15" width="15.77734375" style="224" customWidth="1"/>
    <col min="16" max="16" width="11" style="224" bestFit="1" customWidth="1"/>
    <col min="17" max="17" width="12" style="224" customWidth="1"/>
    <col min="18" max="18" width="11.33203125" style="224" customWidth="1"/>
    <col min="19" max="20" width="8.77734375" style="224"/>
    <col min="21" max="21" width="15.21875" style="224" customWidth="1"/>
    <col min="22" max="22" width="10" style="224" customWidth="1"/>
    <col min="23" max="24" width="8.77734375" style="224"/>
    <col min="25" max="25" width="28.21875" style="224" customWidth="1"/>
    <col min="26" max="16384" width="8.77734375" style="224"/>
  </cols>
  <sheetData>
    <row r="2" spans="1:29">
      <c r="B2" s="638" t="str">
        <f>C7</f>
        <v>Post-combustion carbon capture retrofit - 100 MW(th) WtE or biomass CHP plant</v>
      </c>
    </row>
    <row r="4" spans="1:29" ht="25.05" customHeight="1">
      <c r="E4" s="224" t="s">
        <v>358</v>
      </c>
      <c r="F4" s="359">
        <v>7.45</v>
      </c>
      <c r="G4" s="359" t="s">
        <v>328</v>
      </c>
      <c r="O4" s="844" t="s">
        <v>445</v>
      </c>
      <c r="P4" s="845" t="s">
        <v>1114</v>
      </c>
      <c r="Q4" s="846" t="s">
        <v>1115</v>
      </c>
      <c r="R4" s="846" t="s">
        <v>1116</v>
      </c>
      <c r="S4" s="846" t="s">
        <v>1117</v>
      </c>
      <c r="T4" s="846" t="s">
        <v>1118</v>
      </c>
      <c r="U4" s="846" t="s">
        <v>1119</v>
      </c>
      <c r="V4" s="846" t="s">
        <v>1120</v>
      </c>
      <c r="W4" s="846" t="s">
        <v>1121</v>
      </c>
      <c r="X4" s="846" t="s">
        <v>1122</v>
      </c>
      <c r="Y4" s="846" t="s">
        <v>1123</v>
      </c>
      <c r="Z4" s="846" t="s">
        <v>1124</v>
      </c>
      <c r="AA4" s="846" t="s">
        <v>1125</v>
      </c>
      <c r="AB4" s="846" t="s">
        <v>1126</v>
      </c>
      <c r="AC4" s="846" t="s">
        <v>1127</v>
      </c>
    </row>
    <row r="5" spans="1:29" ht="15" customHeight="1" thickBot="1">
      <c r="A5" s="360" t="s">
        <v>1017</v>
      </c>
      <c r="B5" s="1207"/>
      <c r="C5" s="1143"/>
      <c r="D5" s="1143"/>
      <c r="E5" s="1143"/>
      <c r="F5" s="1143"/>
      <c r="G5" s="1143"/>
      <c r="H5" s="1143"/>
      <c r="I5" s="1143"/>
      <c r="J5" s="1143"/>
      <c r="K5" s="1143"/>
      <c r="L5" s="1143"/>
      <c r="M5" s="1143"/>
      <c r="N5" s="361"/>
      <c r="O5" s="847" t="s">
        <v>1128</v>
      </c>
      <c r="P5" s="848" t="s">
        <v>1129</v>
      </c>
      <c r="Q5" s="848" t="s">
        <v>1129</v>
      </c>
      <c r="R5" s="848" t="s">
        <v>1129</v>
      </c>
      <c r="S5" s="848" t="s">
        <v>1129</v>
      </c>
      <c r="T5" s="848" t="s">
        <v>1129</v>
      </c>
      <c r="U5" s="848" t="s">
        <v>1129</v>
      </c>
      <c r="V5" s="848" t="s">
        <v>1129</v>
      </c>
      <c r="W5" s="848" t="s">
        <v>1129</v>
      </c>
      <c r="X5" s="848" t="s">
        <v>1129</v>
      </c>
      <c r="Y5" s="848" t="s">
        <v>1129</v>
      </c>
      <c r="Z5" s="848" t="s">
        <v>1129</v>
      </c>
      <c r="AA5" s="848" t="s">
        <v>1129</v>
      </c>
      <c r="AB5" s="848" t="s">
        <v>1129</v>
      </c>
      <c r="AC5" s="848" t="s">
        <v>1129</v>
      </c>
    </row>
    <row r="6" spans="1:29" ht="15.75" customHeight="1" outlineLevel="1">
      <c r="B6" s="1207"/>
      <c r="C6" s="1143"/>
      <c r="D6" s="1143"/>
      <c r="E6" s="1143"/>
      <c r="F6" s="1143"/>
      <c r="G6" s="1143"/>
      <c r="H6" s="1143"/>
      <c r="I6" s="1143"/>
      <c r="J6" s="1143"/>
      <c r="K6" s="1143"/>
      <c r="L6" s="1143"/>
      <c r="M6" s="1143"/>
      <c r="N6" s="361"/>
      <c r="O6" s="849" t="s">
        <v>1130</v>
      </c>
      <c r="P6" s="850">
        <v>94.6</v>
      </c>
      <c r="Q6" s="850">
        <v>79.28</v>
      </c>
      <c r="R6" s="850">
        <v>74</v>
      </c>
      <c r="S6" s="850">
        <v>56.95</v>
      </c>
      <c r="T6" s="850">
        <v>0</v>
      </c>
      <c r="U6" s="850">
        <v>0</v>
      </c>
      <c r="V6" s="850">
        <v>0</v>
      </c>
      <c r="W6" s="850">
        <v>0</v>
      </c>
      <c r="X6" s="850">
        <v>37</v>
      </c>
      <c r="Y6" s="850">
        <v>0</v>
      </c>
      <c r="Z6" s="850">
        <v>0</v>
      </c>
      <c r="AA6" s="850">
        <v>0</v>
      </c>
      <c r="AB6" s="850">
        <v>0</v>
      </c>
      <c r="AC6" s="850">
        <v>0</v>
      </c>
    </row>
    <row r="7" spans="1:29" ht="20.25" customHeight="1" outlineLevel="1">
      <c r="B7" s="733" t="s">
        <v>0</v>
      </c>
      <c r="C7" s="1208" t="s">
        <v>1018</v>
      </c>
      <c r="D7" s="1213"/>
      <c r="E7" s="1213"/>
      <c r="F7" s="1213"/>
      <c r="G7" s="1213"/>
      <c r="H7" s="1213"/>
      <c r="I7" s="1213"/>
      <c r="J7" s="1213"/>
      <c r="K7" s="1213"/>
      <c r="L7" s="1213"/>
      <c r="M7" s="1214"/>
      <c r="N7" s="363"/>
    </row>
    <row r="8" spans="1:29" ht="15" customHeight="1" outlineLevel="1">
      <c r="B8" s="734"/>
      <c r="C8" s="751">
        <v>2020</v>
      </c>
      <c r="D8" s="751">
        <v>2025</v>
      </c>
      <c r="E8" s="752">
        <v>2030</v>
      </c>
      <c r="F8" s="752">
        <v>2040</v>
      </c>
      <c r="G8" s="753">
        <v>2050</v>
      </c>
      <c r="H8" s="1211" t="s">
        <v>1019</v>
      </c>
      <c r="I8" s="1212"/>
      <c r="J8" s="1211" t="s">
        <v>648</v>
      </c>
      <c r="K8" s="1212"/>
      <c r="L8" s="752" t="s">
        <v>2</v>
      </c>
      <c r="M8" s="735" t="s">
        <v>3</v>
      </c>
      <c r="N8" s="367"/>
      <c r="P8" s="224">
        <f>C11*C16</f>
        <v>26.655999999999999</v>
      </c>
    </row>
    <row r="9" spans="1:29" outlineLevel="1">
      <c r="B9" s="734"/>
      <c r="C9" s="754"/>
      <c r="D9" s="755"/>
      <c r="E9" s="756"/>
      <c r="F9" s="756"/>
      <c r="G9" s="756"/>
      <c r="H9" s="757" t="s">
        <v>649</v>
      </c>
      <c r="I9" s="757" t="s">
        <v>650</v>
      </c>
      <c r="J9" s="757" t="s">
        <v>649</v>
      </c>
      <c r="K9" s="757" t="s">
        <v>650</v>
      </c>
      <c r="L9" s="756"/>
      <c r="M9" s="736"/>
      <c r="N9" s="370"/>
    </row>
    <row r="10" spans="1:29" outlineLevel="1">
      <c r="B10" s="737" t="s">
        <v>4</v>
      </c>
      <c r="C10" s="756"/>
      <c r="D10" s="756"/>
      <c r="E10" s="756"/>
      <c r="F10" s="756"/>
      <c r="G10" s="756"/>
      <c r="H10" s="756"/>
      <c r="I10" s="756"/>
      <c r="J10" s="756"/>
      <c r="K10" s="756"/>
      <c r="L10" s="756"/>
      <c r="M10" s="736"/>
      <c r="N10" s="370"/>
    </row>
    <row r="11" spans="1:29" ht="24.6" customHeight="1" outlineLevel="1">
      <c r="A11" s="809">
        <f>1/A12</f>
        <v>0.32</v>
      </c>
      <c r="B11" s="738" t="s">
        <v>1020</v>
      </c>
      <c r="C11" s="758">
        <v>32</v>
      </c>
      <c r="D11" s="758">
        <v>32</v>
      </c>
      <c r="E11" s="758">
        <v>32</v>
      </c>
      <c r="F11" s="758">
        <v>34</v>
      </c>
      <c r="G11" s="758">
        <v>34</v>
      </c>
      <c r="H11" s="758">
        <v>30</v>
      </c>
      <c r="I11" s="758">
        <v>34</v>
      </c>
      <c r="J11" s="758">
        <v>33</v>
      </c>
      <c r="K11" s="758">
        <v>35</v>
      </c>
      <c r="L11" s="758" t="s">
        <v>6</v>
      </c>
      <c r="M11" s="739"/>
      <c r="N11" s="370"/>
      <c r="P11" s="224">
        <f>57/P12</f>
        <v>0.17093159999999996</v>
      </c>
    </row>
    <row r="12" spans="1:29" ht="32.549999999999997" customHeight="1" outlineLevel="1">
      <c r="A12" s="224">
        <f>100/32</f>
        <v>3.125</v>
      </c>
      <c r="B12" s="740" t="s">
        <v>1021</v>
      </c>
      <c r="C12" s="759"/>
      <c r="D12" s="759"/>
      <c r="E12" s="759"/>
      <c r="F12" s="759"/>
      <c r="G12" s="759"/>
      <c r="H12" s="759"/>
      <c r="I12" s="759"/>
      <c r="J12" s="759"/>
      <c r="K12" s="759"/>
      <c r="L12" s="759"/>
      <c r="M12" s="741"/>
      <c r="N12" s="370"/>
      <c r="O12" s="224" t="s">
        <v>1073</v>
      </c>
      <c r="P12" s="224">
        <f>P13*1/3.6*1000000/1000</f>
        <v>333.46672002134193</v>
      </c>
      <c r="Q12" s="224">
        <f t="shared" ref="Q12:T12" si="0">Q13*1/3.6*1000000/1000</f>
        <v>333.46672002134193</v>
      </c>
      <c r="R12" s="224">
        <f t="shared" si="0"/>
        <v>385.80246913580248</v>
      </c>
      <c r="S12" s="224">
        <f t="shared" si="0"/>
        <v>420.87542087542084</v>
      </c>
      <c r="T12" s="224">
        <f t="shared" si="0"/>
        <v>420.87542087542084</v>
      </c>
    </row>
    <row r="13" spans="1:29" outlineLevel="1">
      <c r="A13" s="224">
        <f>500/164</f>
        <v>3.0487804878048781</v>
      </c>
      <c r="B13" s="738" t="s">
        <v>1022</v>
      </c>
      <c r="C13" s="758">
        <v>5.0999999999999996</v>
      </c>
      <c r="D13" s="758">
        <v>5.0999999999999996</v>
      </c>
      <c r="E13" s="758">
        <v>5.0999999999999996</v>
      </c>
      <c r="F13" s="758">
        <v>4.9000000000000004</v>
      </c>
      <c r="G13" s="758">
        <v>4.9000000000000004</v>
      </c>
      <c r="H13" s="758">
        <v>4.8</v>
      </c>
      <c r="I13" s="758">
        <v>6</v>
      </c>
      <c r="J13" s="758">
        <v>4.7</v>
      </c>
      <c r="K13" s="758">
        <v>6</v>
      </c>
      <c r="L13" s="758"/>
      <c r="M13" s="739"/>
      <c r="N13" s="370"/>
      <c r="O13" s="803"/>
      <c r="P13" s="224">
        <f>1/C16</f>
        <v>1.2004801920768309</v>
      </c>
      <c r="Q13" s="224">
        <f>1/D16</f>
        <v>1.2004801920768309</v>
      </c>
      <c r="R13" s="224">
        <f>1/E16</f>
        <v>1.3888888888888888</v>
      </c>
      <c r="S13" s="224">
        <f>1/F16</f>
        <v>1.5151515151515151</v>
      </c>
      <c r="T13" s="224">
        <f>1/G16</f>
        <v>1.5151515151515151</v>
      </c>
    </row>
    <row r="14" spans="1:29" ht="15" customHeight="1" outlineLevel="1">
      <c r="A14" s="224">
        <f>26.7/32</f>
        <v>0.83437499999999998</v>
      </c>
      <c r="B14" s="742" t="s">
        <v>1023</v>
      </c>
      <c r="C14" s="760">
        <v>15</v>
      </c>
      <c r="D14" s="760">
        <v>15</v>
      </c>
      <c r="E14" s="760">
        <v>15</v>
      </c>
      <c r="F14" s="760">
        <v>15</v>
      </c>
      <c r="G14" s="760">
        <v>15</v>
      </c>
      <c r="H14" s="760">
        <v>12</v>
      </c>
      <c r="I14" s="760">
        <v>15</v>
      </c>
      <c r="J14" s="760">
        <v>12</v>
      </c>
      <c r="K14" s="760">
        <v>15</v>
      </c>
      <c r="L14" s="760"/>
      <c r="M14" s="743"/>
      <c r="N14" s="370"/>
    </row>
    <row r="15" spans="1:29" outlineLevel="1">
      <c r="B15" s="742" t="s">
        <v>1024</v>
      </c>
      <c r="C15" s="758">
        <v>35</v>
      </c>
      <c r="D15" s="758">
        <v>35</v>
      </c>
      <c r="E15" s="758">
        <v>35</v>
      </c>
      <c r="F15" s="758">
        <v>35</v>
      </c>
      <c r="G15" s="758">
        <v>35</v>
      </c>
      <c r="H15" s="758">
        <v>30</v>
      </c>
      <c r="I15" s="758">
        <v>40</v>
      </c>
      <c r="J15" s="758">
        <v>30</v>
      </c>
      <c r="K15" s="758">
        <v>40</v>
      </c>
      <c r="L15" s="758" t="s">
        <v>59</v>
      </c>
      <c r="M15" s="739"/>
      <c r="N15" s="367"/>
      <c r="T15" s="224" t="s">
        <v>1090</v>
      </c>
      <c r="U15" s="224" t="s">
        <v>1090</v>
      </c>
      <c r="V15" s="224" t="s">
        <v>1100</v>
      </c>
      <c r="W15" s="711" t="s">
        <v>1101</v>
      </c>
    </row>
    <row r="16" spans="1:29" outlineLevel="1">
      <c r="B16" s="804" t="s">
        <v>1025</v>
      </c>
      <c r="C16" s="805">
        <f>0.833</f>
        <v>0.83299999999999996</v>
      </c>
      <c r="D16" s="805">
        <v>0.83299999999999996</v>
      </c>
      <c r="E16" s="805">
        <v>0.72</v>
      </c>
      <c r="F16" s="805">
        <v>0.66</v>
      </c>
      <c r="G16" s="805">
        <v>0.66</v>
      </c>
      <c r="H16" s="806">
        <v>0.66</v>
      </c>
      <c r="I16" s="806">
        <v>1</v>
      </c>
      <c r="J16" s="806">
        <v>0.55000000000000004</v>
      </c>
      <c r="K16" s="806">
        <v>0.72</v>
      </c>
      <c r="L16" s="806" t="s">
        <v>16</v>
      </c>
      <c r="M16" s="745"/>
      <c r="N16" s="363"/>
      <c r="P16" s="224">
        <f>P17/P13</f>
        <v>0.17078165999999997</v>
      </c>
      <c r="T16" s="224" t="s">
        <v>1087</v>
      </c>
      <c r="U16" s="224" t="s">
        <v>1088</v>
      </c>
      <c r="V16" s="224" t="s">
        <v>1089</v>
      </c>
    </row>
    <row r="17" spans="1:36" outlineLevel="1">
      <c r="B17" s="807" t="s">
        <v>1026</v>
      </c>
      <c r="C17" s="808">
        <v>0.03</v>
      </c>
      <c r="D17" s="808">
        <v>0.03</v>
      </c>
      <c r="E17" s="808">
        <v>2.5000000000000001E-2</v>
      </c>
      <c r="F17" s="808">
        <v>2.3E-2</v>
      </c>
      <c r="G17" s="808">
        <v>0.02</v>
      </c>
      <c r="H17" s="808">
        <v>2.5000000000000001E-2</v>
      </c>
      <c r="I17" s="808">
        <v>3.5000000000000003E-2</v>
      </c>
      <c r="J17" s="808">
        <v>1.7000000000000001E-2</v>
      </c>
      <c r="K17" s="808">
        <v>2.5000000000000001E-2</v>
      </c>
      <c r="L17" s="808" t="s">
        <v>20</v>
      </c>
      <c r="M17" s="743"/>
      <c r="N17" s="363"/>
      <c r="O17" s="224" t="s">
        <v>1085</v>
      </c>
      <c r="P17" s="224">
        <f>S6/1*3.6/1000000*1000</f>
        <v>0.20502000000000001</v>
      </c>
      <c r="Q17" s="224" t="s">
        <v>1084</v>
      </c>
      <c r="S17" s="224">
        <f>P17/0.9</f>
        <v>0.2278</v>
      </c>
      <c r="T17" s="36">
        <f>S17*C33*7.45</f>
        <v>5.6004629999999995</v>
      </c>
      <c r="U17" s="36">
        <f>S17*C39*7.45</f>
        <v>0.16801389</v>
      </c>
      <c r="V17" s="36">
        <f>S17*C40*7.45/3.6</f>
        <v>1.178548611111111</v>
      </c>
    </row>
    <row r="18" spans="1:36" outlineLevel="1">
      <c r="B18" s="744" t="s">
        <v>1027</v>
      </c>
      <c r="C18" s="761">
        <v>0.3</v>
      </c>
      <c r="D18" s="761">
        <v>0.3</v>
      </c>
      <c r="E18" s="761">
        <v>0.2</v>
      </c>
      <c r="F18" s="761">
        <v>0.15</v>
      </c>
      <c r="G18" s="761">
        <v>0.1</v>
      </c>
      <c r="H18" s="761">
        <v>0.15</v>
      </c>
      <c r="I18" s="761">
        <v>1.5</v>
      </c>
      <c r="J18" s="761">
        <v>0.05</v>
      </c>
      <c r="K18" s="761">
        <v>0.3</v>
      </c>
      <c r="L18" s="761"/>
      <c r="M18" s="745"/>
      <c r="N18" s="363"/>
      <c r="P18" s="224">
        <f>1/P17</f>
        <v>4.8775729197151492</v>
      </c>
      <c r="Q18" s="224" t="s">
        <v>1086</v>
      </c>
      <c r="T18" s="36">
        <f>0.998*6.32</f>
        <v>6.3073600000000001</v>
      </c>
    </row>
    <row r="19" spans="1:36" ht="15" outlineLevel="1" thickBot="1">
      <c r="B19" s="738" t="s">
        <v>1028</v>
      </c>
      <c r="C19" s="762"/>
      <c r="D19" s="758"/>
      <c r="E19" s="758"/>
      <c r="F19" s="758"/>
      <c r="G19" s="758"/>
      <c r="H19" s="758"/>
      <c r="I19" s="758"/>
      <c r="J19" s="758"/>
      <c r="K19" s="758"/>
      <c r="L19" s="758"/>
      <c r="M19" s="739"/>
      <c r="N19" s="363"/>
    </row>
    <row r="20" spans="1:36" outlineLevel="1">
      <c r="B20" s="740" t="s">
        <v>1029</v>
      </c>
      <c r="C20" s="759"/>
      <c r="D20" s="759"/>
      <c r="E20" s="759"/>
      <c r="F20" s="759"/>
      <c r="G20" s="759"/>
      <c r="H20" s="759"/>
      <c r="I20" s="759"/>
      <c r="J20" s="759"/>
      <c r="K20" s="759"/>
      <c r="L20" s="759"/>
      <c r="M20" s="741"/>
      <c r="N20" s="363"/>
      <c r="O20" s="857"/>
      <c r="P20" s="862" t="s">
        <v>1133</v>
      </c>
      <c r="Q20" s="858" t="s">
        <v>1084</v>
      </c>
      <c r="R20" s="858" t="s">
        <v>1134</v>
      </c>
      <c r="S20" s="858" t="s">
        <v>1131</v>
      </c>
      <c r="T20" s="859" t="s">
        <v>1087</v>
      </c>
      <c r="U20" s="858" t="s">
        <v>1088</v>
      </c>
      <c r="V20" s="858" t="s">
        <v>1089</v>
      </c>
      <c r="W20" s="858" t="s">
        <v>1102</v>
      </c>
      <c r="X20" s="858" t="s">
        <v>337</v>
      </c>
      <c r="Y20" s="863" t="s">
        <v>1104</v>
      </c>
      <c r="Z20" s="858"/>
      <c r="AA20" s="858"/>
      <c r="AB20" s="860"/>
      <c r="AC20" s="851"/>
      <c r="AD20" s="851"/>
      <c r="AE20" s="851"/>
      <c r="AF20" s="851"/>
      <c r="AG20" s="851"/>
      <c r="AH20" s="851"/>
      <c r="AI20" s="851"/>
      <c r="AJ20" s="852"/>
    </row>
    <row r="21" spans="1:36" outlineLevel="1">
      <c r="B21" s="746" t="s">
        <v>1030</v>
      </c>
      <c r="C21" s="758">
        <v>97</v>
      </c>
      <c r="D21" s="758">
        <v>97</v>
      </c>
      <c r="E21" s="758">
        <v>98</v>
      </c>
      <c r="F21" s="758">
        <v>99</v>
      </c>
      <c r="G21" s="758">
        <v>99</v>
      </c>
      <c r="H21" s="758">
        <v>96</v>
      </c>
      <c r="I21" s="758">
        <v>98</v>
      </c>
      <c r="J21" s="758">
        <v>98</v>
      </c>
      <c r="K21" s="758">
        <v>99</v>
      </c>
      <c r="L21" s="758" t="s">
        <v>76</v>
      </c>
      <c r="M21" s="739"/>
      <c r="N21" s="363"/>
      <c r="O21" s="853"/>
      <c r="P21" s="271"/>
      <c r="Q21" s="203"/>
      <c r="R21" s="203"/>
      <c r="S21" s="203"/>
      <c r="T21" s="203" t="s">
        <v>1090</v>
      </c>
      <c r="U21" s="203" t="s">
        <v>1090</v>
      </c>
      <c r="V21" s="203" t="s">
        <v>1100</v>
      </c>
      <c r="W21" s="203" t="s">
        <v>1132</v>
      </c>
      <c r="X21" s="203"/>
      <c r="Y21" s="356" t="s">
        <v>1105</v>
      </c>
      <c r="Z21" s="55"/>
      <c r="AA21" s="55"/>
      <c r="AB21" s="854"/>
      <c r="AC21" s="55"/>
      <c r="AD21" s="55"/>
      <c r="AE21" s="55"/>
      <c r="AF21" s="55"/>
      <c r="AG21" s="55"/>
      <c r="AH21" s="55"/>
      <c r="AI21" s="55"/>
      <c r="AJ21" s="854"/>
    </row>
    <row r="22" spans="1:36" outlineLevel="1">
      <c r="B22" s="746" t="s">
        <v>1031</v>
      </c>
      <c r="C22" s="758">
        <v>160</v>
      </c>
      <c r="D22" s="758">
        <v>160</v>
      </c>
      <c r="E22" s="758">
        <v>300</v>
      </c>
      <c r="F22" s="758">
        <v>400</v>
      </c>
      <c r="G22" s="758">
        <v>400</v>
      </c>
      <c r="H22" s="758">
        <v>120</v>
      </c>
      <c r="I22" s="758">
        <v>300</v>
      </c>
      <c r="J22" s="758">
        <v>300</v>
      </c>
      <c r="K22" s="758">
        <v>600</v>
      </c>
      <c r="L22" s="758" t="s">
        <v>25</v>
      </c>
      <c r="M22" s="739"/>
      <c r="N22" s="420"/>
      <c r="O22" s="861" t="s">
        <v>1085</v>
      </c>
      <c r="P22" s="864">
        <v>2020</v>
      </c>
      <c r="Q22" s="883">
        <f>$S$6/1*3.6/1000000*1000</f>
        <v>0.20502000000000001</v>
      </c>
      <c r="R22" s="865">
        <f>C23/100</f>
        <v>0.9</v>
      </c>
      <c r="S22" s="883">
        <f>Q22/R22</f>
        <v>0.2278</v>
      </c>
      <c r="T22" s="883">
        <f>S22*C33*F4</f>
        <v>5.6004629999999995</v>
      </c>
      <c r="U22" s="883">
        <f>S22*C39*$F$4</f>
        <v>0.16801389</v>
      </c>
      <c r="V22" s="883">
        <f>S22*C40*$F$4/3.6</f>
        <v>1.178548611111111</v>
      </c>
      <c r="W22" s="883">
        <f>C17/S22</f>
        <v>0.13169446883230904</v>
      </c>
      <c r="X22" s="865">
        <f>VLOOKUP($P22,'Natural gas boiler_New'!$P$39:$AD$42,3,FALSE)</f>
        <v>0.92</v>
      </c>
      <c r="Y22" s="886">
        <f>$S$6/R22/X22</f>
        <v>68.780193236714979</v>
      </c>
      <c r="Z22" s="55"/>
      <c r="AA22" s="55"/>
      <c r="AB22" s="854"/>
      <c r="AC22" s="55"/>
      <c r="AD22" s="55"/>
      <c r="AE22" s="55"/>
      <c r="AF22" s="55"/>
      <c r="AG22" s="55"/>
      <c r="AH22" s="55"/>
      <c r="AI22" s="55"/>
      <c r="AJ22" s="854"/>
    </row>
    <row r="23" spans="1:36" ht="38.25" customHeight="1" outlineLevel="1">
      <c r="B23" s="738" t="s">
        <v>1032</v>
      </c>
      <c r="C23" s="758">
        <v>90</v>
      </c>
      <c r="D23" s="758">
        <v>90</v>
      </c>
      <c r="E23" s="758">
        <v>90</v>
      </c>
      <c r="F23" s="758">
        <v>95</v>
      </c>
      <c r="G23" s="758">
        <v>95</v>
      </c>
      <c r="H23" s="758">
        <v>85</v>
      </c>
      <c r="I23" s="758">
        <v>95</v>
      </c>
      <c r="J23" s="758">
        <v>92</v>
      </c>
      <c r="K23" s="758">
        <v>99</v>
      </c>
      <c r="L23" s="758" t="s">
        <v>33</v>
      </c>
      <c r="M23" s="739"/>
      <c r="N23" s="428"/>
      <c r="O23" s="853"/>
      <c r="P23" s="866">
        <v>2030</v>
      </c>
      <c r="Q23" s="884">
        <f t="shared" ref="Q23:Q24" si="1">$S$6/1*3.6/1000000*1000</f>
        <v>0.20502000000000001</v>
      </c>
      <c r="R23" s="867">
        <f>E23/100</f>
        <v>0.9</v>
      </c>
      <c r="S23" s="884">
        <f t="shared" ref="S23:S24" si="2">Q23/R23</f>
        <v>0.2278</v>
      </c>
      <c r="T23" s="884">
        <f>S23*E33*F4</f>
        <v>4.5821970000000007</v>
      </c>
      <c r="U23" s="884">
        <f>S23*E39*$F$4</f>
        <v>0.13746591</v>
      </c>
      <c r="V23" s="884">
        <f>S23*E40*$F$4/3.6</f>
        <v>1.178548611111111</v>
      </c>
      <c r="W23" s="884">
        <f>E17/S23</f>
        <v>0.10974539069359088</v>
      </c>
      <c r="X23" s="867">
        <f>VLOOKUP($P23,'Natural gas boiler_New'!$P$39:$AD$42,3,FALSE)</f>
        <v>0.93</v>
      </c>
      <c r="Y23" s="887">
        <f t="shared" ref="Y23:Y24" si="3">$S$6/R23/X23</f>
        <v>68.040621266427721</v>
      </c>
      <c r="Z23" s="55"/>
      <c r="AA23" s="55"/>
      <c r="AB23" s="854"/>
      <c r="AC23" s="55"/>
      <c r="AD23" s="55"/>
      <c r="AE23" s="55"/>
      <c r="AF23" s="55"/>
      <c r="AG23" s="55"/>
      <c r="AH23" s="55"/>
      <c r="AI23" s="55"/>
      <c r="AJ23" s="854"/>
    </row>
    <row r="24" spans="1:36" ht="15" outlineLevel="1" thickBot="1">
      <c r="B24" s="738" t="s">
        <v>1033</v>
      </c>
      <c r="C24" s="758">
        <v>0.83299999999999996</v>
      </c>
      <c r="D24" s="758">
        <v>0.83299999999999996</v>
      </c>
      <c r="E24" s="758">
        <v>0.72</v>
      </c>
      <c r="F24" s="758">
        <v>0.66</v>
      </c>
      <c r="G24" s="758">
        <v>0.66</v>
      </c>
      <c r="H24" s="761">
        <v>0.66</v>
      </c>
      <c r="I24" s="761">
        <v>1</v>
      </c>
      <c r="J24" s="761">
        <v>0.55000000000000004</v>
      </c>
      <c r="K24" s="761">
        <v>0.72</v>
      </c>
      <c r="L24" s="758"/>
      <c r="M24" s="739"/>
      <c r="N24" s="428"/>
      <c r="O24" s="855"/>
      <c r="P24" s="868">
        <v>2050</v>
      </c>
      <c r="Q24" s="885">
        <f t="shared" si="1"/>
        <v>0.20502000000000001</v>
      </c>
      <c r="R24" s="869">
        <f>G23/100</f>
        <v>0.95</v>
      </c>
      <c r="S24" s="885">
        <f t="shared" si="2"/>
        <v>0.21581052631578948</v>
      </c>
      <c r="T24" s="885">
        <f>S24*G33*F4</f>
        <v>3.2155768421052633</v>
      </c>
      <c r="U24" s="885">
        <f>S24*G39*$F$4</f>
        <v>9.6467305263157888E-2</v>
      </c>
      <c r="V24" s="885">
        <f>S24*G40*$F$4/3.6</f>
        <v>1.1165197368421054</v>
      </c>
      <c r="W24" s="885">
        <f>G17/S24</f>
        <v>9.2673885474587839E-2</v>
      </c>
      <c r="X24" s="869">
        <f>VLOOKUP($P24,'Natural gas boiler_New'!$P$39:$AD$42,3,FALSE)</f>
        <v>0.94</v>
      </c>
      <c r="Y24" s="888">
        <f t="shared" si="3"/>
        <v>63.77379619260919</v>
      </c>
      <c r="Z24" s="787"/>
      <c r="AA24" s="787"/>
      <c r="AB24" s="856"/>
      <c r="AC24" s="55"/>
      <c r="AD24" s="55"/>
      <c r="AE24" s="55"/>
      <c r="AF24" s="55"/>
      <c r="AG24" s="55"/>
      <c r="AH24" s="55"/>
      <c r="AI24" s="55"/>
      <c r="AJ24" s="854"/>
    </row>
    <row r="25" spans="1:36" outlineLevel="1">
      <c r="B25" s="742" t="s">
        <v>1034</v>
      </c>
      <c r="C25" s="758">
        <v>60</v>
      </c>
      <c r="D25" s="758">
        <v>60</v>
      </c>
      <c r="E25" s="758">
        <v>60</v>
      </c>
      <c r="F25" s="758">
        <v>70</v>
      </c>
      <c r="G25" s="758">
        <v>70</v>
      </c>
      <c r="H25" s="758">
        <v>50</v>
      </c>
      <c r="I25" s="758">
        <v>80</v>
      </c>
      <c r="J25" s="758">
        <v>50</v>
      </c>
      <c r="K25" s="758">
        <v>120</v>
      </c>
      <c r="L25" s="758" t="s">
        <v>51</v>
      </c>
      <c r="M25" s="739"/>
      <c r="N25" s="428"/>
      <c r="O25" s="879" t="s">
        <v>1135</v>
      </c>
      <c r="P25" s="55"/>
      <c r="Q25" s="55"/>
      <c r="R25" s="55"/>
      <c r="S25" s="55"/>
      <c r="T25" s="55"/>
      <c r="U25" s="55"/>
      <c r="V25" s="55"/>
      <c r="W25" s="55"/>
      <c r="X25" s="55"/>
      <c r="Y25" s="55"/>
      <c r="Z25" s="55"/>
      <c r="AA25" s="55"/>
      <c r="AB25" s="55"/>
      <c r="AC25" s="55"/>
      <c r="AD25" s="55"/>
      <c r="AE25" s="55"/>
      <c r="AF25" s="55"/>
      <c r="AG25" s="55"/>
      <c r="AH25" s="55"/>
      <c r="AI25" s="55"/>
      <c r="AJ25" s="854"/>
    </row>
    <row r="26" spans="1:36" ht="27.6" outlineLevel="1">
      <c r="B26" s="747" t="s">
        <v>1035</v>
      </c>
      <c r="C26" s="761"/>
      <c r="D26" s="761"/>
      <c r="E26" s="761"/>
      <c r="F26" s="761"/>
      <c r="G26" s="761"/>
      <c r="H26" s="761"/>
      <c r="I26" s="761"/>
      <c r="J26" s="761"/>
      <c r="K26" s="761"/>
      <c r="L26" s="761"/>
      <c r="M26" s="745"/>
      <c r="N26" s="428"/>
      <c r="O26" s="853"/>
      <c r="P26" s="55"/>
      <c r="Q26" s="55"/>
      <c r="R26" s="880" t="s">
        <v>427</v>
      </c>
      <c r="S26" s="880" t="s">
        <v>1106</v>
      </c>
      <c r="T26" s="880" t="s">
        <v>428</v>
      </c>
      <c r="U26" s="771" t="s">
        <v>1049</v>
      </c>
      <c r="V26" s="880" t="s">
        <v>335</v>
      </c>
      <c r="W26" s="880" t="s">
        <v>336</v>
      </c>
      <c r="X26" s="881" t="s">
        <v>1102</v>
      </c>
      <c r="Y26" s="769" t="s">
        <v>337</v>
      </c>
      <c r="Z26" s="769" t="s">
        <v>1052</v>
      </c>
      <c r="AA26" s="769" t="s">
        <v>339</v>
      </c>
      <c r="AB26" s="882" t="s">
        <v>340</v>
      </c>
      <c r="AC26" s="47" t="s">
        <v>341</v>
      </c>
      <c r="AD26" s="49" t="s">
        <v>342</v>
      </c>
      <c r="AE26" s="49" t="s">
        <v>343</v>
      </c>
      <c r="AF26" s="769" t="s">
        <v>344</v>
      </c>
      <c r="AG26" s="769" t="s">
        <v>1104</v>
      </c>
      <c r="AH26" s="770" t="s">
        <v>997</v>
      </c>
      <c r="AI26" s="769" t="s">
        <v>1050</v>
      </c>
      <c r="AJ26" s="871" t="s">
        <v>1051</v>
      </c>
    </row>
    <row r="27" spans="1:36" ht="58.2" outlineLevel="1" thickBot="1">
      <c r="B27" s="740" t="s">
        <v>1036</v>
      </c>
      <c r="C27" s="761"/>
      <c r="D27" s="761"/>
      <c r="E27" s="761"/>
      <c r="F27" s="761"/>
      <c r="G27" s="761"/>
      <c r="H27" s="761"/>
      <c r="I27" s="761"/>
      <c r="J27" s="761"/>
      <c r="K27" s="761"/>
      <c r="L27" s="761"/>
      <c r="M27" s="745"/>
      <c r="N27" s="428"/>
      <c r="O27" s="853"/>
      <c r="P27" s="55"/>
      <c r="Q27" s="55"/>
      <c r="R27" s="834" t="s">
        <v>1107</v>
      </c>
      <c r="S27" s="834" t="s">
        <v>1108</v>
      </c>
      <c r="T27" s="834" t="s">
        <v>1109</v>
      </c>
      <c r="U27" s="835" t="s">
        <v>1110</v>
      </c>
      <c r="V27" s="50"/>
      <c r="W27" s="50"/>
      <c r="X27" s="833" t="s">
        <v>1103</v>
      </c>
      <c r="Y27" s="51"/>
      <c r="Z27" s="51"/>
      <c r="AA27" s="51"/>
      <c r="AB27" s="52"/>
      <c r="AC27" s="50"/>
      <c r="AD27" s="50"/>
      <c r="AE27" s="50"/>
      <c r="AF27" s="50"/>
      <c r="AG27" s="833" t="s">
        <v>1105</v>
      </c>
      <c r="AH27" s="50"/>
      <c r="AI27" s="50"/>
      <c r="AJ27" s="872"/>
    </row>
    <row r="28" spans="1:36" outlineLevel="1">
      <c r="B28" s="738" t="s">
        <v>657</v>
      </c>
      <c r="C28" s="758">
        <v>5</v>
      </c>
      <c r="D28" s="758">
        <v>5</v>
      </c>
      <c r="E28" s="758">
        <v>3</v>
      </c>
      <c r="F28" s="758">
        <v>3</v>
      </c>
      <c r="G28" s="758">
        <v>3</v>
      </c>
      <c r="H28" s="758">
        <v>3</v>
      </c>
      <c r="I28" s="758">
        <v>3</v>
      </c>
      <c r="J28" s="758">
        <v>3</v>
      </c>
      <c r="K28" s="758">
        <v>3</v>
      </c>
      <c r="L28" s="758"/>
      <c r="M28" s="739"/>
      <c r="N28" s="428"/>
      <c r="O28" s="853"/>
      <c r="P28" s="55"/>
      <c r="Q28" s="55"/>
      <c r="R28" s="55" t="s">
        <v>1111</v>
      </c>
      <c r="S28" s="55"/>
      <c r="T28" s="55" t="s">
        <v>1113</v>
      </c>
      <c r="U28" s="55" t="s">
        <v>1058</v>
      </c>
      <c r="V28" s="466">
        <v>2020</v>
      </c>
      <c r="W28" s="870">
        <v>2020</v>
      </c>
      <c r="X28" s="867"/>
      <c r="Y28" s="870">
        <f>VLOOKUP($V28,'Natural gas boiler_New'!$P$39:$AD$42,3,FALSE)</f>
        <v>0.92</v>
      </c>
      <c r="Z28" s="867"/>
      <c r="AA28" s="870">
        <v>25</v>
      </c>
      <c r="AB28" s="58">
        <f>VLOOKUP($V28,$P$22:$Y$24,5,FALSE)</f>
        <v>5.6004629999999995</v>
      </c>
      <c r="AC28" s="58">
        <f>VLOOKUP($V28,$P$22:$Y$24,6,FALSE)</f>
        <v>0.16801389</v>
      </c>
      <c r="AD28" s="58">
        <f>VLOOKUP($V28,$P$22:$Y$24,7,FALSE)</f>
        <v>1.178548611111111</v>
      </c>
      <c r="AE28" s="58"/>
      <c r="AF28" s="58"/>
      <c r="AG28" s="867"/>
      <c r="AH28" s="867"/>
      <c r="AI28" s="867"/>
      <c r="AJ28" s="873"/>
    </row>
    <row r="29" spans="1:36" ht="52.05" customHeight="1" outlineLevel="1">
      <c r="A29" s="435"/>
      <c r="B29" s="738" t="s">
        <v>658</v>
      </c>
      <c r="C29" s="758">
        <v>3</v>
      </c>
      <c r="D29" s="758">
        <v>3</v>
      </c>
      <c r="E29" s="758">
        <v>3</v>
      </c>
      <c r="F29" s="758">
        <v>2</v>
      </c>
      <c r="G29" s="758">
        <v>2</v>
      </c>
      <c r="H29" s="758">
        <v>2</v>
      </c>
      <c r="I29" s="758">
        <v>4</v>
      </c>
      <c r="J29" s="758">
        <v>2</v>
      </c>
      <c r="K29" s="758">
        <v>3</v>
      </c>
      <c r="L29" s="758"/>
      <c r="M29" s="739"/>
      <c r="N29" s="420"/>
      <c r="O29" s="853"/>
      <c r="P29" s="55"/>
      <c r="Q29" s="55"/>
      <c r="R29" s="55"/>
      <c r="S29" s="55" t="s">
        <v>499</v>
      </c>
      <c r="T29" s="55"/>
      <c r="U29" s="55" t="s">
        <v>1058</v>
      </c>
      <c r="V29" s="466">
        <v>2020</v>
      </c>
      <c r="W29" s="867"/>
      <c r="X29" s="82">
        <f>VLOOKUP($V29,$P$22:$Y$24,8,FALSE)</f>
        <v>0.13169446883230904</v>
      </c>
      <c r="Y29" s="874"/>
      <c r="Z29" s="867"/>
      <c r="AA29" s="867"/>
      <c r="AB29" s="867"/>
      <c r="AC29" s="867"/>
      <c r="AD29" s="867"/>
      <c r="AE29" s="867"/>
      <c r="AF29" s="867"/>
      <c r="AG29" s="867"/>
      <c r="AH29" s="867"/>
      <c r="AI29" s="867"/>
      <c r="AJ29" s="873"/>
    </row>
    <row r="30" spans="1:36" outlineLevel="1">
      <c r="B30" s="738" t="s">
        <v>11</v>
      </c>
      <c r="C30" s="758">
        <v>25</v>
      </c>
      <c r="D30" s="758">
        <v>25</v>
      </c>
      <c r="E30" s="758">
        <v>25</v>
      </c>
      <c r="F30" s="758">
        <v>25</v>
      </c>
      <c r="G30" s="758">
        <v>25</v>
      </c>
      <c r="H30" s="758">
        <v>25</v>
      </c>
      <c r="I30" s="758">
        <v>25</v>
      </c>
      <c r="J30" s="758">
        <v>25</v>
      </c>
      <c r="K30" s="758">
        <v>25</v>
      </c>
      <c r="L30" s="758"/>
      <c r="M30" s="739"/>
      <c r="N30" s="420"/>
      <c r="O30" s="853"/>
      <c r="P30" s="55"/>
      <c r="Q30" s="55"/>
      <c r="R30" s="55"/>
      <c r="S30" s="55"/>
      <c r="T30" s="55"/>
      <c r="U30" s="55" t="s">
        <v>1112</v>
      </c>
      <c r="V30" s="466">
        <v>2020</v>
      </c>
      <c r="W30" s="867"/>
      <c r="X30" s="198"/>
      <c r="Y30" s="874"/>
      <c r="Z30" s="867"/>
      <c r="AA30" s="867"/>
      <c r="AB30" s="867"/>
      <c r="AC30" s="867"/>
      <c r="AD30" s="867"/>
      <c r="AE30" s="867"/>
      <c r="AF30" s="867"/>
      <c r="AG30" s="58">
        <f>VLOOKUP($V30,$P$22:$Y$24,10,FALSE)</f>
        <v>68.780193236714979</v>
      </c>
      <c r="AH30" s="867"/>
      <c r="AI30" s="867"/>
      <c r="AJ30" s="873"/>
    </row>
    <row r="31" spans="1:36" outlineLevel="1">
      <c r="B31" s="738" t="s">
        <v>273</v>
      </c>
      <c r="C31" s="758">
        <v>2.5</v>
      </c>
      <c r="D31" s="758">
        <v>2.5</v>
      </c>
      <c r="E31" s="758">
        <v>2.5</v>
      </c>
      <c r="F31" s="758">
        <v>2</v>
      </c>
      <c r="G31" s="758">
        <v>2</v>
      </c>
      <c r="H31" s="758">
        <v>2</v>
      </c>
      <c r="I31" s="758">
        <v>4</v>
      </c>
      <c r="J31" s="758">
        <v>2</v>
      </c>
      <c r="K31" s="758">
        <v>3</v>
      </c>
      <c r="L31" s="758"/>
      <c r="M31" s="739"/>
      <c r="N31" s="420"/>
      <c r="O31" s="853"/>
      <c r="P31" s="55"/>
      <c r="Q31" s="55"/>
      <c r="R31" s="55"/>
      <c r="S31" s="55"/>
      <c r="T31" s="55"/>
      <c r="U31" s="55" t="s">
        <v>1058</v>
      </c>
      <c r="V31" s="466">
        <v>2030</v>
      </c>
      <c r="W31" s="867"/>
      <c r="X31" s="198"/>
      <c r="Y31" s="58">
        <f>VLOOKUP($V31,'Natural gas boiler_New'!$P$39:$AD$42,3,FALSE)</f>
        <v>0.93</v>
      </c>
      <c r="Z31" s="867"/>
      <c r="AA31" s="58">
        <v>25</v>
      </c>
      <c r="AB31" s="58">
        <f>VLOOKUP($V31,$P$22:$Y$24,5,FALSE)</f>
        <v>4.5821970000000007</v>
      </c>
      <c r="AC31" s="58">
        <f>VLOOKUP($V31,$P$22:$Y$24,6,FALSE)</f>
        <v>0.13746591</v>
      </c>
      <c r="AD31" s="58">
        <f>VLOOKUP($V31,$P$22:$Y$24,7,FALSE)</f>
        <v>1.178548611111111</v>
      </c>
      <c r="AE31" s="867"/>
      <c r="AF31" s="867"/>
      <c r="AG31" s="867"/>
      <c r="AH31" s="867"/>
      <c r="AI31" s="867"/>
      <c r="AJ31" s="873"/>
    </row>
    <row r="32" spans="1:36" outlineLevel="1">
      <c r="B32" s="748" t="s">
        <v>674</v>
      </c>
      <c r="C32" s="763"/>
      <c r="D32" s="763"/>
      <c r="E32" s="763"/>
      <c r="F32" s="763"/>
      <c r="G32" s="763"/>
      <c r="H32" s="763"/>
      <c r="I32" s="763"/>
      <c r="J32" s="763"/>
      <c r="K32" s="763"/>
      <c r="L32" s="763"/>
      <c r="M32" s="748"/>
      <c r="N32" s="420"/>
      <c r="O32" s="853"/>
      <c r="P32" s="55"/>
      <c r="Q32" s="55"/>
      <c r="R32" s="55"/>
      <c r="S32" s="55" t="s">
        <v>499</v>
      </c>
      <c r="T32" s="55"/>
      <c r="U32" s="55" t="s">
        <v>1058</v>
      </c>
      <c r="V32" s="466">
        <v>2030</v>
      </c>
      <c r="W32" s="867"/>
      <c r="X32" s="82">
        <f>VLOOKUP($V32,$P$22:$Y$24,8,FALSE)</f>
        <v>0.10974539069359088</v>
      </c>
      <c r="Y32" s="874"/>
      <c r="Z32" s="867"/>
      <c r="AA32" s="867"/>
      <c r="AB32" s="867"/>
      <c r="AC32" s="867"/>
      <c r="AD32" s="867"/>
      <c r="AE32" s="867"/>
      <c r="AF32" s="867"/>
      <c r="AG32" s="867"/>
      <c r="AH32" s="867"/>
      <c r="AI32" s="867"/>
      <c r="AJ32" s="873"/>
    </row>
    <row r="33" spans="2:36" ht="37.049999999999997" customHeight="1" outlineLevel="1">
      <c r="B33" s="836" t="s">
        <v>1037</v>
      </c>
      <c r="C33" s="837">
        <v>3.3</v>
      </c>
      <c r="D33" s="837">
        <v>3</v>
      </c>
      <c r="E33" s="837">
        <v>2.7</v>
      </c>
      <c r="F33" s="837">
        <v>2.4</v>
      </c>
      <c r="G33" s="837">
        <v>2</v>
      </c>
      <c r="H33" s="837">
        <v>2.5</v>
      </c>
      <c r="I33" s="837">
        <v>5</v>
      </c>
      <c r="J33" s="837">
        <v>1.6</v>
      </c>
      <c r="K33" s="837">
        <v>2.8</v>
      </c>
      <c r="L33" s="837" t="s">
        <v>52</v>
      </c>
      <c r="M33" s="838"/>
      <c r="N33" s="361"/>
      <c r="O33" s="853"/>
      <c r="P33" s="55"/>
      <c r="Q33" s="55"/>
      <c r="R33" s="55"/>
      <c r="S33" s="55"/>
      <c r="T33" s="55"/>
      <c r="U33" s="55" t="s">
        <v>1058</v>
      </c>
      <c r="V33" s="466">
        <v>2050</v>
      </c>
      <c r="W33" s="867"/>
      <c r="X33" s="198"/>
      <c r="Y33" s="58">
        <f>VLOOKUP($V33,'Natural gas boiler_New'!$P$39:$AD$42,3,FALSE)</f>
        <v>0.94</v>
      </c>
      <c r="Z33" s="867"/>
      <c r="AA33" s="58">
        <v>25</v>
      </c>
      <c r="AB33" s="58">
        <f>VLOOKUP($V33,$P$22:$Y$24,5,FALSE)</f>
        <v>3.2155768421052633</v>
      </c>
      <c r="AC33" s="58">
        <f>VLOOKUP($V33,$P$22:$Y$24,6,FALSE)</f>
        <v>9.6467305263157888E-2</v>
      </c>
      <c r="AD33" s="58">
        <f>VLOOKUP($V33,$P$22:$Y$24,7,FALSE)</f>
        <v>1.1165197368421054</v>
      </c>
      <c r="AE33" s="867"/>
      <c r="AF33" s="867"/>
      <c r="AG33" s="867"/>
      <c r="AH33" s="867"/>
      <c r="AI33" s="867"/>
      <c r="AJ33" s="873"/>
    </row>
    <row r="34" spans="2:36" ht="15.75" customHeight="1" outlineLevel="1" thickBot="1">
      <c r="B34" s="742" t="s">
        <v>1038</v>
      </c>
      <c r="C34" s="758">
        <v>50</v>
      </c>
      <c r="D34" s="758">
        <v>50</v>
      </c>
      <c r="E34" s="758">
        <v>50</v>
      </c>
      <c r="F34" s="758">
        <v>50</v>
      </c>
      <c r="G34" s="758">
        <v>50</v>
      </c>
      <c r="H34" s="758"/>
      <c r="I34" s="758"/>
      <c r="J34" s="758"/>
      <c r="K34" s="765"/>
      <c r="L34" s="758" t="s">
        <v>55</v>
      </c>
      <c r="M34" s="739"/>
      <c r="N34" s="361"/>
      <c r="O34" s="855"/>
      <c r="P34" s="787"/>
      <c r="Q34" s="787"/>
      <c r="R34" s="787"/>
      <c r="S34" s="787" t="s">
        <v>499</v>
      </c>
      <c r="T34" s="787"/>
      <c r="U34" s="787" t="s">
        <v>1058</v>
      </c>
      <c r="V34" s="875">
        <v>2050</v>
      </c>
      <c r="W34" s="869"/>
      <c r="X34" s="876">
        <f>VLOOKUP($V34,$P$22:$Y$24,8,FALSE)</f>
        <v>9.2673885474587839E-2</v>
      </c>
      <c r="Y34" s="877"/>
      <c r="Z34" s="869"/>
      <c r="AA34" s="869"/>
      <c r="AB34" s="869"/>
      <c r="AC34" s="869"/>
      <c r="AD34" s="869"/>
      <c r="AE34" s="869"/>
      <c r="AF34" s="869"/>
      <c r="AG34" s="869"/>
      <c r="AH34" s="869"/>
      <c r="AI34" s="869"/>
      <c r="AJ34" s="878"/>
    </row>
    <row r="35" spans="2:36" ht="15" outlineLevel="1" thickBot="1">
      <c r="B35" s="738" t="s">
        <v>1039</v>
      </c>
      <c r="C35" s="758">
        <v>10</v>
      </c>
      <c r="D35" s="758">
        <v>10</v>
      </c>
      <c r="E35" s="758">
        <v>10</v>
      </c>
      <c r="F35" s="758">
        <v>10</v>
      </c>
      <c r="G35" s="758">
        <v>10</v>
      </c>
      <c r="H35" s="758"/>
      <c r="I35" s="758"/>
      <c r="J35" s="758"/>
      <c r="K35" s="765"/>
      <c r="L35" s="758" t="s">
        <v>49</v>
      </c>
      <c r="M35" s="739"/>
      <c r="N35" s="363"/>
    </row>
    <row r="36" spans="2:36" outlineLevel="1">
      <c r="B36" s="749" t="s">
        <v>1040</v>
      </c>
      <c r="C36" s="758">
        <v>10</v>
      </c>
      <c r="D36" s="758">
        <v>10</v>
      </c>
      <c r="E36" s="758">
        <v>10</v>
      </c>
      <c r="F36" s="758">
        <v>10</v>
      </c>
      <c r="G36" s="758">
        <v>10</v>
      </c>
      <c r="H36" s="758"/>
      <c r="I36" s="758"/>
      <c r="J36" s="758"/>
      <c r="K36" s="765"/>
      <c r="L36" s="257"/>
      <c r="M36" s="739"/>
      <c r="N36" s="367"/>
      <c r="O36" s="857"/>
      <c r="P36" s="862" t="s">
        <v>1133</v>
      </c>
      <c r="Q36" s="858" t="s">
        <v>1084</v>
      </c>
      <c r="R36" s="858" t="s">
        <v>1134</v>
      </c>
      <c r="S36" s="858" t="s">
        <v>1131</v>
      </c>
      <c r="T36" s="859" t="s">
        <v>1087</v>
      </c>
      <c r="U36" s="858" t="s">
        <v>1088</v>
      </c>
      <c r="V36" s="858" t="s">
        <v>1089</v>
      </c>
      <c r="W36" s="858" t="s">
        <v>1102</v>
      </c>
      <c r="X36" s="858" t="s">
        <v>337</v>
      </c>
      <c r="Y36" s="863" t="s">
        <v>1104</v>
      </c>
      <c r="Z36" s="858"/>
      <c r="AA36" s="858"/>
      <c r="AB36" s="860"/>
      <c r="AC36" s="851"/>
      <c r="AD36" s="851"/>
      <c r="AE36" s="851"/>
      <c r="AF36" s="851"/>
      <c r="AG36" s="851"/>
      <c r="AH36" s="851"/>
      <c r="AI36" s="851"/>
      <c r="AJ36" s="852"/>
    </row>
    <row r="37" spans="2:36" outlineLevel="1">
      <c r="B37" s="738" t="s">
        <v>1041</v>
      </c>
      <c r="C37" s="758">
        <v>15</v>
      </c>
      <c r="D37" s="758">
        <v>15</v>
      </c>
      <c r="E37" s="758">
        <v>15</v>
      </c>
      <c r="F37" s="758">
        <v>15</v>
      </c>
      <c r="G37" s="758">
        <v>15</v>
      </c>
      <c r="H37" s="758"/>
      <c r="I37" s="758"/>
      <c r="J37" s="758"/>
      <c r="K37" s="765"/>
      <c r="L37" s="758" t="s">
        <v>374</v>
      </c>
      <c r="M37" s="739"/>
      <c r="N37" s="363"/>
      <c r="O37" s="853"/>
      <c r="P37" s="271"/>
      <c r="Q37" s="203"/>
      <c r="R37" s="203"/>
      <c r="S37" s="203"/>
      <c r="T37" s="203" t="s">
        <v>1090</v>
      </c>
      <c r="U37" s="203" t="s">
        <v>1090</v>
      </c>
      <c r="V37" s="203" t="s">
        <v>1100</v>
      </c>
      <c r="W37" s="203" t="s">
        <v>1132</v>
      </c>
      <c r="X37" s="203"/>
      <c r="Y37" s="356" t="s">
        <v>1105</v>
      </c>
      <c r="Z37" s="55"/>
      <c r="AA37" s="55"/>
      <c r="AB37" s="854"/>
      <c r="AC37" s="55"/>
      <c r="AD37" s="55"/>
      <c r="AE37" s="55"/>
      <c r="AF37" s="55"/>
      <c r="AG37" s="55"/>
      <c r="AH37" s="55"/>
      <c r="AI37" s="55"/>
      <c r="AJ37" s="854"/>
    </row>
    <row r="38" spans="2:36" outlineLevel="1">
      <c r="B38" s="738" t="s">
        <v>1042</v>
      </c>
      <c r="C38" s="758">
        <v>15</v>
      </c>
      <c r="D38" s="758">
        <v>15</v>
      </c>
      <c r="E38" s="758">
        <v>15</v>
      </c>
      <c r="F38" s="758">
        <v>15</v>
      </c>
      <c r="G38" s="758">
        <v>15</v>
      </c>
      <c r="H38" s="758"/>
      <c r="I38" s="758"/>
      <c r="J38" s="758"/>
      <c r="K38" s="766"/>
      <c r="L38" s="257"/>
      <c r="M38" s="739"/>
      <c r="N38" s="363"/>
      <c r="O38" s="861" t="s">
        <v>1136</v>
      </c>
      <c r="P38" s="864">
        <v>2020</v>
      </c>
      <c r="Q38" s="883">
        <f>$P$6/1*3.6/1000000*1000</f>
        <v>0.34056000000000003</v>
      </c>
      <c r="R38" s="865">
        <f>R22</f>
        <v>0.9</v>
      </c>
      <c r="S38" s="883">
        <f>Q38/R38</f>
        <v>0.37840000000000001</v>
      </c>
      <c r="T38" s="883">
        <f>S38*C33*$F$4</f>
        <v>9.3029640000000011</v>
      </c>
      <c r="U38" s="883">
        <f>S38*C39*$F$4</f>
        <v>0.27908891999999996</v>
      </c>
      <c r="V38" s="883">
        <f>S38*C40*$F$4/3.6</f>
        <v>1.9576944444444446</v>
      </c>
      <c r="W38" s="883">
        <f>C17/S38</f>
        <v>7.9281183932346719E-2</v>
      </c>
      <c r="X38" s="865">
        <f>VLOOKUP($P38,'Coal boiler'!$P$39:$AD$42,3,FALSE)</f>
        <v>0.89</v>
      </c>
      <c r="Y38" s="886">
        <f>$P$6/R38/X38</f>
        <v>118.10237203495629</v>
      </c>
      <c r="Z38" s="55"/>
      <c r="AA38" s="55"/>
      <c r="AB38" s="854"/>
      <c r="AC38" s="55"/>
      <c r="AD38" s="55"/>
      <c r="AE38" s="55"/>
      <c r="AF38" s="55"/>
      <c r="AG38" s="55"/>
      <c r="AH38" s="55"/>
      <c r="AI38" s="55"/>
      <c r="AJ38" s="854"/>
    </row>
    <row r="39" spans="2:36" outlineLevel="1">
      <c r="B39" s="839" t="s">
        <v>1043</v>
      </c>
      <c r="C39" s="840">
        <f>C33*0.03</f>
        <v>9.8999999999999991E-2</v>
      </c>
      <c r="D39" s="840">
        <f t="shared" ref="D39:K39" si="4">D33*0.03</f>
        <v>0.09</v>
      </c>
      <c r="E39" s="840">
        <f t="shared" si="4"/>
        <v>8.1000000000000003E-2</v>
      </c>
      <c r="F39" s="840">
        <f t="shared" si="4"/>
        <v>7.1999999999999995E-2</v>
      </c>
      <c r="G39" s="840">
        <f t="shared" si="4"/>
        <v>0.06</v>
      </c>
      <c r="H39" s="840">
        <f t="shared" si="4"/>
        <v>7.4999999999999997E-2</v>
      </c>
      <c r="I39" s="840">
        <f t="shared" si="4"/>
        <v>0.15</v>
      </c>
      <c r="J39" s="840">
        <f t="shared" si="4"/>
        <v>4.8000000000000001E-2</v>
      </c>
      <c r="K39" s="840">
        <f t="shared" si="4"/>
        <v>8.3999999999999991E-2</v>
      </c>
      <c r="L39" s="837" t="s">
        <v>886</v>
      </c>
      <c r="M39" s="841"/>
      <c r="N39" s="363"/>
      <c r="O39" s="853"/>
      <c r="P39" s="866">
        <v>2030</v>
      </c>
      <c r="Q39" s="884">
        <f t="shared" ref="Q39:Q40" si="5">$P$6/1*3.6/1000000*1000</f>
        <v>0.34056000000000003</v>
      </c>
      <c r="R39" s="867">
        <f t="shared" ref="R39:R40" si="6">R23</f>
        <v>0.9</v>
      </c>
      <c r="S39" s="884">
        <f t="shared" ref="S39:S40" si="7">Q39/R39</f>
        <v>0.37840000000000001</v>
      </c>
      <c r="T39" s="884">
        <f>S39*E33*$F$4</f>
        <v>7.6115160000000008</v>
      </c>
      <c r="U39" s="884">
        <f>S39*E39*$F$4</f>
        <v>0.22834548000000002</v>
      </c>
      <c r="V39" s="884">
        <f>S39*E40*$F$4/3.6</f>
        <v>1.9576944444444446</v>
      </c>
      <c r="W39" s="884">
        <f>E17/S39</f>
        <v>6.6067653276955601E-2</v>
      </c>
      <c r="X39" s="867">
        <f>VLOOKUP($P39,'Coal boiler'!$P$39:$AD$42,3,FALSE)</f>
        <v>0.89</v>
      </c>
      <c r="Y39" s="887">
        <f t="shared" ref="Y39:Y40" si="8">$P$6/R39/X39</f>
        <v>118.10237203495629</v>
      </c>
      <c r="Z39" s="55"/>
      <c r="AA39" s="55"/>
      <c r="AB39" s="854"/>
      <c r="AC39" s="55"/>
      <c r="AD39" s="55"/>
      <c r="AE39" s="55"/>
      <c r="AF39" s="55"/>
      <c r="AG39" s="55"/>
      <c r="AH39" s="55"/>
      <c r="AI39" s="55"/>
      <c r="AJ39" s="854"/>
    </row>
    <row r="40" spans="2:36" ht="14.55" customHeight="1" outlineLevel="1" thickBot="1">
      <c r="B40" s="842" t="s">
        <v>1044</v>
      </c>
      <c r="C40" s="837">
        <v>2.5</v>
      </c>
      <c r="D40" s="837">
        <v>2.5</v>
      </c>
      <c r="E40" s="837">
        <v>2.5</v>
      </c>
      <c r="F40" s="837">
        <v>2.5</v>
      </c>
      <c r="G40" s="837">
        <v>2.5</v>
      </c>
      <c r="H40" s="840">
        <v>1.5</v>
      </c>
      <c r="I40" s="840">
        <v>3.5</v>
      </c>
      <c r="J40" s="840">
        <v>1.5</v>
      </c>
      <c r="K40" s="840">
        <v>3.5</v>
      </c>
      <c r="L40" s="843"/>
      <c r="M40" s="838"/>
      <c r="N40" s="363"/>
      <c r="O40" s="855"/>
      <c r="P40" s="868">
        <v>2050</v>
      </c>
      <c r="Q40" s="885">
        <f t="shared" si="5"/>
        <v>0.34056000000000003</v>
      </c>
      <c r="R40" s="869">
        <f t="shared" si="6"/>
        <v>0.95</v>
      </c>
      <c r="S40" s="885">
        <f t="shared" si="7"/>
        <v>0.35848421052631585</v>
      </c>
      <c r="T40" s="885">
        <f>S40*G33*$F$4</f>
        <v>5.3414147368421059</v>
      </c>
      <c r="U40" s="885">
        <f>S40*G39*$F$4</f>
        <v>0.16024244210526317</v>
      </c>
      <c r="V40" s="885">
        <f>S40*G40*$F$4/3.6</f>
        <v>1.8546578947368424</v>
      </c>
      <c r="W40" s="885">
        <f>G17/S40</f>
        <v>5.5790462767206943E-2</v>
      </c>
      <c r="X40" s="869">
        <f>VLOOKUP($P40,'Coal boiler'!$P$39:$AD$42,3,FALSE)</f>
        <v>0.91</v>
      </c>
      <c r="Y40" s="888">
        <f t="shared" si="8"/>
        <v>109.42741469057259</v>
      </c>
      <c r="Z40" s="787"/>
      <c r="AA40" s="787"/>
      <c r="AB40" s="856"/>
      <c r="AC40" s="55"/>
      <c r="AD40" s="55"/>
      <c r="AE40" s="55"/>
      <c r="AF40" s="55"/>
      <c r="AG40" s="55"/>
      <c r="AH40" s="55"/>
      <c r="AI40" s="55"/>
      <c r="AJ40" s="854"/>
    </row>
    <row r="41" spans="2:36" outlineLevel="1">
      <c r="B41" s="746" t="s">
        <v>1045</v>
      </c>
      <c r="C41" s="758">
        <v>25</v>
      </c>
      <c r="D41" s="758">
        <v>25</v>
      </c>
      <c r="E41" s="758">
        <v>25</v>
      </c>
      <c r="F41" s="758">
        <v>25</v>
      </c>
      <c r="G41" s="758">
        <v>25</v>
      </c>
      <c r="H41" s="758"/>
      <c r="I41" s="758"/>
      <c r="J41" s="758"/>
      <c r="K41" s="765"/>
      <c r="L41" s="257"/>
      <c r="M41" s="739"/>
      <c r="N41" s="363"/>
      <c r="O41" s="879" t="s">
        <v>1135</v>
      </c>
      <c r="P41" s="55"/>
      <c r="Q41" s="55"/>
      <c r="R41" s="55"/>
      <c r="S41" s="55"/>
      <c r="T41" s="55"/>
      <c r="U41" s="55"/>
      <c r="V41" s="55"/>
      <c r="W41" s="55"/>
      <c r="X41" s="55"/>
      <c r="Y41" s="55"/>
      <c r="Z41" s="55"/>
      <c r="AA41" s="55"/>
      <c r="AB41" s="55"/>
      <c r="AC41" s="55"/>
      <c r="AD41" s="55"/>
      <c r="AE41" s="55"/>
      <c r="AF41" s="55"/>
      <c r="AG41" s="55"/>
      <c r="AH41" s="55"/>
      <c r="AI41" s="55"/>
      <c r="AJ41" s="854"/>
    </row>
    <row r="42" spans="2:36" ht="14.55" customHeight="1" outlineLevel="1">
      <c r="B42" s="737" t="s">
        <v>1046</v>
      </c>
      <c r="C42" s="756"/>
      <c r="D42" s="756"/>
      <c r="E42" s="756"/>
      <c r="F42" s="756"/>
      <c r="G42" s="756"/>
      <c r="H42" s="756"/>
      <c r="I42" s="756"/>
      <c r="J42" s="756"/>
      <c r="K42" s="756"/>
      <c r="L42" s="756"/>
      <c r="M42" s="750"/>
      <c r="N42" s="363"/>
      <c r="O42" s="853"/>
      <c r="P42" s="55"/>
      <c r="Q42" s="55"/>
      <c r="R42" s="880" t="s">
        <v>427</v>
      </c>
      <c r="S42" s="880" t="s">
        <v>1106</v>
      </c>
      <c r="T42" s="880" t="s">
        <v>428</v>
      </c>
      <c r="U42" s="771" t="s">
        <v>1049</v>
      </c>
      <c r="V42" s="880" t="s">
        <v>335</v>
      </c>
      <c r="W42" s="880" t="s">
        <v>336</v>
      </c>
      <c r="X42" s="881" t="s">
        <v>1102</v>
      </c>
      <c r="Y42" s="769" t="s">
        <v>337</v>
      </c>
      <c r="Z42" s="769" t="s">
        <v>1052</v>
      </c>
      <c r="AA42" s="769" t="s">
        <v>339</v>
      </c>
      <c r="AB42" s="882" t="s">
        <v>340</v>
      </c>
      <c r="AC42" s="47" t="s">
        <v>341</v>
      </c>
      <c r="AD42" s="49" t="s">
        <v>342</v>
      </c>
      <c r="AE42" s="49" t="s">
        <v>343</v>
      </c>
      <c r="AF42" s="769" t="s">
        <v>344</v>
      </c>
      <c r="AG42" s="769" t="s">
        <v>1104</v>
      </c>
      <c r="AH42" s="770" t="s">
        <v>997</v>
      </c>
      <c r="AI42" s="769" t="s">
        <v>1050</v>
      </c>
      <c r="AJ42" s="871" t="s">
        <v>1051</v>
      </c>
    </row>
    <row r="43" spans="2:36" ht="58.2" outlineLevel="1" thickBot="1">
      <c r="B43" s="742" t="s">
        <v>1047</v>
      </c>
      <c r="C43" s="767">
        <v>0.1</v>
      </c>
      <c r="D43" s="767">
        <v>0.1</v>
      </c>
      <c r="E43" s="758">
        <v>8.5000000000000006E-2</v>
      </c>
      <c r="F43" s="758">
        <v>7.4999999999999997E-2</v>
      </c>
      <c r="G43" s="758">
        <v>7.4999999999999997E-2</v>
      </c>
      <c r="H43" s="758">
        <v>0.09</v>
      </c>
      <c r="I43" s="758">
        <v>0.11</v>
      </c>
      <c r="J43" s="758">
        <v>7.0000000000000007E-2</v>
      </c>
      <c r="K43" s="760">
        <v>0.09</v>
      </c>
      <c r="L43" s="758" t="s">
        <v>887</v>
      </c>
      <c r="M43" s="739"/>
      <c r="N43" s="367"/>
      <c r="O43" s="853"/>
      <c r="P43" s="55"/>
      <c r="Q43" s="55"/>
      <c r="R43" s="834" t="s">
        <v>1107</v>
      </c>
      <c r="S43" s="834" t="s">
        <v>1108</v>
      </c>
      <c r="T43" s="834" t="s">
        <v>1109</v>
      </c>
      <c r="U43" s="835" t="s">
        <v>1110</v>
      </c>
      <c r="V43" s="50"/>
      <c r="W43" s="50"/>
      <c r="X43" s="833" t="s">
        <v>1103</v>
      </c>
      <c r="Y43" s="51"/>
      <c r="Z43" s="51"/>
      <c r="AA43" s="51"/>
      <c r="AB43" s="52"/>
      <c r="AC43" s="50"/>
      <c r="AD43" s="50"/>
      <c r="AE43" s="50"/>
      <c r="AF43" s="50"/>
      <c r="AG43" s="833" t="s">
        <v>1105</v>
      </c>
      <c r="AH43" s="50"/>
      <c r="AI43" s="50"/>
      <c r="AJ43" s="872"/>
    </row>
    <row r="44" spans="2:36" outlineLevel="1">
      <c r="B44" s="742" t="s">
        <v>1048</v>
      </c>
      <c r="C44" s="758">
        <v>0.16</v>
      </c>
      <c r="D44" s="758">
        <v>0.16</v>
      </c>
      <c r="E44" s="758">
        <v>0.14000000000000001</v>
      </c>
      <c r="F44" s="758">
        <v>0.13</v>
      </c>
      <c r="G44" s="758">
        <v>0.13</v>
      </c>
      <c r="H44" s="758">
        <v>0.14000000000000001</v>
      </c>
      <c r="I44" s="758">
        <v>0.18</v>
      </c>
      <c r="J44" s="758">
        <v>0.12</v>
      </c>
      <c r="K44" s="760">
        <v>0.15</v>
      </c>
      <c r="L44" s="758" t="s">
        <v>887</v>
      </c>
      <c r="M44" s="739"/>
      <c r="N44" s="363"/>
      <c r="O44" s="853"/>
      <c r="P44" s="55"/>
      <c r="Q44" s="55"/>
      <c r="R44" s="55" t="s">
        <v>617</v>
      </c>
      <c r="S44" s="55"/>
      <c r="T44" s="55" t="s">
        <v>1113</v>
      </c>
      <c r="U44" s="55" t="s">
        <v>1058</v>
      </c>
      <c r="V44" s="466">
        <v>2020</v>
      </c>
      <c r="W44" s="870">
        <v>2020</v>
      </c>
      <c r="X44" s="867"/>
      <c r="Y44" s="82">
        <f>VLOOKUP($V44,$P$38:$Y$40,9,FALSE)</f>
        <v>0.89</v>
      </c>
      <c r="Z44" s="867"/>
      <c r="AA44" s="870">
        <v>25</v>
      </c>
      <c r="AB44" s="58">
        <f>VLOOKUP($V44,$P$38:$Y$40,5,FALSE)</f>
        <v>9.3029640000000011</v>
      </c>
      <c r="AC44" s="58">
        <f>VLOOKUP($V44,$P$38:$Y$40,6,FALSE)</f>
        <v>0.27908891999999996</v>
      </c>
      <c r="AD44" s="58">
        <f>VLOOKUP($V44,$P$38:$Y$40,7,FALSE)</f>
        <v>1.9576944444444446</v>
      </c>
      <c r="AE44" s="58"/>
      <c r="AF44" s="58"/>
      <c r="AG44" s="867"/>
      <c r="AH44" s="867"/>
      <c r="AI44" s="867"/>
      <c r="AJ44" s="873"/>
    </row>
    <row r="45" spans="2:36" outlineLevel="1">
      <c r="B45" s="742"/>
      <c r="C45" s="758"/>
      <c r="D45" s="758"/>
      <c r="E45" s="758"/>
      <c r="F45" s="758"/>
      <c r="G45" s="758"/>
      <c r="H45" s="758"/>
      <c r="I45" s="758"/>
      <c r="J45" s="758"/>
      <c r="K45" s="765"/>
      <c r="L45" s="758"/>
      <c r="M45" s="739"/>
      <c r="N45" s="363"/>
      <c r="O45" s="853"/>
      <c r="P45" s="55"/>
      <c r="Q45" s="55"/>
      <c r="R45" s="55"/>
      <c r="S45" s="55" t="s">
        <v>499</v>
      </c>
      <c r="T45" s="55"/>
      <c r="U45" s="55" t="s">
        <v>1058</v>
      </c>
      <c r="V45" s="466">
        <v>2020</v>
      </c>
      <c r="W45" s="867"/>
      <c r="X45" s="82">
        <f>VLOOKUP($V45,$P$38:$Y$40,8,FALSE)</f>
        <v>7.9281183932346719E-2</v>
      </c>
      <c r="Y45" s="874"/>
      <c r="Z45" s="867"/>
      <c r="AA45" s="867"/>
      <c r="AB45" s="867"/>
      <c r="AC45" s="867"/>
      <c r="AD45" s="867"/>
      <c r="AE45" s="867"/>
      <c r="AF45" s="867"/>
      <c r="AG45" s="867"/>
      <c r="AH45" s="867"/>
      <c r="AI45" s="867"/>
      <c r="AJ45" s="873"/>
    </row>
    <row r="46" spans="2:36" outlineLevel="1">
      <c r="B46" s="738"/>
      <c r="C46" s="758"/>
      <c r="D46" s="758"/>
      <c r="E46" s="758"/>
      <c r="F46" s="758"/>
      <c r="G46" s="766"/>
      <c r="H46" s="758"/>
      <c r="I46" s="758"/>
      <c r="J46" s="758"/>
      <c r="K46" s="766"/>
      <c r="L46" s="758"/>
      <c r="M46" s="739"/>
      <c r="N46" s="363"/>
      <c r="O46" s="853"/>
      <c r="P46" s="55"/>
      <c r="Q46" s="55"/>
      <c r="R46" s="55"/>
      <c r="S46" s="55"/>
      <c r="T46" s="55"/>
      <c r="U46" s="55" t="s">
        <v>1112</v>
      </c>
      <c r="V46" s="466">
        <v>2020</v>
      </c>
      <c r="W46" s="867"/>
      <c r="X46" s="198"/>
      <c r="Y46" s="874"/>
      <c r="Z46" s="867"/>
      <c r="AA46" s="867"/>
      <c r="AB46" s="867"/>
      <c r="AC46" s="867"/>
      <c r="AD46" s="867"/>
      <c r="AE46" s="867"/>
      <c r="AF46" s="867"/>
      <c r="AG46" s="58">
        <f>VLOOKUP($V46,$P$38:$Y$40,10,FALSE)</f>
        <v>118.10237203495629</v>
      </c>
      <c r="AH46" s="867"/>
      <c r="AI46" s="867"/>
      <c r="AJ46" s="873"/>
    </row>
    <row r="47" spans="2:36" ht="57.6" outlineLevel="1">
      <c r="B47" s="461" t="s">
        <v>769</v>
      </c>
      <c r="C47" s="483">
        <f>C33*$F$4*1/C16*1000</f>
        <v>29513.805522208888</v>
      </c>
      <c r="D47" s="483">
        <f t="shared" ref="D47:G47" si="9">D33*$F$4*1/D16*1000</f>
        <v>26830.732292917168</v>
      </c>
      <c r="E47" s="483">
        <f t="shared" si="9"/>
        <v>27937.500000000004</v>
      </c>
      <c r="F47" s="483">
        <f t="shared" si="9"/>
        <v>27090.909090909085</v>
      </c>
      <c r="G47" s="483">
        <f t="shared" si="9"/>
        <v>22575.757575757576</v>
      </c>
      <c r="H47" s="484"/>
      <c r="I47" s="420" t="s">
        <v>332</v>
      </c>
      <c r="J47" s="420"/>
      <c r="K47" s="484"/>
      <c r="L47" s="484"/>
      <c r="N47" s="420"/>
      <c r="O47" s="853"/>
      <c r="P47" s="55"/>
      <c r="Q47" s="55"/>
      <c r="R47" s="55"/>
      <c r="S47" s="55"/>
      <c r="T47" s="55"/>
      <c r="U47" s="55" t="s">
        <v>1058</v>
      </c>
      <c r="V47" s="466">
        <v>2030</v>
      </c>
      <c r="W47" s="867"/>
      <c r="X47" s="198"/>
      <c r="Y47" s="82">
        <f>VLOOKUP($V47,$P$38:$Y$40,9,FALSE)</f>
        <v>0.89</v>
      </c>
      <c r="Z47" s="867"/>
      <c r="AA47" s="58">
        <v>25</v>
      </c>
      <c r="AB47" s="58">
        <f>VLOOKUP($V47,$P$38:$Y$40,5,FALSE)</f>
        <v>7.6115160000000008</v>
      </c>
      <c r="AC47" s="58">
        <f>VLOOKUP($V47,$P$38:$Y$40,6,FALSE)</f>
        <v>0.22834548000000002</v>
      </c>
      <c r="AD47" s="58">
        <f>VLOOKUP($V47,$P$38:$Y$40,7,FALSE)</f>
        <v>1.9576944444444446</v>
      </c>
      <c r="AE47" s="867"/>
      <c r="AF47" s="867"/>
      <c r="AG47" s="867"/>
      <c r="AH47" s="867"/>
      <c r="AI47" s="867"/>
      <c r="AJ47" s="873"/>
    </row>
    <row r="48" spans="2:36" ht="14.55" customHeight="1" outlineLevel="1">
      <c r="B48" s="485" t="s">
        <v>770</v>
      </c>
      <c r="C48" s="486">
        <f>C47*$I48</f>
        <v>14756902.761104444</v>
      </c>
      <c r="D48" s="486">
        <f>D47*$I48</f>
        <v>13415366.146458585</v>
      </c>
      <c r="E48" s="486">
        <f>E47*$I48</f>
        <v>13968750.000000002</v>
      </c>
      <c r="F48" s="486">
        <f>F47*$I48</f>
        <v>13545454.545454543</v>
      </c>
      <c r="G48" s="486"/>
      <c r="H48" s="484"/>
      <c r="I48" s="71">
        <v>500</v>
      </c>
      <c r="J48" s="420" t="s">
        <v>330</v>
      </c>
      <c r="K48" s="484"/>
      <c r="L48" s="484"/>
      <c r="N48" s="420"/>
      <c r="O48" s="853"/>
      <c r="P48" s="55"/>
      <c r="Q48" s="55"/>
      <c r="R48" s="55"/>
      <c r="S48" s="55" t="s">
        <v>499</v>
      </c>
      <c r="T48" s="55"/>
      <c r="U48" s="55" t="s">
        <v>1058</v>
      </c>
      <c r="V48" s="466">
        <v>2030</v>
      </c>
      <c r="W48" s="867"/>
      <c r="X48" s="82">
        <f>VLOOKUP($V48,$P$38:$Y$40,8,FALSE)</f>
        <v>6.6067653276955601E-2</v>
      </c>
      <c r="Y48" s="874"/>
      <c r="Z48" s="867"/>
      <c r="AA48" s="867"/>
      <c r="AB48" s="867"/>
      <c r="AC48" s="867"/>
      <c r="AD48" s="867"/>
      <c r="AE48" s="867"/>
      <c r="AF48" s="867"/>
      <c r="AG48" s="867"/>
      <c r="AH48" s="867"/>
      <c r="AI48" s="867"/>
      <c r="AJ48" s="873"/>
    </row>
    <row r="49" spans="2:36" ht="43.2" outlineLevel="1">
      <c r="B49" s="461" t="s">
        <v>1074</v>
      </c>
      <c r="C49" s="359">
        <f>C39*$F$4*1/C16*1000</f>
        <v>885.4141656662664</v>
      </c>
      <c r="D49" s="359">
        <f t="shared" ref="D49:G49" si="10">D39*$F$4*1/D16*1000</f>
        <v>804.92196878751497</v>
      </c>
      <c r="E49" s="359">
        <f t="shared" si="10"/>
        <v>838.12500000000011</v>
      </c>
      <c r="F49" s="359">
        <f t="shared" si="10"/>
        <v>812.72727272727263</v>
      </c>
      <c r="G49" s="359">
        <f t="shared" si="10"/>
        <v>677.27272727272725</v>
      </c>
      <c r="I49" s="420" t="s">
        <v>333</v>
      </c>
      <c r="J49" s="420"/>
      <c r="N49" s="420" t="s">
        <v>1137</v>
      </c>
      <c r="O49" s="853"/>
      <c r="P49" s="55"/>
      <c r="Q49" s="55"/>
      <c r="R49" s="55"/>
      <c r="S49" s="55"/>
      <c r="T49" s="55"/>
      <c r="U49" s="55" t="s">
        <v>1058</v>
      </c>
      <c r="V49" s="466">
        <v>2050</v>
      </c>
      <c r="W49" s="867"/>
      <c r="X49" s="198"/>
      <c r="Y49" s="82">
        <f>VLOOKUP($V49,$P$38:$Y$40,9,FALSE)</f>
        <v>0.91</v>
      </c>
      <c r="Z49" s="867"/>
      <c r="AA49" s="58">
        <v>25</v>
      </c>
      <c r="AB49" s="58">
        <f>VLOOKUP($V49,$P$38:$Y$40,5,FALSE)</f>
        <v>5.3414147368421059</v>
      </c>
      <c r="AC49" s="58">
        <f>VLOOKUP($V49,$P$38:$Y$40,6,FALSE)</f>
        <v>0.16024244210526317</v>
      </c>
      <c r="AD49" s="58">
        <f>VLOOKUP($V49,$P$38:$Y$40,7,FALSE)</f>
        <v>1.8546578947368424</v>
      </c>
      <c r="AE49" s="867"/>
      <c r="AF49" s="867"/>
      <c r="AG49" s="867"/>
      <c r="AH49" s="867"/>
      <c r="AI49" s="867"/>
      <c r="AJ49" s="873"/>
    </row>
    <row r="50" spans="2:36" ht="43.8" outlineLevel="1" thickBot="1">
      <c r="B50" s="461" t="s">
        <v>846</v>
      </c>
      <c r="C50" s="487">
        <f>C40*$F$4*1/C24/3.6</f>
        <v>6.2108176603974927</v>
      </c>
      <c r="D50" s="487">
        <f t="shared" ref="D50:G50" si="11">D40*$F$4*1/D24/3.6</f>
        <v>6.2108176603974927</v>
      </c>
      <c r="E50" s="487">
        <f t="shared" si="11"/>
        <v>7.1855709876543212</v>
      </c>
      <c r="F50" s="487">
        <f t="shared" si="11"/>
        <v>7.8388047138047137</v>
      </c>
      <c r="G50" s="487">
        <f t="shared" si="11"/>
        <v>7.8388047138047137</v>
      </c>
      <c r="M50" s="420"/>
      <c r="N50" s="420"/>
      <c r="O50" s="855"/>
      <c r="P50" s="787"/>
      <c r="Q50" s="787"/>
      <c r="R50" s="787"/>
      <c r="S50" s="787" t="s">
        <v>499</v>
      </c>
      <c r="T50" s="787"/>
      <c r="U50" s="787" t="s">
        <v>1058</v>
      </c>
      <c r="V50" s="875">
        <v>2050</v>
      </c>
      <c r="W50" s="869"/>
      <c r="X50" s="876">
        <f>VLOOKUP($V50,$P$38:$Y$40,8,FALSE)</f>
        <v>5.5790462767206943E-2</v>
      </c>
      <c r="Y50" s="877"/>
      <c r="Z50" s="869"/>
      <c r="AA50" s="869"/>
      <c r="AB50" s="869"/>
      <c r="AC50" s="869"/>
      <c r="AD50" s="869"/>
      <c r="AE50" s="869"/>
      <c r="AF50" s="869"/>
      <c r="AG50" s="869"/>
      <c r="AH50" s="869"/>
      <c r="AI50" s="869"/>
      <c r="AJ50" s="878"/>
    </row>
    <row r="51" spans="2:36" outlineLevel="1"/>
    <row r="52" spans="2:36" outlineLevel="1"/>
    <row r="53" spans="2:36" outlineLevel="1"/>
    <row r="54" spans="2:36" outlineLevel="1"/>
    <row r="55" spans="2:36" outlineLevel="1">
      <c r="E55" s="358"/>
      <c r="F55" s="358"/>
      <c r="G55" s="358"/>
      <c r="H55" s="358"/>
      <c r="I55" s="358"/>
      <c r="J55" s="358"/>
      <c r="K55" s="358"/>
      <c r="L55" s="358"/>
    </row>
    <row r="56" spans="2:36" outlineLevel="1">
      <c r="B56" s="797" t="s">
        <v>773</v>
      </c>
      <c r="C56" s="223"/>
      <c r="D56" s="798"/>
      <c r="E56" s="798"/>
      <c r="F56" s="798"/>
      <c r="G56" s="798"/>
      <c r="H56" s="798"/>
      <c r="I56" s="798"/>
      <c r="J56" s="798"/>
      <c r="K56" s="798"/>
      <c r="L56" s="799"/>
    </row>
    <row r="57" spans="2:36" outlineLevel="1">
      <c r="B57" s="223">
        <v>1</v>
      </c>
      <c r="C57" s="223"/>
      <c r="D57" s="223"/>
      <c r="E57" s="800"/>
      <c r="F57" s="223"/>
      <c r="G57" s="223"/>
      <c r="H57" s="223"/>
      <c r="I57" s="223"/>
      <c r="J57" s="223"/>
      <c r="K57" s="223"/>
      <c r="L57" s="223"/>
    </row>
    <row r="58" spans="2:36" outlineLevel="1">
      <c r="B58" s="223">
        <v>2</v>
      </c>
      <c r="C58" s="223"/>
      <c r="D58" s="223"/>
      <c r="E58" s="800"/>
      <c r="F58" s="223"/>
      <c r="G58" s="223"/>
      <c r="H58" s="223"/>
      <c r="I58" s="223"/>
      <c r="J58" s="223"/>
      <c r="K58" s="223"/>
      <c r="L58" s="223"/>
    </row>
    <row r="59" spans="2:36" outlineLevel="1">
      <c r="B59" s="223">
        <v>3</v>
      </c>
      <c r="C59" s="223"/>
      <c r="D59" s="223"/>
      <c r="E59" s="800"/>
      <c r="F59" s="223"/>
      <c r="G59" s="223"/>
      <c r="H59" s="223"/>
      <c r="I59" s="223"/>
      <c r="J59" s="223"/>
      <c r="K59" s="223"/>
      <c r="L59" s="223"/>
    </row>
    <row r="60" spans="2:36" outlineLevel="1">
      <c r="B60" s="223"/>
      <c r="C60" s="223"/>
      <c r="D60" s="223"/>
      <c r="E60" s="223"/>
      <c r="F60" s="223"/>
      <c r="G60" s="223"/>
      <c r="H60" s="223"/>
      <c r="I60" s="223"/>
      <c r="J60" s="223"/>
      <c r="K60" s="223"/>
      <c r="L60" s="223"/>
    </row>
    <row r="61" spans="2:36" outlineLevel="1">
      <c r="B61" s="223"/>
      <c r="C61" s="223"/>
      <c r="D61" s="223"/>
      <c r="E61" s="223"/>
      <c r="F61" s="223"/>
      <c r="G61" s="223"/>
      <c r="H61" s="223"/>
      <c r="I61" s="223"/>
      <c r="J61" s="223"/>
      <c r="K61" s="223"/>
      <c r="L61" s="223"/>
    </row>
    <row r="62" spans="2:36" outlineLevel="1">
      <c r="B62" s="801" t="s">
        <v>783</v>
      </c>
      <c r="C62" s="223"/>
      <c r="D62" s="223"/>
      <c r="E62" s="223"/>
      <c r="F62" s="223"/>
      <c r="G62" s="223"/>
      <c r="H62" s="223"/>
      <c r="I62" s="223"/>
      <c r="J62" s="223"/>
      <c r="K62" s="223"/>
      <c r="L62" s="223"/>
    </row>
    <row r="63" spans="2:36" outlineLevel="1">
      <c r="B63" s="802" t="s">
        <v>6</v>
      </c>
      <c r="C63" s="223" t="s">
        <v>1059</v>
      </c>
      <c r="D63" s="223"/>
      <c r="E63" s="223"/>
      <c r="F63" s="223"/>
      <c r="G63" s="223"/>
      <c r="H63" s="223"/>
      <c r="I63" s="223"/>
      <c r="J63" s="223"/>
      <c r="K63" s="223"/>
      <c r="L63" s="223"/>
    </row>
    <row r="64" spans="2:36" outlineLevel="1">
      <c r="B64" s="802" t="s">
        <v>59</v>
      </c>
      <c r="C64" s="223" t="s">
        <v>1060</v>
      </c>
      <c r="D64" s="223"/>
      <c r="E64" s="223"/>
      <c r="F64" s="223"/>
      <c r="G64" s="223"/>
      <c r="H64" s="223"/>
      <c r="I64" s="223"/>
      <c r="J64" s="223"/>
      <c r="K64" s="223"/>
      <c r="L64" s="223"/>
    </row>
    <row r="65" spans="2:12" outlineLevel="1">
      <c r="B65" s="802" t="s">
        <v>16</v>
      </c>
      <c r="C65" s="223" t="s">
        <v>1061</v>
      </c>
      <c r="D65" s="223"/>
      <c r="E65" s="223"/>
      <c r="F65" s="223"/>
      <c r="G65" s="223"/>
      <c r="H65" s="223"/>
      <c r="I65" s="223"/>
      <c r="J65" s="223"/>
      <c r="K65" s="223"/>
      <c r="L65" s="223"/>
    </row>
    <row r="66" spans="2:12" outlineLevel="1">
      <c r="B66" s="802" t="s">
        <v>20</v>
      </c>
      <c r="C66" s="223" t="s">
        <v>1062</v>
      </c>
      <c r="D66" s="223"/>
      <c r="E66" s="223"/>
      <c r="F66" s="223"/>
      <c r="G66" s="223"/>
      <c r="H66" s="223"/>
      <c r="I66" s="223"/>
      <c r="J66" s="223"/>
      <c r="K66" s="223"/>
      <c r="L66" s="223"/>
    </row>
    <row r="67" spans="2:12" outlineLevel="1">
      <c r="B67" s="802" t="s">
        <v>76</v>
      </c>
      <c r="C67" s="223" t="s">
        <v>1063</v>
      </c>
      <c r="D67" s="223"/>
      <c r="E67" s="223"/>
      <c r="F67" s="223"/>
      <c r="G67" s="223"/>
      <c r="H67" s="223"/>
      <c r="I67" s="223"/>
      <c r="J67" s="223"/>
      <c r="K67" s="223"/>
      <c r="L67" s="223"/>
    </row>
    <row r="68" spans="2:12" outlineLevel="1">
      <c r="B68" s="802" t="s">
        <v>25</v>
      </c>
      <c r="C68" s="223" t="s">
        <v>1064</v>
      </c>
      <c r="D68" s="223"/>
      <c r="E68" s="223"/>
      <c r="F68" s="223"/>
      <c r="G68" s="223"/>
      <c r="H68" s="223"/>
      <c r="I68" s="223"/>
      <c r="J68" s="223"/>
      <c r="K68" s="223"/>
      <c r="L68" s="223"/>
    </row>
    <row r="69" spans="2:12" outlineLevel="1">
      <c r="B69" s="802" t="s">
        <v>33</v>
      </c>
      <c r="C69" s="223" t="s">
        <v>1065</v>
      </c>
      <c r="D69" s="223"/>
      <c r="E69" s="223"/>
      <c r="F69" s="223"/>
      <c r="G69" s="223"/>
      <c r="H69" s="223"/>
      <c r="I69" s="223"/>
      <c r="J69" s="223"/>
      <c r="K69" s="223"/>
      <c r="L69" s="223"/>
    </row>
    <row r="70" spans="2:12" outlineLevel="1">
      <c r="B70" s="802" t="s">
        <v>51</v>
      </c>
      <c r="C70" s="223" t="s">
        <v>1066</v>
      </c>
      <c r="D70" s="223"/>
      <c r="E70" s="223"/>
      <c r="F70" s="223"/>
      <c r="G70" s="223"/>
      <c r="H70" s="223"/>
      <c r="I70" s="223"/>
      <c r="J70" s="223"/>
      <c r="K70" s="223"/>
      <c r="L70" s="223"/>
    </row>
    <row r="71" spans="2:12" outlineLevel="1">
      <c r="B71" s="802" t="s">
        <v>52</v>
      </c>
      <c r="C71" s="223" t="s">
        <v>1067</v>
      </c>
      <c r="D71" s="223"/>
      <c r="E71" s="223"/>
      <c r="F71" s="223"/>
      <c r="G71" s="223"/>
      <c r="H71" s="223"/>
      <c r="I71" s="223"/>
      <c r="J71" s="223"/>
      <c r="K71" s="223"/>
      <c r="L71" s="223"/>
    </row>
    <row r="72" spans="2:12" outlineLevel="1">
      <c r="B72" s="802" t="s">
        <v>55</v>
      </c>
      <c r="C72" s="223" t="s">
        <v>1068</v>
      </c>
      <c r="D72" s="223"/>
      <c r="E72" s="223"/>
      <c r="F72" s="223"/>
      <c r="G72" s="223"/>
      <c r="H72" s="223"/>
      <c r="I72" s="223"/>
      <c r="J72" s="223"/>
      <c r="K72" s="223"/>
      <c r="L72" s="223"/>
    </row>
    <row r="73" spans="2:12" outlineLevel="1">
      <c r="B73" s="802" t="s">
        <v>49</v>
      </c>
      <c r="C73" s="223" t="s">
        <v>1069</v>
      </c>
      <c r="D73" s="223"/>
      <c r="E73" s="223"/>
      <c r="F73" s="223"/>
      <c r="G73" s="223"/>
      <c r="H73" s="223"/>
      <c r="I73" s="223"/>
      <c r="J73" s="223"/>
      <c r="K73" s="223"/>
      <c r="L73" s="223"/>
    </row>
    <row r="74" spans="2:12" outlineLevel="1">
      <c r="B74" s="802" t="s">
        <v>374</v>
      </c>
      <c r="C74" s="223" t="s">
        <v>1070</v>
      </c>
      <c r="D74" s="223"/>
      <c r="E74" s="223"/>
      <c r="F74" s="223"/>
      <c r="G74" s="223"/>
      <c r="H74" s="223"/>
      <c r="I74" s="223"/>
      <c r="J74" s="223"/>
      <c r="K74" s="223"/>
      <c r="L74" s="223"/>
    </row>
    <row r="75" spans="2:12" outlineLevel="1">
      <c r="B75" s="802" t="s">
        <v>886</v>
      </c>
      <c r="C75" s="223" t="s">
        <v>1071</v>
      </c>
      <c r="D75" s="223"/>
      <c r="E75" s="223"/>
      <c r="F75" s="223"/>
      <c r="G75" s="223"/>
      <c r="H75" s="223"/>
      <c r="I75" s="223"/>
      <c r="J75" s="223"/>
      <c r="K75" s="223"/>
      <c r="L75" s="223"/>
    </row>
    <row r="76" spans="2:12" outlineLevel="1">
      <c r="B76" s="802" t="s">
        <v>887</v>
      </c>
      <c r="C76" s="223" t="s">
        <v>1072</v>
      </c>
      <c r="D76" s="223"/>
      <c r="E76" s="223"/>
      <c r="F76" s="223"/>
      <c r="G76" s="223"/>
      <c r="H76" s="223"/>
      <c r="I76" s="223"/>
      <c r="J76" s="223"/>
      <c r="K76" s="223"/>
      <c r="L76" s="223"/>
    </row>
    <row r="77" spans="2:12" outlineLevel="1">
      <c r="B77" s="496"/>
      <c r="C77" s="498"/>
      <c r="G77" s="358"/>
      <c r="H77" s="358"/>
      <c r="I77" s="358"/>
      <c r="J77" s="358"/>
      <c r="K77" s="358"/>
      <c r="L77" s="358"/>
    </row>
    <row r="78" spans="2:12" outlineLevel="1">
      <c r="B78" s="496"/>
      <c r="C78" s="489"/>
      <c r="G78" s="358"/>
      <c r="H78" s="358"/>
      <c r="I78" s="358"/>
      <c r="J78" s="358"/>
      <c r="K78" s="358"/>
      <c r="L78" s="358"/>
    </row>
    <row r="79" spans="2:12" outlineLevel="1">
      <c r="E79" s="490"/>
      <c r="F79" s="490"/>
    </row>
    <row r="80" spans="2:12" outlineLevel="1"/>
    <row r="81" spans="1:21" outlineLevel="1">
      <c r="B81" s="496"/>
      <c r="C81" s="489"/>
      <c r="D81" s="489"/>
    </row>
    <row r="82" spans="1:21" outlineLevel="1">
      <c r="B82" s="638" t="str">
        <f>C87</f>
        <v>Post-combustion carbon capture retrofit - 500 MW(th) biomass-fired boiler</v>
      </c>
    </row>
    <row r="85" spans="1:21" ht="15" customHeight="1">
      <c r="A85" s="360" t="s">
        <v>1017</v>
      </c>
      <c r="B85" s="1207"/>
      <c r="C85" s="1143"/>
      <c r="D85" s="1143"/>
      <c r="E85" s="1143"/>
      <c r="F85" s="1143"/>
      <c r="G85" s="1143"/>
      <c r="H85" s="1143"/>
      <c r="I85" s="1143"/>
      <c r="J85" s="1143"/>
      <c r="K85" s="1143"/>
      <c r="L85" s="1143"/>
      <c r="M85" s="1143"/>
      <c r="N85" s="693"/>
    </row>
    <row r="86" spans="1:21" ht="15.75" customHeight="1" outlineLevel="1">
      <c r="B86" s="1207"/>
      <c r="C86" s="1143"/>
      <c r="D86" s="1143"/>
      <c r="E86" s="1143"/>
      <c r="F86" s="1143"/>
      <c r="G86" s="1143"/>
      <c r="H86" s="1143"/>
      <c r="I86" s="1143"/>
      <c r="J86" s="1143"/>
      <c r="K86" s="1143"/>
      <c r="L86" s="1143"/>
      <c r="M86" s="1143"/>
      <c r="N86" s="693"/>
    </row>
    <row r="87" spans="1:21" ht="20.25" customHeight="1" outlineLevel="1">
      <c r="B87" s="733" t="s">
        <v>0</v>
      </c>
      <c r="C87" s="1208" t="s">
        <v>1075</v>
      </c>
      <c r="D87" s="1209"/>
      <c r="E87" s="1209"/>
      <c r="F87" s="1209"/>
      <c r="G87" s="1209"/>
      <c r="H87" s="1209"/>
      <c r="I87" s="1209"/>
      <c r="J87" s="1209"/>
      <c r="K87" s="1209"/>
      <c r="L87" s="1209"/>
      <c r="M87" s="1210"/>
      <c r="N87" s="363"/>
    </row>
    <row r="88" spans="1:21" ht="15" customHeight="1" outlineLevel="1">
      <c r="B88" s="734"/>
      <c r="C88" s="751">
        <v>2020</v>
      </c>
      <c r="D88" s="751">
        <v>2025</v>
      </c>
      <c r="E88" s="752">
        <v>2030</v>
      </c>
      <c r="F88" s="752">
        <v>2040</v>
      </c>
      <c r="G88" s="753">
        <v>2050</v>
      </c>
      <c r="H88" s="1211" t="s">
        <v>1019</v>
      </c>
      <c r="I88" s="1212"/>
      <c r="J88" s="1211" t="s">
        <v>648</v>
      </c>
      <c r="K88" s="1212"/>
      <c r="L88" s="752" t="s">
        <v>2</v>
      </c>
      <c r="M88" s="735" t="s">
        <v>3</v>
      </c>
      <c r="N88" s="367"/>
      <c r="P88" s="1143"/>
      <c r="Q88" s="1143"/>
      <c r="R88" s="1143"/>
      <c r="S88" s="1143"/>
      <c r="T88" s="1143"/>
      <c r="U88" s="1143"/>
    </row>
    <row r="89" spans="1:21" outlineLevel="1">
      <c r="B89" s="734"/>
      <c r="C89" s="754"/>
      <c r="D89" s="755"/>
      <c r="E89" s="756"/>
      <c r="F89" s="756"/>
      <c r="G89" s="756"/>
      <c r="H89" s="757" t="s">
        <v>649</v>
      </c>
      <c r="I89" s="757" t="s">
        <v>650</v>
      </c>
      <c r="J89" s="757" t="s">
        <v>649</v>
      </c>
      <c r="K89" s="757" t="s">
        <v>650</v>
      </c>
      <c r="L89" s="756"/>
      <c r="M89" s="736"/>
      <c r="N89" s="370"/>
    </row>
    <row r="90" spans="1:21" outlineLevel="1">
      <c r="B90" s="737" t="s">
        <v>4</v>
      </c>
      <c r="C90" s="756"/>
      <c r="D90" s="756"/>
      <c r="E90" s="756"/>
      <c r="F90" s="756"/>
      <c r="G90" s="756"/>
      <c r="H90" s="756"/>
      <c r="I90" s="756"/>
      <c r="J90" s="756"/>
      <c r="K90" s="756"/>
      <c r="L90" s="756"/>
      <c r="M90" s="736"/>
      <c r="N90" s="370"/>
    </row>
    <row r="91" spans="1:21" ht="24.6" customHeight="1" outlineLevel="1">
      <c r="B91" s="738" t="s">
        <v>1078</v>
      </c>
      <c r="C91" s="758">
        <v>164</v>
      </c>
      <c r="D91" s="758">
        <v>164</v>
      </c>
      <c r="E91" s="758">
        <v>164</v>
      </c>
      <c r="F91" s="758">
        <v>173</v>
      </c>
      <c r="G91" s="758">
        <v>173</v>
      </c>
      <c r="H91" s="758">
        <v>155</v>
      </c>
      <c r="I91" s="758">
        <v>173</v>
      </c>
      <c r="J91" s="758">
        <v>167</v>
      </c>
      <c r="K91" s="758">
        <v>180</v>
      </c>
      <c r="L91" s="758"/>
      <c r="M91" s="739"/>
      <c r="N91" s="370"/>
    </row>
    <row r="92" spans="1:21" ht="32.549999999999997" customHeight="1" outlineLevel="1">
      <c r="B92" s="740" t="s">
        <v>1021</v>
      </c>
      <c r="C92" s="759"/>
      <c r="D92" s="759"/>
      <c r="E92" s="759"/>
      <c r="F92" s="759"/>
      <c r="G92" s="759"/>
      <c r="H92" s="759"/>
      <c r="I92" s="759"/>
      <c r="J92" s="759"/>
      <c r="K92" s="759"/>
      <c r="L92" s="759"/>
      <c r="M92" s="741"/>
      <c r="N92" s="370"/>
    </row>
    <row r="93" spans="1:21" ht="14.55" customHeight="1" outlineLevel="1">
      <c r="B93" s="738" t="s">
        <v>1022</v>
      </c>
      <c r="C93" s="758">
        <v>5.0999999999999996</v>
      </c>
      <c r="D93" s="758">
        <v>5.0999999999999996</v>
      </c>
      <c r="E93" s="758">
        <v>5.0999999999999996</v>
      </c>
      <c r="F93" s="758">
        <v>4.8</v>
      </c>
      <c r="G93" s="758">
        <v>4.8</v>
      </c>
      <c r="H93" s="758">
        <v>5.4</v>
      </c>
      <c r="I93" s="758">
        <v>4.8</v>
      </c>
      <c r="J93" s="758">
        <v>5</v>
      </c>
      <c r="K93" s="758">
        <v>4.7</v>
      </c>
      <c r="L93" s="758"/>
      <c r="M93" s="739"/>
      <c r="N93" s="370"/>
    </row>
    <row r="94" spans="1:21" ht="15" customHeight="1" outlineLevel="1">
      <c r="B94" s="742" t="s">
        <v>1079</v>
      </c>
      <c r="C94" s="760">
        <v>17</v>
      </c>
      <c r="D94" s="760">
        <v>17</v>
      </c>
      <c r="E94" s="760">
        <v>17</v>
      </c>
      <c r="F94" s="760">
        <v>17</v>
      </c>
      <c r="G94" s="760">
        <v>17</v>
      </c>
      <c r="H94" s="760">
        <v>15</v>
      </c>
      <c r="I94" s="760">
        <v>17</v>
      </c>
      <c r="J94" s="760">
        <v>15</v>
      </c>
      <c r="K94" s="760">
        <v>17</v>
      </c>
      <c r="L94" s="760"/>
      <c r="M94" s="743"/>
      <c r="N94" s="370"/>
      <c r="P94" s="224">
        <f>C91*C96</f>
        <v>136.61199999999999</v>
      </c>
    </row>
    <row r="95" spans="1:21" ht="14.55" customHeight="1" outlineLevel="1">
      <c r="B95" s="742" t="s">
        <v>1080</v>
      </c>
      <c r="C95" s="758">
        <v>35</v>
      </c>
      <c r="D95" s="758">
        <v>35</v>
      </c>
      <c r="E95" s="758">
        <v>35</v>
      </c>
      <c r="F95" s="758">
        <v>35</v>
      </c>
      <c r="G95" s="758">
        <v>35</v>
      </c>
      <c r="H95" s="758">
        <v>30</v>
      </c>
      <c r="I95" s="758">
        <v>40</v>
      </c>
      <c r="J95" s="758">
        <v>30</v>
      </c>
      <c r="K95" s="758">
        <v>40</v>
      </c>
      <c r="L95" s="758" t="s">
        <v>59</v>
      </c>
      <c r="M95" s="739"/>
      <c r="N95" s="367"/>
    </row>
    <row r="96" spans="1:21" outlineLevel="1">
      <c r="B96" s="804" t="s">
        <v>1025</v>
      </c>
      <c r="C96" s="805">
        <v>0.83299999999999996</v>
      </c>
      <c r="D96" s="805">
        <v>0.83299999999999996</v>
      </c>
      <c r="E96" s="805">
        <v>0.72</v>
      </c>
      <c r="F96" s="805">
        <v>0.66</v>
      </c>
      <c r="G96" s="805">
        <v>0.66</v>
      </c>
      <c r="H96" s="806">
        <v>0.66</v>
      </c>
      <c r="I96" s="806">
        <v>1</v>
      </c>
      <c r="J96" s="806">
        <v>0.55000000000000004</v>
      </c>
      <c r="K96" s="806">
        <v>0.72</v>
      </c>
      <c r="L96" s="806" t="s">
        <v>16</v>
      </c>
      <c r="M96" s="745"/>
      <c r="N96" s="363"/>
    </row>
    <row r="97" spans="1:20" outlineLevel="1">
      <c r="B97" s="807" t="s">
        <v>1026</v>
      </c>
      <c r="C97" s="808">
        <v>0.03</v>
      </c>
      <c r="D97" s="808">
        <v>0.03</v>
      </c>
      <c r="E97" s="808">
        <v>2.5000000000000001E-2</v>
      </c>
      <c r="F97" s="808">
        <v>2.3E-2</v>
      </c>
      <c r="G97" s="808">
        <v>0.02</v>
      </c>
      <c r="H97" s="808">
        <v>2.5000000000000001E-2</v>
      </c>
      <c r="I97" s="808">
        <v>3.5000000000000003E-2</v>
      </c>
      <c r="J97" s="808">
        <v>1.7000000000000001E-2</v>
      </c>
      <c r="K97" s="808">
        <v>2.5000000000000001E-2</v>
      </c>
      <c r="L97" s="808" t="s">
        <v>20</v>
      </c>
      <c r="M97" s="743"/>
      <c r="N97" s="363"/>
      <c r="P97" s="224">
        <f>57/P98</f>
        <v>0.17093159999999996</v>
      </c>
    </row>
    <row r="98" spans="1:20" outlineLevel="1">
      <c r="B98" s="744" t="s">
        <v>1027</v>
      </c>
      <c r="C98" s="761">
        <v>0.3</v>
      </c>
      <c r="D98" s="761">
        <v>0.3</v>
      </c>
      <c r="E98" s="761">
        <v>0.2</v>
      </c>
      <c r="F98" s="761">
        <v>0.15</v>
      </c>
      <c r="G98" s="761">
        <v>0.1</v>
      </c>
      <c r="H98" s="761">
        <v>0.15</v>
      </c>
      <c r="I98" s="761">
        <v>1.5</v>
      </c>
      <c r="J98" s="761">
        <v>0.05</v>
      </c>
      <c r="K98" s="761">
        <v>0.3</v>
      </c>
      <c r="L98" s="761"/>
      <c r="M98" s="745"/>
      <c r="N98" s="363"/>
      <c r="O98" s="224" t="s">
        <v>1073</v>
      </c>
      <c r="P98" s="224">
        <f>P99*1/3.6*1000000/1000</f>
        <v>333.46672002134193</v>
      </c>
      <c r="Q98" s="224">
        <f t="shared" ref="Q98" si="12">Q99*1/3.6*1000000/1000</f>
        <v>333.46672002134193</v>
      </c>
      <c r="R98" s="224">
        <f t="shared" ref="R98" si="13">R99*1/3.6*1000000/1000</f>
        <v>385.80246913580248</v>
      </c>
      <c r="S98" s="224">
        <f t="shared" ref="S98" si="14">S99*1/3.6*1000000/1000</f>
        <v>420.87542087542084</v>
      </c>
      <c r="T98" s="224">
        <f t="shared" ref="T98" si="15">T99*1/3.6*1000000/1000</f>
        <v>420.87542087542084</v>
      </c>
    </row>
    <row r="99" spans="1:20" outlineLevel="1">
      <c r="B99" s="738" t="s">
        <v>1081</v>
      </c>
      <c r="C99" s="762"/>
      <c r="D99" s="758"/>
      <c r="E99" s="758"/>
      <c r="F99" s="758"/>
      <c r="G99" s="758"/>
      <c r="H99" s="758"/>
      <c r="I99" s="758"/>
      <c r="J99" s="758"/>
      <c r="K99" s="758"/>
      <c r="L99" s="758"/>
      <c r="M99" s="739"/>
      <c r="N99" s="363"/>
      <c r="O99" s="803"/>
      <c r="P99" s="224">
        <f>1/C96</f>
        <v>1.2004801920768309</v>
      </c>
      <c r="Q99" s="224">
        <f t="shared" ref="Q99" si="16">1/D96</f>
        <v>1.2004801920768309</v>
      </c>
      <c r="R99" s="224">
        <f t="shared" ref="R99" si="17">1/E96</f>
        <v>1.3888888888888888</v>
      </c>
      <c r="S99" s="224">
        <f t="shared" ref="S99" si="18">1/F96</f>
        <v>1.5151515151515151</v>
      </c>
      <c r="T99" s="224">
        <f t="shared" ref="T99" si="19">1/G96</f>
        <v>1.5151515151515151</v>
      </c>
    </row>
    <row r="100" spans="1:20" outlineLevel="1">
      <c r="B100" s="740" t="s">
        <v>1029</v>
      </c>
      <c r="C100" s="759"/>
      <c r="D100" s="759"/>
      <c r="E100" s="759"/>
      <c r="F100" s="759"/>
      <c r="G100" s="759"/>
      <c r="H100" s="759"/>
      <c r="I100" s="759"/>
      <c r="J100" s="759"/>
      <c r="K100" s="759"/>
      <c r="L100" s="759"/>
      <c r="M100" s="741"/>
      <c r="N100" s="363"/>
    </row>
    <row r="101" spans="1:20" outlineLevel="1">
      <c r="B101" s="746" t="s">
        <v>1076</v>
      </c>
      <c r="C101" s="758">
        <v>97</v>
      </c>
      <c r="D101" s="758">
        <v>97</v>
      </c>
      <c r="E101" s="758">
        <v>98</v>
      </c>
      <c r="F101" s="758">
        <v>99</v>
      </c>
      <c r="G101" s="758">
        <v>99</v>
      </c>
      <c r="H101" s="758">
        <v>96</v>
      </c>
      <c r="I101" s="758">
        <v>98</v>
      </c>
      <c r="J101" s="758">
        <v>98</v>
      </c>
      <c r="K101" s="758">
        <v>99</v>
      </c>
      <c r="L101" s="758" t="s">
        <v>76</v>
      </c>
      <c r="M101" s="739"/>
      <c r="N101" s="363"/>
    </row>
    <row r="102" spans="1:20" outlineLevel="1">
      <c r="B102" s="746" t="s">
        <v>1077</v>
      </c>
      <c r="C102" s="758">
        <v>160</v>
      </c>
      <c r="D102" s="758">
        <v>160</v>
      </c>
      <c r="E102" s="758">
        <v>300</v>
      </c>
      <c r="F102" s="758">
        <v>400</v>
      </c>
      <c r="G102" s="758">
        <v>400</v>
      </c>
      <c r="H102" s="758">
        <v>120</v>
      </c>
      <c r="I102" s="758">
        <v>300</v>
      </c>
      <c r="J102" s="758">
        <v>300</v>
      </c>
      <c r="K102" s="758">
        <v>600</v>
      </c>
      <c r="L102" s="758" t="s">
        <v>25</v>
      </c>
      <c r="M102" s="739"/>
      <c r="N102" s="420"/>
      <c r="P102" s="224">
        <f>P103/P99</f>
        <v>0.17093159999999999</v>
      </c>
    </row>
    <row r="103" spans="1:20" ht="38.25" customHeight="1" outlineLevel="1">
      <c r="B103" s="738" t="s">
        <v>1082</v>
      </c>
      <c r="C103" s="758">
        <v>90</v>
      </c>
      <c r="D103" s="758">
        <v>90</v>
      </c>
      <c r="E103" s="758">
        <v>90</v>
      </c>
      <c r="F103" s="758">
        <v>95</v>
      </c>
      <c r="G103" s="758">
        <v>95</v>
      </c>
      <c r="H103" s="758">
        <v>85</v>
      </c>
      <c r="I103" s="758">
        <v>95</v>
      </c>
      <c r="J103" s="758">
        <v>92</v>
      </c>
      <c r="K103" s="758">
        <v>99</v>
      </c>
      <c r="L103" s="758"/>
      <c r="M103" s="739"/>
      <c r="N103" s="428"/>
      <c r="P103" s="224">
        <f>57/1*3.6/1000000*1000</f>
        <v>0.20520000000000002</v>
      </c>
    </row>
    <row r="104" spans="1:20" outlineLevel="1">
      <c r="B104" s="738" t="s">
        <v>1033</v>
      </c>
      <c r="C104" s="758">
        <v>0.83299999999999996</v>
      </c>
      <c r="D104" s="758">
        <v>0.83299999999999996</v>
      </c>
      <c r="E104" s="758">
        <v>0.72</v>
      </c>
      <c r="F104" s="758">
        <v>0.66</v>
      </c>
      <c r="G104" s="758">
        <v>0.66</v>
      </c>
      <c r="H104" s="761">
        <v>0.66</v>
      </c>
      <c r="I104" s="761">
        <v>1</v>
      </c>
      <c r="J104" s="761">
        <v>0.55000000000000004</v>
      </c>
      <c r="K104" s="761">
        <v>0.72</v>
      </c>
      <c r="L104" s="758"/>
      <c r="M104" s="739"/>
      <c r="N104" s="428"/>
      <c r="P104" s="224">
        <f>333.5/1*3.6/1000000*1000</f>
        <v>1.2006000000000003</v>
      </c>
    </row>
    <row r="105" spans="1:20" outlineLevel="1">
      <c r="B105" s="742" t="s">
        <v>1083</v>
      </c>
      <c r="C105" s="758">
        <v>60</v>
      </c>
      <c r="D105" s="758">
        <v>60</v>
      </c>
      <c r="E105" s="758">
        <v>60</v>
      </c>
      <c r="F105" s="758">
        <v>70</v>
      </c>
      <c r="G105" s="758">
        <v>70</v>
      </c>
      <c r="H105" s="758">
        <v>50</v>
      </c>
      <c r="I105" s="758">
        <v>80</v>
      </c>
      <c r="J105" s="758">
        <v>50</v>
      </c>
      <c r="K105" s="758">
        <v>120</v>
      </c>
      <c r="L105" s="758" t="s">
        <v>51</v>
      </c>
      <c r="M105" s="739"/>
      <c r="N105" s="428"/>
    </row>
    <row r="106" spans="1:20" outlineLevel="1">
      <c r="B106" s="747" t="s">
        <v>1035</v>
      </c>
      <c r="C106" s="761"/>
      <c r="D106" s="761"/>
      <c r="E106" s="761"/>
      <c r="F106" s="761"/>
      <c r="G106" s="761"/>
      <c r="H106" s="761"/>
      <c r="I106" s="761"/>
      <c r="J106" s="761"/>
      <c r="K106" s="761"/>
      <c r="L106" s="761"/>
      <c r="M106" s="745"/>
      <c r="N106" s="428"/>
    </row>
    <row r="107" spans="1:20" outlineLevel="1">
      <c r="B107" s="740" t="s">
        <v>1036</v>
      </c>
      <c r="C107" s="761"/>
      <c r="D107" s="761"/>
      <c r="E107" s="761"/>
      <c r="F107" s="761"/>
      <c r="G107" s="761"/>
      <c r="H107" s="761"/>
      <c r="I107" s="761"/>
      <c r="J107" s="761"/>
      <c r="K107" s="761"/>
      <c r="L107" s="761"/>
      <c r="M107" s="745"/>
      <c r="N107" s="428"/>
    </row>
    <row r="108" spans="1:20" outlineLevel="1">
      <c r="B108" s="738" t="s">
        <v>657</v>
      </c>
      <c r="C108" s="758">
        <v>5</v>
      </c>
      <c r="D108" s="758">
        <v>5</v>
      </c>
      <c r="E108" s="758">
        <v>3</v>
      </c>
      <c r="F108" s="758">
        <v>3</v>
      </c>
      <c r="G108" s="758">
        <v>3</v>
      </c>
      <c r="H108" s="758">
        <v>3</v>
      </c>
      <c r="I108" s="758">
        <v>3</v>
      </c>
      <c r="J108" s="758">
        <v>3</v>
      </c>
      <c r="K108" s="758">
        <v>3</v>
      </c>
      <c r="L108" s="758"/>
      <c r="M108" s="739"/>
      <c r="N108" s="428"/>
    </row>
    <row r="109" spans="1:20" ht="52.05" customHeight="1" outlineLevel="1">
      <c r="A109" s="435"/>
      <c r="B109" s="738" t="s">
        <v>658</v>
      </c>
      <c r="C109" s="758">
        <v>3</v>
      </c>
      <c r="D109" s="758">
        <v>3</v>
      </c>
      <c r="E109" s="758">
        <v>3</v>
      </c>
      <c r="F109" s="758">
        <v>2</v>
      </c>
      <c r="G109" s="758">
        <v>2</v>
      </c>
      <c r="H109" s="758">
        <v>2</v>
      </c>
      <c r="I109" s="758">
        <v>4</v>
      </c>
      <c r="J109" s="758">
        <v>2</v>
      </c>
      <c r="K109" s="758">
        <v>3</v>
      </c>
      <c r="L109" s="758"/>
      <c r="M109" s="739"/>
      <c r="N109" s="420"/>
    </row>
    <row r="110" spans="1:20" outlineLevel="1">
      <c r="B110" s="738" t="s">
        <v>11</v>
      </c>
      <c r="C110" s="758">
        <v>25</v>
      </c>
      <c r="D110" s="758">
        <v>25</v>
      </c>
      <c r="E110" s="758">
        <v>25</v>
      </c>
      <c r="F110" s="758">
        <v>25</v>
      </c>
      <c r="G110" s="758">
        <v>25</v>
      </c>
      <c r="H110" s="758">
        <v>25</v>
      </c>
      <c r="I110" s="758">
        <v>25</v>
      </c>
      <c r="J110" s="758">
        <v>25</v>
      </c>
      <c r="K110" s="758">
        <v>25</v>
      </c>
      <c r="L110" s="758"/>
      <c r="M110" s="739"/>
      <c r="N110" s="420"/>
    </row>
    <row r="111" spans="1:20" outlineLevel="1">
      <c r="B111" s="738" t="s">
        <v>273</v>
      </c>
      <c r="C111" s="758">
        <v>3</v>
      </c>
      <c r="D111" s="758">
        <v>3</v>
      </c>
      <c r="E111" s="758">
        <v>2.5</v>
      </c>
      <c r="F111" s="758">
        <v>2</v>
      </c>
      <c r="G111" s="758">
        <v>2</v>
      </c>
      <c r="H111" s="758">
        <v>2</v>
      </c>
      <c r="I111" s="758">
        <v>4</v>
      </c>
      <c r="J111" s="758">
        <v>2</v>
      </c>
      <c r="K111" s="758">
        <v>3</v>
      </c>
      <c r="L111" s="758"/>
      <c r="M111" s="739"/>
      <c r="N111" s="420"/>
    </row>
    <row r="112" spans="1:20" outlineLevel="1">
      <c r="B112" s="748" t="s">
        <v>674</v>
      </c>
      <c r="C112" s="763"/>
      <c r="D112" s="763"/>
      <c r="E112" s="763"/>
      <c r="F112" s="763"/>
      <c r="G112" s="763"/>
      <c r="H112" s="763"/>
      <c r="I112" s="763"/>
      <c r="J112" s="763"/>
      <c r="K112" s="763"/>
      <c r="L112" s="763"/>
      <c r="M112" s="748"/>
      <c r="N112" s="420"/>
    </row>
    <row r="113" spans="2:30" ht="37.049999999999997" customHeight="1" outlineLevel="1">
      <c r="B113" s="738" t="s">
        <v>1037</v>
      </c>
      <c r="C113" s="764">
        <v>2.7</v>
      </c>
      <c r="D113" s="764">
        <v>2.5</v>
      </c>
      <c r="E113" s="764">
        <v>2.2999999999999998</v>
      </c>
      <c r="F113" s="764">
        <v>2</v>
      </c>
      <c r="G113" s="764">
        <v>1.6</v>
      </c>
      <c r="H113" s="764">
        <v>2.2000000000000002</v>
      </c>
      <c r="I113" s="764">
        <v>3.7</v>
      </c>
      <c r="J113" s="764">
        <v>1.2</v>
      </c>
      <c r="K113" s="758">
        <v>2.2000000000000002</v>
      </c>
      <c r="L113" s="758" t="s">
        <v>52</v>
      </c>
      <c r="M113" s="739"/>
      <c r="N113" s="693"/>
    </row>
    <row r="114" spans="2:30" ht="15.75" customHeight="1" outlineLevel="1">
      <c r="B114" s="742" t="s">
        <v>1038</v>
      </c>
      <c r="C114" s="758">
        <v>50</v>
      </c>
      <c r="D114" s="758">
        <v>50</v>
      </c>
      <c r="E114" s="758">
        <v>50</v>
      </c>
      <c r="F114" s="758">
        <v>50</v>
      </c>
      <c r="G114" s="758">
        <v>50</v>
      </c>
      <c r="H114" s="758"/>
      <c r="I114" s="758"/>
      <c r="J114" s="758"/>
      <c r="K114" s="765"/>
      <c r="L114" s="758" t="s">
        <v>55</v>
      </c>
      <c r="M114" s="739"/>
      <c r="N114" s="693"/>
    </row>
    <row r="115" spans="2:30" outlineLevel="1">
      <c r="B115" s="738" t="s">
        <v>1039</v>
      </c>
      <c r="C115" s="758">
        <v>10</v>
      </c>
      <c r="D115" s="758">
        <v>10</v>
      </c>
      <c r="E115" s="758">
        <v>10</v>
      </c>
      <c r="F115" s="758">
        <v>10</v>
      </c>
      <c r="G115" s="758">
        <v>10</v>
      </c>
      <c r="H115" s="758"/>
      <c r="I115" s="758"/>
      <c r="J115" s="758"/>
      <c r="K115" s="765"/>
      <c r="L115" s="758" t="s">
        <v>49</v>
      </c>
      <c r="M115" s="739"/>
      <c r="N115" s="363"/>
    </row>
    <row r="116" spans="2:30" outlineLevel="1">
      <c r="B116" s="749" t="s">
        <v>1040</v>
      </c>
      <c r="C116" s="758">
        <v>10</v>
      </c>
      <c r="D116" s="758">
        <v>10</v>
      </c>
      <c r="E116" s="758">
        <v>10</v>
      </c>
      <c r="F116" s="758">
        <v>10</v>
      </c>
      <c r="G116" s="758">
        <v>10</v>
      </c>
      <c r="H116" s="758"/>
      <c r="I116" s="758"/>
      <c r="J116" s="758"/>
      <c r="K116" s="765"/>
      <c r="L116" s="257"/>
      <c r="M116" s="739"/>
      <c r="N116" s="367"/>
      <c r="P116" s="1142">
        <f>C113</f>
        <v>2.7</v>
      </c>
      <c r="Q116" s="1143"/>
      <c r="R116" s="1143"/>
      <c r="S116" s="1143"/>
      <c r="T116" s="1143"/>
      <c r="U116" s="1144"/>
    </row>
    <row r="117" spans="2:30" ht="15" outlineLevel="1" thickBot="1">
      <c r="B117" s="738" t="s">
        <v>1041</v>
      </c>
      <c r="C117" s="758">
        <v>15</v>
      </c>
      <c r="D117" s="758">
        <v>15</v>
      </c>
      <c r="E117" s="758">
        <v>15</v>
      </c>
      <c r="F117" s="758">
        <v>15</v>
      </c>
      <c r="G117" s="758">
        <v>15</v>
      </c>
      <c r="H117" s="758"/>
      <c r="I117" s="758"/>
      <c r="J117" s="758"/>
      <c r="K117" s="765"/>
      <c r="L117" s="758" t="s">
        <v>374</v>
      </c>
      <c r="M117" s="739"/>
      <c r="N117" s="363"/>
      <c r="P117" s="1134">
        <f>C114</f>
        <v>50</v>
      </c>
      <c r="Q117" s="1135"/>
      <c r="R117" s="1135"/>
      <c r="S117" s="1135"/>
      <c r="T117" s="1135"/>
      <c r="U117" s="1136"/>
    </row>
    <row r="118" spans="2:30" outlineLevel="1">
      <c r="B118" s="738" t="s">
        <v>1042</v>
      </c>
      <c r="C118" s="758">
        <v>15</v>
      </c>
      <c r="D118" s="758">
        <v>15</v>
      </c>
      <c r="E118" s="758">
        <v>15</v>
      </c>
      <c r="F118" s="758">
        <v>15</v>
      </c>
      <c r="G118" s="758">
        <v>15</v>
      </c>
      <c r="H118" s="758"/>
      <c r="I118" s="758"/>
      <c r="J118" s="758"/>
      <c r="K118" s="766"/>
      <c r="L118" s="257"/>
      <c r="M118" s="739"/>
      <c r="N118" s="363"/>
      <c r="P118" s="53" t="s">
        <v>357</v>
      </c>
    </row>
    <row r="119" spans="2:30" ht="27.6" outlineLevel="1">
      <c r="B119" s="747" t="s">
        <v>1043</v>
      </c>
      <c r="C119" s="761">
        <f>C113*0.03</f>
        <v>8.1000000000000003E-2</v>
      </c>
      <c r="D119" s="761">
        <f>D113*0.03</f>
        <v>7.4999999999999997E-2</v>
      </c>
      <c r="E119" s="761">
        <f>E113*0.03</f>
        <v>6.8999999999999992E-2</v>
      </c>
      <c r="F119" s="761">
        <f>F113*0.03</f>
        <v>0.06</v>
      </c>
      <c r="G119" s="761">
        <f>G113*0.03</f>
        <v>4.8000000000000001E-2</v>
      </c>
      <c r="H119" s="761">
        <f t="shared" ref="H119:K119" si="20">H113*0.03</f>
        <v>6.6000000000000003E-2</v>
      </c>
      <c r="I119" s="761">
        <f t="shared" si="20"/>
        <v>0.111</v>
      </c>
      <c r="J119" s="761">
        <f t="shared" si="20"/>
        <v>3.5999999999999997E-2</v>
      </c>
      <c r="K119" s="761">
        <f t="shared" si="20"/>
        <v>6.6000000000000003E-2</v>
      </c>
      <c r="L119" s="758" t="s">
        <v>886</v>
      </c>
      <c r="M119" s="745"/>
      <c r="N119" s="363"/>
      <c r="P119" s="46" t="s">
        <v>335</v>
      </c>
      <c r="Q119" s="46" t="s">
        <v>336</v>
      </c>
      <c r="R119" s="47" t="s">
        <v>337</v>
      </c>
      <c r="S119" s="47" t="s">
        <v>338</v>
      </c>
      <c r="T119" s="47" t="s">
        <v>339</v>
      </c>
      <c r="U119" s="48" t="s">
        <v>340</v>
      </c>
      <c r="V119" s="49" t="s">
        <v>341</v>
      </c>
      <c r="W119" s="49" t="s">
        <v>342</v>
      </c>
      <c r="X119" s="49" t="s">
        <v>343</v>
      </c>
      <c r="Y119" s="49" t="s">
        <v>344</v>
      </c>
      <c r="Z119" s="49" t="s">
        <v>345</v>
      </c>
      <c r="AA119" s="49" t="s">
        <v>346</v>
      </c>
      <c r="AB119" s="49" t="s">
        <v>347</v>
      </c>
      <c r="AC119" s="49" t="s">
        <v>348</v>
      </c>
      <c r="AD119" s="49" t="s">
        <v>349</v>
      </c>
    </row>
    <row r="120" spans="2:30" ht="14.55" customHeight="1" outlineLevel="1" thickBot="1">
      <c r="B120" s="742" t="s">
        <v>1044</v>
      </c>
      <c r="C120" s="758">
        <v>2.5</v>
      </c>
      <c r="D120" s="758">
        <v>2.5</v>
      </c>
      <c r="E120" s="758">
        <v>2.5</v>
      </c>
      <c r="F120" s="758">
        <v>2.5</v>
      </c>
      <c r="G120" s="758">
        <v>2.5</v>
      </c>
      <c r="H120" s="761">
        <v>1.5</v>
      </c>
      <c r="I120" s="761">
        <v>3.5</v>
      </c>
      <c r="J120" s="761">
        <v>1.5</v>
      </c>
      <c r="K120" s="761">
        <v>3.5</v>
      </c>
      <c r="L120" s="257"/>
      <c r="M120" s="739"/>
      <c r="N120" s="363"/>
      <c r="P120" s="50"/>
      <c r="Q120" s="50"/>
      <c r="R120" s="51"/>
      <c r="S120" s="51"/>
      <c r="T120" s="51"/>
      <c r="U120" s="51" t="s">
        <v>760</v>
      </c>
      <c r="V120" s="50" t="s">
        <v>761</v>
      </c>
      <c r="W120" s="50"/>
      <c r="X120" s="50"/>
      <c r="Y120" s="50"/>
      <c r="Z120" s="50"/>
      <c r="AA120" s="50"/>
      <c r="AB120" s="50"/>
      <c r="AC120" s="50"/>
      <c r="AD120" s="50"/>
    </row>
    <row r="121" spans="2:30" ht="43.2" outlineLevel="1">
      <c r="B121" s="746" t="s">
        <v>1045</v>
      </c>
      <c r="C121" s="758">
        <v>25</v>
      </c>
      <c r="D121" s="758">
        <v>25</v>
      </c>
      <c r="E121" s="758">
        <v>25</v>
      </c>
      <c r="F121" s="758">
        <v>25</v>
      </c>
      <c r="G121" s="758">
        <v>25</v>
      </c>
      <c r="H121" s="758"/>
      <c r="I121" s="758"/>
      <c r="J121" s="758"/>
      <c r="K121" s="765"/>
      <c r="L121" s="257"/>
      <c r="M121" s="739"/>
      <c r="N121" s="363"/>
      <c r="O121" s="461" t="s">
        <v>732</v>
      </c>
      <c r="P121" s="56"/>
      <c r="Q121" s="56"/>
      <c r="R121" s="57"/>
      <c r="S121" s="57"/>
      <c r="T121" s="57"/>
      <c r="U121" s="56" t="s">
        <v>350</v>
      </c>
      <c r="V121" s="56" t="s">
        <v>326</v>
      </c>
      <c r="W121" s="56" t="s">
        <v>327</v>
      </c>
      <c r="X121" s="56" t="s">
        <v>351</v>
      </c>
      <c r="Y121" s="56" t="s">
        <v>351</v>
      </c>
      <c r="Z121" s="56" t="s">
        <v>352</v>
      </c>
      <c r="AA121" s="56" t="s">
        <v>352</v>
      </c>
      <c r="AB121" s="56" t="s">
        <v>352</v>
      </c>
      <c r="AC121" s="56" t="s">
        <v>352</v>
      </c>
      <c r="AD121" s="56" t="s">
        <v>352</v>
      </c>
    </row>
    <row r="122" spans="2:30" ht="14.55" customHeight="1" outlineLevel="1">
      <c r="B122" s="737" t="s">
        <v>1046</v>
      </c>
      <c r="C122" s="756"/>
      <c r="D122" s="756"/>
      <c r="E122" s="756"/>
      <c r="F122" s="756"/>
      <c r="G122" s="756"/>
      <c r="H122" s="756"/>
      <c r="I122" s="756"/>
      <c r="J122" s="756"/>
      <c r="K122" s="756"/>
      <c r="L122" s="756"/>
      <c r="M122" s="750"/>
      <c r="N122" s="363"/>
      <c r="O122" s="465">
        <f>C92</f>
        <v>0</v>
      </c>
      <c r="P122" s="466">
        <f>C88</f>
        <v>2020</v>
      </c>
      <c r="Q122" s="58">
        <f>P122</f>
        <v>2020</v>
      </c>
      <c r="R122" s="466">
        <f>O122/100</f>
        <v>0</v>
      </c>
      <c r="S122" s="58"/>
      <c r="T122" s="466">
        <f>C96</f>
        <v>0.83299999999999996</v>
      </c>
      <c r="U122" s="467">
        <f>C127</f>
        <v>24147.659063625455</v>
      </c>
      <c r="V122" s="467">
        <f>C129</f>
        <v>724.42977190876354</v>
      </c>
      <c r="W122" s="467">
        <f>C130</f>
        <v>6.2108176603974927</v>
      </c>
      <c r="X122" s="58"/>
      <c r="Y122" s="58"/>
      <c r="Z122" s="466">
        <f>C103</f>
        <v>90</v>
      </c>
      <c r="AA122" s="468">
        <f>C105</f>
        <v>60</v>
      </c>
      <c r="AB122" s="468">
        <f>C106</f>
        <v>0</v>
      </c>
      <c r="AC122" s="468">
        <f>C107</f>
        <v>0</v>
      </c>
      <c r="AD122" s="468">
        <f>C104</f>
        <v>0.83299999999999996</v>
      </c>
    </row>
    <row r="123" spans="2:30" outlineLevel="1">
      <c r="B123" s="742" t="s">
        <v>1047</v>
      </c>
      <c r="C123" s="767">
        <v>0.1</v>
      </c>
      <c r="D123" s="767">
        <v>0.1</v>
      </c>
      <c r="E123" s="758">
        <v>8.5000000000000006E-2</v>
      </c>
      <c r="F123" s="758">
        <v>7.4999999999999997E-2</v>
      </c>
      <c r="G123" s="758">
        <v>7.4999999999999997E-2</v>
      </c>
      <c r="H123" s="758">
        <v>0.09</v>
      </c>
      <c r="I123" s="758">
        <v>0.11</v>
      </c>
      <c r="J123" s="758">
        <v>7.0000000000000007E-2</v>
      </c>
      <c r="K123" s="760">
        <v>0.09</v>
      </c>
      <c r="L123" s="758" t="s">
        <v>887</v>
      </c>
      <c r="M123" s="739"/>
      <c r="N123" s="367"/>
      <c r="O123" s="465">
        <f>D92</f>
        <v>0</v>
      </c>
      <c r="P123" s="466">
        <f>D88</f>
        <v>2025</v>
      </c>
      <c r="Q123" s="58"/>
      <c r="R123" s="466">
        <f>O123/100</f>
        <v>0</v>
      </c>
      <c r="S123" s="58"/>
      <c r="T123" s="466">
        <f>D96</f>
        <v>0.83299999999999996</v>
      </c>
      <c r="U123" s="467">
        <f>D127</f>
        <v>22358.943577430975</v>
      </c>
      <c r="V123" s="467">
        <f>D129</f>
        <v>670.7683073229291</v>
      </c>
      <c r="W123" s="467">
        <f>D130</f>
        <v>6.2108176603974927</v>
      </c>
      <c r="X123" s="58"/>
      <c r="Y123" s="58"/>
      <c r="Z123" s="466">
        <f>D103</f>
        <v>90</v>
      </c>
      <c r="AA123" s="468">
        <f>D105</f>
        <v>60</v>
      </c>
      <c r="AB123" s="468">
        <f>D106</f>
        <v>0</v>
      </c>
      <c r="AC123" s="468">
        <f>D107</f>
        <v>0</v>
      </c>
      <c r="AD123" s="468">
        <f>D104</f>
        <v>0.83299999999999996</v>
      </c>
    </row>
    <row r="124" spans="2:30" outlineLevel="1">
      <c r="B124" s="742" t="s">
        <v>1048</v>
      </c>
      <c r="C124" s="758">
        <v>0.16</v>
      </c>
      <c r="D124" s="758">
        <v>0.16</v>
      </c>
      <c r="E124" s="758">
        <v>0.14000000000000001</v>
      </c>
      <c r="F124" s="758">
        <v>0.13</v>
      </c>
      <c r="G124" s="758">
        <v>0.13</v>
      </c>
      <c r="H124" s="758">
        <v>0.14000000000000001</v>
      </c>
      <c r="I124" s="758">
        <v>0.18</v>
      </c>
      <c r="J124" s="758">
        <v>0.12</v>
      </c>
      <c r="K124" s="760">
        <v>0.15</v>
      </c>
      <c r="L124" s="758" t="s">
        <v>887</v>
      </c>
      <c r="M124" s="739"/>
      <c r="N124" s="363"/>
      <c r="O124" s="465">
        <f>E92</f>
        <v>0</v>
      </c>
      <c r="P124" s="466">
        <f>E88</f>
        <v>2030</v>
      </c>
      <c r="Q124" s="58"/>
      <c r="R124" s="466">
        <f>O124/100</f>
        <v>0</v>
      </c>
      <c r="S124" s="58"/>
      <c r="T124" s="466">
        <f>E96</f>
        <v>0.72</v>
      </c>
      <c r="U124" s="467">
        <f>E127</f>
        <v>23798.611111111109</v>
      </c>
      <c r="V124" s="467">
        <f>E129</f>
        <v>713.95833333333337</v>
      </c>
      <c r="W124" s="467">
        <f>E130</f>
        <v>7.1855709876543212</v>
      </c>
      <c r="X124" s="58"/>
      <c r="Y124" s="58"/>
      <c r="Z124" s="466">
        <f>E103</f>
        <v>90</v>
      </c>
      <c r="AA124" s="468">
        <f>E105</f>
        <v>60</v>
      </c>
      <c r="AB124" s="468">
        <f>E106</f>
        <v>0</v>
      </c>
      <c r="AC124" s="468">
        <f>E107</f>
        <v>0</v>
      </c>
      <c r="AD124" s="468">
        <f>E104</f>
        <v>0.72</v>
      </c>
    </row>
    <row r="125" spans="2:30" outlineLevel="1">
      <c r="B125" s="742"/>
      <c r="C125" s="758"/>
      <c r="D125" s="758"/>
      <c r="E125" s="758"/>
      <c r="F125" s="758"/>
      <c r="G125" s="758"/>
      <c r="H125" s="758"/>
      <c r="I125" s="758"/>
      <c r="J125" s="758"/>
      <c r="K125" s="765"/>
      <c r="L125" s="758"/>
      <c r="M125" s="739"/>
      <c r="N125" s="363"/>
      <c r="O125" s="465">
        <f>F92</f>
        <v>0</v>
      </c>
      <c r="P125" s="466">
        <f>F88</f>
        <v>2040</v>
      </c>
      <c r="Q125" s="58"/>
      <c r="R125" s="466">
        <f>O125/100</f>
        <v>0</v>
      </c>
      <c r="S125" s="58"/>
      <c r="T125" s="466">
        <f>F96</f>
        <v>0.66</v>
      </c>
      <c r="U125" s="467">
        <f>F127</f>
        <v>22575.757575757576</v>
      </c>
      <c r="V125" s="467">
        <f>F129</f>
        <v>677.27272727272725</v>
      </c>
      <c r="W125" s="467">
        <f>F130</f>
        <v>7.8388047138047137</v>
      </c>
      <c r="X125" s="58"/>
      <c r="Y125" s="58"/>
      <c r="Z125" s="466">
        <f>F103</f>
        <v>95</v>
      </c>
      <c r="AA125" s="468">
        <f>F105</f>
        <v>70</v>
      </c>
      <c r="AB125" s="468">
        <f>F106</f>
        <v>0</v>
      </c>
      <c r="AC125" s="468">
        <f>F107</f>
        <v>0</v>
      </c>
      <c r="AD125" s="468">
        <f>F104</f>
        <v>0.66</v>
      </c>
    </row>
    <row r="126" spans="2:30" outlineLevel="1">
      <c r="B126" s="738"/>
      <c r="C126" s="758"/>
      <c r="D126" s="758"/>
      <c r="E126" s="758"/>
      <c r="F126" s="758"/>
      <c r="G126" s="766"/>
      <c r="H126" s="758"/>
      <c r="I126" s="758"/>
      <c r="J126" s="758"/>
      <c r="K126" s="766"/>
      <c r="L126" s="758"/>
      <c r="M126" s="739"/>
      <c r="N126" s="363"/>
      <c r="O126" s="465">
        <f>E94</f>
        <v>17</v>
      </c>
      <c r="P126" s="466">
        <f>G88</f>
        <v>2050</v>
      </c>
      <c r="Q126" s="58"/>
      <c r="R126" s="466">
        <f>O126/100</f>
        <v>0.17</v>
      </c>
      <c r="S126" s="58"/>
      <c r="T126" s="466">
        <f>E98</f>
        <v>0.2</v>
      </c>
      <c r="U126" s="467">
        <f>E129</f>
        <v>713.95833333333337</v>
      </c>
      <c r="V126" s="467">
        <f>E131</f>
        <v>0</v>
      </c>
      <c r="W126" s="467">
        <f>E132</f>
        <v>0</v>
      </c>
      <c r="X126" s="58"/>
      <c r="Y126" s="58"/>
      <c r="Z126" s="466">
        <f>E105</f>
        <v>60</v>
      </c>
      <c r="AA126" s="468">
        <f>E107</f>
        <v>0</v>
      </c>
      <c r="AB126" s="468">
        <f>E108</f>
        <v>3</v>
      </c>
      <c r="AC126" s="468">
        <f>E109</f>
        <v>3</v>
      </c>
      <c r="AD126" s="468">
        <f>E106</f>
        <v>0</v>
      </c>
    </row>
    <row r="127" spans="2:30" ht="57.6" outlineLevel="1">
      <c r="B127" s="461" t="s">
        <v>769</v>
      </c>
      <c r="C127" s="483">
        <f>C113*$F$4*1/C96*1000</f>
        <v>24147.659063625455</v>
      </c>
      <c r="D127" s="483">
        <f t="shared" ref="D127:G127" si="21">D113*$F$4*1/D96*1000</f>
        <v>22358.943577430975</v>
      </c>
      <c r="E127" s="483">
        <f t="shared" si="21"/>
        <v>23798.611111111109</v>
      </c>
      <c r="F127" s="483">
        <f t="shared" si="21"/>
        <v>22575.757575757576</v>
      </c>
      <c r="G127" s="483">
        <f t="shared" si="21"/>
        <v>18060.606060606064</v>
      </c>
      <c r="H127" s="484"/>
      <c r="I127" s="420" t="s">
        <v>332</v>
      </c>
      <c r="J127" s="420"/>
      <c r="K127" s="484"/>
      <c r="L127" s="484"/>
      <c r="N127" s="420"/>
    </row>
    <row r="128" spans="2:30" ht="14.55" customHeight="1" outlineLevel="1">
      <c r="B128" s="485" t="s">
        <v>770</v>
      </c>
      <c r="C128" s="486">
        <f>C127*$I128</f>
        <v>12073829.531812727</v>
      </c>
      <c r="D128" s="486">
        <f>D127*$I128</f>
        <v>11179471.788715487</v>
      </c>
      <c r="E128" s="486">
        <f>E127*$I128</f>
        <v>11899305.555555554</v>
      </c>
      <c r="F128" s="486">
        <f>F127*$I128</f>
        <v>11287878.787878787</v>
      </c>
      <c r="G128" s="486"/>
      <c r="H128" s="484"/>
      <c r="I128" s="71">
        <v>500</v>
      </c>
      <c r="J128" s="420" t="s">
        <v>330</v>
      </c>
      <c r="K128" s="484"/>
      <c r="L128" s="484"/>
      <c r="N128" s="420"/>
    </row>
    <row r="129" spans="2:14" ht="43.2" outlineLevel="1">
      <c r="B129" s="461" t="s">
        <v>1074</v>
      </c>
      <c r="C129" s="359">
        <f>C119*$F$4*1/C96*1000</f>
        <v>724.42977190876354</v>
      </c>
      <c r="D129" s="359">
        <f t="shared" ref="D129:G129" si="22">D119*$F$4*1/D96*1000</f>
        <v>670.7683073229291</v>
      </c>
      <c r="E129" s="359">
        <f t="shared" si="22"/>
        <v>713.95833333333337</v>
      </c>
      <c r="F129" s="359">
        <f t="shared" si="22"/>
        <v>677.27272727272725</v>
      </c>
      <c r="G129" s="359">
        <f t="shared" si="22"/>
        <v>541.81818181818187</v>
      </c>
      <c r="I129" s="420" t="s">
        <v>333</v>
      </c>
      <c r="J129" s="420"/>
      <c r="N129" s="420"/>
    </row>
    <row r="130" spans="2:14" ht="43.2" outlineLevel="1">
      <c r="B130" s="461" t="s">
        <v>846</v>
      </c>
      <c r="C130" s="487">
        <f>C120*$F$4*1/C104/3.6</f>
        <v>6.2108176603974927</v>
      </c>
      <c r="D130" s="487">
        <f t="shared" ref="D130:G130" si="23">D120*$F$4*1/D104/3.6</f>
        <v>6.2108176603974927</v>
      </c>
      <c r="E130" s="487">
        <f t="shared" si="23"/>
        <v>7.1855709876543212</v>
      </c>
      <c r="F130" s="487">
        <f t="shared" si="23"/>
        <v>7.8388047138047137</v>
      </c>
      <c r="G130" s="487">
        <f t="shared" si="23"/>
        <v>7.8388047138047137</v>
      </c>
      <c r="M130" s="420"/>
      <c r="N130" s="420"/>
    </row>
    <row r="131" spans="2:14" outlineLevel="1"/>
    <row r="132" spans="2:14" outlineLevel="1"/>
    <row r="133" spans="2:14" outlineLevel="1"/>
    <row r="134" spans="2:14" outlineLevel="1"/>
    <row r="135" spans="2:14" outlineLevel="1">
      <c r="E135" s="358"/>
      <c r="F135" s="358"/>
      <c r="G135" s="358"/>
      <c r="H135" s="358"/>
      <c r="I135" s="358"/>
      <c r="J135" s="358"/>
      <c r="K135" s="358"/>
      <c r="L135" s="358"/>
    </row>
    <row r="136" spans="2:14" outlineLevel="1">
      <c r="B136" s="797" t="s">
        <v>773</v>
      </c>
      <c r="C136" s="223"/>
      <c r="D136" s="798"/>
      <c r="E136" s="798"/>
      <c r="F136" s="798"/>
      <c r="G136" s="798"/>
      <c r="H136" s="798"/>
      <c r="I136" s="798"/>
      <c r="J136" s="798"/>
      <c r="K136" s="798"/>
      <c r="L136" s="799"/>
    </row>
    <row r="137" spans="2:14" outlineLevel="1">
      <c r="B137" s="223">
        <v>1</v>
      </c>
      <c r="C137" s="223"/>
      <c r="D137" s="223"/>
      <c r="E137" s="800"/>
      <c r="F137" s="223"/>
      <c r="G137" s="223"/>
      <c r="H137" s="223"/>
      <c r="I137" s="223"/>
      <c r="J137" s="223"/>
      <c r="K137" s="223"/>
      <c r="L137" s="223"/>
    </row>
    <row r="138" spans="2:14" outlineLevel="1">
      <c r="B138" s="223">
        <v>2</v>
      </c>
      <c r="C138" s="223"/>
      <c r="D138" s="223"/>
      <c r="E138" s="800"/>
      <c r="F138" s="223"/>
      <c r="G138" s="223"/>
      <c r="H138" s="223"/>
      <c r="I138" s="223"/>
      <c r="J138" s="223"/>
      <c r="K138" s="223"/>
      <c r="L138" s="223"/>
    </row>
    <row r="139" spans="2:14" outlineLevel="1">
      <c r="B139" s="223">
        <v>3</v>
      </c>
      <c r="C139" s="223"/>
      <c r="D139" s="223"/>
      <c r="E139" s="800"/>
      <c r="F139" s="223"/>
      <c r="G139" s="223"/>
      <c r="H139" s="223"/>
      <c r="I139" s="223"/>
      <c r="J139" s="223"/>
      <c r="K139" s="223"/>
      <c r="L139" s="223"/>
    </row>
    <row r="140" spans="2:14" outlineLevel="1">
      <c r="B140" s="223"/>
      <c r="C140" s="223"/>
      <c r="D140" s="223"/>
      <c r="E140" s="223"/>
      <c r="F140" s="223"/>
      <c r="G140" s="223"/>
      <c r="H140" s="223"/>
      <c r="I140" s="223"/>
      <c r="J140" s="223"/>
      <c r="K140" s="223"/>
      <c r="L140" s="223"/>
    </row>
    <row r="141" spans="2:14" outlineLevel="1">
      <c r="B141" s="223"/>
      <c r="C141" s="223"/>
      <c r="D141" s="223"/>
      <c r="E141" s="223"/>
      <c r="F141" s="223"/>
      <c r="G141" s="223"/>
      <c r="H141" s="223"/>
      <c r="I141" s="223"/>
      <c r="J141" s="223"/>
      <c r="K141" s="223"/>
      <c r="L141" s="223"/>
    </row>
    <row r="142" spans="2:14" outlineLevel="1">
      <c r="B142" s="801" t="s">
        <v>783</v>
      </c>
      <c r="C142" s="223"/>
      <c r="D142" s="223"/>
      <c r="E142" s="223"/>
      <c r="F142" s="223"/>
      <c r="G142" s="223"/>
      <c r="H142" s="223"/>
      <c r="I142" s="223"/>
      <c r="J142" s="223"/>
      <c r="K142" s="223"/>
      <c r="L142" s="223"/>
    </row>
    <row r="143" spans="2:14" outlineLevel="1">
      <c r="B143" s="802" t="s">
        <v>6</v>
      </c>
      <c r="C143" s="223" t="s">
        <v>1059</v>
      </c>
      <c r="D143" s="223"/>
      <c r="E143" s="223"/>
      <c r="F143" s="223"/>
      <c r="G143" s="223"/>
      <c r="H143" s="223"/>
      <c r="I143" s="223"/>
      <c r="J143" s="223"/>
      <c r="K143" s="223"/>
      <c r="L143" s="223"/>
    </row>
    <row r="144" spans="2:14" outlineLevel="1">
      <c r="B144" s="802" t="s">
        <v>59</v>
      </c>
      <c r="C144" s="223" t="s">
        <v>1060</v>
      </c>
      <c r="D144" s="223"/>
      <c r="E144" s="223"/>
      <c r="F144" s="223"/>
      <c r="G144" s="223"/>
      <c r="H144" s="223"/>
      <c r="I144" s="223"/>
      <c r="J144" s="223"/>
      <c r="K144" s="223"/>
      <c r="L144" s="223"/>
    </row>
    <row r="145" spans="2:12" outlineLevel="1">
      <c r="B145" s="802" t="s">
        <v>16</v>
      </c>
      <c r="C145" s="223" t="s">
        <v>1061</v>
      </c>
      <c r="D145" s="223"/>
      <c r="E145" s="223"/>
      <c r="F145" s="223"/>
      <c r="G145" s="223"/>
      <c r="H145" s="223"/>
      <c r="I145" s="223"/>
      <c r="J145" s="223"/>
      <c r="K145" s="223"/>
      <c r="L145" s="223"/>
    </row>
    <row r="146" spans="2:12" outlineLevel="1">
      <c r="B146" s="802" t="s">
        <v>20</v>
      </c>
      <c r="C146" s="223" t="s">
        <v>1062</v>
      </c>
      <c r="D146" s="223"/>
      <c r="E146" s="223"/>
      <c r="F146" s="223"/>
      <c r="G146" s="223"/>
      <c r="H146" s="223"/>
      <c r="I146" s="223"/>
      <c r="J146" s="223"/>
      <c r="K146" s="223"/>
      <c r="L146" s="223"/>
    </row>
    <row r="147" spans="2:12" outlineLevel="1">
      <c r="B147" s="802" t="s">
        <v>76</v>
      </c>
      <c r="C147" s="223" t="s">
        <v>1063</v>
      </c>
      <c r="D147" s="223"/>
      <c r="E147" s="223"/>
      <c r="F147" s="223"/>
      <c r="G147" s="223"/>
      <c r="H147" s="223"/>
      <c r="I147" s="223"/>
      <c r="J147" s="223"/>
      <c r="K147" s="223"/>
      <c r="L147" s="223"/>
    </row>
    <row r="148" spans="2:12" outlineLevel="1">
      <c r="B148" s="802" t="s">
        <v>25</v>
      </c>
      <c r="C148" s="223" t="s">
        <v>1064</v>
      </c>
      <c r="D148" s="223"/>
      <c r="E148" s="223"/>
      <c r="F148" s="223"/>
      <c r="G148" s="223"/>
      <c r="H148" s="223"/>
      <c r="I148" s="223"/>
      <c r="J148" s="223"/>
      <c r="K148" s="223"/>
      <c r="L148" s="223"/>
    </row>
    <row r="149" spans="2:12" outlineLevel="1">
      <c r="B149" s="802" t="s">
        <v>33</v>
      </c>
      <c r="C149" s="223" t="s">
        <v>1065</v>
      </c>
      <c r="D149" s="223"/>
      <c r="E149" s="223"/>
      <c r="F149" s="223"/>
      <c r="G149" s="223"/>
      <c r="H149" s="223"/>
      <c r="I149" s="223"/>
      <c r="J149" s="223"/>
      <c r="K149" s="223"/>
      <c r="L149" s="223"/>
    </row>
    <row r="150" spans="2:12" outlineLevel="1">
      <c r="B150" s="802" t="s">
        <v>51</v>
      </c>
      <c r="C150" s="223" t="s">
        <v>1066</v>
      </c>
      <c r="D150" s="223"/>
      <c r="E150" s="223"/>
      <c r="F150" s="223"/>
      <c r="G150" s="223"/>
      <c r="H150" s="223"/>
      <c r="I150" s="223"/>
      <c r="J150" s="223"/>
      <c r="K150" s="223"/>
      <c r="L150" s="223"/>
    </row>
    <row r="151" spans="2:12" outlineLevel="1">
      <c r="B151" s="802" t="s">
        <v>52</v>
      </c>
      <c r="C151" s="223" t="s">
        <v>1067</v>
      </c>
      <c r="D151" s="223"/>
      <c r="E151" s="223"/>
      <c r="F151" s="223"/>
      <c r="G151" s="223"/>
      <c r="H151" s="223"/>
      <c r="I151" s="223"/>
      <c r="J151" s="223"/>
      <c r="K151" s="223"/>
      <c r="L151" s="223"/>
    </row>
    <row r="152" spans="2:12" outlineLevel="1">
      <c r="B152" s="802" t="s">
        <v>55</v>
      </c>
      <c r="C152" s="223" t="s">
        <v>1068</v>
      </c>
      <c r="D152" s="223"/>
      <c r="E152" s="223"/>
      <c r="F152" s="223"/>
      <c r="G152" s="223"/>
      <c r="H152" s="223"/>
      <c r="I152" s="223"/>
      <c r="J152" s="223"/>
      <c r="K152" s="223"/>
      <c r="L152" s="223"/>
    </row>
    <row r="153" spans="2:12" outlineLevel="1">
      <c r="B153" s="802" t="s">
        <v>49</v>
      </c>
      <c r="C153" s="223" t="s">
        <v>1069</v>
      </c>
      <c r="D153" s="223"/>
      <c r="E153" s="223"/>
      <c r="F153" s="223"/>
      <c r="G153" s="223"/>
      <c r="H153" s="223"/>
      <c r="I153" s="223"/>
      <c r="J153" s="223"/>
      <c r="K153" s="223"/>
      <c r="L153" s="223"/>
    </row>
    <row r="154" spans="2:12" outlineLevel="1">
      <c r="B154" s="802" t="s">
        <v>374</v>
      </c>
      <c r="C154" s="223" t="s">
        <v>1070</v>
      </c>
      <c r="D154" s="223"/>
      <c r="E154" s="223"/>
      <c r="F154" s="223"/>
      <c r="G154" s="223"/>
      <c r="H154" s="223"/>
      <c r="I154" s="223"/>
      <c r="J154" s="223"/>
      <c r="K154" s="223"/>
      <c r="L154" s="223"/>
    </row>
    <row r="155" spans="2:12" outlineLevel="1">
      <c r="B155" s="802" t="s">
        <v>886</v>
      </c>
      <c r="C155" s="223" t="s">
        <v>1071</v>
      </c>
      <c r="D155" s="223"/>
      <c r="E155" s="223"/>
      <c r="F155" s="223"/>
      <c r="G155" s="223"/>
      <c r="H155" s="223"/>
      <c r="I155" s="223"/>
      <c r="J155" s="223"/>
      <c r="K155" s="223"/>
      <c r="L155" s="223"/>
    </row>
    <row r="156" spans="2:12" outlineLevel="1">
      <c r="B156" s="802" t="s">
        <v>887</v>
      </c>
      <c r="C156" s="223" t="s">
        <v>1072</v>
      </c>
      <c r="D156" s="223"/>
      <c r="E156" s="223"/>
      <c r="F156" s="223"/>
      <c r="G156" s="223"/>
      <c r="H156" s="223"/>
      <c r="I156" s="223"/>
      <c r="J156" s="223"/>
      <c r="K156" s="223"/>
      <c r="L156" s="223"/>
    </row>
    <row r="157" spans="2:12" outlineLevel="1">
      <c r="B157" s="496"/>
      <c r="C157" s="498"/>
      <c r="G157" s="358"/>
      <c r="H157" s="358"/>
      <c r="I157" s="358"/>
      <c r="J157" s="358"/>
      <c r="K157" s="358"/>
      <c r="L157" s="358"/>
    </row>
    <row r="158" spans="2:12" outlineLevel="1">
      <c r="B158" s="496"/>
      <c r="C158" s="489"/>
      <c r="G158" s="358"/>
      <c r="H158" s="358"/>
      <c r="I158" s="358"/>
      <c r="J158" s="358"/>
      <c r="K158" s="358"/>
      <c r="L158" s="358"/>
    </row>
    <row r="159" spans="2:12" outlineLevel="1">
      <c r="E159" s="490"/>
      <c r="F159" s="490"/>
    </row>
    <row r="160" spans="2:12" outlineLevel="1">
      <c r="B160" s="496"/>
      <c r="C160" s="489"/>
      <c r="E160" s="490"/>
      <c r="F160" s="490"/>
    </row>
    <row r="161" spans="1:44" outlineLevel="1">
      <c r="B161" s="496"/>
      <c r="C161" s="489"/>
      <c r="E161" s="490"/>
      <c r="F161" s="490"/>
    </row>
    <row r="162" spans="1:44" outlineLevel="1"/>
    <row r="163" spans="1:44" outlineLevel="1">
      <c r="M163" s="214"/>
    </row>
    <row r="164" spans="1:44" outlineLevel="1"/>
    <row r="167" spans="1:44">
      <c r="A167" s="360" t="s">
        <v>989</v>
      </c>
      <c r="B167" s="1207"/>
      <c r="C167" s="1143"/>
      <c r="D167" s="1143"/>
      <c r="E167" s="1143"/>
      <c r="F167" s="1143"/>
      <c r="G167" s="1143"/>
      <c r="H167" s="1143"/>
      <c r="I167" s="1143"/>
      <c r="J167" s="1143"/>
      <c r="K167" s="1143"/>
      <c r="L167" s="1143"/>
      <c r="M167" s="1143"/>
      <c r="N167" s="361"/>
    </row>
    <row r="168" spans="1:44" ht="15" outlineLevel="1" thickBot="1">
      <c r="B168" s="1207"/>
      <c r="C168" s="1143"/>
      <c r="D168" s="1143"/>
      <c r="E168" s="1143"/>
      <c r="F168" s="1143"/>
      <c r="G168" s="1143"/>
      <c r="H168" s="1143"/>
      <c r="I168" s="1143"/>
      <c r="J168" s="1143"/>
      <c r="K168" s="1143"/>
      <c r="L168" s="1143"/>
      <c r="M168" s="1143"/>
      <c r="N168" s="361"/>
    </row>
    <row r="169" spans="1:44" ht="20.55" customHeight="1" outlineLevel="1" thickBot="1">
      <c r="B169" s="362" t="s">
        <v>0</v>
      </c>
      <c r="C169" s="1204" t="s">
        <v>990</v>
      </c>
      <c r="D169" s="1205"/>
      <c r="E169" s="1205"/>
      <c r="F169" s="1205"/>
      <c r="G169" s="1205"/>
      <c r="H169" s="1205"/>
      <c r="I169" s="1205"/>
      <c r="J169" s="1205"/>
      <c r="K169" s="1205"/>
      <c r="L169" s="1206"/>
      <c r="M169" s="363"/>
      <c r="N169" s="363"/>
      <c r="AK169" s="1160" t="s">
        <v>716</v>
      </c>
      <c r="AL169" s="1161"/>
      <c r="AM169" s="1160" t="s">
        <v>717</v>
      </c>
      <c r="AN169" s="1161"/>
      <c r="AO169" s="1160" t="s">
        <v>718</v>
      </c>
      <c r="AP169" s="1161"/>
      <c r="AQ169" s="1170" t="s">
        <v>719</v>
      </c>
      <c r="AR169" s="1171"/>
    </row>
    <row r="170" spans="1:44" ht="15" customHeight="1" outlineLevel="1" thickBot="1">
      <c r="B170" s="1164" t="s">
        <v>4</v>
      </c>
      <c r="C170" s="1166">
        <v>2020</v>
      </c>
      <c r="D170" s="1166">
        <v>2030</v>
      </c>
      <c r="E170" s="1166">
        <v>2040</v>
      </c>
      <c r="F170" s="1166">
        <v>2050</v>
      </c>
      <c r="G170" s="1200" t="s">
        <v>721</v>
      </c>
      <c r="H170" s="1201"/>
      <c r="I170" s="1200" t="s">
        <v>648</v>
      </c>
      <c r="J170" s="1201"/>
      <c r="K170" s="1202" t="s">
        <v>2</v>
      </c>
      <c r="L170" s="1202" t="s">
        <v>3</v>
      </c>
      <c r="M170" s="367"/>
      <c r="N170" s="367"/>
      <c r="P170" s="1143"/>
      <c r="Q170" s="1143"/>
      <c r="R170" s="1143"/>
      <c r="S170" s="1143"/>
      <c r="T170" s="1143"/>
      <c r="U170" s="1143"/>
      <c r="AK170" s="1162"/>
      <c r="AL170" s="1163"/>
      <c r="AM170" s="1162"/>
      <c r="AN170" s="1163"/>
      <c r="AO170" s="1162"/>
      <c r="AP170" s="1163"/>
      <c r="AQ170" s="1172"/>
      <c r="AR170" s="1173"/>
    </row>
    <row r="171" spans="1:44" ht="15" customHeight="1" outlineLevel="1" thickBot="1">
      <c r="B171" s="1165"/>
      <c r="C171" s="1167"/>
      <c r="D171" s="1167"/>
      <c r="E171" s="1167"/>
      <c r="F171" s="1167"/>
      <c r="G171" s="499" t="s">
        <v>649</v>
      </c>
      <c r="H171" s="499" t="s">
        <v>650</v>
      </c>
      <c r="I171" s="499" t="s">
        <v>649</v>
      </c>
      <c r="J171" s="499" t="s">
        <v>650</v>
      </c>
      <c r="K171" s="1203"/>
      <c r="L171" s="1203"/>
      <c r="M171" s="370"/>
      <c r="N171" s="370"/>
      <c r="P171" s="1143"/>
      <c r="Q171" s="1143"/>
      <c r="R171" s="1143"/>
      <c r="S171" s="1143"/>
      <c r="T171" s="1143"/>
      <c r="U171" s="1143"/>
      <c r="AK171" s="1162"/>
      <c r="AL171" s="1163"/>
      <c r="AM171" s="1162"/>
      <c r="AN171" s="1163"/>
      <c r="AO171" s="1162"/>
      <c r="AP171" s="1163"/>
      <c r="AQ171" s="1174"/>
      <c r="AR171" s="1175"/>
    </row>
    <row r="172" spans="1:44" ht="29.4" outlineLevel="1" thickBot="1">
      <c r="B172" s="371" t="s">
        <v>651</v>
      </c>
      <c r="C172" s="372">
        <v>20</v>
      </c>
      <c r="D172" s="372">
        <v>20</v>
      </c>
      <c r="E172" s="372">
        <v>20</v>
      </c>
      <c r="F172" s="372">
        <v>20</v>
      </c>
      <c r="G172" s="372">
        <v>1</v>
      </c>
      <c r="H172" s="372">
        <v>50</v>
      </c>
      <c r="I172" s="372">
        <v>1</v>
      </c>
      <c r="J172" s="372">
        <v>50</v>
      </c>
      <c r="K172" s="372" t="s">
        <v>6</v>
      </c>
      <c r="L172" s="373" t="s">
        <v>725</v>
      </c>
      <c r="M172" s="370"/>
      <c r="N172" s="370"/>
      <c r="P172" s="364" t="s">
        <v>713</v>
      </c>
      <c r="Q172" s="365"/>
      <c r="R172" s="366"/>
      <c r="S172" s="1176" t="s">
        <v>714</v>
      </c>
      <c r="T172" s="1160" t="s">
        <v>715</v>
      </c>
      <c r="U172" s="1161"/>
      <c r="V172" s="1160" t="s">
        <v>716</v>
      </c>
      <c r="W172" s="1161"/>
      <c r="X172" s="1160" t="s">
        <v>717</v>
      </c>
      <c r="Y172" s="1161"/>
      <c r="Z172" s="1160" t="s">
        <v>718</v>
      </c>
      <c r="AA172" s="1161"/>
      <c r="AB172" s="1160" t="s">
        <v>719</v>
      </c>
      <c r="AC172" s="1161"/>
      <c r="AE172" s="364" t="s">
        <v>720</v>
      </c>
      <c r="AF172" s="365"/>
      <c r="AG172" s="366"/>
      <c r="AH172" s="1176" t="s">
        <v>714</v>
      </c>
      <c r="AI172" s="1160" t="s">
        <v>715</v>
      </c>
      <c r="AJ172" s="1161"/>
      <c r="AK172" s="374" t="s">
        <v>726</v>
      </c>
      <c r="AL172" s="375" t="s">
        <v>727</v>
      </c>
      <c r="AM172" s="374" t="s">
        <v>726</v>
      </c>
      <c r="AN172" s="375" t="s">
        <v>727</v>
      </c>
      <c r="AO172" s="374" t="s">
        <v>726</v>
      </c>
      <c r="AP172" s="375" t="s">
        <v>727</v>
      </c>
      <c r="AQ172" s="374" t="s">
        <v>726</v>
      </c>
      <c r="AR172" s="375" t="s">
        <v>727</v>
      </c>
    </row>
    <row r="173" spans="1:44" ht="14.55" customHeight="1" outlineLevel="1">
      <c r="B173" s="500" t="s">
        <v>728</v>
      </c>
      <c r="C173" s="501">
        <v>91</v>
      </c>
      <c r="D173" s="501">
        <v>91</v>
      </c>
      <c r="E173" s="502">
        <v>91</v>
      </c>
      <c r="F173" s="501">
        <v>92</v>
      </c>
      <c r="G173" s="501">
        <f>D173-1</f>
        <v>90</v>
      </c>
      <c r="H173" s="501">
        <f>D173+2</f>
        <v>93</v>
      </c>
      <c r="I173" s="501">
        <f>F173-1</f>
        <v>91</v>
      </c>
      <c r="J173" s="501">
        <f>F173+2</f>
        <v>94</v>
      </c>
      <c r="K173" s="503" t="s">
        <v>59</v>
      </c>
      <c r="L173" s="504" t="s">
        <v>729</v>
      </c>
      <c r="M173" s="370"/>
      <c r="N173" s="370"/>
      <c r="P173" s="1180" t="s">
        <v>0</v>
      </c>
      <c r="Q173" s="368"/>
      <c r="R173" s="368"/>
      <c r="S173" s="1177"/>
      <c r="T173" s="1162"/>
      <c r="U173" s="1163"/>
      <c r="V173" s="1162"/>
      <c r="W173" s="1163"/>
      <c r="X173" s="1162"/>
      <c r="Y173" s="1163"/>
      <c r="Z173" s="1162"/>
      <c r="AA173" s="1163"/>
      <c r="AB173" s="1162"/>
      <c r="AC173" s="1163"/>
      <c r="AE173" s="1180" t="s">
        <v>0</v>
      </c>
      <c r="AF173" s="368"/>
      <c r="AG173" s="368"/>
      <c r="AH173" s="1177"/>
      <c r="AI173" s="1162"/>
      <c r="AJ173" s="1163"/>
      <c r="AK173" s="1157">
        <v>0</v>
      </c>
      <c r="AL173" s="1151">
        <v>0</v>
      </c>
      <c r="AM173" s="1157">
        <v>0</v>
      </c>
      <c r="AN173" s="1151">
        <v>0</v>
      </c>
      <c r="AO173" s="1157">
        <v>0</v>
      </c>
      <c r="AP173" s="1151">
        <v>0</v>
      </c>
      <c r="AQ173" s="1157">
        <v>0</v>
      </c>
      <c r="AR173" s="1151">
        <v>0</v>
      </c>
    </row>
    <row r="174" spans="1:44" outlineLevel="1">
      <c r="B174" s="383" t="s">
        <v>732</v>
      </c>
      <c r="C174" s="384">
        <f t="shared" ref="C174:J174" si="24">C173-1</f>
        <v>90</v>
      </c>
      <c r="D174" s="384">
        <f t="shared" si="24"/>
        <v>90</v>
      </c>
      <c r="E174" s="384">
        <f t="shared" si="24"/>
        <v>90</v>
      </c>
      <c r="F174" s="384">
        <f t="shared" si="24"/>
        <v>91</v>
      </c>
      <c r="G174" s="505">
        <f t="shared" si="24"/>
        <v>89</v>
      </c>
      <c r="H174" s="505">
        <f t="shared" si="24"/>
        <v>92</v>
      </c>
      <c r="I174" s="505">
        <f t="shared" si="24"/>
        <v>90</v>
      </c>
      <c r="J174" s="505">
        <f t="shared" si="24"/>
        <v>93</v>
      </c>
      <c r="K174" s="372"/>
      <c r="L174" s="373" t="s">
        <v>729</v>
      </c>
      <c r="M174" s="370"/>
      <c r="N174" s="370"/>
      <c r="P174" s="1181"/>
      <c r="Q174" s="1183" t="s">
        <v>722</v>
      </c>
      <c r="R174" s="1184" t="s">
        <v>723</v>
      </c>
      <c r="S174" s="1178"/>
      <c r="T174" s="1162"/>
      <c r="U174" s="1163"/>
      <c r="V174" s="1162"/>
      <c r="W174" s="1163"/>
      <c r="X174" s="1162"/>
      <c r="Y174" s="1163"/>
      <c r="Z174" s="1162"/>
      <c r="AA174" s="1163"/>
      <c r="AB174" s="1162"/>
      <c r="AC174" s="1163"/>
      <c r="AE174" s="1181"/>
      <c r="AF174" s="1197" t="s">
        <v>722</v>
      </c>
      <c r="AG174" s="1184" t="s">
        <v>723</v>
      </c>
      <c r="AH174" s="1178"/>
      <c r="AI174" s="1162"/>
      <c r="AJ174" s="1163"/>
      <c r="AK174" s="1158"/>
      <c r="AL174" s="1152"/>
      <c r="AM174" s="1158"/>
      <c r="AN174" s="1152"/>
      <c r="AO174" s="1158"/>
      <c r="AP174" s="1152"/>
      <c r="AQ174" s="1158"/>
      <c r="AR174" s="1152"/>
    </row>
    <row r="175" spans="1:44" ht="29.4" outlineLevel="1" thickBot="1">
      <c r="B175" s="500" t="s">
        <v>734</v>
      </c>
      <c r="C175" s="506">
        <v>2.2999999999999998</v>
      </c>
      <c r="D175" s="507">
        <v>2.2999999999999998</v>
      </c>
      <c r="E175" s="507">
        <v>2.2999999999999998</v>
      </c>
      <c r="F175" s="508">
        <v>2.2999999999999998</v>
      </c>
      <c r="G175" s="507">
        <v>2.2000000000000002</v>
      </c>
      <c r="H175" s="507">
        <v>2.5</v>
      </c>
      <c r="I175" s="507">
        <v>1.8</v>
      </c>
      <c r="J175" s="507">
        <v>2.5</v>
      </c>
      <c r="K175" s="503" t="s">
        <v>16</v>
      </c>
      <c r="L175" s="504">
        <v>3</v>
      </c>
      <c r="M175" s="370"/>
      <c r="N175" s="370"/>
      <c r="O175" s="74"/>
      <c r="P175" s="1182"/>
      <c r="Q175" s="1179"/>
      <c r="R175" s="1185"/>
      <c r="S175" s="1179"/>
      <c r="T175" s="374" t="s">
        <v>726</v>
      </c>
      <c r="U175" s="375" t="s">
        <v>727</v>
      </c>
      <c r="V175" s="374" t="s">
        <v>726</v>
      </c>
      <c r="W175" s="375" t="s">
        <v>727</v>
      </c>
      <c r="X175" s="374" t="s">
        <v>726</v>
      </c>
      <c r="Y175" s="375" t="s">
        <v>727</v>
      </c>
      <c r="Z175" s="374" t="s">
        <v>726</v>
      </c>
      <c r="AA175" s="375" t="s">
        <v>727</v>
      </c>
      <c r="AB175" s="374" t="s">
        <v>726</v>
      </c>
      <c r="AC175" s="375" t="s">
        <v>727</v>
      </c>
      <c r="AE175" s="1182"/>
      <c r="AF175" s="1198"/>
      <c r="AG175" s="1185"/>
      <c r="AH175" s="1179"/>
      <c r="AI175" s="374" t="s">
        <v>726</v>
      </c>
      <c r="AJ175" s="375" t="s">
        <v>727</v>
      </c>
      <c r="AK175" s="1159"/>
      <c r="AL175" s="1153"/>
      <c r="AM175" s="1159"/>
      <c r="AN175" s="1153"/>
      <c r="AO175" s="1159"/>
      <c r="AP175" s="1153"/>
      <c r="AQ175" s="1159"/>
      <c r="AR175" s="1153"/>
    </row>
    <row r="176" spans="1:44" ht="14.55" customHeight="1" outlineLevel="1">
      <c r="B176" s="500" t="s">
        <v>657</v>
      </c>
      <c r="C176" s="687">
        <v>3</v>
      </c>
      <c r="D176" s="687">
        <v>3</v>
      </c>
      <c r="E176" s="687">
        <v>3</v>
      </c>
      <c r="F176" s="687">
        <v>3</v>
      </c>
      <c r="G176" s="687">
        <v>3</v>
      </c>
      <c r="H176" s="687">
        <v>3</v>
      </c>
      <c r="I176" s="687">
        <v>3</v>
      </c>
      <c r="J176" s="687">
        <v>3</v>
      </c>
      <c r="K176" s="503" t="s">
        <v>20</v>
      </c>
      <c r="L176" s="504">
        <v>3</v>
      </c>
      <c r="M176" s="370"/>
      <c r="N176" s="370"/>
      <c r="P176" s="1199" t="str">
        <f>C169</f>
        <v>Hot water boiler, Wood Chips</v>
      </c>
      <c r="Q176" s="1154" t="s">
        <v>730</v>
      </c>
      <c r="R176" s="381" t="s">
        <v>731</v>
      </c>
      <c r="S176" s="382"/>
      <c r="T176" s="1137">
        <v>0</v>
      </c>
      <c r="U176" s="1151">
        <v>0</v>
      </c>
      <c r="V176" s="1157">
        <v>0</v>
      </c>
      <c r="W176" s="1151">
        <v>0</v>
      </c>
      <c r="X176" s="1157">
        <v>0</v>
      </c>
      <c r="Y176" s="1151">
        <v>0</v>
      </c>
      <c r="Z176" s="1157">
        <v>0</v>
      </c>
      <c r="AA176" s="1151">
        <v>0</v>
      </c>
      <c r="AB176" s="1157">
        <v>0</v>
      </c>
      <c r="AC176" s="1151">
        <v>0</v>
      </c>
      <c r="AE176" s="1148" t="str">
        <f>P176</f>
        <v>Hot water boiler, Wood Chips</v>
      </c>
      <c r="AF176" s="1154" t="s">
        <v>730</v>
      </c>
      <c r="AG176" s="381" t="s">
        <v>731</v>
      </c>
      <c r="AH176" s="382"/>
      <c r="AI176" s="1137">
        <v>0</v>
      </c>
      <c r="AJ176" s="1151">
        <v>0</v>
      </c>
      <c r="AK176" s="1137">
        <v>0</v>
      </c>
      <c r="AL176" s="1137">
        <f>W179/4</f>
        <v>0.14249999999999999</v>
      </c>
      <c r="AM176" s="1137">
        <v>0</v>
      </c>
      <c r="AN176" s="1137">
        <f>Y179/4</f>
        <v>0.125</v>
      </c>
      <c r="AO176" s="1137">
        <v>0</v>
      </c>
      <c r="AP176" s="1137">
        <f>AA179/4</f>
        <v>0.1275</v>
      </c>
      <c r="AQ176" s="1137">
        <v>0</v>
      </c>
      <c r="AR176" s="1151">
        <f>AC179/4</f>
        <v>0.10249999999999999</v>
      </c>
    </row>
    <row r="177" spans="1:44" outlineLevel="1">
      <c r="B177" s="500" t="s">
        <v>658</v>
      </c>
      <c r="C177" s="506">
        <v>3</v>
      </c>
      <c r="D177" s="506">
        <v>3</v>
      </c>
      <c r="E177" s="506">
        <v>3</v>
      </c>
      <c r="F177" s="506">
        <v>3</v>
      </c>
      <c r="G177" s="506">
        <v>2.6</v>
      </c>
      <c r="H177" s="506">
        <v>3.5</v>
      </c>
      <c r="I177" s="506">
        <v>2.2999999999999998</v>
      </c>
      <c r="J177" s="506">
        <v>3.8</v>
      </c>
      <c r="K177" s="503" t="s">
        <v>20</v>
      </c>
      <c r="L177" s="504">
        <v>3</v>
      </c>
      <c r="M177" s="367"/>
      <c r="N177" s="367"/>
      <c r="O177" s="71"/>
      <c r="P177" s="1195"/>
      <c r="Q177" s="1155"/>
      <c r="R177" s="388" t="s">
        <v>733</v>
      </c>
      <c r="S177" s="389"/>
      <c r="T177" s="1140"/>
      <c r="U177" s="1152"/>
      <c r="V177" s="1158"/>
      <c r="W177" s="1152"/>
      <c r="X177" s="1158"/>
      <c r="Y177" s="1152"/>
      <c r="Z177" s="1158"/>
      <c r="AA177" s="1152"/>
      <c r="AB177" s="1158"/>
      <c r="AC177" s="1152"/>
      <c r="AE177" s="1195"/>
      <c r="AF177" s="1155"/>
      <c r="AG177" s="388" t="s">
        <v>733</v>
      </c>
      <c r="AH177" s="389"/>
      <c r="AI177" s="1140"/>
      <c r="AJ177" s="1152"/>
      <c r="AK177" s="1191"/>
      <c r="AL177" s="1191"/>
      <c r="AM177" s="1191"/>
      <c r="AN177" s="1191"/>
      <c r="AO177" s="1191"/>
      <c r="AP177" s="1191"/>
      <c r="AQ177" s="1191"/>
      <c r="AR177" s="1193"/>
    </row>
    <row r="178" spans="1:44" ht="15" outlineLevel="1" thickBot="1">
      <c r="B178" s="383" t="s">
        <v>11</v>
      </c>
      <c r="C178" s="397">
        <v>25</v>
      </c>
      <c r="D178" s="397">
        <v>25</v>
      </c>
      <c r="E178" s="397">
        <v>25</v>
      </c>
      <c r="F178" s="397">
        <v>25</v>
      </c>
      <c r="G178" s="399">
        <v>20</v>
      </c>
      <c r="H178" s="399">
        <v>35</v>
      </c>
      <c r="I178" s="399">
        <v>20</v>
      </c>
      <c r="J178" s="399">
        <v>35</v>
      </c>
      <c r="K178" s="372"/>
      <c r="L178" s="373" t="s">
        <v>740</v>
      </c>
      <c r="M178" s="363"/>
      <c r="N178" s="363"/>
      <c r="O178" s="71"/>
      <c r="P178" s="1195"/>
      <c r="Q178" s="1156"/>
      <c r="R178" s="393" t="s">
        <v>735</v>
      </c>
      <c r="S178" s="394"/>
      <c r="T178" s="1141"/>
      <c r="U178" s="1153"/>
      <c r="V178" s="1159"/>
      <c r="W178" s="1153"/>
      <c r="X178" s="1159"/>
      <c r="Y178" s="1153"/>
      <c r="Z178" s="1159"/>
      <c r="AA178" s="1153"/>
      <c r="AB178" s="1159"/>
      <c r="AC178" s="1153"/>
      <c r="AE178" s="1195"/>
      <c r="AF178" s="1156"/>
      <c r="AG178" s="393" t="s">
        <v>735</v>
      </c>
      <c r="AH178" s="394"/>
      <c r="AI178" s="1141"/>
      <c r="AJ178" s="1153"/>
      <c r="AK178" s="1191"/>
      <c r="AL178" s="1191"/>
      <c r="AM178" s="1191"/>
      <c r="AN178" s="1191"/>
      <c r="AO178" s="1191"/>
      <c r="AP178" s="1191"/>
      <c r="AQ178" s="1191"/>
      <c r="AR178" s="1193"/>
    </row>
    <row r="179" spans="1:44" ht="15" outlineLevel="1" thickBot="1">
      <c r="B179" s="500" t="s">
        <v>273</v>
      </c>
      <c r="C179" s="506">
        <v>1</v>
      </c>
      <c r="D179" s="506">
        <v>1</v>
      </c>
      <c r="E179" s="506">
        <v>1</v>
      </c>
      <c r="F179" s="506">
        <v>1</v>
      </c>
      <c r="G179" s="506">
        <v>0.5</v>
      </c>
      <c r="H179" s="506">
        <v>1.5</v>
      </c>
      <c r="I179" s="506">
        <v>0.5</v>
      </c>
      <c r="J179" s="506">
        <v>1.5</v>
      </c>
      <c r="K179" s="372"/>
      <c r="L179" s="400"/>
      <c r="M179" s="363"/>
      <c r="N179" s="363"/>
      <c r="O179" s="71"/>
      <c r="P179" s="1195"/>
      <c r="Q179" s="1154" t="s">
        <v>736</v>
      </c>
      <c r="R179" s="395" t="s">
        <v>737</v>
      </c>
      <c r="S179" s="396" t="s">
        <v>738</v>
      </c>
      <c r="T179" s="1137">
        <v>0</v>
      </c>
      <c r="U179" s="1137">
        <v>0.67</v>
      </c>
      <c r="V179" s="1137">
        <v>0</v>
      </c>
      <c r="W179" s="1137">
        <v>0.56999999999999995</v>
      </c>
      <c r="X179" s="1137">
        <v>0</v>
      </c>
      <c r="Y179" s="1137">
        <v>0.5</v>
      </c>
      <c r="Z179" s="1137">
        <v>0</v>
      </c>
      <c r="AA179" s="1137">
        <v>0.51</v>
      </c>
      <c r="AB179" s="1137">
        <v>0</v>
      </c>
      <c r="AC179" s="1151">
        <v>0.41</v>
      </c>
      <c r="AE179" s="1195"/>
      <c r="AF179" s="1154" t="s">
        <v>736</v>
      </c>
      <c r="AG179" s="395" t="s">
        <v>737</v>
      </c>
      <c r="AH179" s="396" t="s">
        <v>738</v>
      </c>
      <c r="AI179" s="1137">
        <v>0</v>
      </c>
      <c r="AJ179" s="1137">
        <f>U179/4</f>
        <v>0.16750000000000001</v>
      </c>
      <c r="AK179" s="1191"/>
      <c r="AL179" s="1191"/>
      <c r="AM179" s="1191"/>
      <c r="AN179" s="1191"/>
      <c r="AO179" s="1191"/>
      <c r="AP179" s="1191"/>
      <c r="AQ179" s="1191"/>
      <c r="AR179" s="1193"/>
    </row>
    <row r="180" spans="1:44" ht="15" outlineLevel="1" thickBot="1">
      <c r="B180" s="401" t="s">
        <v>743</v>
      </c>
      <c r="C180" s="402"/>
      <c r="D180" s="403"/>
      <c r="E180" s="404"/>
      <c r="F180" s="405"/>
      <c r="G180" s="406"/>
      <c r="H180" s="406"/>
      <c r="I180" s="406"/>
      <c r="J180" s="406"/>
      <c r="K180" s="407"/>
      <c r="L180" s="408"/>
      <c r="M180" s="363"/>
      <c r="N180" s="363"/>
      <c r="O180" s="71"/>
      <c r="P180" s="1195"/>
      <c r="Q180" s="1155"/>
      <c r="R180" s="395" t="s">
        <v>739</v>
      </c>
      <c r="S180" s="396" t="s">
        <v>738</v>
      </c>
      <c r="T180" s="1191"/>
      <c r="U180" s="1191"/>
      <c r="V180" s="1191"/>
      <c r="W180" s="1191"/>
      <c r="X180" s="1191"/>
      <c r="Y180" s="1191"/>
      <c r="Z180" s="1191"/>
      <c r="AA180" s="1191"/>
      <c r="AB180" s="1191"/>
      <c r="AC180" s="1193"/>
      <c r="AE180" s="1195"/>
      <c r="AF180" s="1155"/>
      <c r="AG180" s="395" t="s">
        <v>739</v>
      </c>
      <c r="AH180" s="396" t="s">
        <v>738</v>
      </c>
      <c r="AI180" s="1191"/>
      <c r="AJ180" s="1191"/>
      <c r="AK180" s="1192"/>
      <c r="AL180" s="1192"/>
      <c r="AM180" s="1192"/>
      <c r="AN180" s="1192"/>
      <c r="AO180" s="1192"/>
      <c r="AP180" s="1192"/>
      <c r="AQ180" s="1192"/>
      <c r="AR180" s="1194"/>
    </row>
    <row r="181" spans="1:44" ht="15" outlineLevel="1" thickBot="1">
      <c r="B181" s="500" t="s">
        <v>663</v>
      </c>
      <c r="C181" s="506">
        <v>20</v>
      </c>
      <c r="D181" s="506">
        <v>20</v>
      </c>
      <c r="E181" s="506">
        <v>20</v>
      </c>
      <c r="F181" s="506">
        <v>20</v>
      </c>
      <c r="G181" s="507"/>
      <c r="H181" s="507"/>
      <c r="I181" s="507"/>
      <c r="J181" s="507"/>
      <c r="K181" s="503"/>
      <c r="L181" s="504">
        <v>3</v>
      </c>
      <c r="M181" s="363"/>
      <c r="N181" s="363"/>
      <c r="P181" s="1195"/>
      <c r="Q181" s="1155"/>
      <c r="R181" s="395" t="s">
        <v>741</v>
      </c>
      <c r="S181" s="396"/>
      <c r="T181" s="1191"/>
      <c r="U181" s="1191"/>
      <c r="V181" s="1191"/>
      <c r="W181" s="1191"/>
      <c r="X181" s="1191"/>
      <c r="Y181" s="1191"/>
      <c r="Z181" s="1191"/>
      <c r="AA181" s="1191"/>
      <c r="AB181" s="1191"/>
      <c r="AC181" s="1193"/>
      <c r="AE181" s="1195"/>
      <c r="AF181" s="1155"/>
      <c r="AG181" s="395" t="s">
        <v>741</v>
      </c>
      <c r="AH181" s="629" t="s">
        <v>738</v>
      </c>
      <c r="AI181" s="1191"/>
      <c r="AJ181" s="1191"/>
      <c r="AK181" s="416">
        <v>1</v>
      </c>
      <c r="AL181" s="415">
        <v>1</v>
      </c>
      <c r="AM181" s="416">
        <v>1</v>
      </c>
      <c r="AN181" s="415">
        <v>1</v>
      </c>
      <c r="AO181" s="416">
        <v>1</v>
      </c>
      <c r="AP181" s="415">
        <v>1</v>
      </c>
      <c r="AQ181" s="416">
        <v>1</v>
      </c>
      <c r="AR181" s="417">
        <v>1</v>
      </c>
    </row>
    <row r="182" spans="1:44" outlineLevel="1">
      <c r="B182" s="500" t="s">
        <v>664</v>
      </c>
      <c r="C182" s="506">
        <v>0.3</v>
      </c>
      <c r="D182" s="506">
        <v>0.3</v>
      </c>
      <c r="E182" s="506">
        <v>0.3</v>
      </c>
      <c r="F182" s="506">
        <v>0.3</v>
      </c>
      <c r="G182" s="509"/>
      <c r="H182" s="509"/>
      <c r="I182" s="509"/>
      <c r="J182" s="509"/>
      <c r="K182" s="510"/>
      <c r="L182" s="504">
        <v>3</v>
      </c>
      <c r="M182" s="363"/>
      <c r="N182" s="363"/>
      <c r="P182" s="1195"/>
      <c r="Q182" s="1155"/>
      <c r="R182" s="395" t="s">
        <v>742</v>
      </c>
      <c r="S182" s="396" t="s">
        <v>738</v>
      </c>
      <c r="T182" s="1191"/>
      <c r="U182" s="1191"/>
      <c r="V182" s="1191"/>
      <c r="W182" s="1191"/>
      <c r="X182" s="1191"/>
      <c r="Y182" s="1191"/>
      <c r="Z182" s="1191"/>
      <c r="AA182" s="1191"/>
      <c r="AB182" s="1191"/>
      <c r="AC182" s="1193"/>
      <c r="AE182" s="1195"/>
      <c r="AF182" s="1155"/>
      <c r="AG182" s="395" t="s">
        <v>742</v>
      </c>
      <c r="AH182" s="396"/>
      <c r="AI182" s="1191"/>
      <c r="AJ182" s="1191"/>
    </row>
    <row r="183" spans="1:44" ht="15" outlineLevel="1" thickBot="1">
      <c r="B183" s="500" t="s">
        <v>666</v>
      </c>
      <c r="C183" s="506">
        <v>0.5</v>
      </c>
      <c r="D183" s="506">
        <v>0.5</v>
      </c>
      <c r="E183" s="506">
        <v>0.5</v>
      </c>
      <c r="F183" s="506">
        <v>0.5</v>
      </c>
      <c r="G183" s="509"/>
      <c r="H183" s="509"/>
      <c r="I183" s="509"/>
      <c r="J183" s="509"/>
      <c r="K183" s="510"/>
      <c r="L183" s="504">
        <v>3</v>
      </c>
      <c r="M183" s="420"/>
      <c r="N183" s="363"/>
      <c r="P183" s="1195"/>
      <c r="Q183" s="1156"/>
      <c r="R183" s="409" t="s">
        <v>863</v>
      </c>
      <c r="S183" s="410" t="s">
        <v>738</v>
      </c>
      <c r="T183" s="1192"/>
      <c r="U183" s="1192"/>
      <c r="V183" s="1192"/>
      <c r="W183" s="1192"/>
      <c r="X183" s="1192"/>
      <c r="Y183" s="1192"/>
      <c r="Z183" s="1192"/>
      <c r="AA183" s="1192"/>
      <c r="AB183" s="1192"/>
      <c r="AC183" s="1194"/>
      <c r="AE183" s="1195"/>
      <c r="AF183" s="1156"/>
      <c r="AG183" s="409" t="s">
        <v>863</v>
      </c>
      <c r="AH183" s="410" t="s">
        <v>738</v>
      </c>
      <c r="AI183" s="1192"/>
      <c r="AJ183" s="1192"/>
    </row>
    <row r="184" spans="1:44" ht="29.4" outlineLevel="1" thickBot="1">
      <c r="B184" s="421" t="s">
        <v>12</v>
      </c>
      <c r="C184" s="399"/>
      <c r="D184" s="399"/>
      <c r="E184" s="399"/>
      <c r="F184" s="399"/>
      <c r="G184" s="422"/>
      <c r="H184" s="422"/>
      <c r="I184" s="422"/>
      <c r="J184" s="422"/>
      <c r="K184" s="423"/>
      <c r="L184" s="424"/>
      <c r="M184" s="420"/>
      <c r="N184" s="420"/>
      <c r="P184" s="1196"/>
      <c r="Q184" s="411" t="s">
        <v>745</v>
      </c>
      <c r="R184" s="412" t="s">
        <v>746</v>
      </c>
      <c r="S184" s="630" t="s">
        <v>738</v>
      </c>
      <c r="T184" s="416">
        <v>1</v>
      </c>
      <c r="U184" s="415">
        <v>1</v>
      </c>
      <c r="V184" s="416">
        <v>1</v>
      </c>
      <c r="W184" s="415">
        <v>1</v>
      </c>
      <c r="X184" s="416">
        <v>1</v>
      </c>
      <c r="Y184" s="415">
        <v>1</v>
      </c>
      <c r="Z184" s="416">
        <v>1</v>
      </c>
      <c r="AA184" s="415">
        <v>1</v>
      </c>
      <c r="AB184" s="416">
        <v>1</v>
      </c>
      <c r="AC184" s="417">
        <v>1</v>
      </c>
      <c r="AE184" s="1196"/>
      <c r="AF184" s="411" t="s">
        <v>745</v>
      </c>
      <c r="AG184" s="631" t="s">
        <v>746</v>
      </c>
      <c r="AH184" s="632" t="s">
        <v>738</v>
      </c>
      <c r="AI184" s="416">
        <v>1</v>
      </c>
      <c r="AJ184" s="415">
        <v>1</v>
      </c>
    </row>
    <row r="185" spans="1:44" outlineLevel="1">
      <c r="B185" s="383" t="s">
        <v>843</v>
      </c>
      <c r="C185" s="397">
        <v>11</v>
      </c>
      <c r="D185" s="397">
        <v>11</v>
      </c>
      <c r="E185" s="397">
        <v>11</v>
      </c>
      <c r="F185" s="397">
        <v>11</v>
      </c>
      <c r="G185" s="422"/>
      <c r="H185" s="425"/>
      <c r="I185" s="425"/>
      <c r="J185" s="425"/>
      <c r="K185" s="426" t="s">
        <v>76</v>
      </c>
      <c r="L185" s="427" t="s">
        <v>748</v>
      </c>
      <c r="M185" s="428"/>
      <c r="N185" s="428"/>
    </row>
    <row r="186" spans="1:44" outlineLevel="1">
      <c r="B186" s="383" t="s">
        <v>749</v>
      </c>
      <c r="C186" s="397">
        <v>10</v>
      </c>
      <c r="D186" s="397">
        <v>10</v>
      </c>
      <c r="E186" s="397">
        <v>10</v>
      </c>
      <c r="F186" s="397">
        <v>10</v>
      </c>
      <c r="G186" s="425"/>
      <c r="H186" s="425"/>
      <c r="I186" s="425"/>
      <c r="J186" s="425"/>
      <c r="K186" s="423"/>
      <c r="L186" s="427">
        <v>9</v>
      </c>
      <c r="M186" s="428"/>
      <c r="N186" s="428"/>
    </row>
    <row r="187" spans="1:44" outlineLevel="1">
      <c r="B187" s="383" t="s">
        <v>844</v>
      </c>
      <c r="C187" s="397">
        <v>63</v>
      </c>
      <c r="D187" s="397">
        <v>49</v>
      </c>
      <c r="E187" s="397">
        <v>46</v>
      </c>
      <c r="F187" s="397">
        <v>41</v>
      </c>
      <c r="G187" s="425"/>
      <c r="H187" s="425"/>
      <c r="I187" s="425"/>
      <c r="J187" s="425"/>
      <c r="K187" s="423"/>
      <c r="L187" s="427" t="s">
        <v>748</v>
      </c>
      <c r="M187" s="428"/>
      <c r="N187" s="428"/>
    </row>
    <row r="188" spans="1:44" outlineLevel="1">
      <c r="B188" s="383" t="s">
        <v>366</v>
      </c>
      <c r="C188" s="397">
        <v>11</v>
      </c>
      <c r="D188" s="397">
        <v>8</v>
      </c>
      <c r="E188" s="397">
        <v>6</v>
      </c>
      <c r="F188" s="397">
        <v>4</v>
      </c>
      <c r="G188" s="425"/>
      <c r="H188" s="425"/>
      <c r="I188" s="425"/>
      <c r="J188" s="425"/>
      <c r="K188" s="423"/>
      <c r="L188" s="427" t="s">
        <v>748</v>
      </c>
      <c r="M188" s="428"/>
      <c r="N188" s="428"/>
    </row>
    <row r="189" spans="1:44" ht="15" outlineLevel="1" thickBot="1">
      <c r="B189" s="429" t="s">
        <v>367</v>
      </c>
      <c r="C189" s="626">
        <v>3</v>
      </c>
      <c r="D189" s="626">
        <v>3</v>
      </c>
      <c r="E189" s="626">
        <v>1</v>
      </c>
      <c r="F189" s="626">
        <v>1</v>
      </c>
      <c r="G189" s="425"/>
      <c r="H189" s="425"/>
      <c r="I189" s="425"/>
      <c r="J189" s="425"/>
      <c r="K189" s="423"/>
      <c r="L189" s="427" t="s">
        <v>748</v>
      </c>
      <c r="M189" s="428"/>
      <c r="N189" s="428"/>
    </row>
    <row r="190" spans="1:44" ht="15" outlineLevel="1" thickBot="1">
      <c r="B190" s="431" t="s">
        <v>674</v>
      </c>
      <c r="C190" s="432"/>
      <c r="D190" s="403"/>
      <c r="E190" s="403"/>
      <c r="F190" s="433"/>
      <c r="G190" s="434"/>
      <c r="H190" s="406"/>
      <c r="I190" s="406"/>
      <c r="J190" s="406"/>
      <c r="K190" s="407"/>
      <c r="L190" s="408"/>
      <c r="M190" s="428"/>
      <c r="N190" s="428"/>
    </row>
    <row r="191" spans="1:44" ht="26.4" outlineLevel="1">
      <c r="A191" s="435"/>
      <c r="B191" s="436" t="s">
        <v>910</v>
      </c>
      <c r="C191" s="551">
        <f>0.618181818181818</f>
        <v>0.61818181818181805</v>
      </c>
      <c r="D191" s="647">
        <f>0.590909090909091</f>
        <v>0.59090909090909105</v>
      </c>
      <c r="E191" s="647">
        <f>(F191+D191)/2</f>
        <v>0.56363636363636349</v>
      </c>
      <c r="F191" s="648">
        <f>0.536363636363636</f>
        <v>0.53636363636363604</v>
      </c>
      <c r="G191" s="425"/>
      <c r="H191" s="425"/>
      <c r="I191" s="425"/>
      <c r="J191" s="425"/>
      <c r="K191" s="426" t="s">
        <v>752</v>
      </c>
      <c r="L191" s="440" t="s">
        <v>753</v>
      </c>
      <c r="M191" s="420"/>
      <c r="N191" s="420"/>
    </row>
    <row r="192" spans="1:44" outlineLevel="1">
      <c r="B192" s="441" t="s">
        <v>839</v>
      </c>
      <c r="C192" s="442">
        <v>60</v>
      </c>
      <c r="D192" s="442">
        <v>60</v>
      </c>
      <c r="E192" s="442">
        <v>60</v>
      </c>
      <c r="F192" s="442">
        <v>60</v>
      </c>
      <c r="G192" s="425"/>
      <c r="H192" s="425"/>
      <c r="I192" s="425"/>
      <c r="J192" s="425"/>
      <c r="K192" s="444"/>
      <c r="L192" s="373">
        <v>3</v>
      </c>
      <c r="M192" s="71"/>
      <c r="N192" s="420"/>
    </row>
    <row r="193" spans="2:30" outlineLevel="1">
      <c r="B193" s="441" t="s">
        <v>840</v>
      </c>
      <c r="C193" s="442">
        <f>100-C192</f>
        <v>40</v>
      </c>
      <c r="D193" s="442">
        <f>100-D192</f>
        <v>40</v>
      </c>
      <c r="E193" s="442">
        <f>100-E192</f>
        <v>40</v>
      </c>
      <c r="F193" s="442">
        <f>100-F192</f>
        <v>40</v>
      </c>
      <c r="G193" s="425"/>
      <c r="H193" s="425"/>
      <c r="I193" s="425"/>
      <c r="J193" s="425"/>
      <c r="K193" s="444"/>
      <c r="L193" s="373">
        <v>3</v>
      </c>
      <c r="M193" s="420"/>
      <c r="N193" s="420"/>
    </row>
    <row r="194" spans="2:30" outlineLevel="1">
      <c r="B194" s="383" t="s">
        <v>841</v>
      </c>
      <c r="C194" s="602">
        <v>33700</v>
      </c>
      <c r="D194" s="603">
        <v>35900</v>
      </c>
      <c r="E194" s="603">
        <f>(F194+D194)/2</f>
        <v>34800</v>
      </c>
      <c r="F194" s="604">
        <v>33700</v>
      </c>
      <c r="G194" s="425"/>
      <c r="H194" s="425"/>
      <c r="I194" s="425"/>
      <c r="J194" s="425"/>
      <c r="K194" s="448" t="s">
        <v>51</v>
      </c>
      <c r="L194" s="373">
        <v>3</v>
      </c>
      <c r="M194" s="420"/>
      <c r="N194" s="420"/>
    </row>
    <row r="195" spans="2:30" outlineLevel="1">
      <c r="B195" s="383" t="s">
        <v>679</v>
      </c>
      <c r="C195" s="449">
        <f>C196+C197</f>
        <v>2.7789999999999999</v>
      </c>
      <c r="D195" s="449">
        <f t="shared" ref="D195:F195" si="25">D196+D197</f>
        <v>2.8250000000000002</v>
      </c>
      <c r="E195" s="449">
        <f t="shared" si="25"/>
        <v>2.8479999999999999</v>
      </c>
      <c r="F195" s="449">
        <f t="shared" si="25"/>
        <v>2.8479999999999999</v>
      </c>
      <c r="G195" s="425"/>
      <c r="H195" s="425"/>
      <c r="I195" s="425"/>
      <c r="J195" s="425"/>
      <c r="K195" s="448"/>
      <c r="L195" s="373">
        <v>3</v>
      </c>
      <c r="M195" s="450"/>
      <c r="N195" s="361"/>
    </row>
    <row r="196" spans="2:30" outlineLevel="1">
      <c r="B196" s="500" t="s">
        <v>758</v>
      </c>
      <c r="C196" s="514">
        <f>C175/100*73</f>
        <v>1.679</v>
      </c>
      <c r="D196" s="514">
        <f>D175/100*75</f>
        <v>1.7249999999999999</v>
      </c>
      <c r="E196" s="514">
        <f>E175/100*76</f>
        <v>1.748</v>
      </c>
      <c r="F196" s="514">
        <f>F175/100*76</f>
        <v>1.748</v>
      </c>
      <c r="G196" s="515"/>
      <c r="H196" s="515"/>
      <c r="I196" s="515"/>
      <c r="J196" s="515"/>
      <c r="K196" s="503" t="s">
        <v>52</v>
      </c>
      <c r="L196" s="504">
        <v>3</v>
      </c>
      <c r="M196" s="450"/>
      <c r="N196" s="361"/>
    </row>
    <row r="197" spans="2:30" outlineLevel="1">
      <c r="B197" s="500" t="s">
        <v>759</v>
      </c>
      <c r="C197" s="516">
        <v>1.1000000000000001</v>
      </c>
      <c r="D197" s="516">
        <v>1.1000000000000001</v>
      </c>
      <c r="E197" s="516">
        <v>1.1000000000000001</v>
      </c>
      <c r="F197" s="516">
        <v>1.1000000000000001</v>
      </c>
      <c r="G197" s="515"/>
      <c r="H197" s="515"/>
      <c r="I197" s="515"/>
      <c r="J197" s="515"/>
      <c r="K197" s="517"/>
      <c r="L197" s="504">
        <v>3</v>
      </c>
      <c r="M197" s="363"/>
      <c r="N197" s="363"/>
    </row>
    <row r="198" spans="2:30" outlineLevel="1">
      <c r="B198" s="441"/>
      <c r="C198" s="681"/>
      <c r="D198" s="681"/>
      <c r="E198" s="681"/>
      <c r="F198" s="681"/>
      <c r="G198" s="425"/>
      <c r="H198" s="425"/>
      <c r="I198" s="425"/>
      <c r="J198" s="425"/>
      <c r="K198" s="444"/>
      <c r="L198" s="424"/>
      <c r="M198" s="367"/>
      <c r="N198" s="367"/>
      <c r="P198" s="1142">
        <f>C195</f>
        <v>2.7789999999999999</v>
      </c>
      <c r="Q198" s="1143"/>
      <c r="R198" s="1143"/>
      <c r="S198" s="1143"/>
      <c r="T198" s="1143"/>
      <c r="U198" s="1144"/>
    </row>
    <row r="199" spans="2:30" ht="15" outlineLevel="1" thickBot="1">
      <c r="B199" s="519"/>
      <c r="C199" s="442"/>
      <c r="D199" s="520"/>
      <c r="E199" s="520"/>
      <c r="F199" s="521"/>
      <c r="G199" s="425"/>
      <c r="H199" s="425"/>
      <c r="I199" s="425"/>
      <c r="J199" s="425"/>
      <c r="K199" s="448"/>
      <c r="L199" s="424"/>
      <c r="M199" s="363"/>
      <c r="N199" s="363"/>
      <c r="P199" s="1134">
        <f>C196</f>
        <v>1.679</v>
      </c>
      <c r="Q199" s="1135"/>
      <c r="R199" s="1135"/>
      <c r="S199" s="1135"/>
      <c r="T199" s="1135"/>
      <c r="U199" s="1136"/>
    </row>
    <row r="200" spans="2:30" ht="15" outlineLevel="1" thickBot="1">
      <c r="B200" s="401" t="s">
        <v>682</v>
      </c>
      <c r="C200" s="402"/>
      <c r="D200" s="403"/>
      <c r="E200" s="404"/>
      <c r="F200" s="405"/>
      <c r="G200" s="406"/>
      <c r="H200" s="406"/>
      <c r="I200" s="406"/>
      <c r="J200" s="406"/>
      <c r="K200" s="459"/>
      <c r="L200" s="460"/>
      <c r="M200" s="363"/>
      <c r="N200" s="363"/>
      <c r="P200" s="53" t="s">
        <v>357</v>
      </c>
    </row>
    <row r="201" spans="2:30" ht="27.6" outlineLevel="1">
      <c r="B201" s="522" t="s">
        <v>762</v>
      </c>
      <c r="C201" s="670">
        <v>3.5000000000000003E-2</v>
      </c>
      <c r="D201" s="670">
        <v>0.03</v>
      </c>
      <c r="E201" s="670">
        <v>0.03</v>
      </c>
      <c r="F201" s="670">
        <v>0.03</v>
      </c>
      <c r="G201" s="524"/>
      <c r="H201" s="524"/>
      <c r="I201" s="524"/>
      <c r="J201" s="524"/>
      <c r="K201" s="524" t="s">
        <v>55</v>
      </c>
      <c r="L201" s="525"/>
      <c r="M201" s="363"/>
      <c r="N201" s="363"/>
      <c r="P201" s="46" t="s">
        <v>335</v>
      </c>
      <c r="Q201" s="46" t="s">
        <v>336</v>
      </c>
      <c r="R201" s="47" t="s">
        <v>337</v>
      </c>
      <c r="S201" s="47" t="s">
        <v>338</v>
      </c>
      <c r="T201" s="47" t="s">
        <v>339</v>
      </c>
      <c r="U201" s="48" t="s">
        <v>340</v>
      </c>
      <c r="V201" s="49" t="s">
        <v>341</v>
      </c>
      <c r="W201" s="49" t="s">
        <v>342</v>
      </c>
      <c r="X201" s="49" t="s">
        <v>343</v>
      </c>
      <c r="Y201" s="49" t="s">
        <v>344</v>
      </c>
      <c r="Z201" s="49" t="s">
        <v>345</v>
      </c>
      <c r="AA201" s="49" t="s">
        <v>346</v>
      </c>
      <c r="AB201" s="49" t="s">
        <v>347</v>
      </c>
      <c r="AC201" s="49" t="s">
        <v>348</v>
      </c>
      <c r="AD201" s="49" t="s">
        <v>349</v>
      </c>
    </row>
    <row r="202" spans="2:30" ht="15" outlineLevel="1" thickBot="1">
      <c r="B202" s="500" t="s">
        <v>763</v>
      </c>
      <c r="C202" s="526" t="s">
        <v>36</v>
      </c>
      <c r="D202" s="527" t="s">
        <v>36</v>
      </c>
      <c r="E202" s="527" t="s">
        <v>36</v>
      </c>
      <c r="F202" s="528" t="s">
        <v>36</v>
      </c>
      <c r="G202" s="528"/>
      <c r="H202" s="528"/>
      <c r="I202" s="528"/>
      <c r="J202" s="528"/>
      <c r="K202" s="529" t="s">
        <v>49</v>
      </c>
      <c r="L202" s="525"/>
      <c r="M202" s="363"/>
      <c r="N202" s="363"/>
      <c r="P202" s="50"/>
      <c r="Q202" s="50"/>
      <c r="R202" s="51"/>
      <c r="S202" s="51"/>
      <c r="T202" s="51"/>
      <c r="U202" s="51" t="s">
        <v>760</v>
      </c>
      <c r="V202" s="50" t="s">
        <v>761</v>
      </c>
      <c r="W202" s="50"/>
      <c r="X202" s="50"/>
      <c r="Y202" s="50"/>
      <c r="Z202" s="50"/>
      <c r="AA202" s="50"/>
      <c r="AB202" s="50"/>
      <c r="AC202" s="50"/>
      <c r="AD202" s="50"/>
    </row>
    <row r="203" spans="2:30" ht="43.2" outlineLevel="1">
      <c r="B203" s="500" t="s">
        <v>764</v>
      </c>
      <c r="C203" s="526" t="s">
        <v>36</v>
      </c>
      <c r="D203" s="527" t="s">
        <v>36</v>
      </c>
      <c r="E203" s="527" t="s">
        <v>36</v>
      </c>
      <c r="F203" s="528" t="s">
        <v>36</v>
      </c>
      <c r="G203" s="515"/>
      <c r="H203" s="515"/>
      <c r="I203" s="515"/>
      <c r="J203" s="515"/>
      <c r="K203" s="515"/>
      <c r="L203" s="504"/>
      <c r="M203" s="363"/>
      <c r="N203" s="363"/>
      <c r="O203" s="461" t="s">
        <v>732</v>
      </c>
      <c r="P203" s="56"/>
      <c r="Q203" s="56"/>
      <c r="R203" s="57"/>
      <c r="S203" s="57"/>
      <c r="T203" s="57"/>
      <c r="U203" s="56" t="s">
        <v>350</v>
      </c>
      <c r="V203" s="56" t="s">
        <v>326</v>
      </c>
      <c r="W203" s="56" t="s">
        <v>327</v>
      </c>
      <c r="X203" s="56" t="s">
        <v>351</v>
      </c>
      <c r="Y203" s="56" t="s">
        <v>351</v>
      </c>
      <c r="Z203" s="56" t="s">
        <v>352</v>
      </c>
      <c r="AA203" s="56" t="s">
        <v>352</v>
      </c>
      <c r="AB203" s="56" t="s">
        <v>352</v>
      </c>
      <c r="AC203" s="56" t="s">
        <v>352</v>
      </c>
      <c r="AD203" s="56" t="s">
        <v>352</v>
      </c>
    </row>
    <row r="204" spans="2:30" outlineLevel="1">
      <c r="B204" s="500" t="s">
        <v>765</v>
      </c>
      <c r="C204" s="685">
        <v>90</v>
      </c>
      <c r="D204" s="530">
        <v>90</v>
      </c>
      <c r="E204" s="530">
        <v>90</v>
      </c>
      <c r="F204" s="530">
        <v>90</v>
      </c>
      <c r="G204" s="531"/>
      <c r="H204" s="531"/>
      <c r="I204" s="531"/>
      <c r="J204" s="531"/>
      <c r="K204" s="531"/>
      <c r="L204" s="504">
        <v>3</v>
      </c>
      <c r="M204" s="363"/>
      <c r="N204" s="363"/>
      <c r="O204" s="465">
        <f>C174</f>
        <v>90</v>
      </c>
      <c r="P204" s="466">
        <f>C170</f>
        <v>2020</v>
      </c>
      <c r="Q204" s="58">
        <f>P204</f>
        <v>2020</v>
      </c>
      <c r="R204" s="466">
        <f>O204/100</f>
        <v>0.9</v>
      </c>
      <c r="S204" s="58"/>
      <c r="T204" s="466">
        <f>C178</f>
        <v>25</v>
      </c>
      <c r="U204" s="467">
        <f>C208</f>
        <v>4605.4545454545441</v>
      </c>
      <c r="V204" s="467">
        <f>C210</f>
        <v>251.065</v>
      </c>
      <c r="W204" s="467">
        <f>C211</f>
        <v>5.7509861111111107</v>
      </c>
      <c r="X204" s="58"/>
      <c r="Y204" s="58"/>
      <c r="Z204" s="466">
        <f>C185</f>
        <v>11</v>
      </c>
      <c r="AA204" s="468">
        <f>C187</f>
        <v>63</v>
      </c>
      <c r="AB204" s="468">
        <f>C188</f>
        <v>11</v>
      </c>
      <c r="AC204" s="468">
        <f>C189</f>
        <v>3</v>
      </c>
      <c r="AD204" s="468">
        <f>C186</f>
        <v>10</v>
      </c>
    </row>
    <row r="205" spans="2:30" outlineLevel="1">
      <c r="B205" s="532" t="s">
        <v>766</v>
      </c>
      <c r="C205" s="526"/>
      <c r="D205" s="527"/>
      <c r="E205" s="527"/>
      <c r="F205" s="528"/>
      <c r="G205" s="531"/>
      <c r="H205" s="531"/>
      <c r="I205" s="531"/>
      <c r="J205" s="531"/>
      <c r="K205" s="531"/>
      <c r="L205" s="533"/>
      <c r="M205" s="367"/>
      <c r="N205" s="367"/>
      <c r="O205" s="465">
        <f>D174</f>
        <v>90</v>
      </c>
      <c r="P205" s="466">
        <f>D170</f>
        <v>2030</v>
      </c>
      <c r="Q205" s="58"/>
      <c r="R205" s="466">
        <f>O205/100</f>
        <v>0.9</v>
      </c>
      <c r="S205" s="58"/>
      <c r="T205" s="466">
        <f>D178</f>
        <v>25</v>
      </c>
      <c r="U205" s="467">
        <f>D208</f>
        <v>4402.2727272727279</v>
      </c>
      <c r="V205" s="467">
        <f>D210</f>
        <v>267.45499999999998</v>
      </c>
      <c r="W205" s="467">
        <f>D211</f>
        <v>5.8461805555555557</v>
      </c>
      <c r="X205" s="58"/>
      <c r="Y205" s="58"/>
      <c r="Z205" s="466">
        <f>D185</f>
        <v>11</v>
      </c>
      <c r="AA205" s="468">
        <f>D187</f>
        <v>49</v>
      </c>
      <c r="AB205" s="468">
        <f>D188</f>
        <v>8</v>
      </c>
      <c r="AC205" s="468">
        <f>D189</f>
        <v>3</v>
      </c>
      <c r="AD205" s="468">
        <f>D186</f>
        <v>10</v>
      </c>
    </row>
    <row r="206" spans="2:30" outlineLevel="1">
      <c r="B206" s="532" t="s">
        <v>767</v>
      </c>
      <c r="C206" s="526"/>
      <c r="D206" s="527"/>
      <c r="E206" s="527"/>
      <c r="F206" s="528"/>
      <c r="G206" s="531"/>
      <c r="H206" s="531"/>
      <c r="I206" s="531"/>
      <c r="J206" s="531"/>
      <c r="K206" s="531"/>
      <c r="L206" s="533"/>
      <c r="M206" s="363"/>
      <c r="N206" s="363"/>
      <c r="O206" s="465">
        <f>E174</f>
        <v>90</v>
      </c>
      <c r="P206" s="466">
        <f>E170</f>
        <v>2040</v>
      </c>
      <c r="Q206" s="58"/>
      <c r="R206" s="466">
        <f>O206/100</f>
        <v>0.9</v>
      </c>
      <c r="S206" s="58"/>
      <c r="T206" s="466">
        <f>E178</f>
        <v>25</v>
      </c>
      <c r="U206" s="467">
        <f>E208</f>
        <v>4199.0909090909081</v>
      </c>
      <c r="V206" s="467">
        <f>E210</f>
        <v>259.26</v>
      </c>
      <c r="W206" s="467">
        <f>E211</f>
        <v>5.8937777777777782</v>
      </c>
      <c r="X206" s="58"/>
      <c r="Y206" s="58"/>
      <c r="Z206" s="466">
        <f>E185</f>
        <v>11</v>
      </c>
      <c r="AA206" s="468">
        <f>E187</f>
        <v>46</v>
      </c>
      <c r="AB206" s="468">
        <f>E188</f>
        <v>6</v>
      </c>
      <c r="AC206" s="468">
        <f>E189</f>
        <v>1</v>
      </c>
      <c r="AD206" s="468">
        <f>E186</f>
        <v>10</v>
      </c>
    </row>
    <row r="207" spans="2:30" ht="15" outlineLevel="1" thickBot="1">
      <c r="B207" s="534" t="s">
        <v>768</v>
      </c>
      <c r="C207" s="535"/>
      <c r="D207" s="536"/>
      <c r="E207" s="536"/>
      <c r="F207" s="537"/>
      <c r="G207" s="538"/>
      <c r="H207" s="538"/>
      <c r="I207" s="538"/>
      <c r="J207" s="538"/>
      <c r="K207" s="538"/>
      <c r="L207" s="539"/>
      <c r="M207" s="363"/>
      <c r="N207" s="363"/>
      <c r="O207" s="465">
        <f>F174</f>
        <v>91</v>
      </c>
      <c r="P207" s="466">
        <f>F170</f>
        <v>2050</v>
      </c>
      <c r="Q207" s="58"/>
      <c r="R207" s="466">
        <f>O207/100</f>
        <v>0.91</v>
      </c>
      <c r="S207" s="58"/>
      <c r="T207" s="466">
        <f>F178</f>
        <v>25</v>
      </c>
      <c r="U207" s="467">
        <f>F208</f>
        <v>3995.9090909090883</v>
      </c>
      <c r="V207" s="467">
        <f>F210</f>
        <v>251.065</v>
      </c>
      <c r="W207" s="467">
        <f>F211</f>
        <v>5.8937777777777782</v>
      </c>
      <c r="X207" s="58"/>
      <c r="Y207" s="58"/>
      <c r="Z207" s="466">
        <f>F185</f>
        <v>11</v>
      </c>
      <c r="AA207" s="468">
        <f>F187</f>
        <v>41</v>
      </c>
      <c r="AB207" s="468">
        <f>F188</f>
        <v>4</v>
      </c>
      <c r="AC207" s="468">
        <f>F189</f>
        <v>1</v>
      </c>
      <c r="AD207" s="468">
        <f>F186</f>
        <v>10</v>
      </c>
    </row>
    <row r="208" spans="2:30" ht="57.6" outlineLevel="1">
      <c r="B208" s="461" t="s">
        <v>769</v>
      </c>
      <c r="C208" s="483">
        <f>C191*$F$4*1000</f>
        <v>4605.4545454545441</v>
      </c>
      <c r="D208" s="483">
        <f t="shared" ref="D208:F208" si="26">D191*$F$4*1000</f>
        <v>4402.2727272727279</v>
      </c>
      <c r="E208" s="483">
        <f t="shared" si="26"/>
        <v>4199.0909090909081</v>
      </c>
      <c r="F208" s="483">
        <f t="shared" si="26"/>
        <v>3995.9090909090883</v>
      </c>
      <c r="G208" s="483"/>
      <c r="H208" s="484"/>
      <c r="I208" s="420" t="s">
        <v>332</v>
      </c>
      <c r="J208" s="420"/>
      <c r="K208" s="484"/>
      <c r="L208" s="484"/>
      <c r="N208" s="420"/>
    </row>
    <row r="209" spans="1:16" outlineLevel="1">
      <c r="B209" s="485" t="s">
        <v>770</v>
      </c>
      <c r="C209" s="486">
        <f>C208*$I209</f>
        <v>2302727.272727272</v>
      </c>
      <c r="D209" s="486">
        <f>D208*$I209</f>
        <v>2201136.3636363638</v>
      </c>
      <c r="E209" s="486">
        <f>E208*$I209</f>
        <v>2099545.4545454541</v>
      </c>
      <c r="F209" s="486">
        <f>F208*$I209</f>
        <v>1997954.545454544</v>
      </c>
      <c r="G209" s="486"/>
      <c r="H209" s="484"/>
      <c r="I209" s="71">
        <v>500</v>
      </c>
      <c r="J209" s="420" t="s">
        <v>330</v>
      </c>
      <c r="K209" s="484"/>
      <c r="L209" s="484"/>
      <c r="N209" s="420"/>
    </row>
    <row r="210" spans="1:16" ht="43.2" outlineLevel="1">
      <c r="B210" s="461" t="s">
        <v>845</v>
      </c>
      <c r="C210" s="359">
        <f>C194*$F$4/1000</f>
        <v>251.065</v>
      </c>
      <c r="D210" s="359">
        <f t="shared" ref="D210:F210" si="27">D194*$F$4/1000</f>
        <v>267.45499999999998</v>
      </c>
      <c r="E210" s="359">
        <f t="shared" si="27"/>
        <v>259.26</v>
      </c>
      <c r="F210" s="359">
        <f t="shared" si="27"/>
        <v>251.065</v>
      </c>
      <c r="G210" s="359"/>
      <c r="I210" s="420" t="s">
        <v>333</v>
      </c>
      <c r="J210" s="420"/>
      <c r="N210" s="420"/>
    </row>
    <row r="211" spans="1:16" ht="43.2" outlineLevel="1">
      <c r="B211" s="461" t="s">
        <v>846</v>
      </c>
      <c r="C211" s="487">
        <f>C195*$F$4/3.6</f>
        <v>5.7509861111111107</v>
      </c>
      <c r="D211" s="487">
        <f t="shared" ref="D211:F211" si="28">D195*$F$4/3.6</f>
        <v>5.8461805555555557</v>
      </c>
      <c r="E211" s="487">
        <f t="shared" si="28"/>
        <v>5.8937777777777782</v>
      </c>
      <c r="F211" s="487">
        <f t="shared" si="28"/>
        <v>5.8937777777777782</v>
      </c>
      <c r="G211" s="359"/>
      <c r="M211" s="420"/>
      <c r="N211" s="420"/>
    </row>
    <row r="212" spans="1:16" outlineLevel="1"/>
    <row r="213" spans="1:16" outlineLevel="1">
      <c r="A213" s="488"/>
      <c r="B213" s="489"/>
      <c r="D213" s="490"/>
      <c r="E213" s="490"/>
      <c r="F213" s="490"/>
      <c r="G213" s="358"/>
      <c r="H213" s="358"/>
      <c r="I213" s="358"/>
      <c r="J213" s="358"/>
      <c r="K213" s="358"/>
      <c r="L213" s="358"/>
      <c r="N213" s="570"/>
    </row>
    <row r="214" spans="1:16" outlineLevel="1">
      <c r="A214" s="491"/>
      <c r="B214" s="492"/>
      <c r="D214" s="490"/>
      <c r="E214" s="490"/>
      <c r="F214" s="490"/>
      <c r="G214" s="358"/>
      <c r="H214" s="358"/>
      <c r="I214" s="358"/>
      <c r="J214" s="358"/>
      <c r="K214" s="358"/>
      <c r="L214" s="358"/>
      <c r="N214" s="570"/>
    </row>
    <row r="215" spans="1:16" outlineLevel="1">
      <c r="A215" s="491"/>
      <c r="B215" s="493"/>
      <c r="D215" s="490"/>
      <c r="E215" s="490"/>
      <c r="F215" s="490"/>
      <c r="G215" s="358"/>
      <c r="H215" s="358"/>
      <c r="I215" s="358"/>
      <c r="J215" s="358"/>
      <c r="K215" s="358"/>
      <c r="L215" s="358"/>
      <c r="N215" s="570"/>
    </row>
    <row r="216" spans="1:16" outlineLevel="1">
      <c r="A216" s="491"/>
      <c r="B216" s="488" t="s">
        <v>773</v>
      </c>
      <c r="C216" s="489"/>
      <c r="E216" s="358"/>
      <c r="F216" s="490"/>
      <c r="G216" s="358"/>
      <c r="H216" s="358"/>
      <c r="I216" s="358"/>
      <c r="J216" s="358"/>
      <c r="K216" s="358"/>
      <c r="L216" s="358"/>
      <c r="N216" s="570"/>
      <c r="O216" s="489"/>
      <c r="P216" s="490"/>
    </row>
    <row r="217" spans="1:16" outlineLevel="1">
      <c r="A217" s="491"/>
      <c r="B217" s="491">
        <v>1</v>
      </c>
      <c r="C217" s="492" t="s">
        <v>774</v>
      </c>
      <c r="E217" s="358"/>
      <c r="F217" s="490"/>
      <c r="G217" s="358"/>
      <c r="H217" s="358"/>
      <c r="I217" s="358"/>
      <c r="J217" s="358"/>
      <c r="K217" s="358"/>
      <c r="L217" s="358"/>
      <c r="N217" s="570"/>
      <c r="O217" s="489"/>
      <c r="P217" s="490"/>
    </row>
    <row r="218" spans="1:16" outlineLevel="1">
      <c r="A218" s="358"/>
      <c r="B218" s="491">
        <v>2</v>
      </c>
      <c r="C218" s="493" t="s">
        <v>775</v>
      </c>
      <c r="E218" s="358"/>
      <c r="F218" s="490"/>
      <c r="G218" s="358"/>
      <c r="H218" s="358"/>
      <c r="I218" s="358"/>
      <c r="J218" s="358"/>
      <c r="K218" s="358"/>
      <c r="L218" s="358"/>
      <c r="O218" s="489"/>
      <c r="P218" s="490"/>
    </row>
    <row r="219" spans="1:16" outlineLevel="1">
      <c r="A219" s="358"/>
      <c r="B219" s="491">
        <v>3</v>
      </c>
      <c r="C219" s="493" t="s">
        <v>776</v>
      </c>
      <c r="E219" s="358"/>
      <c r="F219" s="490"/>
      <c r="G219" s="358"/>
      <c r="H219" s="358"/>
      <c r="I219" s="358"/>
      <c r="J219" s="358"/>
      <c r="K219" s="358"/>
      <c r="L219" s="358"/>
      <c r="O219" s="489"/>
      <c r="P219" s="490"/>
    </row>
    <row r="220" spans="1:16" outlineLevel="1">
      <c r="A220" s="358"/>
      <c r="B220" s="491">
        <v>4</v>
      </c>
      <c r="C220" s="493" t="s">
        <v>777</v>
      </c>
      <c r="E220" s="358"/>
      <c r="F220" s="490"/>
      <c r="G220" s="358"/>
      <c r="H220" s="358"/>
      <c r="I220" s="358"/>
      <c r="J220" s="358"/>
      <c r="K220" s="358"/>
      <c r="L220" s="358"/>
      <c r="O220" s="489"/>
      <c r="P220" s="490"/>
    </row>
    <row r="221" spans="1:16" outlineLevel="1">
      <c r="A221" s="358"/>
      <c r="B221" s="358">
        <v>5</v>
      </c>
      <c r="C221" s="494" t="s">
        <v>778</v>
      </c>
      <c r="F221" s="490"/>
      <c r="G221" s="358"/>
      <c r="H221" s="358"/>
      <c r="I221" s="358"/>
      <c r="J221" s="358"/>
      <c r="K221" s="358"/>
      <c r="L221" s="358"/>
    </row>
    <row r="222" spans="1:16" outlineLevel="1">
      <c r="A222" s="358"/>
      <c r="B222" s="358">
        <v>6</v>
      </c>
      <c r="C222" s="492" t="s">
        <v>779</v>
      </c>
      <c r="F222" s="490"/>
      <c r="G222" s="358"/>
      <c r="H222" s="358"/>
      <c r="I222" s="358"/>
      <c r="J222" s="358"/>
      <c r="K222" s="358"/>
      <c r="L222" s="358"/>
    </row>
    <row r="223" spans="1:16" outlineLevel="1">
      <c r="A223" s="358"/>
      <c r="B223" s="358">
        <v>7</v>
      </c>
      <c r="C223" s="495" t="s">
        <v>774</v>
      </c>
      <c r="F223" s="490"/>
      <c r="G223" s="358"/>
      <c r="H223" s="358"/>
      <c r="I223" s="358"/>
      <c r="J223" s="358"/>
      <c r="K223" s="358"/>
      <c r="L223" s="358"/>
    </row>
    <row r="224" spans="1:16" outlineLevel="1">
      <c r="A224" s="488"/>
      <c r="B224" s="358">
        <v>8</v>
      </c>
      <c r="C224" s="495" t="s">
        <v>780</v>
      </c>
      <c r="F224" s="490"/>
      <c r="G224" s="358"/>
      <c r="H224" s="358"/>
      <c r="I224" s="358"/>
      <c r="J224" s="358"/>
      <c r="K224" s="358"/>
      <c r="L224" s="358"/>
    </row>
    <row r="225" spans="1:16" outlineLevel="1">
      <c r="A225" s="496"/>
      <c r="B225" s="358">
        <v>9</v>
      </c>
      <c r="C225" s="489" t="s">
        <v>781</v>
      </c>
      <c r="F225" s="490"/>
      <c r="G225" s="358"/>
      <c r="H225" s="358"/>
      <c r="I225" s="358"/>
      <c r="J225" s="358"/>
      <c r="K225" s="358"/>
      <c r="L225" s="358"/>
      <c r="N225" s="570"/>
    </row>
    <row r="226" spans="1:16" outlineLevel="1">
      <c r="A226" s="496"/>
      <c r="B226" s="358">
        <v>10</v>
      </c>
      <c r="C226" s="490" t="s">
        <v>782</v>
      </c>
      <c r="F226" s="490"/>
      <c r="G226" s="358"/>
      <c r="H226" s="358"/>
      <c r="I226" s="358"/>
      <c r="J226" s="358"/>
      <c r="K226" s="358"/>
      <c r="L226" s="358"/>
      <c r="N226" s="570"/>
    </row>
    <row r="227" spans="1:16" outlineLevel="1">
      <c r="A227" s="496"/>
      <c r="B227" s="488" t="s">
        <v>783</v>
      </c>
      <c r="C227" s="489"/>
      <c r="F227" s="490"/>
      <c r="G227" s="358"/>
      <c r="H227" s="358"/>
      <c r="I227" s="358"/>
      <c r="J227" s="358"/>
      <c r="K227" s="358"/>
      <c r="L227" s="358"/>
      <c r="N227" s="570"/>
    </row>
    <row r="228" spans="1:16" outlineLevel="1">
      <c r="A228" s="496"/>
      <c r="B228" s="496" t="s">
        <v>6</v>
      </c>
      <c r="C228" s="497" t="s">
        <v>975</v>
      </c>
      <c r="D228" s="489"/>
      <c r="F228" s="490"/>
      <c r="G228" s="358"/>
      <c r="H228" s="358"/>
      <c r="I228" s="358"/>
      <c r="J228" s="358"/>
      <c r="K228" s="358"/>
      <c r="L228" s="358"/>
      <c r="N228" s="570"/>
      <c r="O228" s="489"/>
      <c r="P228" s="490"/>
    </row>
    <row r="229" spans="1:16" outlineLevel="1">
      <c r="A229" s="496"/>
      <c r="B229" s="496" t="s">
        <v>59</v>
      </c>
      <c r="C229" s="489" t="s">
        <v>785</v>
      </c>
      <c r="D229" s="489"/>
      <c r="F229" s="490"/>
      <c r="G229" s="358"/>
      <c r="H229" s="358"/>
      <c r="I229" s="358"/>
      <c r="J229" s="358"/>
      <c r="K229" s="358"/>
      <c r="L229" s="358"/>
      <c r="N229" s="570"/>
      <c r="O229" s="489"/>
      <c r="P229" s="490"/>
    </row>
    <row r="230" spans="1:16" outlineLevel="1">
      <c r="A230" s="496"/>
      <c r="B230" s="496" t="s">
        <v>16</v>
      </c>
      <c r="C230" s="489" t="s">
        <v>976</v>
      </c>
      <c r="D230" s="489"/>
      <c r="F230" s="490"/>
      <c r="G230" s="358"/>
      <c r="H230" s="358"/>
      <c r="I230" s="358"/>
      <c r="J230" s="358"/>
      <c r="K230" s="358"/>
      <c r="L230" s="358"/>
      <c r="N230" s="570"/>
      <c r="O230" s="489"/>
      <c r="P230" s="490"/>
    </row>
    <row r="231" spans="1:16" outlineLevel="1">
      <c r="A231" s="496"/>
      <c r="B231" s="496" t="s">
        <v>20</v>
      </c>
      <c r="C231" s="489" t="s">
        <v>977</v>
      </c>
      <c r="D231" s="489"/>
      <c r="F231" s="490"/>
      <c r="G231" s="358"/>
      <c r="H231" s="358"/>
      <c r="I231" s="358"/>
      <c r="J231" s="358"/>
      <c r="K231" s="358"/>
      <c r="L231" s="358"/>
      <c r="N231" s="570"/>
      <c r="O231" s="489"/>
      <c r="P231" s="490"/>
    </row>
    <row r="232" spans="1:16" outlineLevel="1">
      <c r="A232" s="496"/>
      <c r="B232" s="496" t="s">
        <v>76</v>
      </c>
      <c r="C232" s="489" t="s">
        <v>786</v>
      </c>
      <c r="D232" s="489"/>
      <c r="F232" s="490"/>
      <c r="G232" s="358"/>
      <c r="H232" s="358"/>
      <c r="I232" s="358"/>
      <c r="J232" s="358"/>
      <c r="K232" s="358"/>
      <c r="L232" s="358"/>
      <c r="N232" s="570"/>
      <c r="O232" s="489"/>
      <c r="P232" s="490"/>
    </row>
    <row r="233" spans="1:16" outlineLevel="1">
      <c r="A233" s="496"/>
      <c r="B233" s="496" t="s">
        <v>25</v>
      </c>
      <c r="C233" s="489" t="s">
        <v>978</v>
      </c>
      <c r="D233" s="489"/>
      <c r="F233" s="490"/>
      <c r="G233" s="358"/>
      <c r="H233" s="358"/>
      <c r="I233" s="358"/>
      <c r="J233" s="358"/>
      <c r="K233" s="358"/>
      <c r="L233" s="358"/>
      <c r="N233" s="570"/>
      <c r="O233" s="489"/>
      <c r="P233" s="490"/>
    </row>
    <row r="234" spans="1:16" outlineLevel="1">
      <c r="A234" s="496"/>
      <c r="B234" s="496" t="s">
        <v>33</v>
      </c>
      <c r="C234" s="489" t="s">
        <v>979</v>
      </c>
      <c r="D234" s="489"/>
      <c r="F234" s="490"/>
      <c r="G234" s="358"/>
      <c r="H234" s="358"/>
      <c r="I234" s="358"/>
      <c r="J234" s="358"/>
      <c r="K234" s="358"/>
      <c r="L234" s="358"/>
      <c r="N234" s="570"/>
      <c r="O234" s="489"/>
      <c r="P234" s="490"/>
    </row>
    <row r="235" spans="1:16" outlineLevel="1">
      <c r="A235" s="496"/>
      <c r="B235" s="496" t="s">
        <v>51</v>
      </c>
      <c r="C235" s="489" t="s">
        <v>980</v>
      </c>
      <c r="D235" s="489"/>
      <c r="F235" s="490"/>
      <c r="G235" s="358"/>
      <c r="H235" s="358"/>
      <c r="I235" s="358"/>
      <c r="J235" s="358"/>
      <c r="K235" s="358"/>
      <c r="L235" s="358"/>
      <c r="N235" s="570"/>
      <c r="O235" s="489"/>
      <c r="P235" s="490"/>
    </row>
    <row r="236" spans="1:16" outlineLevel="1">
      <c r="A236" s="496"/>
      <c r="B236" s="496" t="s">
        <v>52</v>
      </c>
      <c r="C236" s="498" t="s">
        <v>788</v>
      </c>
      <c r="D236" s="489"/>
      <c r="F236" s="490"/>
      <c r="G236" s="358"/>
      <c r="H236" s="358"/>
      <c r="I236" s="358"/>
      <c r="J236" s="358"/>
      <c r="K236" s="358"/>
      <c r="L236" s="358"/>
      <c r="N236" s="570"/>
      <c r="O236" s="489"/>
      <c r="P236" s="490"/>
    </row>
    <row r="237" spans="1:16" outlineLevel="1">
      <c r="A237" s="496"/>
      <c r="B237" s="496" t="s">
        <v>55</v>
      </c>
      <c r="C237" s="489" t="s">
        <v>804</v>
      </c>
      <c r="D237" s="489"/>
      <c r="F237" s="490"/>
      <c r="G237" s="358"/>
      <c r="H237" s="358"/>
      <c r="I237" s="358"/>
      <c r="J237" s="358"/>
      <c r="K237" s="358"/>
      <c r="L237" s="358"/>
      <c r="N237" s="571"/>
      <c r="O237" s="489"/>
      <c r="P237" s="490"/>
    </row>
    <row r="238" spans="1:16" outlineLevel="1">
      <c r="A238" s="496"/>
      <c r="B238" s="496" t="s">
        <v>49</v>
      </c>
      <c r="C238" s="489" t="s">
        <v>789</v>
      </c>
      <c r="D238" s="489"/>
      <c r="F238" s="490"/>
      <c r="G238" s="358"/>
      <c r="H238" s="358"/>
      <c r="I238" s="358"/>
      <c r="J238" s="358"/>
      <c r="K238" s="358"/>
      <c r="L238" s="358"/>
      <c r="N238" s="572"/>
      <c r="O238" s="489"/>
      <c r="P238" s="490"/>
    </row>
    <row r="239" spans="1:16" outlineLevel="1">
      <c r="A239" s="496"/>
      <c r="F239" s="490"/>
      <c r="G239" s="358"/>
      <c r="H239" s="358"/>
      <c r="I239" s="358"/>
      <c r="J239" s="358"/>
      <c r="K239" s="358"/>
      <c r="L239" s="358"/>
      <c r="N239" s="573"/>
      <c r="O239" s="489"/>
      <c r="P239" s="490"/>
    </row>
    <row r="240" spans="1:16" outlineLevel="1">
      <c r="A240" s="496"/>
      <c r="B240" s="498"/>
      <c r="C240" s="490"/>
      <c r="D240" s="490"/>
      <c r="E240" s="490"/>
      <c r="F240" s="490"/>
      <c r="G240" s="358"/>
      <c r="H240" s="358"/>
      <c r="I240" s="358"/>
      <c r="J240" s="358"/>
      <c r="K240" s="358"/>
      <c r="L240" s="358"/>
      <c r="N240" s="573"/>
      <c r="O240" s="489"/>
      <c r="P240" s="490"/>
    </row>
    <row r="241" spans="1:44" outlineLevel="1">
      <c r="A241" s="496"/>
      <c r="B241" s="489"/>
      <c r="C241" s="490"/>
      <c r="D241" s="490"/>
      <c r="E241" s="490"/>
      <c r="F241" s="490"/>
      <c r="G241" s="358"/>
      <c r="H241" s="358"/>
      <c r="I241" s="358"/>
      <c r="J241" s="358"/>
      <c r="K241" s="358"/>
      <c r="L241" s="358"/>
      <c r="N241" s="489"/>
      <c r="O241" s="489"/>
      <c r="P241" s="490"/>
    </row>
    <row r="242" spans="1:44" outlineLevel="1">
      <c r="A242" s="496"/>
      <c r="B242" s="489"/>
      <c r="C242" s="490"/>
      <c r="D242" s="490"/>
      <c r="E242" s="490"/>
      <c r="F242" s="490"/>
      <c r="G242" s="358"/>
      <c r="H242" s="358"/>
      <c r="I242" s="358"/>
      <c r="J242" s="358"/>
      <c r="K242" s="358"/>
      <c r="L242" s="358"/>
      <c r="N242" s="490"/>
      <c r="O242" s="489"/>
      <c r="P242" s="490"/>
    </row>
    <row r="243" spans="1:44" outlineLevel="1">
      <c r="O243" s="490"/>
      <c r="P243" s="490"/>
    </row>
    <row r="244" spans="1:44" outlineLevel="1">
      <c r="O244" s="490"/>
      <c r="P244" s="490"/>
    </row>
    <row r="245" spans="1:44">
      <c r="O245" s="490"/>
      <c r="P245" s="490"/>
    </row>
    <row r="246" spans="1:44">
      <c r="A246" s="360" t="s">
        <v>995</v>
      </c>
      <c r="B246" s="1207"/>
      <c r="C246" s="1143"/>
      <c r="D246" s="1143"/>
      <c r="E246" s="1143"/>
      <c r="F246" s="1143"/>
      <c r="G246" s="1143"/>
      <c r="H246" s="1143"/>
      <c r="I246" s="1143"/>
      <c r="J246" s="1143"/>
      <c r="K246" s="1143"/>
      <c r="L246" s="1143"/>
      <c r="M246" s="1143"/>
      <c r="N246" s="361"/>
    </row>
    <row r="247" spans="1:44" ht="20.55" customHeight="1" outlineLevel="1" thickBot="1">
      <c r="B247" s="1207"/>
      <c r="C247" s="1143"/>
      <c r="D247" s="1143"/>
      <c r="E247" s="1143"/>
      <c r="F247" s="1143"/>
      <c r="G247" s="1143"/>
      <c r="H247" s="1143"/>
      <c r="I247" s="1143"/>
      <c r="J247" s="1143"/>
      <c r="K247" s="1143"/>
      <c r="L247" s="1143"/>
      <c r="M247" s="1143"/>
      <c r="N247" s="361"/>
    </row>
    <row r="248" spans="1:44" ht="15" customHeight="1" outlineLevel="1" thickBot="1">
      <c r="B248" s="362" t="s">
        <v>0</v>
      </c>
      <c r="C248" s="1204" t="s">
        <v>991</v>
      </c>
      <c r="D248" s="1205"/>
      <c r="E248" s="1205"/>
      <c r="F248" s="1205"/>
      <c r="G248" s="1205"/>
      <c r="H248" s="1205"/>
      <c r="I248" s="1205"/>
      <c r="J248" s="1205"/>
      <c r="K248" s="1205"/>
      <c r="L248" s="1206"/>
      <c r="M248" s="363"/>
      <c r="N248" s="363"/>
      <c r="AK248" s="1160" t="s">
        <v>716</v>
      </c>
      <c r="AL248" s="1161"/>
      <c r="AM248" s="1160" t="s">
        <v>717</v>
      </c>
      <c r="AN248" s="1161"/>
      <c r="AO248" s="1160" t="s">
        <v>718</v>
      </c>
      <c r="AP248" s="1161"/>
      <c r="AQ248" s="1170" t="s">
        <v>719</v>
      </c>
      <c r="AR248" s="1171"/>
    </row>
    <row r="249" spans="1:44" ht="15" customHeight="1" outlineLevel="1" thickBot="1">
      <c r="B249" s="1164" t="s">
        <v>4</v>
      </c>
      <c r="C249" s="1166">
        <v>2020</v>
      </c>
      <c r="D249" s="1166">
        <v>2030</v>
      </c>
      <c r="E249" s="1166">
        <v>2040</v>
      </c>
      <c r="F249" s="1166">
        <v>2050</v>
      </c>
      <c r="G249" s="1200" t="s">
        <v>721</v>
      </c>
      <c r="H249" s="1201"/>
      <c r="I249" s="1200" t="s">
        <v>648</v>
      </c>
      <c r="J249" s="1201"/>
      <c r="K249" s="1202" t="s">
        <v>2</v>
      </c>
      <c r="L249" s="1202" t="s">
        <v>3</v>
      </c>
      <c r="M249" s="367"/>
      <c r="N249" s="367"/>
      <c r="P249" s="1143"/>
      <c r="Q249" s="1143"/>
      <c r="R249" s="1143"/>
      <c r="S249" s="1143"/>
      <c r="T249" s="1143"/>
      <c r="U249" s="1143"/>
      <c r="AK249" s="1162"/>
      <c r="AL249" s="1163"/>
      <c r="AM249" s="1162"/>
      <c r="AN249" s="1163"/>
      <c r="AO249" s="1162"/>
      <c r="AP249" s="1163"/>
      <c r="AQ249" s="1172"/>
      <c r="AR249" s="1173"/>
    </row>
    <row r="250" spans="1:44" ht="15" outlineLevel="1" thickBot="1">
      <c r="B250" s="1165"/>
      <c r="C250" s="1167"/>
      <c r="D250" s="1167"/>
      <c r="E250" s="1167"/>
      <c r="F250" s="1167"/>
      <c r="G250" s="499" t="s">
        <v>649</v>
      </c>
      <c r="H250" s="499" t="s">
        <v>650</v>
      </c>
      <c r="I250" s="499" t="s">
        <v>649</v>
      </c>
      <c r="J250" s="499" t="s">
        <v>650</v>
      </c>
      <c r="K250" s="1203"/>
      <c r="L250" s="1203"/>
      <c r="M250" s="370"/>
      <c r="N250" s="370"/>
      <c r="P250" s="1143"/>
      <c r="Q250" s="1143"/>
      <c r="R250" s="1143"/>
      <c r="S250" s="1143"/>
      <c r="T250" s="1143"/>
      <c r="U250" s="1143"/>
      <c r="AK250" s="1162"/>
      <c r="AL250" s="1163"/>
      <c r="AM250" s="1162"/>
      <c r="AN250" s="1163"/>
      <c r="AO250" s="1162"/>
      <c r="AP250" s="1163"/>
      <c r="AQ250" s="1174"/>
      <c r="AR250" s="1175"/>
    </row>
    <row r="251" spans="1:44" ht="14.55" customHeight="1" outlineLevel="1" thickBot="1">
      <c r="B251" s="371" t="s">
        <v>651</v>
      </c>
      <c r="C251" s="372">
        <v>20</v>
      </c>
      <c r="D251" s="372">
        <v>20</v>
      </c>
      <c r="E251" s="372">
        <v>20</v>
      </c>
      <c r="F251" s="372">
        <v>20</v>
      </c>
      <c r="G251" s="372">
        <v>1</v>
      </c>
      <c r="H251" s="372">
        <v>50</v>
      </c>
      <c r="I251" s="372">
        <v>1</v>
      </c>
      <c r="J251" s="372">
        <v>50</v>
      </c>
      <c r="K251" s="372" t="s">
        <v>6</v>
      </c>
      <c r="L251" s="373" t="s">
        <v>725</v>
      </c>
      <c r="M251" s="370"/>
      <c r="N251" s="370"/>
      <c r="P251" s="364" t="s">
        <v>713</v>
      </c>
      <c r="Q251" s="365"/>
      <c r="R251" s="366"/>
      <c r="S251" s="1176" t="s">
        <v>714</v>
      </c>
      <c r="T251" s="1160" t="s">
        <v>715</v>
      </c>
      <c r="U251" s="1161"/>
      <c r="V251" s="1160" t="s">
        <v>716</v>
      </c>
      <c r="W251" s="1161"/>
      <c r="X251" s="1160" t="s">
        <v>717</v>
      </c>
      <c r="Y251" s="1161"/>
      <c r="Z251" s="1160" t="s">
        <v>718</v>
      </c>
      <c r="AA251" s="1161"/>
      <c r="AB251" s="1160" t="s">
        <v>719</v>
      </c>
      <c r="AC251" s="1161"/>
      <c r="AE251" s="364" t="s">
        <v>720</v>
      </c>
      <c r="AF251" s="365"/>
      <c r="AG251" s="366"/>
      <c r="AH251" s="1176" t="s">
        <v>714</v>
      </c>
      <c r="AI251" s="1160" t="s">
        <v>715</v>
      </c>
      <c r="AJ251" s="1161"/>
      <c r="AK251" s="374" t="s">
        <v>726</v>
      </c>
      <c r="AL251" s="375" t="s">
        <v>727</v>
      </c>
      <c r="AM251" s="374" t="s">
        <v>726</v>
      </c>
      <c r="AN251" s="375" t="s">
        <v>727</v>
      </c>
      <c r="AO251" s="374" t="s">
        <v>726</v>
      </c>
      <c r="AP251" s="375" t="s">
        <v>727</v>
      </c>
      <c r="AQ251" s="374" t="s">
        <v>726</v>
      </c>
      <c r="AR251" s="375" t="s">
        <v>727</v>
      </c>
    </row>
    <row r="252" spans="1:44" outlineLevel="1">
      <c r="B252" s="500" t="s">
        <v>728</v>
      </c>
      <c r="C252" s="668">
        <v>116.18960947726835</v>
      </c>
      <c r="D252" s="668">
        <v>116.18960947726835</v>
      </c>
      <c r="E252" s="669">
        <v>116.18960947726835</v>
      </c>
      <c r="F252" s="668">
        <v>116.18960947726835</v>
      </c>
      <c r="G252" s="501">
        <v>88</v>
      </c>
      <c r="H252" s="501">
        <v>117</v>
      </c>
      <c r="I252" s="501">
        <v>88</v>
      </c>
      <c r="J252" s="501">
        <v>117</v>
      </c>
      <c r="K252" s="503" t="s">
        <v>982</v>
      </c>
      <c r="L252" s="504">
        <v>11</v>
      </c>
      <c r="M252" s="370"/>
      <c r="N252" s="370"/>
      <c r="P252" s="1180" t="s">
        <v>0</v>
      </c>
      <c r="Q252" s="368"/>
      <c r="R252" s="368"/>
      <c r="S252" s="1177"/>
      <c r="T252" s="1162"/>
      <c r="U252" s="1163"/>
      <c r="V252" s="1162"/>
      <c r="W252" s="1163"/>
      <c r="X252" s="1162"/>
      <c r="Y252" s="1163"/>
      <c r="Z252" s="1162"/>
      <c r="AA252" s="1163"/>
      <c r="AB252" s="1162"/>
      <c r="AC252" s="1163"/>
      <c r="AE252" s="1180" t="s">
        <v>0</v>
      </c>
      <c r="AF252" s="368"/>
      <c r="AG252" s="368"/>
      <c r="AH252" s="1177"/>
      <c r="AI252" s="1162"/>
      <c r="AJ252" s="1163"/>
      <c r="AK252" s="1157">
        <v>0</v>
      </c>
      <c r="AL252" s="1151">
        <v>0</v>
      </c>
      <c r="AM252" s="1157">
        <v>0</v>
      </c>
      <c r="AN252" s="1151">
        <v>0</v>
      </c>
      <c r="AO252" s="1157">
        <v>0</v>
      </c>
      <c r="AP252" s="1151">
        <v>0</v>
      </c>
      <c r="AQ252" s="1157">
        <v>0</v>
      </c>
      <c r="AR252" s="1151">
        <v>0</v>
      </c>
    </row>
    <row r="253" spans="1:44" outlineLevel="1">
      <c r="B253" s="383" t="s">
        <v>732</v>
      </c>
      <c r="C253" s="577">
        <v>116.18960947726835</v>
      </c>
      <c r="D253" s="577">
        <v>116.18960947726835</v>
      </c>
      <c r="E253" s="577">
        <v>116.18960947726835</v>
      </c>
      <c r="F253" s="577">
        <v>116.18960947726835</v>
      </c>
      <c r="G253" s="505">
        <v>88</v>
      </c>
      <c r="H253" s="505">
        <v>117</v>
      </c>
      <c r="I253" s="505">
        <v>88</v>
      </c>
      <c r="J253" s="505">
        <v>117</v>
      </c>
      <c r="K253" s="372" t="s">
        <v>982</v>
      </c>
      <c r="L253" s="373">
        <v>11</v>
      </c>
      <c r="M253" s="370"/>
      <c r="N253" s="370"/>
      <c r="P253" s="1181"/>
      <c r="Q253" s="1183" t="s">
        <v>722</v>
      </c>
      <c r="R253" s="1184" t="s">
        <v>723</v>
      </c>
      <c r="S253" s="1178"/>
      <c r="T253" s="1162"/>
      <c r="U253" s="1163"/>
      <c r="V253" s="1162"/>
      <c r="W253" s="1163"/>
      <c r="X253" s="1162"/>
      <c r="Y253" s="1163"/>
      <c r="Z253" s="1162"/>
      <c r="AA253" s="1163"/>
      <c r="AB253" s="1162"/>
      <c r="AC253" s="1163"/>
      <c r="AE253" s="1181"/>
      <c r="AF253" s="1197" t="s">
        <v>722</v>
      </c>
      <c r="AG253" s="1184" t="s">
        <v>723</v>
      </c>
      <c r="AH253" s="1178"/>
      <c r="AI253" s="1162"/>
      <c r="AJ253" s="1163"/>
      <c r="AK253" s="1158"/>
      <c r="AL253" s="1152"/>
      <c r="AM253" s="1158"/>
      <c r="AN253" s="1152"/>
      <c r="AO253" s="1158"/>
      <c r="AP253" s="1152"/>
      <c r="AQ253" s="1158"/>
      <c r="AR253" s="1152"/>
    </row>
    <row r="254" spans="1:44" ht="14.55" customHeight="1" outlineLevel="1" thickBot="1">
      <c r="B254" s="500" t="s">
        <v>734</v>
      </c>
      <c r="C254" s="506">
        <v>2.2999999999999998</v>
      </c>
      <c r="D254" s="507">
        <v>2.2999999999999998</v>
      </c>
      <c r="E254" s="507">
        <v>2.2999999999999998</v>
      </c>
      <c r="F254" s="508">
        <v>2.2999999999999998</v>
      </c>
      <c r="G254" s="507">
        <v>2.2000000000000002</v>
      </c>
      <c r="H254" s="507">
        <v>2.5</v>
      </c>
      <c r="I254" s="507">
        <v>1.8</v>
      </c>
      <c r="J254" s="507">
        <v>2.5</v>
      </c>
      <c r="K254" s="503" t="s">
        <v>59</v>
      </c>
      <c r="L254" s="504">
        <v>3</v>
      </c>
      <c r="M254" s="370"/>
      <c r="N254" s="370"/>
      <c r="O254" s="74"/>
      <c r="P254" s="1182"/>
      <c r="Q254" s="1179"/>
      <c r="R254" s="1185"/>
      <c r="S254" s="1179"/>
      <c r="T254" s="374" t="s">
        <v>726</v>
      </c>
      <c r="U254" s="375" t="s">
        <v>727</v>
      </c>
      <c r="V254" s="374" t="s">
        <v>726</v>
      </c>
      <c r="W254" s="375" t="s">
        <v>727</v>
      </c>
      <c r="X254" s="374" t="s">
        <v>726</v>
      </c>
      <c r="Y254" s="375" t="s">
        <v>727</v>
      </c>
      <c r="Z254" s="374" t="s">
        <v>726</v>
      </c>
      <c r="AA254" s="375" t="s">
        <v>727</v>
      </c>
      <c r="AB254" s="374" t="s">
        <v>726</v>
      </c>
      <c r="AC254" s="375" t="s">
        <v>727</v>
      </c>
      <c r="AE254" s="1182"/>
      <c r="AF254" s="1198"/>
      <c r="AG254" s="1185"/>
      <c r="AH254" s="1179"/>
      <c r="AI254" s="374" t="s">
        <v>726</v>
      </c>
      <c r="AJ254" s="375" t="s">
        <v>727</v>
      </c>
      <c r="AK254" s="1159"/>
      <c r="AL254" s="1153"/>
      <c r="AM254" s="1159"/>
      <c r="AN254" s="1153"/>
      <c r="AO254" s="1159"/>
      <c r="AP254" s="1153"/>
      <c r="AQ254" s="1159"/>
      <c r="AR254" s="1153"/>
    </row>
    <row r="255" spans="1:44" outlineLevel="1">
      <c r="B255" s="500" t="s">
        <v>657</v>
      </c>
      <c r="C255" s="687">
        <v>3</v>
      </c>
      <c r="D255" s="687">
        <v>3</v>
      </c>
      <c r="E255" s="687">
        <v>3</v>
      </c>
      <c r="F255" s="687">
        <v>3</v>
      </c>
      <c r="G255" s="687">
        <v>3</v>
      </c>
      <c r="H255" s="687">
        <v>3</v>
      </c>
      <c r="I255" s="687">
        <v>3</v>
      </c>
      <c r="J255" s="687">
        <v>3</v>
      </c>
      <c r="K255" s="503" t="s">
        <v>16</v>
      </c>
      <c r="L255" s="504">
        <v>3</v>
      </c>
      <c r="M255" s="370"/>
      <c r="N255" s="370"/>
      <c r="P255" s="1199" t="str">
        <f>C248</f>
        <v>Hot water boiler, Wood chips (Condensing)</v>
      </c>
      <c r="Q255" s="1154" t="s">
        <v>730</v>
      </c>
      <c r="R255" s="381" t="s">
        <v>731</v>
      </c>
      <c r="S255" s="382"/>
      <c r="T255" s="1137">
        <v>0</v>
      </c>
      <c r="U255" s="1151">
        <v>0</v>
      </c>
      <c r="V255" s="1157">
        <v>0</v>
      </c>
      <c r="W255" s="1151">
        <v>0</v>
      </c>
      <c r="X255" s="1157">
        <v>0</v>
      </c>
      <c r="Y255" s="1151">
        <v>0</v>
      </c>
      <c r="Z255" s="1157">
        <v>0</v>
      </c>
      <c r="AA255" s="1151">
        <v>0</v>
      </c>
      <c r="AB255" s="1157">
        <v>0</v>
      </c>
      <c r="AC255" s="1151">
        <v>0</v>
      </c>
      <c r="AE255" s="1148" t="str">
        <f>P255</f>
        <v>Hot water boiler, Wood chips (Condensing)</v>
      </c>
      <c r="AF255" s="1154" t="s">
        <v>730</v>
      </c>
      <c r="AG255" s="381" t="s">
        <v>731</v>
      </c>
      <c r="AH255" s="382"/>
      <c r="AI255" s="1137">
        <v>0</v>
      </c>
      <c r="AJ255" s="1151">
        <v>0</v>
      </c>
      <c r="AK255" s="1137">
        <v>0</v>
      </c>
      <c r="AL255" s="1137">
        <f>W258/4</f>
        <v>0</v>
      </c>
      <c r="AM255" s="1137">
        <v>0</v>
      </c>
      <c r="AN255" s="1137">
        <f>Y258/4</f>
        <v>0</v>
      </c>
      <c r="AO255" s="1137">
        <v>0</v>
      </c>
      <c r="AP255" s="1137">
        <f>AA258/4</f>
        <v>1.4999999999999999E-2</v>
      </c>
      <c r="AQ255" s="1137">
        <v>0</v>
      </c>
      <c r="AR255" s="1151">
        <f>AC258/4</f>
        <v>0</v>
      </c>
    </row>
    <row r="256" spans="1:44" outlineLevel="1">
      <c r="B256" s="500" t="s">
        <v>658</v>
      </c>
      <c r="C256" s="506">
        <v>3</v>
      </c>
      <c r="D256" s="506">
        <v>3</v>
      </c>
      <c r="E256" s="506">
        <v>3</v>
      </c>
      <c r="F256" s="506">
        <v>3</v>
      </c>
      <c r="G256" s="506">
        <v>2.6</v>
      </c>
      <c r="H256" s="506">
        <v>3.5</v>
      </c>
      <c r="I256" s="506">
        <v>2.2999999999999998</v>
      </c>
      <c r="J256" s="506">
        <v>3.8</v>
      </c>
      <c r="K256" s="503" t="s">
        <v>16</v>
      </c>
      <c r="L256" s="504">
        <v>3</v>
      </c>
      <c r="M256" s="367"/>
      <c r="N256" s="367"/>
      <c r="O256" s="71"/>
      <c r="P256" s="1195"/>
      <c r="Q256" s="1155"/>
      <c r="R256" s="388" t="s">
        <v>733</v>
      </c>
      <c r="S256" s="389"/>
      <c r="T256" s="1140"/>
      <c r="U256" s="1152"/>
      <c r="V256" s="1158"/>
      <c r="W256" s="1152"/>
      <c r="X256" s="1158"/>
      <c r="Y256" s="1152"/>
      <c r="Z256" s="1158"/>
      <c r="AA256" s="1152"/>
      <c r="AB256" s="1158"/>
      <c r="AC256" s="1152"/>
      <c r="AE256" s="1195"/>
      <c r="AF256" s="1155"/>
      <c r="AG256" s="388" t="s">
        <v>733</v>
      </c>
      <c r="AH256" s="389"/>
      <c r="AI256" s="1140"/>
      <c r="AJ256" s="1152"/>
      <c r="AK256" s="1191"/>
      <c r="AL256" s="1191"/>
      <c r="AM256" s="1191"/>
      <c r="AN256" s="1191"/>
      <c r="AO256" s="1191"/>
      <c r="AP256" s="1191"/>
      <c r="AQ256" s="1191"/>
      <c r="AR256" s="1193"/>
    </row>
    <row r="257" spans="1:44" ht="15" outlineLevel="1" thickBot="1">
      <c r="B257" s="383" t="s">
        <v>11</v>
      </c>
      <c r="C257" s="397">
        <v>25</v>
      </c>
      <c r="D257" s="397">
        <v>25</v>
      </c>
      <c r="E257" s="397">
        <v>25</v>
      </c>
      <c r="F257" s="397">
        <v>25</v>
      </c>
      <c r="G257" s="399">
        <v>20</v>
      </c>
      <c r="H257" s="399">
        <v>35</v>
      </c>
      <c r="I257" s="399">
        <v>20</v>
      </c>
      <c r="J257" s="399">
        <v>35</v>
      </c>
      <c r="K257" s="372"/>
      <c r="L257" s="373" t="s">
        <v>740</v>
      </c>
      <c r="M257" s="363"/>
      <c r="N257" s="363"/>
      <c r="O257" s="71"/>
      <c r="P257" s="1195"/>
      <c r="Q257" s="1156"/>
      <c r="R257" s="393" t="s">
        <v>735</v>
      </c>
      <c r="S257" s="394"/>
      <c r="T257" s="1141"/>
      <c r="U257" s="1153"/>
      <c r="V257" s="1159"/>
      <c r="W257" s="1153"/>
      <c r="X257" s="1159"/>
      <c r="Y257" s="1153"/>
      <c r="Z257" s="1159"/>
      <c r="AA257" s="1153"/>
      <c r="AB257" s="1159"/>
      <c r="AC257" s="1153"/>
      <c r="AE257" s="1195"/>
      <c r="AF257" s="1156"/>
      <c r="AG257" s="393" t="s">
        <v>735</v>
      </c>
      <c r="AH257" s="394"/>
      <c r="AI257" s="1141"/>
      <c r="AJ257" s="1153"/>
      <c r="AK257" s="1191"/>
      <c r="AL257" s="1191"/>
      <c r="AM257" s="1191"/>
      <c r="AN257" s="1191"/>
      <c r="AO257" s="1191"/>
      <c r="AP257" s="1191"/>
      <c r="AQ257" s="1191"/>
      <c r="AR257" s="1193"/>
    </row>
    <row r="258" spans="1:44" ht="15" outlineLevel="1" thickBot="1">
      <c r="B258" s="500" t="s">
        <v>273</v>
      </c>
      <c r="C258" s="506">
        <v>1</v>
      </c>
      <c r="D258" s="506">
        <v>1</v>
      </c>
      <c r="E258" s="506">
        <v>1</v>
      </c>
      <c r="F258" s="506">
        <v>1</v>
      </c>
      <c r="G258" s="506">
        <v>0.5</v>
      </c>
      <c r="H258" s="506">
        <v>1.5</v>
      </c>
      <c r="I258" s="506">
        <v>0.5</v>
      </c>
      <c r="J258" s="506">
        <v>1.5</v>
      </c>
      <c r="K258" s="372"/>
      <c r="L258" s="400"/>
      <c r="M258" s="363"/>
      <c r="N258" s="363"/>
      <c r="O258" s="71"/>
      <c r="P258" s="1195"/>
      <c r="Q258" s="1154" t="s">
        <v>736</v>
      </c>
      <c r="R258" s="395" t="s">
        <v>737</v>
      </c>
      <c r="S258" s="396" t="s">
        <v>738</v>
      </c>
      <c r="T258" s="1137">
        <v>0</v>
      </c>
      <c r="U258" s="1137">
        <v>0.17</v>
      </c>
      <c r="V258" s="1137">
        <v>0</v>
      </c>
      <c r="W258" s="1137">
        <v>0</v>
      </c>
      <c r="X258" s="1137">
        <v>0</v>
      </c>
      <c r="Y258" s="1137">
        <v>0</v>
      </c>
      <c r="Z258" s="1137">
        <v>0</v>
      </c>
      <c r="AA258" s="1137">
        <v>0.06</v>
      </c>
      <c r="AB258" s="1137">
        <v>0</v>
      </c>
      <c r="AC258" s="1151">
        <v>0</v>
      </c>
      <c r="AE258" s="1195"/>
      <c r="AF258" s="1154" t="s">
        <v>736</v>
      </c>
      <c r="AG258" s="395" t="s">
        <v>737</v>
      </c>
      <c r="AH258" s="396" t="s">
        <v>738</v>
      </c>
      <c r="AI258" s="1137">
        <v>0</v>
      </c>
      <c r="AJ258" s="1137">
        <f>U258/4</f>
        <v>4.2500000000000003E-2</v>
      </c>
      <c r="AK258" s="1191"/>
      <c r="AL258" s="1191"/>
      <c r="AM258" s="1191"/>
      <c r="AN258" s="1191"/>
      <c r="AO258" s="1191"/>
      <c r="AP258" s="1191"/>
      <c r="AQ258" s="1191"/>
      <c r="AR258" s="1193"/>
    </row>
    <row r="259" spans="1:44" ht="15" outlineLevel="1" thickBot="1">
      <c r="B259" s="401" t="s">
        <v>743</v>
      </c>
      <c r="C259" s="402"/>
      <c r="D259" s="403"/>
      <c r="E259" s="404"/>
      <c r="F259" s="405"/>
      <c r="G259" s="406"/>
      <c r="H259" s="406"/>
      <c r="I259" s="406"/>
      <c r="J259" s="406"/>
      <c r="K259" s="407"/>
      <c r="L259" s="408"/>
      <c r="M259" s="363"/>
      <c r="N259" s="363"/>
      <c r="O259" s="71"/>
      <c r="P259" s="1195"/>
      <c r="Q259" s="1155"/>
      <c r="R259" s="395" t="s">
        <v>739</v>
      </c>
      <c r="S259" s="396" t="s">
        <v>738</v>
      </c>
      <c r="T259" s="1191"/>
      <c r="U259" s="1191"/>
      <c r="V259" s="1191"/>
      <c r="W259" s="1191"/>
      <c r="X259" s="1191"/>
      <c r="Y259" s="1191"/>
      <c r="Z259" s="1191"/>
      <c r="AA259" s="1191"/>
      <c r="AB259" s="1191"/>
      <c r="AC259" s="1193"/>
      <c r="AE259" s="1195"/>
      <c r="AF259" s="1155"/>
      <c r="AG259" s="395" t="s">
        <v>739</v>
      </c>
      <c r="AH259" s="396" t="s">
        <v>738</v>
      </c>
      <c r="AI259" s="1191"/>
      <c r="AJ259" s="1191"/>
      <c r="AK259" s="1192"/>
      <c r="AL259" s="1192"/>
      <c r="AM259" s="1192"/>
      <c r="AN259" s="1192"/>
      <c r="AO259" s="1192"/>
      <c r="AP259" s="1192"/>
      <c r="AQ259" s="1192"/>
      <c r="AR259" s="1194"/>
    </row>
    <row r="260" spans="1:44" ht="15" outlineLevel="1" thickBot="1">
      <c r="B260" s="500" t="s">
        <v>663</v>
      </c>
      <c r="C260" s="506">
        <v>20</v>
      </c>
      <c r="D260" s="506">
        <v>20</v>
      </c>
      <c r="E260" s="506">
        <v>20</v>
      </c>
      <c r="F260" s="506">
        <v>20</v>
      </c>
      <c r="G260" s="507"/>
      <c r="H260" s="507"/>
      <c r="I260" s="507"/>
      <c r="J260" s="507"/>
      <c r="K260" s="503"/>
      <c r="L260" s="504">
        <v>3</v>
      </c>
      <c r="M260" s="363"/>
      <c r="N260" s="363"/>
      <c r="P260" s="1195"/>
      <c r="Q260" s="1155"/>
      <c r="R260" s="395" t="s">
        <v>741</v>
      </c>
      <c r="S260" s="396"/>
      <c r="T260" s="1191"/>
      <c r="U260" s="1191"/>
      <c r="V260" s="1191"/>
      <c r="W260" s="1191"/>
      <c r="X260" s="1191"/>
      <c r="Y260" s="1191"/>
      <c r="Z260" s="1191"/>
      <c r="AA260" s="1191"/>
      <c r="AB260" s="1191"/>
      <c r="AC260" s="1193"/>
      <c r="AE260" s="1195"/>
      <c r="AF260" s="1155"/>
      <c r="AG260" s="395" t="s">
        <v>741</v>
      </c>
      <c r="AH260" s="629" t="s">
        <v>738</v>
      </c>
      <c r="AI260" s="1191"/>
      <c r="AJ260" s="1191"/>
      <c r="AK260" s="416">
        <v>0</v>
      </c>
      <c r="AL260" s="415">
        <v>0</v>
      </c>
      <c r="AM260" s="416">
        <v>0</v>
      </c>
      <c r="AN260" s="415">
        <v>0</v>
      </c>
      <c r="AO260" s="416">
        <v>1</v>
      </c>
      <c r="AP260" s="415">
        <v>1</v>
      </c>
      <c r="AQ260" s="416">
        <v>0</v>
      </c>
      <c r="AR260" s="417">
        <v>0</v>
      </c>
    </row>
    <row r="261" spans="1:44" outlineLevel="1">
      <c r="B261" s="500" t="s">
        <v>664</v>
      </c>
      <c r="C261" s="506">
        <v>0.3</v>
      </c>
      <c r="D261" s="506">
        <v>0.3</v>
      </c>
      <c r="E261" s="506">
        <v>0.3</v>
      </c>
      <c r="F261" s="506">
        <v>0.3</v>
      </c>
      <c r="G261" s="509"/>
      <c r="H261" s="509"/>
      <c r="I261" s="509"/>
      <c r="J261" s="509"/>
      <c r="K261" s="510"/>
      <c r="L261" s="504">
        <v>3</v>
      </c>
      <c r="M261" s="363"/>
      <c r="N261" s="363"/>
      <c r="P261" s="1195"/>
      <c r="Q261" s="1155"/>
      <c r="R261" s="395" t="s">
        <v>742</v>
      </c>
      <c r="S261" s="396" t="s">
        <v>738</v>
      </c>
      <c r="T261" s="1191"/>
      <c r="U261" s="1191"/>
      <c r="V261" s="1191"/>
      <c r="W261" s="1191"/>
      <c r="X261" s="1191"/>
      <c r="Y261" s="1191"/>
      <c r="Z261" s="1191"/>
      <c r="AA261" s="1191"/>
      <c r="AB261" s="1191"/>
      <c r="AC261" s="1193"/>
      <c r="AE261" s="1195"/>
      <c r="AF261" s="1155"/>
      <c r="AG261" s="395" t="s">
        <v>742</v>
      </c>
      <c r="AH261" s="396"/>
      <c r="AI261" s="1191"/>
      <c r="AJ261" s="1191"/>
    </row>
    <row r="262" spans="1:44" ht="15" outlineLevel="1" thickBot="1">
      <c r="B262" s="500" t="s">
        <v>666</v>
      </c>
      <c r="C262" s="506">
        <v>0.5</v>
      </c>
      <c r="D262" s="506">
        <v>0.5</v>
      </c>
      <c r="E262" s="506">
        <v>0.5</v>
      </c>
      <c r="F262" s="506">
        <v>0.5</v>
      </c>
      <c r="G262" s="509"/>
      <c r="H262" s="509"/>
      <c r="I262" s="509"/>
      <c r="J262" s="509"/>
      <c r="K262" s="510"/>
      <c r="L262" s="504">
        <v>3</v>
      </c>
      <c r="M262" s="420"/>
      <c r="N262" s="363"/>
      <c r="P262" s="1195"/>
      <c r="Q262" s="1156"/>
      <c r="R262" s="409" t="s">
        <v>863</v>
      </c>
      <c r="S262" s="410" t="s">
        <v>738</v>
      </c>
      <c r="T262" s="1192"/>
      <c r="U262" s="1192"/>
      <c r="V262" s="1192"/>
      <c r="W262" s="1192"/>
      <c r="X262" s="1192"/>
      <c r="Y262" s="1192"/>
      <c r="Z262" s="1192"/>
      <c r="AA262" s="1192"/>
      <c r="AB262" s="1192"/>
      <c r="AC262" s="1194"/>
      <c r="AE262" s="1195"/>
      <c r="AF262" s="1156"/>
      <c r="AG262" s="409" t="s">
        <v>863</v>
      </c>
      <c r="AH262" s="410" t="s">
        <v>738</v>
      </c>
      <c r="AI262" s="1192"/>
      <c r="AJ262" s="1192"/>
    </row>
    <row r="263" spans="1:44" ht="29.4" outlineLevel="1" thickBot="1">
      <c r="B263" s="421" t="s">
        <v>12</v>
      </c>
      <c r="C263" s="399"/>
      <c r="D263" s="399"/>
      <c r="E263" s="399"/>
      <c r="F263" s="399"/>
      <c r="G263" s="422"/>
      <c r="H263" s="422"/>
      <c r="I263" s="422"/>
      <c r="J263" s="422"/>
      <c r="K263" s="423"/>
      <c r="L263" s="424"/>
      <c r="M263" s="420"/>
      <c r="N263" s="420"/>
      <c r="P263" s="1196"/>
      <c r="Q263" s="411" t="s">
        <v>745</v>
      </c>
      <c r="R263" s="412" t="s">
        <v>746</v>
      </c>
      <c r="S263" s="630" t="s">
        <v>738</v>
      </c>
      <c r="T263" s="416">
        <v>1</v>
      </c>
      <c r="U263" s="415">
        <v>1</v>
      </c>
      <c r="V263" s="416">
        <v>0</v>
      </c>
      <c r="W263" s="415">
        <v>0</v>
      </c>
      <c r="X263" s="416">
        <v>0</v>
      </c>
      <c r="Y263" s="415">
        <v>0</v>
      </c>
      <c r="Z263" s="416">
        <v>1</v>
      </c>
      <c r="AA263" s="415">
        <v>1</v>
      </c>
      <c r="AB263" s="416">
        <v>0</v>
      </c>
      <c r="AC263" s="417">
        <v>0</v>
      </c>
      <c r="AE263" s="1196"/>
      <c r="AF263" s="411" t="s">
        <v>745</v>
      </c>
      <c r="AG263" s="631" t="s">
        <v>746</v>
      </c>
      <c r="AH263" s="632" t="s">
        <v>738</v>
      </c>
      <c r="AI263" s="416">
        <v>1</v>
      </c>
      <c r="AJ263" s="415">
        <v>1</v>
      </c>
    </row>
    <row r="264" spans="1:44" outlineLevel="1">
      <c r="B264" s="383" t="s">
        <v>843</v>
      </c>
      <c r="C264" s="397">
        <v>11</v>
      </c>
      <c r="D264" s="397">
        <v>11</v>
      </c>
      <c r="E264" s="397">
        <v>11</v>
      </c>
      <c r="F264" s="397">
        <v>11</v>
      </c>
      <c r="G264" s="422"/>
      <c r="H264" s="425"/>
      <c r="I264" s="425"/>
      <c r="J264" s="425"/>
      <c r="K264" s="426" t="s">
        <v>20</v>
      </c>
      <c r="L264" s="427" t="s">
        <v>748</v>
      </c>
      <c r="M264" s="428"/>
      <c r="N264" s="428"/>
    </row>
    <row r="265" spans="1:44" outlineLevel="1">
      <c r="B265" s="383" t="s">
        <v>749</v>
      </c>
      <c r="C265" s="397">
        <v>10</v>
      </c>
      <c r="D265" s="397">
        <v>10</v>
      </c>
      <c r="E265" s="397">
        <v>10</v>
      </c>
      <c r="F265" s="397">
        <v>10</v>
      </c>
      <c r="G265" s="425"/>
      <c r="H265" s="425"/>
      <c r="I265" s="425"/>
      <c r="J265" s="425"/>
      <c r="K265" s="423"/>
      <c r="L265" s="427">
        <v>9</v>
      </c>
      <c r="M265" s="428"/>
      <c r="N265" s="428"/>
    </row>
    <row r="266" spans="1:44" outlineLevel="1">
      <c r="B266" s="383" t="s">
        <v>844</v>
      </c>
      <c r="C266" s="397">
        <v>63</v>
      </c>
      <c r="D266" s="397">
        <v>49</v>
      </c>
      <c r="E266" s="397">
        <v>46</v>
      </c>
      <c r="F266" s="397">
        <v>41</v>
      </c>
      <c r="G266" s="425"/>
      <c r="H266" s="425"/>
      <c r="I266" s="425"/>
      <c r="J266" s="425"/>
      <c r="K266" s="423"/>
      <c r="L266" s="427" t="s">
        <v>748</v>
      </c>
      <c r="M266" s="428"/>
      <c r="N266" s="428"/>
    </row>
    <row r="267" spans="1:44" outlineLevel="1">
      <c r="B267" s="383" t="s">
        <v>366</v>
      </c>
      <c r="C267" s="397">
        <v>11</v>
      </c>
      <c r="D267" s="397">
        <v>8</v>
      </c>
      <c r="E267" s="397">
        <v>6</v>
      </c>
      <c r="F267" s="397">
        <v>4</v>
      </c>
      <c r="G267" s="425"/>
      <c r="H267" s="425"/>
      <c r="I267" s="425"/>
      <c r="J267" s="425"/>
      <c r="K267" s="423"/>
      <c r="L267" s="427" t="s">
        <v>748</v>
      </c>
      <c r="M267" s="428"/>
      <c r="N267" s="428"/>
    </row>
    <row r="268" spans="1:44" ht="15" outlineLevel="1" thickBot="1">
      <c r="B268" s="429" t="s">
        <v>367</v>
      </c>
      <c r="C268" s="626">
        <v>3</v>
      </c>
      <c r="D268" s="626">
        <v>3</v>
      </c>
      <c r="E268" s="626">
        <v>1</v>
      </c>
      <c r="F268" s="626">
        <v>1</v>
      </c>
      <c r="G268" s="425"/>
      <c r="H268" s="425"/>
      <c r="I268" s="425"/>
      <c r="J268" s="425"/>
      <c r="K268" s="423"/>
      <c r="L268" s="427" t="s">
        <v>748</v>
      </c>
      <c r="M268" s="428"/>
      <c r="N268" s="428"/>
    </row>
    <row r="269" spans="1:44" ht="15" outlineLevel="1" thickBot="1">
      <c r="B269" s="431" t="s">
        <v>674</v>
      </c>
      <c r="C269" s="432"/>
      <c r="D269" s="403"/>
      <c r="E269" s="403"/>
      <c r="F269" s="433"/>
      <c r="G269" s="434"/>
      <c r="H269" s="406"/>
      <c r="I269" s="406"/>
      <c r="J269" s="406"/>
      <c r="K269" s="407"/>
      <c r="L269" s="408"/>
      <c r="M269" s="428"/>
      <c r="N269" s="428"/>
    </row>
    <row r="270" spans="1:44" ht="26.4" outlineLevel="1">
      <c r="A270" s="435"/>
      <c r="B270" s="436" t="s">
        <v>910</v>
      </c>
      <c r="C270" s="551">
        <f>0.68</f>
        <v>0.68</v>
      </c>
      <c r="D270" s="647">
        <f>0.65</f>
        <v>0.65</v>
      </c>
      <c r="E270" s="647">
        <f>0.62</f>
        <v>0.62</v>
      </c>
      <c r="F270" s="648">
        <f>0.59</f>
        <v>0.59</v>
      </c>
      <c r="G270" s="425"/>
      <c r="H270" s="425"/>
      <c r="I270" s="425"/>
      <c r="J270" s="425"/>
      <c r="K270" s="426" t="s">
        <v>992</v>
      </c>
      <c r="L270" s="440" t="s">
        <v>753</v>
      </c>
      <c r="M270" s="420"/>
      <c r="N270" s="420"/>
    </row>
    <row r="271" spans="1:44" outlineLevel="1">
      <c r="B271" s="441" t="s">
        <v>839</v>
      </c>
      <c r="C271" s="442">
        <v>65</v>
      </c>
      <c r="D271" s="442">
        <v>65</v>
      </c>
      <c r="E271" s="442">
        <v>65</v>
      </c>
      <c r="F271" s="442">
        <v>65</v>
      </c>
      <c r="G271" s="425"/>
      <c r="H271" s="425"/>
      <c r="I271" s="425"/>
      <c r="J271" s="425"/>
      <c r="K271" s="444"/>
      <c r="L271" s="373">
        <v>3</v>
      </c>
      <c r="M271" s="71"/>
      <c r="N271" s="420"/>
    </row>
    <row r="272" spans="1:44" outlineLevel="1">
      <c r="B272" s="441" t="s">
        <v>840</v>
      </c>
      <c r="C272" s="442">
        <f>100-C271</f>
        <v>35</v>
      </c>
      <c r="D272" s="442">
        <f>100-D271</f>
        <v>35</v>
      </c>
      <c r="E272" s="442">
        <f>100-E271</f>
        <v>35</v>
      </c>
      <c r="F272" s="442">
        <f>100-F271</f>
        <v>35</v>
      </c>
      <c r="G272" s="425"/>
      <c r="H272" s="425"/>
      <c r="I272" s="425"/>
      <c r="J272" s="425"/>
      <c r="K272" s="444"/>
      <c r="L272" s="373">
        <v>3</v>
      </c>
      <c r="M272" s="420"/>
      <c r="N272" s="420"/>
    </row>
    <row r="273" spans="2:30" outlineLevel="1">
      <c r="B273" s="383" t="s">
        <v>841</v>
      </c>
      <c r="C273" s="445">
        <v>37000</v>
      </c>
      <c r="D273" s="446">
        <v>35900</v>
      </c>
      <c r="E273" s="446">
        <f>(F273+D273)/2</f>
        <v>34800</v>
      </c>
      <c r="F273" s="447">
        <v>33700</v>
      </c>
      <c r="G273" s="425"/>
      <c r="H273" s="425"/>
      <c r="I273" s="425"/>
      <c r="J273" s="425"/>
      <c r="K273" s="448" t="s">
        <v>33</v>
      </c>
      <c r="L273" s="373">
        <v>3</v>
      </c>
      <c r="M273" s="420"/>
      <c r="N273" s="420"/>
    </row>
    <row r="274" spans="2:30" outlineLevel="1">
      <c r="B274" s="383" t="s">
        <v>679</v>
      </c>
      <c r="C274" s="449">
        <f>C275+C276</f>
        <v>2.7789999999999999</v>
      </c>
      <c r="D274" s="449">
        <f t="shared" ref="D274:F274" si="29">D275+D276</f>
        <v>2.8250000000000002</v>
      </c>
      <c r="E274" s="449">
        <f t="shared" si="29"/>
        <v>2.8479999999999999</v>
      </c>
      <c r="F274" s="449">
        <f t="shared" si="29"/>
        <v>2.8479999999999999</v>
      </c>
      <c r="G274" s="425"/>
      <c r="H274" s="425"/>
      <c r="I274" s="425"/>
      <c r="J274" s="425"/>
      <c r="K274" s="448"/>
      <c r="L274" s="373">
        <v>3</v>
      </c>
      <c r="M274" s="450"/>
      <c r="N274" s="361"/>
    </row>
    <row r="275" spans="2:30" outlineLevel="1">
      <c r="B275" s="500" t="s">
        <v>758</v>
      </c>
      <c r="C275" s="514">
        <f>C254/100*73</f>
        <v>1.679</v>
      </c>
      <c r="D275" s="514">
        <f>D254/100*75</f>
        <v>1.7249999999999999</v>
      </c>
      <c r="E275" s="514">
        <f>E254/100*76</f>
        <v>1.748</v>
      </c>
      <c r="F275" s="514">
        <f>F254/100*76</f>
        <v>1.748</v>
      </c>
      <c r="G275" s="515"/>
      <c r="H275" s="515"/>
      <c r="I275" s="515"/>
      <c r="J275" s="515"/>
      <c r="K275" s="503" t="s">
        <v>51</v>
      </c>
      <c r="L275" s="504">
        <v>3</v>
      </c>
      <c r="M275" s="450"/>
      <c r="N275" s="361"/>
    </row>
    <row r="276" spans="2:30" outlineLevel="1">
      <c r="B276" s="500" t="s">
        <v>759</v>
      </c>
      <c r="C276" s="516">
        <v>1.1000000000000001</v>
      </c>
      <c r="D276" s="516">
        <v>1.1000000000000001</v>
      </c>
      <c r="E276" s="516">
        <v>1.1000000000000001</v>
      </c>
      <c r="F276" s="516">
        <v>1.1000000000000001</v>
      </c>
      <c r="G276" s="515"/>
      <c r="H276" s="515"/>
      <c r="I276" s="515"/>
      <c r="J276" s="515"/>
      <c r="K276" s="517"/>
      <c r="L276" s="504">
        <v>3</v>
      </c>
      <c r="M276" s="363"/>
      <c r="N276" s="363"/>
    </row>
    <row r="277" spans="2:30" outlineLevel="1">
      <c r="B277" s="441"/>
      <c r="C277" s="681"/>
      <c r="D277" s="681"/>
      <c r="E277" s="681"/>
      <c r="F277" s="681"/>
      <c r="G277" s="425"/>
      <c r="H277" s="425"/>
      <c r="I277" s="425"/>
      <c r="J277" s="425"/>
      <c r="K277" s="444"/>
      <c r="L277" s="424"/>
      <c r="M277" s="367"/>
      <c r="N277" s="367"/>
      <c r="P277" s="1142">
        <f>C274</f>
        <v>2.7789999999999999</v>
      </c>
      <c r="Q277" s="1143"/>
      <c r="R277" s="1143"/>
      <c r="S277" s="1143"/>
      <c r="T277" s="1143"/>
      <c r="U277" s="1144"/>
    </row>
    <row r="278" spans="2:30" ht="15" outlineLevel="1" thickBot="1">
      <c r="B278" s="519"/>
      <c r="C278" s="442"/>
      <c r="D278" s="520"/>
      <c r="E278" s="520"/>
      <c r="F278" s="521"/>
      <c r="G278" s="425"/>
      <c r="H278" s="425"/>
      <c r="I278" s="425"/>
      <c r="J278" s="425"/>
      <c r="K278" s="448"/>
      <c r="L278" s="424"/>
      <c r="M278" s="363"/>
      <c r="N278" s="363"/>
      <c r="P278" s="1134">
        <f>C275</f>
        <v>1.679</v>
      </c>
      <c r="Q278" s="1135"/>
      <c r="R278" s="1135"/>
      <c r="S278" s="1135"/>
      <c r="T278" s="1135"/>
      <c r="U278" s="1136"/>
    </row>
    <row r="279" spans="2:30" ht="15" outlineLevel="1" thickBot="1">
      <c r="B279" s="401" t="s">
        <v>682</v>
      </c>
      <c r="C279" s="402"/>
      <c r="D279" s="403"/>
      <c r="E279" s="404"/>
      <c r="F279" s="405"/>
      <c r="G279" s="406"/>
      <c r="H279" s="406"/>
      <c r="I279" s="406"/>
      <c r="J279" s="406"/>
      <c r="K279" s="459"/>
      <c r="L279" s="460"/>
      <c r="M279" s="363"/>
      <c r="N279" s="363"/>
      <c r="P279" s="53" t="s">
        <v>357</v>
      </c>
    </row>
    <row r="280" spans="2:30" ht="27.6" outlineLevel="1">
      <c r="B280" s="522" t="s">
        <v>762</v>
      </c>
      <c r="C280" s="670">
        <v>3.5000000000000003E-2</v>
      </c>
      <c r="D280" s="670">
        <v>0.03</v>
      </c>
      <c r="E280" s="670">
        <v>0.03</v>
      </c>
      <c r="F280" s="670">
        <v>0.03</v>
      </c>
      <c r="G280" s="524"/>
      <c r="H280" s="524"/>
      <c r="I280" s="524"/>
      <c r="J280" s="524"/>
      <c r="K280" s="524" t="s">
        <v>52</v>
      </c>
      <c r="L280" s="525"/>
      <c r="M280" s="363"/>
      <c r="N280" s="363"/>
      <c r="P280" s="46" t="s">
        <v>335</v>
      </c>
      <c r="Q280" s="46" t="s">
        <v>336</v>
      </c>
      <c r="R280" s="47" t="s">
        <v>337</v>
      </c>
      <c r="S280" s="47" t="s">
        <v>338</v>
      </c>
      <c r="T280" s="47" t="s">
        <v>339</v>
      </c>
      <c r="U280" s="48" t="s">
        <v>340</v>
      </c>
      <c r="V280" s="49" t="s">
        <v>341</v>
      </c>
      <c r="W280" s="49" t="s">
        <v>342</v>
      </c>
      <c r="X280" s="49" t="s">
        <v>343</v>
      </c>
      <c r="Y280" s="49" t="s">
        <v>344</v>
      </c>
      <c r="Z280" s="49" t="s">
        <v>345</v>
      </c>
      <c r="AA280" s="49" t="s">
        <v>346</v>
      </c>
      <c r="AB280" s="49" t="s">
        <v>347</v>
      </c>
      <c r="AC280" s="49" t="s">
        <v>348</v>
      </c>
      <c r="AD280" s="49" t="s">
        <v>349</v>
      </c>
    </row>
    <row r="281" spans="2:30" ht="15" outlineLevel="1" thickBot="1">
      <c r="B281" s="500" t="s">
        <v>763</v>
      </c>
      <c r="C281" s="526" t="s">
        <v>36</v>
      </c>
      <c r="D281" s="527" t="s">
        <v>36</v>
      </c>
      <c r="E281" s="527" t="s">
        <v>36</v>
      </c>
      <c r="F281" s="528" t="s">
        <v>36</v>
      </c>
      <c r="G281" s="528"/>
      <c r="H281" s="528"/>
      <c r="I281" s="528"/>
      <c r="J281" s="528"/>
      <c r="K281" s="529" t="s">
        <v>55</v>
      </c>
      <c r="L281" s="525"/>
      <c r="M281" s="363"/>
      <c r="N281" s="363"/>
      <c r="P281" s="50"/>
      <c r="Q281" s="50"/>
      <c r="R281" s="51"/>
      <c r="S281" s="51"/>
      <c r="T281" s="51"/>
      <c r="U281" s="51" t="s">
        <v>760</v>
      </c>
      <c r="V281" s="50" t="s">
        <v>761</v>
      </c>
      <c r="W281" s="50"/>
      <c r="X281" s="50"/>
      <c r="Y281" s="50"/>
      <c r="Z281" s="50"/>
      <c r="AA281" s="50"/>
      <c r="AB281" s="50"/>
      <c r="AC281" s="50"/>
      <c r="AD281" s="50"/>
    </row>
    <row r="282" spans="2:30" ht="43.2" outlineLevel="1">
      <c r="B282" s="500" t="s">
        <v>764</v>
      </c>
      <c r="C282" s="526" t="s">
        <v>36</v>
      </c>
      <c r="D282" s="527" t="s">
        <v>36</v>
      </c>
      <c r="E282" s="527" t="s">
        <v>36</v>
      </c>
      <c r="F282" s="528" t="s">
        <v>36</v>
      </c>
      <c r="G282" s="515"/>
      <c r="H282" s="515"/>
      <c r="I282" s="515"/>
      <c r="J282" s="515"/>
      <c r="K282" s="515"/>
      <c r="L282" s="504"/>
      <c r="M282" s="363"/>
      <c r="N282" s="363"/>
      <c r="O282" s="461" t="s">
        <v>732</v>
      </c>
      <c r="P282" s="56"/>
      <c r="Q282" s="56"/>
      <c r="R282" s="57"/>
      <c r="S282" s="57"/>
      <c r="T282" s="57"/>
      <c r="U282" s="56" t="s">
        <v>350</v>
      </c>
      <c r="V282" s="56" t="s">
        <v>326</v>
      </c>
      <c r="W282" s="56" t="s">
        <v>327</v>
      </c>
      <c r="X282" s="56" t="s">
        <v>351</v>
      </c>
      <c r="Y282" s="56" t="s">
        <v>351</v>
      </c>
      <c r="Z282" s="56" t="s">
        <v>352</v>
      </c>
      <c r="AA282" s="56" t="s">
        <v>352</v>
      </c>
      <c r="AB282" s="56" t="s">
        <v>352</v>
      </c>
      <c r="AC282" s="56" t="s">
        <v>352</v>
      </c>
      <c r="AD282" s="56" t="s">
        <v>352</v>
      </c>
    </row>
    <row r="283" spans="2:30" outlineLevel="1">
      <c r="B283" s="500" t="s">
        <v>765</v>
      </c>
      <c r="C283" s="685">
        <v>90</v>
      </c>
      <c r="D283" s="530">
        <v>90</v>
      </c>
      <c r="E283" s="530">
        <v>90</v>
      </c>
      <c r="F283" s="530">
        <v>90</v>
      </c>
      <c r="G283" s="531"/>
      <c r="H283" s="531"/>
      <c r="I283" s="531"/>
      <c r="J283" s="531"/>
      <c r="K283" s="531"/>
      <c r="L283" s="504">
        <v>3</v>
      </c>
      <c r="M283" s="363"/>
      <c r="N283" s="363"/>
      <c r="O283" s="465">
        <f>C253</f>
        <v>116.18960947726835</v>
      </c>
      <c r="P283" s="466">
        <f>C249</f>
        <v>2020</v>
      </c>
      <c r="Q283" s="58">
        <f>P283</f>
        <v>2020</v>
      </c>
      <c r="R283" s="466">
        <f>O283/100</f>
        <v>1.1618960947726835</v>
      </c>
      <c r="S283" s="58"/>
      <c r="T283" s="466">
        <f>C257</f>
        <v>25</v>
      </c>
      <c r="U283" s="467">
        <f>C287</f>
        <v>5066.0000000000009</v>
      </c>
      <c r="V283" s="467">
        <f>C289</f>
        <v>275.64999999999998</v>
      </c>
      <c r="W283" s="467">
        <f>C290</f>
        <v>5.7509861111111107</v>
      </c>
      <c r="X283" s="58"/>
      <c r="Y283" s="58"/>
      <c r="Z283" s="466">
        <f>C264</f>
        <v>11</v>
      </c>
      <c r="AA283" s="468">
        <f>C266</f>
        <v>63</v>
      </c>
      <c r="AB283" s="468">
        <f>C267</f>
        <v>11</v>
      </c>
      <c r="AC283" s="468">
        <f>C268</f>
        <v>3</v>
      </c>
      <c r="AD283" s="468">
        <f>C265</f>
        <v>10</v>
      </c>
    </row>
    <row r="284" spans="2:30" outlineLevel="1">
      <c r="B284" s="532" t="s">
        <v>766</v>
      </c>
      <c r="C284" s="526"/>
      <c r="D284" s="527"/>
      <c r="E284" s="527"/>
      <c r="F284" s="528"/>
      <c r="G284" s="531"/>
      <c r="H284" s="531"/>
      <c r="I284" s="531"/>
      <c r="J284" s="531"/>
      <c r="K284" s="531"/>
      <c r="L284" s="533"/>
      <c r="M284" s="367"/>
      <c r="N284" s="367"/>
      <c r="O284" s="465">
        <f>D253</f>
        <v>116.18960947726835</v>
      </c>
      <c r="P284" s="466">
        <f>D249</f>
        <v>2030</v>
      </c>
      <c r="Q284" s="58"/>
      <c r="R284" s="466">
        <f>O284/100</f>
        <v>1.1618960947726835</v>
      </c>
      <c r="S284" s="58"/>
      <c r="T284" s="466">
        <f>D257</f>
        <v>25</v>
      </c>
      <c r="U284" s="467">
        <f>D287</f>
        <v>4842.5</v>
      </c>
      <c r="V284" s="467">
        <f>D289</f>
        <v>267.45499999999998</v>
      </c>
      <c r="W284" s="467">
        <f>D290</f>
        <v>5.8461805555555557</v>
      </c>
      <c r="X284" s="58"/>
      <c r="Y284" s="58"/>
      <c r="Z284" s="466">
        <f>D264</f>
        <v>11</v>
      </c>
      <c r="AA284" s="468">
        <f>D266</f>
        <v>49</v>
      </c>
      <c r="AB284" s="468">
        <f>D267</f>
        <v>8</v>
      </c>
      <c r="AC284" s="468">
        <f>D268</f>
        <v>3</v>
      </c>
      <c r="AD284" s="468">
        <f>D265</f>
        <v>10</v>
      </c>
    </row>
    <row r="285" spans="2:30" outlineLevel="1">
      <c r="B285" s="532" t="s">
        <v>767</v>
      </c>
      <c r="C285" s="526"/>
      <c r="D285" s="527"/>
      <c r="E285" s="527"/>
      <c r="F285" s="528"/>
      <c r="G285" s="531"/>
      <c r="H285" s="531"/>
      <c r="I285" s="531"/>
      <c r="J285" s="531"/>
      <c r="K285" s="531"/>
      <c r="L285" s="533"/>
      <c r="M285" s="363"/>
      <c r="N285" s="363"/>
      <c r="O285" s="465">
        <f>E253</f>
        <v>116.18960947726835</v>
      </c>
      <c r="P285" s="466">
        <f>E249</f>
        <v>2040</v>
      </c>
      <c r="Q285" s="58"/>
      <c r="R285" s="466">
        <f>O285/100</f>
        <v>1.1618960947726835</v>
      </c>
      <c r="S285" s="58"/>
      <c r="T285" s="466">
        <f>E257</f>
        <v>25</v>
      </c>
      <c r="U285" s="467">
        <f>E287</f>
        <v>4619</v>
      </c>
      <c r="V285" s="467">
        <f>E289</f>
        <v>259.26</v>
      </c>
      <c r="W285" s="467">
        <f>E290</f>
        <v>5.8937777777777782</v>
      </c>
      <c r="X285" s="58"/>
      <c r="Y285" s="58"/>
      <c r="Z285" s="466">
        <f>E264</f>
        <v>11</v>
      </c>
      <c r="AA285" s="468">
        <f>E266</f>
        <v>46</v>
      </c>
      <c r="AB285" s="468">
        <f>E267</f>
        <v>6</v>
      </c>
      <c r="AC285" s="468">
        <f>E268</f>
        <v>1</v>
      </c>
      <c r="AD285" s="468">
        <f>E265</f>
        <v>10</v>
      </c>
    </row>
    <row r="286" spans="2:30" ht="15" outlineLevel="1" thickBot="1">
      <c r="B286" s="534" t="s">
        <v>768</v>
      </c>
      <c r="C286" s="535"/>
      <c r="D286" s="536"/>
      <c r="E286" s="536"/>
      <c r="F286" s="537"/>
      <c r="G286" s="538"/>
      <c r="H286" s="538"/>
      <c r="I286" s="538"/>
      <c r="J286" s="538"/>
      <c r="K286" s="538"/>
      <c r="L286" s="539"/>
      <c r="M286" s="363"/>
      <c r="N286" s="363"/>
      <c r="O286" s="465">
        <f>F253</f>
        <v>116.18960947726835</v>
      </c>
      <c r="P286" s="466">
        <f>F249</f>
        <v>2050</v>
      </c>
      <c r="Q286" s="58"/>
      <c r="R286" s="466">
        <f>O286/100</f>
        <v>1.1618960947726835</v>
      </c>
      <c r="S286" s="58"/>
      <c r="T286" s="466">
        <f>F257</f>
        <v>25</v>
      </c>
      <c r="U286" s="467">
        <f>F287</f>
        <v>4395.5</v>
      </c>
      <c r="V286" s="467">
        <f>F289</f>
        <v>251.065</v>
      </c>
      <c r="W286" s="467">
        <f>F290</f>
        <v>5.8937777777777782</v>
      </c>
      <c r="X286" s="58"/>
      <c r="Y286" s="58"/>
      <c r="Z286" s="466">
        <f>F264</f>
        <v>11</v>
      </c>
      <c r="AA286" s="468">
        <f>F266</f>
        <v>41</v>
      </c>
      <c r="AB286" s="468">
        <f>F267</f>
        <v>4</v>
      </c>
      <c r="AC286" s="468">
        <f>F268</f>
        <v>1</v>
      </c>
      <c r="AD286" s="468">
        <f>F265</f>
        <v>10</v>
      </c>
    </row>
    <row r="287" spans="2:30" ht="57.6" outlineLevel="1">
      <c r="B287" s="461" t="s">
        <v>769</v>
      </c>
      <c r="C287" s="483">
        <f>C270*$F$4*1000</f>
        <v>5066.0000000000009</v>
      </c>
      <c r="D287" s="483">
        <f t="shared" ref="D287:F287" si="30">D270*$F$4*1000</f>
        <v>4842.5</v>
      </c>
      <c r="E287" s="483">
        <f t="shared" si="30"/>
        <v>4619</v>
      </c>
      <c r="F287" s="483">
        <f t="shared" si="30"/>
        <v>4395.5</v>
      </c>
      <c r="G287" s="483"/>
      <c r="H287" s="484"/>
      <c r="I287" s="420" t="s">
        <v>332</v>
      </c>
      <c r="J287" s="420"/>
      <c r="K287" s="484"/>
      <c r="L287" s="484"/>
      <c r="N287" s="420"/>
    </row>
    <row r="288" spans="2:30" outlineLevel="1">
      <c r="B288" s="485" t="s">
        <v>770</v>
      </c>
      <c r="C288" s="486">
        <f>C287*$I288</f>
        <v>2533000.0000000005</v>
      </c>
      <c r="D288" s="486">
        <f>D287*$I288</f>
        <v>2421250</v>
      </c>
      <c r="E288" s="486">
        <f>E287*$I288</f>
        <v>2309500</v>
      </c>
      <c r="F288" s="486">
        <f>F287*$I288</f>
        <v>2197750</v>
      </c>
      <c r="G288" s="486"/>
      <c r="H288" s="484"/>
      <c r="I288" s="71">
        <v>500</v>
      </c>
      <c r="J288" s="420" t="s">
        <v>330</v>
      </c>
      <c r="K288" s="484"/>
      <c r="L288" s="484"/>
      <c r="N288" s="420"/>
    </row>
    <row r="289" spans="1:15" ht="43.2" outlineLevel="1">
      <c r="B289" s="461" t="s">
        <v>845</v>
      </c>
      <c r="C289" s="359">
        <f>C273*$F$4/1000</f>
        <v>275.64999999999998</v>
      </c>
      <c r="D289" s="359">
        <f t="shared" ref="D289:F289" si="31">D273*$F$4/1000</f>
        <v>267.45499999999998</v>
      </c>
      <c r="E289" s="359">
        <f t="shared" si="31"/>
        <v>259.26</v>
      </c>
      <c r="F289" s="359">
        <f t="shared" si="31"/>
        <v>251.065</v>
      </c>
      <c r="G289" s="359"/>
      <c r="I289" s="420" t="s">
        <v>333</v>
      </c>
      <c r="J289" s="420"/>
      <c r="N289" s="420"/>
    </row>
    <row r="290" spans="1:15" ht="43.2" outlineLevel="1">
      <c r="B290" s="461" t="s">
        <v>846</v>
      </c>
      <c r="C290" s="487">
        <f>C274*$F$4/3.6</f>
        <v>5.7509861111111107</v>
      </c>
      <c r="D290" s="487">
        <f t="shared" ref="D290:F290" si="32">D274*$F$4/3.6</f>
        <v>5.8461805555555557</v>
      </c>
      <c r="E290" s="487">
        <f t="shared" si="32"/>
        <v>5.8937777777777782</v>
      </c>
      <c r="F290" s="487">
        <f t="shared" si="32"/>
        <v>5.8937777777777782</v>
      </c>
      <c r="G290" s="359"/>
      <c r="M290" s="420"/>
      <c r="N290" s="420"/>
    </row>
    <row r="291" spans="1:15" outlineLevel="1">
      <c r="A291" s="488"/>
      <c r="B291" s="489"/>
      <c r="D291" s="490"/>
      <c r="E291" s="490"/>
      <c r="F291" s="490"/>
      <c r="G291" s="358"/>
      <c r="H291" s="358"/>
      <c r="I291" s="358"/>
      <c r="J291" s="358"/>
      <c r="K291" s="358"/>
      <c r="L291" s="358"/>
    </row>
    <row r="292" spans="1:15" outlineLevel="1">
      <c r="A292" s="491"/>
      <c r="B292" s="492"/>
      <c r="D292" s="490"/>
      <c r="E292" s="490"/>
      <c r="F292" s="490"/>
      <c r="G292" s="358"/>
      <c r="H292" s="358"/>
      <c r="I292" s="358"/>
      <c r="J292" s="358"/>
      <c r="K292" s="358"/>
      <c r="L292" s="358"/>
    </row>
    <row r="293" spans="1:15" outlineLevel="1">
      <c r="A293" s="491"/>
      <c r="B293" s="493"/>
      <c r="D293" s="490"/>
      <c r="E293" s="490"/>
      <c r="F293" s="490"/>
      <c r="G293" s="358"/>
      <c r="H293" s="358"/>
      <c r="I293" s="358"/>
      <c r="J293" s="358"/>
      <c r="K293" s="358"/>
      <c r="L293" s="358"/>
    </row>
    <row r="294" spans="1:15" outlineLevel="1">
      <c r="A294" s="491"/>
      <c r="B294" s="488" t="s">
        <v>773</v>
      </c>
      <c r="C294" s="489"/>
      <c r="E294" s="358"/>
      <c r="F294" s="490"/>
      <c r="G294" s="358"/>
      <c r="H294" s="358"/>
      <c r="I294" s="358"/>
      <c r="J294" s="358"/>
      <c r="K294" s="358"/>
      <c r="L294" s="358"/>
    </row>
    <row r="295" spans="1:15" outlineLevel="1">
      <c r="A295" s="491"/>
      <c r="B295" s="491">
        <v>1</v>
      </c>
      <c r="C295" s="492" t="s">
        <v>774</v>
      </c>
      <c r="E295" s="358"/>
      <c r="F295" s="490"/>
      <c r="G295" s="358"/>
      <c r="H295" s="358"/>
      <c r="I295" s="358"/>
      <c r="J295" s="358"/>
      <c r="K295" s="358"/>
      <c r="L295" s="358"/>
    </row>
    <row r="296" spans="1:15" outlineLevel="1">
      <c r="A296" s="358"/>
      <c r="B296" s="491">
        <v>2</v>
      </c>
      <c r="C296" s="493" t="s">
        <v>775</v>
      </c>
      <c r="E296" s="358"/>
      <c r="F296" s="490"/>
      <c r="G296" s="358"/>
      <c r="H296" s="358"/>
      <c r="I296" s="358"/>
      <c r="J296" s="358"/>
      <c r="K296" s="358"/>
      <c r="L296" s="358"/>
      <c r="M296" s="570"/>
      <c r="N296" s="489"/>
    </row>
    <row r="297" spans="1:15" outlineLevel="1">
      <c r="A297" s="358"/>
      <c r="B297" s="491">
        <v>3</v>
      </c>
      <c r="C297" s="493" t="s">
        <v>776</v>
      </c>
      <c r="E297" s="358"/>
      <c r="F297" s="490"/>
      <c r="G297" s="358"/>
      <c r="H297" s="358"/>
      <c r="I297" s="358"/>
      <c r="J297" s="358"/>
      <c r="K297" s="358"/>
      <c r="L297" s="358"/>
    </row>
    <row r="298" spans="1:15" outlineLevel="1">
      <c r="A298" s="358"/>
      <c r="B298" s="491">
        <v>4</v>
      </c>
      <c r="C298" s="493" t="s">
        <v>777</v>
      </c>
      <c r="E298" s="358"/>
      <c r="F298" s="490"/>
      <c r="G298" s="358"/>
      <c r="H298" s="358"/>
      <c r="I298" s="358"/>
      <c r="J298" s="358"/>
      <c r="K298" s="358"/>
      <c r="L298" s="358"/>
    </row>
    <row r="299" spans="1:15" outlineLevel="1">
      <c r="A299" s="358"/>
      <c r="B299" s="358">
        <v>5</v>
      </c>
      <c r="C299" s="494" t="s">
        <v>778</v>
      </c>
      <c r="F299" s="490"/>
      <c r="G299" s="358"/>
      <c r="H299" s="358"/>
      <c r="I299" s="358"/>
      <c r="J299" s="358"/>
      <c r="K299" s="358"/>
      <c r="L299" s="358"/>
      <c r="O299" s="490"/>
    </row>
    <row r="300" spans="1:15" outlineLevel="1">
      <c r="A300" s="358"/>
      <c r="B300" s="358">
        <v>6</v>
      </c>
      <c r="C300" s="492" t="s">
        <v>779</v>
      </c>
      <c r="F300" s="490"/>
      <c r="G300" s="358"/>
      <c r="H300" s="358"/>
      <c r="I300" s="358"/>
      <c r="J300" s="358"/>
      <c r="K300" s="358"/>
      <c r="L300" s="358"/>
      <c r="O300" s="490"/>
    </row>
    <row r="301" spans="1:15" outlineLevel="1">
      <c r="A301" s="358"/>
      <c r="B301" s="358">
        <v>7</v>
      </c>
      <c r="C301" s="495" t="s">
        <v>774</v>
      </c>
      <c r="F301" s="490"/>
      <c r="G301" s="358"/>
      <c r="H301" s="358"/>
      <c r="I301" s="358"/>
      <c r="J301" s="358"/>
      <c r="K301" s="358"/>
      <c r="L301" s="358"/>
      <c r="O301" s="490"/>
    </row>
    <row r="302" spans="1:15" outlineLevel="1">
      <c r="A302" s="488"/>
      <c r="B302" s="358">
        <v>8</v>
      </c>
      <c r="C302" s="495" t="s">
        <v>780</v>
      </c>
      <c r="F302" s="490"/>
      <c r="G302" s="358"/>
      <c r="H302" s="358"/>
      <c r="I302" s="358"/>
      <c r="J302" s="358"/>
      <c r="K302" s="358"/>
      <c r="L302" s="358"/>
      <c r="O302" s="490"/>
    </row>
    <row r="303" spans="1:15" outlineLevel="1">
      <c r="A303" s="488"/>
      <c r="B303" s="358">
        <v>9</v>
      </c>
      <c r="C303" s="489" t="s">
        <v>781</v>
      </c>
      <c r="F303" s="490"/>
      <c r="G303" s="358"/>
      <c r="H303" s="358"/>
      <c r="I303" s="358"/>
      <c r="J303" s="358"/>
      <c r="K303" s="358"/>
      <c r="L303" s="358"/>
      <c r="O303" s="490"/>
    </row>
    <row r="304" spans="1:15" outlineLevel="1">
      <c r="A304" s="488"/>
      <c r="B304" s="358">
        <v>10</v>
      </c>
      <c r="C304" s="490" t="s">
        <v>782</v>
      </c>
      <c r="F304" s="490"/>
      <c r="G304" s="358"/>
      <c r="H304" s="358"/>
      <c r="I304" s="358"/>
      <c r="J304" s="358"/>
      <c r="K304" s="358"/>
      <c r="L304" s="358"/>
      <c r="O304" s="490"/>
    </row>
    <row r="305" spans="1:15" outlineLevel="1">
      <c r="A305" s="488"/>
      <c r="B305" s="488" t="s">
        <v>783</v>
      </c>
      <c r="C305" s="489"/>
      <c r="F305" s="490"/>
      <c r="G305" s="358"/>
      <c r="H305" s="358"/>
      <c r="I305" s="358"/>
      <c r="J305" s="358"/>
      <c r="K305" s="358"/>
      <c r="L305" s="358"/>
      <c r="O305" s="490"/>
    </row>
    <row r="306" spans="1:15" outlineLevel="1">
      <c r="A306" s="488"/>
      <c r="B306" s="496" t="s">
        <v>6</v>
      </c>
      <c r="C306" s="497" t="s">
        <v>975</v>
      </c>
      <c r="D306" s="489"/>
      <c r="F306" s="490"/>
      <c r="G306" s="358"/>
      <c r="H306" s="358"/>
      <c r="I306" s="358"/>
      <c r="J306" s="358"/>
      <c r="K306" s="358"/>
      <c r="L306" s="358"/>
      <c r="O306" s="490"/>
    </row>
    <row r="307" spans="1:15" outlineLevel="1">
      <c r="A307" s="488"/>
      <c r="B307" s="496" t="s">
        <v>59</v>
      </c>
      <c r="C307" s="489" t="s">
        <v>785</v>
      </c>
      <c r="D307" s="489"/>
      <c r="F307" s="490"/>
      <c r="G307" s="358"/>
      <c r="H307" s="358"/>
      <c r="I307" s="358"/>
      <c r="J307" s="358"/>
      <c r="K307" s="358"/>
      <c r="L307" s="358"/>
      <c r="O307" s="490"/>
    </row>
    <row r="308" spans="1:15" outlineLevel="1">
      <c r="A308" s="488"/>
      <c r="B308" s="496" t="s">
        <v>16</v>
      </c>
      <c r="C308" s="489" t="s">
        <v>976</v>
      </c>
      <c r="D308" s="489"/>
      <c r="F308" s="490"/>
      <c r="G308" s="358"/>
      <c r="H308" s="358"/>
      <c r="I308" s="358"/>
      <c r="J308" s="358"/>
      <c r="K308" s="358"/>
      <c r="L308" s="358"/>
      <c r="O308" s="490"/>
    </row>
    <row r="309" spans="1:15" outlineLevel="1">
      <c r="A309" s="488"/>
      <c r="B309" s="496" t="s">
        <v>20</v>
      </c>
      <c r="C309" s="489" t="s">
        <v>977</v>
      </c>
      <c r="D309" s="489"/>
      <c r="F309" s="490"/>
      <c r="G309" s="358"/>
      <c r="H309" s="358"/>
      <c r="I309" s="358"/>
      <c r="J309" s="358"/>
      <c r="K309" s="358"/>
      <c r="L309" s="358"/>
      <c r="O309" s="490"/>
    </row>
    <row r="310" spans="1:15" outlineLevel="1">
      <c r="A310" s="488"/>
      <c r="B310" s="496" t="s">
        <v>76</v>
      </c>
      <c r="C310" s="489" t="s">
        <v>786</v>
      </c>
      <c r="D310" s="489"/>
      <c r="F310" s="490"/>
      <c r="G310" s="358"/>
      <c r="H310" s="358"/>
      <c r="I310" s="358"/>
      <c r="J310" s="358"/>
      <c r="K310" s="358"/>
      <c r="L310" s="358"/>
      <c r="O310" s="490"/>
    </row>
    <row r="311" spans="1:15" outlineLevel="1">
      <c r="A311" s="488"/>
      <c r="B311" s="496" t="s">
        <v>25</v>
      </c>
      <c r="C311" s="489" t="s">
        <v>978</v>
      </c>
      <c r="D311" s="489"/>
      <c r="F311" s="490"/>
      <c r="G311" s="358"/>
      <c r="H311" s="358"/>
      <c r="I311" s="358"/>
      <c r="J311" s="358"/>
      <c r="K311" s="358"/>
      <c r="L311" s="358"/>
      <c r="O311" s="490"/>
    </row>
    <row r="312" spans="1:15" outlineLevel="1">
      <c r="A312" s="488"/>
      <c r="B312" s="496" t="s">
        <v>33</v>
      </c>
      <c r="C312" s="489" t="s">
        <v>979</v>
      </c>
      <c r="D312" s="489"/>
      <c r="F312" s="490"/>
      <c r="G312" s="358"/>
      <c r="H312" s="358"/>
      <c r="I312" s="358"/>
      <c r="J312" s="358"/>
      <c r="K312" s="358"/>
      <c r="L312" s="358"/>
      <c r="O312" s="490"/>
    </row>
    <row r="313" spans="1:15" outlineLevel="1">
      <c r="A313" s="488"/>
      <c r="B313" s="496" t="s">
        <v>51</v>
      </c>
      <c r="C313" s="489" t="s">
        <v>980</v>
      </c>
      <c r="D313" s="489"/>
      <c r="F313" s="490"/>
      <c r="G313" s="358"/>
      <c r="H313" s="358"/>
      <c r="I313" s="358"/>
      <c r="J313" s="358"/>
      <c r="K313" s="358"/>
      <c r="L313" s="358"/>
      <c r="O313" s="490"/>
    </row>
    <row r="314" spans="1:15" outlineLevel="1">
      <c r="A314" s="488"/>
      <c r="B314" s="496" t="s">
        <v>52</v>
      </c>
      <c r="C314" s="498" t="s">
        <v>788</v>
      </c>
      <c r="D314" s="489"/>
      <c r="F314" s="490"/>
      <c r="G314" s="358"/>
      <c r="H314" s="358"/>
      <c r="I314" s="358"/>
      <c r="J314" s="358"/>
      <c r="K314" s="358"/>
      <c r="L314" s="358"/>
      <c r="O314" s="490"/>
    </row>
    <row r="315" spans="1:15" outlineLevel="1">
      <c r="A315" s="488"/>
      <c r="B315" s="496" t="s">
        <v>55</v>
      </c>
      <c r="C315" s="489" t="s">
        <v>804</v>
      </c>
      <c r="D315" s="489"/>
      <c r="F315" s="490"/>
      <c r="G315" s="358"/>
      <c r="H315" s="358"/>
      <c r="I315" s="358"/>
      <c r="J315" s="358"/>
      <c r="K315" s="358"/>
      <c r="L315" s="358"/>
      <c r="O315" s="490"/>
    </row>
    <row r="316" spans="1:15" outlineLevel="1">
      <c r="A316" s="496"/>
      <c r="B316" s="496" t="s">
        <v>49</v>
      </c>
      <c r="C316" s="489" t="s">
        <v>789</v>
      </c>
      <c r="D316" s="489"/>
      <c r="F316" s="490"/>
      <c r="G316" s="358"/>
      <c r="H316" s="358"/>
      <c r="I316" s="358"/>
      <c r="J316" s="358"/>
      <c r="K316" s="358"/>
      <c r="L316" s="358"/>
      <c r="M316" s="570"/>
      <c r="N316" s="489"/>
      <c r="O316" s="490"/>
    </row>
    <row r="317" spans="1:15" outlineLevel="1">
      <c r="A317" s="496"/>
      <c r="F317" s="490"/>
      <c r="G317" s="358"/>
      <c r="H317" s="358"/>
      <c r="I317" s="358"/>
      <c r="J317" s="358"/>
      <c r="K317" s="358"/>
      <c r="L317" s="358"/>
      <c r="M317" s="571"/>
      <c r="N317" s="489"/>
      <c r="O317" s="490"/>
    </row>
    <row r="318" spans="1:15" outlineLevel="1">
      <c r="A318" s="496"/>
      <c r="B318" s="489"/>
      <c r="D318" s="490"/>
      <c r="E318" s="490"/>
      <c r="F318" s="490"/>
      <c r="G318" s="358"/>
      <c r="H318" s="358"/>
      <c r="I318" s="358"/>
      <c r="J318" s="358"/>
      <c r="K318" s="358"/>
      <c r="L318" s="358"/>
      <c r="M318" s="572"/>
      <c r="N318" s="489"/>
      <c r="O318" s="490"/>
    </row>
    <row r="319" spans="1:15" outlineLevel="1">
      <c r="A319" s="496"/>
      <c r="B319" s="498"/>
      <c r="D319" s="490"/>
      <c r="E319" s="490"/>
      <c r="F319" s="490"/>
      <c r="G319" s="358"/>
      <c r="H319" s="358"/>
      <c r="I319" s="358"/>
      <c r="J319" s="358"/>
      <c r="K319" s="358"/>
      <c r="L319" s="358"/>
      <c r="M319" s="573"/>
      <c r="N319" s="489"/>
      <c r="O319" s="490"/>
    </row>
    <row r="320" spans="1:15" outlineLevel="1">
      <c r="A320" s="496"/>
      <c r="B320" s="489"/>
      <c r="D320" s="490"/>
      <c r="E320" s="490"/>
      <c r="F320" s="490"/>
      <c r="G320" s="358"/>
      <c r="H320" s="358"/>
      <c r="I320" s="358"/>
      <c r="J320" s="358"/>
      <c r="K320" s="358"/>
      <c r="L320" s="358"/>
      <c r="M320" s="573"/>
      <c r="N320" s="490"/>
      <c r="O320" s="490"/>
    </row>
    <row r="321" spans="1:44" outlineLevel="1">
      <c r="A321" s="496"/>
      <c r="B321" s="489"/>
      <c r="D321" s="490"/>
      <c r="E321" s="490"/>
      <c r="F321" s="490"/>
      <c r="G321" s="358"/>
      <c r="H321" s="358"/>
      <c r="I321" s="358"/>
      <c r="J321" s="358"/>
      <c r="K321" s="358"/>
      <c r="L321" s="358"/>
      <c r="M321" s="489"/>
      <c r="N321" s="490"/>
      <c r="O321" s="490"/>
    </row>
    <row r="322" spans="1:44" outlineLevel="1">
      <c r="O322" s="490"/>
    </row>
    <row r="323" spans="1:44">
      <c r="O323" s="490"/>
    </row>
    <row r="324" spans="1:44">
      <c r="O324" s="490"/>
    </row>
    <row r="325" spans="1:44" ht="15" thickBot="1">
      <c r="A325" s="360"/>
    </row>
    <row r="326" spans="1:44" ht="20.55" customHeight="1" thickBot="1">
      <c r="B326" s="362"/>
      <c r="C326" s="1186"/>
      <c r="D326" s="1187"/>
      <c r="E326" s="1187"/>
      <c r="F326" s="1187"/>
      <c r="G326" s="1187"/>
      <c r="H326" s="1187"/>
      <c r="I326" s="1187"/>
      <c r="J326" s="1187"/>
      <c r="K326" s="1187"/>
      <c r="L326" s="1188"/>
      <c r="M326" s="363"/>
      <c r="N326" s="363"/>
      <c r="AK326" s="1160"/>
      <c r="AL326" s="1161"/>
      <c r="AM326" s="1160"/>
      <c r="AN326" s="1161"/>
      <c r="AO326" s="1160"/>
      <c r="AP326" s="1161"/>
      <c r="AQ326" s="1170"/>
      <c r="AR326" s="1171"/>
    </row>
    <row r="327" spans="1:44" ht="15" customHeight="1" thickBot="1">
      <c r="B327" s="1164"/>
      <c r="C327" s="1166"/>
      <c r="D327" s="1166"/>
      <c r="E327" s="1166"/>
      <c r="F327" s="1166"/>
      <c r="G327" s="1168"/>
      <c r="H327" s="1169"/>
      <c r="I327" s="1168"/>
      <c r="J327" s="1169"/>
      <c r="K327" s="1189"/>
      <c r="L327" s="1189"/>
      <c r="M327" s="367"/>
      <c r="N327" s="367"/>
      <c r="AK327" s="1162"/>
      <c r="AL327" s="1163"/>
      <c r="AM327" s="1162"/>
      <c r="AN327" s="1163"/>
      <c r="AO327" s="1162"/>
      <c r="AP327" s="1163"/>
      <c r="AQ327" s="1172"/>
      <c r="AR327" s="1173"/>
    </row>
    <row r="328" spans="1:44" ht="15" customHeight="1" thickBot="1">
      <c r="B328" s="1165"/>
      <c r="C328" s="1167"/>
      <c r="D328" s="1167"/>
      <c r="E328" s="1167"/>
      <c r="F328" s="1167"/>
      <c r="G328" s="406"/>
      <c r="H328" s="406"/>
      <c r="I328" s="406"/>
      <c r="J328" s="406"/>
      <c r="K328" s="1190"/>
      <c r="L328" s="1190"/>
      <c r="M328" s="370"/>
      <c r="N328" s="370"/>
      <c r="AK328" s="1162"/>
      <c r="AL328" s="1163"/>
      <c r="AM328" s="1162"/>
      <c r="AN328" s="1163"/>
      <c r="AO328" s="1162"/>
      <c r="AP328" s="1163"/>
      <c r="AQ328" s="1174"/>
      <c r="AR328" s="1175"/>
    </row>
    <row r="329" spans="1:44" ht="21.6" thickBot="1">
      <c r="B329" s="371"/>
      <c r="C329" s="372"/>
      <c r="D329" s="372"/>
      <c r="E329" s="372"/>
      <c r="F329" s="372"/>
      <c r="G329" s="372"/>
      <c r="H329" s="372"/>
      <c r="I329" s="372"/>
      <c r="J329" s="372"/>
      <c r="K329" s="372"/>
      <c r="L329" s="373"/>
      <c r="M329" s="370"/>
      <c r="N329" s="370"/>
      <c r="P329" s="364"/>
      <c r="Q329" s="365"/>
      <c r="R329" s="366"/>
      <c r="S329" s="1176"/>
      <c r="T329" s="1160"/>
      <c r="U329" s="1161"/>
      <c r="V329" s="1160"/>
      <c r="W329" s="1161"/>
      <c r="X329" s="1160"/>
      <c r="Y329" s="1161"/>
      <c r="Z329" s="1160"/>
      <c r="AA329" s="1161"/>
      <c r="AB329" s="1160"/>
      <c r="AC329" s="1161"/>
      <c r="AE329" s="364"/>
      <c r="AF329" s="365"/>
      <c r="AG329" s="366"/>
      <c r="AH329" s="1176"/>
      <c r="AI329" s="1160"/>
      <c r="AJ329" s="1161"/>
      <c r="AK329" s="374"/>
      <c r="AL329" s="375"/>
      <c r="AM329" s="374"/>
      <c r="AN329" s="375"/>
      <c r="AO329" s="374"/>
      <c r="AP329" s="375"/>
      <c r="AQ329" s="374"/>
      <c r="AR329" s="375"/>
    </row>
    <row r="330" spans="1:44" ht="14.55" customHeight="1">
      <c r="B330" s="574"/>
      <c r="C330" s="575"/>
      <c r="D330" s="575"/>
      <c r="E330" s="575"/>
      <c r="F330" s="575"/>
      <c r="G330" s="576"/>
      <c r="H330" s="576"/>
      <c r="I330" s="576"/>
      <c r="J330" s="576"/>
      <c r="K330" s="372"/>
      <c r="L330" s="373"/>
      <c r="M330" s="370"/>
      <c r="N330" s="370"/>
      <c r="P330" s="1180"/>
      <c r="Q330" s="368"/>
      <c r="R330" s="368"/>
      <c r="S330" s="1177"/>
      <c r="T330" s="1162"/>
      <c r="U330" s="1163"/>
      <c r="V330" s="1162"/>
      <c r="W330" s="1163"/>
      <c r="X330" s="1162"/>
      <c r="Y330" s="1163"/>
      <c r="Z330" s="1162"/>
      <c r="AA330" s="1163"/>
      <c r="AB330" s="1162"/>
      <c r="AC330" s="1163"/>
      <c r="AE330" s="1180"/>
      <c r="AF330" s="368"/>
      <c r="AG330" s="368"/>
      <c r="AH330" s="1177"/>
      <c r="AI330" s="1162"/>
      <c r="AJ330" s="1163"/>
      <c r="AK330" s="1137"/>
      <c r="AL330" s="1151"/>
      <c r="AM330" s="1137"/>
      <c r="AN330" s="1151"/>
      <c r="AO330" s="1137"/>
      <c r="AP330" s="1151"/>
      <c r="AQ330" s="1157"/>
      <c r="AR330" s="1151"/>
    </row>
    <row r="331" spans="1:44">
      <c r="B331" s="383"/>
      <c r="C331" s="577"/>
      <c r="D331" s="577"/>
      <c r="E331" s="577"/>
      <c r="F331" s="577"/>
      <c r="G331" s="576"/>
      <c r="H331" s="576"/>
      <c r="I331" s="576"/>
      <c r="J331" s="576"/>
      <c r="K331" s="372"/>
      <c r="L331" s="373"/>
      <c r="M331" s="370"/>
      <c r="N331" s="370"/>
      <c r="P331" s="1181"/>
      <c r="Q331" s="1183"/>
      <c r="R331" s="1184"/>
      <c r="S331" s="1178"/>
      <c r="T331" s="1162"/>
      <c r="U331" s="1163"/>
      <c r="V331" s="1162"/>
      <c r="W331" s="1163"/>
      <c r="X331" s="1162"/>
      <c r="Y331" s="1163"/>
      <c r="Z331" s="1162"/>
      <c r="AA331" s="1163"/>
      <c r="AB331" s="1162"/>
      <c r="AC331" s="1163"/>
      <c r="AE331" s="1181"/>
      <c r="AF331" s="1183"/>
      <c r="AG331" s="1184"/>
      <c r="AH331" s="1178"/>
      <c r="AI331" s="1162"/>
      <c r="AJ331" s="1163"/>
      <c r="AK331" s="1140"/>
      <c r="AL331" s="1152"/>
      <c r="AM331" s="1140"/>
      <c r="AN331" s="1152"/>
      <c r="AO331" s="1140"/>
      <c r="AP331" s="1152"/>
      <c r="AQ331" s="1158"/>
      <c r="AR331" s="1152"/>
    </row>
    <row r="332" spans="1:44" ht="15" thickBot="1">
      <c r="B332" s="574"/>
      <c r="C332" s="578"/>
      <c r="D332" s="578"/>
      <c r="E332" s="578"/>
      <c r="F332" s="578"/>
      <c r="G332" s="578"/>
      <c r="H332" s="578"/>
      <c r="I332" s="578"/>
      <c r="J332" s="578"/>
      <c r="K332" s="579"/>
      <c r="L332" s="580"/>
      <c r="M332" s="370"/>
      <c r="N332" s="370"/>
      <c r="O332" s="74"/>
      <c r="P332" s="1182"/>
      <c r="Q332" s="1179"/>
      <c r="R332" s="1185"/>
      <c r="S332" s="1179"/>
      <c r="T332" s="374"/>
      <c r="U332" s="375"/>
      <c r="V332" s="374"/>
      <c r="W332" s="375"/>
      <c r="X332" s="374"/>
      <c r="Y332" s="375"/>
      <c r="Z332" s="374"/>
      <c r="AA332" s="375"/>
      <c r="AB332" s="374"/>
      <c r="AC332" s="375"/>
      <c r="AE332" s="1182"/>
      <c r="AF332" s="1179"/>
      <c r="AG332" s="1185"/>
      <c r="AH332" s="1179"/>
      <c r="AI332" s="374"/>
      <c r="AJ332" s="375"/>
      <c r="AK332" s="1141"/>
      <c r="AL332" s="1153"/>
      <c r="AM332" s="1141"/>
      <c r="AN332" s="1153"/>
      <c r="AO332" s="1141"/>
      <c r="AP332" s="1153"/>
      <c r="AQ332" s="1159"/>
      <c r="AR332" s="1153"/>
    </row>
    <row r="333" spans="1:44" ht="14.55" customHeight="1">
      <c r="B333" s="574"/>
      <c r="C333" s="581"/>
      <c r="D333" s="581"/>
      <c r="E333" s="581"/>
      <c r="F333" s="581"/>
      <c r="G333" s="581"/>
      <c r="H333" s="581"/>
      <c r="I333" s="581"/>
      <c r="J333" s="581"/>
      <c r="K333" s="579"/>
      <c r="L333" s="580"/>
      <c r="M333" s="370"/>
      <c r="N333" s="370"/>
      <c r="P333" s="1148"/>
      <c r="Q333" s="1154"/>
      <c r="R333" s="381"/>
      <c r="S333" s="382"/>
      <c r="T333" s="1137"/>
      <c r="U333" s="1151"/>
      <c r="V333" s="1137"/>
      <c r="W333" s="1151"/>
      <c r="X333" s="1137"/>
      <c r="Y333" s="1151"/>
      <c r="Z333" s="1137"/>
      <c r="AA333" s="1151"/>
      <c r="AB333" s="1157"/>
      <c r="AC333" s="1151"/>
      <c r="AE333" s="1148"/>
      <c r="AF333" s="1154"/>
      <c r="AG333" s="381"/>
      <c r="AH333" s="382"/>
      <c r="AI333" s="1137"/>
      <c r="AJ333" s="1151"/>
      <c r="AK333" s="1137"/>
      <c r="AL333" s="1137"/>
      <c r="AM333" s="1137"/>
      <c r="AN333" s="1137"/>
      <c r="AO333" s="1137"/>
      <c r="AP333" s="1137"/>
      <c r="AQ333" s="1137"/>
      <c r="AR333" s="1137"/>
    </row>
    <row r="334" spans="1:44">
      <c r="B334" s="574"/>
      <c r="C334" s="582"/>
      <c r="D334" s="582"/>
      <c r="E334" s="582"/>
      <c r="F334" s="582"/>
      <c r="G334" s="582"/>
      <c r="H334" s="582"/>
      <c r="I334" s="582"/>
      <c r="J334" s="582"/>
      <c r="K334" s="579"/>
      <c r="L334" s="580"/>
      <c r="M334" s="367"/>
      <c r="N334" s="367"/>
      <c r="O334" s="71"/>
      <c r="P334" s="1149"/>
      <c r="Q334" s="1155"/>
      <c r="R334" s="388"/>
      <c r="S334" s="389"/>
      <c r="T334" s="1140"/>
      <c r="U334" s="1152"/>
      <c r="V334" s="1140"/>
      <c r="W334" s="1152"/>
      <c r="X334" s="1140"/>
      <c r="Y334" s="1152"/>
      <c r="Z334" s="1140"/>
      <c r="AA334" s="1152"/>
      <c r="AB334" s="1158"/>
      <c r="AC334" s="1152"/>
      <c r="AE334" s="1149"/>
      <c r="AF334" s="1155"/>
      <c r="AG334" s="388"/>
      <c r="AH334" s="389"/>
      <c r="AI334" s="1140"/>
      <c r="AJ334" s="1152"/>
      <c r="AK334" s="1138"/>
      <c r="AL334" s="1138"/>
      <c r="AM334" s="1138"/>
      <c r="AN334" s="1138"/>
      <c r="AO334" s="1138"/>
      <c r="AP334" s="1138"/>
      <c r="AQ334" s="1140"/>
      <c r="AR334" s="1138"/>
    </row>
    <row r="335" spans="1:44" ht="15" thickBot="1">
      <c r="B335" s="383"/>
      <c r="C335" s="397"/>
      <c r="D335" s="397"/>
      <c r="E335" s="397"/>
      <c r="F335" s="397"/>
      <c r="G335" s="398"/>
      <c r="H335" s="398"/>
      <c r="I335" s="398"/>
      <c r="J335" s="398"/>
      <c r="K335" s="372"/>
      <c r="L335" s="373"/>
      <c r="M335" s="363"/>
      <c r="N335" s="363"/>
      <c r="O335" s="71"/>
      <c r="P335" s="1149"/>
      <c r="Q335" s="1156"/>
      <c r="R335" s="393"/>
      <c r="S335" s="394"/>
      <c r="T335" s="1141"/>
      <c r="U335" s="1153"/>
      <c r="V335" s="1141"/>
      <c r="W335" s="1153"/>
      <c r="X335" s="1141"/>
      <c r="Y335" s="1153"/>
      <c r="Z335" s="1141"/>
      <c r="AA335" s="1153"/>
      <c r="AB335" s="1159"/>
      <c r="AC335" s="1153"/>
      <c r="AE335" s="1149"/>
      <c r="AF335" s="1156"/>
      <c r="AG335" s="393"/>
      <c r="AH335" s="394"/>
      <c r="AI335" s="1141"/>
      <c r="AJ335" s="1153"/>
      <c r="AK335" s="1138"/>
      <c r="AL335" s="1138"/>
      <c r="AM335" s="1138"/>
      <c r="AN335" s="1138"/>
      <c r="AO335" s="1138"/>
      <c r="AP335" s="1138"/>
      <c r="AQ335" s="1140"/>
      <c r="AR335" s="1138"/>
    </row>
    <row r="336" spans="1:44" ht="15" thickBot="1">
      <c r="B336" s="574"/>
      <c r="C336" s="582"/>
      <c r="D336" s="582"/>
      <c r="E336" s="582"/>
      <c r="F336" s="582"/>
      <c r="G336" s="582"/>
      <c r="H336" s="582"/>
      <c r="I336" s="582"/>
      <c r="J336" s="582"/>
      <c r="K336" s="372"/>
      <c r="L336" s="373"/>
      <c r="M336" s="363"/>
      <c r="N336" s="363"/>
      <c r="O336" s="71"/>
      <c r="P336" s="1149"/>
      <c r="Q336" s="1145"/>
      <c r="R336" s="395"/>
      <c r="S336" s="396"/>
      <c r="T336" s="1137"/>
      <c r="U336" s="1137"/>
      <c r="V336" s="1137"/>
      <c r="W336" s="1137"/>
      <c r="X336" s="1137"/>
      <c r="Y336" s="1137"/>
      <c r="Z336" s="1137"/>
      <c r="AA336" s="1137"/>
      <c r="AB336" s="1137"/>
      <c r="AC336" s="1137"/>
      <c r="AE336" s="1149"/>
      <c r="AF336" s="1145"/>
      <c r="AG336" s="395"/>
      <c r="AH336" s="396"/>
      <c r="AI336" s="1137"/>
      <c r="AJ336" s="1137"/>
      <c r="AK336" s="1138"/>
      <c r="AL336" s="1138"/>
      <c r="AM336" s="1138"/>
      <c r="AN336" s="1138"/>
      <c r="AO336" s="1138"/>
      <c r="AP336" s="1138"/>
      <c r="AQ336" s="1140"/>
      <c r="AR336" s="1138"/>
    </row>
    <row r="337" spans="1:44" ht="15" thickBot="1">
      <c r="B337" s="401"/>
      <c r="C337" s="583"/>
      <c r="D337" s="584"/>
      <c r="E337" s="585"/>
      <c r="F337" s="586"/>
      <c r="G337" s="406"/>
      <c r="H337" s="406"/>
      <c r="I337" s="406"/>
      <c r="J337" s="406"/>
      <c r="K337" s="407"/>
      <c r="L337" s="587"/>
      <c r="M337" s="363"/>
      <c r="N337" s="363"/>
      <c r="O337" s="71"/>
      <c r="P337" s="1149"/>
      <c r="Q337" s="1146"/>
      <c r="R337" s="395"/>
      <c r="S337" s="396"/>
      <c r="T337" s="1138"/>
      <c r="U337" s="1138"/>
      <c r="V337" s="1138"/>
      <c r="W337" s="1138"/>
      <c r="X337" s="1138"/>
      <c r="Y337" s="1138"/>
      <c r="Z337" s="1138"/>
      <c r="AA337" s="1138"/>
      <c r="AB337" s="1140"/>
      <c r="AC337" s="1138"/>
      <c r="AE337" s="1149"/>
      <c r="AF337" s="1146"/>
      <c r="AG337" s="395"/>
      <c r="AH337" s="396"/>
      <c r="AI337" s="1138"/>
      <c r="AJ337" s="1138"/>
      <c r="AK337" s="1139"/>
      <c r="AL337" s="1139"/>
      <c r="AM337" s="1139"/>
      <c r="AN337" s="1139"/>
      <c r="AO337" s="1139"/>
      <c r="AP337" s="1139"/>
      <c r="AQ337" s="1141"/>
      <c r="AR337" s="1139"/>
    </row>
    <row r="338" spans="1:44" ht="15" thickBot="1">
      <c r="B338" s="574"/>
      <c r="C338" s="588"/>
      <c r="D338" s="588"/>
      <c r="E338" s="588"/>
      <c r="F338" s="588"/>
      <c r="G338" s="589"/>
      <c r="H338" s="589"/>
      <c r="I338" s="590"/>
      <c r="J338" s="590"/>
      <c r="K338" s="579"/>
      <c r="L338" s="580"/>
      <c r="M338" s="363"/>
      <c r="N338" s="363"/>
      <c r="P338" s="1149"/>
      <c r="Q338" s="1146"/>
      <c r="R338" s="395"/>
      <c r="S338" s="396"/>
      <c r="T338" s="1138"/>
      <c r="U338" s="1138"/>
      <c r="V338" s="1138"/>
      <c r="W338" s="1138"/>
      <c r="X338" s="1138"/>
      <c r="Y338" s="1138"/>
      <c r="Z338" s="1138"/>
      <c r="AA338" s="1138"/>
      <c r="AB338" s="1140"/>
      <c r="AC338" s="1138"/>
      <c r="AE338" s="1149"/>
      <c r="AF338" s="1146"/>
      <c r="AG338" s="395"/>
      <c r="AH338" s="396"/>
      <c r="AI338" s="1138"/>
      <c r="AJ338" s="1138"/>
      <c r="AK338" s="593"/>
      <c r="AL338" s="592"/>
      <c r="AM338" s="593"/>
      <c r="AN338" s="592"/>
      <c r="AO338" s="593"/>
      <c r="AP338" s="592"/>
      <c r="AQ338" s="593"/>
      <c r="AR338" s="594"/>
    </row>
    <row r="339" spans="1:44">
      <c r="B339" s="574"/>
      <c r="C339" s="582"/>
      <c r="D339" s="582"/>
      <c r="E339" s="582"/>
      <c r="F339" s="582"/>
      <c r="G339" s="595"/>
      <c r="H339" s="595"/>
      <c r="I339" s="595"/>
      <c r="J339" s="595"/>
      <c r="K339" s="596"/>
      <c r="L339" s="580"/>
      <c r="M339" s="363"/>
      <c r="N339" s="363"/>
      <c r="P339" s="1149"/>
      <c r="Q339" s="1146"/>
      <c r="R339" s="395"/>
      <c r="S339" s="396"/>
      <c r="T339" s="1138"/>
      <c r="U339" s="1138"/>
      <c r="V339" s="1138"/>
      <c r="W339" s="1138"/>
      <c r="X339" s="1138"/>
      <c r="Y339" s="1138"/>
      <c r="Z339" s="1138"/>
      <c r="AA339" s="1138"/>
      <c r="AB339" s="1140"/>
      <c r="AC339" s="1138"/>
      <c r="AE339" s="1149"/>
      <c r="AF339" s="1146"/>
      <c r="AG339" s="395"/>
      <c r="AH339" s="396"/>
      <c r="AI339" s="1138"/>
      <c r="AJ339" s="1138"/>
    </row>
    <row r="340" spans="1:44" ht="15" thickBot="1">
      <c r="B340" s="574"/>
      <c r="C340" s="582"/>
      <c r="D340" s="582"/>
      <c r="E340" s="582"/>
      <c r="F340" s="582"/>
      <c r="G340" s="595"/>
      <c r="H340" s="595"/>
      <c r="I340" s="595"/>
      <c r="J340" s="595"/>
      <c r="K340" s="596"/>
      <c r="L340" s="580"/>
      <c r="M340" s="420"/>
      <c r="N340" s="363"/>
      <c r="P340" s="1149"/>
      <c r="Q340" s="1147"/>
      <c r="R340" s="409"/>
      <c r="S340" s="410"/>
      <c r="T340" s="1139"/>
      <c r="U340" s="1139"/>
      <c r="V340" s="1139"/>
      <c r="W340" s="1139"/>
      <c r="X340" s="1139"/>
      <c r="Y340" s="1139"/>
      <c r="Z340" s="1139"/>
      <c r="AA340" s="1139"/>
      <c r="AB340" s="1141"/>
      <c r="AC340" s="1139"/>
      <c r="AE340" s="1149"/>
      <c r="AF340" s="1147"/>
      <c r="AG340" s="409"/>
      <c r="AH340" s="410"/>
      <c r="AI340" s="1139"/>
      <c r="AJ340" s="1139"/>
    </row>
    <row r="341" spans="1:44" ht="15" thickBot="1">
      <c r="B341" s="421"/>
      <c r="C341" s="399"/>
      <c r="D341" s="399"/>
      <c r="E341" s="399"/>
      <c r="F341" s="399"/>
      <c r="G341" s="422"/>
      <c r="H341" s="422"/>
      <c r="I341" s="422"/>
      <c r="J341" s="422"/>
      <c r="K341" s="423"/>
      <c r="L341" s="597"/>
      <c r="M341" s="420"/>
      <c r="N341" s="420"/>
      <c r="P341" s="1150"/>
      <c r="Q341" s="411"/>
      <c r="R341" s="412"/>
      <c r="S341" s="413"/>
      <c r="T341" s="591"/>
      <c r="U341" s="592"/>
      <c r="V341" s="593"/>
      <c r="W341" s="592"/>
      <c r="X341" s="593"/>
      <c r="Y341" s="592"/>
      <c r="Z341" s="593"/>
      <c r="AA341" s="592"/>
      <c r="AB341" s="593"/>
      <c r="AC341" s="594"/>
      <c r="AE341" s="1150"/>
      <c r="AF341" s="411"/>
      <c r="AG341" s="412"/>
      <c r="AH341" s="413"/>
      <c r="AI341" s="591"/>
      <c r="AJ341" s="592"/>
    </row>
    <row r="342" spans="1:44">
      <c r="B342" s="383"/>
      <c r="C342" s="397"/>
      <c r="D342" s="397"/>
      <c r="E342" s="397"/>
      <c r="F342" s="397"/>
      <c r="G342" s="422"/>
      <c r="H342" s="425"/>
      <c r="I342" s="425"/>
      <c r="J342" s="425"/>
      <c r="K342" s="426"/>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c r="B345" s="383"/>
      <c r="C345" s="397"/>
      <c r="D345" s="397"/>
      <c r="E345" s="397"/>
      <c r="F345" s="397"/>
      <c r="G345" s="425"/>
      <c r="H345" s="425"/>
      <c r="I345" s="425"/>
      <c r="J345" s="425"/>
      <c r="K345" s="423"/>
      <c r="L345" s="427"/>
      <c r="M345" s="428"/>
      <c r="N345" s="428"/>
    </row>
    <row r="346" spans="1:44" ht="15" thickBot="1">
      <c r="B346" s="429"/>
      <c r="C346" s="397"/>
      <c r="D346" s="397"/>
      <c r="E346" s="397"/>
      <c r="F346" s="397"/>
      <c r="G346" s="425"/>
      <c r="H346" s="425"/>
      <c r="I346" s="425"/>
      <c r="J346" s="425"/>
      <c r="K346" s="423"/>
      <c r="L346" s="427"/>
      <c r="M346" s="428"/>
      <c r="N346" s="428"/>
    </row>
    <row r="347" spans="1:44" ht="15" thickBot="1">
      <c r="B347" s="431"/>
      <c r="C347" s="598"/>
      <c r="D347" s="584"/>
      <c r="E347" s="584"/>
      <c r="F347" s="599"/>
      <c r="G347" s="434"/>
      <c r="H347" s="406"/>
      <c r="I347" s="406"/>
      <c r="J347" s="406"/>
      <c r="K347" s="407"/>
      <c r="L347" s="587"/>
      <c r="M347" s="428"/>
      <c r="N347" s="428"/>
    </row>
    <row r="348" spans="1:44">
      <c r="A348" s="435"/>
      <c r="B348" s="436"/>
      <c r="C348" s="600"/>
      <c r="D348" s="600"/>
      <c r="E348" s="600"/>
      <c r="F348" s="600"/>
      <c r="G348" s="425"/>
      <c r="H348" s="425"/>
      <c r="I348" s="425"/>
      <c r="J348" s="425"/>
      <c r="K348" s="426"/>
      <c r="L348" s="440"/>
      <c r="M348" s="420"/>
      <c r="N348" s="420"/>
    </row>
    <row r="349" spans="1:44">
      <c r="B349" s="441"/>
      <c r="C349" s="601"/>
      <c r="D349" s="601"/>
      <c r="E349" s="601"/>
      <c r="F349" s="601"/>
      <c r="G349" s="425"/>
      <c r="H349" s="425"/>
      <c r="I349" s="425"/>
      <c r="J349" s="425"/>
      <c r="K349" s="444"/>
      <c r="L349" s="373"/>
      <c r="M349" s="71"/>
      <c r="N349" s="420"/>
    </row>
    <row r="350" spans="1:44">
      <c r="B350" s="441"/>
      <c r="C350" s="601"/>
      <c r="D350" s="601"/>
      <c r="E350" s="601"/>
      <c r="F350" s="601"/>
      <c r="G350" s="425"/>
      <c r="H350" s="425"/>
      <c r="I350" s="425"/>
      <c r="J350" s="425"/>
      <c r="K350" s="444"/>
      <c r="L350" s="373"/>
      <c r="M350" s="420"/>
      <c r="N350" s="420"/>
    </row>
    <row r="351" spans="1:44">
      <c r="B351" s="383"/>
      <c r="C351" s="602"/>
      <c r="D351" s="603"/>
      <c r="E351" s="603"/>
      <c r="F351" s="604"/>
      <c r="G351" s="425"/>
      <c r="H351" s="425"/>
      <c r="I351" s="425"/>
      <c r="J351" s="425"/>
      <c r="K351" s="444"/>
      <c r="L351" s="373"/>
      <c r="M351" s="420"/>
      <c r="N351" s="420"/>
    </row>
    <row r="352" spans="1:44">
      <c r="B352" s="383"/>
      <c r="C352" s="605"/>
      <c r="D352" s="605"/>
      <c r="E352" s="605"/>
      <c r="F352" s="605"/>
      <c r="G352" s="425"/>
      <c r="H352" s="425"/>
      <c r="I352" s="425"/>
      <c r="J352" s="425"/>
      <c r="K352" s="444"/>
      <c r="L352" s="373"/>
      <c r="M352" s="450"/>
      <c r="N352" s="361"/>
    </row>
    <row r="353" spans="2:30">
      <c r="B353" s="541"/>
      <c r="C353" s="552"/>
      <c r="D353" s="552"/>
      <c r="E353" s="552"/>
      <c r="F353" s="552"/>
      <c r="G353" s="553"/>
      <c r="H353" s="553"/>
      <c r="I353" s="553"/>
      <c r="J353" s="553"/>
      <c r="K353" s="547"/>
      <c r="L353" s="548"/>
      <c r="M353" s="450"/>
      <c r="N353" s="361"/>
    </row>
    <row r="354" spans="2:30">
      <c r="B354" s="541"/>
      <c r="C354" s="606"/>
      <c r="D354" s="606"/>
      <c r="E354" s="606"/>
      <c r="F354" s="606"/>
      <c r="G354" s="553"/>
      <c r="H354" s="553"/>
      <c r="I354" s="553"/>
      <c r="J354" s="553"/>
      <c r="K354" s="547"/>
      <c r="L354" s="548"/>
      <c r="M354" s="363"/>
      <c r="N354" s="363"/>
    </row>
    <row r="355" spans="2:30">
      <c r="B355" s="541"/>
      <c r="C355" s="607"/>
      <c r="D355" s="547"/>
      <c r="E355" s="547"/>
      <c r="F355" s="563"/>
      <c r="G355" s="550"/>
      <c r="H355" s="550"/>
      <c r="I355" s="550"/>
      <c r="J355" s="550"/>
      <c r="K355" s="547"/>
      <c r="L355" s="608"/>
      <c r="M355" s="367"/>
      <c r="N355" s="367"/>
      <c r="P355" s="1142"/>
      <c r="Q355" s="1143"/>
      <c r="R355" s="1143"/>
      <c r="S355" s="1143"/>
      <c r="T355" s="1143"/>
      <c r="U355" s="1144"/>
    </row>
    <row r="356" spans="2:30" ht="15" thickBot="1">
      <c r="B356" s="566"/>
      <c r="C356" s="607"/>
      <c r="D356" s="609"/>
      <c r="E356" s="609"/>
      <c r="F356" s="610"/>
      <c r="G356" s="550"/>
      <c r="H356" s="550"/>
      <c r="I356" s="550"/>
      <c r="J356" s="550"/>
      <c r="K356" s="547"/>
      <c r="L356" s="608"/>
      <c r="M356" s="363"/>
      <c r="N356" s="363"/>
      <c r="P356" s="1134"/>
      <c r="Q356" s="1135"/>
      <c r="R356" s="1135"/>
      <c r="S356" s="1135"/>
      <c r="T356" s="1135"/>
      <c r="U356" s="1136"/>
    </row>
    <row r="357" spans="2:30" ht="15" thickBot="1">
      <c r="B357" s="611"/>
      <c r="C357" s="612"/>
      <c r="D357" s="613"/>
      <c r="E357" s="614"/>
      <c r="F357" s="615"/>
      <c r="G357" s="540"/>
      <c r="H357" s="540"/>
      <c r="I357" s="540"/>
      <c r="J357" s="540"/>
      <c r="K357" s="616"/>
      <c r="L357" s="617"/>
      <c r="M357" s="363"/>
      <c r="N357" s="363"/>
      <c r="P357" s="53"/>
    </row>
    <row r="358" spans="2:30">
      <c r="B358" s="556"/>
      <c r="C358" s="618"/>
      <c r="D358" s="618"/>
      <c r="E358" s="618"/>
      <c r="F358" s="618"/>
      <c r="G358" s="618"/>
      <c r="H358" s="618"/>
      <c r="I358" s="618"/>
      <c r="J358" s="618"/>
      <c r="K358" s="618"/>
      <c r="L358" s="619"/>
      <c r="M358" s="363"/>
      <c r="N358" s="363"/>
      <c r="P358" s="46"/>
      <c r="Q358" s="46"/>
      <c r="R358" s="47"/>
      <c r="S358" s="47"/>
      <c r="T358" s="47"/>
      <c r="U358" s="48"/>
      <c r="V358" s="49"/>
      <c r="W358" s="49"/>
      <c r="X358" s="49"/>
      <c r="Y358" s="49"/>
      <c r="Z358" s="49"/>
      <c r="AA358" s="49"/>
      <c r="AB358" s="49"/>
      <c r="AC358" s="49"/>
      <c r="AD358" s="49"/>
    </row>
    <row r="359" spans="2:30" ht="15" thickBot="1">
      <c r="B359" s="541"/>
      <c r="C359" s="558"/>
      <c r="D359" s="558"/>
      <c r="E359" s="558"/>
      <c r="F359" s="558"/>
      <c r="G359" s="563"/>
      <c r="H359" s="563"/>
      <c r="I359" s="563"/>
      <c r="J359" s="563"/>
      <c r="K359" s="563"/>
      <c r="L359" s="548"/>
      <c r="M359" s="363"/>
      <c r="N359" s="363"/>
      <c r="O359" s="71"/>
      <c r="P359" s="50"/>
      <c r="Q359" s="50"/>
      <c r="R359" s="51"/>
      <c r="S359" s="51"/>
      <c r="T359" s="51"/>
      <c r="U359" s="51"/>
      <c r="V359" s="50"/>
      <c r="W359" s="50"/>
      <c r="X359" s="50"/>
      <c r="Y359" s="50"/>
      <c r="Z359" s="50"/>
      <c r="AA359" s="50"/>
      <c r="AB359" s="50"/>
      <c r="AC359" s="50"/>
      <c r="AD359" s="50"/>
    </row>
    <row r="360" spans="2:30">
      <c r="B360" s="541"/>
      <c r="C360" s="558"/>
      <c r="D360" s="558"/>
      <c r="E360" s="558"/>
      <c r="F360" s="558"/>
      <c r="G360" s="563"/>
      <c r="H360" s="563"/>
      <c r="I360" s="563"/>
      <c r="J360" s="563"/>
      <c r="K360" s="563"/>
      <c r="L360" s="548"/>
      <c r="M360" s="363"/>
      <c r="N360" s="363"/>
      <c r="O360" s="461"/>
      <c r="P360" s="56"/>
      <c r="Q360" s="56"/>
      <c r="R360" s="57"/>
      <c r="S360" s="57"/>
      <c r="T360" s="57"/>
      <c r="U360" s="56"/>
      <c r="V360" s="56"/>
      <c r="W360" s="56"/>
      <c r="X360" s="56"/>
      <c r="Y360" s="56"/>
      <c r="Z360" s="56"/>
      <c r="AA360" s="56"/>
      <c r="AB360" s="56"/>
      <c r="AC360" s="56"/>
      <c r="AD360" s="56"/>
    </row>
    <row r="361" spans="2:30">
      <c r="B361" s="541"/>
      <c r="C361" s="564"/>
      <c r="D361" s="564"/>
      <c r="E361" s="564"/>
      <c r="F361" s="564"/>
      <c r="G361" s="621"/>
      <c r="H361" s="621"/>
      <c r="I361" s="621"/>
      <c r="J361" s="621"/>
      <c r="K361" s="621"/>
      <c r="L361" s="548"/>
      <c r="M361" s="363"/>
      <c r="N361" s="363"/>
      <c r="O361" s="620"/>
      <c r="P361" s="466"/>
      <c r="Q361" s="58"/>
      <c r="R361" s="466"/>
      <c r="S361" s="58"/>
      <c r="T361" s="466"/>
      <c r="U361" s="467"/>
      <c r="V361" s="467"/>
      <c r="W361" s="467"/>
      <c r="X361" s="58"/>
      <c r="Y361" s="58"/>
      <c r="Z361" s="466"/>
      <c r="AA361" s="468"/>
      <c r="AB361" s="468"/>
      <c r="AC361" s="468"/>
      <c r="AD361" s="468"/>
    </row>
    <row r="362" spans="2:30">
      <c r="B362" s="566"/>
      <c r="C362" s="558"/>
      <c r="D362" s="558"/>
      <c r="E362" s="558"/>
      <c r="F362" s="558"/>
      <c r="G362" s="563"/>
      <c r="H362" s="563"/>
      <c r="I362" s="563"/>
      <c r="J362" s="563"/>
      <c r="K362" s="563"/>
      <c r="L362" s="548"/>
      <c r="M362" s="367"/>
      <c r="N362" s="367"/>
      <c r="O362" s="620"/>
      <c r="P362" s="466"/>
      <c r="Q362" s="58"/>
      <c r="R362" s="466"/>
      <c r="S362" s="58"/>
      <c r="T362" s="466"/>
      <c r="U362" s="467"/>
      <c r="V362" s="467"/>
      <c r="W362" s="467"/>
      <c r="X362" s="58"/>
      <c r="Y362" s="58"/>
      <c r="Z362" s="466"/>
      <c r="AA362" s="468"/>
      <c r="AB362" s="468"/>
      <c r="AC362" s="468"/>
      <c r="AD362" s="468"/>
    </row>
    <row r="363" spans="2:30">
      <c r="B363" s="566"/>
      <c r="C363" s="558"/>
      <c r="D363" s="558"/>
      <c r="E363" s="558"/>
      <c r="F363" s="558"/>
      <c r="G363" s="563"/>
      <c r="H363" s="563"/>
      <c r="I363" s="563"/>
      <c r="J363" s="563"/>
      <c r="K363" s="563"/>
      <c r="L363" s="548"/>
      <c r="M363" s="363"/>
      <c r="N363" s="363"/>
      <c r="O363" s="620"/>
      <c r="P363" s="466"/>
      <c r="Q363" s="58"/>
      <c r="R363" s="466"/>
      <c r="S363" s="58"/>
      <c r="T363" s="466"/>
      <c r="U363" s="467"/>
      <c r="V363" s="467"/>
      <c r="W363" s="467"/>
      <c r="X363" s="58"/>
      <c r="Y363" s="58"/>
      <c r="Z363" s="466"/>
      <c r="AA363" s="468"/>
      <c r="AB363" s="468"/>
      <c r="AC363" s="468"/>
      <c r="AD363" s="468"/>
    </row>
    <row r="364" spans="2:30" ht="15" thickBot="1">
      <c r="B364" s="567"/>
      <c r="C364" s="622"/>
      <c r="D364" s="622"/>
      <c r="E364" s="622"/>
      <c r="F364" s="622"/>
      <c r="G364" s="623"/>
      <c r="H364" s="623"/>
      <c r="I364" s="623"/>
      <c r="J364" s="623"/>
      <c r="K364" s="623"/>
      <c r="L364" s="624"/>
      <c r="M364" s="363"/>
      <c r="N364" s="363"/>
      <c r="O364" s="620"/>
      <c r="P364" s="466"/>
      <c r="Q364" s="58"/>
      <c r="R364" s="466"/>
      <c r="S364" s="58"/>
      <c r="T364" s="466"/>
      <c r="U364" s="467"/>
      <c r="V364" s="467"/>
      <c r="W364" s="467"/>
      <c r="X364" s="58"/>
      <c r="Y364" s="58"/>
      <c r="Z364" s="466"/>
      <c r="AA364" s="468"/>
      <c r="AB364" s="468"/>
      <c r="AC364" s="468"/>
      <c r="AD364" s="468"/>
    </row>
    <row r="365" spans="2:30">
      <c r="B365" s="461"/>
      <c r="C365" s="483"/>
      <c r="D365" s="483"/>
      <c r="E365" s="483"/>
      <c r="F365" s="483"/>
      <c r="G365" s="483"/>
      <c r="H365" s="484"/>
      <c r="I365" s="420"/>
      <c r="J365" s="420"/>
      <c r="K365" s="484"/>
      <c r="L365" s="484"/>
      <c r="N365" s="420"/>
    </row>
    <row r="366" spans="2:30">
      <c r="B366" s="485"/>
      <c r="C366" s="486"/>
      <c r="D366" s="486"/>
      <c r="E366" s="486"/>
      <c r="F366" s="486"/>
      <c r="G366" s="486"/>
      <c r="H366" s="484"/>
      <c r="I366" s="71"/>
      <c r="J366" s="420"/>
      <c r="K366" s="484"/>
      <c r="L366" s="484"/>
      <c r="N366" s="420"/>
    </row>
    <row r="367" spans="2:30">
      <c r="B367" s="461"/>
      <c r="C367" s="359"/>
      <c r="D367" s="359"/>
      <c r="E367" s="359"/>
      <c r="F367" s="359"/>
      <c r="G367" s="359"/>
      <c r="I367" s="420"/>
      <c r="J367" s="420"/>
      <c r="N367" s="420"/>
    </row>
    <row r="368" spans="2:30">
      <c r="B368" s="461"/>
      <c r="C368" s="487"/>
      <c r="D368" s="487"/>
      <c r="E368" s="487"/>
      <c r="F368" s="487"/>
      <c r="G368" s="359"/>
      <c r="M368" s="420"/>
      <c r="N368" s="420"/>
    </row>
    <row r="371" spans="1:11">
      <c r="A371" s="488"/>
      <c r="B371" s="489"/>
      <c r="D371" s="358"/>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490"/>
      <c r="E378" s="358"/>
      <c r="F378" s="358"/>
      <c r="G378" s="358"/>
      <c r="H378" s="358"/>
      <c r="I378" s="358"/>
      <c r="J378" s="358"/>
      <c r="K378" s="358"/>
    </row>
    <row r="379" spans="1:11">
      <c r="A379" s="358"/>
      <c r="B379" s="625"/>
      <c r="E379" s="358"/>
      <c r="F379" s="358"/>
      <c r="G379" s="358"/>
      <c r="H379" s="358"/>
      <c r="I379" s="358"/>
      <c r="J379" s="358"/>
      <c r="K379" s="358"/>
    </row>
    <row r="380" spans="1:11">
      <c r="A380" s="358"/>
      <c r="B380" s="490"/>
      <c r="E380" s="358"/>
      <c r="F380" s="358"/>
      <c r="G380" s="358"/>
      <c r="H380" s="358"/>
      <c r="I380" s="358"/>
      <c r="J380" s="358"/>
      <c r="K380" s="358"/>
    </row>
    <row r="381" spans="1:11">
      <c r="A381" s="488"/>
      <c r="B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row r="387" spans="1:11" ht="15.75" customHeight="1">
      <c r="A387" s="496"/>
      <c r="B387" s="490"/>
      <c r="C387" s="489"/>
      <c r="E387" s="358"/>
      <c r="F387" s="358"/>
      <c r="G387" s="358"/>
      <c r="H387" s="358"/>
      <c r="I387" s="358"/>
      <c r="J387" s="358"/>
      <c r="K387" s="358"/>
    </row>
  </sheetData>
  <mergeCells count="253">
    <mergeCell ref="B167:B168"/>
    <mergeCell ref="C167:M167"/>
    <mergeCell ref="P170:U170"/>
    <mergeCell ref="C168:M168"/>
    <mergeCell ref="P171:U171"/>
    <mergeCell ref="C87:M87"/>
    <mergeCell ref="H88:I88"/>
    <mergeCell ref="J88:K88"/>
    <mergeCell ref="B5:B6"/>
    <mergeCell ref="C5:M5"/>
    <mergeCell ref="C6:M6"/>
    <mergeCell ref="C7:M7"/>
    <mergeCell ref="H8:I8"/>
    <mergeCell ref="J8:K8"/>
    <mergeCell ref="B85:B86"/>
    <mergeCell ref="C85:M85"/>
    <mergeCell ref="P88:U88"/>
    <mergeCell ref="C86:M86"/>
    <mergeCell ref="S172:S175"/>
    <mergeCell ref="T172:U174"/>
    <mergeCell ref="V172:W174"/>
    <mergeCell ref="X172:Y174"/>
    <mergeCell ref="Z172:AA174"/>
    <mergeCell ref="P173:P175"/>
    <mergeCell ref="Q174:Q175"/>
    <mergeCell ref="R174:R175"/>
    <mergeCell ref="P116:U116"/>
    <mergeCell ref="P117:U117"/>
    <mergeCell ref="AQ169:AR171"/>
    <mergeCell ref="B170:B171"/>
    <mergeCell ref="C170:C171"/>
    <mergeCell ref="D170:D171"/>
    <mergeCell ref="E170:E171"/>
    <mergeCell ref="F170:F171"/>
    <mergeCell ref="G170:H170"/>
    <mergeCell ref="I170:J170"/>
    <mergeCell ref="K170:K171"/>
    <mergeCell ref="L170:L171"/>
    <mergeCell ref="AK169:AL171"/>
    <mergeCell ref="AM169:AN171"/>
    <mergeCell ref="AO169:AP171"/>
    <mergeCell ref="C169:L169"/>
    <mergeCell ref="AP173:AP175"/>
    <mergeCell ref="AQ173:AQ175"/>
    <mergeCell ref="AR173:AR175"/>
    <mergeCell ref="AE176:AE184"/>
    <mergeCell ref="AF176:AF178"/>
    <mergeCell ref="AI176:AI178"/>
    <mergeCell ref="AJ176:AJ178"/>
    <mergeCell ref="AK173:AK175"/>
    <mergeCell ref="AL173:AL175"/>
    <mergeCell ref="AP176:AP180"/>
    <mergeCell ref="AQ176:AQ180"/>
    <mergeCell ref="AR176:AR180"/>
    <mergeCell ref="AH172:AH175"/>
    <mergeCell ref="AI172:AJ174"/>
    <mergeCell ref="AE173:AE175"/>
    <mergeCell ref="AF174:AF175"/>
    <mergeCell ref="AG174:AG175"/>
    <mergeCell ref="AB179:AB183"/>
    <mergeCell ref="AM173:AM175"/>
    <mergeCell ref="AN173:AN175"/>
    <mergeCell ref="AO173:AO175"/>
    <mergeCell ref="X176:X178"/>
    <mergeCell ref="Y176:Y178"/>
    <mergeCell ref="Z176:Z178"/>
    <mergeCell ref="AA176:AA178"/>
    <mergeCell ref="AB176:AB178"/>
    <mergeCell ref="AC176:AC178"/>
    <mergeCell ref="AM176:AM180"/>
    <mergeCell ref="AN176:AN180"/>
    <mergeCell ref="AO176:AO180"/>
    <mergeCell ref="AC179:AC183"/>
    <mergeCell ref="AF179:AF183"/>
    <mergeCell ref="AI179:AI183"/>
    <mergeCell ref="AJ179:AJ183"/>
    <mergeCell ref="AK176:AK180"/>
    <mergeCell ref="AL176:AL180"/>
    <mergeCell ref="AB172:AC174"/>
    <mergeCell ref="B246:B247"/>
    <mergeCell ref="C246:M246"/>
    <mergeCell ref="P249:U249"/>
    <mergeCell ref="C247:M247"/>
    <mergeCell ref="P250:U250"/>
    <mergeCell ref="X179:X183"/>
    <mergeCell ref="Y179:Y183"/>
    <mergeCell ref="Z179:Z183"/>
    <mergeCell ref="AA179:AA183"/>
    <mergeCell ref="P176:P184"/>
    <mergeCell ref="Q176:Q178"/>
    <mergeCell ref="T176:T178"/>
    <mergeCell ref="U176:U178"/>
    <mergeCell ref="V176:V178"/>
    <mergeCell ref="W176:W178"/>
    <mergeCell ref="Q179:Q183"/>
    <mergeCell ref="T179:T183"/>
    <mergeCell ref="U179:U183"/>
    <mergeCell ref="V179:V183"/>
    <mergeCell ref="W179:W183"/>
    <mergeCell ref="S251:S254"/>
    <mergeCell ref="T251:U253"/>
    <mergeCell ref="V251:W253"/>
    <mergeCell ref="X251:Y253"/>
    <mergeCell ref="Z251:AA253"/>
    <mergeCell ref="P252:P254"/>
    <mergeCell ref="Q253:Q254"/>
    <mergeCell ref="R253:R254"/>
    <mergeCell ref="P198:U198"/>
    <mergeCell ref="P199:U199"/>
    <mergeCell ref="AQ248:AR250"/>
    <mergeCell ref="B249:B250"/>
    <mergeCell ref="C249:C250"/>
    <mergeCell ref="D249:D250"/>
    <mergeCell ref="E249:E250"/>
    <mergeCell ref="F249:F250"/>
    <mergeCell ref="G249:H249"/>
    <mergeCell ref="I249:J249"/>
    <mergeCell ref="K249:K250"/>
    <mergeCell ref="L249:L250"/>
    <mergeCell ref="AK248:AL250"/>
    <mergeCell ref="AM248:AN250"/>
    <mergeCell ref="AO248:AP250"/>
    <mergeCell ref="C248:L248"/>
    <mergeCell ref="P255:P263"/>
    <mergeCell ref="Q255:Q257"/>
    <mergeCell ref="T255:T257"/>
    <mergeCell ref="U255:U257"/>
    <mergeCell ref="V255:V257"/>
    <mergeCell ref="W255:W257"/>
    <mergeCell ref="Q258:Q262"/>
    <mergeCell ref="T258:T262"/>
    <mergeCell ref="U258:U262"/>
    <mergeCell ref="V258:V262"/>
    <mergeCell ref="W258:W262"/>
    <mergeCell ref="AP252:AP254"/>
    <mergeCell ref="AQ252:AQ254"/>
    <mergeCell ref="AR252:AR254"/>
    <mergeCell ref="AE255:AE263"/>
    <mergeCell ref="AF255:AF257"/>
    <mergeCell ref="AI255:AI257"/>
    <mergeCell ref="AJ255:AJ257"/>
    <mergeCell ref="AK252:AK254"/>
    <mergeCell ref="AL252:AL254"/>
    <mergeCell ref="AP255:AP259"/>
    <mergeCell ref="AQ255:AQ259"/>
    <mergeCell ref="AR255:AR259"/>
    <mergeCell ref="AH251:AH254"/>
    <mergeCell ref="AI251:AJ253"/>
    <mergeCell ref="AE252:AE254"/>
    <mergeCell ref="AF253:AF254"/>
    <mergeCell ref="AG253:AG254"/>
    <mergeCell ref="X258:X262"/>
    <mergeCell ref="Y258:Y262"/>
    <mergeCell ref="Z258:Z262"/>
    <mergeCell ref="AA258:AA262"/>
    <mergeCell ref="AB258:AB262"/>
    <mergeCell ref="AM252:AM254"/>
    <mergeCell ref="AN252:AN254"/>
    <mergeCell ref="AO252:AO254"/>
    <mergeCell ref="X255:X257"/>
    <mergeCell ref="Y255:Y257"/>
    <mergeCell ref="Z255:Z257"/>
    <mergeCell ref="AA255:AA257"/>
    <mergeCell ref="AB255:AB257"/>
    <mergeCell ref="AC255:AC257"/>
    <mergeCell ref="AM255:AM259"/>
    <mergeCell ref="AN255:AN259"/>
    <mergeCell ref="AO255:AO259"/>
    <mergeCell ref="AC258:AC262"/>
    <mergeCell ref="AF258:AF262"/>
    <mergeCell ref="AI258:AI262"/>
    <mergeCell ref="AJ258:AJ262"/>
    <mergeCell ref="AK255:AK259"/>
    <mergeCell ref="AL255:AL259"/>
    <mergeCell ref="AB251:AC253"/>
    <mergeCell ref="C326:L326"/>
    <mergeCell ref="S329:S332"/>
    <mergeCell ref="T329:U331"/>
    <mergeCell ref="V329:W331"/>
    <mergeCell ref="K327:K328"/>
    <mergeCell ref="L327:L328"/>
    <mergeCell ref="P330:P332"/>
    <mergeCell ref="Q331:Q332"/>
    <mergeCell ref="Z329:AA331"/>
    <mergeCell ref="R331:R332"/>
    <mergeCell ref="AQ330:AQ332"/>
    <mergeCell ref="AR330:AR332"/>
    <mergeCell ref="AL330:AL332"/>
    <mergeCell ref="AM330:AM332"/>
    <mergeCell ref="AQ326:AR328"/>
    <mergeCell ref="AN330:AN332"/>
    <mergeCell ref="AO330:AO332"/>
    <mergeCell ref="AP330:AP332"/>
    <mergeCell ref="P277:U277"/>
    <mergeCell ref="P278:U278"/>
    <mergeCell ref="AB329:AC331"/>
    <mergeCell ref="AH329:AH332"/>
    <mergeCell ref="AI329:AJ331"/>
    <mergeCell ref="AK326:AL328"/>
    <mergeCell ref="AE330:AE332"/>
    <mergeCell ref="AF331:AF332"/>
    <mergeCell ref="AG331:AG332"/>
    <mergeCell ref="AM326:AN328"/>
    <mergeCell ref="AO326:AP328"/>
    <mergeCell ref="Q333:Q335"/>
    <mergeCell ref="T333:T335"/>
    <mergeCell ref="U333:U335"/>
    <mergeCell ref="V333:V335"/>
    <mergeCell ref="X329:Y331"/>
    <mergeCell ref="B327:B328"/>
    <mergeCell ref="C327:C328"/>
    <mergeCell ref="D327:D328"/>
    <mergeCell ref="E327:E328"/>
    <mergeCell ref="F327:F328"/>
    <mergeCell ref="G327:H327"/>
    <mergeCell ref="I327:J327"/>
    <mergeCell ref="U336:U340"/>
    <mergeCell ref="V336:V340"/>
    <mergeCell ref="W336:W340"/>
    <mergeCell ref="AF333:AF335"/>
    <mergeCell ref="AI333:AI335"/>
    <mergeCell ref="AJ333:AJ335"/>
    <mergeCell ref="AK330:AK332"/>
    <mergeCell ref="Y333:Y335"/>
    <mergeCell ref="Z333:Z335"/>
    <mergeCell ref="AA333:AA335"/>
    <mergeCell ref="AB333:AB335"/>
    <mergeCell ref="AC333:AC335"/>
    <mergeCell ref="AE333:AE341"/>
    <mergeCell ref="P356:U356"/>
    <mergeCell ref="AN333:AN337"/>
    <mergeCell ref="AO333:AO337"/>
    <mergeCell ref="AP333:AP337"/>
    <mergeCell ref="AQ333:AQ337"/>
    <mergeCell ref="AR333:AR337"/>
    <mergeCell ref="P355:U355"/>
    <mergeCell ref="AF336:AF340"/>
    <mergeCell ref="AI336:AI340"/>
    <mergeCell ref="AJ336:AJ340"/>
    <mergeCell ref="AK333:AK337"/>
    <mergeCell ref="AL333:AL337"/>
    <mergeCell ref="AM333:AM337"/>
    <mergeCell ref="X336:X340"/>
    <mergeCell ref="Y336:Y340"/>
    <mergeCell ref="Z336:Z340"/>
    <mergeCell ref="AA336:AA340"/>
    <mergeCell ref="AB336:AB340"/>
    <mergeCell ref="AC336:AC340"/>
    <mergeCell ref="P333:P341"/>
    <mergeCell ref="W333:W335"/>
    <mergeCell ref="X333:X335"/>
    <mergeCell ref="Q336:Q340"/>
    <mergeCell ref="T336:T340"/>
  </mergeCells>
  <hyperlinks>
    <hyperlink ref="C7" location="INDEX" display="Post-combustion carbon capture retrofit - 100 MW(th) WtE or biomass CHP plant" xr:uid="{C8FC7AFC-2B29-4C66-AA6A-FE3684710BD7}"/>
    <hyperlink ref="C87" location="INDEX" display="Post-combustion carbon capture retrofit - 100 MW(th) WtE or biomass CHP plant" xr:uid="{3E3C9C98-0497-4384-A8FA-D8DDA3728336}"/>
  </hyperlink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38B7-0FA7-41B8-8C5B-3CD7874F100E}">
  <sheetPr>
    <tabColor rgb="FFFFFF00"/>
  </sheetPr>
  <dimension ref="A2:AX264"/>
  <sheetViews>
    <sheetView workbookViewId="0">
      <pane xSplit="5" ySplit="12" topLeftCell="F217" activePane="bottomRight" state="frozen"/>
      <selection pane="topRight" activeCell="F1" sqref="F1"/>
      <selection pane="bottomLeft" activeCell="A13" sqref="A13"/>
      <selection pane="bottomRight" activeCell="AT228" sqref="AT228"/>
    </sheetView>
  </sheetViews>
  <sheetFormatPr defaultColWidth="8.88671875" defaultRowHeight="14.4"/>
  <cols>
    <col min="1" max="6" width="8.88671875" style="224"/>
    <col min="7" max="9" width="8.88671875" style="224" hidden="1" customWidth="1"/>
    <col min="10" max="10" width="12" style="224" hidden="1" customWidth="1"/>
    <col min="11" max="12" width="12.109375" style="224" hidden="1" customWidth="1"/>
    <col min="13" max="15" width="8.88671875" style="224" hidden="1" customWidth="1"/>
    <col min="16" max="16" width="8.21875" style="224" hidden="1" customWidth="1"/>
    <col min="17" max="26" width="8.88671875" style="224" hidden="1" customWidth="1"/>
    <col min="27" max="27" width="8.88671875" style="224" customWidth="1"/>
    <col min="28" max="29" width="8.88671875" style="224" hidden="1" customWidth="1"/>
    <col min="30" max="30" width="8.88671875" style="224" customWidth="1"/>
    <col min="31" max="39" width="8.88671875" style="224" hidden="1" customWidth="1"/>
    <col min="40" max="41" width="8.88671875" style="224"/>
    <col min="42" max="44" width="8.88671875" style="1123"/>
    <col min="45" max="45" width="27.109375" style="1123" customWidth="1"/>
    <col min="46" max="16384" width="8.88671875" style="224"/>
  </cols>
  <sheetData>
    <row r="2" spans="1:50">
      <c r="A2" s="224" t="s">
        <v>2063</v>
      </c>
    </row>
    <row r="4" spans="1:50">
      <c r="A4" s="224" t="s">
        <v>2002</v>
      </c>
      <c r="C4" s="224">
        <v>0.13175999999999999</v>
      </c>
      <c r="D4" s="224" t="s">
        <v>2066</v>
      </c>
      <c r="F4" s="224" t="s">
        <v>2068</v>
      </c>
    </row>
    <row r="5" spans="1:50">
      <c r="A5" s="224" t="s">
        <v>2003</v>
      </c>
    </row>
    <row r="6" spans="1:50">
      <c r="A6" s="224" t="s">
        <v>531</v>
      </c>
    </row>
    <row r="7" spans="1:50">
      <c r="A7" s="224" t="s">
        <v>2004</v>
      </c>
      <c r="B7" s="224" t="s">
        <v>2005</v>
      </c>
    </row>
    <row r="8" spans="1:50">
      <c r="A8" s="224" t="s">
        <v>2006</v>
      </c>
      <c r="B8" s="224" t="s">
        <v>2007</v>
      </c>
    </row>
    <row r="9" spans="1:50">
      <c r="A9" s="224" t="s">
        <v>2008</v>
      </c>
      <c r="B9" s="224" t="s">
        <v>2009</v>
      </c>
    </row>
    <row r="10" spans="1:50">
      <c r="A10" s="224" t="s">
        <v>2064</v>
      </c>
      <c r="B10" s="224" t="s">
        <v>2065</v>
      </c>
    </row>
    <row r="11" spans="1:50">
      <c r="G11" s="1215" t="s">
        <v>2010</v>
      </c>
      <c r="H11" s="1215"/>
      <c r="I11" s="1108"/>
      <c r="J11" s="1216" t="s">
        <v>2011</v>
      </c>
      <c r="K11" s="1216"/>
      <c r="L11" s="1216"/>
      <c r="M11" s="1216"/>
      <c r="N11" s="1216"/>
      <c r="O11" s="1216"/>
      <c r="P11" s="1216" t="s">
        <v>2012</v>
      </c>
      <c r="Q11" s="1216"/>
      <c r="R11" s="1216"/>
      <c r="S11" s="1216"/>
      <c r="T11" s="1216"/>
      <c r="U11" s="1216"/>
      <c r="V11" s="1215" t="s">
        <v>2013</v>
      </c>
      <c r="W11" s="1215"/>
      <c r="X11" s="1215"/>
      <c r="Y11" s="1215"/>
      <c r="Z11" s="1215"/>
      <c r="AA11" s="1215" t="s">
        <v>2014</v>
      </c>
      <c r="AB11" s="1215"/>
      <c r="AC11" s="1215"/>
      <c r="AD11" s="1108" t="s">
        <v>2015</v>
      </c>
      <c r="AE11" s="1215" t="s">
        <v>2016</v>
      </c>
      <c r="AF11" s="1215"/>
      <c r="AG11" s="1215"/>
      <c r="AH11" s="1215"/>
      <c r="AI11" s="1215"/>
      <c r="AJ11" s="1215"/>
      <c r="AK11" s="1215"/>
      <c r="AL11" s="1215"/>
      <c r="AM11" s="1215"/>
      <c r="AN11" s="1109" t="s">
        <v>2017</v>
      </c>
    </row>
    <row r="12" spans="1:50" ht="27.6">
      <c r="A12" s="1110" t="s">
        <v>1133</v>
      </c>
      <c r="B12" s="1111" t="s">
        <v>2018</v>
      </c>
      <c r="C12" s="1111" t="s">
        <v>2019</v>
      </c>
      <c r="D12" s="1111" t="s">
        <v>2020</v>
      </c>
      <c r="E12" s="1111" t="s">
        <v>2021</v>
      </c>
      <c r="F12" s="1111" t="s">
        <v>2022</v>
      </c>
      <c r="G12" s="1112" t="s">
        <v>2023</v>
      </c>
      <c r="H12" s="1112" t="s">
        <v>2024</v>
      </c>
      <c r="I12" s="1113" t="s">
        <v>2025</v>
      </c>
      <c r="J12" s="1114" t="s">
        <v>2026</v>
      </c>
      <c r="K12" s="1114" t="s">
        <v>2027</v>
      </c>
      <c r="L12" s="1114" t="s">
        <v>2028</v>
      </c>
      <c r="M12" s="1115" t="s">
        <v>2029</v>
      </c>
      <c r="N12" s="1115" t="s">
        <v>2030</v>
      </c>
      <c r="O12" s="1115" t="s">
        <v>2031</v>
      </c>
      <c r="P12" s="1112" t="s">
        <v>2032</v>
      </c>
      <c r="Q12" s="1112" t="s">
        <v>2033</v>
      </c>
      <c r="R12" s="1112" t="s">
        <v>2034</v>
      </c>
      <c r="S12" s="1112" t="s">
        <v>2035</v>
      </c>
      <c r="T12" s="1112" t="s">
        <v>2036</v>
      </c>
      <c r="U12" s="1112" t="s">
        <v>2037</v>
      </c>
      <c r="V12" s="1112" t="s">
        <v>2038</v>
      </c>
      <c r="W12" s="1112" t="s">
        <v>2039</v>
      </c>
      <c r="X12" s="1112" t="s">
        <v>2040</v>
      </c>
      <c r="Y12" s="1113" t="s">
        <v>2041</v>
      </c>
      <c r="Z12" s="1112" t="s">
        <v>2042</v>
      </c>
      <c r="AA12" s="1112" t="s">
        <v>2043</v>
      </c>
      <c r="AB12" s="1112" t="s">
        <v>2044</v>
      </c>
      <c r="AC12" s="1112" t="s">
        <v>2045</v>
      </c>
      <c r="AD12" s="1116" t="s">
        <v>2046</v>
      </c>
      <c r="AE12" s="1112" t="s">
        <v>2047</v>
      </c>
      <c r="AF12" s="1112" t="s">
        <v>2048</v>
      </c>
      <c r="AG12" s="1112" t="s">
        <v>2049</v>
      </c>
      <c r="AH12" s="1112" t="s">
        <v>2050</v>
      </c>
      <c r="AI12" s="1112" t="s">
        <v>2051</v>
      </c>
      <c r="AJ12" s="1112" t="s">
        <v>2052</v>
      </c>
      <c r="AK12" s="1112" t="s">
        <v>2053</v>
      </c>
      <c r="AL12" s="1112" t="s">
        <v>2054</v>
      </c>
      <c r="AM12" s="1112" t="s">
        <v>2055</v>
      </c>
      <c r="AN12" s="1117" t="s">
        <v>2056</v>
      </c>
      <c r="AO12" s="1122" t="s">
        <v>2067</v>
      </c>
      <c r="AP12" s="1124" t="s">
        <v>2074</v>
      </c>
      <c r="AQ12" s="1124" t="s">
        <v>2076</v>
      </c>
      <c r="AR12" s="1125" t="s">
        <v>339</v>
      </c>
      <c r="AS12" s="1123" t="s">
        <v>2075</v>
      </c>
      <c r="AT12" s="224" t="s">
        <v>2079</v>
      </c>
    </row>
    <row r="13" spans="1:50">
      <c r="A13" s="1118">
        <v>2017</v>
      </c>
      <c r="B13" s="1119"/>
      <c r="C13" s="1119"/>
      <c r="D13" s="1119" t="s">
        <v>2002</v>
      </c>
      <c r="E13" s="1119" t="s">
        <v>2057</v>
      </c>
      <c r="F13" s="1119"/>
      <c r="G13" s="224">
        <v>26408.122257943447</v>
      </c>
      <c r="H13" s="224">
        <v>14740.142857142857</v>
      </c>
      <c r="I13" s="224">
        <v>2.3759999999999999</v>
      </c>
      <c r="J13" s="224">
        <v>0.19797451388064591</v>
      </c>
      <c r="K13" s="224">
        <v>0.13507787674661281</v>
      </c>
      <c r="L13" s="224">
        <v>0.15733502692996645</v>
      </c>
      <c r="M13" s="224">
        <v>0</v>
      </c>
      <c r="N13" s="224">
        <v>0</v>
      </c>
      <c r="O13" s="224">
        <v>0</v>
      </c>
      <c r="P13" s="224">
        <v>0</v>
      </c>
      <c r="Q13" s="224">
        <v>0</v>
      </c>
      <c r="R13" s="224">
        <v>0</v>
      </c>
      <c r="S13" s="224">
        <v>0</v>
      </c>
      <c r="T13" s="224">
        <v>0</v>
      </c>
      <c r="U13" s="224">
        <v>0</v>
      </c>
      <c r="V13" s="224">
        <v>293.64053294285713</v>
      </c>
      <c r="W13" s="224">
        <v>0</v>
      </c>
      <c r="X13" s="224">
        <v>3.2632499999999989</v>
      </c>
      <c r="Y13" s="224">
        <v>2.3759999999999999</v>
      </c>
      <c r="Z13" s="224">
        <v>0</v>
      </c>
      <c r="AA13" s="224">
        <v>73.609182931698555</v>
      </c>
      <c r="AB13" s="224">
        <v>49.322425946787725</v>
      </c>
      <c r="AC13" s="224">
        <v>57.182761255902996</v>
      </c>
      <c r="AD13" s="1120">
        <v>10.02727521340155</v>
      </c>
      <c r="AE13" s="224">
        <v>29831.954199447344</v>
      </c>
      <c r="AF13" s="224">
        <v>0</v>
      </c>
      <c r="AG13" s="224">
        <v>261.59999999999997</v>
      </c>
      <c r="AH13" s="224">
        <v>12272.34363356928</v>
      </c>
      <c r="AI13" s="224">
        <v>78000</v>
      </c>
      <c r="AJ13" s="224">
        <v>0</v>
      </c>
      <c r="AK13" s="224">
        <v>791.37040000000002</v>
      </c>
      <c r="AL13" s="224">
        <v>0</v>
      </c>
      <c r="AM13" s="224">
        <v>436.00000000000006</v>
      </c>
      <c r="AN13" s="1120">
        <v>121593.26823301661</v>
      </c>
      <c r="AO13" s="224">
        <f>AD13*$C$4</f>
        <v>1.3211937821177882</v>
      </c>
      <c r="AP13" s="1123">
        <v>0.1</v>
      </c>
      <c r="AQ13" s="1123">
        <f>AA13*$C$4*365/1000*0.1</f>
        <v>0.35400422692244193</v>
      </c>
      <c r="AR13" s="1123">
        <v>20</v>
      </c>
      <c r="AS13" s="1123">
        <f>AO13/$AO$13</f>
        <v>1</v>
      </c>
      <c r="AT13" s="224">
        <f>AN13*AQ13</f>
        <v>43044.530919802164</v>
      </c>
      <c r="AW13" s="224">
        <f>AA13*$C$4</f>
        <v>9.6987459430806009</v>
      </c>
      <c r="AX13" s="224" t="s">
        <v>2072</v>
      </c>
    </row>
    <row r="14" spans="1:50">
      <c r="A14" s="1121">
        <v>2020</v>
      </c>
      <c r="B14" s="1107"/>
      <c r="C14" s="1107"/>
      <c r="D14" s="1107" t="s">
        <v>2002</v>
      </c>
      <c r="E14" s="1107" t="s">
        <v>2057</v>
      </c>
      <c r="F14" s="1107"/>
      <c r="G14" s="224">
        <v>26332.535627387872</v>
      </c>
      <c r="H14" s="224">
        <v>14788.638071428571</v>
      </c>
      <c r="I14" s="224">
        <v>2.3759999999999999</v>
      </c>
      <c r="J14" s="224">
        <v>0.18839736099100321</v>
      </c>
      <c r="K14" s="224">
        <v>0.12550666692171605</v>
      </c>
      <c r="L14" s="224">
        <v>0.14532221572453397</v>
      </c>
      <c r="M14" s="224">
        <v>0</v>
      </c>
      <c r="N14" s="224">
        <v>0</v>
      </c>
      <c r="O14" s="224">
        <v>0</v>
      </c>
      <c r="P14" s="224">
        <v>0</v>
      </c>
      <c r="Q14" s="224">
        <v>0</v>
      </c>
      <c r="R14" s="224">
        <v>0</v>
      </c>
      <c r="S14" s="224">
        <v>0</v>
      </c>
      <c r="T14" s="224">
        <v>0</v>
      </c>
      <c r="U14" s="224">
        <v>0</v>
      </c>
      <c r="V14" s="224">
        <v>287.78656302857138</v>
      </c>
      <c r="W14" s="224">
        <v>0</v>
      </c>
      <c r="X14" s="224">
        <v>3.2161153846153852</v>
      </c>
      <c r="Y14" s="224">
        <v>2.3759999999999999</v>
      </c>
      <c r="Z14" s="224">
        <v>0</v>
      </c>
      <c r="AA14" s="224">
        <v>69.908740104792571</v>
      </c>
      <c r="AB14" s="224">
        <v>45.751764098419187</v>
      </c>
      <c r="AC14" s="224">
        <v>52.715685388398406</v>
      </c>
      <c r="AD14" s="1120">
        <v>9.2806164525154138</v>
      </c>
      <c r="AE14" s="224">
        <v>29481.994606924036</v>
      </c>
      <c r="AF14" s="224">
        <v>0</v>
      </c>
      <c r="AG14" s="224">
        <v>261.59999999999997</v>
      </c>
      <c r="AH14" s="224">
        <v>12048.013477633367</v>
      </c>
      <c r="AI14" s="224">
        <v>78000</v>
      </c>
      <c r="AJ14" s="224">
        <v>1235.8047393673185</v>
      </c>
      <c r="AK14" s="224">
        <v>1631.3232079293696</v>
      </c>
      <c r="AL14" s="224">
        <v>0</v>
      </c>
      <c r="AM14" s="224">
        <v>436.00000000000006</v>
      </c>
      <c r="AN14" s="1120">
        <v>123094.73603185407</v>
      </c>
      <c r="AO14" s="224">
        <f t="shared" ref="AO14:AO77" si="0">AD14*$C$4</f>
        <v>1.2228140237834308</v>
      </c>
      <c r="AP14" s="1123">
        <v>0.1</v>
      </c>
      <c r="AQ14" s="1123">
        <f>AQ13</f>
        <v>0.35400422692244193</v>
      </c>
      <c r="AR14" s="1123">
        <v>20</v>
      </c>
      <c r="AS14" s="1123">
        <f t="shared" ref="AS14:AS48" si="1">AO14/$AO$13</f>
        <v>0.92553722272544992</v>
      </c>
      <c r="AT14" s="224">
        <f t="shared" ref="AT14:AT77" si="2">AN14*AQ14</f>
        <v>43576.056867178559</v>
      </c>
    </row>
    <row r="15" spans="1:50">
      <c r="A15" s="1118">
        <v>2025</v>
      </c>
      <c r="B15" s="1119"/>
      <c r="C15" s="1119"/>
      <c r="D15" s="1119" t="s">
        <v>2002</v>
      </c>
      <c r="E15" s="1119" t="s">
        <v>2057</v>
      </c>
      <c r="F15" s="1119"/>
      <c r="G15" s="224">
        <v>26195.292266285</v>
      </c>
      <c r="H15" s="224">
        <v>14867.142864285717</v>
      </c>
      <c r="I15" s="224">
        <v>2.3760000000000003</v>
      </c>
      <c r="J15" s="224">
        <v>0.17168153260518534</v>
      </c>
      <c r="K15" s="224">
        <v>0.10664540168303958</v>
      </c>
      <c r="L15" s="224">
        <v>0.12132105842633337</v>
      </c>
      <c r="M15" s="224">
        <v>0</v>
      </c>
      <c r="N15" s="224">
        <v>0</v>
      </c>
      <c r="O15" s="224">
        <v>0</v>
      </c>
      <c r="P15" s="224">
        <v>0</v>
      </c>
      <c r="Q15" s="224">
        <v>0</v>
      </c>
      <c r="R15" s="224">
        <v>0</v>
      </c>
      <c r="S15" s="224">
        <v>0</v>
      </c>
      <c r="T15" s="224">
        <v>0</v>
      </c>
      <c r="U15" s="224">
        <v>0</v>
      </c>
      <c r="V15" s="224">
        <v>281.7640115785714</v>
      </c>
      <c r="W15" s="224">
        <v>0</v>
      </c>
      <c r="X15" s="224">
        <v>3.2567207357859536</v>
      </c>
      <c r="Y15" s="224">
        <v>2.3760000000000003</v>
      </c>
      <c r="Z15" s="224">
        <v>0</v>
      </c>
      <c r="AA15" s="224">
        <v>63.826054707962932</v>
      </c>
      <c r="AB15" s="224">
        <v>38.955322779931315</v>
      </c>
      <c r="AC15" s="224">
        <v>44.085858181948602</v>
      </c>
      <c r="AD15" s="1120">
        <v>7.8306165260302167</v>
      </c>
      <c r="AE15" s="224">
        <v>29423.839794467323</v>
      </c>
      <c r="AF15" s="224">
        <v>0</v>
      </c>
      <c r="AG15" s="224">
        <v>211.19999999999996</v>
      </c>
      <c r="AH15" s="224">
        <v>11817.22310363203</v>
      </c>
      <c r="AI15" s="224">
        <v>78000</v>
      </c>
      <c r="AJ15" s="224">
        <v>3001.6221048198017</v>
      </c>
      <c r="AK15" s="224">
        <v>4684.2551232572232</v>
      </c>
      <c r="AL15" s="224">
        <v>0</v>
      </c>
      <c r="AM15" s="224">
        <v>352.00000000000006</v>
      </c>
      <c r="AN15" s="1120">
        <v>127490.1401261764</v>
      </c>
      <c r="AO15" s="224">
        <f t="shared" si="0"/>
        <v>1.0317620334697413</v>
      </c>
      <c r="AP15" s="1123">
        <v>0.1</v>
      </c>
      <c r="AQ15" s="1123">
        <f t="shared" ref="AQ15:AQ78" si="3">AQ14</f>
        <v>0.35400422692244193</v>
      </c>
      <c r="AR15" s="1123">
        <v>20</v>
      </c>
      <c r="AS15" s="1123">
        <f t="shared" si="1"/>
        <v>0.78093164487641886</v>
      </c>
      <c r="AT15" s="224">
        <f t="shared" si="2"/>
        <v>45132.048495600866</v>
      </c>
      <c r="AW15" s="224">
        <f>AW13*365</f>
        <v>3540.0422692244192</v>
      </c>
      <c r="AX15" s="224" t="s">
        <v>2073</v>
      </c>
    </row>
    <row r="16" spans="1:50">
      <c r="A16" s="1118">
        <v>2030</v>
      </c>
      <c r="B16" s="1107"/>
      <c r="C16" s="1107"/>
      <c r="D16" s="1107" t="s">
        <v>2002</v>
      </c>
      <c r="E16" s="1107" t="s">
        <v>2057</v>
      </c>
      <c r="F16" s="1107"/>
      <c r="G16" s="224">
        <v>26117.947076364519</v>
      </c>
      <c r="H16" s="224">
        <v>14946.571435714286</v>
      </c>
      <c r="I16" s="224">
        <v>2.3760000000000003</v>
      </c>
      <c r="J16" s="224">
        <v>0.15957393872617764</v>
      </c>
      <c r="K16" s="224">
        <v>9.7323618510881268E-2</v>
      </c>
      <c r="L16" s="224">
        <v>0.11048419632192973</v>
      </c>
      <c r="M16" s="224">
        <v>0</v>
      </c>
      <c r="N16" s="224">
        <v>0</v>
      </c>
      <c r="O16" s="224">
        <v>0</v>
      </c>
      <c r="P16" s="224">
        <v>0</v>
      </c>
      <c r="Q16" s="224">
        <v>0</v>
      </c>
      <c r="R16" s="224">
        <v>0</v>
      </c>
      <c r="S16" s="224">
        <v>0</v>
      </c>
      <c r="T16" s="224">
        <v>0</v>
      </c>
      <c r="U16" s="224">
        <v>0</v>
      </c>
      <c r="V16" s="224">
        <v>278.98241930000006</v>
      </c>
      <c r="W16" s="224">
        <v>0</v>
      </c>
      <c r="X16" s="224">
        <v>3.2973260869565215</v>
      </c>
      <c r="Y16" s="224">
        <v>2.3760000000000003</v>
      </c>
      <c r="Z16" s="224">
        <v>0</v>
      </c>
      <c r="AA16" s="224">
        <v>59.198506197950238</v>
      </c>
      <c r="AB16" s="224">
        <v>35.476576416898716</v>
      </c>
      <c r="AC16" s="224">
        <v>40.058437305236893</v>
      </c>
      <c r="AD16" s="1120">
        <v>7.1386366986433591</v>
      </c>
      <c r="AE16" s="224">
        <v>29691.188496201441</v>
      </c>
      <c r="AF16" s="224">
        <v>0</v>
      </c>
      <c r="AG16" s="224">
        <v>177.59999999999994</v>
      </c>
      <c r="AH16" s="224">
        <v>11710.629622842302</v>
      </c>
      <c r="AI16" s="224">
        <v>78000</v>
      </c>
      <c r="AJ16" s="224">
        <v>4652.3376046714302</v>
      </c>
      <c r="AK16" s="224">
        <v>6053.4260506112532</v>
      </c>
      <c r="AL16" s="224">
        <v>0</v>
      </c>
      <c r="AM16" s="224">
        <v>296</v>
      </c>
      <c r="AN16" s="1120">
        <v>130581.18177432647</v>
      </c>
      <c r="AO16" s="224">
        <f t="shared" si="0"/>
        <v>0.94058677141324887</v>
      </c>
      <c r="AP16" s="1123">
        <v>0.1</v>
      </c>
      <c r="AQ16" s="1123">
        <f t="shared" si="3"/>
        <v>0.35400422692244193</v>
      </c>
      <c r="AR16" s="1123">
        <v>20</v>
      </c>
      <c r="AS16" s="1123">
        <f t="shared" si="1"/>
        <v>0.71192188772304776</v>
      </c>
      <c r="AT16" s="224">
        <f t="shared" si="2"/>
        <v>46226.290304639304</v>
      </c>
    </row>
    <row r="17" spans="1:50">
      <c r="A17" s="1118">
        <v>2035</v>
      </c>
      <c r="B17" s="1119"/>
      <c r="C17" s="1119"/>
      <c r="D17" s="1119" t="s">
        <v>2002</v>
      </c>
      <c r="E17" s="1119" t="s">
        <v>2057</v>
      </c>
      <c r="F17" s="1119"/>
      <c r="G17" s="224">
        <v>26069.45064160672</v>
      </c>
      <c r="H17" s="224">
        <v>15014.842857142854</v>
      </c>
      <c r="I17" s="224">
        <v>2.3760000000000003</v>
      </c>
      <c r="J17" s="224">
        <v>0.15291445572180104</v>
      </c>
      <c r="K17" s="224">
        <v>9.2203225081430543E-2</v>
      </c>
      <c r="L17" s="224">
        <v>0.10449100066881481</v>
      </c>
      <c r="M17" s="224">
        <v>0</v>
      </c>
      <c r="N17" s="224">
        <v>0</v>
      </c>
      <c r="O17" s="224">
        <v>0</v>
      </c>
      <c r="P17" s="224">
        <v>0</v>
      </c>
      <c r="Q17" s="224">
        <v>0</v>
      </c>
      <c r="R17" s="224">
        <v>0</v>
      </c>
      <c r="S17" s="224">
        <v>0</v>
      </c>
      <c r="T17" s="224">
        <v>0</v>
      </c>
      <c r="U17" s="224">
        <v>0</v>
      </c>
      <c r="V17" s="224">
        <v>277.53540537142857</v>
      </c>
      <c r="W17" s="224">
        <v>0</v>
      </c>
      <c r="X17" s="224">
        <v>3.2973260869565215</v>
      </c>
      <c r="Y17" s="224">
        <v>2.3760000000000003</v>
      </c>
      <c r="Z17" s="224">
        <v>0</v>
      </c>
      <c r="AA17" s="224">
        <v>56.74412582077575</v>
      </c>
      <c r="AB17" s="224">
        <v>33.631101688178283</v>
      </c>
      <c r="AC17" s="224">
        <v>37.904508354029971</v>
      </c>
      <c r="AD17" s="1120">
        <v>6.7386069924535423</v>
      </c>
      <c r="AE17" s="224">
        <v>29942.241707242159</v>
      </c>
      <c r="AF17" s="224">
        <v>0</v>
      </c>
      <c r="AG17" s="224">
        <v>144</v>
      </c>
      <c r="AH17" s="224">
        <v>11655.178558865069</v>
      </c>
      <c r="AI17" s="224">
        <v>78000</v>
      </c>
      <c r="AJ17" s="224">
        <v>6198.9956242500029</v>
      </c>
      <c r="AK17" s="224">
        <v>7508.9546426144352</v>
      </c>
      <c r="AL17" s="224">
        <v>0</v>
      </c>
      <c r="AM17" s="224">
        <v>240</v>
      </c>
      <c r="AN17" s="1120">
        <v>133689.37053297169</v>
      </c>
      <c r="AO17" s="224">
        <f t="shared" si="0"/>
        <v>0.88787885732567862</v>
      </c>
      <c r="AP17" s="1123">
        <v>0.1</v>
      </c>
      <c r="AQ17" s="1123">
        <f t="shared" si="3"/>
        <v>0.35400422692244193</v>
      </c>
      <c r="AR17" s="1123">
        <v>20</v>
      </c>
      <c r="AS17" s="1123">
        <f t="shared" si="1"/>
        <v>0.67202772927258725</v>
      </c>
      <c r="AT17" s="224">
        <f t="shared" si="2"/>
        <v>47326.602263272529</v>
      </c>
    </row>
    <row r="18" spans="1:50">
      <c r="A18" s="1118">
        <v>2050</v>
      </c>
      <c r="B18" s="1107"/>
      <c r="C18" s="1107"/>
      <c r="D18" s="1107" t="s">
        <v>2002</v>
      </c>
      <c r="E18" s="1107" t="s">
        <v>2057</v>
      </c>
      <c r="F18" s="1107"/>
      <c r="G18" s="224">
        <v>25863.710394384048</v>
      </c>
      <c r="H18" s="224">
        <v>15132.571428571429</v>
      </c>
      <c r="I18" s="224">
        <v>2.3760000000000003</v>
      </c>
      <c r="J18" s="224">
        <v>0.14396819386129797</v>
      </c>
      <c r="K18" s="224">
        <v>8.5966418327038177E-2</v>
      </c>
      <c r="L18" s="224">
        <v>9.7330107363680668E-2</v>
      </c>
      <c r="M18" s="224">
        <v>0</v>
      </c>
      <c r="N18" s="224">
        <v>0</v>
      </c>
      <c r="O18" s="224">
        <v>0</v>
      </c>
      <c r="P18" s="224">
        <v>0</v>
      </c>
      <c r="Q18" s="224">
        <v>0</v>
      </c>
      <c r="R18" s="224">
        <v>0</v>
      </c>
      <c r="S18" s="224">
        <v>0</v>
      </c>
      <c r="T18" s="224">
        <v>0</v>
      </c>
      <c r="U18" s="224">
        <v>0</v>
      </c>
      <c r="V18" s="224">
        <v>273.7042530357142</v>
      </c>
      <c r="W18" s="224">
        <v>0</v>
      </c>
      <c r="X18" s="224">
        <v>3.2973260869565215</v>
      </c>
      <c r="Y18" s="224">
        <v>2.3760000000000003</v>
      </c>
      <c r="Z18" s="224">
        <v>0</v>
      </c>
      <c r="AA18" s="224">
        <v>53.506648598408908</v>
      </c>
      <c r="AB18" s="224">
        <v>31.458414224639274</v>
      </c>
      <c r="AC18" s="224">
        <v>35.4325252239639</v>
      </c>
      <c r="AD18" s="1120">
        <v>6.2334834458202755</v>
      </c>
      <c r="AE18" s="224">
        <v>30406.811189858428</v>
      </c>
      <c r="AF18" s="224">
        <v>0</v>
      </c>
      <c r="AG18" s="224">
        <v>144</v>
      </c>
      <c r="AH18" s="224">
        <v>11508.364855776552</v>
      </c>
      <c r="AI18" s="224">
        <v>78000</v>
      </c>
      <c r="AJ18" s="224">
        <v>8872.2189929999986</v>
      </c>
      <c r="AK18" s="224">
        <v>9328.7717626399844</v>
      </c>
      <c r="AL18" s="224">
        <v>0</v>
      </c>
      <c r="AM18" s="224">
        <v>240</v>
      </c>
      <c r="AN18" s="1120">
        <v>138500.16680127496</v>
      </c>
      <c r="AO18" s="224">
        <f t="shared" si="0"/>
        <v>0.82132377882127938</v>
      </c>
      <c r="AP18" s="1123">
        <v>0.1</v>
      </c>
      <c r="AQ18" s="1123">
        <f t="shared" si="3"/>
        <v>0.35400422692244193</v>
      </c>
      <c r="AR18" s="1123">
        <v>20</v>
      </c>
      <c r="AS18" s="1123">
        <f t="shared" si="1"/>
        <v>0.62165277337647662</v>
      </c>
      <c r="AT18" s="224">
        <f t="shared" si="2"/>
        <v>49029.644477114598</v>
      </c>
      <c r="AW18" s="224">
        <v>9.7627813729303412</v>
      </c>
      <c r="AX18" s="224" t="s">
        <v>2071</v>
      </c>
    </row>
    <row r="19" spans="1:50">
      <c r="A19" s="1118">
        <v>2017</v>
      </c>
      <c r="B19" s="1119"/>
      <c r="C19" s="1119"/>
      <c r="D19" s="1107" t="s">
        <v>2002</v>
      </c>
      <c r="E19" s="1119" t="s">
        <v>2058</v>
      </c>
      <c r="F19" s="1119"/>
      <c r="G19" s="224">
        <v>27064.634931718221</v>
      </c>
      <c r="H19" s="224">
        <v>15303</v>
      </c>
      <c r="I19" s="224">
        <v>0.48412446720000002</v>
      </c>
      <c r="J19" s="224">
        <v>0.1996787429222229</v>
      </c>
      <c r="K19" s="224">
        <v>0.13806601477218242</v>
      </c>
      <c r="L19" s="224">
        <v>0.16342551705769728</v>
      </c>
      <c r="M19" s="224">
        <v>0</v>
      </c>
      <c r="N19" s="224">
        <v>0</v>
      </c>
      <c r="O19" s="224">
        <v>0</v>
      </c>
      <c r="P19" s="224">
        <v>0</v>
      </c>
      <c r="Q19" s="224">
        <v>0</v>
      </c>
      <c r="R19" s="224">
        <v>0</v>
      </c>
      <c r="S19" s="224">
        <v>0</v>
      </c>
      <c r="T19" s="224">
        <v>0</v>
      </c>
      <c r="U19" s="224">
        <v>0</v>
      </c>
      <c r="V19" s="224">
        <v>299.68644853333331</v>
      </c>
      <c r="W19" s="224">
        <v>14</v>
      </c>
      <c r="X19" s="224">
        <v>14.215581550239234</v>
      </c>
      <c r="Y19" s="224">
        <v>0.48412446720000002</v>
      </c>
      <c r="Z19" s="224">
        <v>0</v>
      </c>
      <c r="AA19" s="224">
        <v>68.273245431470727</v>
      </c>
      <c r="AB19" s="224">
        <v>46.40919616719561</v>
      </c>
      <c r="AC19" s="224">
        <v>54.500515295319644</v>
      </c>
      <c r="AD19" s="1120">
        <v>9.9757543924584038</v>
      </c>
      <c r="AE19" s="224">
        <v>30568.311523208951</v>
      </c>
      <c r="AF19" s="224">
        <v>2238.6</v>
      </c>
      <c r="AG19" s="224">
        <v>657.03734372440192</v>
      </c>
      <c r="AH19" s="224">
        <v>12504.029345495663</v>
      </c>
      <c r="AI19" s="224">
        <v>77200</v>
      </c>
      <c r="AJ19" s="224">
        <v>0</v>
      </c>
      <c r="AK19" s="224">
        <v>791.37040000000013</v>
      </c>
      <c r="AL19" s="224">
        <v>0</v>
      </c>
      <c r="AM19" s="224">
        <v>436.00000000000006</v>
      </c>
      <c r="AN19" s="1120">
        <v>124395.34861242901</v>
      </c>
      <c r="AO19" s="224">
        <f t="shared" si="0"/>
        <v>1.3144053987503193</v>
      </c>
      <c r="AP19" s="1123">
        <v>0.1</v>
      </c>
      <c r="AQ19" s="1123">
        <f t="shared" si="3"/>
        <v>0.35400422692244193</v>
      </c>
      <c r="AR19" s="1123">
        <v>20</v>
      </c>
      <c r="AS19" s="1123">
        <f t="shared" si="1"/>
        <v>0.99486193209554197</v>
      </c>
      <c r="AT19" s="224">
        <f t="shared" si="2"/>
        <v>44036.479218290588</v>
      </c>
    </row>
    <row r="20" spans="1:50">
      <c r="A20" s="1121">
        <v>2020</v>
      </c>
      <c r="D20" s="1107" t="s">
        <v>2002</v>
      </c>
      <c r="E20" s="224" t="s">
        <v>2058</v>
      </c>
      <c r="G20" s="224">
        <v>26933.67908247991</v>
      </c>
      <c r="H20" s="224">
        <v>15351.977766666669</v>
      </c>
      <c r="I20" s="224">
        <v>0.41651681280000008</v>
      </c>
      <c r="J20" s="224">
        <v>0.18730253189038781</v>
      </c>
      <c r="K20" s="224">
        <v>0.12679058464843229</v>
      </c>
      <c r="L20" s="224">
        <v>0.148829156445658</v>
      </c>
      <c r="M20" s="224">
        <v>0</v>
      </c>
      <c r="N20" s="224">
        <v>0</v>
      </c>
      <c r="O20" s="224">
        <v>0</v>
      </c>
      <c r="P20" s="224">
        <v>0</v>
      </c>
      <c r="Q20" s="224">
        <v>0</v>
      </c>
      <c r="R20" s="224">
        <v>0</v>
      </c>
      <c r="S20" s="224">
        <v>0</v>
      </c>
      <c r="T20" s="224">
        <v>0</v>
      </c>
      <c r="U20" s="224">
        <v>0</v>
      </c>
      <c r="V20" s="224">
        <v>291.91944619999998</v>
      </c>
      <c r="W20" s="224">
        <v>12.117333333333335</v>
      </c>
      <c r="X20" s="224">
        <v>12.239094047846889</v>
      </c>
      <c r="Y20" s="224">
        <v>0.41651681280000008</v>
      </c>
      <c r="Z20" s="224">
        <v>0</v>
      </c>
      <c r="AA20" s="224">
        <v>63.867094268472336</v>
      </c>
      <c r="AB20" s="224">
        <v>42.53484647536893</v>
      </c>
      <c r="AC20" s="224">
        <v>49.560332426153757</v>
      </c>
      <c r="AD20" s="1120">
        <v>9.1263532909671898</v>
      </c>
      <c r="AE20" s="224">
        <v>29944.409095160761</v>
      </c>
      <c r="AF20" s="224">
        <v>1413.3756000000001</v>
      </c>
      <c r="AG20" s="224">
        <v>565.28252306985644</v>
      </c>
      <c r="AH20" s="224">
        <v>12206.389817089599</v>
      </c>
      <c r="AI20" s="224">
        <v>77200</v>
      </c>
      <c r="AJ20" s="224">
        <v>1248.1013039381367</v>
      </c>
      <c r="AK20" s="224">
        <v>1864.475097070389</v>
      </c>
      <c r="AL20" s="224">
        <v>0</v>
      </c>
      <c r="AM20" s="224">
        <v>436.00000000000006</v>
      </c>
      <c r="AN20" s="1120">
        <v>124878.03343632874</v>
      </c>
      <c r="AO20" s="224">
        <f t="shared" si="0"/>
        <v>1.2024883096178369</v>
      </c>
      <c r="AP20" s="1123">
        <v>0.1</v>
      </c>
      <c r="AQ20" s="1123">
        <f t="shared" si="3"/>
        <v>0.35400422692244193</v>
      </c>
      <c r="AR20" s="1123">
        <v>20</v>
      </c>
      <c r="AS20" s="1123">
        <f t="shared" si="1"/>
        <v>0.91015286772718984</v>
      </c>
      <c r="AT20" s="224">
        <f t="shared" si="2"/>
        <v>44207.351686222413</v>
      </c>
      <c r="AW20" s="224">
        <f>AW18*1000000/AW15</f>
        <v>2757.8149158849587</v>
      </c>
      <c r="AX20" s="224" t="s">
        <v>2069</v>
      </c>
    </row>
    <row r="21" spans="1:50">
      <c r="A21" s="1118">
        <v>2025</v>
      </c>
      <c r="D21" s="1107" t="s">
        <v>2002</v>
      </c>
      <c r="E21" s="224" t="s">
        <v>2058</v>
      </c>
      <c r="G21" s="224">
        <v>26751.233065459473</v>
      </c>
      <c r="H21" s="224">
        <v>15429.111116666667</v>
      </c>
      <c r="I21" s="224">
        <v>0.33284190720000001</v>
      </c>
      <c r="J21" s="224">
        <v>0.17238403550125492</v>
      </c>
      <c r="K21" s="224">
        <v>0.10778459570583571</v>
      </c>
      <c r="L21" s="224">
        <v>0.12400449076458737</v>
      </c>
      <c r="M21" s="224">
        <v>0</v>
      </c>
      <c r="N21" s="224">
        <v>0</v>
      </c>
      <c r="O21" s="224">
        <v>0</v>
      </c>
      <c r="P21" s="224">
        <v>0</v>
      </c>
      <c r="Q21" s="224">
        <v>0</v>
      </c>
      <c r="R21" s="224">
        <v>0</v>
      </c>
      <c r="S21" s="224">
        <v>0</v>
      </c>
      <c r="T21" s="224">
        <v>0</v>
      </c>
      <c r="U21" s="224">
        <v>0</v>
      </c>
      <c r="V21" s="224">
        <v>285.55183858333334</v>
      </c>
      <c r="W21" s="224">
        <v>9.6253333333333337</v>
      </c>
      <c r="X21" s="224">
        <v>9.1781984365108578</v>
      </c>
      <c r="Y21" s="224">
        <v>0.33284190720000001</v>
      </c>
      <c r="Z21" s="224">
        <v>0</v>
      </c>
      <c r="AA21" s="224">
        <v>58.950679135830207</v>
      </c>
      <c r="AB21" s="224">
        <v>36.392585050499342</v>
      </c>
      <c r="AC21" s="224">
        <v>41.653059360502169</v>
      </c>
      <c r="AD21" s="1120">
        <v>7.7095277276779193</v>
      </c>
      <c r="AE21" s="224">
        <v>29846.466359674709</v>
      </c>
      <c r="AF21" s="224">
        <v>689.96080000000018</v>
      </c>
      <c r="AG21" s="224">
        <v>307.2586829110931</v>
      </c>
      <c r="AH21" s="224">
        <v>11962.376535419047</v>
      </c>
      <c r="AI21" s="224">
        <v>77200</v>
      </c>
      <c r="AJ21" s="224">
        <v>2980.6412058654009</v>
      </c>
      <c r="AK21" s="224">
        <v>5016.6108153929827</v>
      </c>
      <c r="AL21" s="224">
        <v>0</v>
      </c>
      <c r="AM21" s="224">
        <v>352.00000000000006</v>
      </c>
      <c r="AN21" s="1120">
        <v>128355.31439926322</v>
      </c>
      <c r="AO21" s="224">
        <f t="shared" si="0"/>
        <v>1.0158073733988426</v>
      </c>
      <c r="AP21" s="1123">
        <v>0.1</v>
      </c>
      <c r="AQ21" s="1123">
        <f t="shared" si="3"/>
        <v>0.35400422692244193</v>
      </c>
      <c r="AR21" s="1123">
        <v>20</v>
      </c>
      <c r="AS21" s="1123">
        <f t="shared" si="1"/>
        <v>0.76885570243190904</v>
      </c>
      <c r="AT21" s="224">
        <f t="shared" si="2"/>
        <v>45438.32384529816</v>
      </c>
      <c r="AW21" s="224">
        <v>24123</v>
      </c>
      <c r="AX21" s="224" t="s">
        <v>2070</v>
      </c>
    </row>
    <row r="22" spans="1:50">
      <c r="A22" s="1118">
        <v>2030</v>
      </c>
      <c r="D22" s="1107" t="s">
        <v>2002</v>
      </c>
      <c r="E22" s="224" t="s">
        <v>2058</v>
      </c>
      <c r="G22" s="224">
        <v>26579.322414015111</v>
      </c>
      <c r="H22" s="224">
        <v>15509.111116666667</v>
      </c>
      <c r="I22" s="224">
        <v>0.27232888319999998</v>
      </c>
      <c r="J22" s="224">
        <v>0.15984744337042828</v>
      </c>
      <c r="K22" s="224">
        <v>9.8031943713811465E-2</v>
      </c>
      <c r="L22" s="224">
        <v>0.11229520588268865</v>
      </c>
      <c r="M22" s="224">
        <v>0</v>
      </c>
      <c r="N22" s="224">
        <v>0</v>
      </c>
      <c r="O22" s="224">
        <v>0</v>
      </c>
      <c r="P22" s="224">
        <v>0</v>
      </c>
      <c r="Q22" s="224">
        <v>0</v>
      </c>
      <c r="R22" s="224">
        <v>0</v>
      </c>
      <c r="S22" s="224">
        <v>0</v>
      </c>
      <c r="T22" s="224">
        <v>0</v>
      </c>
      <c r="U22" s="224">
        <v>0</v>
      </c>
      <c r="V22" s="224">
        <v>283.00400015000002</v>
      </c>
      <c r="W22" s="224">
        <v>7.8753333333333337</v>
      </c>
      <c r="X22" s="224">
        <v>6.174096946651602</v>
      </c>
      <c r="Y22" s="224">
        <v>0.27232888319999998</v>
      </c>
      <c r="Z22" s="224">
        <v>0</v>
      </c>
      <c r="AA22" s="224">
        <v>54.640994921058883</v>
      </c>
      <c r="AB22" s="224">
        <v>33.064758414850395</v>
      </c>
      <c r="AC22" s="224">
        <v>37.692864771707981</v>
      </c>
      <c r="AD22" s="1120">
        <v>6.9923396615588631</v>
      </c>
      <c r="AE22" s="224">
        <v>30170.945759665145</v>
      </c>
      <c r="AF22" s="224">
        <v>434.70764000000008</v>
      </c>
      <c r="AG22" s="224">
        <v>160.75132163888233</v>
      </c>
      <c r="AH22" s="224">
        <v>11864.740742714612</v>
      </c>
      <c r="AI22" s="224">
        <v>77200</v>
      </c>
      <c r="AJ22" s="224">
        <v>4645.2328152999999</v>
      </c>
      <c r="AK22" s="224">
        <v>6503.1130127197384</v>
      </c>
      <c r="AL22" s="224">
        <v>0</v>
      </c>
      <c r="AM22" s="224">
        <v>296</v>
      </c>
      <c r="AN22" s="1120">
        <v>131275.49129203838</v>
      </c>
      <c r="AO22" s="224">
        <f t="shared" si="0"/>
        <v>0.92131067380699572</v>
      </c>
      <c r="AP22" s="1123">
        <v>0.1</v>
      </c>
      <c r="AQ22" s="1123">
        <f t="shared" si="3"/>
        <v>0.35400422692244193</v>
      </c>
      <c r="AR22" s="1123">
        <v>20</v>
      </c>
      <c r="AS22" s="1123">
        <f t="shared" si="1"/>
        <v>0.69733197830388993</v>
      </c>
      <c r="AT22" s="224">
        <f t="shared" si="2"/>
        <v>46472.078808701801</v>
      </c>
    </row>
    <row r="23" spans="1:50">
      <c r="A23" s="1118">
        <v>2035</v>
      </c>
      <c r="D23" s="1107" t="s">
        <v>2002</v>
      </c>
      <c r="E23" s="224" t="s">
        <v>2058</v>
      </c>
      <c r="G23" s="224">
        <v>26428.452296018761</v>
      </c>
      <c r="H23" s="224">
        <v>15580.433333333334</v>
      </c>
      <c r="I23" s="224">
        <v>0.24206223360000004</v>
      </c>
      <c r="J23" s="224">
        <v>0.1531460094703587</v>
      </c>
      <c r="K23" s="224">
        <v>9.2556344439821039E-2</v>
      </c>
      <c r="L23" s="224">
        <v>0.10565727415765568</v>
      </c>
      <c r="M23" s="224">
        <v>0</v>
      </c>
      <c r="N23" s="224">
        <v>0</v>
      </c>
      <c r="O23" s="224">
        <v>0</v>
      </c>
      <c r="P23" s="224">
        <v>0</v>
      </c>
      <c r="Q23" s="224">
        <v>0</v>
      </c>
      <c r="R23" s="224">
        <v>0</v>
      </c>
      <c r="S23" s="224">
        <v>0</v>
      </c>
      <c r="T23" s="224">
        <v>0</v>
      </c>
      <c r="U23" s="224">
        <v>0</v>
      </c>
      <c r="V23" s="224">
        <v>281.05052640000002</v>
      </c>
      <c r="W23" s="224">
        <v>7</v>
      </c>
      <c r="X23" s="224">
        <v>4.5745021484716135</v>
      </c>
      <c r="Y23" s="224">
        <v>0.24206223360000004</v>
      </c>
      <c r="Z23" s="224">
        <v>0</v>
      </c>
      <c r="AA23" s="224">
        <v>52.401365769806553</v>
      </c>
      <c r="AB23" s="224">
        <v>31.249715520685324</v>
      </c>
      <c r="AC23" s="224">
        <v>35.508543825484701</v>
      </c>
      <c r="AD23" s="1120">
        <v>6.571796648484125</v>
      </c>
      <c r="AE23" s="224">
        <v>30355.09871399324</v>
      </c>
      <c r="AF23" s="224">
        <v>322.20479999999998</v>
      </c>
      <c r="AG23" s="224">
        <v>90.026186955458471</v>
      </c>
      <c r="AH23" s="224">
        <v>11789.881616793109</v>
      </c>
      <c r="AI23" s="224">
        <v>77200</v>
      </c>
      <c r="AJ23" s="224">
        <v>6260.6771727500018</v>
      </c>
      <c r="AK23" s="224">
        <v>8246.7711471673647</v>
      </c>
      <c r="AL23" s="224">
        <v>0</v>
      </c>
      <c r="AM23" s="224">
        <v>240</v>
      </c>
      <c r="AN23" s="1120">
        <v>134504.65963765918</v>
      </c>
      <c r="AO23" s="224">
        <f t="shared" si="0"/>
        <v>0.86589992640426827</v>
      </c>
      <c r="AP23" s="1123">
        <v>0.1</v>
      </c>
      <c r="AQ23" s="1123">
        <f t="shared" si="3"/>
        <v>0.35400422692244193</v>
      </c>
      <c r="AR23" s="1123">
        <v>20</v>
      </c>
      <c r="AS23" s="1123">
        <f t="shared" si="1"/>
        <v>0.65539206899406288</v>
      </c>
      <c r="AT23" s="224">
        <f t="shared" si="2"/>
        <v>47615.218052495715</v>
      </c>
    </row>
    <row r="24" spans="1:50">
      <c r="A24" s="1118">
        <v>2050</v>
      </c>
      <c r="D24" s="1107" t="s">
        <v>2002</v>
      </c>
      <c r="E24" s="224" t="s">
        <v>2058</v>
      </c>
      <c r="G24" s="224">
        <v>26174.90858593733</v>
      </c>
      <c r="H24" s="224">
        <v>15699.333333333334</v>
      </c>
      <c r="I24" s="224">
        <v>0.18154752000000005</v>
      </c>
      <c r="J24" s="224">
        <v>0.14475690294206744</v>
      </c>
      <c r="K24" s="224">
        <v>8.6241312804220316E-2</v>
      </c>
      <c r="L24" s="224">
        <v>9.8144165948491444E-2</v>
      </c>
      <c r="M24" s="224">
        <v>0</v>
      </c>
      <c r="N24" s="224">
        <v>0</v>
      </c>
      <c r="O24" s="224">
        <v>0</v>
      </c>
      <c r="P24" s="224">
        <v>0</v>
      </c>
      <c r="Q24" s="224">
        <v>0</v>
      </c>
      <c r="R24" s="224">
        <v>0</v>
      </c>
      <c r="S24" s="224">
        <v>0</v>
      </c>
      <c r="T24" s="224">
        <v>0</v>
      </c>
      <c r="U24" s="224">
        <v>0</v>
      </c>
      <c r="V24" s="224">
        <v>277.31043770000002</v>
      </c>
      <c r="W24" s="224">
        <v>5.25</v>
      </c>
      <c r="X24" s="224">
        <v>3.4308925764192129</v>
      </c>
      <c r="Y24" s="224">
        <v>0.18154752000000005</v>
      </c>
      <c r="Z24" s="224">
        <v>0</v>
      </c>
      <c r="AA24" s="224">
        <v>49.585186569049476</v>
      </c>
      <c r="AB24" s="224">
        <v>29.217265626344936</v>
      </c>
      <c r="AC24" s="224">
        <v>33.112056706393943</v>
      </c>
      <c r="AD24" s="1120">
        <v>6.0732321204434214</v>
      </c>
      <c r="AE24" s="224">
        <v>30813.759914632286</v>
      </c>
      <c r="AF24" s="224">
        <v>145.26</v>
      </c>
      <c r="AG24" s="224">
        <v>64.50072934847158</v>
      </c>
      <c r="AH24" s="224">
        <v>11646.557566008756</v>
      </c>
      <c r="AI24" s="224">
        <v>77200</v>
      </c>
      <c r="AJ24" s="224">
        <v>8960.4997789999998</v>
      </c>
      <c r="AK24" s="224">
        <v>10325.102059837716</v>
      </c>
      <c r="AL24" s="224">
        <v>0</v>
      </c>
      <c r="AM24" s="224">
        <v>240</v>
      </c>
      <c r="AN24" s="1120">
        <v>139395.68004882723</v>
      </c>
      <c r="AO24" s="224">
        <f t="shared" si="0"/>
        <v>0.80020906418962512</v>
      </c>
      <c r="AP24" s="1123">
        <v>0.1</v>
      </c>
      <c r="AQ24" s="1123">
        <f t="shared" si="3"/>
        <v>0.35400422692244193</v>
      </c>
      <c r="AR24" s="1123">
        <v>20</v>
      </c>
      <c r="AS24" s="1123">
        <f t="shared" si="1"/>
        <v>0.60567123083711594</v>
      </c>
      <c r="AT24" s="224">
        <f t="shared" si="2"/>
        <v>49346.659952013142</v>
      </c>
    </row>
    <row r="25" spans="1:50">
      <c r="A25" s="1118">
        <v>2017</v>
      </c>
      <c r="D25" s="1107" t="s">
        <v>2002</v>
      </c>
      <c r="E25" s="224" t="s">
        <v>2059</v>
      </c>
      <c r="G25" s="224">
        <v>27322.508461019064</v>
      </c>
      <c r="H25" s="224">
        <v>15303</v>
      </c>
      <c r="I25" s="224">
        <v>3.1046400000000003</v>
      </c>
      <c r="J25" s="224">
        <v>0.19623957929621064</v>
      </c>
      <c r="K25" s="224">
        <v>0.14131658301024555</v>
      </c>
      <c r="L25" s="224">
        <v>0.16005264821116735</v>
      </c>
      <c r="M25" s="224">
        <v>0</v>
      </c>
      <c r="N25" s="224">
        <v>0</v>
      </c>
      <c r="O25" s="224">
        <v>0</v>
      </c>
      <c r="P25" s="224">
        <v>0</v>
      </c>
      <c r="Q25" s="224">
        <v>0</v>
      </c>
      <c r="R25" s="224">
        <v>0</v>
      </c>
      <c r="S25" s="224">
        <v>0</v>
      </c>
      <c r="T25" s="224">
        <v>0</v>
      </c>
      <c r="U25" s="224">
        <v>0</v>
      </c>
      <c r="V25" s="224">
        <v>298.93931560000004</v>
      </c>
      <c r="W25" s="224">
        <v>74.0372737</v>
      </c>
      <c r="X25" s="224">
        <v>96.640191387559796</v>
      </c>
      <c r="Y25" s="224">
        <v>3.1046400000000003</v>
      </c>
      <c r="Z25" s="224">
        <v>0</v>
      </c>
      <c r="AA25" s="224">
        <v>67.106824171911384</v>
      </c>
      <c r="AB25" s="224">
        <v>47.534969912251704</v>
      </c>
      <c r="AC25" s="224">
        <v>53.842425871708741</v>
      </c>
      <c r="AD25" s="1120">
        <v>9.8245444546329725</v>
      </c>
      <c r="AE25" s="224">
        <v>30596.843031001426</v>
      </c>
      <c r="AF25" s="224">
        <v>4814.1990417300003</v>
      </c>
      <c r="AG25" s="224">
        <v>4213.512344497607</v>
      </c>
      <c r="AH25" s="224">
        <v>13705.966834241088</v>
      </c>
      <c r="AI25" s="224">
        <v>77200</v>
      </c>
      <c r="AJ25" s="224">
        <v>0</v>
      </c>
      <c r="AK25" s="224">
        <v>791.37040000000013</v>
      </c>
      <c r="AL25" s="224">
        <v>0</v>
      </c>
      <c r="AM25" s="224">
        <v>436.00000000000006</v>
      </c>
      <c r="AN25" s="1120">
        <v>131757.89165147013</v>
      </c>
      <c r="AO25" s="224">
        <f t="shared" si="0"/>
        <v>1.2944819773424403</v>
      </c>
      <c r="AP25" s="1123">
        <v>0.1</v>
      </c>
      <c r="AQ25" s="1123">
        <f t="shared" si="3"/>
        <v>0.35400422692244193</v>
      </c>
      <c r="AR25" s="1123">
        <v>20</v>
      </c>
      <c r="AS25" s="1123">
        <f t="shared" si="1"/>
        <v>0.97978206896150344</v>
      </c>
      <c r="AT25" s="224">
        <f t="shared" si="2"/>
        <v>46642.85057500955</v>
      </c>
    </row>
    <row r="26" spans="1:50">
      <c r="A26" s="1121">
        <v>2020</v>
      </c>
      <c r="D26" s="1107" t="s">
        <v>2002</v>
      </c>
      <c r="E26" s="224" t="s">
        <v>2059</v>
      </c>
      <c r="G26" s="224">
        <v>27213.060441985086</v>
      </c>
      <c r="H26" s="224">
        <v>15351.977766666669</v>
      </c>
      <c r="I26" s="224">
        <v>3.1468800000000008</v>
      </c>
      <c r="J26" s="224">
        <v>0.1833500943814986</v>
      </c>
      <c r="K26" s="224">
        <v>0.12996531502040404</v>
      </c>
      <c r="L26" s="224">
        <v>0.14761022126558498</v>
      </c>
      <c r="M26" s="224">
        <v>0</v>
      </c>
      <c r="N26" s="224">
        <v>0</v>
      </c>
      <c r="O26" s="224">
        <v>0</v>
      </c>
      <c r="P26" s="224">
        <v>0</v>
      </c>
      <c r="Q26" s="224">
        <v>0</v>
      </c>
      <c r="R26" s="224">
        <v>0</v>
      </c>
      <c r="S26" s="224">
        <v>0</v>
      </c>
      <c r="T26" s="224">
        <v>0</v>
      </c>
      <c r="U26" s="224">
        <v>0</v>
      </c>
      <c r="V26" s="224">
        <v>295.21398793333339</v>
      </c>
      <c r="W26" s="224">
        <v>75.205901233333336</v>
      </c>
      <c r="X26" s="224">
        <v>97.955023923444955</v>
      </c>
      <c r="Y26" s="224">
        <v>3.1468800000000008</v>
      </c>
      <c r="Z26" s="224">
        <v>0</v>
      </c>
      <c r="AA26" s="224">
        <v>62.4935100073915</v>
      </c>
      <c r="AB26" s="224">
        <v>43.624002541478553</v>
      </c>
      <c r="AC26" s="224">
        <v>49.5445642739002</v>
      </c>
      <c r="AD26" s="1120">
        <v>9.0616292788267572</v>
      </c>
      <c r="AE26" s="224">
        <v>30554.429963345901</v>
      </c>
      <c r="AF26" s="224">
        <v>3504.7616258849994</v>
      </c>
      <c r="AG26" s="224">
        <v>4270.8390430622003</v>
      </c>
      <c r="AH26" s="224">
        <v>13582.632118651369</v>
      </c>
      <c r="AI26" s="224">
        <v>77200</v>
      </c>
      <c r="AJ26" s="224">
        <v>1248.1013039381367</v>
      </c>
      <c r="AK26" s="224">
        <v>1864.475097070389</v>
      </c>
      <c r="AL26" s="224">
        <v>0</v>
      </c>
      <c r="AM26" s="224">
        <v>436.00000000000006</v>
      </c>
      <c r="AN26" s="1120">
        <v>132661.23915195299</v>
      </c>
      <c r="AO26" s="224">
        <f t="shared" si="0"/>
        <v>1.1939602737782133</v>
      </c>
      <c r="AP26" s="1123">
        <v>0.1</v>
      </c>
      <c r="AQ26" s="1123">
        <f t="shared" si="3"/>
        <v>0.35400422692244193</v>
      </c>
      <c r="AR26" s="1123">
        <v>20</v>
      </c>
      <c r="AS26" s="1123">
        <f t="shared" si="1"/>
        <v>0.90369807210594977</v>
      </c>
      <c r="AT26" s="224">
        <f t="shared" si="2"/>
        <v>46962.639408560302</v>
      </c>
    </row>
    <row r="27" spans="1:50">
      <c r="A27" s="1118">
        <v>2025</v>
      </c>
      <c r="D27" s="1107" t="s">
        <v>2002</v>
      </c>
      <c r="E27" s="224" t="s">
        <v>2059</v>
      </c>
      <c r="G27" s="224">
        <v>26898.752966467157</v>
      </c>
      <c r="H27" s="224">
        <v>15429.111116666667</v>
      </c>
      <c r="I27" s="224">
        <v>3.1891200000000004</v>
      </c>
      <c r="J27" s="224">
        <v>0.16272260250742993</v>
      </c>
      <c r="K27" s="224">
        <v>0.10863143297947618</v>
      </c>
      <c r="L27" s="224">
        <v>0.1238592451865513</v>
      </c>
      <c r="M27" s="224">
        <v>0</v>
      </c>
      <c r="N27" s="224">
        <v>0</v>
      </c>
      <c r="O27" s="224">
        <v>0</v>
      </c>
      <c r="P27" s="224">
        <v>0</v>
      </c>
      <c r="Q27" s="224">
        <v>0</v>
      </c>
      <c r="R27" s="224">
        <v>0</v>
      </c>
      <c r="S27" s="224">
        <v>0</v>
      </c>
      <c r="T27" s="224">
        <v>0</v>
      </c>
      <c r="U27" s="224">
        <v>0</v>
      </c>
      <c r="V27" s="224">
        <v>291.69065398333333</v>
      </c>
      <c r="W27" s="224">
        <v>76.288419266666665</v>
      </c>
      <c r="X27" s="224">
        <v>89.972561648877431</v>
      </c>
      <c r="Y27" s="224">
        <v>3.1891200000000004</v>
      </c>
      <c r="Z27" s="224">
        <v>0</v>
      </c>
      <c r="AA27" s="224">
        <v>55.715835339381137</v>
      </c>
      <c r="AB27" s="224">
        <v>36.648336966362656</v>
      </c>
      <c r="AC27" s="224">
        <v>41.80123464784262</v>
      </c>
      <c r="AD27" s="1120">
        <v>7.6197777898915087</v>
      </c>
      <c r="AE27" s="224">
        <v>30812.684549107758</v>
      </c>
      <c r="AF27" s="224">
        <v>1764.3396242524998</v>
      </c>
      <c r="AG27" s="224">
        <v>2874.957862348178</v>
      </c>
      <c r="AH27" s="224">
        <v>13465.606790282916</v>
      </c>
      <c r="AI27" s="224">
        <v>77200</v>
      </c>
      <c r="AJ27" s="224">
        <v>2980.6412058654009</v>
      </c>
      <c r="AK27" s="224">
        <v>5016.6108153929827</v>
      </c>
      <c r="AL27" s="224">
        <v>0</v>
      </c>
      <c r="AM27" s="224">
        <v>352.00000000000006</v>
      </c>
      <c r="AN27" s="1120">
        <v>134466.84084724972</v>
      </c>
      <c r="AO27" s="224">
        <f t="shared" si="0"/>
        <v>1.003981921596105</v>
      </c>
      <c r="AP27" s="1123">
        <v>0.1</v>
      </c>
      <c r="AQ27" s="1123">
        <f t="shared" si="3"/>
        <v>0.35400422692244193</v>
      </c>
      <c r="AR27" s="1123">
        <v>20</v>
      </c>
      <c r="AS27" s="1123">
        <f t="shared" si="1"/>
        <v>0.75990512155362022</v>
      </c>
      <c r="AT27" s="224">
        <f t="shared" si="2"/>
        <v>47601.830040833673</v>
      </c>
    </row>
    <row r="28" spans="1:50">
      <c r="A28" s="1118">
        <v>2030</v>
      </c>
      <c r="D28" s="1107" t="s">
        <v>2002</v>
      </c>
      <c r="E28" s="224" t="s">
        <v>2059</v>
      </c>
      <c r="G28" s="224">
        <v>26663.612170618999</v>
      </c>
      <c r="H28" s="224">
        <v>15509.111116666667</v>
      </c>
      <c r="I28" s="224">
        <v>3.3211200000000005</v>
      </c>
      <c r="J28" s="224">
        <v>0.14936364429732635</v>
      </c>
      <c r="K28" s="224">
        <v>9.8505082251563791E-2</v>
      </c>
      <c r="L28" s="224">
        <v>0.11269856671827649</v>
      </c>
      <c r="M28" s="224">
        <v>0</v>
      </c>
      <c r="N28" s="224">
        <v>0</v>
      </c>
      <c r="O28" s="224">
        <v>0</v>
      </c>
      <c r="P28" s="224">
        <v>0</v>
      </c>
      <c r="Q28" s="224">
        <v>0</v>
      </c>
      <c r="R28" s="224">
        <v>0</v>
      </c>
      <c r="S28" s="224">
        <v>0</v>
      </c>
      <c r="T28" s="224">
        <v>0</v>
      </c>
      <c r="U28" s="224">
        <v>0</v>
      </c>
      <c r="V28" s="224">
        <v>286.17211270000001</v>
      </c>
      <c r="W28" s="224">
        <v>79.393506049999999</v>
      </c>
      <c r="X28" s="224">
        <v>73.14237029346198</v>
      </c>
      <c r="Y28" s="224">
        <v>3.3211200000000005</v>
      </c>
      <c r="Z28" s="224">
        <v>0</v>
      </c>
      <c r="AA28" s="224">
        <v>51.079327733785199</v>
      </c>
      <c r="AB28" s="224">
        <v>33.218467537515899</v>
      </c>
      <c r="AC28" s="224">
        <v>37.935254385029417</v>
      </c>
      <c r="AD28" s="1120">
        <v>6.9253455630912129</v>
      </c>
      <c r="AE28" s="224">
        <v>30741.454462093574</v>
      </c>
      <c r="AF28" s="224">
        <v>1291.2973929766702</v>
      </c>
      <c r="AG28" s="224">
        <v>1863.0114177176536</v>
      </c>
      <c r="AH28" s="224">
        <v>13305.74003704224</v>
      </c>
      <c r="AI28" s="224">
        <v>77200</v>
      </c>
      <c r="AJ28" s="224">
        <v>4645.2328152999999</v>
      </c>
      <c r="AK28" s="224">
        <v>6503.1130127197384</v>
      </c>
      <c r="AL28" s="224">
        <v>0</v>
      </c>
      <c r="AM28" s="224">
        <v>296</v>
      </c>
      <c r="AN28" s="1120">
        <v>135845.84913784987</v>
      </c>
      <c r="AO28" s="224">
        <f t="shared" si="0"/>
        <v>0.91248353139289817</v>
      </c>
      <c r="AP28" s="1123">
        <v>0.1</v>
      </c>
      <c r="AQ28" s="1123">
        <f t="shared" si="3"/>
        <v>0.35400422692244193</v>
      </c>
      <c r="AR28" s="1123">
        <v>20</v>
      </c>
      <c r="AS28" s="1123">
        <f t="shared" si="1"/>
        <v>0.69065079153661024</v>
      </c>
      <c r="AT28" s="224">
        <f t="shared" si="2"/>
        <v>48090.004804667216</v>
      </c>
    </row>
    <row r="29" spans="1:50">
      <c r="A29" s="1118">
        <v>2035</v>
      </c>
      <c r="D29" s="1107" t="s">
        <v>2002</v>
      </c>
      <c r="E29" s="224" t="s">
        <v>2059</v>
      </c>
      <c r="G29" s="224">
        <v>26504.923463389732</v>
      </c>
      <c r="H29" s="224">
        <v>15580.433333333334</v>
      </c>
      <c r="I29" s="224">
        <v>3.5006400000000002</v>
      </c>
      <c r="J29" s="224">
        <v>0.14229817022046334</v>
      </c>
      <c r="K29" s="224">
        <v>9.2923596906542061E-2</v>
      </c>
      <c r="L29" s="224">
        <v>0.1061557444344783</v>
      </c>
      <c r="M29" s="224">
        <v>0</v>
      </c>
      <c r="N29" s="224">
        <v>0</v>
      </c>
      <c r="O29" s="224">
        <v>0</v>
      </c>
      <c r="P29" s="224">
        <v>0</v>
      </c>
      <c r="Q29" s="224">
        <v>0</v>
      </c>
      <c r="R29" s="224">
        <v>0</v>
      </c>
      <c r="S29" s="224">
        <v>0</v>
      </c>
      <c r="T29" s="224">
        <v>0</v>
      </c>
      <c r="U29" s="224">
        <v>0</v>
      </c>
      <c r="V29" s="224">
        <v>283.68277849999998</v>
      </c>
      <c r="W29" s="224">
        <v>83.505211233333341</v>
      </c>
      <c r="X29" s="224">
        <v>66.155240174672471</v>
      </c>
      <c r="Y29" s="224">
        <v>3.5006400000000002</v>
      </c>
      <c r="Z29" s="224">
        <v>0</v>
      </c>
      <c r="AA29" s="224">
        <v>48.717647954536432</v>
      </c>
      <c r="AB29" s="224">
        <v>31.36014938006171</v>
      </c>
      <c r="AC29" s="224">
        <v>35.828168124992438</v>
      </c>
      <c r="AD29" s="1120">
        <v>6.5062704399293603</v>
      </c>
      <c r="AE29" s="224">
        <v>30833.59497896647</v>
      </c>
      <c r="AF29" s="224">
        <v>1096.9642437552</v>
      </c>
      <c r="AG29" s="224">
        <v>1278.5622707423574</v>
      </c>
      <c r="AH29" s="224">
        <v>13278.686553544952</v>
      </c>
      <c r="AI29" s="224">
        <v>77200</v>
      </c>
      <c r="AJ29" s="224">
        <v>6260.6771727500018</v>
      </c>
      <c r="AK29" s="224">
        <v>8246.7711471673647</v>
      </c>
      <c r="AL29" s="224">
        <v>0</v>
      </c>
      <c r="AM29" s="224">
        <v>240</v>
      </c>
      <c r="AN29" s="1120">
        <v>138435.25636692633</v>
      </c>
      <c r="AO29" s="224">
        <f t="shared" si="0"/>
        <v>0.85726619316509245</v>
      </c>
      <c r="AP29" s="1123">
        <v>0.1</v>
      </c>
      <c r="AQ29" s="1123">
        <f t="shared" si="3"/>
        <v>0.35400422692244193</v>
      </c>
      <c r="AR29" s="1123">
        <v>20</v>
      </c>
      <c r="AS29" s="1123">
        <f t="shared" si="1"/>
        <v>0.64885727193701304</v>
      </c>
      <c r="AT29" s="224">
        <f t="shared" si="2"/>
        <v>49006.665908983814</v>
      </c>
    </row>
    <row r="30" spans="1:50">
      <c r="A30" s="1118">
        <v>2050</v>
      </c>
      <c r="D30" s="1107" t="s">
        <v>2002</v>
      </c>
      <c r="E30" s="224" t="s">
        <v>2059</v>
      </c>
      <c r="G30" s="224">
        <v>26262.403686468311</v>
      </c>
      <c r="H30" s="224">
        <v>15699.333333333334</v>
      </c>
      <c r="I30" s="224">
        <v>3.5877600000000007</v>
      </c>
      <c r="J30" s="224">
        <v>0.13365307244876218</v>
      </c>
      <c r="K30" s="224">
        <v>8.6428558402547317E-2</v>
      </c>
      <c r="L30" s="224">
        <v>9.9203193517960808E-2</v>
      </c>
      <c r="M30" s="224">
        <v>0</v>
      </c>
      <c r="N30" s="224">
        <v>0</v>
      </c>
      <c r="O30" s="224">
        <v>0</v>
      </c>
      <c r="P30" s="224">
        <v>0</v>
      </c>
      <c r="Q30" s="224">
        <v>0</v>
      </c>
      <c r="R30" s="224">
        <v>0</v>
      </c>
      <c r="S30" s="224">
        <v>0</v>
      </c>
      <c r="T30" s="224">
        <v>0</v>
      </c>
      <c r="U30" s="224">
        <v>0</v>
      </c>
      <c r="V30" s="224">
        <v>282.04188204999997</v>
      </c>
      <c r="W30" s="224">
        <v>85.621933599999991</v>
      </c>
      <c r="X30" s="224">
        <v>67.801637554585128</v>
      </c>
      <c r="Y30" s="224">
        <v>3.5877600000000007</v>
      </c>
      <c r="Z30" s="224">
        <v>0</v>
      </c>
      <c r="AA30" s="224">
        <v>45.800697353920413</v>
      </c>
      <c r="AB30" s="224">
        <v>29.242763814139909</v>
      </c>
      <c r="AC30" s="224">
        <v>33.555903314666573</v>
      </c>
      <c r="AD30" s="1120">
        <v>6.0116800741201901</v>
      </c>
      <c r="AE30" s="224">
        <v>31512.701897487994</v>
      </c>
      <c r="AF30" s="224">
        <v>648.36217284799989</v>
      </c>
      <c r="AG30" s="224">
        <v>1232.7624890829691</v>
      </c>
      <c r="AH30" s="224">
        <v>13250.987607349476</v>
      </c>
      <c r="AI30" s="224">
        <v>77200</v>
      </c>
      <c r="AJ30" s="224">
        <v>8960.4997789999998</v>
      </c>
      <c r="AK30" s="224">
        <v>10325.102059837716</v>
      </c>
      <c r="AL30" s="224">
        <v>0</v>
      </c>
      <c r="AM30" s="224">
        <v>240</v>
      </c>
      <c r="AN30" s="1120">
        <v>143370.41600560615</v>
      </c>
      <c r="AO30" s="224">
        <f t="shared" si="0"/>
        <v>0.79209896656607615</v>
      </c>
      <c r="AP30" s="1123">
        <v>0.1</v>
      </c>
      <c r="AQ30" s="1123">
        <f t="shared" si="3"/>
        <v>0.35400422692244193</v>
      </c>
      <c r="AR30" s="1123">
        <v>20</v>
      </c>
      <c r="AS30" s="1123">
        <f t="shared" si="1"/>
        <v>0.59953276899047525</v>
      </c>
      <c r="AT30" s="224">
        <f t="shared" si="2"/>
        <v>50753.733281613502</v>
      </c>
    </row>
    <row r="31" spans="1:50">
      <c r="A31" s="1118">
        <v>2017</v>
      </c>
      <c r="D31" s="1107" t="s">
        <v>2002</v>
      </c>
      <c r="E31" s="224" t="s">
        <v>2060</v>
      </c>
      <c r="G31" s="224">
        <v>30575.823562955575</v>
      </c>
      <c r="H31" s="224">
        <v>15303</v>
      </c>
      <c r="I31" s="224">
        <v>578.87762499999997</v>
      </c>
      <c r="J31" s="224">
        <v>0.21665880026170956</v>
      </c>
      <c r="K31" s="224">
        <v>0.18374052074637426</v>
      </c>
      <c r="L31" s="224">
        <v>0.21604480937980206</v>
      </c>
      <c r="M31" s="224">
        <v>8.1089661602502611E-2</v>
      </c>
      <c r="N31" s="224">
        <v>6.8565077066707142E-2</v>
      </c>
      <c r="O31" s="224">
        <v>8.1210005888080222E-2</v>
      </c>
      <c r="P31" s="224">
        <v>-13.116721767375227</v>
      </c>
      <c r="Q31" s="224">
        <v>-36.42871993012475</v>
      </c>
      <c r="R31" s="224">
        <v>-6.5333453255386162</v>
      </c>
      <c r="S31" s="224">
        <v>3053.5197015973167</v>
      </c>
      <c r="T31" s="224">
        <v>2581.8928026981325</v>
      </c>
      <c r="U31" s="224">
        <v>3058.0513970036586</v>
      </c>
      <c r="V31" s="224">
        <v>276.66666666666669</v>
      </c>
      <c r="W31" s="224">
        <v>520.87692240000013</v>
      </c>
      <c r="X31" s="224">
        <v>781.31538360000002</v>
      </c>
      <c r="Y31" s="224">
        <v>577.05712499999993</v>
      </c>
      <c r="Z31" s="224">
        <v>0</v>
      </c>
      <c r="AA31" s="224">
        <v>51.67246992449747</v>
      </c>
      <c r="AB31" s="224">
        <v>38.571392895752517</v>
      </c>
      <c r="AC31" s="224">
        <v>49.309951951892891</v>
      </c>
      <c r="AD31" s="1120">
        <v>4.800321368476113</v>
      </c>
      <c r="AE31" s="224">
        <v>27272.735238095236</v>
      </c>
      <c r="AF31" s="224">
        <v>23983.619970960001</v>
      </c>
      <c r="AG31" s="224">
        <v>328333.96298249997</v>
      </c>
      <c r="AH31" s="224">
        <v>0</v>
      </c>
      <c r="AI31" s="224">
        <v>77200</v>
      </c>
      <c r="AJ31" s="224">
        <v>0</v>
      </c>
      <c r="AK31" s="224">
        <v>791.37040000000013</v>
      </c>
      <c r="AL31" s="224">
        <v>0</v>
      </c>
      <c r="AM31" s="224">
        <v>436.00000000000006</v>
      </c>
      <c r="AN31" s="1120">
        <v>458017.68859155523</v>
      </c>
      <c r="AO31" s="224">
        <f t="shared" si="0"/>
        <v>0.63249034351041256</v>
      </c>
      <c r="AP31" s="1123">
        <v>0.1</v>
      </c>
      <c r="AQ31" s="1123">
        <f t="shared" si="3"/>
        <v>0.35400422692244193</v>
      </c>
      <c r="AR31" s="1123">
        <v>20</v>
      </c>
      <c r="AS31" s="1123">
        <f t="shared" si="1"/>
        <v>0.47872640037449427</v>
      </c>
      <c r="AT31" s="224">
        <f t="shared" si="2"/>
        <v>162140.19776665725</v>
      </c>
    </row>
    <row r="32" spans="1:50">
      <c r="A32" s="1121">
        <v>2020</v>
      </c>
      <c r="D32" s="1107" t="s">
        <v>2002</v>
      </c>
      <c r="E32" s="224" t="s">
        <v>2060</v>
      </c>
      <c r="G32" s="224">
        <v>30001.992007391102</v>
      </c>
      <c r="H32" s="224">
        <v>15351.977766666669</v>
      </c>
      <c r="I32" s="224">
        <v>539.94375000000002</v>
      </c>
      <c r="J32" s="224">
        <v>0.19696724219637154</v>
      </c>
      <c r="K32" s="224">
        <v>0.16472913703361422</v>
      </c>
      <c r="L32" s="224">
        <v>0.19386620586928263</v>
      </c>
      <c r="M32" s="224">
        <v>7.5858940230874874E-2</v>
      </c>
      <c r="N32" s="224">
        <v>6.3374698423764517E-2</v>
      </c>
      <c r="O32" s="224">
        <v>7.5014765319475693E-2</v>
      </c>
      <c r="P32" s="224">
        <v>-13.599413771419448</v>
      </c>
      <c r="Q32" s="224">
        <v>-28.370798914681998</v>
      </c>
      <c r="R32" s="224">
        <v>-3.8674094981537004</v>
      </c>
      <c r="S32" s="224">
        <v>2856.5511800103609</v>
      </c>
      <c r="T32" s="224">
        <v>2386.4434305862364</v>
      </c>
      <c r="U32" s="224">
        <v>2824.7628524651386</v>
      </c>
      <c r="V32" s="224">
        <v>260</v>
      </c>
      <c r="W32" s="224">
        <v>506.83495089999997</v>
      </c>
      <c r="X32" s="224">
        <v>760.25242634999995</v>
      </c>
      <c r="Y32" s="224">
        <v>538.70249999999999</v>
      </c>
      <c r="Z32" s="224">
        <v>0</v>
      </c>
      <c r="AA32" s="224">
        <v>47.140268604325108</v>
      </c>
      <c r="AB32" s="224">
        <v>34.641865587735403</v>
      </c>
      <c r="AC32" s="224">
        <v>44.271141520152163</v>
      </c>
      <c r="AD32" s="1120">
        <v>4.4292115007891386</v>
      </c>
      <c r="AE32" s="224">
        <v>25719.633897542855</v>
      </c>
      <c r="AF32" s="224">
        <v>17813.264622335002</v>
      </c>
      <c r="AG32" s="224">
        <v>285372.26235000003</v>
      </c>
      <c r="AH32" s="224">
        <v>0</v>
      </c>
      <c r="AI32" s="224">
        <v>77200</v>
      </c>
      <c r="AJ32" s="224">
        <v>1248.1013039381367</v>
      </c>
      <c r="AK32" s="224">
        <v>1864.475097070389</v>
      </c>
      <c r="AL32" s="224">
        <v>0</v>
      </c>
      <c r="AM32" s="224">
        <v>436.00000000000006</v>
      </c>
      <c r="AN32" s="1120">
        <v>409653.73727088637</v>
      </c>
      <c r="AO32" s="224">
        <f t="shared" si="0"/>
        <v>0.58359290734397684</v>
      </c>
      <c r="AP32" s="1123">
        <v>0.1</v>
      </c>
      <c r="AQ32" s="1123">
        <f t="shared" si="3"/>
        <v>0.35400422692244193</v>
      </c>
      <c r="AR32" s="1123">
        <v>20</v>
      </c>
      <c r="AS32" s="1123">
        <f t="shared" si="1"/>
        <v>0.44171635928267478</v>
      </c>
      <c r="AT32" s="224">
        <f t="shared" si="2"/>
        <v>145019.15456846927</v>
      </c>
    </row>
    <row r="33" spans="1:46">
      <c r="A33" s="1118">
        <v>2025</v>
      </c>
      <c r="D33" s="1107" t="s">
        <v>2002</v>
      </c>
      <c r="E33" s="224" t="s">
        <v>2060</v>
      </c>
      <c r="G33" s="224">
        <v>28796.6844623941</v>
      </c>
      <c r="H33" s="224">
        <v>15429.111116666667</v>
      </c>
      <c r="I33" s="224">
        <v>471.30262499999998</v>
      </c>
      <c r="J33" s="224">
        <v>0.16691751893204818</v>
      </c>
      <c r="K33" s="224">
        <v>0.13431647487873258</v>
      </c>
      <c r="L33" s="224">
        <v>0.15596394503616262</v>
      </c>
      <c r="M33" s="224">
        <v>6.7665902627079041E-2</v>
      </c>
      <c r="N33" s="224">
        <v>5.3923221282296541E-2</v>
      </c>
      <c r="O33" s="224">
        <v>6.339623172977922E-2</v>
      </c>
      <c r="P33" s="224">
        <v>-0.86161323711477278</v>
      </c>
      <c r="Q33" s="224">
        <v>-47.209629570481042</v>
      </c>
      <c r="R33" s="224">
        <v>0.5231098915522866</v>
      </c>
      <c r="S33" s="224">
        <v>2548.0334078959172</v>
      </c>
      <c r="T33" s="224">
        <v>2030.5377443331511</v>
      </c>
      <c r="U33" s="224">
        <v>2387.2542907237316</v>
      </c>
      <c r="V33" s="224">
        <v>221.66666666666666</v>
      </c>
      <c r="W33" s="224">
        <v>479.46367563333337</v>
      </c>
      <c r="X33" s="224">
        <v>719.19551345000002</v>
      </c>
      <c r="Y33" s="224">
        <v>469.70968750000003</v>
      </c>
      <c r="Z33" s="224">
        <v>0</v>
      </c>
      <c r="AA33" s="224">
        <v>40.98386206623357</v>
      </c>
      <c r="AB33" s="224">
        <v>28.499449878901149</v>
      </c>
      <c r="AC33" s="224">
        <v>35.999684078496792</v>
      </c>
      <c r="AD33" s="1120">
        <v>3.7530599655105807</v>
      </c>
      <c r="AE33" s="224">
        <v>22253.068008152379</v>
      </c>
      <c r="AF33" s="224">
        <v>8377.7801492825001</v>
      </c>
      <c r="AG33" s="224">
        <v>151607.41695000001</v>
      </c>
      <c r="AH33" s="224">
        <v>0</v>
      </c>
      <c r="AI33" s="224">
        <v>77200</v>
      </c>
      <c r="AJ33" s="224">
        <v>2980.6412058654009</v>
      </c>
      <c r="AK33" s="224">
        <v>5016.6108153929827</v>
      </c>
      <c r="AL33" s="224">
        <v>0</v>
      </c>
      <c r="AM33" s="224">
        <v>352.00000000000006</v>
      </c>
      <c r="AN33" s="1120">
        <v>267787.51712869323</v>
      </c>
      <c r="AO33" s="224">
        <f t="shared" si="0"/>
        <v>0.49450318105567409</v>
      </c>
      <c r="AP33" s="1123">
        <v>0.1</v>
      </c>
      <c r="AQ33" s="1123">
        <f t="shared" si="3"/>
        <v>0.35400422692244193</v>
      </c>
      <c r="AR33" s="1123">
        <v>20</v>
      </c>
      <c r="AS33" s="1123">
        <f t="shared" si="1"/>
        <v>0.37428512588290985</v>
      </c>
      <c r="AT33" s="224">
        <f t="shared" si="2"/>
        <v>94797.912980623223</v>
      </c>
    </row>
    <row r="34" spans="1:46">
      <c r="A34" s="1118">
        <v>2030</v>
      </c>
      <c r="D34" s="1107" t="s">
        <v>2002</v>
      </c>
      <c r="E34" s="224" t="s">
        <v>2060</v>
      </c>
      <c r="G34" s="224">
        <v>28144.848651930748</v>
      </c>
      <c r="H34" s="224">
        <v>15509.111116666667</v>
      </c>
      <c r="I34" s="224">
        <v>444.57437499999997</v>
      </c>
      <c r="J34" s="224">
        <v>0.1486601319949232</v>
      </c>
      <c r="K34" s="224">
        <v>0.11943786752816903</v>
      </c>
      <c r="L34" s="224">
        <v>0.13813965289209015</v>
      </c>
      <c r="M34" s="224">
        <v>6.3433364459049804E-2</v>
      </c>
      <c r="N34" s="224">
        <v>5.0256508893012558E-2</v>
      </c>
      <c r="O34" s="224">
        <v>5.907933064863314E-2</v>
      </c>
      <c r="P34" s="224">
        <v>-3.2686885569037263</v>
      </c>
      <c r="Q34" s="224">
        <v>-57.7031137485424</v>
      </c>
      <c r="R34" s="224">
        <v>3.4077469544694403</v>
      </c>
      <c r="S34" s="224">
        <v>2388.6525641677326</v>
      </c>
      <c r="T34" s="224">
        <v>1892.4636877949251</v>
      </c>
      <c r="U34" s="224">
        <v>2224.6966694360444</v>
      </c>
      <c r="V34" s="224">
        <v>206.66666666666666</v>
      </c>
      <c r="W34" s="224">
        <v>466.28631091666671</v>
      </c>
      <c r="X34" s="224">
        <v>699.42946637500006</v>
      </c>
      <c r="Y34" s="224">
        <v>442.44356250000004</v>
      </c>
      <c r="Z34" s="224">
        <v>0</v>
      </c>
      <c r="AA34" s="224">
        <v>36.850912578914851</v>
      </c>
      <c r="AB34" s="224">
        <v>25.614377704310829</v>
      </c>
      <c r="AC34" s="224">
        <v>32.194628890516277</v>
      </c>
      <c r="AD34" s="1120">
        <v>3.4830418119557311</v>
      </c>
      <c r="AE34" s="224">
        <v>21335.035990095243</v>
      </c>
      <c r="AF34" s="224">
        <v>6047.8529398496003</v>
      </c>
      <c r="AG34" s="224">
        <v>101443.60027125</v>
      </c>
      <c r="AH34" s="224">
        <v>0</v>
      </c>
      <c r="AI34" s="224">
        <v>77200</v>
      </c>
      <c r="AJ34" s="224">
        <v>4645.2328152999999</v>
      </c>
      <c r="AK34" s="224">
        <v>6503.1130127197384</v>
      </c>
      <c r="AL34" s="224">
        <v>0</v>
      </c>
      <c r="AM34" s="224">
        <v>296</v>
      </c>
      <c r="AN34" s="1120">
        <v>217470.83502921453</v>
      </c>
      <c r="AO34" s="224">
        <f t="shared" si="0"/>
        <v>0.45892558914328707</v>
      </c>
      <c r="AP34" s="1123">
        <v>0.1</v>
      </c>
      <c r="AQ34" s="1123">
        <f t="shared" si="3"/>
        <v>0.35400422692244193</v>
      </c>
      <c r="AR34" s="1123">
        <v>20</v>
      </c>
      <c r="AS34" s="1123">
        <f t="shared" si="1"/>
        <v>0.34735675822486772</v>
      </c>
      <c r="AT34" s="224">
        <f t="shared" si="2"/>
        <v>76985.594832695002</v>
      </c>
    </row>
    <row r="35" spans="1:46">
      <c r="A35" s="1118">
        <v>2035</v>
      </c>
      <c r="D35" s="1107" t="s">
        <v>2002</v>
      </c>
      <c r="E35" s="224" t="s">
        <v>2060</v>
      </c>
      <c r="G35" s="224">
        <v>27794.228155926743</v>
      </c>
      <c r="H35" s="224">
        <v>15580.433333333334</v>
      </c>
      <c r="I35" s="224">
        <v>406.86106249999995</v>
      </c>
      <c r="J35" s="224">
        <v>0.13834634475309543</v>
      </c>
      <c r="K35" s="224">
        <v>0.11077755566942137</v>
      </c>
      <c r="L35" s="224">
        <v>0.12747145655953954</v>
      </c>
      <c r="M35" s="224">
        <v>6.0572338063486407E-2</v>
      </c>
      <c r="N35" s="224">
        <v>4.772432215879327E-2</v>
      </c>
      <c r="O35" s="224">
        <v>5.6065497858030867E-2</v>
      </c>
      <c r="P35" s="224">
        <v>-0.95674776542134854</v>
      </c>
      <c r="Q35" s="224">
        <v>-64.05017823384226</v>
      </c>
      <c r="R35" s="224">
        <v>12.989282840428416</v>
      </c>
      <c r="S35" s="224">
        <v>2280.9174929762012</v>
      </c>
      <c r="T35" s="224">
        <v>1797.1114329173024</v>
      </c>
      <c r="U35" s="224">
        <v>2111.207506680184</v>
      </c>
      <c r="V35" s="224">
        <v>196.66666666666666</v>
      </c>
      <c r="W35" s="224">
        <v>458.83236468333331</v>
      </c>
      <c r="X35" s="224">
        <v>688.24854702499999</v>
      </c>
      <c r="Y35" s="224">
        <v>405.68187500000005</v>
      </c>
      <c r="Z35" s="224">
        <v>0</v>
      </c>
      <c r="AA35" s="224">
        <v>34.523044056890576</v>
      </c>
      <c r="AB35" s="224">
        <v>23.916806466259825</v>
      </c>
      <c r="AC35" s="224">
        <v>29.90248184435001</v>
      </c>
      <c r="AD35" s="1120">
        <v>3.292837434911609</v>
      </c>
      <c r="AE35" s="224">
        <v>20756.766185523804</v>
      </c>
      <c r="AF35" s="224">
        <v>4886.5019055295998</v>
      </c>
      <c r="AG35" s="224">
        <v>69756.460117499984</v>
      </c>
      <c r="AH35" s="224">
        <v>0</v>
      </c>
      <c r="AI35" s="224">
        <v>77200</v>
      </c>
      <c r="AJ35" s="224">
        <v>6260.6771727500018</v>
      </c>
      <c r="AK35" s="224">
        <v>8246.7711471673647</v>
      </c>
      <c r="AL35" s="224">
        <v>0</v>
      </c>
      <c r="AM35" s="224">
        <v>240</v>
      </c>
      <c r="AN35" s="1120">
        <v>187347.17652847079</v>
      </c>
      <c r="AO35" s="224">
        <f t="shared" si="0"/>
        <v>0.43386426042395354</v>
      </c>
      <c r="AP35" s="1123">
        <v>0.1</v>
      </c>
      <c r="AQ35" s="1123">
        <f t="shared" si="3"/>
        <v>0.35400422692244193</v>
      </c>
      <c r="AR35" s="1123">
        <v>20</v>
      </c>
      <c r="AS35" s="1123">
        <f t="shared" si="1"/>
        <v>0.3283880580549639</v>
      </c>
      <c r="AT35" s="224">
        <f t="shared" si="2"/>
        <v>66321.692393063568</v>
      </c>
    </row>
    <row r="36" spans="1:46">
      <c r="A36" s="1118">
        <v>2050</v>
      </c>
      <c r="D36" s="1107" t="s">
        <v>2002</v>
      </c>
      <c r="E36" s="224" t="s">
        <v>2060</v>
      </c>
      <c r="G36" s="224">
        <v>27301.989310802805</v>
      </c>
      <c r="H36" s="224">
        <v>15699.333333333334</v>
      </c>
      <c r="I36" s="224">
        <v>385.67706249999998</v>
      </c>
      <c r="J36" s="224">
        <v>0.12628160484956444</v>
      </c>
      <c r="K36" s="224">
        <v>0.10110086854374732</v>
      </c>
      <c r="L36" s="224">
        <v>0.11566445180084105</v>
      </c>
      <c r="M36" s="224">
        <v>5.6925926620870794E-2</v>
      </c>
      <c r="N36" s="224">
        <v>4.4737673708989234E-2</v>
      </c>
      <c r="O36" s="224">
        <v>5.2591800887985339E-2</v>
      </c>
      <c r="P36" s="224">
        <v>-1.249273662757292</v>
      </c>
      <c r="Q36" s="224">
        <v>-67.756653075856065</v>
      </c>
      <c r="R36" s="224">
        <v>27.701611421687005</v>
      </c>
      <c r="S36" s="224">
        <v>2143.607890739398</v>
      </c>
      <c r="T36" s="224">
        <v>1684.6459261807415</v>
      </c>
      <c r="U36" s="224">
        <v>1980.4016563930302</v>
      </c>
      <c r="V36" s="224">
        <v>183.33333333333334</v>
      </c>
      <c r="W36" s="224">
        <v>448.91448588333327</v>
      </c>
      <c r="X36" s="224">
        <v>673.37172882499999</v>
      </c>
      <c r="Y36" s="224">
        <v>384.95299999999997</v>
      </c>
      <c r="Z36" s="224">
        <v>0</v>
      </c>
      <c r="AA36" s="224">
        <v>31.755048554188051</v>
      </c>
      <c r="AB36" s="224">
        <v>22.020569182783522</v>
      </c>
      <c r="AC36" s="224">
        <v>27.463261866575319</v>
      </c>
      <c r="AD36" s="1120">
        <v>3.0644474224420066</v>
      </c>
      <c r="AE36" s="224">
        <v>20341.452280761903</v>
      </c>
      <c r="AF36" s="224">
        <v>2903.450148901999</v>
      </c>
      <c r="AG36" s="224">
        <v>55183.977083999991</v>
      </c>
      <c r="AH36" s="224">
        <v>0</v>
      </c>
      <c r="AI36" s="224">
        <v>77200</v>
      </c>
      <c r="AJ36" s="224">
        <v>8960.4997789999998</v>
      </c>
      <c r="AK36" s="224">
        <v>10325.102059837716</v>
      </c>
      <c r="AL36" s="224">
        <v>0</v>
      </c>
      <c r="AM36" s="224">
        <v>240</v>
      </c>
      <c r="AN36" s="1120">
        <v>175154.48135250164</v>
      </c>
      <c r="AO36" s="224">
        <f t="shared" si="0"/>
        <v>0.40377159238095878</v>
      </c>
      <c r="AP36" s="1123">
        <v>0.1</v>
      </c>
      <c r="AQ36" s="1123">
        <f t="shared" si="3"/>
        <v>0.35400422692244193</v>
      </c>
      <c r="AR36" s="1123">
        <v>20</v>
      </c>
      <c r="AS36" s="1123">
        <f t="shared" si="1"/>
        <v>0.30561118122561781</v>
      </c>
      <c r="AT36" s="224">
        <f t="shared" si="2"/>
        <v>62005.426763193616</v>
      </c>
    </row>
    <row r="37" spans="1:46">
      <c r="A37" s="1118">
        <v>2017</v>
      </c>
      <c r="D37" s="1107" t="s">
        <v>2002</v>
      </c>
      <c r="E37" s="224" t="s">
        <v>2061</v>
      </c>
      <c r="G37" s="224">
        <v>31740.695918731668</v>
      </c>
      <c r="H37" s="224">
        <v>15303</v>
      </c>
      <c r="I37" s="224">
        <v>1116.4216249999999</v>
      </c>
      <c r="J37" s="224">
        <v>0</v>
      </c>
      <c r="K37" s="224">
        <v>0</v>
      </c>
      <c r="L37" s="224">
        <v>0</v>
      </c>
      <c r="M37" s="224">
        <v>0</v>
      </c>
      <c r="N37" s="224">
        <v>0</v>
      </c>
      <c r="O37" s="224">
        <v>0</v>
      </c>
      <c r="P37" s="224">
        <v>0</v>
      </c>
      <c r="Q37" s="224">
        <v>0</v>
      </c>
      <c r="R37" s="224">
        <v>0</v>
      </c>
      <c r="S37" s="224">
        <v>3140.3915257783033</v>
      </c>
      <c r="T37" s="224">
        <v>2933.5871430858897</v>
      </c>
      <c r="U37" s="224">
        <v>3437.9269390074915</v>
      </c>
      <c r="V37" s="224">
        <v>0</v>
      </c>
      <c r="W37" s="224">
        <v>509.18100959999998</v>
      </c>
      <c r="X37" s="224">
        <v>763.7715144</v>
      </c>
      <c r="Y37" s="224">
        <v>1116.4216249999999</v>
      </c>
      <c r="Z37" s="224">
        <v>0</v>
      </c>
      <c r="AA37" s="224">
        <v>29.003492024807517</v>
      </c>
      <c r="AB37" s="224">
        <v>26.385878994642244</v>
      </c>
      <c r="AC37" s="224">
        <v>30.833411890675361</v>
      </c>
      <c r="AD37" s="1120">
        <v>5.3266949685643015</v>
      </c>
      <c r="AE37" s="224">
        <v>0</v>
      </c>
      <c r="AF37" s="224">
        <v>23481.865311839996</v>
      </c>
      <c r="AG37" s="224">
        <v>635221.57619249995</v>
      </c>
      <c r="AH37" s="224">
        <v>0</v>
      </c>
      <c r="AI37" s="224">
        <v>77200</v>
      </c>
      <c r="AJ37" s="224">
        <v>0</v>
      </c>
      <c r="AK37" s="224">
        <v>791.37040000000013</v>
      </c>
      <c r="AL37" s="224">
        <v>0</v>
      </c>
      <c r="AM37" s="224">
        <v>0</v>
      </c>
      <c r="AN37" s="1120">
        <v>736694.81190434005</v>
      </c>
      <c r="AO37" s="224">
        <f t="shared" si="0"/>
        <v>0.70184532905803232</v>
      </c>
      <c r="AP37" s="1123">
        <v>0.1</v>
      </c>
      <c r="AQ37" s="1123">
        <f t="shared" si="3"/>
        <v>0.35400422692244193</v>
      </c>
      <c r="AR37" s="1123">
        <v>20</v>
      </c>
      <c r="AS37" s="1123">
        <f t="shared" si="1"/>
        <v>0.53122058138437467</v>
      </c>
      <c r="AT37" s="224">
        <f t="shared" si="2"/>
        <v>260793.07736596969</v>
      </c>
    </row>
    <row r="38" spans="1:46">
      <c r="A38" s="1121">
        <v>2020</v>
      </c>
      <c r="D38" s="1107" t="s">
        <v>2002</v>
      </c>
      <c r="E38" s="224" t="s">
        <v>2061</v>
      </c>
      <c r="G38" s="224">
        <v>30892.368620434117</v>
      </c>
      <c r="H38" s="224">
        <v>15351.977766666669</v>
      </c>
      <c r="I38" s="224">
        <v>1044.9669999999999</v>
      </c>
      <c r="J38" s="224">
        <v>0</v>
      </c>
      <c r="K38" s="224">
        <v>0</v>
      </c>
      <c r="L38" s="224">
        <v>0</v>
      </c>
      <c r="M38" s="224">
        <v>0</v>
      </c>
      <c r="N38" s="224">
        <v>0</v>
      </c>
      <c r="O38" s="224">
        <v>0</v>
      </c>
      <c r="P38" s="224">
        <v>0</v>
      </c>
      <c r="Q38" s="224">
        <v>0</v>
      </c>
      <c r="R38" s="224">
        <v>0</v>
      </c>
      <c r="S38" s="224">
        <v>2916.3151107777235</v>
      </c>
      <c r="T38" s="224">
        <v>2706.7053918948595</v>
      </c>
      <c r="U38" s="224">
        <v>3168.5430091047388</v>
      </c>
      <c r="V38" s="224">
        <v>0</v>
      </c>
      <c r="W38" s="224">
        <v>491.32550093333339</v>
      </c>
      <c r="X38" s="224">
        <v>736.98825139999997</v>
      </c>
      <c r="Y38" s="224">
        <v>1044.9669999999999</v>
      </c>
      <c r="Z38" s="224">
        <v>0</v>
      </c>
      <c r="AA38" s="224">
        <v>26.857068670055664</v>
      </c>
      <c r="AB38" s="224">
        <v>24.285698491008802</v>
      </c>
      <c r="AC38" s="224">
        <v>28.370848003428943</v>
      </c>
      <c r="AD38" s="1120">
        <v>4.9000287969382477</v>
      </c>
      <c r="AE38" s="224">
        <v>0</v>
      </c>
      <c r="AF38" s="224">
        <v>17299.126355939996</v>
      </c>
      <c r="AG38" s="224">
        <v>553560.81858000008</v>
      </c>
      <c r="AH38" s="224">
        <v>0</v>
      </c>
      <c r="AI38" s="224">
        <v>77200</v>
      </c>
      <c r="AJ38" s="224">
        <v>1248.1013039381367</v>
      </c>
      <c r="AK38" s="224">
        <v>1864.475097070389</v>
      </c>
      <c r="AL38" s="224">
        <v>0</v>
      </c>
      <c r="AM38" s="224">
        <v>0</v>
      </c>
      <c r="AN38" s="1120">
        <v>651172.52133694838</v>
      </c>
      <c r="AO38" s="224">
        <f t="shared" si="0"/>
        <v>0.6456277942845835</v>
      </c>
      <c r="AP38" s="1123">
        <v>0.1</v>
      </c>
      <c r="AQ38" s="1123">
        <f t="shared" si="3"/>
        <v>0.35400422692244193</v>
      </c>
      <c r="AR38" s="1123">
        <v>20</v>
      </c>
      <c r="AS38" s="1123">
        <f t="shared" si="1"/>
        <v>0.48867002178112279</v>
      </c>
      <c r="AT38" s="224">
        <f t="shared" si="2"/>
        <v>230517.82500902374</v>
      </c>
    </row>
    <row r="39" spans="1:46">
      <c r="A39" s="1118">
        <v>2025</v>
      </c>
      <c r="D39" s="1107" t="s">
        <v>2002</v>
      </c>
      <c r="E39" s="224" t="s">
        <v>2061</v>
      </c>
      <c r="G39" s="224">
        <v>29047.424489399029</v>
      </c>
      <c r="H39" s="224">
        <v>15429.111116666667</v>
      </c>
      <c r="I39" s="224">
        <v>909.75349999999992</v>
      </c>
      <c r="J39" s="224">
        <v>0</v>
      </c>
      <c r="K39" s="224">
        <v>0</v>
      </c>
      <c r="L39" s="224">
        <v>0</v>
      </c>
      <c r="M39" s="224">
        <v>0</v>
      </c>
      <c r="N39" s="224">
        <v>0</v>
      </c>
      <c r="O39" s="224">
        <v>0</v>
      </c>
      <c r="P39" s="224">
        <v>0</v>
      </c>
      <c r="Q39" s="224">
        <v>0</v>
      </c>
      <c r="R39" s="224">
        <v>0</v>
      </c>
      <c r="S39" s="224">
        <v>2553.5812876138366</v>
      </c>
      <c r="T39" s="224">
        <v>2290.7388512383477</v>
      </c>
      <c r="U39" s="224">
        <v>2659.9200571018623</v>
      </c>
      <c r="V39" s="224">
        <v>0</v>
      </c>
      <c r="W39" s="224">
        <v>455.51349128333339</v>
      </c>
      <c r="X39" s="224">
        <v>683.27023692499995</v>
      </c>
      <c r="Y39" s="224">
        <v>909.75349999999992</v>
      </c>
      <c r="Z39" s="224">
        <v>0</v>
      </c>
      <c r="AA39" s="224">
        <v>23.507187347585642</v>
      </c>
      <c r="AB39" s="224">
        <v>20.60614328051086</v>
      </c>
      <c r="AC39" s="224">
        <v>23.921951389943512</v>
      </c>
      <c r="AD39" s="1120">
        <v>4.1175397532614779</v>
      </c>
      <c r="AE39" s="224">
        <v>0</v>
      </c>
      <c r="AF39" s="224">
        <v>7995.4231336800003</v>
      </c>
      <c r="AG39" s="224">
        <v>293600.4093</v>
      </c>
      <c r="AH39" s="224">
        <v>0</v>
      </c>
      <c r="AI39" s="224">
        <v>77200</v>
      </c>
      <c r="AJ39" s="224">
        <v>2980.6412058654009</v>
      </c>
      <c r="AK39" s="224">
        <v>5016.6108153929827</v>
      </c>
      <c r="AL39" s="224">
        <v>0</v>
      </c>
      <c r="AM39" s="224">
        <v>0</v>
      </c>
      <c r="AN39" s="1120">
        <v>386793.0844549383</v>
      </c>
      <c r="AO39" s="224">
        <f t="shared" si="0"/>
        <v>0.54252703788973233</v>
      </c>
      <c r="AP39" s="1123">
        <v>0.1</v>
      </c>
      <c r="AQ39" s="1123">
        <f t="shared" si="3"/>
        <v>0.35400422692244193</v>
      </c>
      <c r="AR39" s="1123">
        <v>20</v>
      </c>
      <c r="AS39" s="1123">
        <f t="shared" si="1"/>
        <v>0.41063396243062589</v>
      </c>
      <c r="AT39" s="224">
        <f t="shared" si="2"/>
        <v>136926.38684141723</v>
      </c>
    </row>
    <row r="40" spans="1:46">
      <c r="A40" s="1118">
        <v>2030</v>
      </c>
      <c r="D40" s="1107" t="s">
        <v>2002</v>
      </c>
      <c r="E40" s="224" t="s">
        <v>2061</v>
      </c>
      <c r="G40" s="224">
        <v>28093.865356359714</v>
      </c>
      <c r="H40" s="224">
        <v>15509.111116666667</v>
      </c>
      <c r="I40" s="224">
        <v>861.75850000000003</v>
      </c>
      <c r="J40" s="224">
        <v>0</v>
      </c>
      <c r="K40" s="224">
        <v>0</v>
      </c>
      <c r="L40" s="224">
        <v>0</v>
      </c>
      <c r="M40" s="224">
        <v>0</v>
      </c>
      <c r="N40" s="224">
        <v>0</v>
      </c>
      <c r="O40" s="224">
        <v>0</v>
      </c>
      <c r="P40" s="224">
        <v>0</v>
      </c>
      <c r="Q40" s="224">
        <v>0</v>
      </c>
      <c r="R40" s="224">
        <v>0</v>
      </c>
      <c r="S40" s="224">
        <v>2369.9295343463668</v>
      </c>
      <c r="T40" s="224">
        <v>2131.7521677691229</v>
      </c>
      <c r="U40" s="224">
        <v>2473.587674126627</v>
      </c>
      <c r="V40" s="224">
        <v>0</v>
      </c>
      <c r="W40" s="224">
        <v>434.90755173333338</v>
      </c>
      <c r="X40" s="224">
        <v>652.3613276000001</v>
      </c>
      <c r="Y40" s="224">
        <v>861.75850000000003</v>
      </c>
      <c r="Z40" s="224">
        <v>0</v>
      </c>
      <c r="AA40" s="224">
        <v>21.771174584447397</v>
      </c>
      <c r="AB40" s="224">
        <v>19.171553683959797</v>
      </c>
      <c r="AC40" s="224">
        <v>22.245824639785891</v>
      </c>
      <c r="AD40" s="1120">
        <v>3.809677629264105</v>
      </c>
      <c r="AE40" s="224">
        <v>0</v>
      </c>
      <c r="AF40" s="224">
        <v>5665.6365422714516</v>
      </c>
      <c r="AG40" s="224">
        <v>197784.01342125001</v>
      </c>
      <c r="AH40" s="224">
        <v>0</v>
      </c>
      <c r="AI40" s="224">
        <v>77200</v>
      </c>
      <c r="AJ40" s="224">
        <v>4645.2328152999999</v>
      </c>
      <c r="AK40" s="224">
        <v>6503.1130127197384</v>
      </c>
      <c r="AL40" s="224">
        <v>0</v>
      </c>
      <c r="AM40" s="224">
        <v>0</v>
      </c>
      <c r="AN40" s="1120">
        <v>291797.99579154112</v>
      </c>
      <c r="AO40" s="224">
        <f t="shared" si="0"/>
        <v>0.50196312443183844</v>
      </c>
      <c r="AP40" s="1123">
        <v>0.1</v>
      </c>
      <c r="AQ40" s="1123">
        <f t="shared" si="3"/>
        <v>0.35400422692244193</v>
      </c>
      <c r="AR40" s="1123">
        <v>20</v>
      </c>
      <c r="AS40" s="1123">
        <f t="shared" si="1"/>
        <v>0.37993149167506984</v>
      </c>
      <c r="AT40" s="224">
        <f t="shared" si="2"/>
        <v>103297.72391770247</v>
      </c>
    </row>
    <row r="41" spans="1:46">
      <c r="A41" s="1118">
        <v>2035</v>
      </c>
      <c r="D41" s="1107" t="s">
        <v>2002</v>
      </c>
      <c r="E41" s="224" t="s">
        <v>2061</v>
      </c>
      <c r="G41" s="224">
        <v>27627.349821655836</v>
      </c>
      <c r="H41" s="224">
        <v>15580.433333333334</v>
      </c>
      <c r="I41" s="224">
        <v>787.01456250000001</v>
      </c>
      <c r="J41" s="224">
        <v>0</v>
      </c>
      <c r="K41" s="224">
        <v>0</v>
      </c>
      <c r="L41" s="224">
        <v>0</v>
      </c>
      <c r="M41" s="224">
        <v>0</v>
      </c>
      <c r="N41" s="224">
        <v>0</v>
      </c>
      <c r="O41" s="224">
        <v>0</v>
      </c>
      <c r="P41" s="224">
        <v>0</v>
      </c>
      <c r="Q41" s="224">
        <v>0</v>
      </c>
      <c r="R41" s="224">
        <v>0</v>
      </c>
      <c r="S41" s="224">
        <v>2256.2192765000141</v>
      </c>
      <c r="T41" s="224">
        <v>2020.7821302498667</v>
      </c>
      <c r="U41" s="224">
        <v>2343.8948654255923</v>
      </c>
      <c r="V41" s="224">
        <v>0</v>
      </c>
      <c r="W41" s="224">
        <v>429.57914714999993</v>
      </c>
      <c r="X41" s="224">
        <v>644.36872072499989</v>
      </c>
      <c r="Y41" s="224">
        <v>787.01456250000001</v>
      </c>
      <c r="Z41" s="224">
        <v>0</v>
      </c>
      <c r="AA41" s="224">
        <v>20.732447063934035</v>
      </c>
      <c r="AB41" s="224">
        <v>18.163381754624908</v>
      </c>
      <c r="AC41" s="224">
        <v>21.076543826265006</v>
      </c>
      <c r="AD41" s="1120">
        <v>3.5953864064020595</v>
      </c>
      <c r="AE41" s="224">
        <v>0</v>
      </c>
      <c r="AF41" s="224">
        <v>4598.1649984927999</v>
      </c>
      <c r="AG41" s="224">
        <v>135318.36410999997</v>
      </c>
      <c r="AH41" s="224">
        <v>0</v>
      </c>
      <c r="AI41" s="224">
        <v>77200</v>
      </c>
      <c r="AJ41" s="224">
        <v>6260.6771727500018</v>
      </c>
      <c r="AK41" s="224">
        <v>8246.7711471673647</v>
      </c>
      <c r="AL41" s="224">
        <v>0</v>
      </c>
      <c r="AM41" s="224">
        <v>0</v>
      </c>
      <c r="AN41" s="1120">
        <v>231623.97742841011</v>
      </c>
      <c r="AO41" s="224">
        <f t="shared" si="0"/>
        <v>0.4737281129075353</v>
      </c>
      <c r="AP41" s="1123">
        <v>0.1</v>
      </c>
      <c r="AQ41" s="1123">
        <f t="shared" si="3"/>
        <v>0.35400422692244193</v>
      </c>
      <c r="AR41" s="1123">
        <v>20</v>
      </c>
      <c r="AS41" s="1123">
        <f t="shared" si="1"/>
        <v>0.35856065879161175</v>
      </c>
      <c r="AT41" s="224">
        <f t="shared" si="2"/>
        <v>81995.867066245468</v>
      </c>
    </row>
    <row r="42" spans="1:46">
      <c r="A42" s="1118">
        <v>2050</v>
      </c>
      <c r="D42" s="1107" t="s">
        <v>2002</v>
      </c>
      <c r="E42" s="224" t="s">
        <v>2061</v>
      </c>
      <c r="G42" s="224">
        <v>27017.25222165072</v>
      </c>
      <c r="H42" s="224">
        <v>15699.333333333334</v>
      </c>
      <c r="I42" s="224">
        <v>746.03262500000017</v>
      </c>
      <c r="J42" s="224">
        <v>0</v>
      </c>
      <c r="K42" s="224">
        <v>0</v>
      </c>
      <c r="L42" s="224">
        <v>0</v>
      </c>
      <c r="M42" s="224">
        <v>0</v>
      </c>
      <c r="N42" s="224">
        <v>0</v>
      </c>
      <c r="O42" s="224">
        <v>0</v>
      </c>
      <c r="P42" s="224">
        <v>0</v>
      </c>
      <c r="Q42" s="224">
        <v>0</v>
      </c>
      <c r="R42" s="224">
        <v>0</v>
      </c>
      <c r="S42" s="224">
        <v>2111.0252038044027</v>
      </c>
      <c r="T42" s="224">
        <v>1895.4423423046248</v>
      </c>
      <c r="U42" s="224">
        <v>2198.9251274266226</v>
      </c>
      <c r="V42" s="224">
        <v>0</v>
      </c>
      <c r="W42" s="224">
        <v>418.23349284999995</v>
      </c>
      <c r="X42" s="224">
        <v>627.35023927500004</v>
      </c>
      <c r="Y42" s="224">
        <v>746.03262500000017</v>
      </c>
      <c r="Z42" s="224">
        <v>0</v>
      </c>
      <c r="AA42" s="224">
        <v>19.405371423637693</v>
      </c>
      <c r="AB42" s="224">
        <v>17.065127603801326</v>
      </c>
      <c r="AC42" s="224">
        <v>19.816124814686706</v>
      </c>
      <c r="AD42" s="1120">
        <v>3.3446999401372377</v>
      </c>
      <c r="AE42" s="224">
        <v>0</v>
      </c>
      <c r="AF42" s="224">
        <v>2714.2952158399999</v>
      </c>
      <c r="AG42" s="224">
        <v>106913.18006399997</v>
      </c>
      <c r="AH42" s="224">
        <v>0</v>
      </c>
      <c r="AI42" s="224">
        <v>77200</v>
      </c>
      <c r="AJ42" s="224">
        <v>8960.4997789999998</v>
      </c>
      <c r="AK42" s="224">
        <v>10325.102059837716</v>
      </c>
      <c r="AL42" s="224">
        <v>0</v>
      </c>
      <c r="AM42" s="224">
        <v>0</v>
      </c>
      <c r="AN42" s="1120">
        <v>206113.0771186777</v>
      </c>
      <c r="AO42" s="224">
        <f t="shared" si="0"/>
        <v>0.4406976641124824</v>
      </c>
      <c r="AP42" s="1123">
        <v>0.1</v>
      </c>
      <c r="AQ42" s="1123">
        <f t="shared" si="3"/>
        <v>0.35400422692244193</v>
      </c>
      <c r="AR42" s="1123">
        <v>20</v>
      </c>
      <c r="AS42" s="1123">
        <f t="shared" si="1"/>
        <v>0.33356020144605325</v>
      </c>
      <c r="AT42" s="224">
        <f t="shared" si="2"/>
        <v>72964.900524003155</v>
      </c>
    </row>
    <row r="43" spans="1:46">
      <c r="A43" s="1118">
        <v>2017</v>
      </c>
      <c r="D43" s="1107" t="s">
        <v>2002</v>
      </c>
      <c r="E43" s="224" t="s">
        <v>2062</v>
      </c>
      <c r="G43" s="224">
        <v>31077.080827951599</v>
      </c>
      <c r="H43" s="224">
        <v>17273</v>
      </c>
      <c r="I43" s="224">
        <v>7.1992799999999999</v>
      </c>
      <c r="J43" s="224">
        <v>0.17092003045618401</v>
      </c>
      <c r="K43" s="224">
        <v>0.14078898612370816</v>
      </c>
      <c r="L43" s="224">
        <v>0.17113039874034502</v>
      </c>
      <c r="M43" s="224">
        <v>0</v>
      </c>
      <c r="N43" s="224">
        <v>0</v>
      </c>
      <c r="O43" s="224">
        <v>0</v>
      </c>
      <c r="P43" s="224">
        <v>0</v>
      </c>
      <c r="Q43" s="224">
        <v>0</v>
      </c>
      <c r="R43" s="224">
        <v>0</v>
      </c>
      <c r="S43" s="224">
        <v>0</v>
      </c>
      <c r="T43" s="224">
        <v>0</v>
      </c>
      <c r="U43" s="224">
        <v>0</v>
      </c>
      <c r="V43" s="224">
        <v>0</v>
      </c>
      <c r="W43" s="224">
        <v>549.54407450000008</v>
      </c>
      <c r="X43" s="224">
        <v>224.09677033492818</v>
      </c>
      <c r="Y43" s="224">
        <v>7.1992800000000008</v>
      </c>
      <c r="Z43" s="224">
        <v>359.2131584</v>
      </c>
      <c r="AA43" s="224">
        <v>64.584841972615763</v>
      </c>
      <c r="AB43" s="224">
        <v>52.300801445761856</v>
      </c>
      <c r="AC43" s="224">
        <v>63.233296010162675</v>
      </c>
      <c r="AD43" s="1120">
        <v>8.6761756496156472</v>
      </c>
      <c r="AE43" s="224">
        <v>0</v>
      </c>
      <c r="AF43" s="224">
        <v>25398.690796049996</v>
      </c>
      <c r="AG43" s="224">
        <v>9770.6191866028712</v>
      </c>
      <c r="AH43" s="224">
        <v>0</v>
      </c>
      <c r="AI43" s="224">
        <v>82200</v>
      </c>
      <c r="AJ43" s="224">
        <v>0</v>
      </c>
      <c r="AK43" s="224">
        <v>791.37040000000013</v>
      </c>
      <c r="AL43" s="224">
        <v>172278.86</v>
      </c>
      <c r="AM43" s="224">
        <v>65144.992756000014</v>
      </c>
      <c r="AN43" s="1120">
        <v>355584.53313865291</v>
      </c>
      <c r="AO43" s="224">
        <f t="shared" si="0"/>
        <v>1.1431729035933575</v>
      </c>
      <c r="AP43" s="1123">
        <v>0.1</v>
      </c>
      <c r="AQ43" s="1123">
        <f t="shared" si="3"/>
        <v>0.35400422692244193</v>
      </c>
      <c r="AR43" s="1123">
        <v>20</v>
      </c>
      <c r="AS43" s="1123">
        <f t="shared" si="1"/>
        <v>0.86525755651144931</v>
      </c>
      <c r="AT43" s="224">
        <f t="shared" si="2"/>
        <v>125878.42775932627</v>
      </c>
    </row>
    <row r="44" spans="1:46">
      <c r="A44" s="1121">
        <v>2020</v>
      </c>
      <c r="D44" s="1107" t="s">
        <v>2002</v>
      </c>
      <c r="E44" s="224" t="s">
        <v>2062</v>
      </c>
      <c r="G44" s="224">
        <v>30848.280250827975</v>
      </c>
      <c r="H44" s="224">
        <v>17326.2</v>
      </c>
      <c r="I44" s="224">
        <v>7.2943199999999999</v>
      </c>
      <c r="J44" s="224">
        <v>0.16174192361783329</v>
      </c>
      <c r="K44" s="224">
        <v>0.13081697851330126</v>
      </c>
      <c r="L44" s="224">
        <v>0.15807439951175559</v>
      </c>
      <c r="M44" s="224">
        <v>0</v>
      </c>
      <c r="N44" s="224">
        <v>0</v>
      </c>
      <c r="O44" s="224">
        <v>0</v>
      </c>
      <c r="P44" s="224">
        <v>0</v>
      </c>
      <c r="Q44" s="224">
        <v>0</v>
      </c>
      <c r="R44" s="224">
        <v>0</v>
      </c>
      <c r="S44" s="224">
        <v>0</v>
      </c>
      <c r="T44" s="224">
        <v>0</v>
      </c>
      <c r="U44" s="224">
        <v>0</v>
      </c>
      <c r="V44" s="224">
        <v>0</v>
      </c>
      <c r="W44" s="224">
        <v>543.27966934999995</v>
      </c>
      <c r="X44" s="224">
        <v>227.0551435406698</v>
      </c>
      <c r="Y44" s="224">
        <v>7.2943200000000008</v>
      </c>
      <c r="Z44" s="224">
        <v>354.58743770000001</v>
      </c>
      <c r="AA44" s="224">
        <v>60.995008282317912</v>
      </c>
      <c r="AB44" s="224">
        <v>48.52333394592744</v>
      </c>
      <c r="AC44" s="224">
        <v>58.365801165954352</v>
      </c>
      <c r="AD44" s="1120">
        <v>8.0195082308180901</v>
      </c>
      <c r="AE44" s="224">
        <v>0</v>
      </c>
      <c r="AF44" s="224">
        <v>19128.046038952496</v>
      </c>
      <c r="AG44" s="224">
        <v>9899.6042583732051</v>
      </c>
      <c r="AH44" s="224">
        <v>0</v>
      </c>
      <c r="AI44" s="224">
        <v>82200</v>
      </c>
      <c r="AJ44" s="224">
        <v>1355.6962439328033</v>
      </c>
      <c r="AK44" s="224">
        <v>2068.4830000687812</v>
      </c>
      <c r="AL44" s="224">
        <v>162032.85999999999</v>
      </c>
      <c r="AM44" s="224">
        <v>59427.412747692302</v>
      </c>
      <c r="AN44" s="1120">
        <v>336112.10228901962</v>
      </c>
      <c r="AO44" s="224">
        <f t="shared" si="0"/>
        <v>1.0566504044925915</v>
      </c>
      <c r="AP44" s="1123">
        <v>0.1</v>
      </c>
      <c r="AQ44" s="1123">
        <f t="shared" si="3"/>
        <v>0.35400422692244193</v>
      </c>
      <c r="AR44" s="1123">
        <v>20</v>
      </c>
      <c r="AS44" s="1123">
        <f t="shared" si="1"/>
        <v>0.79976943488096752</v>
      </c>
      <c r="AT44" s="224">
        <f t="shared" si="2"/>
        <v>118985.10493010112</v>
      </c>
    </row>
    <row r="45" spans="1:46">
      <c r="A45" s="1118">
        <v>2025</v>
      </c>
      <c r="D45" s="1107" t="s">
        <v>2002</v>
      </c>
      <c r="E45" s="224" t="s">
        <v>2062</v>
      </c>
      <c r="G45" s="224">
        <v>30069.955138762438</v>
      </c>
      <c r="H45" s="224">
        <v>17412.966675</v>
      </c>
      <c r="I45" s="224">
        <v>7.2547200000000007</v>
      </c>
      <c r="J45" s="224">
        <v>0.14658558646134701</v>
      </c>
      <c r="K45" s="224">
        <v>0.11247819535755534</v>
      </c>
      <c r="L45" s="224">
        <v>0.13388114457349407</v>
      </c>
      <c r="M45" s="224">
        <v>0</v>
      </c>
      <c r="N45" s="224">
        <v>0</v>
      </c>
      <c r="O45" s="224">
        <v>0</v>
      </c>
      <c r="P45" s="224">
        <v>0</v>
      </c>
      <c r="Q45" s="224">
        <v>0</v>
      </c>
      <c r="R45" s="224">
        <v>0</v>
      </c>
      <c r="S45" s="224">
        <v>0</v>
      </c>
      <c r="T45" s="224">
        <v>0</v>
      </c>
      <c r="U45" s="224">
        <v>0</v>
      </c>
      <c r="V45" s="224">
        <v>0</v>
      </c>
      <c r="W45" s="224">
        <v>525.56696205000003</v>
      </c>
      <c r="X45" s="224">
        <v>205.17436970923814</v>
      </c>
      <c r="Y45" s="224">
        <v>7.2547200000000007</v>
      </c>
      <c r="Z45" s="224">
        <v>342.40827820000004</v>
      </c>
      <c r="AA45" s="224">
        <v>55.457155362590314</v>
      </c>
      <c r="AB45" s="224">
        <v>41.93566431523589</v>
      </c>
      <c r="AC45" s="224">
        <v>49.77625419581711</v>
      </c>
      <c r="AD45" s="1120">
        <v>6.833751105169533</v>
      </c>
      <c r="AE45" s="224">
        <v>0</v>
      </c>
      <c r="AF45" s="224">
        <v>9169.7893652950006</v>
      </c>
      <c r="AG45" s="224">
        <v>6573.4731983805677</v>
      </c>
      <c r="AH45" s="224">
        <v>0</v>
      </c>
      <c r="AI45" s="224">
        <v>82200</v>
      </c>
      <c r="AJ45" s="224">
        <v>3308.0785849881008</v>
      </c>
      <c r="AK45" s="224">
        <v>5120.4589597967124</v>
      </c>
      <c r="AL45" s="224">
        <v>98523.04</v>
      </c>
      <c r="AM45" s="224">
        <v>37393.903766153853</v>
      </c>
      <c r="AN45" s="1120">
        <v>242288.74387461424</v>
      </c>
      <c r="AO45" s="224">
        <f t="shared" si="0"/>
        <v>0.90041504561713759</v>
      </c>
      <c r="AP45" s="1123">
        <v>0.1</v>
      </c>
      <c r="AQ45" s="1123">
        <f t="shared" si="3"/>
        <v>0.35400422692244193</v>
      </c>
      <c r="AR45" s="1123">
        <v>20</v>
      </c>
      <c r="AS45" s="1123">
        <f t="shared" si="1"/>
        <v>0.68151626037312296</v>
      </c>
      <c r="AT45" s="224">
        <f t="shared" si="2"/>
        <v>85771.239467342355</v>
      </c>
    </row>
    <row r="46" spans="1:46">
      <c r="A46" s="1118">
        <v>2030</v>
      </c>
      <c r="D46" s="1107" t="s">
        <v>2002</v>
      </c>
      <c r="E46" s="224" t="s">
        <v>2062</v>
      </c>
      <c r="G46" s="224">
        <v>29625.762175313204</v>
      </c>
      <c r="H46" s="224">
        <v>17500.166675</v>
      </c>
      <c r="I46" s="224">
        <v>7.3576800000000011</v>
      </c>
      <c r="J46" s="224">
        <v>0.13770344790337635</v>
      </c>
      <c r="K46" s="224">
        <v>0.10460951997158341</v>
      </c>
      <c r="L46" s="224">
        <v>0.12414995342603863</v>
      </c>
      <c r="M46" s="224">
        <v>0</v>
      </c>
      <c r="N46" s="224">
        <v>0</v>
      </c>
      <c r="O46" s="224">
        <v>0</v>
      </c>
      <c r="P46" s="224">
        <v>0</v>
      </c>
      <c r="Q46" s="224">
        <v>0</v>
      </c>
      <c r="R46" s="224">
        <v>0</v>
      </c>
      <c r="S46" s="224">
        <v>0</v>
      </c>
      <c r="T46" s="224">
        <v>0</v>
      </c>
      <c r="U46" s="224">
        <v>0</v>
      </c>
      <c r="V46" s="224">
        <v>0</v>
      </c>
      <c r="W46" s="224">
        <v>517.95809322499997</v>
      </c>
      <c r="X46" s="224">
        <v>163.53805653953032</v>
      </c>
      <c r="Y46" s="224">
        <v>7.3576800000000011</v>
      </c>
      <c r="Z46" s="224">
        <v>336.966672475</v>
      </c>
      <c r="AA46" s="224">
        <v>52.099536575940647</v>
      </c>
      <c r="AB46" s="224">
        <v>39.021115650347937</v>
      </c>
      <c r="AC46" s="224">
        <v>46.210021200880036</v>
      </c>
      <c r="AD46" s="1120">
        <v>6.3198501324656275</v>
      </c>
      <c r="AE46" s="224">
        <v>0</v>
      </c>
      <c r="AF46" s="224">
        <v>6691.286276569921</v>
      </c>
      <c r="AG46" s="224">
        <v>4195.0893027300208</v>
      </c>
      <c r="AH46" s="224">
        <v>0</v>
      </c>
      <c r="AI46" s="224">
        <v>82200</v>
      </c>
      <c r="AJ46" s="224">
        <v>5119.7028019500003</v>
      </c>
      <c r="AK46" s="224">
        <v>6626.5650117372134</v>
      </c>
      <c r="AL46" s="224">
        <v>63914.540000000008</v>
      </c>
      <c r="AM46" s="224">
        <v>27183.589200000002</v>
      </c>
      <c r="AN46" s="1120">
        <v>195930.77259298717</v>
      </c>
      <c r="AO46" s="224">
        <f t="shared" si="0"/>
        <v>0.83270345345367103</v>
      </c>
      <c r="AP46" s="1123">
        <v>0.1</v>
      </c>
      <c r="AQ46" s="1123">
        <f t="shared" si="3"/>
        <v>0.35400422692244193</v>
      </c>
      <c r="AR46" s="1123">
        <v>20</v>
      </c>
      <c r="AS46" s="1123">
        <f t="shared" si="1"/>
        <v>0.63026594941954783</v>
      </c>
      <c r="AT46" s="224">
        <f t="shared" si="2"/>
        <v>69360.321682097201</v>
      </c>
    </row>
    <row r="47" spans="1:46">
      <c r="A47" s="1118">
        <v>2035</v>
      </c>
      <c r="D47" s="1107" t="s">
        <v>2002</v>
      </c>
      <c r="E47" s="224" t="s">
        <v>2062</v>
      </c>
      <c r="G47" s="224">
        <v>29277.774661991123</v>
      </c>
      <c r="H47" s="224">
        <v>17574.349999999999</v>
      </c>
      <c r="I47" s="224">
        <v>7.4052000000000016</v>
      </c>
      <c r="J47" s="224">
        <v>0.12907920426693353</v>
      </c>
      <c r="K47" s="224">
        <v>9.7247906980452117E-2</v>
      </c>
      <c r="L47" s="224">
        <v>0.11508005178236913</v>
      </c>
      <c r="M47" s="224">
        <v>0</v>
      </c>
      <c r="N47" s="224">
        <v>0</v>
      </c>
      <c r="O47" s="224">
        <v>0</v>
      </c>
      <c r="P47" s="224">
        <v>0</v>
      </c>
      <c r="Q47" s="224">
        <v>0</v>
      </c>
      <c r="R47" s="224">
        <v>0</v>
      </c>
      <c r="S47" s="224">
        <v>0</v>
      </c>
      <c r="T47" s="224">
        <v>0</v>
      </c>
      <c r="U47" s="224">
        <v>0</v>
      </c>
      <c r="V47" s="224">
        <v>0</v>
      </c>
      <c r="W47" s="224">
        <v>511.25037105000001</v>
      </c>
      <c r="X47" s="224">
        <v>139.94377729257639</v>
      </c>
      <c r="Y47" s="224">
        <v>7.4052000000000016</v>
      </c>
      <c r="Z47" s="224">
        <v>332.37036072500001</v>
      </c>
      <c r="AA47" s="224">
        <v>48.84129924638043</v>
      </c>
      <c r="AB47" s="224">
        <v>36.300706198400896</v>
      </c>
      <c r="AC47" s="224">
        <v>42.865993136386386</v>
      </c>
      <c r="AD47" s="1120">
        <v>5.8457860465932248</v>
      </c>
      <c r="AE47" s="224">
        <v>0</v>
      </c>
      <c r="AF47" s="224">
        <v>5432.7450309287997</v>
      </c>
      <c r="AG47" s="224">
        <v>2691.2310917030554</v>
      </c>
      <c r="AH47" s="224">
        <v>0</v>
      </c>
      <c r="AI47" s="224">
        <v>82200</v>
      </c>
      <c r="AJ47" s="224">
        <v>6800.390722125002</v>
      </c>
      <c r="AK47" s="224">
        <v>8381.7279528533218</v>
      </c>
      <c r="AL47" s="224">
        <v>49594.2</v>
      </c>
      <c r="AM47" s="224">
        <v>20226.811754999999</v>
      </c>
      <c r="AN47" s="1120">
        <v>175327.10655261017</v>
      </c>
      <c r="AO47" s="224">
        <f t="shared" si="0"/>
        <v>0.77024076949912323</v>
      </c>
      <c r="AP47" s="1123">
        <v>0.1</v>
      </c>
      <c r="AQ47" s="1123">
        <f t="shared" si="3"/>
        <v>0.35400422692244193</v>
      </c>
      <c r="AR47" s="1123">
        <v>20</v>
      </c>
      <c r="AS47" s="1123">
        <f t="shared" si="1"/>
        <v>0.58298849110875861</v>
      </c>
      <c r="AT47" s="224">
        <f t="shared" si="2"/>
        <v>62066.536813705367</v>
      </c>
    </row>
    <row r="48" spans="1:46">
      <c r="A48" s="1118">
        <v>2050</v>
      </c>
      <c r="D48" s="1107" t="s">
        <v>2002</v>
      </c>
      <c r="E48" s="224" t="s">
        <v>2062</v>
      </c>
      <c r="G48" s="224">
        <v>28803.557637863691</v>
      </c>
      <c r="H48" s="224">
        <v>17703.5</v>
      </c>
      <c r="I48" s="224">
        <v>7.3563200000000011</v>
      </c>
      <c r="J48" s="224">
        <v>0.1173603442647627</v>
      </c>
      <c r="K48" s="224">
        <v>8.7081292184246872E-2</v>
      </c>
      <c r="L48" s="224">
        <v>0.10299942971992142</v>
      </c>
      <c r="M48" s="224">
        <v>0</v>
      </c>
      <c r="N48" s="224">
        <v>0</v>
      </c>
      <c r="O48" s="224">
        <v>0</v>
      </c>
      <c r="P48" s="224">
        <v>0</v>
      </c>
      <c r="Q48" s="224">
        <v>0</v>
      </c>
      <c r="R48" s="224">
        <v>0</v>
      </c>
      <c r="S48" s="224">
        <v>0</v>
      </c>
      <c r="T48" s="224">
        <v>0</v>
      </c>
      <c r="U48" s="224">
        <v>0</v>
      </c>
      <c r="V48" s="224">
        <v>0</v>
      </c>
      <c r="W48" s="224">
        <v>493.51753114999997</v>
      </c>
      <c r="X48" s="224">
        <v>118.11992358078601</v>
      </c>
      <c r="Y48" s="224">
        <v>6.2225200000000012</v>
      </c>
      <c r="Z48" s="224">
        <v>320.21511939999999</v>
      </c>
      <c r="AA48" s="224">
        <v>44.348058823579386</v>
      </c>
      <c r="AB48" s="224">
        <v>32.408915493817005</v>
      </c>
      <c r="AC48" s="224">
        <v>38.647156785270631</v>
      </c>
      <c r="AD48" s="1120">
        <v>5.1948040784098275</v>
      </c>
      <c r="AE48" s="224">
        <v>0</v>
      </c>
      <c r="AF48" s="224">
        <v>3205.504398174</v>
      </c>
      <c r="AG48" s="224">
        <v>2184.7393886462874</v>
      </c>
      <c r="AH48" s="224">
        <v>0</v>
      </c>
      <c r="AI48" s="224">
        <v>82200</v>
      </c>
      <c r="AJ48" s="224">
        <v>9732.9566565000005</v>
      </c>
      <c r="AK48" s="224">
        <v>10325.102059837716</v>
      </c>
      <c r="AL48" s="224">
        <v>43259.999999999993</v>
      </c>
      <c r="AM48" s="224">
        <v>17272.873800000001</v>
      </c>
      <c r="AN48" s="1120">
        <v>168181.24908685117</v>
      </c>
      <c r="AO48" s="224">
        <f t="shared" si="0"/>
        <v>0.68446738537127882</v>
      </c>
      <c r="AP48" s="1123">
        <v>0.1</v>
      </c>
      <c r="AQ48" s="1123">
        <f t="shared" si="3"/>
        <v>0.35400422692244193</v>
      </c>
      <c r="AR48" s="1123">
        <v>20</v>
      </c>
      <c r="AS48" s="1123">
        <f t="shared" si="1"/>
        <v>0.51806736803901843</v>
      </c>
      <c r="AT48" s="224">
        <f t="shared" si="2"/>
        <v>59536.873065841392</v>
      </c>
    </row>
    <row r="49" spans="1:46">
      <c r="A49" s="1118">
        <v>2017</v>
      </c>
      <c r="B49" s="1119"/>
      <c r="C49" s="1119"/>
      <c r="D49" s="1119" t="s">
        <v>2003</v>
      </c>
      <c r="E49" s="1119" t="s">
        <v>2057</v>
      </c>
      <c r="F49" s="1119"/>
      <c r="G49" s="224">
        <v>4053.7476382418367</v>
      </c>
      <c r="H49" s="224">
        <v>1644.5</v>
      </c>
      <c r="I49" s="224">
        <v>3.1680000000000001</v>
      </c>
      <c r="J49" s="224">
        <v>6.5906262051519532E-2</v>
      </c>
      <c r="K49" s="224">
        <v>5.6202373470164706E-2</v>
      </c>
      <c r="L49" s="224">
        <v>6.8640769823530248E-2</v>
      </c>
      <c r="M49" s="224">
        <v>0</v>
      </c>
      <c r="N49" s="224">
        <v>0</v>
      </c>
      <c r="O49" s="224">
        <v>0</v>
      </c>
      <c r="P49" s="224">
        <v>0</v>
      </c>
      <c r="Q49" s="224">
        <v>0</v>
      </c>
      <c r="R49" s="224">
        <v>0</v>
      </c>
      <c r="S49" s="224">
        <v>0</v>
      </c>
      <c r="T49" s="224">
        <v>0</v>
      </c>
      <c r="U49" s="224">
        <v>0</v>
      </c>
      <c r="V49" s="224">
        <v>162.90557410000002</v>
      </c>
      <c r="W49" s="224">
        <v>0</v>
      </c>
      <c r="X49" s="224">
        <v>4.3509999999999991</v>
      </c>
      <c r="Y49" s="224">
        <v>3.1680000000000001</v>
      </c>
      <c r="Z49" s="224">
        <v>0</v>
      </c>
      <c r="AA49" s="224">
        <v>13.181252410303909</v>
      </c>
      <c r="AB49" s="224">
        <v>11.24047469403294</v>
      </c>
      <c r="AC49" s="224">
        <v>13.728153964706051</v>
      </c>
      <c r="AD49" s="1120">
        <v>55.196820642492561</v>
      </c>
      <c r="AE49" s="224">
        <v>15143.902991442286</v>
      </c>
      <c r="AF49" s="224">
        <v>0</v>
      </c>
      <c r="AG49" s="224">
        <v>261.60000000000002</v>
      </c>
      <c r="AH49" s="224">
        <v>5573.2276677744831</v>
      </c>
      <c r="AI49" s="224">
        <v>18600</v>
      </c>
      <c r="AJ49" s="224">
        <v>0</v>
      </c>
      <c r="AK49" s="224">
        <v>745.98720000000003</v>
      </c>
      <c r="AL49" s="224">
        <v>0</v>
      </c>
      <c r="AM49" s="224">
        <v>436.00000000000006</v>
      </c>
      <c r="AN49" s="1120">
        <v>40760.717859216769</v>
      </c>
      <c r="AO49" s="224">
        <f t="shared" si="0"/>
        <v>7.2727330878548191</v>
      </c>
      <c r="AP49" s="1123">
        <v>0.1</v>
      </c>
      <c r="AQ49" s="1123">
        <f>AA49*$C$4*365/1000*0.1</f>
        <v>6.3391806341729959E-2</v>
      </c>
      <c r="AR49" s="1123">
        <v>20</v>
      </c>
      <c r="AS49" s="1123">
        <f>AO49/$AO$49</f>
        <v>1</v>
      </c>
      <c r="AT49" s="224">
        <f t="shared" si="2"/>
        <v>2583.8955328813631</v>
      </c>
    </row>
    <row r="50" spans="1:46">
      <c r="A50" s="1121">
        <v>2020</v>
      </c>
      <c r="B50" s="1107"/>
      <c r="C50" s="1107"/>
      <c r="D50" s="1107" t="s">
        <v>2003</v>
      </c>
      <c r="E50" s="1107" t="s">
        <v>2057</v>
      </c>
      <c r="F50" s="1107"/>
      <c r="G50" s="224" t="e">
        <v>#DIV/0!</v>
      </c>
      <c r="H50" s="224" t="e">
        <v>#DIV/0!</v>
      </c>
      <c r="I50" s="224" t="e">
        <v>#DIV/0!</v>
      </c>
      <c r="J50" s="224" t="e">
        <v>#DIV/0!</v>
      </c>
      <c r="K50" s="224" t="e">
        <v>#DIV/0!</v>
      </c>
      <c r="L50" s="224" t="e">
        <v>#DIV/0!</v>
      </c>
      <c r="M50" s="224" t="e">
        <v>#DIV/0!</v>
      </c>
      <c r="N50" s="224" t="e">
        <v>#DIV/0!</v>
      </c>
      <c r="O50" s="224" t="e">
        <v>#DIV/0!</v>
      </c>
      <c r="P50" s="224" t="e">
        <v>#DIV/0!</v>
      </c>
      <c r="Q50" s="224" t="e">
        <v>#DIV/0!</v>
      </c>
      <c r="R50" s="224" t="e">
        <v>#DIV/0!</v>
      </c>
      <c r="S50" s="224" t="e">
        <v>#DIV/0!</v>
      </c>
      <c r="T50" s="224" t="e">
        <v>#DIV/0!</v>
      </c>
      <c r="U50" s="224" t="e">
        <v>#DIV/0!</v>
      </c>
      <c r="V50" s="224" t="e">
        <v>#DIV/0!</v>
      </c>
      <c r="W50" s="224" t="e">
        <v>#DIV/0!</v>
      </c>
      <c r="X50" s="224" t="e">
        <v>#DIV/0!</v>
      </c>
      <c r="Y50" s="224" t="e">
        <v>#DIV/0!</v>
      </c>
      <c r="Z50" s="224" t="e">
        <v>#DIV/0!</v>
      </c>
      <c r="AA50" s="224" t="e">
        <v>#DIV/0!</v>
      </c>
      <c r="AB50" s="224" t="e">
        <v>#DIV/0!</v>
      </c>
      <c r="AC50" s="224" t="e">
        <v>#DIV/0!</v>
      </c>
      <c r="AD50" s="1120" t="e">
        <v>#DIV/0!</v>
      </c>
      <c r="AE50" s="224" t="e">
        <v>#DIV/0!</v>
      </c>
      <c r="AF50" s="224" t="e">
        <v>#DIV/0!</v>
      </c>
      <c r="AG50" s="224" t="e">
        <v>#DIV/0!</v>
      </c>
      <c r="AH50" s="224" t="e">
        <v>#DIV/0!</v>
      </c>
      <c r="AI50" s="224" t="e">
        <v>#DIV/0!</v>
      </c>
      <c r="AJ50" s="224" t="e">
        <v>#DIV/0!</v>
      </c>
      <c r="AK50" s="224" t="e">
        <v>#DIV/0!</v>
      </c>
      <c r="AL50" s="224" t="e">
        <v>#DIV/0!</v>
      </c>
      <c r="AM50" s="224" t="e">
        <v>#DIV/0!</v>
      </c>
      <c r="AN50" s="1120" t="e">
        <v>#DIV/0!</v>
      </c>
      <c r="AO50" s="224" t="e">
        <f t="shared" si="0"/>
        <v>#DIV/0!</v>
      </c>
      <c r="AP50" s="1123">
        <v>0.1</v>
      </c>
      <c r="AQ50" s="1123">
        <f t="shared" si="3"/>
        <v>6.3391806341729959E-2</v>
      </c>
      <c r="AR50" s="1123">
        <v>20</v>
      </c>
      <c r="AS50" s="1123" t="e">
        <f t="shared" ref="AS50:AS84" si="4">AO50/$AO$49</f>
        <v>#DIV/0!</v>
      </c>
      <c r="AT50" s="224" t="e">
        <f t="shared" si="2"/>
        <v>#DIV/0!</v>
      </c>
    </row>
    <row r="51" spans="1:46">
      <c r="A51" s="1118">
        <v>2025</v>
      </c>
      <c r="B51" s="1119"/>
      <c r="C51" s="1119"/>
      <c r="D51" s="1107" t="s">
        <v>2003</v>
      </c>
      <c r="E51" s="1119" t="s">
        <v>2057</v>
      </c>
      <c r="F51" s="1119"/>
      <c r="G51" s="224" t="e">
        <v>#DIV/0!</v>
      </c>
      <c r="H51" s="224" t="e">
        <v>#DIV/0!</v>
      </c>
      <c r="I51" s="224" t="e">
        <v>#DIV/0!</v>
      </c>
      <c r="J51" s="224" t="e">
        <v>#DIV/0!</v>
      </c>
      <c r="K51" s="224" t="e">
        <v>#DIV/0!</v>
      </c>
      <c r="L51" s="224" t="e">
        <v>#DIV/0!</v>
      </c>
      <c r="M51" s="224" t="e">
        <v>#DIV/0!</v>
      </c>
      <c r="N51" s="224" t="e">
        <v>#DIV/0!</v>
      </c>
      <c r="O51" s="224" t="e">
        <v>#DIV/0!</v>
      </c>
      <c r="P51" s="224" t="e">
        <v>#DIV/0!</v>
      </c>
      <c r="Q51" s="224" t="e">
        <v>#DIV/0!</v>
      </c>
      <c r="R51" s="224" t="e">
        <v>#DIV/0!</v>
      </c>
      <c r="S51" s="224" t="e">
        <v>#DIV/0!</v>
      </c>
      <c r="T51" s="224" t="e">
        <v>#DIV/0!</v>
      </c>
      <c r="U51" s="224" t="e">
        <v>#DIV/0!</v>
      </c>
      <c r="V51" s="224" t="e">
        <v>#DIV/0!</v>
      </c>
      <c r="W51" s="224" t="e">
        <v>#DIV/0!</v>
      </c>
      <c r="X51" s="224" t="e">
        <v>#DIV/0!</v>
      </c>
      <c r="Y51" s="224" t="e">
        <v>#DIV/0!</v>
      </c>
      <c r="Z51" s="224" t="e">
        <v>#DIV/0!</v>
      </c>
      <c r="AA51" s="224" t="e">
        <v>#DIV/0!</v>
      </c>
      <c r="AB51" s="224" t="e">
        <v>#DIV/0!</v>
      </c>
      <c r="AC51" s="224" t="e">
        <v>#DIV/0!</v>
      </c>
      <c r="AD51" s="1120" t="e">
        <v>#DIV/0!</v>
      </c>
      <c r="AE51" s="224" t="e">
        <v>#DIV/0!</v>
      </c>
      <c r="AF51" s="224" t="e">
        <v>#DIV/0!</v>
      </c>
      <c r="AG51" s="224" t="e">
        <v>#DIV/0!</v>
      </c>
      <c r="AH51" s="224" t="e">
        <v>#DIV/0!</v>
      </c>
      <c r="AI51" s="224" t="e">
        <v>#DIV/0!</v>
      </c>
      <c r="AJ51" s="224" t="e">
        <v>#DIV/0!</v>
      </c>
      <c r="AK51" s="224" t="e">
        <v>#DIV/0!</v>
      </c>
      <c r="AL51" s="224" t="e">
        <v>#DIV/0!</v>
      </c>
      <c r="AM51" s="224" t="e">
        <v>#DIV/0!</v>
      </c>
      <c r="AN51" s="1120" t="e">
        <v>#DIV/0!</v>
      </c>
      <c r="AO51" s="224" t="e">
        <f t="shared" si="0"/>
        <v>#DIV/0!</v>
      </c>
      <c r="AP51" s="1123">
        <v>0.1</v>
      </c>
      <c r="AQ51" s="1123">
        <f t="shared" si="3"/>
        <v>6.3391806341729959E-2</v>
      </c>
      <c r="AR51" s="1123">
        <v>20</v>
      </c>
      <c r="AS51" s="1123" t="e">
        <f t="shared" si="4"/>
        <v>#DIV/0!</v>
      </c>
      <c r="AT51" s="224" t="e">
        <f t="shared" si="2"/>
        <v>#DIV/0!</v>
      </c>
    </row>
    <row r="52" spans="1:46">
      <c r="A52" s="1118">
        <v>2030</v>
      </c>
      <c r="B52" s="1107"/>
      <c r="C52" s="1107"/>
      <c r="D52" s="1107" t="s">
        <v>2003</v>
      </c>
      <c r="E52" s="1107" t="s">
        <v>2057</v>
      </c>
      <c r="F52" s="1107"/>
      <c r="G52" s="224">
        <v>4187.8509903640024</v>
      </c>
      <c r="H52" s="224">
        <v>1679.5</v>
      </c>
      <c r="I52" s="224">
        <v>3.1680000000000001</v>
      </c>
      <c r="J52" s="224">
        <v>4.9049991627523312E-2</v>
      </c>
      <c r="K52" s="224">
        <v>3.5792453856287508E-2</v>
      </c>
      <c r="L52" s="224">
        <v>4.3136869286860627E-2</v>
      </c>
      <c r="M52" s="224">
        <v>0</v>
      </c>
      <c r="N52" s="224">
        <v>0</v>
      </c>
      <c r="O52" s="224">
        <v>0</v>
      </c>
      <c r="P52" s="224">
        <v>0</v>
      </c>
      <c r="Q52" s="224">
        <v>0</v>
      </c>
      <c r="R52" s="224">
        <v>0</v>
      </c>
      <c r="S52" s="224">
        <v>0</v>
      </c>
      <c r="T52" s="224">
        <v>0</v>
      </c>
      <c r="U52" s="224">
        <v>0</v>
      </c>
      <c r="V52" s="224">
        <v>164.2930159</v>
      </c>
      <c r="W52" s="224">
        <v>0</v>
      </c>
      <c r="X52" s="224">
        <v>4.3964347826086954</v>
      </c>
      <c r="Y52" s="224">
        <v>3.1680000000000001</v>
      </c>
      <c r="Z52" s="224">
        <v>0</v>
      </c>
      <c r="AA52" s="224">
        <v>9.8099983255046634</v>
      </c>
      <c r="AB52" s="224">
        <v>7.158490771257501</v>
      </c>
      <c r="AC52" s="224">
        <v>8.6273738573721239</v>
      </c>
      <c r="AD52" s="1120">
        <v>35.160573732855248</v>
      </c>
      <c r="AE52" s="224">
        <v>15379.952058614859</v>
      </c>
      <c r="AF52" s="224">
        <v>0</v>
      </c>
      <c r="AG52" s="224">
        <v>177.6</v>
      </c>
      <c r="AH52" s="224">
        <v>5612.0090582255179</v>
      </c>
      <c r="AI52" s="224">
        <v>18600</v>
      </c>
      <c r="AJ52" s="224">
        <v>619.42648860000008</v>
      </c>
      <c r="AK52" s="224">
        <v>5614.4184944067338</v>
      </c>
      <c r="AL52" s="224">
        <v>0</v>
      </c>
      <c r="AM52" s="224">
        <v>296</v>
      </c>
      <c r="AN52" s="1120">
        <v>46299.406099847103</v>
      </c>
      <c r="AO52" s="224">
        <f t="shared" si="0"/>
        <v>4.6327571950410071</v>
      </c>
      <c r="AP52" s="1123">
        <v>0.1</v>
      </c>
      <c r="AQ52" s="1123">
        <f t="shared" si="3"/>
        <v>6.3391806341729959E-2</v>
      </c>
      <c r="AR52" s="1123">
        <v>20</v>
      </c>
      <c r="AS52" s="1123">
        <f t="shared" si="4"/>
        <v>0.63700360498277209</v>
      </c>
      <c r="AT52" s="224">
        <f t="shared" si="2"/>
        <v>2935.0029852186185</v>
      </c>
    </row>
    <row r="53" spans="1:46">
      <c r="A53" s="1118">
        <v>2035</v>
      </c>
      <c r="B53" s="1119"/>
      <c r="C53" s="1119"/>
      <c r="D53" s="1107" t="s">
        <v>2003</v>
      </c>
      <c r="E53" s="1119" t="s">
        <v>2057</v>
      </c>
      <c r="F53" s="1119"/>
      <c r="G53" s="224" t="e">
        <v>#DIV/0!</v>
      </c>
      <c r="H53" s="224" t="e">
        <v>#DIV/0!</v>
      </c>
      <c r="I53" s="224" t="e">
        <v>#DIV/0!</v>
      </c>
      <c r="J53" s="224" t="e">
        <v>#DIV/0!</v>
      </c>
      <c r="K53" s="224" t="e">
        <v>#DIV/0!</v>
      </c>
      <c r="L53" s="224" t="e">
        <v>#DIV/0!</v>
      </c>
      <c r="M53" s="224" t="e">
        <v>#DIV/0!</v>
      </c>
      <c r="N53" s="224" t="e">
        <v>#DIV/0!</v>
      </c>
      <c r="O53" s="224" t="e">
        <v>#DIV/0!</v>
      </c>
      <c r="P53" s="224" t="e">
        <v>#DIV/0!</v>
      </c>
      <c r="Q53" s="224" t="e">
        <v>#DIV/0!</v>
      </c>
      <c r="R53" s="224" t="e">
        <v>#DIV/0!</v>
      </c>
      <c r="S53" s="224" t="e">
        <v>#DIV/0!</v>
      </c>
      <c r="T53" s="224" t="e">
        <v>#DIV/0!</v>
      </c>
      <c r="U53" s="224" t="e">
        <v>#DIV/0!</v>
      </c>
      <c r="V53" s="224" t="e">
        <v>#DIV/0!</v>
      </c>
      <c r="W53" s="224" t="e">
        <v>#DIV/0!</v>
      </c>
      <c r="X53" s="224" t="e">
        <v>#DIV/0!</v>
      </c>
      <c r="Y53" s="224" t="e">
        <v>#DIV/0!</v>
      </c>
      <c r="Z53" s="224" t="e">
        <v>#DIV/0!</v>
      </c>
      <c r="AA53" s="224" t="e">
        <v>#DIV/0!</v>
      </c>
      <c r="AB53" s="224" t="e">
        <v>#DIV/0!</v>
      </c>
      <c r="AC53" s="224" t="e">
        <v>#DIV/0!</v>
      </c>
      <c r="AD53" s="1120" t="e">
        <v>#DIV/0!</v>
      </c>
      <c r="AE53" s="224" t="e">
        <v>#DIV/0!</v>
      </c>
      <c r="AF53" s="224" t="e">
        <v>#DIV/0!</v>
      </c>
      <c r="AG53" s="224" t="e">
        <v>#DIV/0!</v>
      </c>
      <c r="AH53" s="224" t="e">
        <v>#DIV/0!</v>
      </c>
      <c r="AI53" s="224" t="e">
        <v>#DIV/0!</v>
      </c>
      <c r="AJ53" s="224" t="e">
        <v>#DIV/0!</v>
      </c>
      <c r="AK53" s="224" t="e">
        <v>#DIV/0!</v>
      </c>
      <c r="AL53" s="224" t="e">
        <v>#DIV/0!</v>
      </c>
      <c r="AM53" s="224" t="e">
        <v>#DIV/0!</v>
      </c>
      <c r="AN53" s="1120" t="e">
        <v>#DIV/0!</v>
      </c>
      <c r="AO53" s="224" t="e">
        <f t="shared" si="0"/>
        <v>#DIV/0!</v>
      </c>
      <c r="AP53" s="1123">
        <v>0.1</v>
      </c>
      <c r="AQ53" s="1123">
        <f t="shared" si="3"/>
        <v>6.3391806341729959E-2</v>
      </c>
      <c r="AR53" s="1123">
        <v>20</v>
      </c>
      <c r="AS53" s="1123" t="e">
        <f t="shared" si="4"/>
        <v>#DIV/0!</v>
      </c>
      <c r="AT53" s="224" t="e">
        <f t="shared" si="2"/>
        <v>#DIV/0!</v>
      </c>
    </row>
    <row r="54" spans="1:46">
      <c r="A54" s="1118">
        <v>2050</v>
      </c>
      <c r="B54" s="1107"/>
      <c r="C54" s="1107"/>
      <c r="D54" s="1107" t="s">
        <v>2003</v>
      </c>
      <c r="E54" s="1107" t="s">
        <v>2057</v>
      </c>
      <c r="F54" s="1107"/>
      <c r="G54" s="224">
        <v>4176.440580739185</v>
      </c>
      <c r="H54" s="224">
        <v>1762.5</v>
      </c>
      <c r="I54" s="224">
        <v>3.1680000000000001</v>
      </c>
      <c r="J54" s="224">
        <v>4.6207571249253801E-2</v>
      </c>
      <c r="K54" s="224">
        <v>3.3731579691021078E-2</v>
      </c>
      <c r="L54" s="224">
        <v>4.0817837443209035E-2</v>
      </c>
      <c r="M54" s="224">
        <v>0</v>
      </c>
      <c r="N54" s="224">
        <v>0</v>
      </c>
      <c r="O54" s="224">
        <v>0</v>
      </c>
      <c r="P54" s="224">
        <v>0</v>
      </c>
      <c r="Q54" s="224">
        <v>0</v>
      </c>
      <c r="R54" s="224">
        <v>0</v>
      </c>
      <c r="S54" s="224">
        <v>0</v>
      </c>
      <c r="T54" s="224">
        <v>0</v>
      </c>
      <c r="U54" s="224">
        <v>0</v>
      </c>
      <c r="V54" s="224">
        <v>161.15968530000001</v>
      </c>
      <c r="W54" s="224">
        <v>0</v>
      </c>
      <c r="X54" s="224">
        <v>4.3964347826086954</v>
      </c>
      <c r="Y54" s="224">
        <v>3.1680000000000001</v>
      </c>
      <c r="Z54" s="224">
        <v>0</v>
      </c>
      <c r="AA54" s="224">
        <v>9.2415142498507592</v>
      </c>
      <c r="AB54" s="224">
        <v>6.7463159382042157</v>
      </c>
      <c r="AC54" s="224">
        <v>8.1635674886418066</v>
      </c>
      <c r="AD54" s="1120">
        <v>29.642635265481175</v>
      </c>
      <c r="AE54" s="224">
        <v>15107.349068223997</v>
      </c>
      <c r="AF54" s="224">
        <v>0</v>
      </c>
      <c r="AG54" s="224">
        <v>144</v>
      </c>
      <c r="AH54" s="224">
        <v>5524.4270656613789</v>
      </c>
      <c r="AI54" s="224">
        <v>18600</v>
      </c>
      <c r="AJ54" s="224">
        <v>1463.2117487400001</v>
      </c>
      <c r="AK54" s="224">
        <v>6393.2965024452897</v>
      </c>
      <c r="AL54" s="224">
        <v>0</v>
      </c>
      <c r="AM54" s="224">
        <v>240</v>
      </c>
      <c r="AN54" s="1120">
        <v>47472.28438507067</v>
      </c>
      <c r="AO54" s="224">
        <f t="shared" si="0"/>
        <v>3.9057136225797993</v>
      </c>
      <c r="AP54" s="1123">
        <v>0.1</v>
      </c>
      <c r="AQ54" s="1123">
        <f t="shared" si="3"/>
        <v>6.3391806341729959E-2</v>
      </c>
      <c r="AR54" s="1123">
        <v>20</v>
      </c>
      <c r="AS54" s="1123">
        <f t="shared" si="4"/>
        <v>0.53703519370210206</v>
      </c>
      <c r="AT54" s="224">
        <f t="shared" si="2"/>
        <v>3009.3538583379309</v>
      </c>
    </row>
    <row r="55" spans="1:46">
      <c r="A55" s="1118">
        <v>2017</v>
      </c>
      <c r="B55" s="1119"/>
      <c r="C55" s="1119"/>
      <c r="D55" s="1107" t="s">
        <v>2003</v>
      </c>
      <c r="E55" s="1119" t="s">
        <v>2058</v>
      </c>
      <c r="F55" s="1119"/>
      <c r="G55" s="224">
        <v>3993.8355053458145</v>
      </c>
      <c r="H55" s="224">
        <v>1644.5</v>
      </c>
      <c r="I55" s="224">
        <v>0.21333565440000002</v>
      </c>
      <c r="J55" s="224">
        <v>6.4751080622256027E-2</v>
      </c>
      <c r="K55" s="224">
        <v>5.4092369722961803E-2</v>
      </c>
      <c r="L55" s="224">
        <v>6.6417858813371866E-2</v>
      </c>
      <c r="M55" s="224">
        <v>0</v>
      </c>
      <c r="N55" s="224">
        <v>0</v>
      </c>
      <c r="O55" s="224">
        <v>0</v>
      </c>
      <c r="P55" s="224">
        <v>0</v>
      </c>
      <c r="Q55" s="224">
        <v>0</v>
      </c>
      <c r="R55" s="224">
        <v>0</v>
      </c>
      <c r="S55" s="224">
        <v>0</v>
      </c>
      <c r="T55" s="224">
        <v>0</v>
      </c>
      <c r="U55" s="224">
        <v>0</v>
      </c>
      <c r="V55" s="224">
        <v>162.90557410000002</v>
      </c>
      <c r="W55" s="224">
        <v>4</v>
      </c>
      <c r="X55" s="224">
        <v>6</v>
      </c>
      <c r="Y55" s="224">
        <v>0.21333565440000002</v>
      </c>
      <c r="Z55" s="224">
        <v>0</v>
      </c>
      <c r="AA55" s="224">
        <v>12.950216124451204</v>
      </c>
      <c r="AB55" s="224">
        <v>10.818473944592359</v>
      </c>
      <c r="AC55" s="224">
        <v>13.283571762674374</v>
      </c>
      <c r="AD55" s="1120">
        <v>53.883584050093319</v>
      </c>
      <c r="AE55" s="224">
        <v>15143.902991442286</v>
      </c>
      <c r="AF55" s="224">
        <v>883.35</v>
      </c>
      <c r="AG55" s="224">
        <v>289.53193070239229</v>
      </c>
      <c r="AH55" s="224">
        <v>5573.2276677744831</v>
      </c>
      <c r="AI55" s="224">
        <v>18600</v>
      </c>
      <c r="AJ55" s="224">
        <v>0</v>
      </c>
      <c r="AK55" s="224">
        <v>745.98720000000003</v>
      </c>
      <c r="AL55" s="224">
        <v>0</v>
      </c>
      <c r="AM55" s="224">
        <v>436.00000000000006</v>
      </c>
      <c r="AN55" s="1120">
        <v>41671.999789919166</v>
      </c>
      <c r="AO55" s="224">
        <f t="shared" si="0"/>
        <v>7.0997010344402947</v>
      </c>
      <c r="AP55" s="1123">
        <v>0.1</v>
      </c>
      <c r="AQ55" s="1123">
        <f t="shared" si="3"/>
        <v>6.3391806341729959E-2</v>
      </c>
      <c r="AR55" s="1123">
        <v>20</v>
      </c>
      <c r="AS55" s="1123">
        <f t="shared" si="4"/>
        <v>0.97620811167902188</v>
      </c>
      <c r="AT55" s="224">
        <f t="shared" si="2"/>
        <v>2641.6633405551675</v>
      </c>
    </row>
    <row r="56" spans="1:46">
      <c r="A56" s="1121">
        <v>2020</v>
      </c>
      <c r="D56" s="1107" t="s">
        <v>2003</v>
      </c>
      <c r="E56" s="224" t="s">
        <v>2058</v>
      </c>
      <c r="G56" s="224" t="e">
        <v>#DIV/0!</v>
      </c>
      <c r="H56" s="224" t="e">
        <v>#DIV/0!</v>
      </c>
      <c r="I56" s="224" t="e">
        <v>#DIV/0!</v>
      </c>
      <c r="J56" s="224" t="e">
        <v>#DIV/0!</v>
      </c>
      <c r="K56" s="224" t="e">
        <v>#DIV/0!</v>
      </c>
      <c r="L56" s="224" t="e">
        <v>#DIV/0!</v>
      </c>
      <c r="M56" s="224" t="e">
        <v>#DIV/0!</v>
      </c>
      <c r="N56" s="224" t="e">
        <v>#DIV/0!</v>
      </c>
      <c r="O56" s="224" t="e">
        <v>#DIV/0!</v>
      </c>
      <c r="P56" s="224" t="e">
        <v>#DIV/0!</v>
      </c>
      <c r="Q56" s="224" t="e">
        <v>#DIV/0!</v>
      </c>
      <c r="R56" s="224" t="e">
        <v>#DIV/0!</v>
      </c>
      <c r="S56" s="224" t="e">
        <v>#DIV/0!</v>
      </c>
      <c r="T56" s="224" t="e">
        <v>#DIV/0!</v>
      </c>
      <c r="U56" s="224" t="e">
        <v>#DIV/0!</v>
      </c>
      <c r="V56" s="224" t="e">
        <v>#DIV/0!</v>
      </c>
      <c r="W56" s="224" t="e">
        <v>#DIV/0!</v>
      </c>
      <c r="X56" s="224" t="e">
        <v>#DIV/0!</v>
      </c>
      <c r="Y56" s="224" t="e">
        <v>#DIV/0!</v>
      </c>
      <c r="Z56" s="224" t="e">
        <v>#DIV/0!</v>
      </c>
      <c r="AA56" s="224" t="e">
        <v>#DIV/0!</v>
      </c>
      <c r="AB56" s="224" t="e">
        <v>#DIV/0!</v>
      </c>
      <c r="AC56" s="224" t="e">
        <v>#DIV/0!</v>
      </c>
      <c r="AD56" s="1120" t="e">
        <v>#DIV/0!</v>
      </c>
      <c r="AE56" s="224" t="e">
        <v>#DIV/0!</v>
      </c>
      <c r="AF56" s="224" t="e">
        <v>#DIV/0!</v>
      </c>
      <c r="AG56" s="224" t="e">
        <v>#DIV/0!</v>
      </c>
      <c r="AH56" s="224" t="e">
        <v>#DIV/0!</v>
      </c>
      <c r="AI56" s="224" t="e">
        <v>#DIV/0!</v>
      </c>
      <c r="AJ56" s="224" t="e">
        <v>#DIV/0!</v>
      </c>
      <c r="AK56" s="224" t="e">
        <v>#DIV/0!</v>
      </c>
      <c r="AL56" s="224" t="e">
        <v>#DIV/0!</v>
      </c>
      <c r="AM56" s="224" t="e">
        <v>#DIV/0!</v>
      </c>
      <c r="AN56" s="1120" t="e">
        <v>#DIV/0!</v>
      </c>
      <c r="AO56" s="224" t="e">
        <f t="shared" si="0"/>
        <v>#DIV/0!</v>
      </c>
      <c r="AP56" s="1123">
        <v>0.1</v>
      </c>
      <c r="AQ56" s="1123">
        <f t="shared" si="3"/>
        <v>6.3391806341729959E-2</v>
      </c>
      <c r="AR56" s="1123">
        <v>20</v>
      </c>
      <c r="AS56" s="1123" t="e">
        <f t="shared" si="4"/>
        <v>#DIV/0!</v>
      </c>
      <c r="AT56" s="224" t="e">
        <f t="shared" si="2"/>
        <v>#DIV/0!</v>
      </c>
    </row>
    <row r="57" spans="1:46">
      <c r="A57" s="1118">
        <v>2025</v>
      </c>
      <c r="D57" s="1107" t="s">
        <v>2003</v>
      </c>
      <c r="E57" s="224" t="s">
        <v>2058</v>
      </c>
      <c r="G57" s="224" t="e">
        <v>#DIV/0!</v>
      </c>
      <c r="H57" s="224" t="e">
        <v>#DIV/0!</v>
      </c>
      <c r="I57" s="224" t="e">
        <v>#DIV/0!</v>
      </c>
      <c r="J57" s="224" t="e">
        <v>#DIV/0!</v>
      </c>
      <c r="K57" s="224" t="e">
        <v>#DIV/0!</v>
      </c>
      <c r="L57" s="224" t="e">
        <v>#DIV/0!</v>
      </c>
      <c r="M57" s="224" t="e">
        <v>#DIV/0!</v>
      </c>
      <c r="N57" s="224" t="e">
        <v>#DIV/0!</v>
      </c>
      <c r="O57" s="224" t="e">
        <v>#DIV/0!</v>
      </c>
      <c r="P57" s="224" t="e">
        <v>#DIV/0!</v>
      </c>
      <c r="Q57" s="224" t="e">
        <v>#DIV/0!</v>
      </c>
      <c r="R57" s="224" t="e">
        <v>#DIV/0!</v>
      </c>
      <c r="S57" s="224" t="e">
        <v>#DIV/0!</v>
      </c>
      <c r="T57" s="224" t="e">
        <v>#DIV/0!</v>
      </c>
      <c r="U57" s="224" t="e">
        <v>#DIV/0!</v>
      </c>
      <c r="V57" s="224" t="e">
        <v>#DIV/0!</v>
      </c>
      <c r="W57" s="224" t="e">
        <v>#DIV/0!</v>
      </c>
      <c r="X57" s="224" t="e">
        <v>#DIV/0!</v>
      </c>
      <c r="Y57" s="224" t="e">
        <v>#DIV/0!</v>
      </c>
      <c r="Z57" s="224" t="e">
        <v>#DIV/0!</v>
      </c>
      <c r="AA57" s="224" t="e">
        <v>#DIV/0!</v>
      </c>
      <c r="AB57" s="224" t="e">
        <v>#DIV/0!</v>
      </c>
      <c r="AC57" s="224" t="e">
        <v>#DIV/0!</v>
      </c>
      <c r="AD57" s="1120" t="e">
        <v>#DIV/0!</v>
      </c>
      <c r="AE57" s="224" t="e">
        <v>#DIV/0!</v>
      </c>
      <c r="AF57" s="224" t="e">
        <v>#DIV/0!</v>
      </c>
      <c r="AG57" s="224" t="e">
        <v>#DIV/0!</v>
      </c>
      <c r="AH57" s="224" t="e">
        <v>#DIV/0!</v>
      </c>
      <c r="AI57" s="224" t="e">
        <v>#DIV/0!</v>
      </c>
      <c r="AJ57" s="224" t="e">
        <v>#DIV/0!</v>
      </c>
      <c r="AK57" s="224" t="e">
        <v>#DIV/0!</v>
      </c>
      <c r="AL57" s="224" t="e">
        <v>#DIV/0!</v>
      </c>
      <c r="AM57" s="224" t="e">
        <v>#DIV/0!</v>
      </c>
      <c r="AN57" s="1120" t="e">
        <v>#DIV/0!</v>
      </c>
      <c r="AO57" s="224" t="e">
        <f t="shared" si="0"/>
        <v>#DIV/0!</v>
      </c>
      <c r="AP57" s="1123">
        <v>0.1</v>
      </c>
      <c r="AQ57" s="1123">
        <f t="shared" si="3"/>
        <v>6.3391806341729959E-2</v>
      </c>
      <c r="AR57" s="1123">
        <v>20</v>
      </c>
      <c r="AS57" s="1123" t="e">
        <f t="shared" si="4"/>
        <v>#DIV/0!</v>
      </c>
      <c r="AT57" s="224" t="e">
        <f t="shared" si="2"/>
        <v>#DIV/0!</v>
      </c>
    </row>
    <row r="58" spans="1:46">
      <c r="A58" s="1118">
        <v>2030</v>
      </c>
      <c r="D58" s="1107" t="s">
        <v>2003</v>
      </c>
      <c r="E58" s="224" t="s">
        <v>2058</v>
      </c>
      <c r="G58" s="224" t="e">
        <v>#DIV/0!</v>
      </c>
      <c r="H58" s="224" t="e">
        <v>#DIV/0!</v>
      </c>
      <c r="I58" s="224" t="e">
        <v>#DIV/0!</v>
      </c>
      <c r="J58" s="224" t="e">
        <v>#DIV/0!</v>
      </c>
      <c r="K58" s="224" t="e">
        <v>#DIV/0!</v>
      </c>
      <c r="L58" s="224" t="e">
        <v>#DIV/0!</v>
      </c>
      <c r="M58" s="224" t="e">
        <v>#DIV/0!</v>
      </c>
      <c r="N58" s="224" t="e">
        <v>#DIV/0!</v>
      </c>
      <c r="O58" s="224" t="e">
        <v>#DIV/0!</v>
      </c>
      <c r="P58" s="224" t="e">
        <v>#DIV/0!</v>
      </c>
      <c r="Q58" s="224" t="e">
        <v>#DIV/0!</v>
      </c>
      <c r="R58" s="224" t="e">
        <v>#DIV/0!</v>
      </c>
      <c r="S58" s="224" t="e">
        <v>#DIV/0!</v>
      </c>
      <c r="T58" s="224" t="e">
        <v>#DIV/0!</v>
      </c>
      <c r="U58" s="224" t="e">
        <v>#DIV/0!</v>
      </c>
      <c r="V58" s="224" t="e">
        <v>#DIV/0!</v>
      </c>
      <c r="W58" s="224" t="e">
        <v>#DIV/0!</v>
      </c>
      <c r="X58" s="224" t="e">
        <v>#DIV/0!</v>
      </c>
      <c r="Y58" s="224" t="e">
        <v>#DIV/0!</v>
      </c>
      <c r="Z58" s="224" t="e">
        <v>#DIV/0!</v>
      </c>
      <c r="AA58" s="224" t="e">
        <v>#DIV/0!</v>
      </c>
      <c r="AB58" s="224" t="e">
        <v>#DIV/0!</v>
      </c>
      <c r="AC58" s="224" t="e">
        <v>#DIV/0!</v>
      </c>
      <c r="AD58" s="1120" t="e">
        <v>#DIV/0!</v>
      </c>
      <c r="AE58" s="224" t="e">
        <v>#DIV/0!</v>
      </c>
      <c r="AF58" s="224" t="e">
        <v>#DIV/0!</v>
      </c>
      <c r="AG58" s="224" t="e">
        <v>#DIV/0!</v>
      </c>
      <c r="AH58" s="224" t="e">
        <v>#DIV/0!</v>
      </c>
      <c r="AI58" s="224" t="e">
        <v>#DIV/0!</v>
      </c>
      <c r="AJ58" s="224" t="e">
        <v>#DIV/0!</v>
      </c>
      <c r="AK58" s="224" t="e">
        <v>#DIV/0!</v>
      </c>
      <c r="AL58" s="224" t="e">
        <v>#DIV/0!</v>
      </c>
      <c r="AM58" s="224" t="e">
        <v>#DIV/0!</v>
      </c>
      <c r="AN58" s="1120" t="e">
        <v>#DIV/0!</v>
      </c>
      <c r="AO58" s="224" t="e">
        <f t="shared" si="0"/>
        <v>#DIV/0!</v>
      </c>
      <c r="AP58" s="1123">
        <v>0.1</v>
      </c>
      <c r="AQ58" s="1123">
        <f t="shared" si="3"/>
        <v>6.3391806341729959E-2</v>
      </c>
      <c r="AR58" s="1123">
        <v>20</v>
      </c>
      <c r="AS58" s="1123" t="e">
        <f t="shared" si="4"/>
        <v>#DIV/0!</v>
      </c>
      <c r="AT58" s="224" t="e">
        <f t="shared" si="2"/>
        <v>#DIV/0!</v>
      </c>
    </row>
    <row r="59" spans="1:46">
      <c r="A59" s="1118">
        <v>2035</v>
      </c>
      <c r="D59" s="1107" t="s">
        <v>2003</v>
      </c>
      <c r="E59" s="224" t="s">
        <v>2058</v>
      </c>
      <c r="G59" s="224" t="e">
        <v>#DIV/0!</v>
      </c>
      <c r="H59" s="224" t="e">
        <v>#DIV/0!</v>
      </c>
      <c r="I59" s="224" t="e">
        <v>#DIV/0!</v>
      </c>
      <c r="J59" s="224" t="e">
        <v>#DIV/0!</v>
      </c>
      <c r="K59" s="224" t="e">
        <v>#DIV/0!</v>
      </c>
      <c r="L59" s="224" t="e">
        <v>#DIV/0!</v>
      </c>
      <c r="M59" s="224" t="e">
        <v>#DIV/0!</v>
      </c>
      <c r="N59" s="224" t="e">
        <v>#DIV/0!</v>
      </c>
      <c r="O59" s="224" t="e">
        <v>#DIV/0!</v>
      </c>
      <c r="P59" s="224" t="e">
        <v>#DIV/0!</v>
      </c>
      <c r="Q59" s="224" t="e">
        <v>#DIV/0!</v>
      </c>
      <c r="R59" s="224" t="e">
        <v>#DIV/0!</v>
      </c>
      <c r="S59" s="224" t="e">
        <v>#DIV/0!</v>
      </c>
      <c r="T59" s="224" t="e">
        <v>#DIV/0!</v>
      </c>
      <c r="U59" s="224" t="e">
        <v>#DIV/0!</v>
      </c>
      <c r="V59" s="224" t="e">
        <v>#DIV/0!</v>
      </c>
      <c r="W59" s="224" t="e">
        <v>#DIV/0!</v>
      </c>
      <c r="X59" s="224" t="e">
        <v>#DIV/0!</v>
      </c>
      <c r="Y59" s="224" t="e">
        <v>#DIV/0!</v>
      </c>
      <c r="Z59" s="224" t="e">
        <v>#DIV/0!</v>
      </c>
      <c r="AA59" s="224" t="e">
        <v>#DIV/0!</v>
      </c>
      <c r="AB59" s="224" t="e">
        <v>#DIV/0!</v>
      </c>
      <c r="AC59" s="224" t="e">
        <v>#DIV/0!</v>
      </c>
      <c r="AD59" s="1120" t="e">
        <v>#DIV/0!</v>
      </c>
      <c r="AE59" s="224" t="e">
        <v>#DIV/0!</v>
      </c>
      <c r="AF59" s="224" t="e">
        <v>#DIV/0!</v>
      </c>
      <c r="AG59" s="224" t="e">
        <v>#DIV/0!</v>
      </c>
      <c r="AH59" s="224" t="e">
        <v>#DIV/0!</v>
      </c>
      <c r="AI59" s="224" t="e">
        <v>#DIV/0!</v>
      </c>
      <c r="AJ59" s="224" t="e">
        <v>#DIV/0!</v>
      </c>
      <c r="AK59" s="224" t="e">
        <v>#DIV/0!</v>
      </c>
      <c r="AL59" s="224" t="e">
        <v>#DIV/0!</v>
      </c>
      <c r="AM59" s="224" t="e">
        <v>#DIV/0!</v>
      </c>
      <c r="AN59" s="1120" t="e">
        <v>#DIV/0!</v>
      </c>
      <c r="AO59" s="224" t="e">
        <f t="shared" si="0"/>
        <v>#DIV/0!</v>
      </c>
      <c r="AP59" s="1123">
        <v>0.1</v>
      </c>
      <c r="AQ59" s="1123">
        <f t="shared" si="3"/>
        <v>6.3391806341729959E-2</v>
      </c>
      <c r="AR59" s="1123">
        <v>20</v>
      </c>
      <c r="AS59" s="1123" t="e">
        <f t="shared" si="4"/>
        <v>#DIV/0!</v>
      </c>
      <c r="AT59" s="224" t="e">
        <f t="shared" si="2"/>
        <v>#DIV/0!</v>
      </c>
    </row>
    <row r="60" spans="1:46">
      <c r="A60" s="1118">
        <v>2050</v>
      </c>
      <c r="D60" s="1107" t="s">
        <v>2003</v>
      </c>
      <c r="E60" s="224" t="s">
        <v>2058</v>
      </c>
      <c r="G60" s="224" t="e">
        <v>#DIV/0!</v>
      </c>
      <c r="H60" s="224" t="e">
        <v>#DIV/0!</v>
      </c>
      <c r="I60" s="224" t="e">
        <v>#DIV/0!</v>
      </c>
      <c r="J60" s="224" t="e">
        <v>#DIV/0!</v>
      </c>
      <c r="K60" s="224" t="e">
        <v>#DIV/0!</v>
      </c>
      <c r="L60" s="224" t="e">
        <v>#DIV/0!</v>
      </c>
      <c r="M60" s="224" t="e">
        <v>#DIV/0!</v>
      </c>
      <c r="N60" s="224" t="e">
        <v>#DIV/0!</v>
      </c>
      <c r="O60" s="224" t="e">
        <v>#DIV/0!</v>
      </c>
      <c r="P60" s="224" t="e">
        <v>#DIV/0!</v>
      </c>
      <c r="Q60" s="224" t="e">
        <v>#DIV/0!</v>
      </c>
      <c r="R60" s="224" t="e">
        <v>#DIV/0!</v>
      </c>
      <c r="S60" s="224" t="e">
        <v>#DIV/0!</v>
      </c>
      <c r="T60" s="224" t="e">
        <v>#DIV/0!</v>
      </c>
      <c r="U60" s="224" t="e">
        <v>#DIV/0!</v>
      </c>
      <c r="V60" s="224" t="e">
        <v>#DIV/0!</v>
      </c>
      <c r="W60" s="224" t="e">
        <v>#DIV/0!</v>
      </c>
      <c r="X60" s="224" t="e">
        <v>#DIV/0!</v>
      </c>
      <c r="Y60" s="224" t="e">
        <v>#DIV/0!</v>
      </c>
      <c r="Z60" s="224" t="e">
        <v>#DIV/0!</v>
      </c>
      <c r="AA60" s="224" t="e">
        <v>#DIV/0!</v>
      </c>
      <c r="AB60" s="224" t="e">
        <v>#DIV/0!</v>
      </c>
      <c r="AC60" s="224" t="e">
        <v>#DIV/0!</v>
      </c>
      <c r="AD60" s="1120" t="e">
        <v>#DIV/0!</v>
      </c>
      <c r="AE60" s="224" t="e">
        <v>#DIV/0!</v>
      </c>
      <c r="AF60" s="224" t="e">
        <v>#DIV/0!</v>
      </c>
      <c r="AG60" s="224" t="e">
        <v>#DIV/0!</v>
      </c>
      <c r="AH60" s="224" t="e">
        <v>#DIV/0!</v>
      </c>
      <c r="AI60" s="224" t="e">
        <v>#DIV/0!</v>
      </c>
      <c r="AJ60" s="224" t="e">
        <v>#DIV/0!</v>
      </c>
      <c r="AK60" s="224" t="e">
        <v>#DIV/0!</v>
      </c>
      <c r="AL60" s="224" t="e">
        <v>#DIV/0!</v>
      </c>
      <c r="AM60" s="224" t="e">
        <v>#DIV/0!</v>
      </c>
      <c r="AN60" s="1120" t="e">
        <v>#DIV/0!</v>
      </c>
      <c r="AO60" s="224" t="e">
        <f t="shared" si="0"/>
        <v>#DIV/0!</v>
      </c>
      <c r="AP60" s="1123">
        <v>0.1</v>
      </c>
      <c r="AQ60" s="1123">
        <f t="shared" si="3"/>
        <v>6.3391806341729959E-2</v>
      </c>
      <c r="AR60" s="1123">
        <v>20</v>
      </c>
      <c r="AS60" s="1123" t="e">
        <f t="shared" si="4"/>
        <v>#DIV/0!</v>
      </c>
      <c r="AT60" s="224" t="e">
        <f t="shared" si="2"/>
        <v>#DIV/0!</v>
      </c>
    </row>
    <row r="61" spans="1:46">
      <c r="A61" s="1118">
        <v>2017</v>
      </c>
      <c r="D61" s="1107" t="s">
        <v>2003</v>
      </c>
      <c r="E61" s="224" t="s">
        <v>2059</v>
      </c>
      <c r="G61" s="224">
        <v>4099.1554302979039</v>
      </c>
      <c r="H61" s="224">
        <v>1644.5</v>
      </c>
      <c r="I61" s="224">
        <v>2.5027200000000001</v>
      </c>
      <c r="J61" s="224">
        <v>5.0344994435630008E-2</v>
      </c>
      <c r="K61" s="224">
        <v>5.2836574396871311E-2</v>
      </c>
      <c r="L61" s="224">
        <v>6.5596132222139614E-2</v>
      </c>
      <c r="M61" s="224">
        <v>0</v>
      </c>
      <c r="N61" s="224">
        <v>0</v>
      </c>
      <c r="O61" s="224">
        <v>0</v>
      </c>
      <c r="P61" s="224">
        <v>0</v>
      </c>
      <c r="Q61" s="224">
        <v>0</v>
      </c>
      <c r="R61" s="224">
        <v>0</v>
      </c>
      <c r="S61" s="224">
        <v>0</v>
      </c>
      <c r="T61" s="224">
        <v>0</v>
      </c>
      <c r="U61" s="224">
        <v>0</v>
      </c>
      <c r="V61" s="224">
        <v>129.05817984999999</v>
      </c>
      <c r="W61" s="224">
        <v>59.969975349999999</v>
      </c>
      <c r="X61" s="224">
        <v>77.903827751196161</v>
      </c>
      <c r="Y61" s="224">
        <v>2.5027200000000001</v>
      </c>
      <c r="Z61" s="224">
        <v>0</v>
      </c>
      <c r="AA61" s="224">
        <v>10.068998887126</v>
      </c>
      <c r="AB61" s="224">
        <v>10.567314879374262</v>
      </c>
      <c r="AC61" s="224">
        <v>13.119226444427923</v>
      </c>
      <c r="AD61" s="1120">
        <v>47.775085810073321</v>
      </c>
      <c r="AE61" s="224">
        <v>12122.235262687998</v>
      </c>
      <c r="AF61" s="224">
        <v>3284.4619425149999</v>
      </c>
      <c r="AG61" s="224">
        <v>3396.6068899521529</v>
      </c>
      <c r="AH61" s="224">
        <v>5623.8914427038753</v>
      </c>
      <c r="AI61" s="224">
        <v>18600</v>
      </c>
      <c r="AJ61" s="224">
        <v>0</v>
      </c>
      <c r="AK61" s="224">
        <v>745.98720000000003</v>
      </c>
      <c r="AL61" s="224">
        <v>0</v>
      </c>
      <c r="AM61" s="224">
        <v>436.00000000000006</v>
      </c>
      <c r="AN61" s="1120">
        <v>44209.182737859024</v>
      </c>
      <c r="AO61" s="224">
        <f t="shared" si="0"/>
        <v>6.2948453063352598</v>
      </c>
      <c r="AP61" s="1123">
        <v>0.1</v>
      </c>
      <c r="AQ61" s="1123">
        <f t="shared" si="3"/>
        <v>6.3391806341729959E-2</v>
      </c>
      <c r="AR61" s="1123">
        <v>20</v>
      </c>
      <c r="AS61" s="1123">
        <f t="shared" si="4"/>
        <v>0.86554053755216265</v>
      </c>
      <c r="AT61" s="224">
        <f t="shared" si="2"/>
        <v>2802.4999506445101</v>
      </c>
    </row>
    <row r="62" spans="1:46">
      <c r="A62" s="1121">
        <v>2020</v>
      </c>
      <c r="D62" s="1107" t="s">
        <v>2003</v>
      </c>
      <c r="E62" s="224" t="s">
        <v>2059</v>
      </c>
      <c r="G62" s="224" t="e">
        <v>#DIV/0!</v>
      </c>
      <c r="H62" s="224" t="e">
        <v>#DIV/0!</v>
      </c>
      <c r="I62" s="224" t="e">
        <v>#DIV/0!</v>
      </c>
      <c r="J62" s="224" t="e">
        <v>#DIV/0!</v>
      </c>
      <c r="K62" s="224" t="e">
        <v>#DIV/0!</v>
      </c>
      <c r="L62" s="224" t="e">
        <v>#DIV/0!</v>
      </c>
      <c r="M62" s="224" t="e">
        <v>#DIV/0!</v>
      </c>
      <c r="N62" s="224" t="e">
        <v>#DIV/0!</v>
      </c>
      <c r="O62" s="224" t="e">
        <v>#DIV/0!</v>
      </c>
      <c r="P62" s="224" t="e">
        <v>#DIV/0!</v>
      </c>
      <c r="Q62" s="224" t="e">
        <v>#DIV/0!</v>
      </c>
      <c r="R62" s="224" t="e">
        <v>#DIV/0!</v>
      </c>
      <c r="S62" s="224" t="e">
        <v>#DIV/0!</v>
      </c>
      <c r="T62" s="224" t="e">
        <v>#DIV/0!</v>
      </c>
      <c r="U62" s="224" t="e">
        <v>#DIV/0!</v>
      </c>
      <c r="V62" s="224" t="e">
        <v>#DIV/0!</v>
      </c>
      <c r="W62" s="224" t="e">
        <v>#DIV/0!</v>
      </c>
      <c r="X62" s="224" t="e">
        <v>#DIV/0!</v>
      </c>
      <c r="Y62" s="224" t="e">
        <v>#DIV/0!</v>
      </c>
      <c r="Z62" s="224" t="e">
        <v>#DIV/0!</v>
      </c>
      <c r="AA62" s="224" t="e">
        <v>#DIV/0!</v>
      </c>
      <c r="AB62" s="224" t="e">
        <v>#DIV/0!</v>
      </c>
      <c r="AC62" s="224" t="e">
        <v>#DIV/0!</v>
      </c>
      <c r="AD62" s="1120" t="e">
        <v>#DIV/0!</v>
      </c>
      <c r="AE62" s="224" t="e">
        <v>#DIV/0!</v>
      </c>
      <c r="AF62" s="224" t="e">
        <v>#DIV/0!</v>
      </c>
      <c r="AG62" s="224" t="e">
        <v>#DIV/0!</v>
      </c>
      <c r="AH62" s="224" t="e">
        <v>#DIV/0!</v>
      </c>
      <c r="AI62" s="224" t="e">
        <v>#DIV/0!</v>
      </c>
      <c r="AJ62" s="224" t="e">
        <v>#DIV/0!</v>
      </c>
      <c r="AK62" s="224" t="e">
        <v>#DIV/0!</v>
      </c>
      <c r="AL62" s="224" t="e">
        <v>#DIV/0!</v>
      </c>
      <c r="AM62" s="224" t="e">
        <v>#DIV/0!</v>
      </c>
      <c r="AN62" s="1120" t="e">
        <v>#DIV/0!</v>
      </c>
      <c r="AO62" s="224" t="e">
        <f t="shared" si="0"/>
        <v>#DIV/0!</v>
      </c>
      <c r="AP62" s="1123">
        <v>0.1</v>
      </c>
      <c r="AQ62" s="1123">
        <f t="shared" si="3"/>
        <v>6.3391806341729959E-2</v>
      </c>
      <c r="AR62" s="1123">
        <v>20</v>
      </c>
      <c r="AS62" s="1123" t="e">
        <f t="shared" si="4"/>
        <v>#DIV/0!</v>
      </c>
      <c r="AT62" s="224" t="e">
        <f t="shared" si="2"/>
        <v>#DIV/0!</v>
      </c>
    </row>
    <row r="63" spans="1:46">
      <c r="A63" s="1118">
        <v>2025</v>
      </c>
      <c r="D63" s="1107" t="s">
        <v>2003</v>
      </c>
      <c r="E63" s="224" t="s">
        <v>2059</v>
      </c>
      <c r="G63" s="224" t="e">
        <v>#DIV/0!</v>
      </c>
      <c r="H63" s="224" t="e">
        <v>#DIV/0!</v>
      </c>
      <c r="I63" s="224" t="e">
        <v>#DIV/0!</v>
      </c>
      <c r="J63" s="224" t="e">
        <v>#DIV/0!</v>
      </c>
      <c r="K63" s="224" t="e">
        <v>#DIV/0!</v>
      </c>
      <c r="L63" s="224" t="e">
        <v>#DIV/0!</v>
      </c>
      <c r="M63" s="224" t="e">
        <v>#DIV/0!</v>
      </c>
      <c r="N63" s="224" t="e">
        <v>#DIV/0!</v>
      </c>
      <c r="O63" s="224" t="e">
        <v>#DIV/0!</v>
      </c>
      <c r="P63" s="224" t="e">
        <v>#DIV/0!</v>
      </c>
      <c r="Q63" s="224" t="e">
        <v>#DIV/0!</v>
      </c>
      <c r="R63" s="224" t="e">
        <v>#DIV/0!</v>
      </c>
      <c r="S63" s="224" t="e">
        <v>#DIV/0!</v>
      </c>
      <c r="T63" s="224" t="e">
        <v>#DIV/0!</v>
      </c>
      <c r="U63" s="224" t="e">
        <v>#DIV/0!</v>
      </c>
      <c r="V63" s="224" t="e">
        <v>#DIV/0!</v>
      </c>
      <c r="W63" s="224" t="e">
        <v>#DIV/0!</v>
      </c>
      <c r="X63" s="224" t="e">
        <v>#DIV/0!</v>
      </c>
      <c r="Y63" s="224" t="e">
        <v>#DIV/0!</v>
      </c>
      <c r="Z63" s="224" t="e">
        <v>#DIV/0!</v>
      </c>
      <c r="AA63" s="224" t="e">
        <v>#DIV/0!</v>
      </c>
      <c r="AB63" s="224" t="e">
        <v>#DIV/0!</v>
      </c>
      <c r="AC63" s="224" t="e">
        <v>#DIV/0!</v>
      </c>
      <c r="AD63" s="1120" t="e">
        <v>#DIV/0!</v>
      </c>
      <c r="AE63" s="224" t="e">
        <v>#DIV/0!</v>
      </c>
      <c r="AF63" s="224" t="e">
        <v>#DIV/0!</v>
      </c>
      <c r="AG63" s="224" t="e">
        <v>#DIV/0!</v>
      </c>
      <c r="AH63" s="224" t="e">
        <v>#DIV/0!</v>
      </c>
      <c r="AI63" s="224" t="e">
        <v>#DIV/0!</v>
      </c>
      <c r="AJ63" s="224" t="e">
        <v>#DIV/0!</v>
      </c>
      <c r="AK63" s="224" t="e">
        <v>#DIV/0!</v>
      </c>
      <c r="AL63" s="224" t="e">
        <v>#DIV/0!</v>
      </c>
      <c r="AM63" s="224" t="e">
        <v>#DIV/0!</v>
      </c>
      <c r="AN63" s="1120" t="e">
        <v>#DIV/0!</v>
      </c>
      <c r="AO63" s="224" t="e">
        <f t="shared" si="0"/>
        <v>#DIV/0!</v>
      </c>
      <c r="AP63" s="1123">
        <v>0.1</v>
      </c>
      <c r="AQ63" s="1123">
        <f t="shared" si="3"/>
        <v>6.3391806341729959E-2</v>
      </c>
      <c r="AR63" s="1123">
        <v>20</v>
      </c>
      <c r="AS63" s="1123" t="e">
        <f t="shared" si="4"/>
        <v>#DIV/0!</v>
      </c>
      <c r="AT63" s="224" t="e">
        <f t="shared" si="2"/>
        <v>#DIV/0!</v>
      </c>
    </row>
    <row r="64" spans="1:46">
      <c r="A64" s="1118">
        <v>2030</v>
      </c>
      <c r="D64" s="1107" t="s">
        <v>2003</v>
      </c>
      <c r="E64" s="224" t="s">
        <v>2059</v>
      </c>
      <c r="G64" s="224" t="e">
        <v>#DIV/0!</v>
      </c>
      <c r="H64" s="224" t="e">
        <v>#DIV/0!</v>
      </c>
      <c r="I64" s="224" t="e">
        <v>#DIV/0!</v>
      </c>
      <c r="J64" s="224" t="e">
        <v>#DIV/0!</v>
      </c>
      <c r="K64" s="224" t="e">
        <v>#DIV/0!</v>
      </c>
      <c r="L64" s="224" t="e">
        <v>#DIV/0!</v>
      </c>
      <c r="M64" s="224" t="e">
        <v>#DIV/0!</v>
      </c>
      <c r="N64" s="224" t="e">
        <v>#DIV/0!</v>
      </c>
      <c r="O64" s="224" t="e">
        <v>#DIV/0!</v>
      </c>
      <c r="P64" s="224" t="e">
        <v>#DIV/0!</v>
      </c>
      <c r="Q64" s="224" t="e">
        <v>#DIV/0!</v>
      </c>
      <c r="R64" s="224" t="e">
        <v>#DIV/0!</v>
      </c>
      <c r="S64" s="224" t="e">
        <v>#DIV/0!</v>
      </c>
      <c r="T64" s="224" t="e">
        <v>#DIV/0!</v>
      </c>
      <c r="U64" s="224" t="e">
        <v>#DIV/0!</v>
      </c>
      <c r="V64" s="224" t="e">
        <v>#DIV/0!</v>
      </c>
      <c r="W64" s="224" t="e">
        <v>#DIV/0!</v>
      </c>
      <c r="X64" s="224" t="e">
        <v>#DIV/0!</v>
      </c>
      <c r="Y64" s="224" t="e">
        <v>#DIV/0!</v>
      </c>
      <c r="Z64" s="224" t="e">
        <v>#DIV/0!</v>
      </c>
      <c r="AA64" s="224" t="e">
        <v>#DIV/0!</v>
      </c>
      <c r="AB64" s="224" t="e">
        <v>#DIV/0!</v>
      </c>
      <c r="AC64" s="224" t="e">
        <v>#DIV/0!</v>
      </c>
      <c r="AD64" s="1120" t="e">
        <v>#DIV/0!</v>
      </c>
      <c r="AE64" s="224" t="e">
        <v>#DIV/0!</v>
      </c>
      <c r="AF64" s="224" t="e">
        <v>#DIV/0!</v>
      </c>
      <c r="AG64" s="224" t="e">
        <v>#DIV/0!</v>
      </c>
      <c r="AH64" s="224" t="e">
        <v>#DIV/0!</v>
      </c>
      <c r="AI64" s="224" t="e">
        <v>#DIV/0!</v>
      </c>
      <c r="AJ64" s="224" t="e">
        <v>#DIV/0!</v>
      </c>
      <c r="AK64" s="224" t="e">
        <v>#DIV/0!</v>
      </c>
      <c r="AL64" s="224" t="e">
        <v>#DIV/0!</v>
      </c>
      <c r="AM64" s="224" t="e">
        <v>#DIV/0!</v>
      </c>
      <c r="AN64" s="1120" t="e">
        <v>#DIV/0!</v>
      </c>
      <c r="AO64" s="224" t="e">
        <f t="shared" si="0"/>
        <v>#DIV/0!</v>
      </c>
      <c r="AP64" s="1123">
        <v>0.1</v>
      </c>
      <c r="AQ64" s="1123">
        <f t="shared" si="3"/>
        <v>6.3391806341729959E-2</v>
      </c>
      <c r="AR64" s="1123">
        <v>20</v>
      </c>
      <c r="AS64" s="1123" t="e">
        <f t="shared" si="4"/>
        <v>#DIV/0!</v>
      </c>
      <c r="AT64" s="224" t="e">
        <f t="shared" si="2"/>
        <v>#DIV/0!</v>
      </c>
    </row>
    <row r="65" spans="1:46">
      <c r="A65" s="1118">
        <v>2035</v>
      </c>
      <c r="D65" s="1107" t="s">
        <v>2003</v>
      </c>
      <c r="E65" s="224" t="s">
        <v>2059</v>
      </c>
      <c r="G65" s="224" t="e">
        <v>#DIV/0!</v>
      </c>
      <c r="H65" s="224" t="e">
        <v>#DIV/0!</v>
      </c>
      <c r="I65" s="224" t="e">
        <v>#DIV/0!</v>
      </c>
      <c r="J65" s="224" t="e">
        <v>#DIV/0!</v>
      </c>
      <c r="K65" s="224" t="e">
        <v>#DIV/0!</v>
      </c>
      <c r="L65" s="224" t="e">
        <v>#DIV/0!</v>
      </c>
      <c r="M65" s="224" t="e">
        <v>#DIV/0!</v>
      </c>
      <c r="N65" s="224" t="e">
        <v>#DIV/0!</v>
      </c>
      <c r="O65" s="224" t="e">
        <v>#DIV/0!</v>
      </c>
      <c r="P65" s="224" t="e">
        <v>#DIV/0!</v>
      </c>
      <c r="Q65" s="224" t="e">
        <v>#DIV/0!</v>
      </c>
      <c r="R65" s="224" t="e">
        <v>#DIV/0!</v>
      </c>
      <c r="S65" s="224" t="e">
        <v>#DIV/0!</v>
      </c>
      <c r="T65" s="224" t="e">
        <v>#DIV/0!</v>
      </c>
      <c r="U65" s="224" t="e">
        <v>#DIV/0!</v>
      </c>
      <c r="V65" s="224" t="e">
        <v>#DIV/0!</v>
      </c>
      <c r="W65" s="224" t="e">
        <v>#DIV/0!</v>
      </c>
      <c r="X65" s="224" t="e">
        <v>#DIV/0!</v>
      </c>
      <c r="Y65" s="224" t="e">
        <v>#DIV/0!</v>
      </c>
      <c r="Z65" s="224" t="e">
        <v>#DIV/0!</v>
      </c>
      <c r="AA65" s="224" t="e">
        <v>#DIV/0!</v>
      </c>
      <c r="AB65" s="224" t="e">
        <v>#DIV/0!</v>
      </c>
      <c r="AC65" s="224" t="e">
        <v>#DIV/0!</v>
      </c>
      <c r="AD65" s="1120" t="e">
        <v>#DIV/0!</v>
      </c>
      <c r="AE65" s="224" t="e">
        <v>#DIV/0!</v>
      </c>
      <c r="AF65" s="224" t="e">
        <v>#DIV/0!</v>
      </c>
      <c r="AG65" s="224" t="e">
        <v>#DIV/0!</v>
      </c>
      <c r="AH65" s="224" t="e">
        <v>#DIV/0!</v>
      </c>
      <c r="AI65" s="224" t="e">
        <v>#DIV/0!</v>
      </c>
      <c r="AJ65" s="224" t="e">
        <v>#DIV/0!</v>
      </c>
      <c r="AK65" s="224" t="e">
        <v>#DIV/0!</v>
      </c>
      <c r="AL65" s="224" t="e">
        <v>#DIV/0!</v>
      </c>
      <c r="AM65" s="224" t="e">
        <v>#DIV/0!</v>
      </c>
      <c r="AN65" s="1120" t="e">
        <v>#DIV/0!</v>
      </c>
      <c r="AO65" s="224" t="e">
        <f t="shared" si="0"/>
        <v>#DIV/0!</v>
      </c>
      <c r="AP65" s="1123">
        <v>0.1</v>
      </c>
      <c r="AQ65" s="1123">
        <f t="shared" si="3"/>
        <v>6.3391806341729959E-2</v>
      </c>
      <c r="AR65" s="1123">
        <v>20</v>
      </c>
      <c r="AS65" s="1123" t="e">
        <f t="shared" si="4"/>
        <v>#DIV/0!</v>
      </c>
      <c r="AT65" s="224" t="e">
        <f t="shared" si="2"/>
        <v>#DIV/0!</v>
      </c>
    </row>
    <row r="66" spans="1:46">
      <c r="A66" s="1118">
        <v>2050</v>
      </c>
      <c r="D66" s="1107" t="s">
        <v>2003</v>
      </c>
      <c r="E66" s="224" t="s">
        <v>2059</v>
      </c>
      <c r="G66" s="224" t="e">
        <v>#DIV/0!</v>
      </c>
      <c r="H66" s="224" t="e">
        <v>#DIV/0!</v>
      </c>
      <c r="I66" s="224" t="e">
        <v>#DIV/0!</v>
      </c>
      <c r="J66" s="224" t="e">
        <v>#DIV/0!</v>
      </c>
      <c r="K66" s="224" t="e">
        <v>#DIV/0!</v>
      </c>
      <c r="L66" s="224" t="e">
        <v>#DIV/0!</v>
      </c>
      <c r="M66" s="224" t="e">
        <v>#DIV/0!</v>
      </c>
      <c r="N66" s="224" t="e">
        <v>#DIV/0!</v>
      </c>
      <c r="O66" s="224" t="e">
        <v>#DIV/0!</v>
      </c>
      <c r="P66" s="224" t="e">
        <v>#DIV/0!</v>
      </c>
      <c r="Q66" s="224" t="e">
        <v>#DIV/0!</v>
      </c>
      <c r="R66" s="224" t="e">
        <v>#DIV/0!</v>
      </c>
      <c r="S66" s="224" t="e">
        <v>#DIV/0!</v>
      </c>
      <c r="T66" s="224" t="e">
        <v>#DIV/0!</v>
      </c>
      <c r="U66" s="224" t="e">
        <v>#DIV/0!</v>
      </c>
      <c r="V66" s="224" t="e">
        <v>#DIV/0!</v>
      </c>
      <c r="W66" s="224" t="e">
        <v>#DIV/0!</v>
      </c>
      <c r="X66" s="224" t="e">
        <v>#DIV/0!</v>
      </c>
      <c r="Y66" s="224" t="e">
        <v>#DIV/0!</v>
      </c>
      <c r="Z66" s="224" t="e">
        <v>#DIV/0!</v>
      </c>
      <c r="AA66" s="224" t="e">
        <v>#DIV/0!</v>
      </c>
      <c r="AB66" s="224" t="e">
        <v>#DIV/0!</v>
      </c>
      <c r="AC66" s="224" t="e">
        <v>#DIV/0!</v>
      </c>
      <c r="AD66" s="1120" t="e">
        <v>#DIV/0!</v>
      </c>
      <c r="AE66" s="224" t="e">
        <v>#DIV/0!</v>
      </c>
      <c r="AF66" s="224" t="e">
        <v>#DIV/0!</v>
      </c>
      <c r="AG66" s="224" t="e">
        <v>#DIV/0!</v>
      </c>
      <c r="AH66" s="224" t="e">
        <v>#DIV/0!</v>
      </c>
      <c r="AI66" s="224" t="e">
        <v>#DIV/0!</v>
      </c>
      <c r="AJ66" s="224" t="e">
        <v>#DIV/0!</v>
      </c>
      <c r="AK66" s="224" t="e">
        <v>#DIV/0!</v>
      </c>
      <c r="AL66" s="224" t="e">
        <v>#DIV/0!</v>
      </c>
      <c r="AM66" s="224" t="e">
        <v>#DIV/0!</v>
      </c>
      <c r="AN66" s="1120" t="e">
        <v>#DIV/0!</v>
      </c>
      <c r="AO66" s="224" t="e">
        <f t="shared" si="0"/>
        <v>#DIV/0!</v>
      </c>
      <c r="AP66" s="1123">
        <v>0.1</v>
      </c>
      <c r="AQ66" s="1123">
        <f t="shared" si="3"/>
        <v>6.3391806341729959E-2</v>
      </c>
      <c r="AR66" s="1123">
        <v>20</v>
      </c>
      <c r="AS66" s="1123" t="e">
        <f t="shared" si="4"/>
        <v>#DIV/0!</v>
      </c>
      <c r="AT66" s="224" t="e">
        <f t="shared" si="2"/>
        <v>#DIV/0!</v>
      </c>
    </row>
    <row r="67" spans="1:46">
      <c r="A67" s="1118">
        <v>2017</v>
      </c>
      <c r="D67" s="1107" t="s">
        <v>2003</v>
      </c>
      <c r="E67" s="224" t="s">
        <v>2060</v>
      </c>
      <c r="G67" s="224">
        <v>5089.9452426137404</v>
      </c>
      <c r="H67" s="224">
        <v>1644.5</v>
      </c>
      <c r="I67" s="224">
        <v>138.95793750000001</v>
      </c>
      <c r="J67" s="224">
        <v>5.0582418140320697E-2</v>
      </c>
      <c r="K67" s="224">
        <v>7.0158716260260073E-2</v>
      </c>
      <c r="L67" s="224">
        <v>8.7861968948538954E-2</v>
      </c>
      <c r="M67" s="224">
        <v>1.5459713726655805E-2</v>
      </c>
      <c r="N67" s="224">
        <v>2.2274093076443929E-2</v>
      </c>
      <c r="O67" s="224">
        <v>2.7943211698448909E-2</v>
      </c>
      <c r="P67" s="224">
        <v>-11.10626596361568</v>
      </c>
      <c r="Q67" s="224">
        <v>-4.3069097677977632</v>
      </c>
      <c r="R67" s="224">
        <v>-7.8609884967423742</v>
      </c>
      <c r="S67" s="224">
        <v>582.15239171673977</v>
      </c>
      <c r="T67" s="224">
        <v>838.75528273304383</v>
      </c>
      <c r="U67" s="224">
        <v>1052.2321312102383</v>
      </c>
      <c r="V67" s="224">
        <v>115</v>
      </c>
      <c r="W67" s="224">
        <v>189.70124829999997</v>
      </c>
      <c r="X67" s="224">
        <v>284.55187244999996</v>
      </c>
      <c r="Y67" s="224">
        <v>138.46143749999999</v>
      </c>
      <c r="Z67" s="224">
        <v>0</v>
      </c>
      <c r="AA67" s="224">
        <v>3.3098351593625495</v>
      </c>
      <c r="AB67" s="224">
        <v>6.9180279881862328</v>
      </c>
      <c r="AC67" s="224">
        <v>10.476944665084059</v>
      </c>
      <c r="AD67" s="1120">
        <v>16.903041896195628</v>
      </c>
      <c r="AE67" s="224">
        <v>11026.897142857142</v>
      </c>
      <c r="AF67" s="224">
        <v>8849.9335520699988</v>
      </c>
      <c r="AG67" s="224">
        <v>78781.788708750013</v>
      </c>
      <c r="AH67" s="224">
        <v>0</v>
      </c>
      <c r="AI67" s="224">
        <v>18600</v>
      </c>
      <c r="AJ67" s="224">
        <v>0</v>
      </c>
      <c r="AK67" s="224">
        <v>745.98720000000003</v>
      </c>
      <c r="AL67" s="224">
        <v>0</v>
      </c>
      <c r="AM67" s="224">
        <v>436.00000000000006</v>
      </c>
      <c r="AN67" s="1120">
        <v>118440.60660367715</v>
      </c>
      <c r="AO67" s="224">
        <f t="shared" si="0"/>
        <v>2.2271448002427356</v>
      </c>
      <c r="AP67" s="1123">
        <v>0.1</v>
      </c>
      <c r="AQ67" s="1123">
        <f t="shared" si="3"/>
        <v>6.3391806341729959E-2</v>
      </c>
      <c r="AR67" s="1123">
        <v>20</v>
      </c>
      <c r="AS67" s="1123">
        <f t="shared" si="4"/>
        <v>0.30623216517625002</v>
      </c>
      <c r="AT67" s="224">
        <f t="shared" si="2"/>
        <v>7508.1639968173249</v>
      </c>
    </row>
    <row r="68" spans="1:46">
      <c r="A68" s="1121">
        <v>2020</v>
      </c>
      <c r="D68" s="1107" t="s">
        <v>2003</v>
      </c>
      <c r="E68" s="224" t="s">
        <v>2060</v>
      </c>
      <c r="G68" s="224" t="e">
        <v>#DIV/0!</v>
      </c>
      <c r="H68" s="224" t="e">
        <v>#DIV/0!</v>
      </c>
      <c r="I68" s="224" t="e">
        <v>#DIV/0!</v>
      </c>
      <c r="J68" s="224" t="e">
        <v>#DIV/0!</v>
      </c>
      <c r="K68" s="224" t="e">
        <v>#DIV/0!</v>
      </c>
      <c r="L68" s="224" t="e">
        <v>#DIV/0!</v>
      </c>
      <c r="M68" s="224" t="e">
        <v>#DIV/0!</v>
      </c>
      <c r="N68" s="224" t="e">
        <v>#DIV/0!</v>
      </c>
      <c r="O68" s="224" t="e">
        <v>#DIV/0!</v>
      </c>
      <c r="P68" s="224" t="e">
        <v>#DIV/0!</v>
      </c>
      <c r="Q68" s="224" t="e">
        <v>#DIV/0!</v>
      </c>
      <c r="R68" s="224" t="e">
        <v>#DIV/0!</v>
      </c>
      <c r="S68" s="224" t="e">
        <v>#DIV/0!</v>
      </c>
      <c r="T68" s="224" t="e">
        <v>#DIV/0!</v>
      </c>
      <c r="U68" s="224" t="e">
        <v>#DIV/0!</v>
      </c>
      <c r="V68" s="224" t="e">
        <v>#DIV/0!</v>
      </c>
      <c r="W68" s="224" t="e">
        <v>#DIV/0!</v>
      </c>
      <c r="X68" s="224" t="e">
        <v>#DIV/0!</v>
      </c>
      <c r="Y68" s="224" t="e">
        <v>#DIV/0!</v>
      </c>
      <c r="Z68" s="224" t="e">
        <v>#DIV/0!</v>
      </c>
      <c r="AA68" s="224" t="e">
        <v>#DIV/0!</v>
      </c>
      <c r="AB68" s="224" t="e">
        <v>#DIV/0!</v>
      </c>
      <c r="AC68" s="224" t="e">
        <v>#DIV/0!</v>
      </c>
      <c r="AD68" s="1120" t="e">
        <v>#DIV/0!</v>
      </c>
      <c r="AE68" s="224" t="e">
        <v>#DIV/0!</v>
      </c>
      <c r="AF68" s="224" t="e">
        <v>#DIV/0!</v>
      </c>
      <c r="AG68" s="224" t="e">
        <v>#DIV/0!</v>
      </c>
      <c r="AH68" s="224" t="e">
        <v>#DIV/0!</v>
      </c>
      <c r="AI68" s="224" t="e">
        <v>#DIV/0!</v>
      </c>
      <c r="AJ68" s="224" t="e">
        <v>#DIV/0!</v>
      </c>
      <c r="AK68" s="224" t="e">
        <v>#DIV/0!</v>
      </c>
      <c r="AL68" s="224" t="e">
        <v>#DIV/0!</v>
      </c>
      <c r="AM68" s="224" t="e">
        <v>#DIV/0!</v>
      </c>
      <c r="AN68" s="1120" t="e">
        <v>#DIV/0!</v>
      </c>
      <c r="AO68" s="224" t="e">
        <f t="shared" si="0"/>
        <v>#DIV/0!</v>
      </c>
      <c r="AP68" s="1123">
        <v>0.1</v>
      </c>
      <c r="AQ68" s="1123">
        <f t="shared" si="3"/>
        <v>6.3391806341729959E-2</v>
      </c>
      <c r="AR68" s="1123">
        <v>20</v>
      </c>
      <c r="AS68" s="1123" t="e">
        <f t="shared" si="4"/>
        <v>#DIV/0!</v>
      </c>
      <c r="AT68" s="224" t="e">
        <f t="shared" si="2"/>
        <v>#DIV/0!</v>
      </c>
    </row>
    <row r="69" spans="1:46">
      <c r="A69" s="1118">
        <v>2025</v>
      </c>
      <c r="D69" s="1107" t="s">
        <v>2003</v>
      </c>
      <c r="E69" s="224" t="s">
        <v>2060</v>
      </c>
      <c r="G69" s="224" t="e">
        <v>#DIV/0!</v>
      </c>
      <c r="H69" s="224" t="e">
        <v>#DIV/0!</v>
      </c>
      <c r="I69" s="224" t="e">
        <v>#DIV/0!</v>
      </c>
      <c r="J69" s="224" t="e">
        <v>#DIV/0!</v>
      </c>
      <c r="K69" s="224" t="e">
        <v>#DIV/0!</v>
      </c>
      <c r="L69" s="224" t="e">
        <v>#DIV/0!</v>
      </c>
      <c r="M69" s="224" t="e">
        <v>#DIV/0!</v>
      </c>
      <c r="N69" s="224" t="e">
        <v>#DIV/0!</v>
      </c>
      <c r="O69" s="224" t="e">
        <v>#DIV/0!</v>
      </c>
      <c r="P69" s="224" t="e">
        <v>#DIV/0!</v>
      </c>
      <c r="Q69" s="224" t="e">
        <v>#DIV/0!</v>
      </c>
      <c r="R69" s="224" t="e">
        <v>#DIV/0!</v>
      </c>
      <c r="S69" s="224" t="e">
        <v>#DIV/0!</v>
      </c>
      <c r="T69" s="224" t="e">
        <v>#DIV/0!</v>
      </c>
      <c r="U69" s="224" t="e">
        <v>#DIV/0!</v>
      </c>
      <c r="V69" s="224" t="e">
        <v>#DIV/0!</v>
      </c>
      <c r="W69" s="224" t="e">
        <v>#DIV/0!</v>
      </c>
      <c r="X69" s="224" t="e">
        <v>#DIV/0!</v>
      </c>
      <c r="Y69" s="224" t="e">
        <v>#DIV/0!</v>
      </c>
      <c r="Z69" s="224" t="e">
        <v>#DIV/0!</v>
      </c>
      <c r="AA69" s="224" t="e">
        <v>#DIV/0!</v>
      </c>
      <c r="AB69" s="224" t="e">
        <v>#DIV/0!</v>
      </c>
      <c r="AC69" s="224" t="e">
        <v>#DIV/0!</v>
      </c>
      <c r="AD69" s="1120" t="e">
        <v>#DIV/0!</v>
      </c>
      <c r="AE69" s="224" t="e">
        <v>#DIV/0!</v>
      </c>
      <c r="AF69" s="224" t="e">
        <v>#DIV/0!</v>
      </c>
      <c r="AG69" s="224" t="e">
        <v>#DIV/0!</v>
      </c>
      <c r="AH69" s="224" t="e">
        <v>#DIV/0!</v>
      </c>
      <c r="AI69" s="224" t="e">
        <v>#DIV/0!</v>
      </c>
      <c r="AJ69" s="224" t="e">
        <v>#DIV/0!</v>
      </c>
      <c r="AK69" s="224" t="e">
        <v>#DIV/0!</v>
      </c>
      <c r="AL69" s="224" t="e">
        <v>#DIV/0!</v>
      </c>
      <c r="AM69" s="224" t="e">
        <v>#DIV/0!</v>
      </c>
      <c r="AN69" s="1120" t="e">
        <v>#DIV/0!</v>
      </c>
      <c r="AO69" s="224" t="e">
        <f t="shared" si="0"/>
        <v>#DIV/0!</v>
      </c>
      <c r="AP69" s="1123">
        <v>0.1</v>
      </c>
      <c r="AQ69" s="1123">
        <f t="shared" si="3"/>
        <v>6.3391806341729959E-2</v>
      </c>
      <c r="AR69" s="1123">
        <v>20</v>
      </c>
      <c r="AS69" s="1123" t="e">
        <f t="shared" si="4"/>
        <v>#DIV/0!</v>
      </c>
      <c r="AT69" s="224" t="e">
        <f t="shared" si="2"/>
        <v>#DIV/0!</v>
      </c>
    </row>
    <row r="70" spans="1:46">
      <c r="A70" s="1118">
        <v>2030</v>
      </c>
      <c r="D70" s="1107" t="s">
        <v>2003</v>
      </c>
      <c r="E70" s="224" t="s">
        <v>2060</v>
      </c>
      <c r="G70" s="224" t="e">
        <v>#DIV/0!</v>
      </c>
      <c r="H70" s="224" t="e">
        <v>#DIV/0!</v>
      </c>
      <c r="I70" s="224" t="e">
        <v>#DIV/0!</v>
      </c>
      <c r="J70" s="224" t="e">
        <v>#DIV/0!</v>
      </c>
      <c r="K70" s="224" t="e">
        <v>#DIV/0!</v>
      </c>
      <c r="L70" s="224" t="e">
        <v>#DIV/0!</v>
      </c>
      <c r="M70" s="224" t="e">
        <v>#DIV/0!</v>
      </c>
      <c r="N70" s="224" t="e">
        <v>#DIV/0!</v>
      </c>
      <c r="O70" s="224" t="e">
        <v>#DIV/0!</v>
      </c>
      <c r="P70" s="224" t="e">
        <v>#DIV/0!</v>
      </c>
      <c r="Q70" s="224" t="e">
        <v>#DIV/0!</v>
      </c>
      <c r="R70" s="224" t="e">
        <v>#DIV/0!</v>
      </c>
      <c r="S70" s="224" t="e">
        <v>#DIV/0!</v>
      </c>
      <c r="T70" s="224" t="e">
        <v>#DIV/0!</v>
      </c>
      <c r="U70" s="224" t="e">
        <v>#DIV/0!</v>
      </c>
      <c r="V70" s="224" t="e">
        <v>#DIV/0!</v>
      </c>
      <c r="W70" s="224" t="e">
        <v>#DIV/0!</v>
      </c>
      <c r="X70" s="224" t="e">
        <v>#DIV/0!</v>
      </c>
      <c r="Y70" s="224" t="e">
        <v>#DIV/0!</v>
      </c>
      <c r="Z70" s="224" t="e">
        <v>#DIV/0!</v>
      </c>
      <c r="AA70" s="224" t="e">
        <v>#DIV/0!</v>
      </c>
      <c r="AB70" s="224" t="e">
        <v>#DIV/0!</v>
      </c>
      <c r="AC70" s="224" t="e">
        <v>#DIV/0!</v>
      </c>
      <c r="AD70" s="1120" t="e">
        <v>#DIV/0!</v>
      </c>
      <c r="AE70" s="224" t="e">
        <v>#DIV/0!</v>
      </c>
      <c r="AF70" s="224" t="e">
        <v>#DIV/0!</v>
      </c>
      <c r="AG70" s="224" t="e">
        <v>#DIV/0!</v>
      </c>
      <c r="AH70" s="224" t="e">
        <v>#DIV/0!</v>
      </c>
      <c r="AI70" s="224" t="e">
        <v>#DIV/0!</v>
      </c>
      <c r="AJ70" s="224" t="e">
        <v>#DIV/0!</v>
      </c>
      <c r="AK70" s="224" t="e">
        <v>#DIV/0!</v>
      </c>
      <c r="AL70" s="224" t="e">
        <v>#DIV/0!</v>
      </c>
      <c r="AM70" s="224" t="e">
        <v>#DIV/0!</v>
      </c>
      <c r="AN70" s="1120" t="e">
        <v>#DIV/0!</v>
      </c>
      <c r="AO70" s="224" t="e">
        <f t="shared" si="0"/>
        <v>#DIV/0!</v>
      </c>
      <c r="AP70" s="1123">
        <v>0.1</v>
      </c>
      <c r="AQ70" s="1123">
        <f t="shared" si="3"/>
        <v>6.3391806341729959E-2</v>
      </c>
      <c r="AR70" s="1123">
        <v>20</v>
      </c>
      <c r="AS70" s="1123" t="e">
        <f t="shared" si="4"/>
        <v>#DIV/0!</v>
      </c>
      <c r="AT70" s="224" t="e">
        <f t="shared" si="2"/>
        <v>#DIV/0!</v>
      </c>
    </row>
    <row r="71" spans="1:46">
      <c r="A71" s="1118">
        <v>2035</v>
      </c>
      <c r="D71" s="1107" t="s">
        <v>2003</v>
      </c>
      <c r="E71" s="224" t="s">
        <v>2060</v>
      </c>
      <c r="G71" s="224" t="e">
        <v>#DIV/0!</v>
      </c>
      <c r="H71" s="224" t="e">
        <v>#DIV/0!</v>
      </c>
      <c r="I71" s="224" t="e">
        <v>#DIV/0!</v>
      </c>
      <c r="J71" s="224" t="e">
        <v>#DIV/0!</v>
      </c>
      <c r="K71" s="224" t="e">
        <v>#DIV/0!</v>
      </c>
      <c r="L71" s="224" t="e">
        <v>#DIV/0!</v>
      </c>
      <c r="M71" s="224" t="e">
        <v>#DIV/0!</v>
      </c>
      <c r="N71" s="224" t="e">
        <v>#DIV/0!</v>
      </c>
      <c r="O71" s="224" t="e">
        <v>#DIV/0!</v>
      </c>
      <c r="P71" s="224" t="e">
        <v>#DIV/0!</v>
      </c>
      <c r="Q71" s="224" t="e">
        <v>#DIV/0!</v>
      </c>
      <c r="R71" s="224" t="e">
        <v>#DIV/0!</v>
      </c>
      <c r="S71" s="224" t="e">
        <v>#DIV/0!</v>
      </c>
      <c r="T71" s="224" t="e">
        <v>#DIV/0!</v>
      </c>
      <c r="U71" s="224" t="e">
        <v>#DIV/0!</v>
      </c>
      <c r="V71" s="224" t="e">
        <v>#DIV/0!</v>
      </c>
      <c r="W71" s="224" t="e">
        <v>#DIV/0!</v>
      </c>
      <c r="X71" s="224" t="e">
        <v>#DIV/0!</v>
      </c>
      <c r="Y71" s="224" t="e">
        <v>#DIV/0!</v>
      </c>
      <c r="Z71" s="224" t="e">
        <v>#DIV/0!</v>
      </c>
      <c r="AA71" s="224" t="e">
        <v>#DIV/0!</v>
      </c>
      <c r="AB71" s="224" t="e">
        <v>#DIV/0!</v>
      </c>
      <c r="AC71" s="224" t="e">
        <v>#DIV/0!</v>
      </c>
      <c r="AD71" s="1120" t="e">
        <v>#DIV/0!</v>
      </c>
      <c r="AE71" s="224" t="e">
        <v>#DIV/0!</v>
      </c>
      <c r="AF71" s="224" t="e">
        <v>#DIV/0!</v>
      </c>
      <c r="AG71" s="224" t="e">
        <v>#DIV/0!</v>
      </c>
      <c r="AH71" s="224" t="e">
        <v>#DIV/0!</v>
      </c>
      <c r="AI71" s="224" t="e">
        <v>#DIV/0!</v>
      </c>
      <c r="AJ71" s="224" t="e">
        <v>#DIV/0!</v>
      </c>
      <c r="AK71" s="224" t="e">
        <v>#DIV/0!</v>
      </c>
      <c r="AL71" s="224" t="e">
        <v>#DIV/0!</v>
      </c>
      <c r="AM71" s="224" t="e">
        <v>#DIV/0!</v>
      </c>
      <c r="AN71" s="1120" t="e">
        <v>#DIV/0!</v>
      </c>
      <c r="AO71" s="224" t="e">
        <f t="shared" si="0"/>
        <v>#DIV/0!</v>
      </c>
      <c r="AP71" s="1123">
        <v>0.1</v>
      </c>
      <c r="AQ71" s="1123">
        <f t="shared" si="3"/>
        <v>6.3391806341729959E-2</v>
      </c>
      <c r="AR71" s="1123">
        <v>20</v>
      </c>
      <c r="AS71" s="1123" t="e">
        <f t="shared" si="4"/>
        <v>#DIV/0!</v>
      </c>
      <c r="AT71" s="224" t="e">
        <f t="shared" si="2"/>
        <v>#DIV/0!</v>
      </c>
    </row>
    <row r="72" spans="1:46">
      <c r="A72" s="1118">
        <v>2050</v>
      </c>
      <c r="D72" s="1107" t="s">
        <v>2003</v>
      </c>
      <c r="E72" s="224" t="s">
        <v>2060</v>
      </c>
      <c r="G72" s="224" t="e">
        <v>#DIV/0!</v>
      </c>
      <c r="H72" s="224" t="e">
        <v>#DIV/0!</v>
      </c>
      <c r="I72" s="224" t="e">
        <v>#DIV/0!</v>
      </c>
      <c r="J72" s="224" t="e">
        <v>#DIV/0!</v>
      </c>
      <c r="K72" s="224" t="e">
        <v>#DIV/0!</v>
      </c>
      <c r="L72" s="224" t="e">
        <v>#DIV/0!</v>
      </c>
      <c r="M72" s="224" t="e">
        <v>#DIV/0!</v>
      </c>
      <c r="N72" s="224" t="e">
        <v>#DIV/0!</v>
      </c>
      <c r="O72" s="224" t="e">
        <v>#DIV/0!</v>
      </c>
      <c r="P72" s="224" t="e">
        <v>#DIV/0!</v>
      </c>
      <c r="Q72" s="224" t="e">
        <v>#DIV/0!</v>
      </c>
      <c r="R72" s="224" t="e">
        <v>#DIV/0!</v>
      </c>
      <c r="S72" s="224" t="e">
        <v>#DIV/0!</v>
      </c>
      <c r="T72" s="224" t="e">
        <v>#DIV/0!</v>
      </c>
      <c r="U72" s="224" t="e">
        <v>#DIV/0!</v>
      </c>
      <c r="V72" s="224" t="e">
        <v>#DIV/0!</v>
      </c>
      <c r="W72" s="224" t="e">
        <v>#DIV/0!</v>
      </c>
      <c r="X72" s="224" t="e">
        <v>#DIV/0!</v>
      </c>
      <c r="Y72" s="224" t="e">
        <v>#DIV/0!</v>
      </c>
      <c r="Z72" s="224" t="e">
        <v>#DIV/0!</v>
      </c>
      <c r="AA72" s="224" t="e">
        <v>#DIV/0!</v>
      </c>
      <c r="AB72" s="224" t="e">
        <v>#DIV/0!</v>
      </c>
      <c r="AC72" s="224" t="e">
        <v>#DIV/0!</v>
      </c>
      <c r="AD72" s="1120" t="e">
        <v>#DIV/0!</v>
      </c>
      <c r="AE72" s="224" t="e">
        <v>#DIV/0!</v>
      </c>
      <c r="AF72" s="224" t="e">
        <v>#DIV/0!</v>
      </c>
      <c r="AG72" s="224" t="e">
        <v>#DIV/0!</v>
      </c>
      <c r="AH72" s="224" t="e">
        <v>#DIV/0!</v>
      </c>
      <c r="AI72" s="224" t="e">
        <v>#DIV/0!</v>
      </c>
      <c r="AJ72" s="224" t="e">
        <v>#DIV/0!</v>
      </c>
      <c r="AK72" s="224" t="e">
        <v>#DIV/0!</v>
      </c>
      <c r="AL72" s="224" t="e">
        <v>#DIV/0!</v>
      </c>
      <c r="AM72" s="224" t="e">
        <v>#DIV/0!</v>
      </c>
      <c r="AN72" s="1120" t="e">
        <v>#DIV/0!</v>
      </c>
      <c r="AO72" s="224" t="e">
        <f t="shared" si="0"/>
        <v>#DIV/0!</v>
      </c>
      <c r="AP72" s="1123">
        <v>0.1</v>
      </c>
      <c r="AQ72" s="1123">
        <f t="shared" si="3"/>
        <v>6.3391806341729959E-2</v>
      </c>
      <c r="AR72" s="1123">
        <v>20</v>
      </c>
      <c r="AS72" s="1123" t="e">
        <f t="shared" si="4"/>
        <v>#DIV/0!</v>
      </c>
      <c r="AT72" s="224" t="e">
        <f t="shared" si="2"/>
        <v>#DIV/0!</v>
      </c>
    </row>
    <row r="73" spans="1:46">
      <c r="A73" s="1118">
        <v>2017</v>
      </c>
      <c r="D73" s="1107" t="s">
        <v>2003</v>
      </c>
      <c r="E73" s="224" t="s">
        <v>2061</v>
      </c>
      <c r="G73" s="224">
        <v>4764.2062053375003</v>
      </c>
      <c r="H73" s="224">
        <v>1644.5</v>
      </c>
      <c r="I73" s="224">
        <v>258.36618750000002</v>
      </c>
      <c r="J73" s="224">
        <v>0</v>
      </c>
      <c r="K73" s="224">
        <v>0</v>
      </c>
      <c r="L73" s="224">
        <v>0</v>
      </c>
      <c r="M73" s="224">
        <v>0</v>
      </c>
      <c r="N73" s="224">
        <v>0</v>
      </c>
      <c r="O73" s="224">
        <v>0</v>
      </c>
      <c r="P73" s="224">
        <v>0</v>
      </c>
      <c r="Q73" s="224">
        <v>0</v>
      </c>
      <c r="R73" s="224">
        <v>0</v>
      </c>
      <c r="S73" s="224">
        <v>560.36800490323662</v>
      </c>
      <c r="T73" s="224">
        <v>897.68396136564468</v>
      </c>
      <c r="U73" s="224">
        <v>1110.8414818751887</v>
      </c>
      <c r="V73" s="224">
        <v>0</v>
      </c>
      <c r="W73" s="224">
        <v>162.33558619999999</v>
      </c>
      <c r="X73" s="224">
        <v>243.50337930000001</v>
      </c>
      <c r="Y73" s="224">
        <v>258.36618750000002</v>
      </c>
      <c r="Z73" s="224">
        <v>0</v>
      </c>
      <c r="AA73" s="224">
        <v>2.976722469605507</v>
      </c>
      <c r="AB73" s="224">
        <v>4.7685734999503033</v>
      </c>
      <c r="AC73" s="224">
        <v>5.9008843658708567</v>
      </c>
      <c r="AD73" s="1120">
        <v>17.255266768180615</v>
      </c>
      <c r="AE73" s="224">
        <v>0</v>
      </c>
      <c r="AF73" s="224">
        <v>7675.9466479799994</v>
      </c>
      <c r="AG73" s="224">
        <v>147005.19336375</v>
      </c>
      <c r="AH73" s="224">
        <v>0</v>
      </c>
      <c r="AI73" s="224">
        <v>18600</v>
      </c>
      <c r="AJ73" s="224">
        <v>0</v>
      </c>
      <c r="AK73" s="224">
        <v>745.98720000000003</v>
      </c>
      <c r="AL73" s="224">
        <v>0</v>
      </c>
      <c r="AM73" s="224">
        <v>0</v>
      </c>
      <c r="AN73" s="1120">
        <v>174027.12721173</v>
      </c>
      <c r="AO73" s="224">
        <f t="shared" si="0"/>
        <v>2.2735539493754775</v>
      </c>
      <c r="AP73" s="1123">
        <v>0.1</v>
      </c>
      <c r="AQ73" s="1123">
        <f t="shared" si="3"/>
        <v>6.3391806341729959E-2</v>
      </c>
      <c r="AR73" s="1123">
        <v>20</v>
      </c>
      <c r="AS73" s="1123">
        <f t="shared" si="4"/>
        <v>0.31261341807967957</v>
      </c>
      <c r="AT73" s="224">
        <f t="shared" si="2"/>
        <v>11031.893946413591</v>
      </c>
    </row>
    <row r="74" spans="1:46">
      <c r="A74" s="1121">
        <v>2020</v>
      </c>
      <c r="D74" s="1107" t="s">
        <v>2003</v>
      </c>
      <c r="E74" s="224" t="s">
        <v>2061</v>
      </c>
      <c r="G74" s="224" t="e">
        <v>#DIV/0!</v>
      </c>
      <c r="H74" s="224" t="e">
        <v>#DIV/0!</v>
      </c>
      <c r="I74" s="224" t="e">
        <v>#DIV/0!</v>
      </c>
      <c r="J74" s="224" t="e">
        <v>#DIV/0!</v>
      </c>
      <c r="K74" s="224" t="e">
        <v>#DIV/0!</v>
      </c>
      <c r="L74" s="224" t="e">
        <v>#DIV/0!</v>
      </c>
      <c r="M74" s="224" t="e">
        <v>#DIV/0!</v>
      </c>
      <c r="N74" s="224" t="e">
        <v>#DIV/0!</v>
      </c>
      <c r="O74" s="224" t="e">
        <v>#DIV/0!</v>
      </c>
      <c r="P74" s="224" t="e">
        <v>#DIV/0!</v>
      </c>
      <c r="Q74" s="224" t="e">
        <v>#DIV/0!</v>
      </c>
      <c r="R74" s="224" t="e">
        <v>#DIV/0!</v>
      </c>
      <c r="S74" s="224" t="e">
        <v>#DIV/0!</v>
      </c>
      <c r="T74" s="224" t="e">
        <v>#DIV/0!</v>
      </c>
      <c r="U74" s="224" t="e">
        <v>#DIV/0!</v>
      </c>
      <c r="V74" s="224" t="e">
        <v>#DIV/0!</v>
      </c>
      <c r="W74" s="224" t="e">
        <v>#DIV/0!</v>
      </c>
      <c r="X74" s="224" t="e">
        <v>#DIV/0!</v>
      </c>
      <c r="Y74" s="224" t="e">
        <v>#DIV/0!</v>
      </c>
      <c r="Z74" s="224" t="e">
        <v>#DIV/0!</v>
      </c>
      <c r="AA74" s="224" t="e">
        <v>#DIV/0!</v>
      </c>
      <c r="AB74" s="224" t="e">
        <v>#DIV/0!</v>
      </c>
      <c r="AC74" s="224" t="e">
        <v>#DIV/0!</v>
      </c>
      <c r="AD74" s="1120" t="e">
        <v>#DIV/0!</v>
      </c>
      <c r="AE74" s="224" t="e">
        <v>#DIV/0!</v>
      </c>
      <c r="AF74" s="224" t="e">
        <v>#DIV/0!</v>
      </c>
      <c r="AG74" s="224" t="e">
        <v>#DIV/0!</v>
      </c>
      <c r="AH74" s="224" t="e">
        <v>#DIV/0!</v>
      </c>
      <c r="AI74" s="224" t="e">
        <v>#DIV/0!</v>
      </c>
      <c r="AJ74" s="224" t="e">
        <v>#DIV/0!</v>
      </c>
      <c r="AK74" s="224" t="e">
        <v>#DIV/0!</v>
      </c>
      <c r="AL74" s="224" t="e">
        <v>#DIV/0!</v>
      </c>
      <c r="AM74" s="224" t="e">
        <v>#DIV/0!</v>
      </c>
      <c r="AN74" s="1120" t="e">
        <v>#DIV/0!</v>
      </c>
      <c r="AO74" s="224" t="e">
        <f t="shared" si="0"/>
        <v>#DIV/0!</v>
      </c>
      <c r="AP74" s="1123">
        <v>0.1</v>
      </c>
      <c r="AQ74" s="1123">
        <f t="shared" si="3"/>
        <v>6.3391806341729959E-2</v>
      </c>
      <c r="AR74" s="1123">
        <v>20</v>
      </c>
      <c r="AS74" s="1123" t="e">
        <f t="shared" si="4"/>
        <v>#DIV/0!</v>
      </c>
      <c r="AT74" s="224" t="e">
        <f t="shared" si="2"/>
        <v>#DIV/0!</v>
      </c>
    </row>
    <row r="75" spans="1:46">
      <c r="A75" s="1118">
        <v>2025</v>
      </c>
      <c r="D75" s="1107" t="s">
        <v>2003</v>
      </c>
      <c r="E75" s="224" t="s">
        <v>2061</v>
      </c>
      <c r="G75" s="224" t="e">
        <v>#DIV/0!</v>
      </c>
      <c r="H75" s="224" t="e">
        <v>#DIV/0!</v>
      </c>
      <c r="I75" s="224" t="e">
        <v>#DIV/0!</v>
      </c>
      <c r="J75" s="224" t="e">
        <v>#DIV/0!</v>
      </c>
      <c r="K75" s="224" t="e">
        <v>#DIV/0!</v>
      </c>
      <c r="L75" s="224" t="e">
        <v>#DIV/0!</v>
      </c>
      <c r="M75" s="224" t="e">
        <v>#DIV/0!</v>
      </c>
      <c r="N75" s="224" t="e">
        <v>#DIV/0!</v>
      </c>
      <c r="O75" s="224" t="e">
        <v>#DIV/0!</v>
      </c>
      <c r="P75" s="224" t="e">
        <v>#DIV/0!</v>
      </c>
      <c r="Q75" s="224" t="e">
        <v>#DIV/0!</v>
      </c>
      <c r="R75" s="224" t="e">
        <v>#DIV/0!</v>
      </c>
      <c r="S75" s="224" t="e">
        <v>#DIV/0!</v>
      </c>
      <c r="T75" s="224" t="e">
        <v>#DIV/0!</v>
      </c>
      <c r="U75" s="224" t="e">
        <v>#DIV/0!</v>
      </c>
      <c r="V75" s="224" t="e">
        <v>#DIV/0!</v>
      </c>
      <c r="W75" s="224" t="e">
        <v>#DIV/0!</v>
      </c>
      <c r="X75" s="224" t="e">
        <v>#DIV/0!</v>
      </c>
      <c r="Y75" s="224" t="e">
        <v>#DIV/0!</v>
      </c>
      <c r="Z75" s="224" t="e">
        <v>#DIV/0!</v>
      </c>
      <c r="AA75" s="224" t="e">
        <v>#DIV/0!</v>
      </c>
      <c r="AB75" s="224" t="e">
        <v>#DIV/0!</v>
      </c>
      <c r="AC75" s="224" t="e">
        <v>#DIV/0!</v>
      </c>
      <c r="AD75" s="1120" t="e">
        <v>#DIV/0!</v>
      </c>
      <c r="AE75" s="224" t="e">
        <v>#DIV/0!</v>
      </c>
      <c r="AF75" s="224" t="e">
        <v>#DIV/0!</v>
      </c>
      <c r="AG75" s="224" t="e">
        <v>#DIV/0!</v>
      </c>
      <c r="AH75" s="224" t="e">
        <v>#DIV/0!</v>
      </c>
      <c r="AI75" s="224" t="e">
        <v>#DIV/0!</v>
      </c>
      <c r="AJ75" s="224" t="e">
        <v>#DIV/0!</v>
      </c>
      <c r="AK75" s="224" t="e">
        <v>#DIV/0!</v>
      </c>
      <c r="AL75" s="224" t="e">
        <v>#DIV/0!</v>
      </c>
      <c r="AM75" s="224" t="e">
        <v>#DIV/0!</v>
      </c>
      <c r="AN75" s="1120" t="e">
        <v>#DIV/0!</v>
      </c>
      <c r="AO75" s="224" t="e">
        <f t="shared" si="0"/>
        <v>#DIV/0!</v>
      </c>
      <c r="AP75" s="1123">
        <v>0.1</v>
      </c>
      <c r="AQ75" s="1123">
        <f t="shared" si="3"/>
        <v>6.3391806341729959E-2</v>
      </c>
      <c r="AR75" s="1123">
        <v>20</v>
      </c>
      <c r="AS75" s="1123" t="e">
        <f t="shared" si="4"/>
        <v>#DIV/0!</v>
      </c>
      <c r="AT75" s="224" t="e">
        <f t="shared" si="2"/>
        <v>#DIV/0!</v>
      </c>
    </row>
    <row r="76" spans="1:46">
      <c r="A76" s="1118">
        <v>2030</v>
      </c>
      <c r="D76" s="1107" t="s">
        <v>2003</v>
      </c>
      <c r="E76" s="224" t="s">
        <v>2061</v>
      </c>
      <c r="G76" s="224" t="e">
        <v>#DIV/0!</v>
      </c>
      <c r="H76" s="224" t="e">
        <v>#DIV/0!</v>
      </c>
      <c r="I76" s="224" t="e">
        <v>#DIV/0!</v>
      </c>
      <c r="J76" s="224" t="e">
        <v>#DIV/0!</v>
      </c>
      <c r="K76" s="224" t="e">
        <v>#DIV/0!</v>
      </c>
      <c r="L76" s="224" t="e">
        <v>#DIV/0!</v>
      </c>
      <c r="M76" s="224" t="e">
        <v>#DIV/0!</v>
      </c>
      <c r="N76" s="224" t="e">
        <v>#DIV/0!</v>
      </c>
      <c r="O76" s="224" t="e">
        <v>#DIV/0!</v>
      </c>
      <c r="P76" s="224" t="e">
        <v>#DIV/0!</v>
      </c>
      <c r="Q76" s="224" t="e">
        <v>#DIV/0!</v>
      </c>
      <c r="R76" s="224" t="e">
        <v>#DIV/0!</v>
      </c>
      <c r="S76" s="224" t="e">
        <v>#DIV/0!</v>
      </c>
      <c r="T76" s="224" t="e">
        <v>#DIV/0!</v>
      </c>
      <c r="U76" s="224" t="e">
        <v>#DIV/0!</v>
      </c>
      <c r="V76" s="224" t="e">
        <v>#DIV/0!</v>
      </c>
      <c r="W76" s="224" t="e">
        <v>#DIV/0!</v>
      </c>
      <c r="X76" s="224" t="e">
        <v>#DIV/0!</v>
      </c>
      <c r="Y76" s="224" t="e">
        <v>#DIV/0!</v>
      </c>
      <c r="Z76" s="224" t="e">
        <v>#DIV/0!</v>
      </c>
      <c r="AA76" s="224" t="e">
        <v>#DIV/0!</v>
      </c>
      <c r="AB76" s="224" t="e">
        <v>#DIV/0!</v>
      </c>
      <c r="AC76" s="224" t="e">
        <v>#DIV/0!</v>
      </c>
      <c r="AD76" s="1120" t="e">
        <v>#DIV/0!</v>
      </c>
      <c r="AE76" s="224" t="e">
        <v>#DIV/0!</v>
      </c>
      <c r="AF76" s="224" t="e">
        <v>#DIV/0!</v>
      </c>
      <c r="AG76" s="224" t="e">
        <v>#DIV/0!</v>
      </c>
      <c r="AH76" s="224" t="e">
        <v>#DIV/0!</v>
      </c>
      <c r="AI76" s="224" t="e">
        <v>#DIV/0!</v>
      </c>
      <c r="AJ76" s="224" t="e">
        <v>#DIV/0!</v>
      </c>
      <c r="AK76" s="224" t="e">
        <v>#DIV/0!</v>
      </c>
      <c r="AL76" s="224" t="e">
        <v>#DIV/0!</v>
      </c>
      <c r="AM76" s="224" t="e">
        <v>#DIV/0!</v>
      </c>
      <c r="AN76" s="1120" t="e">
        <v>#DIV/0!</v>
      </c>
      <c r="AO76" s="224" t="e">
        <f t="shared" si="0"/>
        <v>#DIV/0!</v>
      </c>
      <c r="AP76" s="1123">
        <v>0.1</v>
      </c>
      <c r="AQ76" s="1123">
        <f t="shared" si="3"/>
        <v>6.3391806341729959E-2</v>
      </c>
      <c r="AR76" s="1123">
        <v>20</v>
      </c>
      <c r="AS76" s="1123" t="e">
        <f t="shared" si="4"/>
        <v>#DIV/0!</v>
      </c>
      <c r="AT76" s="224" t="e">
        <f t="shared" si="2"/>
        <v>#DIV/0!</v>
      </c>
    </row>
    <row r="77" spans="1:46">
      <c r="A77" s="1118">
        <v>2035</v>
      </c>
      <c r="D77" s="1107" t="s">
        <v>2003</v>
      </c>
      <c r="E77" s="224" t="s">
        <v>2061</v>
      </c>
      <c r="G77" s="224" t="e">
        <v>#DIV/0!</v>
      </c>
      <c r="H77" s="224" t="e">
        <v>#DIV/0!</v>
      </c>
      <c r="I77" s="224" t="e">
        <v>#DIV/0!</v>
      </c>
      <c r="J77" s="224" t="e">
        <v>#DIV/0!</v>
      </c>
      <c r="K77" s="224" t="e">
        <v>#DIV/0!</v>
      </c>
      <c r="L77" s="224" t="e">
        <v>#DIV/0!</v>
      </c>
      <c r="M77" s="224" t="e">
        <v>#DIV/0!</v>
      </c>
      <c r="N77" s="224" t="e">
        <v>#DIV/0!</v>
      </c>
      <c r="O77" s="224" t="e">
        <v>#DIV/0!</v>
      </c>
      <c r="P77" s="224" t="e">
        <v>#DIV/0!</v>
      </c>
      <c r="Q77" s="224" t="e">
        <v>#DIV/0!</v>
      </c>
      <c r="R77" s="224" t="e">
        <v>#DIV/0!</v>
      </c>
      <c r="S77" s="224" t="e">
        <v>#DIV/0!</v>
      </c>
      <c r="T77" s="224" t="e">
        <v>#DIV/0!</v>
      </c>
      <c r="U77" s="224" t="e">
        <v>#DIV/0!</v>
      </c>
      <c r="V77" s="224" t="e">
        <v>#DIV/0!</v>
      </c>
      <c r="W77" s="224" t="e">
        <v>#DIV/0!</v>
      </c>
      <c r="X77" s="224" t="e">
        <v>#DIV/0!</v>
      </c>
      <c r="Y77" s="224" t="e">
        <v>#DIV/0!</v>
      </c>
      <c r="Z77" s="224" t="e">
        <v>#DIV/0!</v>
      </c>
      <c r="AA77" s="224" t="e">
        <v>#DIV/0!</v>
      </c>
      <c r="AB77" s="224" t="e">
        <v>#DIV/0!</v>
      </c>
      <c r="AC77" s="224" t="e">
        <v>#DIV/0!</v>
      </c>
      <c r="AD77" s="1120" t="e">
        <v>#DIV/0!</v>
      </c>
      <c r="AE77" s="224" t="e">
        <v>#DIV/0!</v>
      </c>
      <c r="AF77" s="224" t="e">
        <v>#DIV/0!</v>
      </c>
      <c r="AG77" s="224" t="e">
        <v>#DIV/0!</v>
      </c>
      <c r="AH77" s="224" t="e">
        <v>#DIV/0!</v>
      </c>
      <c r="AI77" s="224" t="e">
        <v>#DIV/0!</v>
      </c>
      <c r="AJ77" s="224" t="e">
        <v>#DIV/0!</v>
      </c>
      <c r="AK77" s="224" t="e">
        <v>#DIV/0!</v>
      </c>
      <c r="AL77" s="224" t="e">
        <v>#DIV/0!</v>
      </c>
      <c r="AM77" s="224" t="e">
        <v>#DIV/0!</v>
      </c>
      <c r="AN77" s="1120" t="e">
        <v>#DIV/0!</v>
      </c>
      <c r="AO77" s="224" t="e">
        <f t="shared" si="0"/>
        <v>#DIV/0!</v>
      </c>
      <c r="AP77" s="1123">
        <v>0.1</v>
      </c>
      <c r="AQ77" s="1123">
        <f t="shared" si="3"/>
        <v>6.3391806341729959E-2</v>
      </c>
      <c r="AR77" s="1123">
        <v>20</v>
      </c>
      <c r="AS77" s="1123" t="e">
        <f t="shared" si="4"/>
        <v>#DIV/0!</v>
      </c>
      <c r="AT77" s="224" t="e">
        <f t="shared" si="2"/>
        <v>#DIV/0!</v>
      </c>
    </row>
    <row r="78" spans="1:46">
      <c r="A78" s="1118">
        <v>2050</v>
      </c>
      <c r="D78" s="1107" t="s">
        <v>2003</v>
      </c>
      <c r="E78" s="224" t="s">
        <v>2061</v>
      </c>
      <c r="G78" s="224" t="e">
        <v>#DIV/0!</v>
      </c>
      <c r="H78" s="224" t="e">
        <v>#DIV/0!</v>
      </c>
      <c r="I78" s="224" t="e">
        <v>#DIV/0!</v>
      </c>
      <c r="J78" s="224" t="e">
        <v>#DIV/0!</v>
      </c>
      <c r="K78" s="224" t="e">
        <v>#DIV/0!</v>
      </c>
      <c r="L78" s="224" t="e">
        <v>#DIV/0!</v>
      </c>
      <c r="M78" s="224" t="e">
        <v>#DIV/0!</v>
      </c>
      <c r="N78" s="224" t="e">
        <v>#DIV/0!</v>
      </c>
      <c r="O78" s="224" t="e">
        <v>#DIV/0!</v>
      </c>
      <c r="P78" s="224" t="e">
        <v>#DIV/0!</v>
      </c>
      <c r="Q78" s="224" t="e">
        <v>#DIV/0!</v>
      </c>
      <c r="R78" s="224" t="e">
        <v>#DIV/0!</v>
      </c>
      <c r="S78" s="224" t="e">
        <v>#DIV/0!</v>
      </c>
      <c r="T78" s="224" t="e">
        <v>#DIV/0!</v>
      </c>
      <c r="U78" s="224" t="e">
        <v>#DIV/0!</v>
      </c>
      <c r="V78" s="224" t="e">
        <v>#DIV/0!</v>
      </c>
      <c r="W78" s="224" t="e">
        <v>#DIV/0!</v>
      </c>
      <c r="X78" s="224" t="e">
        <v>#DIV/0!</v>
      </c>
      <c r="Y78" s="224" t="e">
        <v>#DIV/0!</v>
      </c>
      <c r="Z78" s="224" t="e">
        <v>#DIV/0!</v>
      </c>
      <c r="AA78" s="224" t="e">
        <v>#DIV/0!</v>
      </c>
      <c r="AB78" s="224" t="e">
        <v>#DIV/0!</v>
      </c>
      <c r="AC78" s="224" t="e">
        <v>#DIV/0!</v>
      </c>
      <c r="AD78" s="1120" t="e">
        <v>#DIV/0!</v>
      </c>
      <c r="AE78" s="224" t="e">
        <v>#DIV/0!</v>
      </c>
      <c r="AF78" s="224" t="e">
        <v>#DIV/0!</v>
      </c>
      <c r="AG78" s="224" t="e">
        <v>#DIV/0!</v>
      </c>
      <c r="AH78" s="224" t="e">
        <v>#DIV/0!</v>
      </c>
      <c r="AI78" s="224" t="e">
        <v>#DIV/0!</v>
      </c>
      <c r="AJ78" s="224" t="e">
        <v>#DIV/0!</v>
      </c>
      <c r="AK78" s="224" t="e">
        <v>#DIV/0!</v>
      </c>
      <c r="AL78" s="224" t="e">
        <v>#DIV/0!</v>
      </c>
      <c r="AM78" s="224" t="e">
        <v>#DIV/0!</v>
      </c>
      <c r="AN78" s="1120" t="e">
        <v>#DIV/0!</v>
      </c>
      <c r="AO78" s="224" t="e">
        <f t="shared" ref="AO78:AO141" si="5">AD78*$C$4</f>
        <v>#DIV/0!</v>
      </c>
      <c r="AP78" s="1123">
        <v>0.1</v>
      </c>
      <c r="AQ78" s="1123">
        <f t="shared" si="3"/>
        <v>6.3391806341729959E-2</v>
      </c>
      <c r="AR78" s="1123">
        <v>20</v>
      </c>
      <c r="AS78" s="1123" t="e">
        <f t="shared" si="4"/>
        <v>#DIV/0!</v>
      </c>
      <c r="AT78" s="224" t="e">
        <f t="shared" ref="AT78:AT141" si="6">AN78*AQ78</f>
        <v>#DIV/0!</v>
      </c>
    </row>
    <row r="79" spans="1:46">
      <c r="A79" s="1118">
        <v>2017</v>
      </c>
      <c r="D79" s="1107" t="s">
        <v>2003</v>
      </c>
      <c r="E79" s="224" t="s">
        <v>2062</v>
      </c>
      <c r="G79" s="224">
        <v>4011.4635405839831</v>
      </c>
      <c r="H79" s="224">
        <v>1644.5</v>
      </c>
      <c r="I79" s="224">
        <v>2.9304000000000001</v>
      </c>
      <c r="J79" s="224">
        <v>3.0378714739285759E-2</v>
      </c>
      <c r="K79" s="224">
        <v>4.0303916367529724E-2</v>
      </c>
      <c r="L79" s="224">
        <v>5.1443773103483373E-2</v>
      </c>
      <c r="M79" s="224">
        <v>0</v>
      </c>
      <c r="N79" s="224">
        <v>0</v>
      </c>
      <c r="O79" s="224">
        <v>0</v>
      </c>
      <c r="P79" s="224">
        <v>0</v>
      </c>
      <c r="Q79" s="224">
        <v>0</v>
      </c>
      <c r="R79" s="224">
        <v>0</v>
      </c>
      <c r="S79" s="224">
        <v>0</v>
      </c>
      <c r="T79" s="224">
        <v>0</v>
      </c>
      <c r="U79" s="224">
        <v>0</v>
      </c>
      <c r="V79" s="224">
        <v>0</v>
      </c>
      <c r="W79" s="224">
        <v>188.60309874999999</v>
      </c>
      <c r="X79" s="224">
        <v>91.216507177033492</v>
      </c>
      <c r="Y79" s="224">
        <v>2.9304000000000001</v>
      </c>
      <c r="Z79" s="224">
        <v>122.8892587</v>
      </c>
      <c r="AA79" s="224">
        <v>6.075742947857151</v>
      </c>
      <c r="AB79" s="224">
        <v>8.0607832735059457</v>
      </c>
      <c r="AC79" s="224">
        <v>10.288754620696675</v>
      </c>
      <c r="AD79" s="1120">
        <v>32.043098420878422</v>
      </c>
      <c r="AE79" s="224">
        <v>0</v>
      </c>
      <c r="AF79" s="224">
        <v>8802.8229363749997</v>
      </c>
      <c r="AG79" s="224">
        <v>3977.0397129186604</v>
      </c>
      <c r="AH79" s="224">
        <v>0</v>
      </c>
      <c r="AI79" s="224">
        <v>18600</v>
      </c>
      <c r="AJ79" s="224">
        <v>0</v>
      </c>
      <c r="AK79" s="224">
        <v>745.98720000000003</v>
      </c>
      <c r="AL79" s="224">
        <v>58937.390000000007</v>
      </c>
      <c r="AM79" s="224">
        <v>11987.604616000001</v>
      </c>
      <c r="AN79" s="1120">
        <v>103050.84446529366</v>
      </c>
      <c r="AO79" s="224">
        <f t="shared" si="5"/>
        <v>4.2219986479349405</v>
      </c>
      <c r="AP79" s="1123">
        <v>0.1</v>
      </c>
      <c r="AQ79" s="1123">
        <f t="shared" ref="AQ79:AQ142" si="7">AQ78</f>
        <v>6.3391806341729959E-2</v>
      </c>
      <c r="AR79" s="1123">
        <v>20</v>
      </c>
      <c r="AS79" s="1123">
        <f t="shared" si="4"/>
        <v>0.58052434991537272</v>
      </c>
      <c r="AT79" s="224">
        <f t="shared" si="6"/>
        <v>6532.5791756956305</v>
      </c>
    </row>
    <row r="80" spans="1:46">
      <c r="A80" s="1121">
        <v>2020</v>
      </c>
      <c r="D80" s="1107" t="s">
        <v>2003</v>
      </c>
      <c r="E80" s="224" t="s">
        <v>2062</v>
      </c>
      <c r="G80" s="224" t="e">
        <v>#DIV/0!</v>
      </c>
      <c r="H80" s="224" t="e">
        <v>#DIV/0!</v>
      </c>
      <c r="I80" s="224" t="e">
        <v>#DIV/0!</v>
      </c>
      <c r="J80" s="224" t="e">
        <v>#DIV/0!</v>
      </c>
      <c r="K80" s="224" t="e">
        <v>#DIV/0!</v>
      </c>
      <c r="L80" s="224" t="e">
        <v>#DIV/0!</v>
      </c>
      <c r="M80" s="224" t="e">
        <v>#DIV/0!</v>
      </c>
      <c r="N80" s="224" t="e">
        <v>#DIV/0!</v>
      </c>
      <c r="O80" s="224" t="e">
        <v>#DIV/0!</v>
      </c>
      <c r="P80" s="224" t="e">
        <v>#DIV/0!</v>
      </c>
      <c r="Q80" s="224" t="e">
        <v>#DIV/0!</v>
      </c>
      <c r="R80" s="224" t="e">
        <v>#DIV/0!</v>
      </c>
      <c r="S80" s="224" t="e">
        <v>#DIV/0!</v>
      </c>
      <c r="T80" s="224" t="e">
        <v>#DIV/0!</v>
      </c>
      <c r="U80" s="224" t="e">
        <v>#DIV/0!</v>
      </c>
      <c r="V80" s="224" t="e">
        <v>#DIV/0!</v>
      </c>
      <c r="W80" s="224" t="e">
        <v>#DIV/0!</v>
      </c>
      <c r="X80" s="224" t="e">
        <v>#DIV/0!</v>
      </c>
      <c r="Y80" s="224" t="e">
        <v>#DIV/0!</v>
      </c>
      <c r="Z80" s="224" t="e">
        <v>#DIV/0!</v>
      </c>
      <c r="AA80" s="224" t="e">
        <v>#DIV/0!</v>
      </c>
      <c r="AB80" s="224" t="e">
        <v>#DIV/0!</v>
      </c>
      <c r="AC80" s="224" t="e">
        <v>#DIV/0!</v>
      </c>
      <c r="AD80" s="1120" t="e">
        <v>#DIV/0!</v>
      </c>
      <c r="AE80" s="224" t="e">
        <v>#DIV/0!</v>
      </c>
      <c r="AF80" s="224" t="e">
        <v>#DIV/0!</v>
      </c>
      <c r="AG80" s="224" t="e">
        <v>#DIV/0!</v>
      </c>
      <c r="AH80" s="224" t="e">
        <v>#DIV/0!</v>
      </c>
      <c r="AI80" s="224" t="e">
        <v>#DIV/0!</v>
      </c>
      <c r="AJ80" s="224" t="e">
        <v>#DIV/0!</v>
      </c>
      <c r="AK80" s="224" t="e">
        <v>#DIV/0!</v>
      </c>
      <c r="AL80" s="224" t="e">
        <v>#DIV/0!</v>
      </c>
      <c r="AM80" s="224" t="e">
        <v>#DIV/0!</v>
      </c>
      <c r="AN80" s="1120" t="e">
        <v>#DIV/0!</v>
      </c>
      <c r="AO80" s="224" t="e">
        <f t="shared" si="5"/>
        <v>#DIV/0!</v>
      </c>
      <c r="AP80" s="1123">
        <v>0.1</v>
      </c>
      <c r="AQ80" s="1123">
        <f t="shared" si="7"/>
        <v>6.3391806341729959E-2</v>
      </c>
      <c r="AR80" s="1123">
        <v>20</v>
      </c>
      <c r="AS80" s="1123" t="e">
        <f t="shared" si="4"/>
        <v>#DIV/0!</v>
      </c>
      <c r="AT80" s="224" t="e">
        <f t="shared" si="6"/>
        <v>#DIV/0!</v>
      </c>
    </row>
    <row r="81" spans="1:46">
      <c r="A81" s="1118">
        <v>2025</v>
      </c>
      <c r="D81" s="1107" t="s">
        <v>2003</v>
      </c>
      <c r="E81" s="224" t="s">
        <v>2062</v>
      </c>
      <c r="G81" s="224" t="e">
        <v>#DIV/0!</v>
      </c>
      <c r="H81" s="224" t="e">
        <v>#DIV/0!</v>
      </c>
      <c r="I81" s="224" t="e">
        <v>#DIV/0!</v>
      </c>
      <c r="J81" s="224" t="e">
        <v>#DIV/0!</v>
      </c>
      <c r="K81" s="224" t="e">
        <v>#DIV/0!</v>
      </c>
      <c r="L81" s="224" t="e">
        <v>#DIV/0!</v>
      </c>
      <c r="M81" s="224" t="e">
        <v>#DIV/0!</v>
      </c>
      <c r="N81" s="224" t="e">
        <v>#DIV/0!</v>
      </c>
      <c r="O81" s="224" t="e">
        <v>#DIV/0!</v>
      </c>
      <c r="P81" s="224" t="e">
        <v>#DIV/0!</v>
      </c>
      <c r="Q81" s="224" t="e">
        <v>#DIV/0!</v>
      </c>
      <c r="R81" s="224" t="e">
        <v>#DIV/0!</v>
      </c>
      <c r="S81" s="224" t="e">
        <v>#DIV/0!</v>
      </c>
      <c r="T81" s="224" t="e">
        <v>#DIV/0!</v>
      </c>
      <c r="U81" s="224" t="e">
        <v>#DIV/0!</v>
      </c>
      <c r="V81" s="224" t="e">
        <v>#DIV/0!</v>
      </c>
      <c r="W81" s="224" t="e">
        <v>#DIV/0!</v>
      </c>
      <c r="X81" s="224" t="e">
        <v>#DIV/0!</v>
      </c>
      <c r="Y81" s="224" t="e">
        <v>#DIV/0!</v>
      </c>
      <c r="Z81" s="224" t="e">
        <v>#DIV/0!</v>
      </c>
      <c r="AA81" s="224" t="e">
        <v>#DIV/0!</v>
      </c>
      <c r="AB81" s="224" t="e">
        <v>#DIV/0!</v>
      </c>
      <c r="AC81" s="224" t="e">
        <v>#DIV/0!</v>
      </c>
      <c r="AD81" s="1120" t="e">
        <v>#DIV/0!</v>
      </c>
      <c r="AE81" s="224" t="e">
        <v>#DIV/0!</v>
      </c>
      <c r="AF81" s="224" t="e">
        <v>#DIV/0!</v>
      </c>
      <c r="AG81" s="224" t="e">
        <v>#DIV/0!</v>
      </c>
      <c r="AH81" s="224" t="e">
        <v>#DIV/0!</v>
      </c>
      <c r="AI81" s="224" t="e">
        <v>#DIV/0!</v>
      </c>
      <c r="AJ81" s="224" t="e">
        <v>#DIV/0!</v>
      </c>
      <c r="AK81" s="224" t="e">
        <v>#DIV/0!</v>
      </c>
      <c r="AL81" s="224" t="e">
        <v>#DIV/0!</v>
      </c>
      <c r="AM81" s="224" t="e">
        <v>#DIV/0!</v>
      </c>
      <c r="AN81" s="1120" t="e">
        <v>#DIV/0!</v>
      </c>
      <c r="AO81" s="224" t="e">
        <f t="shared" si="5"/>
        <v>#DIV/0!</v>
      </c>
      <c r="AP81" s="1123">
        <v>0.1</v>
      </c>
      <c r="AQ81" s="1123">
        <f t="shared" si="7"/>
        <v>6.3391806341729959E-2</v>
      </c>
      <c r="AR81" s="1123">
        <v>20</v>
      </c>
      <c r="AS81" s="1123" t="e">
        <f t="shared" si="4"/>
        <v>#DIV/0!</v>
      </c>
      <c r="AT81" s="224" t="e">
        <f t="shared" si="6"/>
        <v>#DIV/0!</v>
      </c>
    </row>
    <row r="82" spans="1:46">
      <c r="A82" s="1118">
        <v>2030</v>
      </c>
      <c r="D82" s="1107" t="s">
        <v>2003</v>
      </c>
      <c r="E82" s="224" t="s">
        <v>2062</v>
      </c>
      <c r="G82" s="224">
        <v>3533.8088048981808</v>
      </c>
      <c r="H82" s="224">
        <v>1679.5</v>
      </c>
      <c r="I82" s="224">
        <v>2.3443200000000002</v>
      </c>
      <c r="J82" s="224">
        <v>2.0152619915498694E-2</v>
      </c>
      <c r="K82" s="224">
        <v>2.5584682137724041E-2</v>
      </c>
      <c r="L82" s="224">
        <v>3.1895332620800326E-2</v>
      </c>
      <c r="M82" s="224">
        <v>0</v>
      </c>
      <c r="N82" s="224">
        <v>0</v>
      </c>
      <c r="O82" s="224">
        <v>0</v>
      </c>
      <c r="P82" s="224">
        <v>0</v>
      </c>
      <c r="Q82" s="224">
        <v>0</v>
      </c>
      <c r="R82" s="224">
        <v>0</v>
      </c>
      <c r="S82" s="224">
        <v>0</v>
      </c>
      <c r="T82" s="224">
        <v>0</v>
      </c>
      <c r="U82" s="224">
        <v>0</v>
      </c>
      <c r="V82" s="224">
        <v>0</v>
      </c>
      <c r="W82" s="224">
        <v>149.9532681</v>
      </c>
      <c r="X82" s="224">
        <v>44.303056768558939</v>
      </c>
      <c r="Y82" s="224">
        <v>2.3443200000000002</v>
      </c>
      <c r="Z82" s="224">
        <v>97.369036249999994</v>
      </c>
      <c r="AA82" s="224">
        <v>4.030523983099739</v>
      </c>
      <c r="AB82" s="224">
        <v>5.1169364275448084</v>
      </c>
      <c r="AC82" s="224">
        <v>6.3790665241600646</v>
      </c>
      <c r="AD82" s="1120">
        <v>19.303355955212709</v>
      </c>
      <c r="AE82" s="224">
        <v>0</v>
      </c>
      <c r="AF82" s="224">
        <v>1502.4417541128</v>
      </c>
      <c r="AG82" s="224">
        <v>983.52786026200829</v>
      </c>
      <c r="AH82" s="224">
        <v>0</v>
      </c>
      <c r="AI82" s="224">
        <v>18600</v>
      </c>
      <c r="AJ82" s="224">
        <v>619.42648860000008</v>
      </c>
      <c r="AK82" s="224">
        <v>5614.4184944067338</v>
      </c>
      <c r="AL82" s="224">
        <v>11528.46</v>
      </c>
      <c r="AM82" s="224">
        <v>3599.9297999999999</v>
      </c>
      <c r="AN82" s="1120">
        <v>42448.204397381545</v>
      </c>
      <c r="AO82" s="224">
        <f t="shared" si="5"/>
        <v>2.5434101806588263</v>
      </c>
      <c r="AP82" s="1123">
        <v>0.1</v>
      </c>
      <c r="AQ82" s="1123">
        <f t="shared" si="7"/>
        <v>6.3391806341729959E-2</v>
      </c>
      <c r="AR82" s="1123">
        <v>20</v>
      </c>
      <c r="AS82" s="1123">
        <f t="shared" si="4"/>
        <v>0.34971862021256112</v>
      </c>
      <c r="AT82" s="224">
        <f t="shared" si="6"/>
        <v>2690.868352712981</v>
      </c>
    </row>
    <row r="83" spans="1:46">
      <c r="A83" s="1118">
        <v>2035</v>
      </c>
      <c r="D83" s="1107" t="s">
        <v>2003</v>
      </c>
      <c r="E83" s="224" t="s">
        <v>2062</v>
      </c>
      <c r="G83" s="224" t="e">
        <v>#DIV/0!</v>
      </c>
      <c r="H83" s="224" t="e">
        <v>#DIV/0!</v>
      </c>
      <c r="I83" s="224" t="e">
        <v>#DIV/0!</v>
      </c>
      <c r="J83" s="224" t="e">
        <v>#DIV/0!</v>
      </c>
      <c r="K83" s="224" t="e">
        <v>#DIV/0!</v>
      </c>
      <c r="L83" s="224" t="e">
        <v>#DIV/0!</v>
      </c>
      <c r="M83" s="224" t="e">
        <v>#DIV/0!</v>
      </c>
      <c r="N83" s="224" t="e">
        <v>#DIV/0!</v>
      </c>
      <c r="O83" s="224" t="e">
        <v>#DIV/0!</v>
      </c>
      <c r="P83" s="224" t="e">
        <v>#DIV/0!</v>
      </c>
      <c r="Q83" s="224" t="e">
        <v>#DIV/0!</v>
      </c>
      <c r="R83" s="224" t="e">
        <v>#DIV/0!</v>
      </c>
      <c r="S83" s="224" t="e">
        <v>#DIV/0!</v>
      </c>
      <c r="T83" s="224" t="e">
        <v>#DIV/0!</v>
      </c>
      <c r="U83" s="224" t="e">
        <v>#DIV/0!</v>
      </c>
      <c r="V83" s="224" t="e">
        <v>#DIV/0!</v>
      </c>
      <c r="W83" s="224" t="e">
        <v>#DIV/0!</v>
      </c>
      <c r="X83" s="224" t="e">
        <v>#DIV/0!</v>
      </c>
      <c r="Y83" s="224" t="e">
        <v>#DIV/0!</v>
      </c>
      <c r="Z83" s="224" t="e">
        <v>#DIV/0!</v>
      </c>
      <c r="AA83" s="224" t="e">
        <v>#DIV/0!</v>
      </c>
      <c r="AB83" s="224" t="e">
        <v>#DIV/0!</v>
      </c>
      <c r="AC83" s="224" t="e">
        <v>#DIV/0!</v>
      </c>
      <c r="AD83" s="1120" t="e">
        <v>#DIV/0!</v>
      </c>
      <c r="AE83" s="224" t="e">
        <v>#DIV/0!</v>
      </c>
      <c r="AF83" s="224" t="e">
        <v>#DIV/0!</v>
      </c>
      <c r="AG83" s="224" t="e">
        <v>#DIV/0!</v>
      </c>
      <c r="AH83" s="224" t="e">
        <v>#DIV/0!</v>
      </c>
      <c r="AI83" s="224" t="e">
        <v>#DIV/0!</v>
      </c>
      <c r="AJ83" s="224" t="e">
        <v>#DIV/0!</v>
      </c>
      <c r="AK83" s="224" t="e">
        <v>#DIV/0!</v>
      </c>
      <c r="AL83" s="224" t="e">
        <v>#DIV/0!</v>
      </c>
      <c r="AM83" s="224" t="e">
        <v>#DIV/0!</v>
      </c>
      <c r="AN83" s="1120" t="e">
        <v>#DIV/0!</v>
      </c>
      <c r="AO83" s="224" t="e">
        <f t="shared" si="5"/>
        <v>#DIV/0!</v>
      </c>
      <c r="AP83" s="1123">
        <v>0.1</v>
      </c>
      <c r="AQ83" s="1123">
        <f t="shared" si="7"/>
        <v>6.3391806341729959E-2</v>
      </c>
      <c r="AR83" s="1123">
        <v>20</v>
      </c>
      <c r="AS83" s="1123" t="e">
        <f t="shared" si="4"/>
        <v>#DIV/0!</v>
      </c>
      <c r="AT83" s="224" t="e">
        <f t="shared" si="6"/>
        <v>#DIV/0!</v>
      </c>
    </row>
    <row r="84" spans="1:46">
      <c r="A84" s="1118">
        <v>2050</v>
      </c>
      <c r="D84" s="1107" t="s">
        <v>2003</v>
      </c>
      <c r="E84" s="224" t="s">
        <v>2062</v>
      </c>
      <c r="G84" s="224">
        <v>3213.1958107497685</v>
      </c>
      <c r="H84" s="224">
        <v>1762.5</v>
      </c>
      <c r="I84" s="224">
        <v>2.1146400000000001</v>
      </c>
      <c r="J84" s="224">
        <v>1.6091622779731279E-2</v>
      </c>
      <c r="K84" s="224">
        <v>2.1592041072090926E-2</v>
      </c>
      <c r="L84" s="224">
        <v>2.7233811708624812E-2</v>
      </c>
      <c r="M84" s="224">
        <v>0</v>
      </c>
      <c r="N84" s="224">
        <v>0</v>
      </c>
      <c r="O84" s="224">
        <v>0</v>
      </c>
      <c r="P84" s="224">
        <v>0</v>
      </c>
      <c r="Q84" s="224">
        <v>0</v>
      </c>
      <c r="R84" s="224">
        <v>0</v>
      </c>
      <c r="S84" s="224">
        <v>0</v>
      </c>
      <c r="T84" s="224">
        <v>0</v>
      </c>
      <c r="U84" s="224">
        <v>0</v>
      </c>
      <c r="V84" s="224">
        <v>0</v>
      </c>
      <c r="W84" s="224">
        <v>133.11707964999999</v>
      </c>
      <c r="X84" s="224">
        <v>39.962554585152823</v>
      </c>
      <c r="Y84" s="224">
        <v>2.1146400000000001</v>
      </c>
      <c r="Z84" s="224">
        <v>86.256103400000001</v>
      </c>
      <c r="AA84" s="224">
        <v>3.2183245559462561</v>
      </c>
      <c r="AB84" s="224">
        <v>4.3184082144181852</v>
      </c>
      <c r="AC84" s="224">
        <v>5.4467623417249627</v>
      </c>
      <c r="AD84" s="1120">
        <v>14.096532110677792</v>
      </c>
      <c r="AE84" s="224">
        <v>0</v>
      </c>
      <c r="AF84" s="224">
        <v>671.36198232000004</v>
      </c>
      <c r="AG84" s="224">
        <v>623.415851528384</v>
      </c>
      <c r="AH84" s="224">
        <v>0</v>
      </c>
      <c r="AI84" s="224">
        <v>18600</v>
      </c>
      <c r="AJ84" s="224">
        <v>1463.2117487400001</v>
      </c>
      <c r="AK84" s="224">
        <v>6393.2965024452897</v>
      </c>
      <c r="AL84" s="224">
        <v>6210.6</v>
      </c>
      <c r="AM84" s="224">
        <v>2210.8749600000001</v>
      </c>
      <c r="AN84" s="1120">
        <v>36172.761045033665</v>
      </c>
      <c r="AO84" s="224">
        <f t="shared" si="5"/>
        <v>1.8573590709029058</v>
      </c>
      <c r="AP84" s="1123">
        <v>0.1</v>
      </c>
      <c r="AQ84" s="1123">
        <f t="shared" si="7"/>
        <v>6.3391806341729959E-2</v>
      </c>
      <c r="AR84" s="1123">
        <v>20</v>
      </c>
      <c r="AS84" s="1123">
        <f t="shared" si="4"/>
        <v>0.25538666804706789</v>
      </c>
      <c r="AT84" s="224">
        <f t="shared" si="6"/>
        <v>2293.0566630124476</v>
      </c>
    </row>
    <row r="85" spans="1:46">
      <c r="A85" s="1118">
        <v>2017</v>
      </c>
      <c r="B85" s="1119"/>
      <c r="C85" s="1119"/>
      <c r="D85" s="1119" t="s">
        <v>531</v>
      </c>
      <c r="E85" s="1119" t="s">
        <v>2057</v>
      </c>
      <c r="F85" s="1119"/>
      <c r="G85" s="224">
        <v>11100.744038962512</v>
      </c>
      <c r="H85" s="224">
        <v>6467</v>
      </c>
      <c r="I85" s="224">
        <v>3.1680000000000001</v>
      </c>
      <c r="J85" s="224">
        <v>0.10405569828545599</v>
      </c>
      <c r="K85" s="224">
        <v>7.2810078080015786E-2</v>
      </c>
      <c r="L85" s="224">
        <v>8.5475492153009383E-2</v>
      </c>
      <c r="M85" s="224">
        <v>0</v>
      </c>
      <c r="N85" s="224">
        <v>0</v>
      </c>
      <c r="O85" s="224">
        <v>0</v>
      </c>
      <c r="P85" s="224">
        <v>0</v>
      </c>
      <c r="Q85" s="224">
        <v>0</v>
      </c>
      <c r="R85" s="224">
        <v>0</v>
      </c>
      <c r="S85" s="224">
        <v>0</v>
      </c>
      <c r="T85" s="224">
        <v>0</v>
      </c>
      <c r="U85" s="224">
        <v>0</v>
      </c>
      <c r="V85" s="224">
        <v>199.69452859999998</v>
      </c>
      <c r="W85" s="224">
        <v>0</v>
      </c>
      <c r="X85" s="224">
        <v>4.3509999999999991</v>
      </c>
      <c r="Y85" s="224">
        <v>3.1680000000000001</v>
      </c>
      <c r="Z85" s="224">
        <v>0</v>
      </c>
      <c r="AA85" s="224">
        <v>15.608354742818399</v>
      </c>
      <c r="AB85" s="224">
        <v>10.921511712002367</v>
      </c>
      <c r="AC85" s="224">
        <v>12.821323822951408</v>
      </c>
      <c r="AD85" s="1120">
        <v>13.014656704562958</v>
      </c>
      <c r="AE85" s="224">
        <v>18587.158587373709</v>
      </c>
      <c r="AF85" s="224">
        <v>0</v>
      </c>
      <c r="AG85" s="224">
        <v>261.60000000000002</v>
      </c>
      <c r="AH85" s="224">
        <v>6601.5423752813786</v>
      </c>
      <c r="AI85" s="224">
        <v>49200</v>
      </c>
      <c r="AJ85" s="224">
        <v>0</v>
      </c>
      <c r="AK85" s="224">
        <v>745.98720000000003</v>
      </c>
      <c r="AL85" s="224">
        <v>0</v>
      </c>
      <c r="AM85" s="224">
        <v>436.00000000000006</v>
      </c>
      <c r="AN85" s="1120">
        <v>75832.288162655095</v>
      </c>
      <c r="AO85" s="224">
        <f t="shared" si="5"/>
        <v>1.7148111673932152</v>
      </c>
      <c r="AP85" s="1123">
        <v>0.1</v>
      </c>
      <c r="AQ85" s="1123">
        <f>AA85*$C$4*365/1000*0.1</f>
        <v>7.5064323963351956E-2</v>
      </c>
      <c r="AR85" s="1123">
        <v>20</v>
      </c>
      <c r="AS85" s="1123">
        <f>AO85/$AO$85</f>
        <v>1</v>
      </c>
      <c r="AT85" s="224">
        <f t="shared" si="6"/>
        <v>5692.2994455238013</v>
      </c>
    </row>
    <row r="86" spans="1:46">
      <c r="A86" s="1121">
        <v>2020</v>
      </c>
      <c r="B86" s="1107"/>
      <c r="C86" s="1107"/>
      <c r="D86" s="1107" t="s">
        <v>531</v>
      </c>
      <c r="E86" s="1107" t="s">
        <v>2057</v>
      </c>
      <c r="F86" s="1107"/>
      <c r="G86" s="224" t="e">
        <v>#DIV/0!</v>
      </c>
      <c r="H86" s="224" t="e">
        <v>#DIV/0!</v>
      </c>
      <c r="I86" s="224" t="e">
        <v>#DIV/0!</v>
      </c>
      <c r="J86" s="224" t="e">
        <v>#DIV/0!</v>
      </c>
      <c r="K86" s="224" t="e">
        <v>#DIV/0!</v>
      </c>
      <c r="L86" s="224" t="e">
        <v>#DIV/0!</v>
      </c>
      <c r="M86" s="224" t="e">
        <v>#DIV/0!</v>
      </c>
      <c r="N86" s="224" t="e">
        <v>#DIV/0!</v>
      </c>
      <c r="O86" s="224" t="e">
        <v>#DIV/0!</v>
      </c>
      <c r="P86" s="224" t="e">
        <v>#DIV/0!</v>
      </c>
      <c r="Q86" s="224" t="e">
        <v>#DIV/0!</v>
      </c>
      <c r="R86" s="224" t="e">
        <v>#DIV/0!</v>
      </c>
      <c r="S86" s="224" t="e">
        <v>#DIV/0!</v>
      </c>
      <c r="T86" s="224" t="e">
        <v>#DIV/0!</v>
      </c>
      <c r="U86" s="224" t="e">
        <v>#DIV/0!</v>
      </c>
      <c r="V86" s="224" t="e">
        <v>#DIV/0!</v>
      </c>
      <c r="W86" s="224" t="e">
        <v>#DIV/0!</v>
      </c>
      <c r="X86" s="224" t="e">
        <v>#DIV/0!</v>
      </c>
      <c r="Y86" s="224" t="e">
        <v>#DIV/0!</v>
      </c>
      <c r="Z86" s="224" t="e">
        <v>#DIV/0!</v>
      </c>
      <c r="AA86" s="224" t="e">
        <v>#DIV/0!</v>
      </c>
      <c r="AB86" s="224" t="e">
        <v>#DIV/0!</v>
      </c>
      <c r="AC86" s="224" t="e">
        <v>#DIV/0!</v>
      </c>
      <c r="AD86" s="1120" t="e">
        <v>#DIV/0!</v>
      </c>
      <c r="AE86" s="224" t="e">
        <v>#DIV/0!</v>
      </c>
      <c r="AF86" s="224" t="e">
        <v>#DIV/0!</v>
      </c>
      <c r="AG86" s="224" t="e">
        <v>#DIV/0!</v>
      </c>
      <c r="AH86" s="224" t="e">
        <v>#DIV/0!</v>
      </c>
      <c r="AI86" s="224" t="e">
        <v>#DIV/0!</v>
      </c>
      <c r="AJ86" s="224" t="e">
        <v>#DIV/0!</v>
      </c>
      <c r="AK86" s="224" t="e">
        <v>#DIV/0!</v>
      </c>
      <c r="AL86" s="224" t="e">
        <v>#DIV/0!</v>
      </c>
      <c r="AM86" s="224" t="e">
        <v>#DIV/0!</v>
      </c>
      <c r="AN86" s="1120" t="e">
        <v>#DIV/0!</v>
      </c>
      <c r="AO86" s="224" t="e">
        <f t="shared" si="5"/>
        <v>#DIV/0!</v>
      </c>
      <c r="AP86" s="1123">
        <v>0.1</v>
      </c>
      <c r="AQ86" s="1123">
        <f t="shared" si="7"/>
        <v>7.5064323963351956E-2</v>
      </c>
      <c r="AR86" s="1123">
        <v>20</v>
      </c>
      <c r="AS86" s="1123" t="e">
        <f t="shared" ref="AS86:AS120" si="8">AO86/$AO$85</f>
        <v>#DIV/0!</v>
      </c>
      <c r="AT86" s="224" t="e">
        <f t="shared" si="6"/>
        <v>#DIV/0!</v>
      </c>
    </row>
    <row r="87" spans="1:46">
      <c r="A87" s="1118">
        <v>2025</v>
      </c>
      <c r="B87" s="1119"/>
      <c r="C87" s="1119"/>
      <c r="D87" s="1107" t="s">
        <v>531</v>
      </c>
      <c r="E87" s="1119" t="s">
        <v>2057</v>
      </c>
      <c r="F87" s="1119"/>
      <c r="G87" s="224" t="e">
        <v>#DIV/0!</v>
      </c>
      <c r="H87" s="224" t="e">
        <v>#DIV/0!</v>
      </c>
      <c r="I87" s="224" t="e">
        <v>#DIV/0!</v>
      </c>
      <c r="J87" s="224" t="e">
        <v>#DIV/0!</v>
      </c>
      <c r="K87" s="224" t="e">
        <v>#DIV/0!</v>
      </c>
      <c r="L87" s="224" t="e">
        <v>#DIV/0!</v>
      </c>
      <c r="M87" s="224" t="e">
        <v>#DIV/0!</v>
      </c>
      <c r="N87" s="224" t="e">
        <v>#DIV/0!</v>
      </c>
      <c r="O87" s="224" t="e">
        <v>#DIV/0!</v>
      </c>
      <c r="P87" s="224" t="e">
        <v>#DIV/0!</v>
      </c>
      <c r="Q87" s="224" t="e">
        <v>#DIV/0!</v>
      </c>
      <c r="R87" s="224" t="e">
        <v>#DIV/0!</v>
      </c>
      <c r="S87" s="224" t="e">
        <v>#DIV/0!</v>
      </c>
      <c r="T87" s="224" t="e">
        <v>#DIV/0!</v>
      </c>
      <c r="U87" s="224" t="e">
        <v>#DIV/0!</v>
      </c>
      <c r="V87" s="224" t="e">
        <v>#DIV/0!</v>
      </c>
      <c r="W87" s="224" t="e">
        <v>#DIV/0!</v>
      </c>
      <c r="X87" s="224" t="e">
        <v>#DIV/0!</v>
      </c>
      <c r="Y87" s="224" t="e">
        <v>#DIV/0!</v>
      </c>
      <c r="Z87" s="224" t="e">
        <v>#DIV/0!</v>
      </c>
      <c r="AA87" s="224" t="e">
        <v>#DIV/0!</v>
      </c>
      <c r="AB87" s="224" t="e">
        <v>#DIV/0!</v>
      </c>
      <c r="AC87" s="224" t="e">
        <v>#DIV/0!</v>
      </c>
      <c r="AD87" s="1120" t="e">
        <v>#DIV/0!</v>
      </c>
      <c r="AE87" s="224" t="e">
        <v>#DIV/0!</v>
      </c>
      <c r="AF87" s="224" t="e">
        <v>#DIV/0!</v>
      </c>
      <c r="AG87" s="224" t="e">
        <v>#DIV/0!</v>
      </c>
      <c r="AH87" s="224" t="e">
        <v>#DIV/0!</v>
      </c>
      <c r="AI87" s="224" t="e">
        <v>#DIV/0!</v>
      </c>
      <c r="AJ87" s="224" t="e">
        <v>#DIV/0!</v>
      </c>
      <c r="AK87" s="224" t="e">
        <v>#DIV/0!</v>
      </c>
      <c r="AL87" s="224" t="e">
        <v>#DIV/0!</v>
      </c>
      <c r="AM87" s="224" t="e">
        <v>#DIV/0!</v>
      </c>
      <c r="AN87" s="1120" t="e">
        <v>#DIV/0!</v>
      </c>
      <c r="AO87" s="224" t="e">
        <f t="shared" si="5"/>
        <v>#DIV/0!</v>
      </c>
      <c r="AP87" s="1123">
        <v>0.1</v>
      </c>
      <c r="AQ87" s="1123">
        <f t="shared" si="7"/>
        <v>7.5064323963351956E-2</v>
      </c>
      <c r="AR87" s="1123">
        <v>20</v>
      </c>
      <c r="AS87" s="1123" t="e">
        <f t="shared" si="8"/>
        <v>#DIV/0!</v>
      </c>
      <c r="AT87" s="224" t="e">
        <f t="shared" si="6"/>
        <v>#DIV/0!</v>
      </c>
    </row>
    <row r="88" spans="1:46">
      <c r="A88" s="1118">
        <v>2030</v>
      </c>
      <c r="B88" s="1107"/>
      <c r="C88" s="1107"/>
      <c r="D88" s="1107" t="s">
        <v>531</v>
      </c>
      <c r="E88" s="1107" t="s">
        <v>2057</v>
      </c>
      <c r="F88" s="1107"/>
      <c r="G88" s="224">
        <v>19983.69671034018</v>
      </c>
      <c r="H88" s="224">
        <v>10561.333333333334</v>
      </c>
      <c r="I88" s="224">
        <v>3.1680000000000006</v>
      </c>
      <c r="J88" s="224">
        <v>0.13569154063174957</v>
      </c>
      <c r="K88" s="224">
        <v>8.1071760632485723E-2</v>
      </c>
      <c r="L88" s="224">
        <v>9.0112530737374963E-2</v>
      </c>
      <c r="M88" s="224">
        <v>0</v>
      </c>
      <c r="N88" s="224">
        <v>0</v>
      </c>
      <c r="O88" s="224">
        <v>0</v>
      </c>
      <c r="P88" s="224">
        <v>0</v>
      </c>
      <c r="Q88" s="224">
        <v>0</v>
      </c>
      <c r="R88" s="224">
        <v>0</v>
      </c>
      <c r="S88" s="224">
        <v>0</v>
      </c>
      <c r="T88" s="224">
        <v>0</v>
      </c>
      <c r="U88" s="224">
        <v>0</v>
      </c>
      <c r="V88" s="224">
        <v>243.61868640000003</v>
      </c>
      <c r="W88" s="224">
        <v>0</v>
      </c>
      <c r="X88" s="224">
        <v>4.3964347826086954</v>
      </c>
      <c r="Y88" s="224">
        <v>3.1680000000000006</v>
      </c>
      <c r="Z88" s="224">
        <v>0</v>
      </c>
      <c r="AA88" s="224">
        <v>20.353731094762434</v>
      </c>
      <c r="AB88" s="224">
        <v>12.16076409487286</v>
      </c>
      <c r="AC88" s="224">
        <v>13.516879610606246</v>
      </c>
      <c r="AD88" s="1120">
        <v>10.668385630529594</v>
      </c>
      <c r="AE88" s="224">
        <v>23472.804954111998</v>
      </c>
      <c r="AF88" s="224">
        <v>0</v>
      </c>
      <c r="AG88" s="224">
        <v>177.6</v>
      </c>
      <c r="AH88" s="224">
        <v>7829.2983170979305</v>
      </c>
      <c r="AI88" s="224">
        <v>60400</v>
      </c>
      <c r="AJ88" s="224">
        <v>3142.5935149999991</v>
      </c>
      <c r="AK88" s="224">
        <v>4601.2931467233002</v>
      </c>
      <c r="AL88" s="224">
        <v>0</v>
      </c>
      <c r="AM88" s="224">
        <v>296</v>
      </c>
      <c r="AN88" s="1120">
        <v>99919.589932933231</v>
      </c>
      <c r="AO88" s="224">
        <f t="shared" si="5"/>
        <v>1.4056664906785792</v>
      </c>
      <c r="AP88" s="1123">
        <v>0.1</v>
      </c>
      <c r="AQ88" s="1123">
        <f t="shared" si="7"/>
        <v>7.5064323963351956E-2</v>
      </c>
      <c r="AR88" s="1123">
        <v>20</v>
      </c>
      <c r="AS88" s="1123">
        <f t="shared" si="8"/>
        <v>0.8197208633854508</v>
      </c>
      <c r="AT88" s="224">
        <f t="shared" si="6"/>
        <v>7500.3964690109806</v>
      </c>
    </row>
    <row r="89" spans="1:46">
      <c r="A89" s="1118">
        <v>2035</v>
      </c>
      <c r="B89" s="1119"/>
      <c r="C89" s="1119"/>
      <c r="D89" s="1107" t="s">
        <v>531</v>
      </c>
      <c r="E89" s="1119" t="s">
        <v>2057</v>
      </c>
      <c r="F89" s="1119"/>
      <c r="G89" s="224" t="e">
        <v>#DIV/0!</v>
      </c>
      <c r="H89" s="224" t="e">
        <v>#DIV/0!</v>
      </c>
      <c r="I89" s="224" t="e">
        <v>#DIV/0!</v>
      </c>
      <c r="J89" s="224" t="e">
        <v>#DIV/0!</v>
      </c>
      <c r="K89" s="224" t="e">
        <v>#DIV/0!</v>
      </c>
      <c r="L89" s="224" t="e">
        <v>#DIV/0!</v>
      </c>
      <c r="M89" s="224" t="e">
        <v>#DIV/0!</v>
      </c>
      <c r="N89" s="224" t="e">
        <v>#DIV/0!</v>
      </c>
      <c r="O89" s="224" t="e">
        <v>#DIV/0!</v>
      </c>
      <c r="P89" s="224" t="e">
        <v>#DIV/0!</v>
      </c>
      <c r="Q89" s="224" t="e">
        <v>#DIV/0!</v>
      </c>
      <c r="R89" s="224" t="e">
        <v>#DIV/0!</v>
      </c>
      <c r="S89" s="224" t="e">
        <v>#DIV/0!</v>
      </c>
      <c r="T89" s="224" t="e">
        <v>#DIV/0!</v>
      </c>
      <c r="U89" s="224" t="e">
        <v>#DIV/0!</v>
      </c>
      <c r="V89" s="224" t="e">
        <v>#DIV/0!</v>
      </c>
      <c r="W89" s="224" t="e">
        <v>#DIV/0!</v>
      </c>
      <c r="X89" s="224" t="e">
        <v>#DIV/0!</v>
      </c>
      <c r="Y89" s="224" t="e">
        <v>#DIV/0!</v>
      </c>
      <c r="Z89" s="224" t="e">
        <v>#DIV/0!</v>
      </c>
      <c r="AA89" s="224" t="e">
        <v>#DIV/0!</v>
      </c>
      <c r="AB89" s="224" t="e">
        <v>#DIV/0!</v>
      </c>
      <c r="AC89" s="224" t="e">
        <v>#DIV/0!</v>
      </c>
      <c r="AD89" s="1120" t="e">
        <v>#DIV/0!</v>
      </c>
      <c r="AE89" s="224" t="e">
        <v>#DIV/0!</v>
      </c>
      <c r="AF89" s="224" t="e">
        <v>#DIV/0!</v>
      </c>
      <c r="AG89" s="224" t="e">
        <v>#DIV/0!</v>
      </c>
      <c r="AH89" s="224" t="e">
        <v>#DIV/0!</v>
      </c>
      <c r="AI89" s="224" t="e">
        <v>#DIV/0!</v>
      </c>
      <c r="AJ89" s="224" t="e">
        <v>#DIV/0!</v>
      </c>
      <c r="AK89" s="224" t="e">
        <v>#DIV/0!</v>
      </c>
      <c r="AL89" s="224" t="e">
        <v>#DIV/0!</v>
      </c>
      <c r="AM89" s="224" t="e">
        <v>#DIV/0!</v>
      </c>
      <c r="AN89" s="1120" t="e">
        <v>#DIV/0!</v>
      </c>
      <c r="AO89" s="224" t="e">
        <f t="shared" si="5"/>
        <v>#DIV/0!</v>
      </c>
      <c r="AP89" s="1123">
        <v>0.1</v>
      </c>
      <c r="AQ89" s="1123">
        <f t="shared" si="7"/>
        <v>7.5064323963351956E-2</v>
      </c>
      <c r="AR89" s="1123">
        <v>20</v>
      </c>
      <c r="AS89" s="1123" t="e">
        <f t="shared" si="8"/>
        <v>#DIV/0!</v>
      </c>
      <c r="AT89" s="224" t="e">
        <f t="shared" si="6"/>
        <v>#DIV/0!</v>
      </c>
    </row>
    <row r="90" spans="1:46">
      <c r="A90" s="1118">
        <v>2050</v>
      </c>
      <c r="B90" s="1107"/>
      <c r="C90" s="1107"/>
      <c r="D90" s="1107" t="s">
        <v>531</v>
      </c>
      <c r="E90" s="1107" t="s">
        <v>2057</v>
      </c>
      <c r="F90" s="1107"/>
      <c r="G90" s="224">
        <v>19758.335932354355</v>
      </c>
      <c r="H90" s="224">
        <v>10972</v>
      </c>
      <c r="I90" s="224">
        <v>3.1680000000000006</v>
      </c>
      <c r="J90" s="224">
        <v>0.12434380992141593</v>
      </c>
      <c r="K90" s="224">
        <v>7.2348634610258963E-2</v>
      </c>
      <c r="L90" s="224">
        <v>8.1361650974030419E-2</v>
      </c>
      <c r="M90" s="224">
        <v>0</v>
      </c>
      <c r="N90" s="224">
        <v>0</v>
      </c>
      <c r="O90" s="224">
        <v>0</v>
      </c>
      <c r="P90" s="224">
        <v>0</v>
      </c>
      <c r="Q90" s="224">
        <v>0</v>
      </c>
      <c r="R90" s="224">
        <v>0</v>
      </c>
      <c r="S90" s="224">
        <v>0</v>
      </c>
      <c r="T90" s="224">
        <v>0</v>
      </c>
      <c r="U90" s="224">
        <v>0</v>
      </c>
      <c r="V90" s="224">
        <v>238.09564950000001</v>
      </c>
      <c r="W90" s="224">
        <v>0</v>
      </c>
      <c r="X90" s="224">
        <v>4.3964347826086954</v>
      </c>
      <c r="Y90" s="224">
        <v>3.1680000000000006</v>
      </c>
      <c r="Z90" s="224">
        <v>0</v>
      </c>
      <c r="AA90" s="224">
        <v>18.651571488212394</v>
      </c>
      <c r="AB90" s="224">
        <v>10.852295191538845</v>
      </c>
      <c r="AC90" s="224">
        <v>12.204247646104562</v>
      </c>
      <c r="AD90" s="1120">
        <v>9.4058561391212905</v>
      </c>
      <c r="AE90" s="224">
        <v>22859.168341531429</v>
      </c>
      <c r="AF90" s="224">
        <v>0</v>
      </c>
      <c r="AG90" s="224">
        <v>144</v>
      </c>
      <c r="AH90" s="224">
        <v>7674.9199132655167</v>
      </c>
      <c r="AI90" s="224">
        <v>60400</v>
      </c>
      <c r="AJ90" s="224">
        <v>7970.2159843600011</v>
      </c>
      <c r="AK90" s="224">
        <v>5802.3136575333883</v>
      </c>
      <c r="AL90" s="224">
        <v>0</v>
      </c>
      <c r="AM90" s="224">
        <v>240</v>
      </c>
      <c r="AN90" s="1120">
        <v>105090.61789669032</v>
      </c>
      <c r="AO90" s="224">
        <f t="shared" si="5"/>
        <v>1.2393156048906211</v>
      </c>
      <c r="AP90" s="1123">
        <v>0.1</v>
      </c>
      <c r="AQ90" s="1123">
        <f t="shared" si="7"/>
        <v>7.5064323963351956E-2</v>
      </c>
      <c r="AR90" s="1123">
        <v>20</v>
      </c>
      <c r="AS90" s="1123">
        <f t="shared" si="8"/>
        <v>0.72271258110277958</v>
      </c>
      <c r="AT90" s="224">
        <f t="shared" si="6"/>
        <v>7888.5561873059951</v>
      </c>
    </row>
    <row r="91" spans="1:46">
      <c r="A91" s="1118">
        <v>2017</v>
      </c>
      <c r="B91" s="1119"/>
      <c r="C91" s="1119"/>
      <c r="D91" s="1107" t="s">
        <v>531</v>
      </c>
      <c r="E91" s="1119" t="s">
        <v>2058</v>
      </c>
      <c r="F91" s="1119"/>
      <c r="G91" s="224">
        <v>11117.839939648044</v>
      </c>
      <c r="H91" s="224">
        <v>6467</v>
      </c>
      <c r="I91" s="224">
        <v>0.21333565440000002</v>
      </c>
      <c r="J91" s="224">
        <v>0.10601275547138236</v>
      </c>
      <c r="K91" s="224">
        <v>7.062027565247056E-2</v>
      </c>
      <c r="L91" s="224">
        <v>8.3137719405582497E-2</v>
      </c>
      <c r="M91" s="224">
        <v>0</v>
      </c>
      <c r="N91" s="224">
        <v>0</v>
      </c>
      <c r="O91" s="224">
        <v>0</v>
      </c>
      <c r="P91" s="224">
        <v>0</v>
      </c>
      <c r="Q91" s="224">
        <v>0</v>
      </c>
      <c r="R91" s="224">
        <v>0</v>
      </c>
      <c r="S91" s="224">
        <v>0</v>
      </c>
      <c r="T91" s="224">
        <v>0</v>
      </c>
      <c r="U91" s="224">
        <v>0</v>
      </c>
      <c r="V91" s="224">
        <v>199.69452859999998</v>
      </c>
      <c r="W91" s="224">
        <v>4</v>
      </c>
      <c r="X91" s="224">
        <v>6</v>
      </c>
      <c r="Y91" s="224">
        <v>0.21333565440000002</v>
      </c>
      <c r="Z91" s="224">
        <v>0</v>
      </c>
      <c r="AA91" s="224">
        <v>15.901913320707354</v>
      </c>
      <c r="AB91" s="224">
        <v>10.593041347870583</v>
      </c>
      <c r="AC91" s="224">
        <v>12.470657910837375</v>
      </c>
      <c r="AD91" s="1120">
        <v>13.019320237668857</v>
      </c>
      <c r="AE91" s="224">
        <v>18587.158587373709</v>
      </c>
      <c r="AF91" s="224">
        <v>883.35</v>
      </c>
      <c r="AG91" s="224">
        <v>289.53193070239229</v>
      </c>
      <c r="AH91" s="224">
        <v>6601.5423752813786</v>
      </c>
      <c r="AI91" s="224">
        <v>49200</v>
      </c>
      <c r="AJ91" s="224">
        <v>0</v>
      </c>
      <c r="AK91" s="224">
        <v>745.98720000000003</v>
      </c>
      <c r="AL91" s="224">
        <v>0</v>
      </c>
      <c r="AM91" s="224">
        <v>436.00000000000006</v>
      </c>
      <c r="AN91" s="1120">
        <v>76743.570093357499</v>
      </c>
      <c r="AO91" s="224">
        <f t="shared" si="5"/>
        <v>1.7154256345152485</v>
      </c>
      <c r="AP91" s="1123">
        <v>0.1</v>
      </c>
      <c r="AQ91" s="1123">
        <f t="shared" si="7"/>
        <v>7.5064323963351956E-2</v>
      </c>
      <c r="AR91" s="1123">
        <v>20</v>
      </c>
      <c r="AS91" s="1123">
        <f t="shared" si="8"/>
        <v>1.0003583293214537</v>
      </c>
      <c r="AT91" s="224">
        <f t="shared" si="6"/>
        <v>5760.7042075919962</v>
      </c>
    </row>
    <row r="92" spans="1:46">
      <c r="A92" s="1121">
        <v>2020</v>
      </c>
      <c r="D92" s="1107" t="s">
        <v>531</v>
      </c>
      <c r="E92" s="224" t="s">
        <v>2058</v>
      </c>
      <c r="G92" s="224" t="e">
        <v>#DIV/0!</v>
      </c>
      <c r="H92" s="224" t="e">
        <v>#DIV/0!</v>
      </c>
      <c r="I92" s="224" t="e">
        <v>#DIV/0!</v>
      </c>
      <c r="J92" s="224" t="e">
        <v>#DIV/0!</v>
      </c>
      <c r="K92" s="224" t="e">
        <v>#DIV/0!</v>
      </c>
      <c r="L92" s="224" t="e">
        <v>#DIV/0!</v>
      </c>
      <c r="M92" s="224" t="e">
        <v>#DIV/0!</v>
      </c>
      <c r="N92" s="224" t="e">
        <v>#DIV/0!</v>
      </c>
      <c r="O92" s="224" t="e">
        <v>#DIV/0!</v>
      </c>
      <c r="P92" s="224" t="e">
        <v>#DIV/0!</v>
      </c>
      <c r="Q92" s="224" t="e">
        <v>#DIV/0!</v>
      </c>
      <c r="R92" s="224" t="e">
        <v>#DIV/0!</v>
      </c>
      <c r="S92" s="224" t="e">
        <v>#DIV/0!</v>
      </c>
      <c r="T92" s="224" t="e">
        <v>#DIV/0!</v>
      </c>
      <c r="U92" s="224" t="e">
        <v>#DIV/0!</v>
      </c>
      <c r="V92" s="224" t="e">
        <v>#DIV/0!</v>
      </c>
      <c r="W92" s="224" t="e">
        <v>#DIV/0!</v>
      </c>
      <c r="X92" s="224" t="e">
        <v>#DIV/0!</v>
      </c>
      <c r="Y92" s="224" t="e">
        <v>#DIV/0!</v>
      </c>
      <c r="Z92" s="224" t="e">
        <v>#DIV/0!</v>
      </c>
      <c r="AA92" s="224" t="e">
        <v>#DIV/0!</v>
      </c>
      <c r="AB92" s="224" t="e">
        <v>#DIV/0!</v>
      </c>
      <c r="AC92" s="224" t="e">
        <v>#DIV/0!</v>
      </c>
      <c r="AD92" s="1120" t="e">
        <v>#DIV/0!</v>
      </c>
      <c r="AE92" s="224" t="e">
        <v>#DIV/0!</v>
      </c>
      <c r="AF92" s="224" t="e">
        <v>#DIV/0!</v>
      </c>
      <c r="AG92" s="224" t="e">
        <v>#DIV/0!</v>
      </c>
      <c r="AH92" s="224" t="e">
        <v>#DIV/0!</v>
      </c>
      <c r="AI92" s="224" t="e">
        <v>#DIV/0!</v>
      </c>
      <c r="AJ92" s="224" t="e">
        <v>#DIV/0!</v>
      </c>
      <c r="AK92" s="224" t="e">
        <v>#DIV/0!</v>
      </c>
      <c r="AL92" s="224" t="e">
        <v>#DIV/0!</v>
      </c>
      <c r="AM92" s="224" t="e">
        <v>#DIV/0!</v>
      </c>
      <c r="AN92" s="1120" t="e">
        <v>#DIV/0!</v>
      </c>
      <c r="AO92" s="224" t="e">
        <f t="shared" si="5"/>
        <v>#DIV/0!</v>
      </c>
      <c r="AP92" s="1123">
        <v>0.1</v>
      </c>
      <c r="AQ92" s="1123">
        <f t="shared" si="7"/>
        <v>7.5064323963351956E-2</v>
      </c>
      <c r="AR92" s="1123">
        <v>20</v>
      </c>
      <c r="AS92" s="1123" t="e">
        <f t="shared" si="8"/>
        <v>#DIV/0!</v>
      </c>
      <c r="AT92" s="224" t="e">
        <f t="shared" si="6"/>
        <v>#DIV/0!</v>
      </c>
    </row>
    <row r="93" spans="1:46">
      <c r="A93" s="1118">
        <v>2025</v>
      </c>
      <c r="D93" s="1107" t="s">
        <v>531</v>
      </c>
      <c r="E93" s="224" t="s">
        <v>2058</v>
      </c>
      <c r="G93" s="224" t="e">
        <v>#DIV/0!</v>
      </c>
      <c r="H93" s="224" t="e">
        <v>#DIV/0!</v>
      </c>
      <c r="I93" s="224" t="e">
        <v>#DIV/0!</v>
      </c>
      <c r="J93" s="224" t="e">
        <v>#DIV/0!</v>
      </c>
      <c r="K93" s="224" t="e">
        <v>#DIV/0!</v>
      </c>
      <c r="L93" s="224" t="e">
        <v>#DIV/0!</v>
      </c>
      <c r="M93" s="224" t="e">
        <v>#DIV/0!</v>
      </c>
      <c r="N93" s="224" t="e">
        <v>#DIV/0!</v>
      </c>
      <c r="O93" s="224" t="e">
        <v>#DIV/0!</v>
      </c>
      <c r="P93" s="224" t="e">
        <v>#DIV/0!</v>
      </c>
      <c r="Q93" s="224" t="e">
        <v>#DIV/0!</v>
      </c>
      <c r="R93" s="224" t="e">
        <v>#DIV/0!</v>
      </c>
      <c r="S93" s="224" t="e">
        <v>#DIV/0!</v>
      </c>
      <c r="T93" s="224" t="e">
        <v>#DIV/0!</v>
      </c>
      <c r="U93" s="224" t="e">
        <v>#DIV/0!</v>
      </c>
      <c r="V93" s="224" t="e">
        <v>#DIV/0!</v>
      </c>
      <c r="W93" s="224" t="e">
        <v>#DIV/0!</v>
      </c>
      <c r="X93" s="224" t="e">
        <v>#DIV/0!</v>
      </c>
      <c r="Y93" s="224" t="e">
        <v>#DIV/0!</v>
      </c>
      <c r="Z93" s="224" t="e">
        <v>#DIV/0!</v>
      </c>
      <c r="AA93" s="224" t="e">
        <v>#DIV/0!</v>
      </c>
      <c r="AB93" s="224" t="e">
        <v>#DIV/0!</v>
      </c>
      <c r="AC93" s="224" t="e">
        <v>#DIV/0!</v>
      </c>
      <c r="AD93" s="1120" t="e">
        <v>#DIV/0!</v>
      </c>
      <c r="AE93" s="224" t="e">
        <v>#DIV/0!</v>
      </c>
      <c r="AF93" s="224" t="e">
        <v>#DIV/0!</v>
      </c>
      <c r="AG93" s="224" t="e">
        <v>#DIV/0!</v>
      </c>
      <c r="AH93" s="224" t="e">
        <v>#DIV/0!</v>
      </c>
      <c r="AI93" s="224" t="e">
        <v>#DIV/0!</v>
      </c>
      <c r="AJ93" s="224" t="e">
        <v>#DIV/0!</v>
      </c>
      <c r="AK93" s="224" t="e">
        <v>#DIV/0!</v>
      </c>
      <c r="AL93" s="224" t="e">
        <v>#DIV/0!</v>
      </c>
      <c r="AM93" s="224" t="e">
        <v>#DIV/0!</v>
      </c>
      <c r="AN93" s="1120" t="e">
        <v>#DIV/0!</v>
      </c>
      <c r="AO93" s="224" t="e">
        <f t="shared" si="5"/>
        <v>#DIV/0!</v>
      </c>
      <c r="AP93" s="1123">
        <v>0.1</v>
      </c>
      <c r="AQ93" s="1123">
        <f t="shared" si="7"/>
        <v>7.5064323963351956E-2</v>
      </c>
      <c r="AR93" s="1123">
        <v>20</v>
      </c>
      <c r="AS93" s="1123" t="e">
        <f t="shared" si="8"/>
        <v>#DIV/0!</v>
      </c>
      <c r="AT93" s="224" t="e">
        <f t="shared" si="6"/>
        <v>#DIV/0!</v>
      </c>
    </row>
    <row r="94" spans="1:46">
      <c r="A94" s="1118">
        <v>2030</v>
      </c>
      <c r="D94" s="1107" t="s">
        <v>531</v>
      </c>
      <c r="E94" s="224" t="s">
        <v>2058</v>
      </c>
      <c r="G94" s="224" t="e">
        <v>#DIV/0!</v>
      </c>
      <c r="H94" s="224" t="e">
        <v>#DIV/0!</v>
      </c>
      <c r="I94" s="224" t="e">
        <v>#DIV/0!</v>
      </c>
      <c r="J94" s="224" t="e">
        <v>#DIV/0!</v>
      </c>
      <c r="K94" s="224" t="e">
        <v>#DIV/0!</v>
      </c>
      <c r="L94" s="224" t="e">
        <v>#DIV/0!</v>
      </c>
      <c r="M94" s="224" t="e">
        <v>#DIV/0!</v>
      </c>
      <c r="N94" s="224" t="e">
        <v>#DIV/0!</v>
      </c>
      <c r="O94" s="224" t="e">
        <v>#DIV/0!</v>
      </c>
      <c r="P94" s="224" t="e">
        <v>#DIV/0!</v>
      </c>
      <c r="Q94" s="224" t="e">
        <v>#DIV/0!</v>
      </c>
      <c r="R94" s="224" t="e">
        <v>#DIV/0!</v>
      </c>
      <c r="S94" s="224" t="e">
        <v>#DIV/0!</v>
      </c>
      <c r="T94" s="224" t="e">
        <v>#DIV/0!</v>
      </c>
      <c r="U94" s="224" t="e">
        <v>#DIV/0!</v>
      </c>
      <c r="V94" s="224" t="e">
        <v>#DIV/0!</v>
      </c>
      <c r="W94" s="224" t="e">
        <v>#DIV/0!</v>
      </c>
      <c r="X94" s="224" t="e">
        <v>#DIV/0!</v>
      </c>
      <c r="Y94" s="224" t="e">
        <v>#DIV/0!</v>
      </c>
      <c r="Z94" s="224" t="e">
        <v>#DIV/0!</v>
      </c>
      <c r="AA94" s="224" t="e">
        <v>#DIV/0!</v>
      </c>
      <c r="AB94" s="224" t="e">
        <v>#DIV/0!</v>
      </c>
      <c r="AC94" s="224" t="e">
        <v>#DIV/0!</v>
      </c>
      <c r="AD94" s="1120" t="e">
        <v>#DIV/0!</v>
      </c>
      <c r="AE94" s="224" t="e">
        <v>#DIV/0!</v>
      </c>
      <c r="AF94" s="224" t="e">
        <v>#DIV/0!</v>
      </c>
      <c r="AG94" s="224" t="e">
        <v>#DIV/0!</v>
      </c>
      <c r="AH94" s="224" t="e">
        <v>#DIV/0!</v>
      </c>
      <c r="AI94" s="224" t="e">
        <v>#DIV/0!</v>
      </c>
      <c r="AJ94" s="224" t="e">
        <v>#DIV/0!</v>
      </c>
      <c r="AK94" s="224" t="e">
        <v>#DIV/0!</v>
      </c>
      <c r="AL94" s="224" t="e">
        <v>#DIV/0!</v>
      </c>
      <c r="AM94" s="224" t="e">
        <v>#DIV/0!</v>
      </c>
      <c r="AN94" s="1120" t="e">
        <v>#DIV/0!</v>
      </c>
      <c r="AO94" s="224" t="e">
        <f t="shared" si="5"/>
        <v>#DIV/0!</v>
      </c>
      <c r="AP94" s="1123">
        <v>0.1</v>
      </c>
      <c r="AQ94" s="1123">
        <f t="shared" si="7"/>
        <v>7.5064323963351956E-2</v>
      </c>
      <c r="AR94" s="1123">
        <v>20</v>
      </c>
      <c r="AS94" s="1123" t="e">
        <f t="shared" si="8"/>
        <v>#DIV/0!</v>
      </c>
      <c r="AT94" s="224" t="e">
        <f t="shared" si="6"/>
        <v>#DIV/0!</v>
      </c>
    </row>
    <row r="95" spans="1:46">
      <c r="A95" s="1118">
        <v>2035</v>
      </c>
      <c r="D95" s="1107" t="s">
        <v>531</v>
      </c>
      <c r="E95" s="224" t="s">
        <v>2058</v>
      </c>
      <c r="G95" s="224" t="e">
        <v>#DIV/0!</v>
      </c>
      <c r="H95" s="224" t="e">
        <v>#DIV/0!</v>
      </c>
      <c r="I95" s="224" t="e">
        <v>#DIV/0!</v>
      </c>
      <c r="J95" s="224" t="e">
        <v>#DIV/0!</v>
      </c>
      <c r="K95" s="224" t="e">
        <v>#DIV/0!</v>
      </c>
      <c r="L95" s="224" t="e">
        <v>#DIV/0!</v>
      </c>
      <c r="M95" s="224" t="e">
        <v>#DIV/0!</v>
      </c>
      <c r="N95" s="224" t="e">
        <v>#DIV/0!</v>
      </c>
      <c r="O95" s="224" t="e">
        <v>#DIV/0!</v>
      </c>
      <c r="P95" s="224" t="e">
        <v>#DIV/0!</v>
      </c>
      <c r="Q95" s="224" t="e">
        <v>#DIV/0!</v>
      </c>
      <c r="R95" s="224" t="e">
        <v>#DIV/0!</v>
      </c>
      <c r="S95" s="224" t="e">
        <v>#DIV/0!</v>
      </c>
      <c r="T95" s="224" t="e">
        <v>#DIV/0!</v>
      </c>
      <c r="U95" s="224" t="e">
        <v>#DIV/0!</v>
      </c>
      <c r="V95" s="224" t="e">
        <v>#DIV/0!</v>
      </c>
      <c r="W95" s="224" t="e">
        <v>#DIV/0!</v>
      </c>
      <c r="X95" s="224" t="e">
        <v>#DIV/0!</v>
      </c>
      <c r="Y95" s="224" t="e">
        <v>#DIV/0!</v>
      </c>
      <c r="Z95" s="224" t="e">
        <v>#DIV/0!</v>
      </c>
      <c r="AA95" s="224" t="e">
        <v>#DIV/0!</v>
      </c>
      <c r="AB95" s="224" t="e">
        <v>#DIV/0!</v>
      </c>
      <c r="AC95" s="224" t="e">
        <v>#DIV/0!</v>
      </c>
      <c r="AD95" s="1120" t="e">
        <v>#DIV/0!</v>
      </c>
      <c r="AE95" s="224" t="e">
        <v>#DIV/0!</v>
      </c>
      <c r="AF95" s="224" t="e">
        <v>#DIV/0!</v>
      </c>
      <c r="AG95" s="224" t="e">
        <v>#DIV/0!</v>
      </c>
      <c r="AH95" s="224" t="e">
        <v>#DIV/0!</v>
      </c>
      <c r="AI95" s="224" t="e">
        <v>#DIV/0!</v>
      </c>
      <c r="AJ95" s="224" t="e">
        <v>#DIV/0!</v>
      </c>
      <c r="AK95" s="224" t="e">
        <v>#DIV/0!</v>
      </c>
      <c r="AL95" s="224" t="e">
        <v>#DIV/0!</v>
      </c>
      <c r="AM95" s="224" t="e">
        <v>#DIV/0!</v>
      </c>
      <c r="AN95" s="1120" t="e">
        <v>#DIV/0!</v>
      </c>
      <c r="AO95" s="224" t="e">
        <f t="shared" si="5"/>
        <v>#DIV/0!</v>
      </c>
      <c r="AP95" s="1123">
        <v>0.1</v>
      </c>
      <c r="AQ95" s="1123">
        <f t="shared" si="7"/>
        <v>7.5064323963351956E-2</v>
      </c>
      <c r="AR95" s="1123">
        <v>20</v>
      </c>
      <c r="AS95" s="1123" t="e">
        <f t="shared" si="8"/>
        <v>#DIV/0!</v>
      </c>
      <c r="AT95" s="224" t="e">
        <f t="shared" si="6"/>
        <v>#DIV/0!</v>
      </c>
    </row>
    <row r="96" spans="1:46">
      <c r="A96" s="1118">
        <v>2050</v>
      </c>
      <c r="D96" s="1107" t="s">
        <v>531</v>
      </c>
      <c r="E96" s="224" t="s">
        <v>2058</v>
      </c>
      <c r="G96" s="224" t="e">
        <v>#DIV/0!</v>
      </c>
      <c r="H96" s="224" t="e">
        <v>#DIV/0!</v>
      </c>
      <c r="I96" s="224" t="e">
        <v>#DIV/0!</v>
      </c>
      <c r="J96" s="224" t="e">
        <v>#DIV/0!</v>
      </c>
      <c r="K96" s="224" t="e">
        <v>#DIV/0!</v>
      </c>
      <c r="L96" s="224" t="e">
        <v>#DIV/0!</v>
      </c>
      <c r="M96" s="224" t="e">
        <v>#DIV/0!</v>
      </c>
      <c r="N96" s="224" t="e">
        <v>#DIV/0!</v>
      </c>
      <c r="O96" s="224" t="e">
        <v>#DIV/0!</v>
      </c>
      <c r="P96" s="224" t="e">
        <v>#DIV/0!</v>
      </c>
      <c r="Q96" s="224" t="e">
        <v>#DIV/0!</v>
      </c>
      <c r="R96" s="224" t="e">
        <v>#DIV/0!</v>
      </c>
      <c r="S96" s="224" t="e">
        <v>#DIV/0!</v>
      </c>
      <c r="T96" s="224" t="e">
        <v>#DIV/0!</v>
      </c>
      <c r="U96" s="224" t="e">
        <v>#DIV/0!</v>
      </c>
      <c r="V96" s="224" t="e">
        <v>#DIV/0!</v>
      </c>
      <c r="W96" s="224" t="e">
        <v>#DIV/0!</v>
      </c>
      <c r="X96" s="224" t="e">
        <v>#DIV/0!</v>
      </c>
      <c r="Y96" s="224" t="e">
        <v>#DIV/0!</v>
      </c>
      <c r="Z96" s="224" t="e">
        <v>#DIV/0!</v>
      </c>
      <c r="AA96" s="224" t="e">
        <v>#DIV/0!</v>
      </c>
      <c r="AB96" s="224" t="e">
        <v>#DIV/0!</v>
      </c>
      <c r="AC96" s="224" t="e">
        <v>#DIV/0!</v>
      </c>
      <c r="AD96" s="1120" t="e">
        <v>#DIV/0!</v>
      </c>
      <c r="AE96" s="224" t="e">
        <v>#DIV/0!</v>
      </c>
      <c r="AF96" s="224" t="e">
        <v>#DIV/0!</v>
      </c>
      <c r="AG96" s="224" t="e">
        <v>#DIV/0!</v>
      </c>
      <c r="AH96" s="224" t="e">
        <v>#DIV/0!</v>
      </c>
      <c r="AI96" s="224" t="e">
        <v>#DIV/0!</v>
      </c>
      <c r="AJ96" s="224" t="e">
        <v>#DIV/0!</v>
      </c>
      <c r="AK96" s="224" t="e">
        <v>#DIV/0!</v>
      </c>
      <c r="AL96" s="224" t="e">
        <v>#DIV/0!</v>
      </c>
      <c r="AM96" s="224" t="e">
        <v>#DIV/0!</v>
      </c>
      <c r="AN96" s="1120" t="e">
        <v>#DIV/0!</v>
      </c>
      <c r="AO96" s="224" t="e">
        <f t="shared" si="5"/>
        <v>#DIV/0!</v>
      </c>
      <c r="AP96" s="1123">
        <v>0.1</v>
      </c>
      <c r="AQ96" s="1123">
        <f t="shared" si="7"/>
        <v>7.5064323963351956E-2</v>
      </c>
      <c r="AR96" s="1123">
        <v>20</v>
      </c>
      <c r="AS96" s="1123" t="e">
        <f t="shared" si="8"/>
        <v>#DIV/0!</v>
      </c>
      <c r="AT96" s="224" t="e">
        <f t="shared" si="6"/>
        <v>#DIV/0!</v>
      </c>
    </row>
    <row r="97" spans="1:46">
      <c r="A97" s="1118">
        <v>2017</v>
      </c>
      <c r="D97" s="1107" t="s">
        <v>531</v>
      </c>
      <c r="E97" s="224" t="s">
        <v>2059</v>
      </c>
      <c r="G97" s="224">
        <v>11471.075730225295</v>
      </c>
      <c r="H97" s="224">
        <v>6467</v>
      </c>
      <c r="I97" s="224">
        <v>5.7024000000000008</v>
      </c>
      <c r="J97" s="224">
        <v>7.9321194288726846E-2</v>
      </c>
      <c r="K97" s="224">
        <v>6.9441908198748778E-2</v>
      </c>
      <c r="L97" s="224">
        <v>8.3069502211880822E-2</v>
      </c>
      <c r="M97" s="224">
        <v>0</v>
      </c>
      <c r="N97" s="224">
        <v>0</v>
      </c>
      <c r="O97" s="224">
        <v>0</v>
      </c>
      <c r="P97" s="224">
        <v>0</v>
      </c>
      <c r="Q97" s="224">
        <v>0</v>
      </c>
      <c r="R97" s="224">
        <v>0</v>
      </c>
      <c r="S97" s="224">
        <v>0</v>
      </c>
      <c r="T97" s="224">
        <v>0</v>
      </c>
      <c r="U97" s="224">
        <v>0</v>
      </c>
      <c r="V97" s="224">
        <v>150.43824429999998</v>
      </c>
      <c r="W97" s="224">
        <v>136.17875339999998</v>
      </c>
      <c r="X97" s="224">
        <v>177.50239234449759</v>
      </c>
      <c r="Y97" s="224">
        <v>5.7024000000000008</v>
      </c>
      <c r="Z97" s="224">
        <v>0</v>
      </c>
      <c r="AA97" s="224">
        <v>11.898179143309028</v>
      </c>
      <c r="AB97" s="224">
        <v>10.416286229812316</v>
      </c>
      <c r="AC97" s="224">
        <v>12.460425331782123</v>
      </c>
      <c r="AD97" s="1120">
        <v>10.843838828359436</v>
      </c>
      <c r="AE97" s="224">
        <v>13919.872726372572</v>
      </c>
      <c r="AF97" s="224">
        <v>6553.8185208599989</v>
      </c>
      <c r="AG97" s="224">
        <v>7739.1043062200952</v>
      </c>
      <c r="AH97" s="224">
        <v>7488.1619216837353</v>
      </c>
      <c r="AI97" s="224">
        <v>49200</v>
      </c>
      <c r="AJ97" s="224">
        <v>0</v>
      </c>
      <c r="AK97" s="224">
        <v>745.98720000000003</v>
      </c>
      <c r="AL97" s="224">
        <v>0</v>
      </c>
      <c r="AM97" s="224">
        <v>436.00000000000006</v>
      </c>
      <c r="AN97" s="1120">
        <v>86082.944675136416</v>
      </c>
      <c r="AO97" s="224">
        <f t="shared" si="5"/>
        <v>1.4287842040246392</v>
      </c>
      <c r="AP97" s="1123">
        <v>0.1</v>
      </c>
      <c r="AQ97" s="1123">
        <f t="shared" si="7"/>
        <v>7.5064323963351956E-2</v>
      </c>
      <c r="AR97" s="1123">
        <v>20</v>
      </c>
      <c r="AS97" s="1123">
        <f t="shared" si="8"/>
        <v>0.83320206398971486</v>
      </c>
      <c r="AT97" s="224">
        <f t="shared" si="6"/>
        <v>6461.758046813743</v>
      </c>
    </row>
    <row r="98" spans="1:46">
      <c r="A98" s="1121">
        <v>2020</v>
      </c>
      <c r="D98" s="1107" t="s">
        <v>531</v>
      </c>
      <c r="E98" s="224" t="s">
        <v>2059</v>
      </c>
      <c r="G98" s="224" t="e">
        <v>#DIV/0!</v>
      </c>
      <c r="H98" s="224" t="e">
        <v>#DIV/0!</v>
      </c>
      <c r="I98" s="224" t="e">
        <v>#DIV/0!</v>
      </c>
      <c r="J98" s="224" t="e">
        <v>#DIV/0!</v>
      </c>
      <c r="K98" s="224" t="e">
        <v>#DIV/0!</v>
      </c>
      <c r="L98" s="224" t="e">
        <v>#DIV/0!</v>
      </c>
      <c r="M98" s="224" t="e">
        <v>#DIV/0!</v>
      </c>
      <c r="N98" s="224" t="e">
        <v>#DIV/0!</v>
      </c>
      <c r="O98" s="224" t="e">
        <v>#DIV/0!</v>
      </c>
      <c r="P98" s="224" t="e">
        <v>#DIV/0!</v>
      </c>
      <c r="Q98" s="224" t="e">
        <v>#DIV/0!</v>
      </c>
      <c r="R98" s="224" t="e">
        <v>#DIV/0!</v>
      </c>
      <c r="S98" s="224" t="e">
        <v>#DIV/0!</v>
      </c>
      <c r="T98" s="224" t="e">
        <v>#DIV/0!</v>
      </c>
      <c r="U98" s="224" t="e">
        <v>#DIV/0!</v>
      </c>
      <c r="V98" s="224" t="e">
        <v>#DIV/0!</v>
      </c>
      <c r="W98" s="224" t="e">
        <v>#DIV/0!</v>
      </c>
      <c r="X98" s="224" t="e">
        <v>#DIV/0!</v>
      </c>
      <c r="Y98" s="224" t="e">
        <v>#DIV/0!</v>
      </c>
      <c r="Z98" s="224" t="e">
        <v>#DIV/0!</v>
      </c>
      <c r="AA98" s="224" t="e">
        <v>#DIV/0!</v>
      </c>
      <c r="AB98" s="224" t="e">
        <v>#DIV/0!</v>
      </c>
      <c r="AC98" s="224" t="e">
        <v>#DIV/0!</v>
      </c>
      <c r="AD98" s="1120" t="e">
        <v>#DIV/0!</v>
      </c>
      <c r="AE98" s="224" t="e">
        <v>#DIV/0!</v>
      </c>
      <c r="AF98" s="224" t="e">
        <v>#DIV/0!</v>
      </c>
      <c r="AG98" s="224" t="e">
        <v>#DIV/0!</v>
      </c>
      <c r="AH98" s="224" t="e">
        <v>#DIV/0!</v>
      </c>
      <c r="AI98" s="224" t="e">
        <v>#DIV/0!</v>
      </c>
      <c r="AJ98" s="224" t="e">
        <v>#DIV/0!</v>
      </c>
      <c r="AK98" s="224" t="e">
        <v>#DIV/0!</v>
      </c>
      <c r="AL98" s="224" t="e">
        <v>#DIV/0!</v>
      </c>
      <c r="AM98" s="224" t="e">
        <v>#DIV/0!</v>
      </c>
      <c r="AN98" s="1120" t="e">
        <v>#DIV/0!</v>
      </c>
      <c r="AO98" s="224" t="e">
        <f t="shared" si="5"/>
        <v>#DIV/0!</v>
      </c>
      <c r="AP98" s="1123">
        <v>0.1</v>
      </c>
      <c r="AQ98" s="1123">
        <f t="shared" si="7"/>
        <v>7.5064323963351956E-2</v>
      </c>
      <c r="AR98" s="1123">
        <v>20</v>
      </c>
      <c r="AS98" s="1123" t="e">
        <f t="shared" si="8"/>
        <v>#DIV/0!</v>
      </c>
      <c r="AT98" s="224" t="e">
        <f t="shared" si="6"/>
        <v>#DIV/0!</v>
      </c>
    </row>
    <row r="99" spans="1:46">
      <c r="A99" s="1118">
        <v>2025</v>
      </c>
      <c r="D99" s="1107" t="s">
        <v>531</v>
      </c>
      <c r="E99" s="224" t="s">
        <v>2059</v>
      </c>
      <c r="G99" s="224" t="e">
        <v>#DIV/0!</v>
      </c>
      <c r="H99" s="224" t="e">
        <v>#DIV/0!</v>
      </c>
      <c r="I99" s="224" t="e">
        <v>#DIV/0!</v>
      </c>
      <c r="J99" s="224" t="e">
        <v>#DIV/0!</v>
      </c>
      <c r="K99" s="224" t="e">
        <v>#DIV/0!</v>
      </c>
      <c r="L99" s="224" t="e">
        <v>#DIV/0!</v>
      </c>
      <c r="M99" s="224" t="e">
        <v>#DIV/0!</v>
      </c>
      <c r="N99" s="224" t="e">
        <v>#DIV/0!</v>
      </c>
      <c r="O99" s="224" t="e">
        <v>#DIV/0!</v>
      </c>
      <c r="P99" s="224" t="e">
        <v>#DIV/0!</v>
      </c>
      <c r="Q99" s="224" t="e">
        <v>#DIV/0!</v>
      </c>
      <c r="R99" s="224" t="e">
        <v>#DIV/0!</v>
      </c>
      <c r="S99" s="224" t="e">
        <v>#DIV/0!</v>
      </c>
      <c r="T99" s="224" t="e">
        <v>#DIV/0!</v>
      </c>
      <c r="U99" s="224" t="e">
        <v>#DIV/0!</v>
      </c>
      <c r="V99" s="224" t="e">
        <v>#DIV/0!</v>
      </c>
      <c r="W99" s="224" t="e">
        <v>#DIV/0!</v>
      </c>
      <c r="X99" s="224" t="e">
        <v>#DIV/0!</v>
      </c>
      <c r="Y99" s="224" t="e">
        <v>#DIV/0!</v>
      </c>
      <c r="Z99" s="224" t="e">
        <v>#DIV/0!</v>
      </c>
      <c r="AA99" s="224" t="e">
        <v>#DIV/0!</v>
      </c>
      <c r="AB99" s="224" t="e">
        <v>#DIV/0!</v>
      </c>
      <c r="AC99" s="224" t="e">
        <v>#DIV/0!</v>
      </c>
      <c r="AD99" s="1120" t="e">
        <v>#DIV/0!</v>
      </c>
      <c r="AE99" s="224" t="e">
        <v>#DIV/0!</v>
      </c>
      <c r="AF99" s="224" t="e">
        <v>#DIV/0!</v>
      </c>
      <c r="AG99" s="224" t="e">
        <v>#DIV/0!</v>
      </c>
      <c r="AH99" s="224" t="e">
        <v>#DIV/0!</v>
      </c>
      <c r="AI99" s="224" t="e">
        <v>#DIV/0!</v>
      </c>
      <c r="AJ99" s="224" t="e">
        <v>#DIV/0!</v>
      </c>
      <c r="AK99" s="224" t="e">
        <v>#DIV/0!</v>
      </c>
      <c r="AL99" s="224" t="e">
        <v>#DIV/0!</v>
      </c>
      <c r="AM99" s="224" t="e">
        <v>#DIV/0!</v>
      </c>
      <c r="AN99" s="1120" t="e">
        <v>#DIV/0!</v>
      </c>
      <c r="AO99" s="224" t="e">
        <f t="shared" si="5"/>
        <v>#DIV/0!</v>
      </c>
      <c r="AP99" s="1123">
        <v>0.1</v>
      </c>
      <c r="AQ99" s="1123">
        <f t="shared" si="7"/>
        <v>7.5064323963351956E-2</v>
      </c>
      <c r="AR99" s="1123">
        <v>20</v>
      </c>
      <c r="AS99" s="1123" t="e">
        <f t="shared" si="8"/>
        <v>#DIV/0!</v>
      </c>
      <c r="AT99" s="224" t="e">
        <f t="shared" si="6"/>
        <v>#DIV/0!</v>
      </c>
    </row>
    <row r="100" spans="1:46">
      <c r="A100" s="1118">
        <v>2030</v>
      </c>
      <c r="D100" s="1107" t="s">
        <v>531</v>
      </c>
      <c r="E100" s="224" t="s">
        <v>2059</v>
      </c>
      <c r="G100" s="224" t="e">
        <v>#DIV/0!</v>
      </c>
      <c r="H100" s="224" t="e">
        <v>#DIV/0!</v>
      </c>
      <c r="I100" s="224" t="e">
        <v>#DIV/0!</v>
      </c>
      <c r="J100" s="224" t="e">
        <v>#DIV/0!</v>
      </c>
      <c r="K100" s="224" t="e">
        <v>#DIV/0!</v>
      </c>
      <c r="L100" s="224" t="e">
        <v>#DIV/0!</v>
      </c>
      <c r="M100" s="224" t="e">
        <v>#DIV/0!</v>
      </c>
      <c r="N100" s="224" t="e">
        <v>#DIV/0!</v>
      </c>
      <c r="O100" s="224" t="e">
        <v>#DIV/0!</v>
      </c>
      <c r="P100" s="224" t="e">
        <v>#DIV/0!</v>
      </c>
      <c r="Q100" s="224" t="e">
        <v>#DIV/0!</v>
      </c>
      <c r="R100" s="224" t="e">
        <v>#DIV/0!</v>
      </c>
      <c r="S100" s="224" t="e">
        <v>#DIV/0!</v>
      </c>
      <c r="T100" s="224" t="e">
        <v>#DIV/0!</v>
      </c>
      <c r="U100" s="224" t="e">
        <v>#DIV/0!</v>
      </c>
      <c r="V100" s="224" t="e">
        <v>#DIV/0!</v>
      </c>
      <c r="W100" s="224" t="e">
        <v>#DIV/0!</v>
      </c>
      <c r="X100" s="224" t="e">
        <v>#DIV/0!</v>
      </c>
      <c r="Y100" s="224" t="e">
        <v>#DIV/0!</v>
      </c>
      <c r="Z100" s="224" t="e">
        <v>#DIV/0!</v>
      </c>
      <c r="AA100" s="224" t="e">
        <v>#DIV/0!</v>
      </c>
      <c r="AB100" s="224" t="e">
        <v>#DIV/0!</v>
      </c>
      <c r="AC100" s="224" t="e">
        <v>#DIV/0!</v>
      </c>
      <c r="AD100" s="1120" t="e">
        <v>#DIV/0!</v>
      </c>
      <c r="AE100" s="224" t="e">
        <v>#DIV/0!</v>
      </c>
      <c r="AF100" s="224" t="e">
        <v>#DIV/0!</v>
      </c>
      <c r="AG100" s="224" t="e">
        <v>#DIV/0!</v>
      </c>
      <c r="AH100" s="224" t="e">
        <v>#DIV/0!</v>
      </c>
      <c r="AI100" s="224" t="e">
        <v>#DIV/0!</v>
      </c>
      <c r="AJ100" s="224" t="e">
        <v>#DIV/0!</v>
      </c>
      <c r="AK100" s="224" t="e">
        <v>#DIV/0!</v>
      </c>
      <c r="AL100" s="224" t="e">
        <v>#DIV/0!</v>
      </c>
      <c r="AM100" s="224" t="e">
        <v>#DIV/0!</v>
      </c>
      <c r="AN100" s="1120" t="e">
        <v>#DIV/0!</v>
      </c>
      <c r="AO100" s="224" t="e">
        <f t="shared" si="5"/>
        <v>#DIV/0!</v>
      </c>
      <c r="AP100" s="1123">
        <v>0.1</v>
      </c>
      <c r="AQ100" s="1123">
        <f t="shared" si="7"/>
        <v>7.5064323963351956E-2</v>
      </c>
      <c r="AR100" s="1123">
        <v>20</v>
      </c>
      <c r="AS100" s="1123" t="e">
        <f t="shared" si="8"/>
        <v>#DIV/0!</v>
      </c>
      <c r="AT100" s="224" t="e">
        <f t="shared" si="6"/>
        <v>#DIV/0!</v>
      </c>
    </row>
    <row r="101" spans="1:46">
      <c r="A101" s="1118">
        <v>2035</v>
      </c>
      <c r="D101" s="1107" t="s">
        <v>531</v>
      </c>
      <c r="E101" s="224" t="s">
        <v>2059</v>
      </c>
      <c r="G101" s="224" t="e">
        <v>#DIV/0!</v>
      </c>
      <c r="H101" s="224" t="e">
        <v>#DIV/0!</v>
      </c>
      <c r="I101" s="224" t="e">
        <v>#DIV/0!</v>
      </c>
      <c r="J101" s="224" t="e">
        <v>#DIV/0!</v>
      </c>
      <c r="K101" s="224" t="e">
        <v>#DIV/0!</v>
      </c>
      <c r="L101" s="224" t="e">
        <v>#DIV/0!</v>
      </c>
      <c r="M101" s="224" t="e">
        <v>#DIV/0!</v>
      </c>
      <c r="N101" s="224" t="e">
        <v>#DIV/0!</v>
      </c>
      <c r="O101" s="224" t="e">
        <v>#DIV/0!</v>
      </c>
      <c r="P101" s="224" t="e">
        <v>#DIV/0!</v>
      </c>
      <c r="Q101" s="224" t="e">
        <v>#DIV/0!</v>
      </c>
      <c r="R101" s="224" t="e">
        <v>#DIV/0!</v>
      </c>
      <c r="S101" s="224" t="e">
        <v>#DIV/0!</v>
      </c>
      <c r="T101" s="224" t="e">
        <v>#DIV/0!</v>
      </c>
      <c r="U101" s="224" t="e">
        <v>#DIV/0!</v>
      </c>
      <c r="V101" s="224" t="e">
        <v>#DIV/0!</v>
      </c>
      <c r="W101" s="224" t="e">
        <v>#DIV/0!</v>
      </c>
      <c r="X101" s="224" t="e">
        <v>#DIV/0!</v>
      </c>
      <c r="Y101" s="224" t="e">
        <v>#DIV/0!</v>
      </c>
      <c r="Z101" s="224" t="e">
        <v>#DIV/0!</v>
      </c>
      <c r="AA101" s="224" t="e">
        <v>#DIV/0!</v>
      </c>
      <c r="AB101" s="224" t="e">
        <v>#DIV/0!</v>
      </c>
      <c r="AC101" s="224" t="e">
        <v>#DIV/0!</v>
      </c>
      <c r="AD101" s="1120" t="e">
        <v>#DIV/0!</v>
      </c>
      <c r="AE101" s="224" t="e">
        <v>#DIV/0!</v>
      </c>
      <c r="AF101" s="224" t="e">
        <v>#DIV/0!</v>
      </c>
      <c r="AG101" s="224" t="e">
        <v>#DIV/0!</v>
      </c>
      <c r="AH101" s="224" t="e">
        <v>#DIV/0!</v>
      </c>
      <c r="AI101" s="224" t="e">
        <v>#DIV/0!</v>
      </c>
      <c r="AJ101" s="224" t="e">
        <v>#DIV/0!</v>
      </c>
      <c r="AK101" s="224" t="e">
        <v>#DIV/0!</v>
      </c>
      <c r="AL101" s="224" t="e">
        <v>#DIV/0!</v>
      </c>
      <c r="AM101" s="224" t="e">
        <v>#DIV/0!</v>
      </c>
      <c r="AN101" s="1120" t="e">
        <v>#DIV/0!</v>
      </c>
      <c r="AO101" s="224" t="e">
        <f t="shared" si="5"/>
        <v>#DIV/0!</v>
      </c>
      <c r="AP101" s="1123">
        <v>0.1</v>
      </c>
      <c r="AQ101" s="1123">
        <f t="shared" si="7"/>
        <v>7.5064323963351956E-2</v>
      </c>
      <c r="AR101" s="1123">
        <v>20</v>
      </c>
      <c r="AS101" s="1123" t="e">
        <f t="shared" si="8"/>
        <v>#DIV/0!</v>
      </c>
      <c r="AT101" s="224" t="e">
        <f t="shared" si="6"/>
        <v>#DIV/0!</v>
      </c>
    </row>
    <row r="102" spans="1:46">
      <c r="A102" s="1118">
        <v>2050</v>
      </c>
      <c r="D102" s="1107" t="s">
        <v>531</v>
      </c>
      <c r="E102" s="224" t="s">
        <v>2059</v>
      </c>
      <c r="G102" s="224" t="e">
        <v>#DIV/0!</v>
      </c>
      <c r="H102" s="224" t="e">
        <v>#DIV/0!</v>
      </c>
      <c r="I102" s="224" t="e">
        <v>#DIV/0!</v>
      </c>
      <c r="J102" s="224" t="e">
        <v>#DIV/0!</v>
      </c>
      <c r="K102" s="224" t="e">
        <v>#DIV/0!</v>
      </c>
      <c r="L102" s="224" t="e">
        <v>#DIV/0!</v>
      </c>
      <c r="M102" s="224" t="e">
        <v>#DIV/0!</v>
      </c>
      <c r="N102" s="224" t="e">
        <v>#DIV/0!</v>
      </c>
      <c r="O102" s="224" t="e">
        <v>#DIV/0!</v>
      </c>
      <c r="P102" s="224" t="e">
        <v>#DIV/0!</v>
      </c>
      <c r="Q102" s="224" t="e">
        <v>#DIV/0!</v>
      </c>
      <c r="R102" s="224" t="e">
        <v>#DIV/0!</v>
      </c>
      <c r="S102" s="224" t="e">
        <v>#DIV/0!</v>
      </c>
      <c r="T102" s="224" t="e">
        <v>#DIV/0!</v>
      </c>
      <c r="U102" s="224" t="e">
        <v>#DIV/0!</v>
      </c>
      <c r="V102" s="224" t="e">
        <v>#DIV/0!</v>
      </c>
      <c r="W102" s="224" t="e">
        <v>#DIV/0!</v>
      </c>
      <c r="X102" s="224" t="e">
        <v>#DIV/0!</v>
      </c>
      <c r="Y102" s="224" t="e">
        <v>#DIV/0!</v>
      </c>
      <c r="Z102" s="224" t="e">
        <v>#DIV/0!</v>
      </c>
      <c r="AA102" s="224" t="e">
        <v>#DIV/0!</v>
      </c>
      <c r="AB102" s="224" t="e">
        <v>#DIV/0!</v>
      </c>
      <c r="AC102" s="224" t="e">
        <v>#DIV/0!</v>
      </c>
      <c r="AD102" s="1120" t="e">
        <v>#DIV/0!</v>
      </c>
      <c r="AE102" s="224" t="e">
        <v>#DIV/0!</v>
      </c>
      <c r="AF102" s="224" t="e">
        <v>#DIV/0!</v>
      </c>
      <c r="AG102" s="224" t="e">
        <v>#DIV/0!</v>
      </c>
      <c r="AH102" s="224" t="e">
        <v>#DIV/0!</v>
      </c>
      <c r="AI102" s="224" t="e">
        <v>#DIV/0!</v>
      </c>
      <c r="AJ102" s="224" t="e">
        <v>#DIV/0!</v>
      </c>
      <c r="AK102" s="224" t="e">
        <v>#DIV/0!</v>
      </c>
      <c r="AL102" s="224" t="e">
        <v>#DIV/0!</v>
      </c>
      <c r="AM102" s="224" t="e">
        <v>#DIV/0!</v>
      </c>
      <c r="AN102" s="1120" t="e">
        <v>#DIV/0!</v>
      </c>
      <c r="AO102" s="224" t="e">
        <f t="shared" si="5"/>
        <v>#DIV/0!</v>
      </c>
      <c r="AP102" s="1123">
        <v>0.1</v>
      </c>
      <c r="AQ102" s="1123">
        <f t="shared" si="7"/>
        <v>7.5064323963351956E-2</v>
      </c>
      <c r="AR102" s="1123">
        <v>20</v>
      </c>
      <c r="AS102" s="1123" t="e">
        <f t="shared" si="8"/>
        <v>#DIV/0!</v>
      </c>
      <c r="AT102" s="224" t="e">
        <f t="shared" si="6"/>
        <v>#DIV/0!</v>
      </c>
    </row>
    <row r="103" spans="1:46">
      <c r="A103" s="1118">
        <v>2017</v>
      </c>
      <c r="D103" s="1107" t="s">
        <v>531</v>
      </c>
      <c r="E103" s="224" t="s">
        <v>2060</v>
      </c>
      <c r="G103" s="224">
        <v>12136.886811206423</v>
      </c>
      <c r="H103" s="224">
        <v>6467</v>
      </c>
      <c r="I103" s="224">
        <v>130.33125000000001</v>
      </c>
      <c r="J103" s="224">
        <v>8.0740653958544142E-2</v>
      </c>
      <c r="K103" s="224">
        <v>8.698750505864862E-2</v>
      </c>
      <c r="L103" s="224">
        <v>0.1032815704359101</v>
      </c>
      <c r="M103" s="224">
        <v>2.7344512737575603E-2</v>
      </c>
      <c r="N103" s="224">
        <v>2.9532150215869652E-2</v>
      </c>
      <c r="O103" s="224">
        <v>3.4748586175006139E-2</v>
      </c>
      <c r="P103" s="224">
        <v>-15.898569795509976</v>
      </c>
      <c r="Q103" s="224">
        <v>-26.631251222353725</v>
      </c>
      <c r="R103" s="224">
        <v>-51.02235619069549</v>
      </c>
      <c r="S103" s="224">
        <v>1029.6874684724169</v>
      </c>
      <c r="T103" s="224">
        <v>1112.0653451081409</v>
      </c>
      <c r="U103" s="224">
        <v>1308.4959338979254</v>
      </c>
      <c r="V103" s="224">
        <v>120</v>
      </c>
      <c r="W103" s="224">
        <v>217.28667060000001</v>
      </c>
      <c r="X103" s="224">
        <v>325.93000589999997</v>
      </c>
      <c r="Y103" s="224">
        <v>130.20712499999999</v>
      </c>
      <c r="Z103" s="224">
        <v>0</v>
      </c>
      <c r="AA103" s="224">
        <v>6.0347069664040882</v>
      </c>
      <c r="AB103" s="224">
        <v>6.9941406824851295</v>
      </c>
      <c r="AC103" s="224">
        <v>9.3550550472690883</v>
      </c>
      <c r="AD103" s="1120">
        <v>4.154041672855513</v>
      </c>
      <c r="AE103" s="224">
        <v>11392.582857142856</v>
      </c>
      <c r="AF103" s="224">
        <v>10033.348168740002</v>
      </c>
      <c r="AG103" s="224">
        <v>74085.249982500012</v>
      </c>
      <c r="AH103" s="224">
        <v>0</v>
      </c>
      <c r="AI103" s="224">
        <v>49200</v>
      </c>
      <c r="AJ103" s="224">
        <v>0</v>
      </c>
      <c r="AK103" s="224">
        <v>745.98720000000003</v>
      </c>
      <c r="AL103" s="224">
        <v>0</v>
      </c>
      <c r="AM103" s="224">
        <v>436.00000000000006</v>
      </c>
      <c r="AN103" s="1120">
        <v>145893.16820838288</v>
      </c>
      <c r="AO103" s="224">
        <f t="shared" si="5"/>
        <v>0.54733653081544231</v>
      </c>
      <c r="AP103" s="1123">
        <v>0.1</v>
      </c>
      <c r="AQ103" s="1123">
        <f t="shared" si="7"/>
        <v>7.5064323963351956E-2</v>
      </c>
      <c r="AR103" s="1123">
        <v>20</v>
      </c>
      <c r="AS103" s="1123">
        <f t="shared" si="8"/>
        <v>0.31918180918280387</v>
      </c>
      <c r="AT103" s="224">
        <f t="shared" si="6"/>
        <v>10951.372042433853</v>
      </c>
    </row>
    <row r="104" spans="1:46">
      <c r="A104" s="1121">
        <v>2020</v>
      </c>
      <c r="D104" s="1107" t="s">
        <v>531</v>
      </c>
      <c r="E104" s="224" t="s">
        <v>2060</v>
      </c>
      <c r="G104" s="224" t="e">
        <v>#DIV/0!</v>
      </c>
      <c r="H104" s="224" t="e">
        <v>#DIV/0!</v>
      </c>
      <c r="I104" s="224" t="e">
        <v>#DIV/0!</v>
      </c>
      <c r="J104" s="224" t="e">
        <v>#DIV/0!</v>
      </c>
      <c r="K104" s="224" t="e">
        <v>#DIV/0!</v>
      </c>
      <c r="L104" s="224" t="e">
        <v>#DIV/0!</v>
      </c>
      <c r="M104" s="224" t="e">
        <v>#DIV/0!</v>
      </c>
      <c r="N104" s="224" t="e">
        <v>#DIV/0!</v>
      </c>
      <c r="O104" s="224" t="e">
        <v>#DIV/0!</v>
      </c>
      <c r="P104" s="224" t="e">
        <v>#DIV/0!</v>
      </c>
      <c r="Q104" s="224" t="e">
        <v>#DIV/0!</v>
      </c>
      <c r="R104" s="224" t="e">
        <v>#DIV/0!</v>
      </c>
      <c r="S104" s="224" t="e">
        <v>#DIV/0!</v>
      </c>
      <c r="T104" s="224" t="e">
        <v>#DIV/0!</v>
      </c>
      <c r="U104" s="224" t="e">
        <v>#DIV/0!</v>
      </c>
      <c r="V104" s="224" t="e">
        <v>#DIV/0!</v>
      </c>
      <c r="W104" s="224" t="e">
        <v>#DIV/0!</v>
      </c>
      <c r="X104" s="224" t="e">
        <v>#DIV/0!</v>
      </c>
      <c r="Y104" s="224" t="e">
        <v>#DIV/0!</v>
      </c>
      <c r="Z104" s="224" t="e">
        <v>#DIV/0!</v>
      </c>
      <c r="AA104" s="224" t="e">
        <v>#DIV/0!</v>
      </c>
      <c r="AB104" s="224" t="e">
        <v>#DIV/0!</v>
      </c>
      <c r="AC104" s="224" t="e">
        <v>#DIV/0!</v>
      </c>
      <c r="AD104" s="1120" t="e">
        <v>#DIV/0!</v>
      </c>
      <c r="AE104" s="224" t="e">
        <v>#DIV/0!</v>
      </c>
      <c r="AF104" s="224" t="e">
        <v>#DIV/0!</v>
      </c>
      <c r="AG104" s="224" t="e">
        <v>#DIV/0!</v>
      </c>
      <c r="AH104" s="224" t="e">
        <v>#DIV/0!</v>
      </c>
      <c r="AI104" s="224" t="e">
        <v>#DIV/0!</v>
      </c>
      <c r="AJ104" s="224" t="e">
        <v>#DIV/0!</v>
      </c>
      <c r="AK104" s="224" t="e">
        <v>#DIV/0!</v>
      </c>
      <c r="AL104" s="224" t="e">
        <v>#DIV/0!</v>
      </c>
      <c r="AM104" s="224" t="e">
        <v>#DIV/0!</v>
      </c>
      <c r="AN104" s="1120" t="e">
        <v>#DIV/0!</v>
      </c>
      <c r="AO104" s="224" t="e">
        <f t="shared" si="5"/>
        <v>#DIV/0!</v>
      </c>
      <c r="AP104" s="1123">
        <v>0.1</v>
      </c>
      <c r="AQ104" s="1123">
        <f t="shared" si="7"/>
        <v>7.5064323963351956E-2</v>
      </c>
      <c r="AR104" s="1123">
        <v>20</v>
      </c>
      <c r="AS104" s="1123" t="e">
        <f t="shared" si="8"/>
        <v>#DIV/0!</v>
      </c>
      <c r="AT104" s="224" t="e">
        <f t="shared" si="6"/>
        <v>#DIV/0!</v>
      </c>
    </row>
    <row r="105" spans="1:46">
      <c r="A105" s="1118">
        <v>2025</v>
      </c>
      <c r="D105" s="1107" t="s">
        <v>531</v>
      </c>
      <c r="E105" s="224" t="s">
        <v>2060</v>
      </c>
      <c r="G105" s="224" t="e">
        <v>#DIV/0!</v>
      </c>
      <c r="H105" s="224" t="e">
        <v>#DIV/0!</v>
      </c>
      <c r="I105" s="224" t="e">
        <v>#DIV/0!</v>
      </c>
      <c r="J105" s="224" t="e">
        <v>#DIV/0!</v>
      </c>
      <c r="K105" s="224" t="e">
        <v>#DIV/0!</v>
      </c>
      <c r="L105" s="224" t="e">
        <v>#DIV/0!</v>
      </c>
      <c r="M105" s="224" t="e">
        <v>#DIV/0!</v>
      </c>
      <c r="N105" s="224" t="e">
        <v>#DIV/0!</v>
      </c>
      <c r="O105" s="224" t="e">
        <v>#DIV/0!</v>
      </c>
      <c r="P105" s="224" t="e">
        <v>#DIV/0!</v>
      </c>
      <c r="Q105" s="224" t="e">
        <v>#DIV/0!</v>
      </c>
      <c r="R105" s="224" t="e">
        <v>#DIV/0!</v>
      </c>
      <c r="S105" s="224" t="e">
        <v>#DIV/0!</v>
      </c>
      <c r="T105" s="224" t="e">
        <v>#DIV/0!</v>
      </c>
      <c r="U105" s="224" t="e">
        <v>#DIV/0!</v>
      </c>
      <c r="V105" s="224" t="e">
        <v>#DIV/0!</v>
      </c>
      <c r="W105" s="224" t="e">
        <v>#DIV/0!</v>
      </c>
      <c r="X105" s="224" t="e">
        <v>#DIV/0!</v>
      </c>
      <c r="Y105" s="224" t="e">
        <v>#DIV/0!</v>
      </c>
      <c r="Z105" s="224" t="e">
        <v>#DIV/0!</v>
      </c>
      <c r="AA105" s="224" t="e">
        <v>#DIV/0!</v>
      </c>
      <c r="AB105" s="224" t="e">
        <v>#DIV/0!</v>
      </c>
      <c r="AC105" s="224" t="e">
        <v>#DIV/0!</v>
      </c>
      <c r="AD105" s="1120" t="e">
        <v>#DIV/0!</v>
      </c>
      <c r="AE105" s="224" t="e">
        <v>#DIV/0!</v>
      </c>
      <c r="AF105" s="224" t="e">
        <v>#DIV/0!</v>
      </c>
      <c r="AG105" s="224" t="e">
        <v>#DIV/0!</v>
      </c>
      <c r="AH105" s="224" t="e">
        <v>#DIV/0!</v>
      </c>
      <c r="AI105" s="224" t="e">
        <v>#DIV/0!</v>
      </c>
      <c r="AJ105" s="224" t="e">
        <v>#DIV/0!</v>
      </c>
      <c r="AK105" s="224" t="e">
        <v>#DIV/0!</v>
      </c>
      <c r="AL105" s="224" t="e">
        <v>#DIV/0!</v>
      </c>
      <c r="AM105" s="224" t="e">
        <v>#DIV/0!</v>
      </c>
      <c r="AN105" s="1120" t="e">
        <v>#DIV/0!</v>
      </c>
      <c r="AO105" s="224" t="e">
        <f t="shared" si="5"/>
        <v>#DIV/0!</v>
      </c>
      <c r="AP105" s="1123">
        <v>0.1</v>
      </c>
      <c r="AQ105" s="1123">
        <f t="shared" si="7"/>
        <v>7.5064323963351956E-2</v>
      </c>
      <c r="AR105" s="1123">
        <v>20</v>
      </c>
      <c r="AS105" s="1123" t="e">
        <f t="shared" si="8"/>
        <v>#DIV/0!</v>
      </c>
      <c r="AT105" s="224" t="e">
        <f t="shared" si="6"/>
        <v>#DIV/0!</v>
      </c>
    </row>
    <row r="106" spans="1:46">
      <c r="A106" s="1118">
        <v>2030</v>
      </c>
      <c r="D106" s="1107" t="s">
        <v>531</v>
      </c>
      <c r="E106" s="224" t="s">
        <v>2060</v>
      </c>
      <c r="G106" s="224" t="e">
        <v>#DIV/0!</v>
      </c>
      <c r="H106" s="224" t="e">
        <v>#DIV/0!</v>
      </c>
      <c r="I106" s="224" t="e">
        <v>#DIV/0!</v>
      </c>
      <c r="J106" s="224" t="e">
        <v>#DIV/0!</v>
      </c>
      <c r="K106" s="224" t="e">
        <v>#DIV/0!</v>
      </c>
      <c r="L106" s="224" t="e">
        <v>#DIV/0!</v>
      </c>
      <c r="M106" s="224" t="e">
        <v>#DIV/0!</v>
      </c>
      <c r="N106" s="224" t="e">
        <v>#DIV/0!</v>
      </c>
      <c r="O106" s="224" t="e">
        <v>#DIV/0!</v>
      </c>
      <c r="P106" s="224" t="e">
        <v>#DIV/0!</v>
      </c>
      <c r="Q106" s="224" t="e">
        <v>#DIV/0!</v>
      </c>
      <c r="R106" s="224" t="e">
        <v>#DIV/0!</v>
      </c>
      <c r="S106" s="224" t="e">
        <v>#DIV/0!</v>
      </c>
      <c r="T106" s="224" t="e">
        <v>#DIV/0!</v>
      </c>
      <c r="U106" s="224" t="e">
        <v>#DIV/0!</v>
      </c>
      <c r="V106" s="224" t="e">
        <v>#DIV/0!</v>
      </c>
      <c r="W106" s="224" t="e">
        <v>#DIV/0!</v>
      </c>
      <c r="X106" s="224" t="e">
        <v>#DIV/0!</v>
      </c>
      <c r="Y106" s="224" t="e">
        <v>#DIV/0!</v>
      </c>
      <c r="Z106" s="224" t="e">
        <v>#DIV/0!</v>
      </c>
      <c r="AA106" s="224" t="e">
        <v>#DIV/0!</v>
      </c>
      <c r="AB106" s="224" t="e">
        <v>#DIV/0!</v>
      </c>
      <c r="AC106" s="224" t="e">
        <v>#DIV/0!</v>
      </c>
      <c r="AD106" s="1120" t="e">
        <v>#DIV/0!</v>
      </c>
      <c r="AE106" s="224" t="e">
        <v>#DIV/0!</v>
      </c>
      <c r="AF106" s="224" t="e">
        <v>#DIV/0!</v>
      </c>
      <c r="AG106" s="224" t="e">
        <v>#DIV/0!</v>
      </c>
      <c r="AH106" s="224" t="e">
        <v>#DIV/0!</v>
      </c>
      <c r="AI106" s="224" t="e">
        <v>#DIV/0!</v>
      </c>
      <c r="AJ106" s="224" t="e">
        <v>#DIV/0!</v>
      </c>
      <c r="AK106" s="224" t="e">
        <v>#DIV/0!</v>
      </c>
      <c r="AL106" s="224" t="e">
        <v>#DIV/0!</v>
      </c>
      <c r="AM106" s="224" t="e">
        <v>#DIV/0!</v>
      </c>
      <c r="AN106" s="1120" t="e">
        <v>#DIV/0!</v>
      </c>
      <c r="AO106" s="224" t="e">
        <f t="shared" si="5"/>
        <v>#DIV/0!</v>
      </c>
      <c r="AP106" s="1123">
        <v>0.1</v>
      </c>
      <c r="AQ106" s="1123">
        <f t="shared" si="7"/>
        <v>7.5064323963351956E-2</v>
      </c>
      <c r="AR106" s="1123">
        <v>20</v>
      </c>
      <c r="AS106" s="1123" t="e">
        <f t="shared" si="8"/>
        <v>#DIV/0!</v>
      </c>
      <c r="AT106" s="224" t="e">
        <f t="shared" si="6"/>
        <v>#DIV/0!</v>
      </c>
    </row>
    <row r="107" spans="1:46">
      <c r="A107" s="1118">
        <v>2035</v>
      </c>
      <c r="D107" s="1107" t="s">
        <v>531</v>
      </c>
      <c r="E107" s="224" t="s">
        <v>2060</v>
      </c>
      <c r="G107" s="224" t="e">
        <v>#DIV/0!</v>
      </c>
      <c r="H107" s="224" t="e">
        <v>#DIV/0!</v>
      </c>
      <c r="I107" s="224" t="e">
        <v>#DIV/0!</v>
      </c>
      <c r="J107" s="224" t="e">
        <v>#DIV/0!</v>
      </c>
      <c r="K107" s="224" t="e">
        <v>#DIV/0!</v>
      </c>
      <c r="L107" s="224" t="e">
        <v>#DIV/0!</v>
      </c>
      <c r="M107" s="224" t="e">
        <v>#DIV/0!</v>
      </c>
      <c r="N107" s="224" t="e">
        <v>#DIV/0!</v>
      </c>
      <c r="O107" s="224" t="e">
        <v>#DIV/0!</v>
      </c>
      <c r="P107" s="224" t="e">
        <v>#DIV/0!</v>
      </c>
      <c r="Q107" s="224" t="e">
        <v>#DIV/0!</v>
      </c>
      <c r="R107" s="224" t="e">
        <v>#DIV/0!</v>
      </c>
      <c r="S107" s="224" t="e">
        <v>#DIV/0!</v>
      </c>
      <c r="T107" s="224" t="e">
        <v>#DIV/0!</v>
      </c>
      <c r="U107" s="224" t="e">
        <v>#DIV/0!</v>
      </c>
      <c r="V107" s="224" t="e">
        <v>#DIV/0!</v>
      </c>
      <c r="W107" s="224" t="e">
        <v>#DIV/0!</v>
      </c>
      <c r="X107" s="224" t="e">
        <v>#DIV/0!</v>
      </c>
      <c r="Y107" s="224" t="e">
        <v>#DIV/0!</v>
      </c>
      <c r="Z107" s="224" t="e">
        <v>#DIV/0!</v>
      </c>
      <c r="AA107" s="224" t="e">
        <v>#DIV/0!</v>
      </c>
      <c r="AB107" s="224" t="e">
        <v>#DIV/0!</v>
      </c>
      <c r="AC107" s="224" t="e">
        <v>#DIV/0!</v>
      </c>
      <c r="AD107" s="1120" t="e">
        <v>#DIV/0!</v>
      </c>
      <c r="AE107" s="224" t="e">
        <v>#DIV/0!</v>
      </c>
      <c r="AF107" s="224" t="e">
        <v>#DIV/0!</v>
      </c>
      <c r="AG107" s="224" t="e">
        <v>#DIV/0!</v>
      </c>
      <c r="AH107" s="224" t="e">
        <v>#DIV/0!</v>
      </c>
      <c r="AI107" s="224" t="e">
        <v>#DIV/0!</v>
      </c>
      <c r="AJ107" s="224" t="e">
        <v>#DIV/0!</v>
      </c>
      <c r="AK107" s="224" t="e">
        <v>#DIV/0!</v>
      </c>
      <c r="AL107" s="224" t="e">
        <v>#DIV/0!</v>
      </c>
      <c r="AM107" s="224" t="e">
        <v>#DIV/0!</v>
      </c>
      <c r="AN107" s="1120" t="e">
        <v>#DIV/0!</v>
      </c>
      <c r="AO107" s="224" t="e">
        <f t="shared" si="5"/>
        <v>#DIV/0!</v>
      </c>
      <c r="AP107" s="1123">
        <v>0.1</v>
      </c>
      <c r="AQ107" s="1123">
        <f t="shared" si="7"/>
        <v>7.5064323963351956E-2</v>
      </c>
      <c r="AR107" s="1123">
        <v>20</v>
      </c>
      <c r="AS107" s="1123" t="e">
        <f t="shared" si="8"/>
        <v>#DIV/0!</v>
      </c>
      <c r="AT107" s="224" t="e">
        <f t="shared" si="6"/>
        <v>#DIV/0!</v>
      </c>
    </row>
    <row r="108" spans="1:46">
      <c r="A108" s="1118">
        <v>2050</v>
      </c>
      <c r="D108" s="1107" t="s">
        <v>531</v>
      </c>
      <c r="E108" s="224" t="s">
        <v>2060</v>
      </c>
      <c r="G108" s="224" t="e">
        <v>#DIV/0!</v>
      </c>
      <c r="H108" s="224" t="e">
        <v>#DIV/0!</v>
      </c>
      <c r="I108" s="224" t="e">
        <v>#DIV/0!</v>
      </c>
      <c r="J108" s="224" t="e">
        <v>#DIV/0!</v>
      </c>
      <c r="K108" s="224" t="e">
        <v>#DIV/0!</v>
      </c>
      <c r="L108" s="224" t="e">
        <v>#DIV/0!</v>
      </c>
      <c r="M108" s="224" t="e">
        <v>#DIV/0!</v>
      </c>
      <c r="N108" s="224" t="e">
        <v>#DIV/0!</v>
      </c>
      <c r="O108" s="224" t="e">
        <v>#DIV/0!</v>
      </c>
      <c r="P108" s="224" t="e">
        <v>#DIV/0!</v>
      </c>
      <c r="Q108" s="224" t="e">
        <v>#DIV/0!</v>
      </c>
      <c r="R108" s="224" t="e">
        <v>#DIV/0!</v>
      </c>
      <c r="S108" s="224" t="e">
        <v>#DIV/0!</v>
      </c>
      <c r="T108" s="224" t="e">
        <v>#DIV/0!</v>
      </c>
      <c r="U108" s="224" t="e">
        <v>#DIV/0!</v>
      </c>
      <c r="V108" s="224" t="e">
        <v>#DIV/0!</v>
      </c>
      <c r="W108" s="224" t="e">
        <v>#DIV/0!</v>
      </c>
      <c r="X108" s="224" t="e">
        <v>#DIV/0!</v>
      </c>
      <c r="Y108" s="224" t="e">
        <v>#DIV/0!</v>
      </c>
      <c r="Z108" s="224" t="e">
        <v>#DIV/0!</v>
      </c>
      <c r="AA108" s="224" t="e">
        <v>#DIV/0!</v>
      </c>
      <c r="AB108" s="224" t="e">
        <v>#DIV/0!</v>
      </c>
      <c r="AC108" s="224" t="e">
        <v>#DIV/0!</v>
      </c>
      <c r="AD108" s="1120" t="e">
        <v>#DIV/0!</v>
      </c>
      <c r="AE108" s="224" t="e">
        <v>#DIV/0!</v>
      </c>
      <c r="AF108" s="224" t="e">
        <v>#DIV/0!</v>
      </c>
      <c r="AG108" s="224" t="e">
        <v>#DIV/0!</v>
      </c>
      <c r="AH108" s="224" t="e">
        <v>#DIV/0!</v>
      </c>
      <c r="AI108" s="224" t="e">
        <v>#DIV/0!</v>
      </c>
      <c r="AJ108" s="224" t="e">
        <v>#DIV/0!</v>
      </c>
      <c r="AK108" s="224" t="e">
        <v>#DIV/0!</v>
      </c>
      <c r="AL108" s="224" t="e">
        <v>#DIV/0!</v>
      </c>
      <c r="AM108" s="224" t="e">
        <v>#DIV/0!</v>
      </c>
      <c r="AN108" s="1120" t="e">
        <v>#DIV/0!</v>
      </c>
      <c r="AO108" s="224" t="e">
        <f t="shared" si="5"/>
        <v>#DIV/0!</v>
      </c>
      <c r="AP108" s="1123">
        <v>0.1</v>
      </c>
      <c r="AQ108" s="1123">
        <f t="shared" si="7"/>
        <v>7.5064323963351956E-2</v>
      </c>
      <c r="AR108" s="1123">
        <v>20</v>
      </c>
      <c r="AS108" s="1123" t="e">
        <f t="shared" si="8"/>
        <v>#DIV/0!</v>
      </c>
      <c r="AT108" s="224" t="e">
        <f t="shared" si="6"/>
        <v>#DIV/0!</v>
      </c>
    </row>
    <row r="109" spans="1:46">
      <c r="A109" s="1118">
        <v>2017</v>
      </c>
      <c r="D109" s="1107" t="s">
        <v>531</v>
      </c>
      <c r="E109" s="224" t="s">
        <v>2061</v>
      </c>
      <c r="G109" s="224">
        <v>11756.477403045001</v>
      </c>
      <c r="H109" s="224">
        <v>6467</v>
      </c>
      <c r="I109" s="224">
        <v>246.76050000000001</v>
      </c>
      <c r="J109" s="224">
        <v>0</v>
      </c>
      <c r="K109" s="224">
        <v>0</v>
      </c>
      <c r="L109" s="224">
        <v>0</v>
      </c>
      <c r="M109" s="224">
        <v>0</v>
      </c>
      <c r="N109" s="224">
        <v>0</v>
      </c>
      <c r="O109" s="224">
        <v>0</v>
      </c>
      <c r="P109" s="224">
        <v>0</v>
      </c>
      <c r="Q109" s="224">
        <v>0</v>
      </c>
      <c r="R109" s="224">
        <v>0</v>
      </c>
      <c r="S109" s="224">
        <v>997.18847575030054</v>
      </c>
      <c r="T109" s="224">
        <v>1214.0059118469787</v>
      </c>
      <c r="U109" s="224">
        <v>1424.5495672153872</v>
      </c>
      <c r="V109" s="224">
        <v>0</v>
      </c>
      <c r="W109" s="224">
        <v>182.69018549999998</v>
      </c>
      <c r="X109" s="224">
        <v>274.03527824999998</v>
      </c>
      <c r="Y109" s="224">
        <v>246.76050000000001</v>
      </c>
      <c r="Z109" s="224">
        <v>0</v>
      </c>
      <c r="AA109" s="224">
        <v>3.9728624531884487</v>
      </c>
      <c r="AB109" s="224">
        <v>4.8366769396293972</v>
      </c>
      <c r="AC109" s="224">
        <v>5.6754962837266421</v>
      </c>
      <c r="AD109" s="1120">
        <v>4.2757003381458514</v>
      </c>
      <c r="AE109" s="224">
        <v>0</v>
      </c>
      <c r="AF109" s="224">
        <v>8549.1589579499978</v>
      </c>
      <c r="AG109" s="224">
        <v>140401.78928999999</v>
      </c>
      <c r="AH109" s="224">
        <v>0</v>
      </c>
      <c r="AI109" s="224">
        <v>49200</v>
      </c>
      <c r="AJ109" s="224">
        <v>0</v>
      </c>
      <c r="AK109" s="224">
        <v>745.98720000000003</v>
      </c>
      <c r="AL109" s="224">
        <v>0</v>
      </c>
      <c r="AM109" s="224">
        <v>0</v>
      </c>
      <c r="AN109" s="1120">
        <v>198896.93544795</v>
      </c>
      <c r="AO109" s="224">
        <f t="shared" si="5"/>
        <v>0.56336627655409732</v>
      </c>
      <c r="AP109" s="1123">
        <v>0.1</v>
      </c>
      <c r="AQ109" s="1123">
        <f t="shared" si="7"/>
        <v>7.5064323963351956E-2</v>
      </c>
      <c r="AR109" s="1123">
        <v>20</v>
      </c>
      <c r="AS109" s="1123">
        <f t="shared" si="8"/>
        <v>0.32852962895646604</v>
      </c>
      <c r="AT109" s="224">
        <f t="shared" si="6"/>
        <v>14930.063997782821</v>
      </c>
    </row>
    <row r="110" spans="1:46">
      <c r="A110" s="1121">
        <v>2020</v>
      </c>
      <c r="D110" s="1107" t="s">
        <v>531</v>
      </c>
      <c r="E110" s="224" t="s">
        <v>2061</v>
      </c>
      <c r="G110" s="224" t="e">
        <v>#DIV/0!</v>
      </c>
      <c r="H110" s="224" t="e">
        <v>#DIV/0!</v>
      </c>
      <c r="I110" s="224" t="e">
        <v>#DIV/0!</v>
      </c>
      <c r="J110" s="224" t="e">
        <v>#DIV/0!</v>
      </c>
      <c r="K110" s="224" t="e">
        <v>#DIV/0!</v>
      </c>
      <c r="L110" s="224" t="e">
        <v>#DIV/0!</v>
      </c>
      <c r="M110" s="224" t="e">
        <v>#DIV/0!</v>
      </c>
      <c r="N110" s="224" t="e">
        <v>#DIV/0!</v>
      </c>
      <c r="O110" s="224" t="e">
        <v>#DIV/0!</v>
      </c>
      <c r="P110" s="224" t="e">
        <v>#DIV/0!</v>
      </c>
      <c r="Q110" s="224" t="e">
        <v>#DIV/0!</v>
      </c>
      <c r="R110" s="224" t="e">
        <v>#DIV/0!</v>
      </c>
      <c r="S110" s="224" t="e">
        <v>#DIV/0!</v>
      </c>
      <c r="T110" s="224" t="e">
        <v>#DIV/0!</v>
      </c>
      <c r="U110" s="224" t="e">
        <v>#DIV/0!</v>
      </c>
      <c r="V110" s="224" t="e">
        <v>#DIV/0!</v>
      </c>
      <c r="W110" s="224" t="e">
        <v>#DIV/0!</v>
      </c>
      <c r="X110" s="224" t="e">
        <v>#DIV/0!</v>
      </c>
      <c r="Y110" s="224" t="e">
        <v>#DIV/0!</v>
      </c>
      <c r="Z110" s="224" t="e">
        <v>#DIV/0!</v>
      </c>
      <c r="AA110" s="224" t="e">
        <v>#DIV/0!</v>
      </c>
      <c r="AB110" s="224" t="e">
        <v>#DIV/0!</v>
      </c>
      <c r="AC110" s="224" t="e">
        <v>#DIV/0!</v>
      </c>
      <c r="AD110" s="1120" t="e">
        <v>#DIV/0!</v>
      </c>
      <c r="AE110" s="224" t="e">
        <v>#DIV/0!</v>
      </c>
      <c r="AF110" s="224" t="e">
        <v>#DIV/0!</v>
      </c>
      <c r="AG110" s="224" t="e">
        <v>#DIV/0!</v>
      </c>
      <c r="AH110" s="224" t="e">
        <v>#DIV/0!</v>
      </c>
      <c r="AI110" s="224" t="e">
        <v>#DIV/0!</v>
      </c>
      <c r="AJ110" s="224" t="e">
        <v>#DIV/0!</v>
      </c>
      <c r="AK110" s="224" t="e">
        <v>#DIV/0!</v>
      </c>
      <c r="AL110" s="224" t="e">
        <v>#DIV/0!</v>
      </c>
      <c r="AM110" s="224" t="e">
        <v>#DIV/0!</v>
      </c>
      <c r="AN110" s="1120" t="e">
        <v>#DIV/0!</v>
      </c>
      <c r="AO110" s="224" t="e">
        <f t="shared" si="5"/>
        <v>#DIV/0!</v>
      </c>
      <c r="AP110" s="1123">
        <v>0.1</v>
      </c>
      <c r="AQ110" s="1123">
        <f t="shared" si="7"/>
        <v>7.5064323963351956E-2</v>
      </c>
      <c r="AR110" s="1123">
        <v>20</v>
      </c>
      <c r="AS110" s="1123" t="e">
        <f t="shared" ref="AS110:AS114" si="9">AO110/$AO$229</f>
        <v>#DIV/0!</v>
      </c>
      <c r="AT110" s="224" t="e">
        <f t="shared" si="6"/>
        <v>#DIV/0!</v>
      </c>
    </row>
    <row r="111" spans="1:46">
      <c r="A111" s="1118">
        <v>2025</v>
      </c>
      <c r="D111" s="1107" t="s">
        <v>531</v>
      </c>
      <c r="E111" s="224" t="s">
        <v>2061</v>
      </c>
      <c r="G111" s="224" t="e">
        <v>#DIV/0!</v>
      </c>
      <c r="H111" s="224" t="e">
        <v>#DIV/0!</v>
      </c>
      <c r="I111" s="224" t="e">
        <v>#DIV/0!</v>
      </c>
      <c r="J111" s="224" t="e">
        <v>#DIV/0!</v>
      </c>
      <c r="K111" s="224" t="e">
        <v>#DIV/0!</v>
      </c>
      <c r="L111" s="224" t="e">
        <v>#DIV/0!</v>
      </c>
      <c r="M111" s="224" t="e">
        <v>#DIV/0!</v>
      </c>
      <c r="N111" s="224" t="e">
        <v>#DIV/0!</v>
      </c>
      <c r="O111" s="224" t="e">
        <v>#DIV/0!</v>
      </c>
      <c r="P111" s="224" t="e">
        <v>#DIV/0!</v>
      </c>
      <c r="Q111" s="224" t="e">
        <v>#DIV/0!</v>
      </c>
      <c r="R111" s="224" t="e">
        <v>#DIV/0!</v>
      </c>
      <c r="S111" s="224" t="e">
        <v>#DIV/0!</v>
      </c>
      <c r="T111" s="224" t="e">
        <v>#DIV/0!</v>
      </c>
      <c r="U111" s="224" t="e">
        <v>#DIV/0!</v>
      </c>
      <c r="V111" s="224" t="e">
        <v>#DIV/0!</v>
      </c>
      <c r="W111" s="224" t="e">
        <v>#DIV/0!</v>
      </c>
      <c r="X111" s="224" t="e">
        <v>#DIV/0!</v>
      </c>
      <c r="Y111" s="224" t="e">
        <v>#DIV/0!</v>
      </c>
      <c r="Z111" s="224" t="e">
        <v>#DIV/0!</v>
      </c>
      <c r="AA111" s="224" t="e">
        <v>#DIV/0!</v>
      </c>
      <c r="AB111" s="224" t="e">
        <v>#DIV/0!</v>
      </c>
      <c r="AC111" s="224" t="e">
        <v>#DIV/0!</v>
      </c>
      <c r="AD111" s="1120" t="e">
        <v>#DIV/0!</v>
      </c>
      <c r="AE111" s="224" t="e">
        <v>#DIV/0!</v>
      </c>
      <c r="AF111" s="224" t="e">
        <v>#DIV/0!</v>
      </c>
      <c r="AG111" s="224" t="e">
        <v>#DIV/0!</v>
      </c>
      <c r="AH111" s="224" t="e">
        <v>#DIV/0!</v>
      </c>
      <c r="AI111" s="224" t="e">
        <v>#DIV/0!</v>
      </c>
      <c r="AJ111" s="224" t="e">
        <v>#DIV/0!</v>
      </c>
      <c r="AK111" s="224" t="e">
        <v>#DIV/0!</v>
      </c>
      <c r="AL111" s="224" t="e">
        <v>#DIV/0!</v>
      </c>
      <c r="AM111" s="224" t="e">
        <v>#DIV/0!</v>
      </c>
      <c r="AN111" s="1120" t="e">
        <v>#DIV/0!</v>
      </c>
      <c r="AO111" s="224" t="e">
        <f t="shared" si="5"/>
        <v>#DIV/0!</v>
      </c>
      <c r="AP111" s="1123">
        <v>0.1</v>
      </c>
      <c r="AQ111" s="1123">
        <f t="shared" si="7"/>
        <v>7.5064323963351956E-2</v>
      </c>
      <c r="AR111" s="1123">
        <v>20</v>
      </c>
      <c r="AS111" s="1123" t="e">
        <f t="shared" si="9"/>
        <v>#DIV/0!</v>
      </c>
      <c r="AT111" s="224" t="e">
        <f t="shared" si="6"/>
        <v>#DIV/0!</v>
      </c>
    </row>
    <row r="112" spans="1:46">
      <c r="A112" s="1118">
        <v>2030</v>
      </c>
      <c r="D112" s="1107" t="s">
        <v>531</v>
      </c>
      <c r="E112" s="224" t="s">
        <v>2061</v>
      </c>
      <c r="G112" s="224">
        <v>11756.477403045001</v>
      </c>
      <c r="H112" s="224">
        <v>6467</v>
      </c>
      <c r="I112" s="224">
        <v>246.76050000000001</v>
      </c>
      <c r="J112" s="224">
        <v>0</v>
      </c>
      <c r="K112" s="224">
        <v>0</v>
      </c>
      <c r="L112" s="224">
        <v>0</v>
      </c>
      <c r="M112" s="224">
        <v>0</v>
      </c>
      <c r="N112" s="224">
        <v>0</v>
      </c>
      <c r="O112" s="224">
        <v>0</v>
      </c>
      <c r="P112" s="224">
        <v>0</v>
      </c>
      <c r="Q112" s="224">
        <v>0</v>
      </c>
      <c r="R112" s="224">
        <v>0</v>
      </c>
      <c r="S112" s="224">
        <v>997.18847575030054</v>
      </c>
      <c r="T112" s="224">
        <v>1214.0059118469787</v>
      </c>
      <c r="U112" s="224">
        <v>1424.5495672153872</v>
      </c>
      <c r="V112" s="224">
        <v>0</v>
      </c>
      <c r="W112" s="224">
        <v>182.69018549999998</v>
      </c>
      <c r="X112" s="224">
        <v>274.03527824999998</v>
      </c>
      <c r="Y112" s="224">
        <v>246.76050000000001</v>
      </c>
      <c r="Z112" s="224">
        <v>0</v>
      </c>
      <c r="AA112" s="224">
        <v>3.9728624531884487</v>
      </c>
      <c r="AB112" s="224">
        <v>4.8366769396293972</v>
      </c>
      <c r="AC112" s="224">
        <v>5.6754962837266421</v>
      </c>
      <c r="AD112" s="224">
        <v>4.2757003381458514</v>
      </c>
      <c r="AE112" s="224">
        <v>0</v>
      </c>
      <c r="AF112" s="224">
        <v>1140.3468928799998</v>
      </c>
      <c r="AG112" s="224">
        <v>43715.815737476747</v>
      </c>
      <c r="AH112" s="224">
        <v>0</v>
      </c>
      <c r="AI112" s="224">
        <v>57600</v>
      </c>
      <c r="AJ112" s="224">
        <v>0</v>
      </c>
      <c r="AK112" s="224">
        <v>6130.1750326299316</v>
      </c>
      <c r="AL112" s="224">
        <v>0</v>
      </c>
      <c r="AM112" s="224">
        <v>0</v>
      </c>
      <c r="AN112" s="1120">
        <v>108586.33766298668</v>
      </c>
      <c r="AO112" s="224">
        <f t="shared" si="5"/>
        <v>0.56336627655409732</v>
      </c>
      <c r="AP112" s="1123">
        <v>0.1</v>
      </c>
      <c r="AQ112" s="1123">
        <f t="shared" si="7"/>
        <v>7.5064323963351956E-2</v>
      </c>
      <c r="AR112" s="1123">
        <v>20</v>
      </c>
      <c r="AS112" s="1123">
        <f t="shared" si="9"/>
        <v>0.2596817207332125</v>
      </c>
      <c r="AT112" s="224">
        <f t="shared" si="6"/>
        <v>8150.960028328358</v>
      </c>
    </row>
    <row r="113" spans="1:46">
      <c r="A113" s="1118">
        <v>2035</v>
      </c>
      <c r="D113" s="1107" t="s">
        <v>531</v>
      </c>
      <c r="E113" s="224" t="s">
        <v>2061</v>
      </c>
      <c r="G113" s="224" t="e">
        <v>#DIV/0!</v>
      </c>
      <c r="H113" s="224" t="e">
        <v>#DIV/0!</v>
      </c>
      <c r="I113" s="224" t="e">
        <v>#DIV/0!</v>
      </c>
      <c r="J113" s="224" t="e">
        <v>#DIV/0!</v>
      </c>
      <c r="K113" s="224" t="e">
        <v>#DIV/0!</v>
      </c>
      <c r="L113" s="224" t="e">
        <v>#DIV/0!</v>
      </c>
      <c r="M113" s="224" t="e">
        <v>#DIV/0!</v>
      </c>
      <c r="N113" s="224" t="e">
        <v>#DIV/0!</v>
      </c>
      <c r="O113" s="224" t="e">
        <v>#DIV/0!</v>
      </c>
      <c r="P113" s="224" t="e">
        <v>#DIV/0!</v>
      </c>
      <c r="Q113" s="224" t="e">
        <v>#DIV/0!</v>
      </c>
      <c r="R113" s="224" t="e">
        <v>#DIV/0!</v>
      </c>
      <c r="S113" s="224" t="e">
        <v>#DIV/0!</v>
      </c>
      <c r="T113" s="224" t="e">
        <v>#DIV/0!</v>
      </c>
      <c r="U113" s="224" t="e">
        <v>#DIV/0!</v>
      </c>
      <c r="V113" s="224" t="e">
        <v>#DIV/0!</v>
      </c>
      <c r="W113" s="224" t="e">
        <v>#DIV/0!</v>
      </c>
      <c r="X113" s="224" t="e">
        <v>#DIV/0!</v>
      </c>
      <c r="Y113" s="224" t="e">
        <v>#DIV/0!</v>
      </c>
      <c r="Z113" s="224" t="e">
        <v>#DIV/0!</v>
      </c>
      <c r="AA113" s="224" t="e">
        <v>#DIV/0!</v>
      </c>
      <c r="AB113" s="224" t="e">
        <v>#DIV/0!</v>
      </c>
      <c r="AC113" s="224" t="e">
        <v>#DIV/0!</v>
      </c>
      <c r="AD113" s="224" t="e">
        <v>#DIV/0!</v>
      </c>
      <c r="AE113" s="224" t="e">
        <v>#DIV/0!</v>
      </c>
      <c r="AF113" s="224" t="e">
        <v>#DIV/0!</v>
      </c>
      <c r="AG113" s="224" t="e">
        <v>#DIV/0!</v>
      </c>
      <c r="AH113" s="224" t="e">
        <v>#DIV/0!</v>
      </c>
      <c r="AI113" s="224" t="e">
        <v>#DIV/0!</v>
      </c>
      <c r="AJ113" s="224" t="e">
        <v>#DIV/0!</v>
      </c>
      <c r="AK113" s="224" t="e">
        <v>#DIV/0!</v>
      </c>
      <c r="AL113" s="224" t="e">
        <v>#DIV/0!</v>
      </c>
      <c r="AM113" s="224" t="e">
        <v>#DIV/0!</v>
      </c>
      <c r="AN113" s="1120" t="e">
        <v>#DIV/0!</v>
      </c>
      <c r="AO113" s="224" t="e">
        <f t="shared" si="5"/>
        <v>#DIV/0!</v>
      </c>
      <c r="AP113" s="1123">
        <v>0.1</v>
      </c>
      <c r="AQ113" s="1123">
        <f t="shared" si="7"/>
        <v>7.5064323963351956E-2</v>
      </c>
      <c r="AR113" s="1123">
        <v>20</v>
      </c>
      <c r="AS113" s="1123" t="e">
        <f t="shared" si="9"/>
        <v>#DIV/0!</v>
      </c>
      <c r="AT113" s="224" t="e">
        <f t="shared" si="6"/>
        <v>#DIV/0!</v>
      </c>
    </row>
    <row r="114" spans="1:46">
      <c r="A114" s="1118">
        <v>2050</v>
      </c>
      <c r="D114" s="1107" t="s">
        <v>531</v>
      </c>
      <c r="E114" s="224" t="s">
        <v>2061</v>
      </c>
      <c r="G114" s="224">
        <v>11756.477403045001</v>
      </c>
      <c r="H114" s="224">
        <v>6467</v>
      </c>
      <c r="I114" s="224">
        <v>246.76050000000001</v>
      </c>
      <c r="J114" s="224">
        <v>0</v>
      </c>
      <c r="K114" s="224">
        <v>0</v>
      </c>
      <c r="L114" s="224">
        <v>0</v>
      </c>
      <c r="M114" s="224">
        <v>0</v>
      </c>
      <c r="N114" s="224">
        <v>0</v>
      </c>
      <c r="O114" s="224">
        <v>0</v>
      </c>
      <c r="P114" s="224">
        <v>0</v>
      </c>
      <c r="Q114" s="224">
        <v>0</v>
      </c>
      <c r="R114" s="224">
        <v>0</v>
      </c>
      <c r="S114" s="224">
        <v>997.18847575030054</v>
      </c>
      <c r="T114" s="224">
        <v>1214.0059118469787</v>
      </c>
      <c r="U114" s="224">
        <v>1424.5495672153872</v>
      </c>
      <c r="V114" s="224">
        <v>0</v>
      </c>
      <c r="W114" s="224">
        <v>182.69018549999998</v>
      </c>
      <c r="X114" s="224">
        <v>274.03527824999998</v>
      </c>
      <c r="Y114" s="224">
        <v>246.76050000000001</v>
      </c>
      <c r="Z114" s="224">
        <v>0</v>
      </c>
      <c r="AA114" s="224">
        <v>3.9728624531884487</v>
      </c>
      <c r="AB114" s="224">
        <v>4.8366769396293972</v>
      </c>
      <c r="AC114" s="224">
        <v>5.6754962837266421</v>
      </c>
      <c r="AD114" s="224">
        <v>4.2757003381458514</v>
      </c>
      <c r="AE114" s="224">
        <v>0</v>
      </c>
      <c r="AF114" s="224">
        <v>988.2068971462412</v>
      </c>
      <c r="AG114" s="224">
        <v>23630.812211455206</v>
      </c>
      <c r="AH114" s="224">
        <v>0</v>
      </c>
      <c r="AI114" s="224">
        <v>57600</v>
      </c>
      <c r="AJ114" s="224">
        <v>0</v>
      </c>
      <c r="AK114" s="224">
        <v>9732.9821475917834</v>
      </c>
      <c r="AL114" s="224">
        <v>0</v>
      </c>
      <c r="AM114" s="224">
        <v>0</v>
      </c>
      <c r="AN114" s="1120">
        <v>91952.001256193224</v>
      </c>
      <c r="AO114" s="224">
        <f t="shared" si="5"/>
        <v>0.56336627655409732</v>
      </c>
      <c r="AP114" s="1123">
        <v>0.1</v>
      </c>
      <c r="AQ114" s="1123">
        <f t="shared" si="7"/>
        <v>7.5064323963351956E-2</v>
      </c>
      <c r="AR114" s="1123">
        <v>20</v>
      </c>
      <c r="AS114" s="1123">
        <f t="shared" si="9"/>
        <v>0.2596817207332125</v>
      </c>
      <c r="AT114" s="224">
        <f t="shared" si="6"/>
        <v>6902.3148113734342</v>
      </c>
    </row>
    <row r="115" spans="1:46">
      <c r="A115" s="1118">
        <v>2017</v>
      </c>
      <c r="D115" s="1107" t="s">
        <v>531</v>
      </c>
      <c r="E115" s="224" t="s">
        <v>2062</v>
      </c>
      <c r="G115" s="224">
        <v>11434.671917506445</v>
      </c>
      <c r="H115" s="224">
        <v>6467</v>
      </c>
      <c r="I115" s="224">
        <v>7.5398400000000008</v>
      </c>
      <c r="J115" s="224">
        <v>5.4084760276697438E-2</v>
      </c>
      <c r="K115" s="224">
        <v>5.785690340535847E-2</v>
      </c>
      <c r="L115" s="224">
        <v>7.2171923072217078E-2</v>
      </c>
      <c r="M115" s="224">
        <v>0</v>
      </c>
      <c r="N115" s="224">
        <v>0</v>
      </c>
      <c r="O115" s="224">
        <v>0</v>
      </c>
      <c r="P115" s="224">
        <v>0</v>
      </c>
      <c r="Q115" s="224">
        <v>0</v>
      </c>
      <c r="R115" s="224">
        <v>0</v>
      </c>
      <c r="S115" s="224">
        <v>0</v>
      </c>
      <c r="T115" s="224">
        <v>0</v>
      </c>
      <c r="U115" s="224">
        <v>0</v>
      </c>
      <c r="V115" s="224">
        <v>0</v>
      </c>
      <c r="W115" s="224">
        <v>195.38714780000001</v>
      </c>
      <c r="X115" s="224">
        <v>234.69760765550237</v>
      </c>
      <c r="Y115" s="224">
        <v>7.5398400000000008</v>
      </c>
      <c r="Z115" s="224">
        <v>127.2717193</v>
      </c>
      <c r="AA115" s="224">
        <v>8.1127140415046153</v>
      </c>
      <c r="AB115" s="224">
        <v>8.6785355108037709</v>
      </c>
      <c r="AC115" s="224">
        <v>10.825788460832563</v>
      </c>
      <c r="AD115" s="1120">
        <v>8.1240944812822207</v>
      </c>
      <c r="AE115" s="224">
        <v>0</v>
      </c>
      <c r="AF115" s="224">
        <v>9093.8586406200011</v>
      </c>
      <c r="AG115" s="224">
        <v>10232.815693779903</v>
      </c>
      <c r="AH115" s="224">
        <v>0</v>
      </c>
      <c r="AI115" s="224">
        <v>49200</v>
      </c>
      <c r="AJ115" s="224">
        <v>0</v>
      </c>
      <c r="AK115" s="224">
        <v>745.98720000000003</v>
      </c>
      <c r="AL115" s="224">
        <v>61040</v>
      </c>
      <c r="AM115" s="224">
        <v>11135.552487999999</v>
      </c>
      <c r="AN115" s="1120">
        <v>141448.21402239992</v>
      </c>
      <c r="AO115" s="224">
        <f t="shared" si="5"/>
        <v>1.0704306888537454</v>
      </c>
      <c r="AP115" s="1123">
        <v>0.1</v>
      </c>
      <c r="AQ115" s="1123">
        <f t="shared" si="7"/>
        <v>7.5064323963351956E-2</v>
      </c>
      <c r="AR115" s="1123">
        <v>20</v>
      </c>
      <c r="AS115" s="1123">
        <f>AO115/$AO$85</f>
        <v>0.62422656745405369</v>
      </c>
      <c r="AT115" s="224">
        <f t="shared" si="6"/>
        <v>10617.71456141497</v>
      </c>
    </row>
    <row r="116" spans="1:46">
      <c r="A116" s="1121">
        <v>2020</v>
      </c>
      <c r="D116" s="1107" t="s">
        <v>531</v>
      </c>
      <c r="E116" s="224" t="s">
        <v>2062</v>
      </c>
      <c r="G116" s="224" t="e">
        <v>#DIV/0!</v>
      </c>
      <c r="H116" s="224" t="e">
        <v>#DIV/0!</v>
      </c>
      <c r="I116" s="224" t="e">
        <v>#DIV/0!</v>
      </c>
      <c r="J116" s="224" t="e">
        <v>#DIV/0!</v>
      </c>
      <c r="K116" s="224" t="e">
        <v>#DIV/0!</v>
      </c>
      <c r="L116" s="224" t="e">
        <v>#DIV/0!</v>
      </c>
      <c r="M116" s="224" t="e">
        <v>#DIV/0!</v>
      </c>
      <c r="N116" s="224" t="e">
        <v>#DIV/0!</v>
      </c>
      <c r="O116" s="224" t="e">
        <v>#DIV/0!</v>
      </c>
      <c r="P116" s="224" t="e">
        <v>#DIV/0!</v>
      </c>
      <c r="Q116" s="224" t="e">
        <v>#DIV/0!</v>
      </c>
      <c r="R116" s="224" t="e">
        <v>#DIV/0!</v>
      </c>
      <c r="S116" s="224" t="e">
        <v>#DIV/0!</v>
      </c>
      <c r="T116" s="224" t="e">
        <v>#DIV/0!</v>
      </c>
      <c r="U116" s="224" t="e">
        <v>#DIV/0!</v>
      </c>
      <c r="V116" s="224" t="e">
        <v>#DIV/0!</v>
      </c>
      <c r="W116" s="224" t="e">
        <v>#DIV/0!</v>
      </c>
      <c r="X116" s="224" t="e">
        <v>#DIV/0!</v>
      </c>
      <c r="Y116" s="224" t="e">
        <v>#DIV/0!</v>
      </c>
      <c r="Z116" s="224" t="e">
        <v>#DIV/0!</v>
      </c>
      <c r="AA116" s="224" t="e">
        <v>#DIV/0!</v>
      </c>
      <c r="AB116" s="224" t="e">
        <v>#DIV/0!</v>
      </c>
      <c r="AC116" s="224" t="e">
        <v>#DIV/0!</v>
      </c>
      <c r="AD116" s="1120" t="e">
        <v>#DIV/0!</v>
      </c>
      <c r="AE116" s="224" t="e">
        <v>#DIV/0!</v>
      </c>
      <c r="AF116" s="224" t="e">
        <v>#DIV/0!</v>
      </c>
      <c r="AG116" s="224" t="e">
        <v>#DIV/0!</v>
      </c>
      <c r="AH116" s="224" t="e">
        <v>#DIV/0!</v>
      </c>
      <c r="AI116" s="224" t="e">
        <v>#DIV/0!</v>
      </c>
      <c r="AJ116" s="224" t="e">
        <v>#DIV/0!</v>
      </c>
      <c r="AK116" s="224" t="e">
        <v>#DIV/0!</v>
      </c>
      <c r="AL116" s="224" t="e">
        <v>#DIV/0!</v>
      </c>
      <c r="AM116" s="224" t="e">
        <v>#DIV/0!</v>
      </c>
      <c r="AN116" s="1120" t="e">
        <v>#DIV/0!</v>
      </c>
      <c r="AO116" s="224" t="e">
        <f t="shared" si="5"/>
        <v>#DIV/0!</v>
      </c>
      <c r="AP116" s="1123">
        <v>0.1</v>
      </c>
      <c r="AQ116" s="1123">
        <f t="shared" si="7"/>
        <v>7.5064323963351956E-2</v>
      </c>
      <c r="AR116" s="1123">
        <v>20</v>
      </c>
      <c r="AS116" s="1123" t="e">
        <f t="shared" si="8"/>
        <v>#DIV/0!</v>
      </c>
      <c r="AT116" s="224" t="e">
        <f t="shared" si="6"/>
        <v>#DIV/0!</v>
      </c>
    </row>
    <row r="117" spans="1:46">
      <c r="A117" s="1118">
        <v>2025</v>
      </c>
      <c r="D117" s="1107" t="s">
        <v>531</v>
      </c>
      <c r="E117" s="224" t="s">
        <v>2062</v>
      </c>
      <c r="G117" s="224" t="e">
        <v>#DIV/0!</v>
      </c>
      <c r="H117" s="224" t="e">
        <v>#DIV/0!</v>
      </c>
      <c r="I117" s="224" t="e">
        <v>#DIV/0!</v>
      </c>
      <c r="J117" s="224" t="e">
        <v>#DIV/0!</v>
      </c>
      <c r="K117" s="224" t="e">
        <v>#DIV/0!</v>
      </c>
      <c r="L117" s="224" t="e">
        <v>#DIV/0!</v>
      </c>
      <c r="M117" s="224" t="e">
        <v>#DIV/0!</v>
      </c>
      <c r="N117" s="224" t="e">
        <v>#DIV/0!</v>
      </c>
      <c r="O117" s="224" t="e">
        <v>#DIV/0!</v>
      </c>
      <c r="P117" s="224" t="e">
        <v>#DIV/0!</v>
      </c>
      <c r="Q117" s="224" t="e">
        <v>#DIV/0!</v>
      </c>
      <c r="R117" s="224" t="e">
        <v>#DIV/0!</v>
      </c>
      <c r="S117" s="224" t="e">
        <v>#DIV/0!</v>
      </c>
      <c r="T117" s="224" t="e">
        <v>#DIV/0!</v>
      </c>
      <c r="U117" s="224" t="e">
        <v>#DIV/0!</v>
      </c>
      <c r="V117" s="224" t="e">
        <v>#DIV/0!</v>
      </c>
      <c r="W117" s="224" t="e">
        <v>#DIV/0!</v>
      </c>
      <c r="X117" s="224" t="e">
        <v>#DIV/0!</v>
      </c>
      <c r="Y117" s="224" t="e">
        <v>#DIV/0!</v>
      </c>
      <c r="Z117" s="224" t="e">
        <v>#DIV/0!</v>
      </c>
      <c r="AA117" s="224" t="e">
        <v>#DIV/0!</v>
      </c>
      <c r="AB117" s="224" t="e">
        <v>#DIV/0!</v>
      </c>
      <c r="AC117" s="224" t="e">
        <v>#DIV/0!</v>
      </c>
      <c r="AD117" s="1120" t="e">
        <v>#DIV/0!</v>
      </c>
      <c r="AE117" s="224" t="e">
        <v>#DIV/0!</v>
      </c>
      <c r="AF117" s="224" t="e">
        <v>#DIV/0!</v>
      </c>
      <c r="AG117" s="224" t="e">
        <v>#DIV/0!</v>
      </c>
      <c r="AH117" s="224" t="e">
        <v>#DIV/0!</v>
      </c>
      <c r="AI117" s="224" t="e">
        <v>#DIV/0!</v>
      </c>
      <c r="AJ117" s="224" t="e">
        <v>#DIV/0!</v>
      </c>
      <c r="AK117" s="224" t="e">
        <v>#DIV/0!</v>
      </c>
      <c r="AL117" s="224" t="e">
        <v>#DIV/0!</v>
      </c>
      <c r="AM117" s="224" t="e">
        <v>#DIV/0!</v>
      </c>
      <c r="AN117" s="1120" t="e">
        <v>#DIV/0!</v>
      </c>
      <c r="AO117" s="224" t="e">
        <f t="shared" si="5"/>
        <v>#DIV/0!</v>
      </c>
      <c r="AP117" s="1123">
        <v>0.1</v>
      </c>
      <c r="AQ117" s="1123">
        <f t="shared" si="7"/>
        <v>7.5064323963351956E-2</v>
      </c>
      <c r="AR117" s="1123">
        <v>20</v>
      </c>
      <c r="AS117" s="1123" t="e">
        <f t="shared" si="8"/>
        <v>#DIV/0!</v>
      </c>
      <c r="AT117" s="224" t="e">
        <f t="shared" si="6"/>
        <v>#DIV/0!</v>
      </c>
    </row>
    <row r="118" spans="1:46">
      <c r="A118" s="1118">
        <v>2030</v>
      </c>
      <c r="D118" s="1107" t="s">
        <v>531</v>
      </c>
      <c r="E118" s="224" t="s">
        <v>2062</v>
      </c>
      <c r="G118" s="224">
        <v>17075.416404132378</v>
      </c>
      <c r="H118" s="224">
        <v>9627</v>
      </c>
      <c r="I118" s="224">
        <v>6.7240800000000007</v>
      </c>
      <c r="J118" s="224">
        <v>5.8786719646386099E-2</v>
      </c>
      <c r="K118" s="224">
        <v>6.0255813726998383E-2</v>
      </c>
      <c r="L118" s="224">
        <v>7.3342969598852462E-2</v>
      </c>
      <c r="M118" s="224">
        <v>0</v>
      </c>
      <c r="N118" s="224">
        <v>0</v>
      </c>
      <c r="O118" s="224">
        <v>0</v>
      </c>
      <c r="P118" s="224">
        <v>0</v>
      </c>
      <c r="Q118" s="224">
        <v>0</v>
      </c>
      <c r="R118" s="224">
        <v>0</v>
      </c>
      <c r="S118" s="224">
        <v>0</v>
      </c>
      <c r="T118" s="224">
        <v>0</v>
      </c>
      <c r="U118" s="224">
        <v>0</v>
      </c>
      <c r="V118" s="224">
        <v>0</v>
      </c>
      <c r="W118" s="224">
        <v>242.17620160000001</v>
      </c>
      <c r="X118" s="224">
        <v>127.071943231441</v>
      </c>
      <c r="Y118" s="224">
        <v>6.7240800000000007</v>
      </c>
      <c r="Z118" s="224">
        <v>156.94457464999999</v>
      </c>
      <c r="AA118" s="224">
        <v>8.8180079469579145</v>
      </c>
      <c r="AB118" s="224">
        <v>9.0383720590497578</v>
      </c>
      <c r="AC118" s="224">
        <v>11.001445439827869</v>
      </c>
      <c r="AD118" s="1120">
        <v>5.411192987119863</v>
      </c>
      <c r="AE118" s="224">
        <v>0</v>
      </c>
      <c r="AF118" s="224">
        <v>2359.0083604608003</v>
      </c>
      <c r="AG118" s="224">
        <v>2820.9971397379904</v>
      </c>
      <c r="AH118" s="224">
        <v>0</v>
      </c>
      <c r="AI118" s="224">
        <v>57600</v>
      </c>
      <c r="AJ118" s="224">
        <v>4342.7233634999993</v>
      </c>
      <c r="AK118" s="224">
        <v>5614.4184944067338</v>
      </c>
      <c r="AL118" s="224">
        <v>18582.88</v>
      </c>
      <c r="AM118" s="224">
        <v>5319.12</v>
      </c>
      <c r="AN118" s="1120">
        <v>96639.147358105518</v>
      </c>
      <c r="AO118" s="224">
        <f t="shared" si="5"/>
        <v>0.71297878798291303</v>
      </c>
      <c r="AP118" s="1123">
        <v>0.1</v>
      </c>
      <c r="AQ118" s="1123">
        <f t="shared" si="7"/>
        <v>7.5064323963351956E-2</v>
      </c>
      <c r="AR118" s="1123">
        <v>20</v>
      </c>
      <c r="AS118" s="1123">
        <f t="shared" si="8"/>
        <v>0.41577685143417503</v>
      </c>
      <c r="AT118" s="224">
        <f t="shared" si="6"/>
        <v>7254.152264830941</v>
      </c>
    </row>
    <row r="119" spans="1:46">
      <c r="A119" s="1118">
        <v>2035</v>
      </c>
      <c r="D119" s="1107" t="s">
        <v>531</v>
      </c>
      <c r="E119" s="224" t="s">
        <v>2062</v>
      </c>
      <c r="G119" s="224" t="e">
        <v>#DIV/0!</v>
      </c>
      <c r="H119" s="224" t="e">
        <v>#DIV/0!</v>
      </c>
      <c r="I119" s="224" t="e">
        <v>#DIV/0!</v>
      </c>
      <c r="J119" s="224" t="e">
        <v>#DIV/0!</v>
      </c>
      <c r="K119" s="224" t="e">
        <v>#DIV/0!</v>
      </c>
      <c r="L119" s="224" t="e">
        <v>#DIV/0!</v>
      </c>
      <c r="M119" s="224" t="e">
        <v>#DIV/0!</v>
      </c>
      <c r="N119" s="224" t="e">
        <v>#DIV/0!</v>
      </c>
      <c r="O119" s="224" t="e">
        <v>#DIV/0!</v>
      </c>
      <c r="P119" s="224" t="e">
        <v>#DIV/0!</v>
      </c>
      <c r="Q119" s="224" t="e">
        <v>#DIV/0!</v>
      </c>
      <c r="R119" s="224" t="e">
        <v>#DIV/0!</v>
      </c>
      <c r="S119" s="224" t="e">
        <v>#DIV/0!</v>
      </c>
      <c r="T119" s="224" t="e">
        <v>#DIV/0!</v>
      </c>
      <c r="U119" s="224" t="e">
        <v>#DIV/0!</v>
      </c>
      <c r="V119" s="224" t="e">
        <v>#DIV/0!</v>
      </c>
      <c r="W119" s="224" t="e">
        <v>#DIV/0!</v>
      </c>
      <c r="X119" s="224" t="e">
        <v>#DIV/0!</v>
      </c>
      <c r="Y119" s="224" t="e">
        <v>#DIV/0!</v>
      </c>
      <c r="Z119" s="224" t="e">
        <v>#DIV/0!</v>
      </c>
      <c r="AA119" s="224" t="e">
        <v>#DIV/0!</v>
      </c>
      <c r="AB119" s="224" t="e">
        <v>#DIV/0!</v>
      </c>
      <c r="AC119" s="224" t="e">
        <v>#DIV/0!</v>
      </c>
      <c r="AD119" s="1120" t="e">
        <v>#DIV/0!</v>
      </c>
      <c r="AE119" s="224" t="e">
        <v>#DIV/0!</v>
      </c>
      <c r="AF119" s="224" t="e">
        <v>#DIV/0!</v>
      </c>
      <c r="AG119" s="224" t="e">
        <v>#DIV/0!</v>
      </c>
      <c r="AH119" s="224" t="e">
        <v>#DIV/0!</v>
      </c>
      <c r="AI119" s="224" t="e">
        <v>#DIV/0!</v>
      </c>
      <c r="AJ119" s="224" t="e">
        <v>#DIV/0!</v>
      </c>
      <c r="AK119" s="224" t="e">
        <v>#DIV/0!</v>
      </c>
      <c r="AL119" s="224" t="e">
        <v>#DIV/0!</v>
      </c>
      <c r="AM119" s="224" t="e">
        <v>#DIV/0!</v>
      </c>
      <c r="AN119" s="1120" t="e">
        <v>#DIV/0!</v>
      </c>
      <c r="AO119" s="224" t="e">
        <f t="shared" si="5"/>
        <v>#DIV/0!</v>
      </c>
      <c r="AP119" s="1123">
        <v>0.1</v>
      </c>
      <c r="AQ119" s="1123">
        <f t="shared" si="7"/>
        <v>7.5064323963351956E-2</v>
      </c>
      <c r="AR119" s="1123">
        <v>20</v>
      </c>
      <c r="AS119" s="1123" t="e">
        <f t="shared" si="8"/>
        <v>#DIV/0!</v>
      </c>
      <c r="AT119" s="224" t="e">
        <f t="shared" si="6"/>
        <v>#DIV/0!</v>
      </c>
    </row>
    <row r="120" spans="1:46">
      <c r="A120" s="1118">
        <v>2050</v>
      </c>
      <c r="D120" s="1107" t="s">
        <v>531</v>
      </c>
      <c r="E120" s="224" t="s">
        <v>2062</v>
      </c>
      <c r="G120" s="224">
        <v>16371.348471566882</v>
      </c>
      <c r="H120" s="224">
        <v>9852</v>
      </c>
      <c r="I120" s="224">
        <v>6.5102400000000005</v>
      </c>
      <c r="J120" s="224">
        <v>4.9171183458573686E-2</v>
      </c>
      <c r="K120" s="224">
        <v>5.1320288613999662E-2</v>
      </c>
      <c r="L120" s="224">
        <v>6.2356861721108402E-2</v>
      </c>
      <c r="M120" s="224">
        <v>0</v>
      </c>
      <c r="N120" s="224">
        <v>0</v>
      </c>
      <c r="O120" s="224">
        <v>0</v>
      </c>
      <c r="P120" s="224">
        <v>0</v>
      </c>
      <c r="Q120" s="224">
        <v>0</v>
      </c>
      <c r="R120" s="224">
        <v>0</v>
      </c>
      <c r="S120" s="224">
        <v>0</v>
      </c>
      <c r="T120" s="224">
        <v>0</v>
      </c>
      <c r="U120" s="224">
        <v>0</v>
      </c>
      <c r="V120" s="224">
        <v>0</v>
      </c>
      <c r="W120" s="224">
        <v>230.82226935</v>
      </c>
      <c r="X120" s="224">
        <v>123.03078602620083</v>
      </c>
      <c r="Y120" s="224">
        <v>6.5102400000000005</v>
      </c>
      <c r="Z120" s="224">
        <v>149.37315104999999</v>
      </c>
      <c r="AA120" s="224">
        <v>7.3756775187860528</v>
      </c>
      <c r="AB120" s="224">
        <v>7.6980432920999498</v>
      </c>
      <c r="AC120" s="224">
        <v>9.3535292581662599</v>
      </c>
      <c r="AD120" s="1120">
        <v>4.3992666456769669</v>
      </c>
      <c r="AE120" s="224">
        <v>0</v>
      </c>
      <c r="AF120" s="224">
        <v>1140.3468928799998</v>
      </c>
      <c r="AG120" s="224">
        <v>1919.280262008733</v>
      </c>
      <c r="AH120" s="224">
        <v>0</v>
      </c>
      <c r="AI120" s="224">
        <v>57600</v>
      </c>
      <c r="AJ120" s="224">
        <v>8066.4150890400015</v>
      </c>
      <c r="AK120" s="224">
        <v>6393.2965024452897</v>
      </c>
      <c r="AL120" s="224">
        <v>10755</v>
      </c>
      <c r="AM120" s="224">
        <v>3244.6041599999999</v>
      </c>
      <c r="AN120" s="1120">
        <v>89118.94290637401</v>
      </c>
      <c r="AO120" s="224">
        <f t="shared" si="5"/>
        <v>0.57964737323439708</v>
      </c>
      <c r="AP120" s="1123">
        <v>0.1</v>
      </c>
      <c r="AQ120" s="1123">
        <f>AA120*$C$4*365/1000*0.1</f>
        <v>3.5471403350446636E-2</v>
      </c>
      <c r="AR120" s="1123">
        <v>20</v>
      </c>
      <c r="AS120" s="1123">
        <f t="shared" si="8"/>
        <v>0.33802402518497299</v>
      </c>
      <c r="AT120" s="224">
        <f t="shared" si="6"/>
        <v>3161.1739699974173</v>
      </c>
    </row>
    <row r="121" spans="1:46">
      <c r="A121" s="1118">
        <v>2017</v>
      </c>
      <c r="B121" s="1119"/>
      <c r="C121" s="1119"/>
      <c r="D121" s="1119" t="s">
        <v>2004</v>
      </c>
      <c r="E121" s="1119" t="s">
        <v>2057</v>
      </c>
      <c r="F121" s="1119"/>
      <c r="G121" s="224">
        <v>8126.318466190125</v>
      </c>
      <c r="H121" s="224">
        <v>3423.6666666666665</v>
      </c>
      <c r="I121" s="224">
        <v>3.1680000000000006</v>
      </c>
      <c r="J121" s="224">
        <v>9.3742814197221844E-2</v>
      </c>
      <c r="K121" s="224">
        <v>8.1886786104516829E-2</v>
      </c>
      <c r="L121" s="224">
        <v>0.10184108214187677</v>
      </c>
      <c r="M121" s="224">
        <v>0</v>
      </c>
      <c r="N121" s="224">
        <v>0</v>
      </c>
      <c r="O121" s="224">
        <v>0</v>
      </c>
      <c r="P121" s="224">
        <v>0</v>
      </c>
      <c r="Q121" s="224">
        <v>0</v>
      </c>
      <c r="R121" s="224">
        <v>0</v>
      </c>
      <c r="S121" s="224">
        <v>0</v>
      </c>
      <c r="T121" s="224">
        <v>0</v>
      </c>
      <c r="U121" s="224">
        <v>0</v>
      </c>
      <c r="V121" s="224">
        <v>171.46471469999997</v>
      </c>
      <c r="W121" s="224">
        <v>0</v>
      </c>
      <c r="X121" s="224">
        <v>4.3509999999999991</v>
      </c>
      <c r="Y121" s="224">
        <v>3.1680000000000006</v>
      </c>
      <c r="Z121" s="224">
        <v>0</v>
      </c>
      <c r="AA121" s="224">
        <v>14.061422129583276</v>
      </c>
      <c r="AB121" s="224">
        <v>12.283017915677524</v>
      </c>
      <c r="AC121" s="224">
        <v>15.276162321281518</v>
      </c>
      <c r="AD121" s="1120">
        <v>26.497357103453727</v>
      </c>
      <c r="AE121" s="224">
        <v>15836.106940918857</v>
      </c>
      <c r="AF121" s="224">
        <v>0</v>
      </c>
      <c r="AG121" s="224">
        <v>261.60000000000002</v>
      </c>
      <c r="AH121" s="224">
        <v>5812.4704046834486</v>
      </c>
      <c r="AI121" s="224">
        <v>33600</v>
      </c>
      <c r="AJ121" s="224">
        <v>0</v>
      </c>
      <c r="AK121" s="224">
        <v>745.98720000000003</v>
      </c>
      <c r="AL121" s="224">
        <v>0</v>
      </c>
      <c r="AM121" s="224">
        <v>436.00000000000006</v>
      </c>
      <c r="AN121" s="1120">
        <v>56692.164545602318</v>
      </c>
      <c r="AO121" s="224">
        <f t="shared" si="5"/>
        <v>3.4912917719510626</v>
      </c>
      <c r="AP121" s="1123">
        <v>0.1</v>
      </c>
      <c r="AQ121" s="1123">
        <f t="shared" si="7"/>
        <v>3.5471403350446636E-2</v>
      </c>
      <c r="AR121" s="1123">
        <v>20</v>
      </c>
      <c r="AS121" s="1123">
        <f>AO121/$AO$121</f>
        <v>1</v>
      </c>
      <c r="AT121" s="224">
        <f t="shared" si="6"/>
        <v>2010.9506354069499</v>
      </c>
    </row>
    <row r="122" spans="1:46">
      <c r="A122" s="1121">
        <v>2020</v>
      </c>
      <c r="B122" s="1107"/>
      <c r="C122" s="1107"/>
      <c r="D122" s="1107" t="s">
        <v>2004</v>
      </c>
      <c r="E122" s="1107" t="s">
        <v>2057</v>
      </c>
      <c r="F122" s="1107"/>
      <c r="G122" s="224">
        <v>8013.6269139799015</v>
      </c>
      <c r="H122" s="224">
        <v>3507.4902666666662</v>
      </c>
      <c r="I122" s="224">
        <v>3.1680000000000006</v>
      </c>
      <c r="J122" s="224">
        <v>8.9381175739435673E-2</v>
      </c>
      <c r="K122" s="224">
        <v>7.5677047963316604E-2</v>
      </c>
      <c r="L122" s="224">
        <v>9.3043623251365615E-2</v>
      </c>
      <c r="M122" s="224">
        <v>0</v>
      </c>
      <c r="N122" s="224">
        <v>0</v>
      </c>
      <c r="O122" s="224">
        <v>0</v>
      </c>
      <c r="P122" s="224">
        <v>0</v>
      </c>
      <c r="Q122" s="224">
        <v>0</v>
      </c>
      <c r="R122" s="224">
        <v>0</v>
      </c>
      <c r="S122" s="224">
        <v>0</v>
      </c>
      <c r="T122" s="224">
        <v>0</v>
      </c>
      <c r="U122" s="224">
        <v>0</v>
      </c>
      <c r="V122" s="224">
        <v>169.35779890000001</v>
      </c>
      <c r="W122" s="224">
        <v>0</v>
      </c>
      <c r="X122" s="224">
        <v>4.2881538461538478</v>
      </c>
      <c r="Y122" s="224">
        <v>3.1680000000000006</v>
      </c>
      <c r="Z122" s="224">
        <v>0</v>
      </c>
      <c r="AA122" s="224">
        <v>13.407176360915351</v>
      </c>
      <c r="AB122" s="224">
        <v>11.351557194497493</v>
      </c>
      <c r="AC122" s="224">
        <v>13.956543487704842</v>
      </c>
      <c r="AD122" s="1120">
        <v>23.902582271148258</v>
      </c>
      <c r="AE122" s="224">
        <v>16256.279769333531</v>
      </c>
      <c r="AF122" s="224">
        <v>0</v>
      </c>
      <c r="AG122" s="224">
        <v>261.60000000000002</v>
      </c>
      <c r="AH122" s="224">
        <v>5753.578475459999</v>
      </c>
      <c r="AI122" s="224">
        <v>33600</v>
      </c>
      <c r="AJ122" s="224">
        <v>1510.4126832356826</v>
      </c>
      <c r="AK122" s="224">
        <v>1214.2458237810094</v>
      </c>
      <c r="AL122" s="224">
        <v>0</v>
      </c>
      <c r="AM122" s="224">
        <v>436.00000000000006</v>
      </c>
      <c r="AN122" s="1120">
        <v>59032.116751810216</v>
      </c>
      <c r="AO122" s="224">
        <f t="shared" si="5"/>
        <v>3.1494042400464943</v>
      </c>
      <c r="AP122" s="1123">
        <v>0.1</v>
      </c>
      <c r="AQ122" s="1123">
        <f t="shared" si="7"/>
        <v>3.5471403350446636E-2</v>
      </c>
      <c r="AR122" s="1123">
        <v>20</v>
      </c>
      <c r="AS122" s="1123">
        <f t="shared" ref="AS122:AS156" si="10">AO122/$AO$121</f>
        <v>0.90207420226195856</v>
      </c>
      <c r="AT122" s="224">
        <f t="shared" si="6"/>
        <v>2093.9520239341177</v>
      </c>
    </row>
    <row r="123" spans="1:46">
      <c r="A123" s="1118">
        <v>2025</v>
      </c>
      <c r="B123" s="1119"/>
      <c r="C123" s="1119"/>
      <c r="D123" s="1107" t="s">
        <v>2004</v>
      </c>
      <c r="E123" s="1119" t="s">
        <v>2057</v>
      </c>
      <c r="F123" s="1119"/>
      <c r="G123" s="224">
        <v>7992.698734984825</v>
      </c>
      <c r="H123" s="224">
        <v>3536.8930166666669</v>
      </c>
      <c r="I123" s="224">
        <v>3.1679999999999997</v>
      </c>
      <c r="J123" s="224">
        <v>7.8911864657545405E-2</v>
      </c>
      <c r="K123" s="224">
        <v>6.258844834328639E-2</v>
      </c>
      <c r="L123" s="224">
        <v>7.6350753696471596E-2</v>
      </c>
      <c r="M123" s="224">
        <v>0</v>
      </c>
      <c r="N123" s="224">
        <v>0</v>
      </c>
      <c r="O123" s="224">
        <v>0</v>
      </c>
      <c r="P123" s="224">
        <v>0</v>
      </c>
      <c r="Q123" s="224">
        <v>0</v>
      </c>
      <c r="R123" s="224">
        <v>0</v>
      </c>
      <c r="S123" s="224">
        <v>0</v>
      </c>
      <c r="T123" s="224">
        <v>0</v>
      </c>
      <c r="U123" s="224">
        <v>0</v>
      </c>
      <c r="V123" s="224">
        <v>162.87437585000001</v>
      </c>
      <c r="W123" s="224">
        <v>0</v>
      </c>
      <c r="X123" s="224">
        <v>4.3422943143812711</v>
      </c>
      <c r="Y123" s="224">
        <v>3.1679999999999997</v>
      </c>
      <c r="Z123" s="224">
        <v>0</v>
      </c>
      <c r="AA123" s="224">
        <v>11.836779698631814</v>
      </c>
      <c r="AB123" s="224">
        <v>9.388267251492957</v>
      </c>
      <c r="AC123" s="224">
        <v>11.45261305447074</v>
      </c>
      <c r="AD123" s="1120">
        <v>20.340035890652047</v>
      </c>
      <c r="AE123" s="224">
        <v>16786.492045399053</v>
      </c>
      <c r="AF123" s="224">
        <v>0</v>
      </c>
      <c r="AG123" s="224">
        <v>211.20000000000002</v>
      </c>
      <c r="AH123" s="224">
        <v>5572.3556228968955</v>
      </c>
      <c r="AI123" s="224">
        <v>33600</v>
      </c>
      <c r="AJ123" s="224">
        <v>1891.4628123673938</v>
      </c>
      <c r="AK123" s="224">
        <v>2829.8971847014668</v>
      </c>
      <c r="AL123" s="224">
        <v>0</v>
      </c>
      <c r="AM123" s="224">
        <v>352.00000000000006</v>
      </c>
      <c r="AN123" s="1120">
        <v>61243.407665364815</v>
      </c>
      <c r="AO123" s="224">
        <f t="shared" si="5"/>
        <v>2.6800031289523134</v>
      </c>
      <c r="AP123" s="1123">
        <v>0.1</v>
      </c>
      <c r="AQ123" s="1123">
        <f t="shared" si="7"/>
        <v>3.5471403350446636E-2</v>
      </c>
      <c r="AR123" s="1123">
        <v>20</v>
      </c>
      <c r="AS123" s="1123">
        <f t="shared" si="10"/>
        <v>0.76762508091800896</v>
      </c>
      <c r="AT123" s="224">
        <f t="shared" si="6"/>
        <v>2172.3896158539906</v>
      </c>
    </row>
    <row r="124" spans="1:46">
      <c r="A124" s="1118">
        <v>2030</v>
      </c>
      <c r="B124" s="1107"/>
      <c r="C124" s="1107"/>
      <c r="D124" s="1107" t="s">
        <v>2004</v>
      </c>
      <c r="E124" s="1107" t="s">
        <v>2057</v>
      </c>
      <c r="F124" s="1107"/>
      <c r="G124" s="224">
        <v>8049.8665066520625</v>
      </c>
      <c r="H124" s="224">
        <v>3571.6254166666663</v>
      </c>
      <c r="I124" s="224">
        <v>3.1679999999999997</v>
      </c>
      <c r="J124" s="224">
        <v>7.504238591431342E-2</v>
      </c>
      <c r="K124" s="224">
        <v>5.8643333708983593E-2</v>
      </c>
      <c r="L124" s="224">
        <v>7.1287512370904707E-2</v>
      </c>
      <c r="M124" s="224">
        <v>0</v>
      </c>
      <c r="N124" s="224">
        <v>0</v>
      </c>
      <c r="O124" s="224">
        <v>0</v>
      </c>
      <c r="P124" s="224">
        <v>0</v>
      </c>
      <c r="Q124" s="224">
        <v>0</v>
      </c>
      <c r="R124" s="224">
        <v>0</v>
      </c>
      <c r="S124" s="224">
        <v>0</v>
      </c>
      <c r="T124" s="224">
        <v>0</v>
      </c>
      <c r="U124" s="224">
        <v>0</v>
      </c>
      <c r="V124" s="224">
        <v>162.8414055333333</v>
      </c>
      <c r="W124" s="224">
        <v>0</v>
      </c>
      <c r="X124" s="224">
        <v>4.3964347826086945</v>
      </c>
      <c r="Y124" s="224">
        <v>3.1679999999999997</v>
      </c>
      <c r="Z124" s="224">
        <v>0</v>
      </c>
      <c r="AA124" s="224">
        <v>11.256357887147013</v>
      </c>
      <c r="AB124" s="224">
        <v>8.79650005634754</v>
      </c>
      <c r="AC124" s="224">
        <v>10.693126855635706</v>
      </c>
      <c r="AD124" s="1120">
        <v>19.03440467307615</v>
      </c>
      <c r="AE124" s="224">
        <v>17111.41528673418</v>
      </c>
      <c r="AF124" s="224">
        <v>0</v>
      </c>
      <c r="AG124" s="224">
        <v>177.6</v>
      </c>
      <c r="AH124" s="224">
        <v>5571.4340457006883</v>
      </c>
      <c r="AI124" s="224">
        <v>33600</v>
      </c>
      <c r="AJ124" s="224">
        <v>2355.5883541473254</v>
      </c>
      <c r="AK124" s="224">
        <v>3508.029060192428</v>
      </c>
      <c r="AL124" s="224">
        <v>0</v>
      </c>
      <c r="AM124" s="224">
        <v>296</v>
      </c>
      <c r="AN124" s="1120">
        <v>62620.066746774617</v>
      </c>
      <c r="AO124" s="224">
        <f t="shared" si="5"/>
        <v>2.5079731597245134</v>
      </c>
      <c r="AP124" s="1123">
        <v>0.1</v>
      </c>
      <c r="AQ124" s="1123">
        <f t="shared" si="7"/>
        <v>3.5471403350446636E-2</v>
      </c>
      <c r="AR124" s="1123">
        <v>20</v>
      </c>
      <c r="AS124" s="1123">
        <f t="shared" si="10"/>
        <v>0.71835106417444039</v>
      </c>
      <c r="AT124" s="224">
        <f t="shared" si="6"/>
        <v>2221.2216454067329</v>
      </c>
    </row>
    <row r="125" spans="1:46">
      <c r="A125" s="1118">
        <v>2035</v>
      </c>
      <c r="B125" s="1119"/>
      <c r="C125" s="1119"/>
      <c r="D125" s="1107" t="s">
        <v>2004</v>
      </c>
      <c r="E125" s="1119" t="s">
        <v>2057</v>
      </c>
      <c r="F125" s="1119"/>
      <c r="G125" s="224">
        <v>8107.3213773054003</v>
      </c>
      <c r="H125" s="224">
        <v>3605.1661333333336</v>
      </c>
      <c r="I125" s="224">
        <v>3.1679999999999997</v>
      </c>
      <c r="J125" s="224">
        <v>7.3053728894190914E-2</v>
      </c>
      <c r="K125" s="224">
        <v>5.6680450942871163E-2</v>
      </c>
      <c r="L125" s="224">
        <v>6.8742202739152686E-2</v>
      </c>
      <c r="M125" s="224">
        <v>0</v>
      </c>
      <c r="N125" s="224">
        <v>0</v>
      </c>
      <c r="O125" s="224">
        <v>0</v>
      </c>
      <c r="P125" s="224">
        <v>0</v>
      </c>
      <c r="Q125" s="224">
        <v>0</v>
      </c>
      <c r="R125" s="224">
        <v>0</v>
      </c>
      <c r="S125" s="224">
        <v>0</v>
      </c>
      <c r="T125" s="224">
        <v>0</v>
      </c>
      <c r="U125" s="224">
        <v>0</v>
      </c>
      <c r="V125" s="224">
        <v>162.30004374999999</v>
      </c>
      <c r="W125" s="224">
        <v>0</v>
      </c>
      <c r="X125" s="224">
        <v>4.3964347826086945</v>
      </c>
      <c r="Y125" s="224">
        <v>3.1679999999999997</v>
      </c>
      <c r="Z125" s="224">
        <v>0</v>
      </c>
      <c r="AA125" s="224">
        <v>10.958059334128636</v>
      </c>
      <c r="AB125" s="224">
        <v>8.5020676414306742</v>
      </c>
      <c r="AC125" s="224">
        <v>10.311330410872904</v>
      </c>
      <c r="AD125" s="1120">
        <v>18.306387904663019</v>
      </c>
      <c r="AE125" s="224">
        <v>17439.532307304344</v>
      </c>
      <c r="AF125" s="224">
        <v>0</v>
      </c>
      <c r="AG125" s="224">
        <v>144</v>
      </c>
      <c r="AH125" s="224">
        <v>5556.3020504741371</v>
      </c>
      <c r="AI125" s="224">
        <v>33600</v>
      </c>
      <c r="AJ125" s="224">
        <v>2891.3252488602134</v>
      </c>
      <c r="AK125" s="224">
        <v>3935.8667708711309</v>
      </c>
      <c r="AL125" s="224">
        <v>0</v>
      </c>
      <c r="AM125" s="224">
        <v>240</v>
      </c>
      <c r="AN125" s="1120">
        <v>63807.026377509821</v>
      </c>
      <c r="AO125" s="224">
        <f t="shared" si="5"/>
        <v>2.4120496703183991</v>
      </c>
      <c r="AP125" s="1123">
        <v>0.1</v>
      </c>
      <c r="AQ125" s="1123">
        <f t="shared" si="7"/>
        <v>3.5471403350446636E-2</v>
      </c>
      <c r="AR125" s="1123">
        <v>20</v>
      </c>
      <c r="AS125" s="1123">
        <f t="shared" si="10"/>
        <v>0.69087599314864967</v>
      </c>
      <c r="AT125" s="224">
        <f t="shared" si="6"/>
        <v>2263.3247692292389</v>
      </c>
    </row>
    <row r="126" spans="1:46">
      <c r="A126" s="1118">
        <v>2050</v>
      </c>
      <c r="B126" s="1107"/>
      <c r="C126" s="1107"/>
      <c r="D126" s="1107" t="s">
        <v>2004</v>
      </c>
      <c r="E126" s="1107" t="s">
        <v>2057</v>
      </c>
      <c r="F126" s="1107"/>
      <c r="G126" s="224">
        <v>8074.6809317777033</v>
      </c>
      <c r="H126" s="224">
        <v>3650.5913833333339</v>
      </c>
      <c r="I126" s="224">
        <v>3.1679999999999997</v>
      </c>
      <c r="J126" s="224">
        <v>6.9391778632702308E-2</v>
      </c>
      <c r="K126" s="224">
        <v>5.3357589732972298E-2</v>
      </c>
      <c r="L126" s="224">
        <v>6.4660175815608845E-2</v>
      </c>
      <c r="M126" s="224">
        <v>0</v>
      </c>
      <c r="N126" s="224">
        <v>0</v>
      </c>
      <c r="O126" s="224">
        <v>0</v>
      </c>
      <c r="P126" s="224">
        <v>0</v>
      </c>
      <c r="Q126" s="224">
        <v>0</v>
      </c>
      <c r="R126" s="224">
        <v>0</v>
      </c>
      <c r="S126" s="224">
        <v>0</v>
      </c>
      <c r="T126" s="224">
        <v>0</v>
      </c>
      <c r="U126" s="224">
        <v>0</v>
      </c>
      <c r="V126" s="224">
        <v>160.57556886666666</v>
      </c>
      <c r="W126" s="224">
        <v>0</v>
      </c>
      <c r="X126" s="224">
        <v>4.3964347826086945</v>
      </c>
      <c r="Y126" s="224">
        <v>3.1679999999999997</v>
      </c>
      <c r="Z126" s="224">
        <v>0</v>
      </c>
      <c r="AA126" s="224">
        <v>10.408766794905345</v>
      </c>
      <c r="AB126" s="224">
        <v>8.0036384599458454</v>
      </c>
      <c r="AC126" s="224">
        <v>9.6990263723413292</v>
      </c>
      <c r="AD126" s="1120">
        <v>17.155048718914212</v>
      </c>
      <c r="AE126" s="224">
        <v>17838.366121622792</v>
      </c>
      <c r="AF126" s="224">
        <v>0</v>
      </c>
      <c r="AG126" s="224">
        <v>144</v>
      </c>
      <c r="AH126" s="224">
        <v>5508.1000042524138</v>
      </c>
      <c r="AI126" s="224">
        <v>33600</v>
      </c>
      <c r="AJ126" s="224">
        <v>3617.2934899153802</v>
      </c>
      <c r="AK126" s="224">
        <v>4842.5801991868502</v>
      </c>
      <c r="AL126" s="224">
        <v>0</v>
      </c>
      <c r="AM126" s="224">
        <v>240</v>
      </c>
      <c r="AN126" s="1120">
        <v>65790.339814977429</v>
      </c>
      <c r="AO126" s="224">
        <f t="shared" si="5"/>
        <v>2.2603492192041363</v>
      </c>
      <c r="AP126" s="1123">
        <v>0.1</v>
      </c>
      <c r="AQ126" s="1123">
        <f t="shared" si="7"/>
        <v>3.5471403350446636E-2</v>
      </c>
      <c r="AR126" s="1123">
        <v>20</v>
      </c>
      <c r="AS126" s="1123">
        <f t="shared" si="10"/>
        <v>0.64742489796003788</v>
      </c>
      <c r="AT126" s="224">
        <f t="shared" si="6"/>
        <v>2333.6756801400129</v>
      </c>
    </row>
    <row r="127" spans="1:46">
      <c r="A127" s="1118">
        <v>2017</v>
      </c>
      <c r="B127" s="1119"/>
      <c r="C127" s="1119"/>
      <c r="D127" s="1107" t="s">
        <v>2004</v>
      </c>
      <c r="E127" s="1119" t="s">
        <v>2058</v>
      </c>
      <c r="F127" s="1119"/>
      <c r="G127" s="224">
        <v>8511.8968082817519</v>
      </c>
      <c r="H127" s="224">
        <v>3840.5</v>
      </c>
      <c r="I127" s="224">
        <v>0.37666506240000003</v>
      </c>
      <c r="J127" s="224">
        <v>9.1101393971552119E-2</v>
      </c>
      <c r="K127" s="224">
        <v>8.2048901242951444E-2</v>
      </c>
      <c r="L127" s="224">
        <v>0.1016608439019627</v>
      </c>
      <c r="M127" s="224">
        <v>0</v>
      </c>
      <c r="N127" s="224">
        <v>0</v>
      </c>
      <c r="O127" s="224">
        <v>0</v>
      </c>
      <c r="P127" s="224">
        <v>0</v>
      </c>
      <c r="Q127" s="224">
        <v>0</v>
      </c>
      <c r="R127" s="224">
        <v>0</v>
      </c>
      <c r="S127" s="224">
        <v>0</v>
      </c>
      <c r="T127" s="224">
        <v>0</v>
      </c>
      <c r="U127" s="224">
        <v>0</v>
      </c>
      <c r="V127" s="224">
        <v>169.71553950000001</v>
      </c>
      <c r="W127" s="224">
        <v>5.6</v>
      </c>
      <c r="X127" s="224">
        <v>8.4</v>
      </c>
      <c r="Y127" s="224">
        <v>0.37666506240000003</v>
      </c>
      <c r="Z127" s="224">
        <v>0</v>
      </c>
      <c r="AA127" s="224">
        <v>13.665209095732816</v>
      </c>
      <c r="AB127" s="224">
        <v>12.307335186442717</v>
      </c>
      <c r="AC127" s="224">
        <v>15.249126585294405</v>
      </c>
      <c r="AD127" s="1120">
        <v>23.285173587757562</v>
      </c>
      <c r="AE127" s="224">
        <v>15673.484209874285</v>
      </c>
      <c r="AF127" s="224">
        <v>1100.19</v>
      </c>
      <c r="AG127" s="224">
        <v>511.19707604210521</v>
      </c>
      <c r="AH127" s="224">
        <v>5763.5779420241379</v>
      </c>
      <c r="AI127" s="224">
        <v>40800</v>
      </c>
      <c r="AJ127" s="224">
        <v>0</v>
      </c>
      <c r="AK127" s="224">
        <v>745.98720000000003</v>
      </c>
      <c r="AL127" s="224">
        <v>0</v>
      </c>
      <c r="AM127" s="224">
        <v>436.00000000000006</v>
      </c>
      <c r="AN127" s="1120">
        <v>65030.436427940542</v>
      </c>
      <c r="AO127" s="224">
        <f t="shared" si="5"/>
        <v>3.0680544719229359</v>
      </c>
      <c r="AP127" s="1123">
        <v>0.1</v>
      </c>
      <c r="AQ127" s="1123">
        <f t="shared" si="7"/>
        <v>3.5471403350446636E-2</v>
      </c>
      <c r="AR127" s="1123">
        <v>20</v>
      </c>
      <c r="AS127" s="1123">
        <f t="shared" si="10"/>
        <v>0.87877343754870252</v>
      </c>
      <c r="AT127" s="224">
        <f t="shared" si="6"/>
        <v>2306.7208405910569</v>
      </c>
    </row>
    <row r="128" spans="1:46">
      <c r="A128" s="1121">
        <v>2020</v>
      </c>
      <c r="D128" s="1107" t="s">
        <v>2004</v>
      </c>
      <c r="E128" s="224" t="s">
        <v>2058</v>
      </c>
      <c r="G128" s="224">
        <v>8282.3532898825288</v>
      </c>
      <c r="H128" s="224">
        <v>3950.4837499999999</v>
      </c>
      <c r="I128" s="224">
        <v>0.32972037120000003</v>
      </c>
      <c r="J128" s="224">
        <v>8.3877057169329777E-2</v>
      </c>
      <c r="K128" s="224">
        <v>7.3891427106439797E-2</v>
      </c>
      <c r="L128" s="224">
        <v>9.1416234068864136E-2</v>
      </c>
      <c r="M128" s="224">
        <v>0</v>
      </c>
      <c r="N128" s="224">
        <v>0</v>
      </c>
      <c r="O128" s="224">
        <v>0</v>
      </c>
      <c r="P128" s="224">
        <v>0</v>
      </c>
      <c r="Q128" s="224">
        <v>0</v>
      </c>
      <c r="R128" s="224">
        <v>0</v>
      </c>
      <c r="S128" s="224">
        <v>0</v>
      </c>
      <c r="T128" s="224">
        <v>0</v>
      </c>
      <c r="U128" s="224">
        <v>0</v>
      </c>
      <c r="V128" s="224">
        <v>165.11378815</v>
      </c>
      <c r="W128" s="224">
        <v>4.9019999999999992</v>
      </c>
      <c r="X128" s="224">
        <v>7.3529999999999998</v>
      </c>
      <c r="Y128" s="224">
        <v>0.32972037120000003</v>
      </c>
      <c r="Z128" s="224">
        <v>0</v>
      </c>
      <c r="AA128" s="224">
        <v>12.581558575399466</v>
      </c>
      <c r="AB128" s="224">
        <v>11.083714065965969</v>
      </c>
      <c r="AC128" s="224">
        <v>13.71243511032962</v>
      </c>
      <c r="AD128" s="1120">
        <v>20.231517586918883</v>
      </c>
      <c r="AE128" s="224">
        <v>15916.530409683673</v>
      </c>
      <c r="AF128" s="224">
        <v>716.91554999999994</v>
      </c>
      <c r="AG128" s="224">
        <v>447.48532979138758</v>
      </c>
      <c r="AH128" s="224">
        <v>5634.951057737585</v>
      </c>
      <c r="AI128" s="224">
        <v>40800</v>
      </c>
      <c r="AJ128" s="224">
        <v>1981.7906762525845</v>
      </c>
      <c r="AK128" s="224">
        <v>1214.2458237810094</v>
      </c>
      <c r="AL128" s="224">
        <v>0</v>
      </c>
      <c r="AM128" s="224">
        <v>436.00000000000006</v>
      </c>
      <c r="AN128" s="1120">
        <v>67147.918847246241</v>
      </c>
      <c r="AO128" s="224">
        <f t="shared" si="5"/>
        <v>2.6657047572524317</v>
      </c>
      <c r="AP128" s="1123">
        <v>0.1</v>
      </c>
      <c r="AQ128" s="1123">
        <f t="shared" si="7"/>
        <v>3.5471403350446636E-2</v>
      </c>
      <c r="AR128" s="1123">
        <v>20</v>
      </c>
      <c r="AS128" s="1123">
        <f t="shared" si="10"/>
        <v>0.76352964214238028</v>
      </c>
      <c r="AT128" s="224">
        <f t="shared" si="6"/>
        <v>2381.830913573729</v>
      </c>
    </row>
    <row r="129" spans="1:46">
      <c r="A129" s="1118">
        <v>2025</v>
      </c>
      <c r="D129" s="1107" t="s">
        <v>2004</v>
      </c>
      <c r="E129" s="224" t="s">
        <v>2058</v>
      </c>
      <c r="G129" s="224">
        <v>8208.7032176910234</v>
      </c>
      <c r="H129" s="224">
        <v>3981.9561999999996</v>
      </c>
      <c r="I129" s="224">
        <v>0.25902581759999999</v>
      </c>
      <c r="J129" s="224">
        <v>7.5309510458857698E-2</v>
      </c>
      <c r="K129" s="224">
        <v>6.1154466161957445E-2</v>
      </c>
      <c r="L129" s="224">
        <v>7.5125469466749556E-2</v>
      </c>
      <c r="M129" s="224">
        <v>0</v>
      </c>
      <c r="N129" s="224">
        <v>0</v>
      </c>
      <c r="O129" s="224">
        <v>0</v>
      </c>
      <c r="P129" s="224">
        <v>0</v>
      </c>
      <c r="Q129" s="224">
        <v>0</v>
      </c>
      <c r="R129" s="224">
        <v>0</v>
      </c>
      <c r="S129" s="224">
        <v>0</v>
      </c>
      <c r="T129" s="224">
        <v>0</v>
      </c>
      <c r="U129" s="224">
        <v>0</v>
      </c>
      <c r="V129" s="224">
        <v>160.334350675</v>
      </c>
      <c r="W129" s="224">
        <v>3.851</v>
      </c>
      <c r="X129" s="224">
        <v>5.6416302377622385</v>
      </c>
      <c r="Y129" s="224">
        <v>0.25902581759999999</v>
      </c>
      <c r="Z129" s="224">
        <v>0</v>
      </c>
      <c r="AA129" s="224">
        <v>11.296426568828654</v>
      </c>
      <c r="AB129" s="224">
        <v>9.1731699242936173</v>
      </c>
      <c r="AC129" s="224">
        <v>11.268820420012435</v>
      </c>
      <c r="AD129" s="1120">
        <v>17.461361033327691</v>
      </c>
      <c r="AE129" s="224">
        <v>16596.791967797166</v>
      </c>
      <c r="AF129" s="224">
        <v>345.77865000000003</v>
      </c>
      <c r="AG129" s="224">
        <v>239.10400698558703</v>
      </c>
      <c r="AH129" s="224">
        <v>5501.3575399018955</v>
      </c>
      <c r="AI129" s="224">
        <v>40800</v>
      </c>
      <c r="AJ129" s="224">
        <v>2363.0182694392256</v>
      </c>
      <c r="AK129" s="224">
        <v>2829.8971847014668</v>
      </c>
      <c r="AL129" s="224">
        <v>0</v>
      </c>
      <c r="AM129" s="224">
        <v>352.00000000000006</v>
      </c>
      <c r="AN129" s="1120">
        <v>69027.947618825347</v>
      </c>
      <c r="AO129" s="224">
        <f t="shared" si="5"/>
        <v>2.3007089297512562</v>
      </c>
      <c r="AP129" s="1123">
        <v>0.1</v>
      </c>
      <c r="AQ129" s="1123">
        <f t="shared" si="7"/>
        <v>3.5471403350446636E-2</v>
      </c>
      <c r="AR129" s="1123">
        <v>20</v>
      </c>
      <c r="AS129" s="1123">
        <f t="shared" si="10"/>
        <v>0.65898500613299793</v>
      </c>
      <c r="AT129" s="224">
        <f t="shared" si="6"/>
        <v>2448.5181724408562</v>
      </c>
    </row>
    <row r="130" spans="1:46">
      <c r="A130" s="1118">
        <v>2030</v>
      </c>
      <c r="D130" s="1107" t="s">
        <v>2004</v>
      </c>
      <c r="E130" s="224" t="s">
        <v>2058</v>
      </c>
      <c r="G130" s="224">
        <v>8131.4691827233955</v>
      </c>
      <c r="H130" s="224">
        <v>4019.5814499999997</v>
      </c>
      <c r="I130" s="224">
        <v>0.21194300160000001</v>
      </c>
      <c r="J130" s="224">
        <v>7.1037106108940998E-2</v>
      </c>
      <c r="K130" s="224">
        <v>5.6725236343352158E-2</v>
      </c>
      <c r="L130" s="224">
        <v>6.9494271795185664E-2</v>
      </c>
      <c r="M130" s="224">
        <v>0</v>
      </c>
      <c r="N130" s="224">
        <v>0</v>
      </c>
      <c r="O130" s="224">
        <v>0</v>
      </c>
      <c r="P130" s="224">
        <v>0</v>
      </c>
      <c r="Q130" s="224">
        <v>0</v>
      </c>
      <c r="R130" s="224">
        <v>0</v>
      </c>
      <c r="S130" s="224">
        <v>0</v>
      </c>
      <c r="T130" s="224">
        <v>0</v>
      </c>
      <c r="U130" s="224">
        <v>0</v>
      </c>
      <c r="V130" s="224">
        <v>159.86322979999997</v>
      </c>
      <c r="W130" s="224">
        <v>3.1510000000000002</v>
      </c>
      <c r="X130" s="224">
        <v>4.2354221857269367</v>
      </c>
      <c r="Y130" s="224">
        <v>0.21194300160000001</v>
      </c>
      <c r="Z130" s="224">
        <v>0</v>
      </c>
      <c r="AA130" s="224">
        <v>10.65556591634115</v>
      </c>
      <c r="AB130" s="224">
        <v>8.5087854515028223</v>
      </c>
      <c r="AC130" s="224">
        <v>10.424140769277848</v>
      </c>
      <c r="AD130" s="1120">
        <v>16.150669539587692</v>
      </c>
      <c r="AE130" s="224">
        <v>16930.996149864746</v>
      </c>
      <c r="AF130" s="224">
        <v>224.30287800000002</v>
      </c>
      <c r="AG130" s="224">
        <v>125.09563236610866</v>
      </c>
      <c r="AH130" s="224">
        <v>5488.1888991682745</v>
      </c>
      <c r="AI130" s="224">
        <v>40800</v>
      </c>
      <c r="AJ130" s="224">
        <v>2851.055440532888</v>
      </c>
      <c r="AK130" s="224">
        <v>3508.029060192428</v>
      </c>
      <c r="AL130" s="224">
        <v>0</v>
      </c>
      <c r="AM130" s="224">
        <v>296</v>
      </c>
      <c r="AN130" s="1120">
        <v>70223.66806012443</v>
      </c>
      <c r="AO130" s="224">
        <f t="shared" si="5"/>
        <v>2.1280122185360741</v>
      </c>
      <c r="AP130" s="1123">
        <v>0.1</v>
      </c>
      <c r="AQ130" s="1123">
        <f t="shared" si="7"/>
        <v>3.5471403350446636E-2</v>
      </c>
      <c r="AR130" s="1123">
        <v>20</v>
      </c>
      <c r="AS130" s="1123">
        <f t="shared" si="10"/>
        <v>0.60952001652582088</v>
      </c>
      <c r="AT130" s="224">
        <f t="shared" si="6"/>
        <v>2490.9320545085502</v>
      </c>
    </row>
    <row r="131" spans="1:46">
      <c r="A131" s="1118">
        <v>2035</v>
      </c>
      <c r="D131" s="1107" t="s">
        <v>2004</v>
      </c>
      <c r="E131" s="224" t="s">
        <v>2058</v>
      </c>
      <c r="G131" s="224">
        <v>8057.7439217320371</v>
      </c>
      <c r="H131" s="224">
        <v>4055.8958750000002</v>
      </c>
      <c r="I131" s="224">
        <v>0.18833379840000003</v>
      </c>
      <c r="J131" s="224">
        <v>6.8725537566871303E-2</v>
      </c>
      <c r="K131" s="224">
        <v>5.4518469504022782E-2</v>
      </c>
      <c r="L131" s="224">
        <v>6.6682404926218519E-2</v>
      </c>
      <c r="M131" s="224">
        <v>0</v>
      </c>
      <c r="N131" s="224">
        <v>0</v>
      </c>
      <c r="O131" s="224">
        <v>0</v>
      </c>
      <c r="P131" s="224">
        <v>0</v>
      </c>
      <c r="Q131" s="224">
        <v>0</v>
      </c>
      <c r="R131" s="224">
        <v>0</v>
      </c>
      <c r="S131" s="224">
        <v>0</v>
      </c>
      <c r="T131" s="224">
        <v>0</v>
      </c>
      <c r="U131" s="224">
        <v>0</v>
      </c>
      <c r="V131" s="224">
        <v>159.36753347499999</v>
      </c>
      <c r="W131" s="224">
        <v>2.8000000000000003</v>
      </c>
      <c r="X131" s="224">
        <v>3.4618597729257634</v>
      </c>
      <c r="Y131" s="224">
        <v>0.18833379840000003</v>
      </c>
      <c r="Z131" s="224">
        <v>0</v>
      </c>
      <c r="AA131" s="224">
        <v>10.308830635030693</v>
      </c>
      <c r="AB131" s="224">
        <v>8.177770425603418</v>
      </c>
      <c r="AC131" s="224">
        <v>10.002360738932779</v>
      </c>
      <c r="AD131" s="1120">
        <v>15.45014352582978</v>
      </c>
      <c r="AE131" s="224">
        <v>17292.520007703151</v>
      </c>
      <c r="AF131" s="224">
        <v>168.62592000000001</v>
      </c>
      <c r="AG131" s="224">
        <v>70.043851179039279</v>
      </c>
      <c r="AH131" s="224">
        <v>5474.3333322356893</v>
      </c>
      <c r="AI131" s="224">
        <v>40800</v>
      </c>
      <c r="AJ131" s="224">
        <v>3431.2796019510192</v>
      </c>
      <c r="AK131" s="224">
        <v>3935.8667708711309</v>
      </c>
      <c r="AL131" s="224">
        <v>0</v>
      </c>
      <c r="AM131" s="224">
        <v>240</v>
      </c>
      <c r="AN131" s="1120">
        <v>71412.66948394003</v>
      </c>
      <c r="AO131" s="224">
        <f t="shared" si="5"/>
        <v>2.0357109109633318</v>
      </c>
      <c r="AP131" s="1123">
        <v>0.1</v>
      </c>
      <c r="AQ131" s="1123">
        <f t="shared" si="7"/>
        <v>3.5471403350446636E-2</v>
      </c>
      <c r="AR131" s="1123">
        <v>20</v>
      </c>
      <c r="AS131" s="1123">
        <f t="shared" si="10"/>
        <v>0.58308243593909126</v>
      </c>
      <c r="AT131" s="224">
        <f t="shared" si="6"/>
        <v>2533.1076035969686</v>
      </c>
    </row>
    <row r="132" spans="1:46">
      <c r="A132" s="1118">
        <v>2050</v>
      </c>
      <c r="D132" s="1107" t="s">
        <v>2004</v>
      </c>
      <c r="E132" s="224" t="s">
        <v>2058</v>
      </c>
      <c r="G132" s="224">
        <v>7954.4117696296144</v>
      </c>
      <c r="H132" s="224">
        <v>4104.9930750000003</v>
      </c>
      <c r="I132" s="224">
        <v>0.1412509824</v>
      </c>
      <c r="J132" s="224">
        <v>6.5341037886137335E-2</v>
      </c>
      <c r="K132" s="224">
        <v>5.1154827792352559E-2</v>
      </c>
      <c r="L132" s="224">
        <v>6.2507944940178348E-2</v>
      </c>
      <c r="M132" s="224">
        <v>0</v>
      </c>
      <c r="N132" s="224">
        <v>0</v>
      </c>
      <c r="O132" s="224">
        <v>0</v>
      </c>
      <c r="P132" s="224">
        <v>0</v>
      </c>
      <c r="Q132" s="224">
        <v>0</v>
      </c>
      <c r="R132" s="224">
        <v>0</v>
      </c>
      <c r="S132" s="224">
        <v>0</v>
      </c>
      <c r="T132" s="224">
        <v>0</v>
      </c>
      <c r="U132" s="224">
        <v>0</v>
      </c>
      <c r="V132" s="224">
        <v>156.80546079999999</v>
      </c>
      <c r="W132" s="224">
        <v>2.1</v>
      </c>
      <c r="X132" s="224">
        <v>2.5963948296943227</v>
      </c>
      <c r="Y132" s="224">
        <v>0.1412509824</v>
      </c>
      <c r="Z132" s="224">
        <v>0</v>
      </c>
      <c r="AA132" s="224">
        <v>9.8011556829205997</v>
      </c>
      <c r="AB132" s="224">
        <v>7.6732241688528831</v>
      </c>
      <c r="AC132" s="224">
        <v>9.3761917410267532</v>
      </c>
      <c r="AD132" s="1120">
        <v>14.46478504308411</v>
      </c>
      <c r="AE132" s="224">
        <v>17602.808569574558</v>
      </c>
      <c r="AF132" s="224">
        <v>76.463999999999999</v>
      </c>
      <c r="AG132" s="224">
        <v>50.184060052401726</v>
      </c>
      <c r="AH132" s="224">
        <v>5402.7189836027583</v>
      </c>
      <c r="AI132" s="224">
        <v>40800</v>
      </c>
      <c r="AJ132" s="224">
        <v>4216.1246270287984</v>
      </c>
      <c r="AK132" s="224">
        <v>4842.5801991868502</v>
      </c>
      <c r="AL132" s="224">
        <v>0</v>
      </c>
      <c r="AM132" s="224">
        <v>240</v>
      </c>
      <c r="AN132" s="1120">
        <v>73230.880439445376</v>
      </c>
      <c r="AO132" s="224">
        <f t="shared" si="5"/>
        <v>1.9058800772767621</v>
      </c>
      <c r="AP132" s="1123">
        <v>0.1</v>
      </c>
      <c r="AQ132" s="1123">
        <f t="shared" si="7"/>
        <v>3.5471403350446636E-2</v>
      </c>
      <c r="AR132" s="1123">
        <v>20</v>
      </c>
      <c r="AS132" s="1123">
        <f t="shared" si="10"/>
        <v>0.5458953882309544</v>
      </c>
      <c r="AT132" s="224">
        <f t="shared" si="6"/>
        <v>2597.6020977758999</v>
      </c>
    </row>
    <row r="133" spans="1:46">
      <c r="A133" s="1118">
        <v>2017</v>
      </c>
      <c r="D133" s="1107" t="s">
        <v>2004</v>
      </c>
      <c r="E133" s="224" t="s">
        <v>2059</v>
      </c>
      <c r="G133" s="224">
        <v>8883.9599902395639</v>
      </c>
      <c r="H133" s="224">
        <v>3840.5</v>
      </c>
      <c r="I133" s="224">
        <v>4.7916000000000007</v>
      </c>
      <c r="J133" s="224">
        <v>7.7403173228406327E-2</v>
      </c>
      <c r="K133" s="224">
        <v>8.6402141538296839E-2</v>
      </c>
      <c r="L133" s="224">
        <v>0.10688099421831837</v>
      </c>
      <c r="M133" s="224">
        <v>0</v>
      </c>
      <c r="N133" s="224">
        <v>0</v>
      </c>
      <c r="O133" s="224">
        <v>0</v>
      </c>
      <c r="P133" s="224">
        <v>0</v>
      </c>
      <c r="Q133" s="224">
        <v>0</v>
      </c>
      <c r="R133" s="224">
        <v>0</v>
      </c>
      <c r="S133" s="224">
        <v>0</v>
      </c>
      <c r="T133" s="224">
        <v>0</v>
      </c>
      <c r="U133" s="224">
        <v>0</v>
      </c>
      <c r="V133" s="224">
        <v>173.34234975000001</v>
      </c>
      <c r="W133" s="224">
        <v>114.2786736</v>
      </c>
      <c r="X133" s="224">
        <v>149.15131578947364</v>
      </c>
      <c r="Y133" s="224">
        <v>4.7916000000000007</v>
      </c>
      <c r="Z133" s="224">
        <v>0</v>
      </c>
      <c r="AA133" s="224">
        <v>11.610475984260949</v>
      </c>
      <c r="AB133" s="224">
        <v>12.960321230744526</v>
      </c>
      <c r="AC133" s="224">
        <v>16.032149132747755</v>
      </c>
      <c r="AD133" s="1120">
        <v>21.689622626504793</v>
      </c>
      <c r="AE133" s="224">
        <v>16019.419254194287</v>
      </c>
      <c r="AF133" s="224">
        <v>5762.505097440001</v>
      </c>
      <c r="AG133" s="224">
        <v>6502.9973684210527</v>
      </c>
      <c r="AH133" s="224">
        <v>7764.371451110077</v>
      </c>
      <c r="AI133" s="224">
        <v>40800</v>
      </c>
      <c r="AJ133" s="224">
        <v>0</v>
      </c>
      <c r="AK133" s="224">
        <v>745.98720000000003</v>
      </c>
      <c r="AL133" s="224">
        <v>0</v>
      </c>
      <c r="AM133" s="224">
        <v>436.00000000000006</v>
      </c>
      <c r="AN133" s="1120">
        <v>78031.280371165427</v>
      </c>
      <c r="AO133" s="224">
        <f t="shared" si="5"/>
        <v>2.8578246772682712</v>
      </c>
      <c r="AP133" s="1123">
        <v>0.1</v>
      </c>
      <c r="AQ133" s="1123">
        <f t="shared" si="7"/>
        <v>3.5471403350446636E-2</v>
      </c>
      <c r="AR133" s="1123">
        <v>20</v>
      </c>
      <c r="AS133" s="1123">
        <f t="shared" si="10"/>
        <v>0.81855796190623542</v>
      </c>
      <c r="AT133" s="224">
        <f t="shared" si="6"/>
        <v>2767.8790199973982</v>
      </c>
    </row>
    <row r="134" spans="1:46">
      <c r="A134" s="1121">
        <v>2020</v>
      </c>
      <c r="D134" s="1107" t="s">
        <v>2004</v>
      </c>
      <c r="E134" s="224" t="s">
        <v>2059</v>
      </c>
      <c r="G134" s="224">
        <v>8639.3085272736189</v>
      </c>
      <c r="H134" s="224">
        <v>3950.4837499999999</v>
      </c>
      <c r="I134" s="224">
        <v>4.7124000000000006</v>
      </c>
      <c r="J134" s="224">
        <v>6.9512705014763171E-2</v>
      </c>
      <c r="K134" s="224">
        <v>7.7462408876326605E-2</v>
      </c>
      <c r="L134" s="224">
        <v>9.636438380256393E-2</v>
      </c>
      <c r="M134" s="224">
        <v>0</v>
      </c>
      <c r="N134" s="224">
        <v>0</v>
      </c>
      <c r="O134" s="224">
        <v>0</v>
      </c>
      <c r="P134" s="224">
        <v>0</v>
      </c>
      <c r="Q134" s="224">
        <v>0</v>
      </c>
      <c r="R134" s="224">
        <v>0</v>
      </c>
      <c r="S134" s="224">
        <v>0</v>
      </c>
      <c r="T134" s="224">
        <v>0</v>
      </c>
      <c r="U134" s="224">
        <v>0</v>
      </c>
      <c r="V134" s="224">
        <v>163.87392734999997</v>
      </c>
      <c r="W134" s="224">
        <v>112.8029995</v>
      </c>
      <c r="X134" s="224">
        <v>146.68600478468898</v>
      </c>
      <c r="Y134" s="224">
        <v>4.7124000000000006</v>
      </c>
      <c r="Z134" s="224">
        <v>0</v>
      </c>
      <c r="AA134" s="224">
        <v>10.426905752214473</v>
      </c>
      <c r="AB134" s="224">
        <v>11.619361331448992</v>
      </c>
      <c r="AC134" s="224">
        <v>14.45465757038459</v>
      </c>
      <c r="AD134" s="1120">
        <v>18.533552212055088</v>
      </c>
      <c r="AE134" s="224">
        <v>15809.571266991104</v>
      </c>
      <c r="AF134" s="224">
        <v>4293.8336834250003</v>
      </c>
      <c r="AG134" s="224">
        <v>6395.5098086124399</v>
      </c>
      <c r="AH134" s="224">
        <v>7475.1856432754685</v>
      </c>
      <c r="AI134" s="224">
        <v>40800</v>
      </c>
      <c r="AJ134" s="224">
        <v>1981.7906762525845</v>
      </c>
      <c r="AK134" s="224">
        <v>1214.2458237810094</v>
      </c>
      <c r="AL134" s="224">
        <v>0</v>
      </c>
      <c r="AM134" s="224">
        <v>436.00000000000006</v>
      </c>
      <c r="AN134" s="1120">
        <v>78406.136902337603</v>
      </c>
      <c r="AO134" s="224">
        <f t="shared" si="5"/>
        <v>2.4419808394603781</v>
      </c>
      <c r="AP134" s="1123">
        <v>0.1</v>
      </c>
      <c r="AQ134" s="1123">
        <f t="shared" si="7"/>
        <v>3.5471403350446636E-2</v>
      </c>
      <c r="AR134" s="1123">
        <v>20</v>
      </c>
      <c r="AS134" s="1123">
        <f t="shared" si="10"/>
        <v>0.69944908617468804</v>
      </c>
      <c r="AT134" s="224">
        <f t="shared" si="6"/>
        <v>2781.1757072131554</v>
      </c>
    </row>
    <row r="135" spans="1:46">
      <c r="A135" s="1118">
        <v>2025</v>
      </c>
      <c r="D135" s="1107" t="s">
        <v>2004</v>
      </c>
      <c r="E135" s="224" t="s">
        <v>2059</v>
      </c>
      <c r="G135" s="224">
        <v>8337.5202652810258</v>
      </c>
      <c r="H135" s="224">
        <v>3981.9561999999996</v>
      </c>
      <c r="I135" s="224">
        <v>4.6213200000000008</v>
      </c>
      <c r="J135" s="224">
        <v>5.8609311401376409E-2</v>
      </c>
      <c r="K135" s="224">
        <v>6.2351437171635431E-2</v>
      </c>
      <c r="L135" s="224">
        <v>7.7993167462590135E-2</v>
      </c>
      <c r="M135" s="224">
        <v>0</v>
      </c>
      <c r="N135" s="224">
        <v>0</v>
      </c>
      <c r="O135" s="224">
        <v>0</v>
      </c>
      <c r="P135" s="224">
        <v>0</v>
      </c>
      <c r="Q135" s="224">
        <v>0</v>
      </c>
      <c r="R135" s="224">
        <v>0</v>
      </c>
      <c r="S135" s="224">
        <v>0</v>
      </c>
      <c r="T135" s="224">
        <v>0</v>
      </c>
      <c r="U135" s="224">
        <v>0</v>
      </c>
      <c r="V135" s="224">
        <v>155.79770332499999</v>
      </c>
      <c r="W135" s="224">
        <v>110.37967212500001</v>
      </c>
      <c r="X135" s="224">
        <v>130.64964114832534</v>
      </c>
      <c r="Y135" s="224">
        <v>4.6213200000000008</v>
      </c>
      <c r="Z135" s="224">
        <v>0</v>
      </c>
      <c r="AA135" s="224">
        <v>8.7913967102064614</v>
      </c>
      <c r="AB135" s="224">
        <v>9.3527155757453144</v>
      </c>
      <c r="AC135" s="224">
        <v>11.698975119388521</v>
      </c>
      <c r="AD135" s="1120">
        <v>15.208044153868011</v>
      </c>
      <c r="AE135" s="224">
        <v>16204.807534137737</v>
      </c>
      <c r="AF135" s="224">
        <v>2076.5743628312503</v>
      </c>
      <c r="AG135" s="224">
        <v>4184.1473684210532</v>
      </c>
      <c r="AH135" s="224">
        <v>7209.1633009934994</v>
      </c>
      <c r="AI135" s="224">
        <v>40800</v>
      </c>
      <c r="AJ135" s="224">
        <v>2363.0182694392256</v>
      </c>
      <c r="AK135" s="224">
        <v>2829.8971847014668</v>
      </c>
      <c r="AL135" s="224">
        <v>0</v>
      </c>
      <c r="AM135" s="224">
        <v>352.00000000000006</v>
      </c>
      <c r="AN135" s="1120">
        <v>76019.608020524232</v>
      </c>
      <c r="AO135" s="224">
        <f t="shared" si="5"/>
        <v>2.003811897713649</v>
      </c>
      <c r="AP135" s="1123">
        <v>0.1</v>
      </c>
      <c r="AQ135" s="1123">
        <f t="shared" si="7"/>
        <v>3.5471403350446636E-2</v>
      </c>
      <c r="AR135" s="1123">
        <v>20</v>
      </c>
      <c r="AS135" s="1123">
        <f t="shared" si="10"/>
        <v>0.57394569935753181</v>
      </c>
      <c r="AT135" s="224">
        <f t="shared" si="6"/>
        <v>2696.5221786388634</v>
      </c>
    </row>
    <row r="136" spans="1:46">
      <c r="A136" s="1118">
        <v>2030</v>
      </c>
      <c r="D136" s="1107" t="s">
        <v>2004</v>
      </c>
      <c r="E136" s="224" t="s">
        <v>2059</v>
      </c>
      <c r="G136" s="224">
        <v>8168.4771848717528</v>
      </c>
      <c r="H136" s="224">
        <v>4019.5814499999997</v>
      </c>
      <c r="I136" s="224">
        <v>4.550040000000001</v>
      </c>
      <c r="J136" s="224">
        <v>5.3789831379861347E-2</v>
      </c>
      <c r="K136" s="224">
        <v>5.6777141700606278E-2</v>
      </c>
      <c r="L136" s="224">
        <v>7.1134620632623879E-2</v>
      </c>
      <c r="M136" s="224">
        <v>0</v>
      </c>
      <c r="N136" s="224">
        <v>0</v>
      </c>
      <c r="O136" s="224">
        <v>0</v>
      </c>
      <c r="P136" s="224">
        <v>0</v>
      </c>
      <c r="Q136" s="224">
        <v>0</v>
      </c>
      <c r="R136" s="224">
        <v>0</v>
      </c>
      <c r="S136" s="224">
        <v>0</v>
      </c>
      <c r="T136" s="224">
        <v>0</v>
      </c>
      <c r="U136" s="224">
        <v>0</v>
      </c>
      <c r="V136" s="224">
        <v>149.43881347500002</v>
      </c>
      <c r="W136" s="224">
        <v>108.54191707500001</v>
      </c>
      <c r="X136" s="224">
        <v>100.8063761565945</v>
      </c>
      <c r="Y136" s="224">
        <v>4.550040000000001</v>
      </c>
      <c r="Z136" s="224">
        <v>0</v>
      </c>
      <c r="AA136" s="224">
        <v>8.0684747069792007</v>
      </c>
      <c r="AB136" s="224">
        <v>8.5165712550909412</v>
      </c>
      <c r="AC136" s="224">
        <v>10.670193094893584</v>
      </c>
      <c r="AD136" s="1120">
        <v>13.686421388967844</v>
      </c>
      <c r="AE136" s="224">
        <v>16006.238656065889</v>
      </c>
      <c r="AF136" s="224">
        <v>1504.3106239468952</v>
      </c>
      <c r="AG136" s="224">
        <v>2579.4896905365376</v>
      </c>
      <c r="AH136" s="224">
        <v>7000.8761668322431</v>
      </c>
      <c r="AI136" s="224">
        <v>40800</v>
      </c>
      <c r="AJ136" s="224">
        <v>2851.055440532888</v>
      </c>
      <c r="AK136" s="224">
        <v>3508.029060192428</v>
      </c>
      <c r="AL136" s="224">
        <v>0</v>
      </c>
      <c r="AM136" s="224">
        <v>296</v>
      </c>
      <c r="AN136" s="1120">
        <v>74545.999638106878</v>
      </c>
      <c r="AO136" s="224">
        <f t="shared" si="5"/>
        <v>1.803322882210403</v>
      </c>
      <c r="AP136" s="1123">
        <v>0.1</v>
      </c>
      <c r="AQ136" s="1123">
        <f t="shared" si="7"/>
        <v>3.5471403350446636E-2</v>
      </c>
      <c r="AR136" s="1123">
        <v>20</v>
      </c>
      <c r="AS136" s="1123">
        <f t="shared" si="10"/>
        <v>0.51652024522792594</v>
      </c>
      <c r="AT136" s="224">
        <f t="shared" si="6"/>
        <v>2644.2512213255382</v>
      </c>
    </row>
    <row r="137" spans="1:46">
      <c r="A137" s="1118">
        <v>2035</v>
      </c>
      <c r="D137" s="1107" t="s">
        <v>2004</v>
      </c>
      <c r="E137" s="224" t="s">
        <v>2059</v>
      </c>
      <c r="G137" s="224">
        <v>8056.6915386154906</v>
      </c>
      <c r="H137" s="224">
        <v>4055.8958750000002</v>
      </c>
      <c r="I137" s="224">
        <v>4.51044</v>
      </c>
      <c r="J137" s="224">
        <v>5.0454922148804301E-2</v>
      </c>
      <c r="K137" s="224">
        <v>5.3379226077392539E-2</v>
      </c>
      <c r="L137" s="224">
        <v>6.7000739414086116E-2</v>
      </c>
      <c r="M137" s="224">
        <v>0</v>
      </c>
      <c r="N137" s="224">
        <v>0</v>
      </c>
      <c r="O137" s="224">
        <v>0</v>
      </c>
      <c r="P137" s="224">
        <v>0</v>
      </c>
      <c r="Q137" s="224">
        <v>0</v>
      </c>
      <c r="R137" s="224">
        <v>0</v>
      </c>
      <c r="S137" s="224">
        <v>0</v>
      </c>
      <c r="T137" s="224">
        <v>0</v>
      </c>
      <c r="U137" s="224">
        <v>0</v>
      </c>
      <c r="V137" s="224">
        <v>136.947208375</v>
      </c>
      <c r="W137" s="224">
        <v>107.78469377499999</v>
      </c>
      <c r="X137" s="224">
        <v>85.238482532751064</v>
      </c>
      <c r="Y137" s="224">
        <v>4.51044</v>
      </c>
      <c r="Z137" s="224">
        <v>0</v>
      </c>
      <c r="AA137" s="224">
        <v>7.5682383223206458</v>
      </c>
      <c r="AB137" s="224">
        <v>8.006883911608881</v>
      </c>
      <c r="AC137" s="224">
        <v>10.050110912112917</v>
      </c>
      <c r="AD137" s="1120">
        <v>12.659036135157805</v>
      </c>
      <c r="AE137" s="224">
        <v>15351.602458180867</v>
      </c>
      <c r="AF137" s="224">
        <v>1219.8626729088001</v>
      </c>
      <c r="AG137" s="224">
        <v>1636.0400436681214</v>
      </c>
      <c r="AH137" s="224">
        <v>6639.12851107592</v>
      </c>
      <c r="AI137" s="224">
        <v>40800</v>
      </c>
      <c r="AJ137" s="224">
        <v>3431.2796019510192</v>
      </c>
      <c r="AK137" s="224">
        <v>3935.8667708711309</v>
      </c>
      <c r="AL137" s="224">
        <v>0</v>
      </c>
      <c r="AM137" s="224">
        <v>240</v>
      </c>
      <c r="AN137" s="1120">
        <v>73253.780058655859</v>
      </c>
      <c r="AO137" s="224">
        <f t="shared" si="5"/>
        <v>1.6679546011683923</v>
      </c>
      <c r="AP137" s="1123">
        <v>0.1</v>
      </c>
      <c r="AQ137" s="1123">
        <f t="shared" si="7"/>
        <v>3.5471403350446636E-2</v>
      </c>
      <c r="AR137" s="1123">
        <v>20</v>
      </c>
      <c r="AS137" s="1123">
        <f t="shared" si="10"/>
        <v>0.47774712344831549</v>
      </c>
      <c r="AT137" s="224">
        <f t="shared" si="6"/>
        <v>2598.4143794054862</v>
      </c>
    </row>
    <row r="138" spans="1:46">
      <c r="A138" s="1118">
        <v>2050</v>
      </c>
      <c r="D138" s="1107" t="s">
        <v>2004</v>
      </c>
      <c r="E138" s="224" t="s">
        <v>2059</v>
      </c>
      <c r="G138" s="224">
        <v>7952.7604660087854</v>
      </c>
      <c r="H138" s="224">
        <v>4104.9930750000003</v>
      </c>
      <c r="I138" s="224">
        <v>4.5025200000000005</v>
      </c>
      <c r="J138" s="224">
        <v>4.7016940308620095E-2</v>
      </c>
      <c r="K138" s="224">
        <v>4.9639372204092584E-2</v>
      </c>
      <c r="L138" s="224">
        <v>6.2247967080612608E-2</v>
      </c>
      <c r="M138" s="224">
        <v>0</v>
      </c>
      <c r="N138" s="224">
        <v>0</v>
      </c>
      <c r="O138" s="224">
        <v>0</v>
      </c>
      <c r="P138" s="224">
        <v>0</v>
      </c>
      <c r="Q138" s="224">
        <v>0</v>
      </c>
      <c r="R138" s="224">
        <v>0</v>
      </c>
      <c r="S138" s="224">
        <v>0</v>
      </c>
      <c r="T138" s="224">
        <v>0</v>
      </c>
      <c r="U138" s="224">
        <v>0</v>
      </c>
      <c r="V138" s="224">
        <v>133.95213972499999</v>
      </c>
      <c r="W138" s="224">
        <v>107.43005837500002</v>
      </c>
      <c r="X138" s="224">
        <v>85.08881004366809</v>
      </c>
      <c r="Y138" s="224">
        <v>4.5025200000000005</v>
      </c>
      <c r="Z138" s="224">
        <v>0</v>
      </c>
      <c r="AA138" s="224">
        <v>7.0525410462930136</v>
      </c>
      <c r="AB138" s="224">
        <v>7.4459058306138877</v>
      </c>
      <c r="AC138" s="224">
        <v>9.337195062091892</v>
      </c>
      <c r="AD138" s="1120">
        <v>11.64275768427796</v>
      </c>
      <c r="AE138" s="224">
        <v>15639.325321467129</v>
      </c>
      <c r="AF138" s="224">
        <v>726.81345026700001</v>
      </c>
      <c r="AG138" s="224">
        <v>1532.4966157205231</v>
      </c>
      <c r="AH138" s="224">
        <v>6549.5168080050462</v>
      </c>
      <c r="AI138" s="224">
        <v>40800</v>
      </c>
      <c r="AJ138" s="224">
        <v>4216.1246270287984</v>
      </c>
      <c r="AK138" s="224">
        <v>4842.5801991868502</v>
      </c>
      <c r="AL138" s="224">
        <v>0</v>
      </c>
      <c r="AM138" s="224">
        <v>240</v>
      </c>
      <c r="AN138" s="1120">
        <v>74546.857021675358</v>
      </c>
      <c r="AO138" s="224">
        <f t="shared" si="5"/>
        <v>1.5340497524804639</v>
      </c>
      <c r="AP138" s="1123">
        <v>0.1</v>
      </c>
      <c r="AQ138" s="1123">
        <f t="shared" si="7"/>
        <v>3.5471403350446636E-2</v>
      </c>
      <c r="AR138" s="1123">
        <v>20</v>
      </c>
      <c r="AS138" s="1123">
        <f t="shared" si="10"/>
        <v>0.43939316811186491</v>
      </c>
      <c r="AT138" s="224">
        <f t="shared" si="6"/>
        <v>2644.2816339239216</v>
      </c>
    </row>
    <row r="139" spans="1:46">
      <c r="A139" s="1118">
        <v>2017</v>
      </c>
      <c r="D139" s="1107" t="s">
        <v>2004</v>
      </c>
      <c r="E139" s="224" t="s">
        <v>2060</v>
      </c>
      <c r="G139" s="224">
        <v>9963.9864677145597</v>
      </c>
      <c r="H139" s="224">
        <v>3840.5</v>
      </c>
      <c r="I139" s="224">
        <v>150.74981250000002</v>
      </c>
      <c r="J139" s="224">
        <v>8.4137088915472252E-2</v>
      </c>
      <c r="K139" s="224">
        <v>0.10042871987630464</v>
      </c>
      <c r="L139" s="224">
        <v>0.12385807486318451</v>
      </c>
      <c r="M139" s="224">
        <v>2.8703531113817505E-2</v>
      </c>
      <c r="N139" s="224">
        <v>3.4930946431634885E-2</v>
      </c>
      <c r="O139" s="224">
        <v>4.2985247683351505E-2</v>
      </c>
      <c r="P139" s="224">
        <v>-42.386338414795411</v>
      </c>
      <c r="Q139" s="224">
        <v>-11.72009291688979</v>
      </c>
      <c r="R139" s="224">
        <v>-22.275855225202825</v>
      </c>
      <c r="S139" s="224">
        <v>1080.8627885400911</v>
      </c>
      <c r="T139" s="224">
        <v>1315.3629083728445</v>
      </c>
      <c r="U139" s="224">
        <v>1618.6564117453827</v>
      </c>
      <c r="V139" s="224">
        <v>170</v>
      </c>
      <c r="W139" s="224">
        <v>234.79864429999998</v>
      </c>
      <c r="X139" s="224">
        <v>352.19796644999997</v>
      </c>
      <c r="Y139" s="224">
        <v>150.37743749999998</v>
      </c>
      <c r="Z139" s="224">
        <v>0</v>
      </c>
      <c r="AA139" s="224">
        <v>5.6538681218861919</v>
      </c>
      <c r="AB139" s="224">
        <v>8.3270863016276451</v>
      </c>
      <c r="AC139" s="224">
        <v>11.821438025500743</v>
      </c>
      <c r="AD139" s="1120">
        <v>8.356942104514161</v>
      </c>
      <c r="AE139" s="224">
        <v>15922.439999999999</v>
      </c>
      <c r="AF139" s="224">
        <v>10932.81184047</v>
      </c>
      <c r="AG139" s="224">
        <v>85561.754388749992</v>
      </c>
      <c r="AH139" s="224">
        <v>0</v>
      </c>
      <c r="AI139" s="224">
        <v>40800</v>
      </c>
      <c r="AJ139" s="224">
        <v>0</v>
      </c>
      <c r="AK139" s="224">
        <v>745.98720000000003</v>
      </c>
      <c r="AL139" s="224">
        <v>0</v>
      </c>
      <c r="AM139" s="224">
        <v>436.00000000000006</v>
      </c>
      <c r="AN139" s="1120">
        <v>154398.99342921999</v>
      </c>
      <c r="AO139" s="224">
        <f t="shared" si="5"/>
        <v>1.1011106916907858</v>
      </c>
      <c r="AP139" s="1123">
        <v>0.1</v>
      </c>
      <c r="AQ139" s="1123">
        <f t="shared" si="7"/>
        <v>3.5471403350446636E-2</v>
      </c>
      <c r="AR139" s="1123">
        <v>20</v>
      </c>
      <c r="AS139" s="1123">
        <f t="shared" si="10"/>
        <v>0.3153877600655085</v>
      </c>
      <c r="AT139" s="224">
        <f t="shared" si="6"/>
        <v>5476.7489728308219</v>
      </c>
    </row>
    <row r="140" spans="1:46">
      <c r="A140" s="1121">
        <v>2020</v>
      </c>
      <c r="D140" s="1107" t="s">
        <v>2004</v>
      </c>
      <c r="E140" s="224" t="s">
        <v>2060</v>
      </c>
      <c r="G140" s="224">
        <v>9577.7770919686445</v>
      </c>
      <c r="H140" s="224">
        <v>3950.4837499999999</v>
      </c>
      <c r="I140" s="224">
        <v>140.5095</v>
      </c>
      <c r="J140" s="224">
        <v>7.6499849278710966E-2</v>
      </c>
      <c r="K140" s="224">
        <v>9.0613676951541558E-2</v>
      </c>
      <c r="L140" s="224">
        <v>0.11160670285087357</v>
      </c>
      <c r="M140" s="224">
        <v>2.6453867162826945E-2</v>
      </c>
      <c r="N140" s="224">
        <v>3.2157039093303141E-2</v>
      </c>
      <c r="O140" s="224">
        <v>3.9535049183986599E-2</v>
      </c>
      <c r="P140" s="224">
        <v>-33.710690106614919</v>
      </c>
      <c r="Q140" s="224">
        <v>-12.579292568675275</v>
      </c>
      <c r="R140" s="224">
        <v>-21.868565293694552</v>
      </c>
      <c r="S140" s="224">
        <v>996.14923738487278</v>
      </c>
      <c r="T140" s="224">
        <v>1210.9084003552657</v>
      </c>
      <c r="U140" s="224">
        <v>1488.7354220158227</v>
      </c>
      <c r="V140" s="224">
        <v>160</v>
      </c>
      <c r="W140" s="224">
        <v>222.16069160000001</v>
      </c>
      <c r="X140" s="224">
        <v>333.24103740000004</v>
      </c>
      <c r="Y140" s="224">
        <v>140.32331250000001</v>
      </c>
      <c r="Z140" s="224">
        <v>0</v>
      </c>
      <c r="AA140" s="224">
        <v>5.1186579674094954</v>
      </c>
      <c r="AB140" s="224">
        <v>7.4965852657687044</v>
      </c>
      <c r="AC140" s="224">
        <v>10.628787634443164</v>
      </c>
      <c r="AD140" s="1120">
        <v>7.3708585742218737</v>
      </c>
      <c r="AE140" s="224">
        <v>15674.462296645957</v>
      </c>
      <c r="AF140" s="224">
        <v>7919.0411765399995</v>
      </c>
      <c r="AG140" s="224">
        <v>74334.871563749999</v>
      </c>
      <c r="AH140" s="224">
        <v>0</v>
      </c>
      <c r="AI140" s="224">
        <v>40800</v>
      </c>
      <c r="AJ140" s="224">
        <v>1981.7906762525845</v>
      </c>
      <c r="AK140" s="224">
        <v>1214.2458237810094</v>
      </c>
      <c r="AL140" s="224">
        <v>0</v>
      </c>
      <c r="AM140" s="224">
        <v>436.00000000000006</v>
      </c>
      <c r="AN140" s="1120">
        <v>142360.41153696954</v>
      </c>
      <c r="AO140" s="224">
        <f t="shared" si="5"/>
        <v>0.971184325739474</v>
      </c>
      <c r="AP140" s="1123">
        <v>0.1</v>
      </c>
      <c r="AQ140" s="1123">
        <f t="shared" si="7"/>
        <v>3.5471403350446636E-2</v>
      </c>
      <c r="AR140" s="1123">
        <v>20</v>
      </c>
      <c r="AS140" s="1123">
        <f t="shared" si="10"/>
        <v>0.27817334934362714</v>
      </c>
      <c r="AT140" s="224">
        <f t="shared" si="6"/>
        <v>5049.7235787634227</v>
      </c>
    </row>
    <row r="141" spans="1:46">
      <c r="A141" s="1118">
        <v>2025</v>
      </c>
      <c r="D141" s="1107" t="s">
        <v>2004</v>
      </c>
      <c r="E141" s="224" t="s">
        <v>2060</v>
      </c>
      <c r="G141" s="224">
        <v>9166.2201468744643</v>
      </c>
      <c r="H141" s="224">
        <v>3981.9561999999996</v>
      </c>
      <c r="I141" s="224">
        <v>124.09396875000002</v>
      </c>
      <c r="J141" s="224">
        <v>6.464416213746467E-2</v>
      </c>
      <c r="K141" s="224">
        <v>7.3417908809366592E-2</v>
      </c>
      <c r="L141" s="224">
        <v>9.1151521286492815E-2</v>
      </c>
      <c r="M141" s="224">
        <v>2.3488630239005485E-2</v>
      </c>
      <c r="N141" s="224">
        <v>2.7596497896195889E-2</v>
      </c>
      <c r="O141" s="224">
        <v>3.3795623142702409E-2</v>
      </c>
      <c r="P141" s="224">
        <v>-20.953287884257634</v>
      </c>
      <c r="Q141" s="224">
        <v>3.4671777686257004</v>
      </c>
      <c r="R141" s="224">
        <v>-28.400097396990915</v>
      </c>
      <c r="S141" s="224">
        <v>884.49000502579713</v>
      </c>
      <c r="T141" s="224">
        <v>1039.1762446141765</v>
      </c>
      <c r="U141" s="224">
        <v>1272.611070938483</v>
      </c>
      <c r="V141" s="224">
        <v>137.5</v>
      </c>
      <c r="W141" s="224">
        <v>202.82823310000001</v>
      </c>
      <c r="X141" s="224">
        <v>304.24234964999999</v>
      </c>
      <c r="Y141" s="224">
        <v>123.65953125</v>
      </c>
      <c r="Z141" s="224">
        <v>0</v>
      </c>
      <c r="AA141" s="224">
        <v>4.5369707988876664</v>
      </c>
      <c r="AB141" s="224">
        <v>6.103814317154117</v>
      </c>
      <c r="AC141" s="224">
        <v>8.6535431022283511</v>
      </c>
      <c r="AD141" s="1120">
        <v>6.3800894788882481</v>
      </c>
      <c r="AE141" s="224">
        <v>14759.705905664594</v>
      </c>
      <c r="AF141" s="224">
        <v>3628.3676139025001</v>
      </c>
      <c r="AG141" s="224">
        <v>39767.639175000004</v>
      </c>
      <c r="AH141" s="224">
        <v>0</v>
      </c>
      <c r="AI141" s="224">
        <v>40800</v>
      </c>
      <c r="AJ141" s="224">
        <v>2363.0182694392256</v>
      </c>
      <c r="AK141" s="224">
        <v>2829.8971847014668</v>
      </c>
      <c r="AL141" s="224">
        <v>0</v>
      </c>
      <c r="AM141" s="224">
        <v>352.00000000000006</v>
      </c>
      <c r="AN141" s="1120">
        <v>104500.62814870779</v>
      </c>
      <c r="AO141" s="224">
        <f t="shared" si="5"/>
        <v>0.84064058973831546</v>
      </c>
      <c r="AP141" s="1123">
        <v>0.1</v>
      </c>
      <c r="AQ141" s="1123">
        <f t="shared" si="7"/>
        <v>3.5471403350446636E-2</v>
      </c>
      <c r="AR141" s="1123">
        <v>20</v>
      </c>
      <c r="AS141" s="1123">
        <f t="shared" si="10"/>
        <v>0.24078210721086038</v>
      </c>
      <c r="AT141" s="224">
        <f t="shared" si="6"/>
        <v>3706.7839314378516</v>
      </c>
    </row>
    <row r="142" spans="1:46">
      <c r="A142" s="1118">
        <v>2030</v>
      </c>
      <c r="D142" s="1107" t="s">
        <v>2004</v>
      </c>
      <c r="E142" s="224" t="s">
        <v>2060</v>
      </c>
      <c r="G142" s="224">
        <v>8940.0632791102962</v>
      </c>
      <c r="H142" s="224">
        <v>4019.5814499999997</v>
      </c>
      <c r="I142" s="224">
        <v>117.4843125</v>
      </c>
      <c r="J142" s="224">
        <v>5.968703552774355E-2</v>
      </c>
      <c r="K142" s="224">
        <v>6.7736409333635977E-2</v>
      </c>
      <c r="L142" s="224">
        <v>8.4162392804370767E-2</v>
      </c>
      <c r="M142" s="224">
        <v>2.1943110540730084E-2</v>
      </c>
      <c r="N142" s="224">
        <v>2.5892047386024131E-2</v>
      </c>
      <c r="O142" s="224">
        <v>3.1690865018071446E-2</v>
      </c>
      <c r="P142" s="224">
        <v>-23.864214779971071</v>
      </c>
      <c r="Q142" s="224">
        <v>4.8653992976155021</v>
      </c>
      <c r="R142" s="224">
        <v>-29.430058531782358</v>
      </c>
      <c r="S142" s="224">
        <v>826.2917741462021</v>
      </c>
      <c r="T142" s="224">
        <v>974.99330056984672</v>
      </c>
      <c r="U142" s="224">
        <v>1193.3541068120066</v>
      </c>
      <c r="V142" s="224">
        <v>130</v>
      </c>
      <c r="W142" s="224">
        <v>197.12646230000001</v>
      </c>
      <c r="X142" s="224">
        <v>295.68969344999999</v>
      </c>
      <c r="Y142" s="224">
        <v>117.17400000000001</v>
      </c>
      <c r="Z142" s="224">
        <v>0</v>
      </c>
      <c r="AA142" s="224">
        <v>4.1671057890599332</v>
      </c>
      <c r="AB142" s="224">
        <v>5.6317991986471529</v>
      </c>
      <c r="AC142" s="224">
        <v>7.9814339490089719</v>
      </c>
      <c r="AD142" s="1120">
        <v>5.9143194253262852</v>
      </c>
      <c r="AE142" s="224">
        <v>14492.24544136646</v>
      </c>
      <c r="AF142" s="224">
        <v>2617.0740006834153</v>
      </c>
      <c r="AG142" s="224">
        <v>26651.301395625</v>
      </c>
      <c r="AH142" s="224">
        <v>0</v>
      </c>
      <c r="AI142" s="224">
        <v>40800</v>
      </c>
      <c r="AJ142" s="224">
        <v>2851.055440532888</v>
      </c>
      <c r="AK142" s="224">
        <v>3508.029060192428</v>
      </c>
      <c r="AL142" s="224">
        <v>0</v>
      </c>
      <c r="AM142" s="224">
        <v>296</v>
      </c>
      <c r="AN142" s="1120">
        <v>91215.705338400177</v>
      </c>
      <c r="AO142" s="224">
        <f t="shared" ref="AO142:AO205" si="11">AD142*$C$4</f>
        <v>0.77927072748099124</v>
      </c>
      <c r="AP142" s="1123">
        <v>0.1</v>
      </c>
      <c r="AQ142" s="1123">
        <f t="shared" si="7"/>
        <v>3.5471403350446636E-2</v>
      </c>
      <c r="AR142" s="1123">
        <v>20</v>
      </c>
      <c r="AS142" s="1123">
        <f t="shared" si="10"/>
        <v>0.22320412568827097</v>
      </c>
      <c r="AT142" s="224">
        <f t="shared" ref="AT142:AT205" si="12">AN142*AQ142</f>
        <v>3235.5490759538811</v>
      </c>
    </row>
    <row r="143" spans="1:46">
      <c r="A143" s="1118">
        <v>2035</v>
      </c>
      <c r="D143" s="1107" t="s">
        <v>2004</v>
      </c>
      <c r="E143" s="224" t="s">
        <v>2060</v>
      </c>
      <c r="G143" s="224">
        <v>8809.8491529906714</v>
      </c>
      <c r="H143" s="224">
        <v>4055.8958750000002</v>
      </c>
      <c r="I143" s="224">
        <v>109.105875</v>
      </c>
      <c r="J143" s="224">
        <v>5.6397683167089069E-2</v>
      </c>
      <c r="K143" s="224">
        <v>6.4433386754991676E-2</v>
      </c>
      <c r="L143" s="224">
        <v>8.0112675039168899E-2</v>
      </c>
      <c r="M143" s="224">
        <v>2.096566509834235E-2</v>
      </c>
      <c r="N143" s="224">
        <v>2.4915672805124356E-2</v>
      </c>
      <c r="O143" s="224">
        <v>3.0510089907083999E-2</v>
      </c>
      <c r="P143" s="224">
        <v>-24.35069647399342</v>
      </c>
      <c r="Q143" s="224">
        <v>5.0874354253391827</v>
      </c>
      <c r="R143" s="224">
        <v>-27.680290170041495</v>
      </c>
      <c r="S143" s="224">
        <v>789.48499931714878</v>
      </c>
      <c r="T143" s="224">
        <v>938.22685019876417</v>
      </c>
      <c r="U143" s="224">
        <v>1148.8907314161393</v>
      </c>
      <c r="V143" s="224">
        <v>127.5</v>
      </c>
      <c r="W143" s="224">
        <v>193.46780687500001</v>
      </c>
      <c r="X143" s="224">
        <v>290.20171031249998</v>
      </c>
      <c r="Y143" s="224">
        <v>108.6714375</v>
      </c>
      <c r="Z143" s="224">
        <v>0</v>
      </c>
      <c r="AA143" s="224">
        <v>3.9143247940582011</v>
      </c>
      <c r="AB143" s="224">
        <v>5.3575913330268179</v>
      </c>
      <c r="AC143" s="224">
        <v>7.5976793853362858</v>
      </c>
      <c r="AD143" s="1120">
        <v>5.6199360667755975</v>
      </c>
      <c r="AE143" s="224">
        <v>14708.304906832294</v>
      </c>
      <c r="AF143" s="224">
        <v>2105.4431583671999</v>
      </c>
      <c r="AG143" s="224">
        <v>18407.859142499998</v>
      </c>
      <c r="AH143" s="224">
        <v>0</v>
      </c>
      <c r="AI143" s="224">
        <v>40800</v>
      </c>
      <c r="AJ143" s="224">
        <v>3431.2796019510192</v>
      </c>
      <c r="AK143" s="224">
        <v>3935.8667708711309</v>
      </c>
      <c r="AL143" s="224">
        <v>0</v>
      </c>
      <c r="AM143" s="224">
        <v>240</v>
      </c>
      <c r="AN143" s="1120">
        <v>83628.753580521632</v>
      </c>
      <c r="AO143" s="224">
        <f t="shared" si="11"/>
        <v>0.74048277615835267</v>
      </c>
      <c r="AP143" s="1123">
        <v>0.1</v>
      </c>
      <c r="AQ143" s="1123">
        <f t="shared" ref="AQ143:AQ206" si="13">AQ142</f>
        <v>3.5471403350446636E-2</v>
      </c>
      <c r="AR143" s="1123">
        <v>20</v>
      </c>
      <c r="AS143" s="1123">
        <f t="shared" si="10"/>
        <v>0.21209421169189294</v>
      </c>
      <c r="AT143" s="224">
        <f t="shared" si="12"/>
        <v>2966.429249949791</v>
      </c>
    </row>
    <row r="144" spans="1:46">
      <c r="A144" s="1118">
        <v>2050</v>
      </c>
      <c r="D144" s="1107" t="s">
        <v>2004</v>
      </c>
      <c r="E144" s="224" t="s">
        <v>2060</v>
      </c>
      <c r="G144" s="224">
        <v>8637.6327131716334</v>
      </c>
      <c r="H144" s="224">
        <v>4104.9930750000003</v>
      </c>
      <c r="I144" s="224">
        <v>103.8305625</v>
      </c>
      <c r="J144" s="224">
        <v>5.1968003043274848E-2</v>
      </c>
      <c r="K144" s="224">
        <v>5.9799913945344396E-2</v>
      </c>
      <c r="L144" s="224">
        <v>7.4250424676182314E-2</v>
      </c>
      <c r="M144" s="224">
        <v>1.9592762843330669E-2</v>
      </c>
      <c r="N144" s="224">
        <v>2.3464840270074741E-2</v>
      </c>
      <c r="O144" s="224">
        <v>2.8749554526415456E-2</v>
      </c>
      <c r="P144" s="224">
        <v>-26.816324784001665</v>
      </c>
      <c r="Q144" s="224">
        <v>-0.94608017182925996</v>
      </c>
      <c r="R144" s="224">
        <v>-29.817580842408319</v>
      </c>
      <c r="S144" s="224">
        <v>737.78686664278371</v>
      </c>
      <c r="T144" s="224">
        <v>883.5941677834802</v>
      </c>
      <c r="U144" s="224">
        <v>1082.5958503672753</v>
      </c>
      <c r="V144" s="224">
        <v>122.5</v>
      </c>
      <c r="W144" s="224">
        <v>188.30649265</v>
      </c>
      <c r="X144" s="224">
        <v>282.45973897500005</v>
      </c>
      <c r="Y144" s="224">
        <v>103.42715625</v>
      </c>
      <c r="Z144" s="224">
        <v>0</v>
      </c>
      <c r="AA144" s="224">
        <v>3.5784015266947877</v>
      </c>
      <c r="AB144" s="224">
        <v>4.9647896966960401</v>
      </c>
      <c r="AC144" s="224">
        <v>7.03859291202129</v>
      </c>
      <c r="AD144" s="1120">
        <v>5.2116061980814212</v>
      </c>
      <c r="AE144" s="224">
        <v>14801.050236024845</v>
      </c>
      <c r="AF144" s="224">
        <v>1239.7742302859999</v>
      </c>
      <c r="AG144" s="224">
        <v>14519.978158499998</v>
      </c>
      <c r="AH144" s="224">
        <v>0</v>
      </c>
      <c r="AI144" s="224">
        <v>40800</v>
      </c>
      <c r="AJ144" s="224">
        <v>4216.1246270287984</v>
      </c>
      <c r="AK144" s="224">
        <v>4842.5801991868502</v>
      </c>
      <c r="AL144" s="224">
        <v>0</v>
      </c>
      <c r="AM144" s="224">
        <v>240</v>
      </c>
      <c r="AN144" s="1120">
        <v>80659.507451026482</v>
      </c>
      <c r="AO144" s="224">
        <f t="shared" si="11"/>
        <v>0.686681232659208</v>
      </c>
      <c r="AP144" s="1123">
        <v>0.1</v>
      </c>
      <c r="AQ144" s="1123">
        <f t="shared" si="13"/>
        <v>3.5471403350446636E-2</v>
      </c>
      <c r="AR144" s="1123">
        <v>20</v>
      </c>
      <c r="AS144" s="1123">
        <f t="shared" si="10"/>
        <v>0.19668400051121054</v>
      </c>
      <c r="AT144" s="224">
        <f t="shared" si="12"/>
        <v>2861.1059228437161</v>
      </c>
    </row>
    <row r="145" spans="1:46">
      <c r="A145" s="1118">
        <v>2017</v>
      </c>
      <c r="D145" s="1107" t="s">
        <v>2004</v>
      </c>
      <c r="E145" s="224" t="s">
        <v>2061</v>
      </c>
      <c r="G145" s="224">
        <v>9469.985274704999</v>
      </c>
      <c r="H145" s="224">
        <v>3840.5</v>
      </c>
      <c r="I145" s="224">
        <v>293.18324999999999</v>
      </c>
      <c r="J145" s="224">
        <v>0</v>
      </c>
      <c r="K145" s="224">
        <v>0</v>
      </c>
      <c r="L145" s="224">
        <v>0</v>
      </c>
      <c r="M145" s="224">
        <v>0</v>
      </c>
      <c r="N145" s="224">
        <v>0</v>
      </c>
      <c r="O145" s="224">
        <v>0</v>
      </c>
      <c r="P145" s="224">
        <v>0</v>
      </c>
      <c r="Q145" s="224">
        <v>0</v>
      </c>
      <c r="R145" s="224">
        <v>0</v>
      </c>
      <c r="S145" s="224">
        <v>964.74156206640964</v>
      </c>
      <c r="T145" s="224">
        <v>1428.4438270669507</v>
      </c>
      <c r="U145" s="224">
        <v>1767.5797310780486</v>
      </c>
      <c r="V145" s="224">
        <v>0</v>
      </c>
      <c r="W145" s="224">
        <v>208.55620490000001</v>
      </c>
      <c r="X145" s="224">
        <v>312.83430735000002</v>
      </c>
      <c r="Y145" s="224">
        <v>293.18324999999999</v>
      </c>
      <c r="Z145" s="224">
        <v>0</v>
      </c>
      <c r="AA145" s="224">
        <v>3.8435918807426681</v>
      </c>
      <c r="AB145" s="224">
        <v>5.6910112632149437</v>
      </c>
      <c r="AC145" s="224">
        <v>7.0421503230201132</v>
      </c>
      <c r="AD145" s="1120">
        <v>8.2182058522427379</v>
      </c>
      <c r="AE145" s="224">
        <v>0</v>
      </c>
      <c r="AF145" s="224">
        <v>9807.0111902099998</v>
      </c>
      <c r="AG145" s="224">
        <v>166815.405585</v>
      </c>
      <c r="AH145" s="224">
        <v>0</v>
      </c>
      <c r="AI145" s="224">
        <v>40800</v>
      </c>
      <c r="AJ145" s="224">
        <v>0</v>
      </c>
      <c r="AK145" s="224">
        <v>745.98720000000003</v>
      </c>
      <c r="AL145" s="224">
        <v>0</v>
      </c>
      <c r="AM145" s="224">
        <v>0</v>
      </c>
      <c r="AN145" s="1120">
        <v>218168.40397520998</v>
      </c>
      <c r="AO145" s="224">
        <f t="shared" si="11"/>
        <v>1.082830803091503</v>
      </c>
      <c r="AP145" s="1123">
        <v>0.1</v>
      </c>
      <c r="AQ145" s="1123">
        <f t="shared" si="13"/>
        <v>3.5471403350446636E-2</v>
      </c>
      <c r="AR145" s="1123">
        <v>20</v>
      </c>
      <c r="AS145" s="1123">
        <f t="shared" si="10"/>
        <v>0.31015190760936523</v>
      </c>
      <c r="AT145" s="224">
        <f t="shared" si="12"/>
        <v>7738.7394557278585</v>
      </c>
    </row>
    <row r="146" spans="1:46">
      <c r="A146" s="1121">
        <v>2020</v>
      </c>
      <c r="D146" s="1107" t="s">
        <v>2004</v>
      </c>
      <c r="E146" s="224" t="s">
        <v>2061</v>
      </c>
      <c r="G146" s="224">
        <v>9041.7268638538226</v>
      </c>
      <c r="H146" s="224">
        <v>3950.4837499999999</v>
      </c>
      <c r="I146" s="224">
        <v>272.57849999999996</v>
      </c>
      <c r="J146" s="224">
        <v>0</v>
      </c>
      <c r="K146" s="224">
        <v>0</v>
      </c>
      <c r="L146" s="224">
        <v>0</v>
      </c>
      <c r="M146" s="224">
        <v>0</v>
      </c>
      <c r="N146" s="224">
        <v>0</v>
      </c>
      <c r="O146" s="224">
        <v>0</v>
      </c>
      <c r="P146" s="224">
        <v>0</v>
      </c>
      <c r="Q146" s="224">
        <v>0</v>
      </c>
      <c r="R146" s="224">
        <v>0</v>
      </c>
      <c r="S146" s="224">
        <v>879.98075009588058</v>
      </c>
      <c r="T146" s="224">
        <v>1312.130382225329</v>
      </c>
      <c r="U146" s="224">
        <v>1622.7666661792407</v>
      </c>
      <c r="V146" s="224">
        <v>0</v>
      </c>
      <c r="W146" s="224">
        <v>193.9043605</v>
      </c>
      <c r="X146" s="224">
        <v>290.85654075000002</v>
      </c>
      <c r="Y146" s="224">
        <v>272.57849999999996</v>
      </c>
      <c r="Z146" s="224">
        <v>0</v>
      </c>
      <c r="AA146" s="224">
        <v>3.5058994027724326</v>
      </c>
      <c r="AB146" s="224">
        <v>5.2276110845630628</v>
      </c>
      <c r="AC146" s="224">
        <v>6.4652058413515565</v>
      </c>
      <c r="AD146" s="1120">
        <v>7.2138322178681999</v>
      </c>
      <c r="AE146" s="224">
        <v>0</v>
      </c>
      <c r="AF146" s="224">
        <v>6982.3438005749995</v>
      </c>
      <c r="AG146" s="224">
        <v>144395.73458999998</v>
      </c>
      <c r="AH146" s="224">
        <v>0</v>
      </c>
      <c r="AI146" s="224">
        <v>40800</v>
      </c>
      <c r="AJ146" s="224">
        <v>1981.7906762525845</v>
      </c>
      <c r="AK146" s="224">
        <v>1214.2458237810094</v>
      </c>
      <c r="AL146" s="224">
        <v>0</v>
      </c>
      <c r="AM146" s="224">
        <v>0</v>
      </c>
      <c r="AN146" s="1120">
        <v>195374.11489060859</v>
      </c>
      <c r="AO146" s="224">
        <f t="shared" si="11"/>
        <v>0.95049453302631393</v>
      </c>
      <c r="AP146" s="1123">
        <v>0.1</v>
      </c>
      <c r="AQ146" s="1123">
        <f t="shared" si="13"/>
        <v>3.5471403350446636E-2</v>
      </c>
      <c r="AR146" s="1123">
        <v>20</v>
      </c>
      <c r="AS146" s="1123">
        <f t="shared" si="10"/>
        <v>0.27224723543948964</v>
      </c>
      <c r="AT146" s="224">
        <f t="shared" si="12"/>
        <v>6930.1940335212794</v>
      </c>
    </row>
    <row r="147" spans="1:46">
      <c r="A147" s="1118">
        <v>2025</v>
      </c>
      <c r="D147" s="1107" t="s">
        <v>2004</v>
      </c>
      <c r="E147" s="224" t="s">
        <v>2061</v>
      </c>
      <c r="G147" s="224">
        <v>8538.6294830421739</v>
      </c>
      <c r="H147" s="224">
        <v>3981.9561999999996</v>
      </c>
      <c r="I147" s="224">
        <v>237.79246875000001</v>
      </c>
      <c r="J147" s="224">
        <v>0</v>
      </c>
      <c r="K147" s="224">
        <v>0</v>
      </c>
      <c r="L147" s="224">
        <v>0</v>
      </c>
      <c r="M147" s="224">
        <v>0</v>
      </c>
      <c r="N147" s="224">
        <v>0</v>
      </c>
      <c r="O147" s="224">
        <v>0</v>
      </c>
      <c r="P147" s="224">
        <v>0</v>
      </c>
      <c r="Q147" s="224">
        <v>0</v>
      </c>
      <c r="R147" s="224">
        <v>0</v>
      </c>
      <c r="S147" s="224">
        <v>762.53371004646806</v>
      </c>
      <c r="T147" s="224">
        <v>1125.7399144745923</v>
      </c>
      <c r="U147" s="224">
        <v>1383.2743272161597</v>
      </c>
      <c r="V147" s="224">
        <v>0</v>
      </c>
      <c r="W147" s="224">
        <v>179.6913103</v>
      </c>
      <c r="X147" s="224">
        <v>269.53696545000003</v>
      </c>
      <c r="Y147" s="224">
        <v>237.79246875000001</v>
      </c>
      <c r="Z147" s="224">
        <v>0</v>
      </c>
      <c r="AA147" s="224">
        <v>3.0379829085516654</v>
      </c>
      <c r="AB147" s="224">
        <v>4.4850195795800483</v>
      </c>
      <c r="AC147" s="224">
        <v>5.5110530964787241</v>
      </c>
      <c r="AD147" s="1120">
        <v>6.1435557777046377</v>
      </c>
      <c r="AE147" s="224">
        <v>0</v>
      </c>
      <c r="AF147" s="224">
        <v>3228.0904389950001</v>
      </c>
      <c r="AG147" s="224">
        <v>76618.018124999988</v>
      </c>
      <c r="AH147" s="224">
        <v>0</v>
      </c>
      <c r="AI147" s="224">
        <v>40800</v>
      </c>
      <c r="AJ147" s="224">
        <v>2363.0182694392256</v>
      </c>
      <c r="AK147" s="224">
        <v>2829.8971847014668</v>
      </c>
      <c r="AL147" s="224">
        <v>0</v>
      </c>
      <c r="AM147" s="224">
        <v>0</v>
      </c>
      <c r="AN147" s="1120">
        <v>125839.02401813568</v>
      </c>
      <c r="AO147" s="224">
        <f t="shared" si="11"/>
        <v>0.80947490927036303</v>
      </c>
      <c r="AP147" s="1123">
        <v>0.1</v>
      </c>
      <c r="AQ147" s="1123">
        <f t="shared" si="13"/>
        <v>3.5471403350446636E-2</v>
      </c>
      <c r="AR147" s="1123">
        <v>20</v>
      </c>
      <c r="AS147" s="1123">
        <f t="shared" si="10"/>
        <v>0.23185541689000647</v>
      </c>
      <c r="AT147" s="224">
        <f t="shared" si="12"/>
        <v>4463.6867781738329</v>
      </c>
    </row>
    <row r="148" spans="1:46">
      <c r="A148" s="1118">
        <v>2030</v>
      </c>
      <c r="D148" s="1107" t="s">
        <v>2004</v>
      </c>
      <c r="E148" s="224" t="s">
        <v>2061</v>
      </c>
      <c r="G148" s="224">
        <v>8250.504081768886</v>
      </c>
      <c r="H148" s="224">
        <v>4019.5814499999997</v>
      </c>
      <c r="I148" s="224">
        <v>224.35593749999998</v>
      </c>
      <c r="J148" s="224">
        <v>0</v>
      </c>
      <c r="K148" s="224">
        <v>0</v>
      </c>
      <c r="L148" s="224">
        <v>0</v>
      </c>
      <c r="M148" s="224">
        <v>0</v>
      </c>
      <c r="N148" s="224">
        <v>0</v>
      </c>
      <c r="O148" s="224">
        <v>0</v>
      </c>
      <c r="P148" s="224">
        <v>0</v>
      </c>
      <c r="Q148" s="224">
        <v>0</v>
      </c>
      <c r="R148" s="224">
        <v>0</v>
      </c>
      <c r="S148" s="224">
        <v>704.36406852220443</v>
      </c>
      <c r="T148" s="224">
        <v>1053.8232606769102</v>
      </c>
      <c r="U148" s="224">
        <v>1294.3930749774875</v>
      </c>
      <c r="V148" s="224">
        <v>0</v>
      </c>
      <c r="W148" s="224">
        <v>172.72639079999999</v>
      </c>
      <c r="X148" s="224">
        <v>259.08958619999999</v>
      </c>
      <c r="Y148" s="224">
        <v>224.35593749999998</v>
      </c>
      <c r="Z148" s="224">
        <v>0</v>
      </c>
      <c r="AA148" s="224">
        <v>2.806231348694042</v>
      </c>
      <c r="AB148" s="224">
        <v>4.1984990465215546</v>
      </c>
      <c r="AC148" s="224">
        <v>5.1569445218226591</v>
      </c>
      <c r="AD148" s="1120">
        <v>5.658938138213859</v>
      </c>
      <c r="AE148" s="224">
        <v>0</v>
      </c>
      <c r="AF148" s="224">
        <v>2304.1672973937002</v>
      </c>
      <c r="AG148" s="224">
        <v>51168.341064374996</v>
      </c>
      <c r="AH148" s="224">
        <v>0</v>
      </c>
      <c r="AI148" s="224">
        <v>40800</v>
      </c>
      <c r="AJ148" s="224">
        <v>2851.055440532888</v>
      </c>
      <c r="AK148" s="224">
        <v>3508.029060192428</v>
      </c>
      <c r="AL148" s="224">
        <v>0</v>
      </c>
      <c r="AM148" s="224">
        <v>0</v>
      </c>
      <c r="AN148" s="1120">
        <v>100631.592862494</v>
      </c>
      <c r="AO148" s="224">
        <f t="shared" si="11"/>
        <v>0.74562168909105797</v>
      </c>
      <c r="AP148" s="1123">
        <v>0.1</v>
      </c>
      <c r="AQ148" s="1123">
        <f t="shared" si="13"/>
        <v>3.5471403350446636E-2</v>
      </c>
      <c r="AR148" s="1123">
        <v>20</v>
      </c>
      <c r="AS148" s="1123">
        <f t="shared" si="10"/>
        <v>0.21356613477033376</v>
      </c>
      <c r="AT148" s="224">
        <f t="shared" si="12"/>
        <v>3569.5438202234513</v>
      </c>
    </row>
    <row r="149" spans="1:46">
      <c r="A149" s="1118">
        <v>2035</v>
      </c>
      <c r="D149" s="1107" t="s">
        <v>2004</v>
      </c>
      <c r="E149" s="224" t="s">
        <v>2061</v>
      </c>
      <c r="G149" s="224">
        <v>8102.7628021793735</v>
      </c>
      <c r="H149" s="224">
        <v>4055.8958750000002</v>
      </c>
      <c r="I149" s="224">
        <v>207.97143749999998</v>
      </c>
      <c r="J149" s="224">
        <v>0</v>
      </c>
      <c r="K149" s="224">
        <v>0</v>
      </c>
      <c r="L149" s="224">
        <v>0</v>
      </c>
      <c r="M149" s="224">
        <v>0</v>
      </c>
      <c r="N149" s="224">
        <v>0</v>
      </c>
      <c r="O149" s="224">
        <v>0</v>
      </c>
      <c r="P149" s="224">
        <v>0</v>
      </c>
      <c r="Q149" s="224">
        <v>0</v>
      </c>
      <c r="R149" s="224">
        <v>0</v>
      </c>
      <c r="S149" s="224">
        <v>668.45210786745827</v>
      </c>
      <c r="T149" s="224">
        <v>1013.9695206254034</v>
      </c>
      <c r="U149" s="224">
        <v>1245.8687942082888</v>
      </c>
      <c r="V149" s="224">
        <v>0</v>
      </c>
      <c r="W149" s="224">
        <v>169.18931774999999</v>
      </c>
      <c r="X149" s="224">
        <v>253.78397662499995</v>
      </c>
      <c r="Y149" s="224">
        <v>207.97143749999998</v>
      </c>
      <c r="Z149" s="224">
        <v>0</v>
      </c>
      <c r="AA149" s="224">
        <v>2.6631558082368856</v>
      </c>
      <c r="AB149" s="224">
        <v>4.0397192056788986</v>
      </c>
      <c r="AC149" s="224">
        <v>4.9636206940569281</v>
      </c>
      <c r="AD149" s="1120">
        <v>5.362542978801649</v>
      </c>
      <c r="AE149" s="224">
        <v>0</v>
      </c>
      <c r="AF149" s="224">
        <v>1849.6124367024001</v>
      </c>
      <c r="AG149" s="224">
        <v>35315.30397375</v>
      </c>
      <c r="AH149" s="224">
        <v>0</v>
      </c>
      <c r="AI149" s="224">
        <v>40800</v>
      </c>
      <c r="AJ149" s="224">
        <v>3431.2796019510192</v>
      </c>
      <c r="AK149" s="224">
        <v>3935.8667708711309</v>
      </c>
      <c r="AL149" s="224">
        <v>0</v>
      </c>
      <c r="AM149" s="224">
        <v>0</v>
      </c>
      <c r="AN149" s="1120">
        <v>85332.062783274552</v>
      </c>
      <c r="AO149" s="224">
        <f t="shared" si="11"/>
        <v>0.70656866288690523</v>
      </c>
      <c r="AP149" s="1123">
        <v>0.1</v>
      </c>
      <c r="AQ149" s="1123">
        <f t="shared" si="13"/>
        <v>3.5471403350446636E-2</v>
      </c>
      <c r="AR149" s="1123">
        <v>20</v>
      </c>
      <c r="AS149" s="1123">
        <f t="shared" si="10"/>
        <v>0.20238029618820674</v>
      </c>
      <c r="AT149" s="224">
        <f t="shared" si="12"/>
        <v>3026.8480177111678</v>
      </c>
    </row>
    <row r="150" spans="1:46">
      <c r="A150" s="1118">
        <v>2050</v>
      </c>
      <c r="D150" s="1107" t="s">
        <v>2004</v>
      </c>
      <c r="E150" s="224" t="s">
        <v>2061</v>
      </c>
      <c r="G150" s="224">
        <v>7906.9582163836603</v>
      </c>
      <c r="H150" s="224">
        <v>4104.9930750000003</v>
      </c>
      <c r="I150" s="224">
        <v>197.01740624999999</v>
      </c>
      <c r="J150" s="224">
        <v>0</v>
      </c>
      <c r="K150" s="224">
        <v>0</v>
      </c>
      <c r="L150" s="224">
        <v>0</v>
      </c>
      <c r="M150" s="224">
        <v>0</v>
      </c>
      <c r="N150" s="224">
        <v>0</v>
      </c>
      <c r="O150" s="224">
        <v>0</v>
      </c>
      <c r="P150" s="224">
        <v>0</v>
      </c>
      <c r="Q150" s="224">
        <v>0</v>
      </c>
      <c r="R150" s="224">
        <v>0</v>
      </c>
      <c r="S150" s="224">
        <v>617.75285642534482</v>
      </c>
      <c r="T150" s="224">
        <v>955.77370341717699</v>
      </c>
      <c r="U150" s="224">
        <v>1174.184450005363</v>
      </c>
      <c r="V150" s="224">
        <v>0</v>
      </c>
      <c r="W150" s="224">
        <v>164.75334622500003</v>
      </c>
      <c r="X150" s="224">
        <v>247.13001933750002</v>
      </c>
      <c r="Y150" s="224">
        <v>197.01740624999999</v>
      </c>
      <c r="Z150" s="224">
        <v>0</v>
      </c>
      <c r="AA150" s="224">
        <v>2.4611667586667121</v>
      </c>
      <c r="AB150" s="224">
        <v>3.8078633602277971</v>
      </c>
      <c r="AC150" s="224">
        <v>4.6780256972325214</v>
      </c>
      <c r="AD150" s="1120">
        <v>4.9478524735744722</v>
      </c>
      <c r="AE150" s="224">
        <v>0</v>
      </c>
      <c r="AF150" s="224">
        <v>1086.632659677</v>
      </c>
      <c r="AG150" s="224">
        <v>27706.752530999995</v>
      </c>
      <c r="AH150" s="224">
        <v>0</v>
      </c>
      <c r="AI150" s="224">
        <v>40800</v>
      </c>
      <c r="AJ150" s="224">
        <v>4216.1246270287984</v>
      </c>
      <c r="AK150" s="224">
        <v>4842.5801991868502</v>
      </c>
      <c r="AL150" s="224">
        <v>0</v>
      </c>
      <c r="AM150" s="224">
        <v>0</v>
      </c>
      <c r="AN150" s="1120">
        <v>78652.090016892646</v>
      </c>
      <c r="AO150" s="224">
        <f t="shared" si="11"/>
        <v>0.65192904191817236</v>
      </c>
      <c r="AP150" s="1123">
        <v>0.1</v>
      </c>
      <c r="AQ150" s="1123">
        <f t="shared" si="13"/>
        <v>3.5471403350446636E-2</v>
      </c>
      <c r="AR150" s="1123">
        <v>20</v>
      </c>
      <c r="AS150" s="1123">
        <f t="shared" si="10"/>
        <v>0.18673003704696109</v>
      </c>
      <c r="AT150" s="224">
        <f t="shared" si="12"/>
        <v>2789.9000093448362</v>
      </c>
    </row>
    <row r="151" spans="1:46">
      <c r="A151" s="1118">
        <v>2017</v>
      </c>
      <c r="D151" s="1107" t="s">
        <v>2004</v>
      </c>
      <c r="E151" s="224" t="s">
        <v>2062</v>
      </c>
      <c r="G151" s="224">
        <v>8902.4774964455046</v>
      </c>
      <c r="H151" s="224">
        <v>3840.5</v>
      </c>
      <c r="I151" s="224">
        <v>5.3380800000000006</v>
      </c>
      <c r="J151" s="224">
        <v>5.3319345351968875E-2</v>
      </c>
      <c r="K151" s="224">
        <v>6.6876228231675064E-2</v>
      </c>
      <c r="L151" s="224">
        <v>8.5631534134206266E-2</v>
      </c>
      <c r="M151" s="224">
        <v>0</v>
      </c>
      <c r="N151" s="224">
        <v>0</v>
      </c>
      <c r="O151" s="224">
        <v>0</v>
      </c>
      <c r="P151" s="224">
        <v>0</v>
      </c>
      <c r="Q151" s="224">
        <v>0</v>
      </c>
      <c r="R151" s="224">
        <v>0</v>
      </c>
      <c r="S151" s="224">
        <v>0</v>
      </c>
      <c r="T151" s="224">
        <v>0</v>
      </c>
      <c r="U151" s="224">
        <v>0</v>
      </c>
      <c r="V151" s="224">
        <v>0</v>
      </c>
      <c r="W151" s="224">
        <v>276.87397129999999</v>
      </c>
      <c r="X151" s="224">
        <v>166.161961722488</v>
      </c>
      <c r="Y151" s="224">
        <v>5.3380799999999997</v>
      </c>
      <c r="Z151" s="224">
        <v>180.33283879999999</v>
      </c>
      <c r="AA151" s="224">
        <v>7.9979018027953312</v>
      </c>
      <c r="AB151" s="224">
        <v>10.031434234751259</v>
      </c>
      <c r="AC151" s="224">
        <v>12.84473012013094</v>
      </c>
      <c r="AD151" s="1120">
        <v>15.484209728100451</v>
      </c>
      <c r="AE151" s="224">
        <v>0</v>
      </c>
      <c r="AF151" s="224">
        <v>12737.843368770002</v>
      </c>
      <c r="AG151" s="224">
        <v>7244.661531100478</v>
      </c>
      <c r="AH151" s="224">
        <v>0</v>
      </c>
      <c r="AI151" s="224">
        <v>40800</v>
      </c>
      <c r="AJ151" s="224">
        <v>0</v>
      </c>
      <c r="AK151" s="224">
        <v>745.98720000000003</v>
      </c>
      <c r="AL151" s="224">
        <v>86487.140000000014</v>
      </c>
      <c r="AM151" s="224">
        <v>15390.821364000001</v>
      </c>
      <c r="AN151" s="1120">
        <v>163406.45346387048</v>
      </c>
      <c r="AO151" s="224">
        <f t="shared" si="11"/>
        <v>2.040199473774515</v>
      </c>
      <c r="AP151" s="1123">
        <v>0.1</v>
      </c>
      <c r="AQ151" s="1123">
        <f t="shared" si="13"/>
        <v>3.5471403350446636E-2</v>
      </c>
      <c r="AR151" s="1123">
        <v>20</v>
      </c>
      <c r="AS151" s="1123">
        <f t="shared" si="10"/>
        <v>0.58436808122581407</v>
      </c>
      <c r="AT151" s="224">
        <f t="shared" si="12"/>
        <v>5796.2562208829377</v>
      </c>
    </row>
    <row r="152" spans="1:46">
      <c r="A152" s="1121">
        <v>2020</v>
      </c>
      <c r="D152" s="1107" t="s">
        <v>2004</v>
      </c>
      <c r="E152" s="224" t="s">
        <v>2062</v>
      </c>
      <c r="G152" s="224">
        <v>8595.5006812879838</v>
      </c>
      <c r="H152" s="224">
        <v>3950.4837499999999</v>
      </c>
      <c r="I152" s="224">
        <v>5.2826400000000007</v>
      </c>
      <c r="J152" s="224">
        <v>4.7489967529884596E-2</v>
      </c>
      <c r="K152" s="224">
        <v>6.0742118236288306E-2</v>
      </c>
      <c r="L152" s="224">
        <v>7.9649244837321859E-2</v>
      </c>
      <c r="M152" s="224">
        <v>0</v>
      </c>
      <c r="N152" s="224">
        <v>0</v>
      </c>
      <c r="O152" s="224">
        <v>0</v>
      </c>
      <c r="P152" s="224">
        <v>0</v>
      </c>
      <c r="Q152" s="224">
        <v>0</v>
      </c>
      <c r="R152" s="224">
        <v>0</v>
      </c>
      <c r="S152" s="224">
        <v>0</v>
      </c>
      <c r="T152" s="224">
        <v>0</v>
      </c>
      <c r="U152" s="224">
        <v>0</v>
      </c>
      <c r="V152" s="224">
        <v>0</v>
      </c>
      <c r="W152" s="224">
        <v>229.0009766</v>
      </c>
      <c r="X152" s="224">
        <v>164.43624401913871</v>
      </c>
      <c r="Y152" s="224">
        <v>5.2826400000000007</v>
      </c>
      <c r="Z152" s="224">
        <v>149.22344744999998</v>
      </c>
      <c r="AA152" s="224">
        <v>7.1234951294826896</v>
      </c>
      <c r="AB152" s="224">
        <v>9.1113177354432455</v>
      </c>
      <c r="AC152" s="224">
        <v>11.947386725598278</v>
      </c>
      <c r="AD152" s="1120">
        <v>13.447335832300459</v>
      </c>
      <c r="AE152" s="224">
        <v>0</v>
      </c>
      <c r="AF152" s="224">
        <v>8145.7966242899993</v>
      </c>
      <c r="AG152" s="224">
        <v>7169.4202392344487</v>
      </c>
      <c r="AH152" s="224">
        <v>0</v>
      </c>
      <c r="AI152" s="224">
        <v>40800</v>
      </c>
      <c r="AJ152" s="224">
        <v>1981.7906762525845</v>
      </c>
      <c r="AK152" s="224">
        <v>1214.2458237810094</v>
      </c>
      <c r="AL152" s="224">
        <v>68189.31</v>
      </c>
      <c r="AM152" s="224">
        <v>14098.589907692309</v>
      </c>
      <c r="AN152" s="1120">
        <v>141599.15327125034</v>
      </c>
      <c r="AO152" s="224">
        <f t="shared" si="11"/>
        <v>1.7718209692639082</v>
      </c>
      <c r="AP152" s="1123">
        <v>0.1</v>
      </c>
      <c r="AQ152" s="1123">
        <f t="shared" si="13"/>
        <v>3.5471403350446636E-2</v>
      </c>
      <c r="AR152" s="1123">
        <v>20</v>
      </c>
      <c r="AS152" s="1123">
        <f t="shared" si="10"/>
        <v>0.50749724886893355</v>
      </c>
      <c r="AT152" s="224">
        <f t="shared" si="12"/>
        <v>5022.7206797662357</v>
      </c>
    </row>
    <row r="153" spans="1:46">
      <c r="A153" s="1118">
        <v>2025</v>
      </c>
      <c r="D153" s="1107" t="s">
        <v>2004</v>
      </c>
      <c r="E153" s="224" t="s">
        <v>2062</v>
      </c>
      <c r="G153" s="224">
        <v>8190.7282374108563</v>
      </c>
      <c r="H153" s="224">
        <v>3981.9561999999996</v>
      </c>
      <c r="I153" s="224">
        <v>5.0292000000000003</v>
      </c>
      <c r="J153" s="224">
        <v>4.110701675609664E-2</v>
      </c>
      <c r="K153" s="224">
        <v>5.0942797646613393E-2</v>
      </c>
      <c r="L153" s="224">
        <v>6.5587483132194813E-2</v>
      </c>
      <c r="M153" s="224">
        <v>0</v>
      </c>
      <c r="N153" s="224">
        <v>0</v>
      </c>
      <c r="O153" s="224">
        <v>0</v>
      </c>
      <c r="P153" s="224">
        <v>0</v>
      </c>
      <c r="Q153" s="224">
        <v>0</v>
      </c>
      <c r="R153" s="224">
        <v>0</v>
      </c>
      <c r="S153" s="224">
        <v>0</v>
      </c>
      <c r="T153" s="224">
        <v>0</v>
      </c>
      <c r="U153" s="224">
        <v>0</v>
      </c>
      <c r="V153" s="224">
        <v>0</v>
      </c>
      <c r="W153" s="224">
        <v>212.61465544999999</v>
      </c>
      <c r="X153" s="224">
        <v>142.28537909458962</v>
      </c>
      <c r="Y153" s="224">
        <v>5.0292000000000003</v>
      </c>
      <c r="Z153" s="224">
        <v>138.36138970000002</v>
      </c>
      <c r="AA153" s="224">
        <v>6.1660525134144963</v>
      </c>
      <c r="AB153" s="224">
        <v>7.6414196469920093</v>
      </c>
      <c r="AC153" s="224">
        <v>9.8381224698292211</v>
      </c>
      <c r="AD153" s="1120">
        <v>11.259306497192123</v>
      </c>
      <c r="AE153" s="224">
        <v>0</v>
      </c>
      <c r="AF153" s="224">
        <v>3766.2086625425004</v>
      </c>
      <c r="AG153" s="224">
        <v>4560.4059595141698</v>
      </c>
      <c r="AH153" s="224">
        <v>0</v>
      </c>
      <c r="AI153" s="224">
        <v>40800</v>
      </c>
      <c r="AJ153" s="224">
        <v>2363.0182694392256</v>
      </c>
      <c r="AK153" s="224">
        <v>2829.8971847014668</v>
      </c>
      <c r="AL153" s="224">
        <v>39923.840000000004</v>
      </c>
      <c r="AM153" s="224">
        <v>8596.9190830769239</v>
      </c>
      <c r="AN153" s="1120">
        <v>102840.28915927428</v>
      </c>
      <c r="AO153" s="224">
        <f t="shared" si="11"/>
        <v>1.483526224070034</v>
      </c>
      <c r="AP153" s="1123">
        <v>0.1</v>
      </c>
      <c r="AQ153" s="1123">
        <f t="shared" si="13"/>
        <v>3.5471403350446636E-2</v>
      </c>
      <c r="AR153" s="1123">
        <v>20</v>
      </c>
      <c r="AS153" s="1123">
        <f t="shared" si="10"/>
        <v>0.42492186874458354</v>
      </c>
      <c r="AT153" s="224">
        <f t="shared" si="12"/>
        <v>3647.8893774451826</v>
      </c>
    </row>
    <row r="154" spans="1:46">
      <c r="A154" s="1118">
        <v>2030</v>
      </c>
      <c r="D154" s="1107" t="s">
        <v>2004</v>
      </c>
      <c r="E154" s="224" t="s">
        <v>2062</v>
      </c>
      <c r="G154" s="224">
        <v>7973.0488068125051</v>
      </c>
      <c r="H154" s="224">
        <v>4019.5814500000006</v>
      </c>
      <c r="I154" s="224">
        <v>4.8747600000000002</v>
      </c>
      <c r="J154" s="224">
        <v>3.7592858409827151E-2</v>
      </c>
      <c r="K154" s="224">
        <v>4.6696983748648592E-2</v>
      </c>
      <c r="L154" s="224">
        <v>5.9964449636131914E-2</v>
      </c>
      <c r="M154" s="224">
        <v>0</v>
      </c>
      <c r="N154" s="224">
        <v>0</v>
      </c>
      <c r="O154" s="224">
        <v>0</v>
      </c>
      <c r="P154" s="224">
        <v>0</v>
      </c>
      <c r="Q154" s="224">
        <v>0</v>
      </c>
      <c r="R154" s="224">
        <v>0</v>
      </c>
      <c r="S154" s="224">
        <v>0</v>
      </c>
      <c r="T154" s="224">
        <v>0</v>
      </c>
      <c r="U154" s="224">
        <v>0</v>
      </c>
      <c r="V154" s="224">
        <v>0</v>
      </c>
      <c r="W154" s="224">
        <v>202.41843415</v>
      </c>
      <c r="X154" s="224">
        <v>108.13264879225576</v>
      </c>
      <c r="Y154" s="224">
        <v>4.8747600000000002</v>
      </c>
      <c r="Z154" s="224">
        <v>131.59047290000001</v>
      </c>
      <c r="AA154" s="224">
        <v>5.6389287614740731</v>
      </c>
      <c r="AB154" s="224">
        <v>7.0045475622972884</v>
      </c>
      <c r="AC154" s="224">
        <v>8.9946674454197861</v>
      </c>
      <c r="AD154" s="1120">
        <v>10.18394786854423</v>
      </c>
      <c r="AE154" s="224">
        <v>0</v>
      </c>
      <c r="AF154" s="224">
        <v>2668.3623985763252</v>
      </c>
      <c r="AG154" s="224">
        <v>2769.5553766146513</v>
      </c>
      <c r="AH154" s="224">
        <v>0</v>
      </c>
      <c r="AI154" s="224">
        <v>40800</v>
      </c>
      <c r="AJ154" s="224">
        <v>2851.055440532888</v>
      </c>
      <c r="AK154" s="224">
        <v>3508.029060192428</v>
      </c>
      <c r="AL154" s="224">
        <v>25178.5</v>
      </c>
      <c r="AM154" s="224">
        <v>6060.8553000000011</v>
      </c>
      <c r="AN154" s="1120">
        <v>83836.357575916292</v>
      </c>
      <c r="AO154" s="224">
        <f t="shared" si="11"/>
        <v>1.3418369711593876</v>
      </c>
      <c r="AP154" s="1123">
        <v>0.1</v>
      </c>
      <c r="AQ154" s="1123">
        <f t="shared" si="13"/>
        <v>3.5471403350446636E-2</v>
      </c>
      <c r="AR154" s="1123">
        <v>20</v>
      </c>
      <c r="AS154" s="1123">
        <f t="shared" si="10"/>
        <v>0.3843382503690087</v>
      </c>
      <c r="AT154" s="224">
        <f t="shared" si="12"/>
        <v>2973.7932550075993</v>
      </c>
    </row>
    <row r="155" spans="1:46">
      <c r="A155" s="1118">
        <v>2035</v>
      </c>
      <c r="D155" s="1107" t="s">
        <v>2004</v>
      </c>
      <c r="E155" s="224" t="s">
        <v>2062</v>
      </c>
      <c r="G155" s="224">
        <v>7829.3634985016051</v>
      </c>
      <c r="H155" s="224">
        <v>4055.8958750000002</v>
      </c>
      <c r="I155" s="224">
        <v>4.8074400000000006</v>
      </c>
      <c r="J155" s="224">
        <v>3.4511922287984456E-2</v>
      </c>
      <c r="K155" s="224">
        <v>4.3190164144053564E-2</v>
      </c>
      <c r="L155" s="224">
        <v>5.5485135526410323E-2</v>
      </c>
      <c r="M155" s="224">
        <v>0</v>
      </c>
      <c r="N155" s="224">
        <v>0</v>
      </c>
      <c r="O155" s="224">
        <v>0</v>
      </c>
      <c r="P155" s="224">
        <v>0</v>
      </c>
      <c r="Q155" s="224">
        <v>0</v>
      </c>
      <c r="R155" s="224">
        <v>0</v>
      </c>
      <c r="S155" s="224">
        <v>0</v>
      </c>
      <c r="T155" s="224">
        <v>0</v>
      </c>
      <c r="U155" s="224">
        <v>0</v>
      </c>
      <c r="V155" s="224">
        <v>0</v>
      </c>
      <c r="W155" s="224">
        <v>194.75161574999998</v>
      </c>
      <c r="X155" s="224">
        <v>90.851200873362416</v>
      </c>
      <c r="Y155" s="224">
        <v>4.8074400000000006</v>
      </c>
      <c r="Z155" s="224">
        <v>126.54537942500001</v>
      </c>
      <c r="AA155" s="224">
        <v>5.1767883431976678</v>
      </c>
      <c r="AB155" s="224">
        <v>6.4785246216080346</v>
      </c>
      <c r="AC155" s="224">
        <v>8.3227703289615498</v>
      </c>
      <c r="AD155" s="1120">
        <v>9.2822875314681834</v>
      </c>
      <c r="AE155" s="224">
        <v>0</v>
      </c>
      <c r="AF155" s="224">
        <v>2108.0899048439996</v>
      </c>
      <c r="AG155" s="224">
        <v>1746.139126637554</v>
      </c>
      <c r="AH155" s="224">
        <v>0</v>
      </c>
      <c r="AI155" s="224">
        <v>40800</v>
      </c>
      <c r="AJ155" s="224">
        <v>3431.2796019510192</v>
      </c>
      <c r="AK155" s="224">
        <v>3935.8667708711309</v>
      </c>
      <c r="AL155" s="224">
        <v>18945.599999999999</v>
      </c>
      <c r="AM155" s="224">
        <v>4433.6135549999999</v>
      </c>
      <c r="AN155" s="1120">
        <v>75400.588959303699</v>
      </c>
      <c r="AO155" s="224">
        <f t="shared" si="11"/>
        <v>1.2230342051462477</v>
      </c>
      <c r="AP155" s="1123">
        <v>0.1</v>
      </c>
      <c r="AQ155" s="1123">
        <f t="shared" si="13"/>
        <v>3.5471403350446636E-2</v>
      </c>
      <c r="AR155" s="1123">
        <v>20</v>
      </c>
      <c r="AS155" s="1123">
        <f t="shared" si="10"/>
        <v>0.3503099382790259</v>
      </c>
      <c r="AT155" s="224">
        <f t="shared" si="12"/>
        <v>2674.5647038366947</v>
      </c>
    </row>
    <row r="156" spans="1:46">
      <c r="A156" s="1118">
        <v>2050</v>
      </c>
      <c r="D156" s="1107" t="s">
        <v>2004</v>
      </c>
      <c r="E156" s="224" t="s">
        <v>2062</v>
      </c>
      <c r="G156" s="224">
        <v>7658.3883738301492</v>
      </c>
      <c r="H156" s="224">
        <v>4104.9930750000003</v>
      </c>
      <c r="I156" s="224">
        <v>4.7282400000000004</v>
      </c>
      <c r="J156" s="224">
        <v>3.1110905010397143E-2</v>
      </c>
      <c r="K156" s="224">
        <v>3.9171141796625716E-2</v>
      </c>
      <c r="L156" s="224">
        <v>5.0235415482404011E-2</v>
      </c>
      <c r="M156" s="224">
        <v>0</v>
      </c>
      <c r="N156" s="224">
        <v>0</v>
      </c>
      <c r="O156" s="224">
        <v>0</v>
      </c>
      <c r="P156" s="224">
        <v>0</v>
      </c>
      <c r="Q156" s="224">
        <v>0</v>
      </c>
      <c r="R156" s="224">
        <v>0</v>
      </c>
      <c r="S156" s="224">
        <v>0</v>
      </c>
      <c r="T156" s="224">
        <v>0</v>
      </c>
      <c r="U156" s="224">
        <v>0</v>
      </c>
      <c r="V156" s="224">
        <v>0</v>
      </c>
      <c r="W156" s="224">
        <v>186.5456796</v>
      </c>
      <c r="X156" s="224">
        <v>89.354475982532719</v>
      </c>
      <c r="Y156" s="224">
        <v>4.7282400000000004</v>
      </c>
      <c r="Z156" s="224">
        <v>121.0601765</v>
      </c>
      <c r="AA156" s="224">
        <v>4.6666357515595713</v>
      </c>
      <c r="AB156" s="224">
        <v>5.8756712694938571</v>
      </c>
      <c r="AC156" s="224">
        <v>7.5353123223606016</v>
      </c>
      <c r="AD156" s="1120">
        <v>8.2622102802967508</v>
      </c>
      <c r="AE156" s="224">
        <v>0</v>
      </c>
      <c r="AF156" s="224">
        <v>1226.8751599319999</v>
      </c>
      <c r="AG156" s="224">
        <v>1613.7687772925758</v>
      </c>
      <c r="AH156" s="224">
        <v>0</v>
      </c>
      <c r="AI156" s="224">
        <v>40800</v>
      </c>
      <c r="AJ156" s="224">
        <v>4216.1246270287984</v>
      </c>
      <c r="AK156" s="224">
        <v>4842.5801991868502</v>
      </c>
      <c r="AL156" s="224">
        <v>16313.999999999998</v>
      </c>
      <c r="AM156" s="224">
        <v>3736.76838</v>
      </c>
      <c r="AN156" s="1120">
        <v>72750.11714344022</v>
      </c>
      <c r="AO156" s="224">
        <f t="shared" si="11"/>
        <v>1.0886288265318997</v>
      </c>
      <c r="AP156" s="1123">
        <v>0.1</v>
      </c>
      <c r="AQ156" s="1123">
        <f t="shared" si="13"/>
        <v>3.5471403350446636E-2</v>
      </c>
      <c r="AR156" s="1123">
        <v>20</v>
      </c>
      <c r="AS156" s="1123">
        <f t="shared" si="10"/>
        <v>0.31181261769008034</v>
      </c>
      <c r="AT156" s="224">
        <f t="shared" si="12"/>
        <v>2580.5487489872107</v>
      </c>
    </row>
    <row r="157" spans="1:46">
      <c r="A157" s="1118">
        <v>2017</v>
      </c>
      <c r="B157" s="1119"/>
      <c r="C157" s="1119"/>
      <c r="D157" s="1119" t="s">
        <v>2006</v>
      </c>
      <c r="E157" s="1119" t="s">
        <v>2057</v>
      </c>
      <c r="F157" s="1119"/>
      <c r="G157" s="224">
        <v>16750.959743508531</v>
      </c>
      <c r="H157" s="224">
        <v>5954.45</v>
      </c>
      <c r="I157" s="224">
        <v>3.1680000000000001</v>
      </c>
      <c r="J157" s="224">
        <v>0.14339198294881172</v>
      </c>
      <c r="K157" s="224">
        <v>0.1185719913993335</v>
      </c>
      <c r="L157" s="224">
        <v>0.14076365912149619</v>
      </c>
      <c r="M157" s="224">
        <v>0</v>
      </c>
      <c r="N157" s="224">
        <v>0</v>
      </c>
      <c r="O157" s="224">
        <v>0</v>
      </c>
      <c r="P157" s="224">
        <v>0</v>
      </c>
      <c r="Q157" s="224">
        <v>0</v>
      </c>
      <c r="R157" s="224">
        <v>0</v>
      </c>
      <c r="S157" s="224">
        <v>0</v>
      </c>
      <c r="T157" s="224">
        <v>0</v>
      </c>
      <c r="U157" s="224">
        <v>0</v>
      </c>
      <c r="V157" s="224">
        <v>200.8402384</v>
      </c>
      <c r="W157" s="224">
        <v>0</v>
      </c>
      <c r="X157" s="224">
        <v>4.3509999999999991</v>
      </c>
      <c r="Y157" s="224">
        <v>3.1680000000000001</v>
      </c>
      <c r="Z157" s="224">
        <v>0</v>
      </c>
      <c r="AA157" s="224">
        <v>28.678396589762343</v>
      </c>
      <c r="AB157" s="224">
        <v>23.7143982798667</v>
      </c>
      <c r="AC157" s="224">
        <v>28.152731824299238</v>
      </c>
      <c r="AD157" s="1120">
        <v>21.448463328243193</v>
      </c>
      <c r="AE157" s="224">
        <v>18737.146477129143</v>
      </c>
      <c r="AF157" s="224">
        <v>0</v>
      </c>
      <c r="AG157" s="224">
        <v>261.60000000000002</v>
      </c>
      <c r="AH157" s="224">
        <v>6633.566939553104</v>
      </c>
      <c r="AI157" s="224">
        <v>66600</v>
      </c>
      <c r="AJ157" s="224">
        <v>0</v>
      </c>
      <c r="AK157" s="224">
        <v>745.98720000000003</v>
      </c>
      <c r="AL157" s="224">
        <v>0</v>
      </c>
      <c r="AM157" s="224">
        <v>436.00000000000006</v>
      </c>
      <c r="AN157" s="1120">
        <v>93414.300616682245</v>
      </c>
      <c r="AO157" s="224">
        <f t="shared" si="11"/>
        <v>2.8260495281293228</v>
      </c>
      <c r="AP157" s="1123">
        <v>0.1</v>
      </c>
      <c r="AQ157" s="1123">
        <f>AA157*$C$4*365/1000*0.1</f>
        <v>0.13792129201534861</v>
      </c>
      <c r="AR157" s="1123">
        <v>20</v>
      </c>
      <c r="AS157" s="1123">
        <f>AO157/$AO$157</f>
        <v>1</v>
      </c>
      <c r="AT157" s="224">
        <f t="shared" si="12"/>
        <v>12883.821033762992</v>
      </c>
    </row>
    <row r="158" spans="1:46">
      <c r="A158" s="1121">
        <v>2020</v>
      </c>
      <c r="B158" s="1107"/>
      <c r="C158" s="1107"/>
      <c r="D158" s="1107" t="s">
        <v>2006</v>
      </c>
      <c r="E158" s="1107" t="s">
        <v>2057</v>
      </c>
      <c r="F158" s="1107"/>
      <c r="G158" s="224">
        <v>16740.761161290822</v>
      </c>
      <c r="H158" s="224">
        <v>6002.5833000000002</v>
      </c>
      <c r="I158" s="224">
        <v>3.1680000000000001</v>
      </c>
      <c r="J158" s="224">
        <v>0.13865556768885756</v>
      </c>
      <c r="K158" s="224">
        <v>0.11073040198973361</v>
      </c>
      <c r="L158" s="224">
        <v>0.13180970201570488</v>
      </c>
      <c r="M158" s="224">
        <v>0</v>
      </c>
      <c r="N158" s="224">
        <v>0</v>
      </c>
      <c r="O158" s="224">
        <v>0</v>
      </c>
      <c r="P158" s="224">
        <v>0</v>
      </c>
      <c r="Q158" s="224">
        <v>0</v>
      </c>
      <c r="R158" s="224">
        <v>0</v>
      </c>
      <c r="S158" s="224">
        <v>0</v>
      </c>
      <c r="T158" s="224">
        <v>0</v>
      </c>
      <c r="U158" s="224">
        <v>0</v>
      </c>
      <c r="V158" s="224">
        <v>205.94425634999999</v>
      </c>
      <c r="W158" s="224">
        <v>0</v>
      </c>
      <c r="X158" s="224">
        <v>4.2881538461538478</v>
      </c>
      <c r="Y158" s="224">
        <v>3.1680000000000001</v>
      </c>
      <c r="Z158" s="224">
        <v>0</v>
      </c>
      <c r="AA158" s="224">
        <v>27.731113537771513</v>
      </c>
      <c r="AB158" s="224">
        <v>22.146080397946722</v>
      </c>
      <c r="AC158" s="224">
        <v>26.361940403140977</v>
      </c>
      <c r="AD158" s="1120">
        <v>20.227002953318696</v>
      </c>
      <c r="AE158" s="224">
        <v>19816.039265041538</v>
      </c>
      <c r="AF158" s="224">
        <v>0</v>
      </c>
      <c r="AG158" s="224">
        <v>261.60000000000002</v>
      </c>
      <c r="AH158" s="224">
        <v>6776.2330412865513</v>
      </c>
      <c r="AI158" s="224">
        <v>66600</v>
      </c>
      <c r="AJ158" s="224">
        <v>1226.5823159392048</v>
      </c>
      <c r="AK158" s="224">
        <v>1214.2458237810094</v>
      </c>
      <c r="AL158" s="224">
        <v>0</v>
      </c>
      <c r="AM158" s="224">
        <v>436.00000000000006</v>
      </c>
      <c r="AN158" s="1120">
        <v>96330.700446048286</v>
      </c>
      <c r="AO158" s="224">
        <f t="shared" si="11"/>
        <v>2.6651099091292711</v>
      </c>
      <c r="AP158" s="1123">
        <v>0.1</v>
      </c>
      <c r="AQ158" s="1123">
        <f t="shared" si="13"/>
        <v>0.13792129201534861</v>
      </c>
      <c r="AR158" s="1123">
        <v>20</v>
      </c>
      <c r="AS158" s="1123">
        <f t="shared" ref="AS158:AS192" si="14">AO158/$AO$157</f>
        <v>0.94305138059396143</v>
      </c>
      <c r="AT158" s="224">
        <f t="shared" si="12"/>
        <v>13286.054666262498</v>
      </c>
    </row>
    <row r="159" spans="1:46">
      <c r="A159" s="1118">
        <v>2025</v>
      </c>
      <c r="B159" s="1119"/>
      <c r="C159" s="1119"/>
      <c r="D159" s="1107" t="s">
        <v>2006</v>
      </c>
      <c r="E159" s="1119" t="s">
        <v>2057</v>
      </c>
      <c r="F159" s="1119"/>
      <c r="G159" s="224">
        <v>16679.197097341719</v>
      </c>
      <c r="H159" s="224">
        <v>6071.2999999999993</v>
      </c>
      <c r="I159" s="224">
        <v>3.1680000000000001</v>
      </c>
      <c r="J159" s="224">
        <v>0.12633223564676163</v>
      </c>
      <c r="K159" s="224">
        <v>9.3697408317021169E-2</v>
      </c>
      <c r="L159" s="224">
        <v>0.11019422829619994</v>
      </c>
      <c r="M159" s="224">
        <v>0</v>
      </c>
      <c r="N159" s="224">
        <v>0</v>
      </c>
      <c r="O159" s="224">
        <v>0</v>
      </c>
      <c r="P159" s="224">
        <v>0</v>
      </c>
      <c r="Q159" s="224">
        <v>0</v>
      </c>
      <c r="R159" s="224">
        <v>0</v>
      </c>
      <c r="S159" s="224">
        <v>0</v>
      </c>
      <c r="T159" s="224">
        <v>0</v>
      </c>
      <c r="U159" s="224">
        <v>0</v>
      </c>
      <c r="V159" s="224">
        <v>207.56771660000004</v>
      </c>
      <c r="W159" s="224">
        <v>0</v>
      </c>
      <c r="X159" s="224">
        <v>4.342294314381272</v>
      </c>
      <c r="Y159" s="224">
        <v>3.1680000000000001</v>
      </c>
      <c r="Z159" s="224">
        <v>0</v>
      </c>
      <c r="AA159" s="224">
        <v>25.266447129352322</v>
      </c>
      <c r="AB159" s="224">
        <v>18.739481663404234</v>
      </c>
      <c r="AC159" s="224">
        <v>22.038845659239989</v>
      </c>
      <c r="AD159" s="1120">
        <v>17.847189007633272</v>
      </c>
      <c r="AE159" s="224">
        <v>20960.494815896942</v>
      </c>
      <c r="AF159" s="224">
        <v>0</v>
      </c>
      <c r="AG159" s="224">
        <v>211.2</v>
      </c>
      <c r="AH159" s="224">
        <v>6821.611554343448</v>
      </c>
      <c r="AI159" s="224">
        <v>66600</v>
      </c>
      <c r="AJ159" s="224">
        <v>2761.8476565487535</v>
      </c>
      <c r="AK159" s="224">
        <v>2829.8971847014668</v>
      </c>
      <c r="AL159" s="224">
        <v>0</v>
      </c>
      <c r="AM159" s="224">
        <v>352.00000000000006</v>
      </c>
      <c r="AN159" s="1120">
        <v>100537.0512114906</v>
      </c>
      <c r="AO159" s="224">
        <f t="shared" si="11"/>
        <v>2.3515456236457597</v>
      </c>
      <c r="AP159" s="1123">
        <v>0.1</v>
      </c>
      <c r="AQ159" s="1123">
        <f t="shared" si="13"/>
        <v>0.13792129201534861</v>
      </c>
      <c r="AR159" s="1123">
        <v>20</v>
      </c>
      <c r="AS159" s="1123">
        <f t="shared" si="14"/>
        <v>0.83209639471617591</v>
      </c>
      <c r="AT159" s="224">
        <f t="shared" si="12"/>
        <v>13866.199998502054</v>
      </c>
    </row>
    <row r="160" spans="1:46">
      <c r="A160" s="1118">
        <v>2030</v>
      </c>
      <c r="B160" s="1107"/>
      <c r="C160" s="1107"/>
      <c r="D160" s="1107" t="s">
        <v>2006</v>
      </c>
      <c r="E160" s="1107" t="s">
        <v>2057</v>
      </c>
      <c r="F160" s="1107"/>
      <c r="G160" s="224">
        <v>16641.531928954882</v>
      </c>
      <c r="H160" s="224">
        <v>6149.2</v>
      </c>
      <c r="I160" s="224">
        <v>3.1680000000000001</v>
      </c>
      <c r="J160" s="224">
        <v>0.11918449447638098</v>
      </c>
      <c r="K160" s="224">
        <v>8.6852205726672363E-2</v>
      </c>
      <c r="L160" s="224">
        <v>0.10187250299508779</v>
      </c>
      <c r="M160" s="224">
        <v>0</v>
      </c>
      <c r="N160" s="224">
        <v>0</v>
      </c>
      <c r="O160" s="224">
        <v>0</v>
      </c>
      <c r="P160" s="224">
        <v>0</v>
      </c>
      <c r="Q160" s="224">
        <v>0</v>
      </c>
      <c r="R160" s="224">
        <v>0</v>
      </c>
      <c r="S160" s="224">
        <v>0</v>
      </c>
      <c r="T160" s="224">
        <v>0</v>
      </c>
      <c r="U160" s="224">
        <v>0</v>
      </c>
      <c r="V160" s="224">
        <v>205.24579465000002</v>
      </c>
      <c r="W160" s="224">
        <v>0</v>
      </c>
      <c r="X160" s="224">
        <v>4.3964347826086954</v>
      </c>
      <c r="Y160" s="224">
        <v>3.1680000000000001</v>
      </c>
      <c r="Z160" s="224">
        <v>0</v>
      </c>
      <c r="AA160" s="224">
        <v>23.8368988952762</v>
      </c>
      <c r="AB160" s="224">
        <v>17.370441145334471</v>
      </c>
      <c r="AC160" s="224">
        <v>20.374500599017558</v>
      </c>
      <c r="AD160" s="1120">
        <v>16.560246770487524</v>
      </c>
      <c r="AE160" s="224">
        <v>21185.281365700572</v>
      </c>
      <c r="AF160" s="224">
        <v>0</v>
      </c>
      <c r="AG160" s="224">
        <v>177.6</v>
      </c>
      <c r="AH160" s="224">
        <v>6756.7098325272409</v>
      </c>
      <c r="AI160" s="224">
        <v>66600</v>
      </c>
      <c r="AJ160" s="224">
        <v>4389.3477498749999</v>
      </c>
      <c r="AK160" s="224">
        <v>3508.029060192428</v>
      </c>
      <c r="AL160" s="224">
        <v>0</v>
      </c>
      <c r="AM160" s="224">
        <v>296</v>
      </c>
      <c r="AN160" s="1120">
        <v>102912.96800829525</v>
      </c>
      <c r="AO160" s="224">
        <f t="shared" si="11"/>
        <v>2.1819781144794361</v>
      </c>
      <c r="AP160" s="1123">
        <v>0.1</v>
      </c>
      <c r="AQ160" s="1123">
        <f t="shared" si="13"/>
        <v>0.13792129201534861</v>
      </c>
      <c r="AR160" s="1123">
        <v>20</v>
      </c>
      <c r="AS160" s="1123">
        <f t="shared" si="14"/>
        <v>0.77209478912557361</v>
      </c>
      <c r="AT160" s="224">
        <f t="shared" si="12"/>
        <v>14193.889512838319</v>
      </c>
    </row>
    <row r="161" spans="1:46">
      <c r="A161" s="1118">
        <v>2035</v>
      </c>
      <c r="B161" s="1119"/>
      <c r="C161" s="1119"/>
      <c r="D161" s="1107" t="s">
        <v>2006</v>
      </c>
      <c r="E161" s="1119" t="s">
        <v>2057</v>
      </c>
      <c r="F161" s="1119"/>
      <c r="G161" s="224">
        <v>16611.464463209824</v>
      </c>
      <c r="H161" s="224">
        <v>6227.1</v>
      </c>
      <c r="I161" s="224">
        <v>3.1680000000000001</v>
      </c>
      <c r="J161" s="224">
        <v>0.11513533369433264</v>
      </c>
      <c r="K161" s="224">
        <v>8.3150417501406601E-2</v>
      </c>
      <c r="L161" s="224">
        <v>9.6608756042704441E-2</v>
      </c>
      <c r="M161" s="224">
        <v>0</v>
      </c>
      <c r="N161" s="224">
        <v>0</v>
      </c>
      <c r="O161" s="224">
        <v>0</v>
      </c>
      <c r="P161" s="224">
        <v>0</v>
      </c>
      <c r="Q161" s="224">
        <v>0</v>
      </c>
      <c r="R161" s="224">
        <v>0</v>
      </c>
      <c r="S161" s="224">
        <v>0</v>
      </c>
      <c r="T161" s="224">
        <v>0</v>
      </c>
      <c r="U161" s="224">
        <v>0</v>
      </c>
      <c r="V161" s="224">
        <v>205.27754425000001</v>
      </c>
      <c r="W161" s="224">
        <v>0</v>
      </c>
      <c r="X161" s="224">
        <v>4.3964347826086954</v>
      </c>
      <c r="Y161" s="224">
        <v>3.1680000000000001</v>
      </c>
      <c r="Z161" s="224">
        <v>0</v>
      </c>
      <c r="AA161" s="224">
        <v>23.02706673886653</v>
      </c>
      <c r="AB161" s="224">
        <v>16.630083500281319</v>
      </c>
      <c r="AC161" s="224">
        <v>19.321751208540888</v>
      </c>
      <c r="AD161" s="1120">
        <v>15.772193188021884</v>
      </c>
      <c r="AE161" s="224">
        <v>21697.930634567951</v>
      </c>
      <c r="AF161" s="224">
        <v>0</v>
      </c>
      <c r="AG161" s="224">
        <v>144</v>
      </c>
      <c r="AH161" s="224">
        <v>6757.597288587931</v>
      </c>
      <c r="AI161" s="224">
        <v>66600</v>
      </c>
      <c r="AJ161" s="224">
        <v>6152.7344628750025</v>
      </c>
      <c r="AK161" s="224">
        <v>3935.8667708711309</v>
      </c>
      <c r="AL161" s="224">
        <v>0</v>
      </c>
      <c r="AM161" s="224">
        <v>240</v>
      </c>
      <c r="AN161" s="1120">
        <v>105528.12915690201</v>
      </c>
      <c r="AO161" s="224">
        <f t="shared" si="11"/>
        <v>2.0781441744537634</v>
      </c>
      <c r="AP161" s="1123">
        <v>0.1</v>
      </c>
      <c r="AQ161" s="1123">
        <f t="shared" si="13"/>
        <v>0.13792129201534861</v>
      </c>
      <c r="AR161" s="1123">
        <v>20</v>
      </c>
      <c r="AS161" s="1123">
        <f t="shared" si="14"/>
        <v>0.73535306220530805</v>
      </c>
      <c r="AT161" s="224">
        <f t="shared" si="12"/>
        <v>14554.575917282506</v>
      </c>
    </row>
    <row r="162" spans="1:46">
      <c r="A162" s="1118">
        <v>2050</v>
      </c>
      <c r="B162" s="1107"/>
      <c r="C162" s="1107"/>
      <c r="D162" s="1107" t="s">
        <v>2006</v>
      </c>
      <c r="E162" s="1107" t="s">
        <v>2057</v>
      </c>
      <c r="F162" s="1107"/>
      <c r="G162" s="224">
        <v>16426.520500564577</v>
      </c>
      <c r="H162" s="224">
        <v>6343.95</v>
      </c>
      <c r="I162" s="224">
        <v>3.1680000000000001</v>
      </c>
      <c r="J162" s="224">
        <v>0.10879481704785139</v>
      </c>
      <c r="K162" s="224">
        <v>7.7602427385699252E-2</v>
      </c>
      <c r="L162" s="224">
        <v>9.0566726577127887E-2</v>
      </c>
      <c r="M162" s="224">
        <v>0</v>
      </c>
      <c r="N162" s="224">
        <v>0</v>
      </c>
      <c r="O162" s="224">
        <v>0</v>
      </c>
      <c r="P162" s="224">
        <v>0</v>
      </c>
      <c r="Q162" s="224">
        <v>0</v>
      </c>
      <c r="R162" s="224">
        <v>0</v>
      </c>
      <c r="S162" s="224">
        <v>0</v>
      </c>
      <c r="T162" s="224">
        <v>0</v>
      </c>
      <c r="U162" s="224">
        <v>0</v>
      </c>
      <c r="V162" s="224">
        <v>201.11886957500002</v>
      </c>
      <c r="W162" s="224">
        <v>0</v>
      </c>
      <c r="X162" s="224">
        <v>4.3964347826086954</v>
      </c>
      <c r="Y162" s="224">
        <v>3.1680000000000001</v>
      </c>
      <c r="Z162" s="224">
        <v>0</v>
      </c>
      <c r="AA162" s="224">
        <v>21.758963409570278</v>
      </c>
      <c r="AB162" s="224">
        <v>15.52048547713985</v>
      </c>
      <c r="AC162" s="224">
        <v>18.11334531542558</v>
      </c>
      <c r="AD162" s="1120">
        <v>14.619561193940985</v>
      </c>
      <c r="AE162" s="224">
        <v>22029.768129670658</v>
      </c>
      <c r="AF162" s="224">
        <v>0</v>
      </c>
      <c r="AG162" s="224">
        <v>144</v>
      </c>
      <c r="AH162" s="224">
        <v>6641.3551612929305</v>
      </c>
      <c r="AI162" s="224">
        <v>66600</v>
      </c>
      <c r="AJ162" s="224">
        <v>8806.0084035</v>
      </c>
      <c r="AK162" s="224">
        <v>4842.5801991868502</v>
      </c>
      <c r="AL162" s="224">
        <v>0</v>
      </c>
      <c r="AM162" s="224">
        <v>240</v>
      </c>
      <c r="AN162" s="1120">
        <v>109303.71189365044</v>
      </c>
      <c r="AO162" s="224">
        <f t="shared" si="11"/>
        <v>1.926273382913664</v>
      </c>
      <c r="AP162" s="1123">
        <v>0.1</v>
      </c>
      <c r="AQ162" s="1123">
        <f t="shared" si="13"/>
        <v>0.13792129201534861</v>
      </c>
      <c r="AR162" s="1123">
        <v>20</v>
      </c>
      <c r="AS162" s="1123">
        <f t="shared" si="14"/>
        <v>0.68161345501568149</v>
      </c>
      <c r="AT162" s="224">
        <f t="shared" si="12"/>
        <v>15075.309166445695</v>
      </c>
    </row>
    <row r="163" spans="1:46">
      <c r="A163" s="1118">
        <v>2017</v>
      </c>
      <c r="B163" s="1119"/>
      <c r="C163" s="1119"/>
      <c r="D163" s="1107" t="s">
        <v>2006</v>
      </c>
      <c r="E163" s="1119" t="s">
        <v>2058</v>
      </c>
      <c r="F163" s="1119"/>
      <c r="G163" s="224">
        <v>18798.384696059831</v>
      </c>
      <c r="H163" s="224">
        <v>6818</v>
      </c>
      <c r="I163" s="224">
        <v>0.44999792640000003</v>
      </c>
      <c r="J163" s="224">
        <v>0.14742535318381755</v>
      </c>
      <c r="K163" s="224">
        <v>0.12437965984541513</v>
      </c>
      <c r="L163" s="224">
        <v>0.14916420188565793</v>
      </c>
      <c r="M163" s="224">
        <v>0</v>
      </c>
      <c r="N163" s="224">
        <v>0</v>
      </c>
      <c r="O163" s="224">
        <v>0</v>
      </c>
      <c r="P163" s="224">
        <v>0</v>
      </c>
      <c r="Q163" s="224">
        <v>0</v>
      </c>
      <c r="R163" s="224">
        <v>0</v>
      </c>
      <c r="S163" s="224">
        <v>0</v>
      </c>
      <c r="T163" s="224">
        <v>0</v>
      </c>
      <c r="U163" s="224">
        <v>0</v>
      </c>
      <c r="V163" s="224">
        <v>213.72181430000001</v>
      </c>
      <c r="W163" s="224">
        <v>5.4</v>
      </c>
      <c r="X163" s="224">
        <v>8.1</v>
      </c>
      <c r="Y163" s="224">
        <v>0.44999792640000003</v>
      </c>
      <c r="Z163" s="224">
        <v>0</v>
      </c>
      <c r="AA163" s="224">
        <v>29.48507063676351</v>
      </c>
      <c r="AB163" s="224">
        <v>24.875931969083027</v>
      </c>
      <c r="AC163" s="224">
        <v>29.832840377131586</v>
      </c>
      <c r="AD163" s="1120">
        <v>19.369342197683892</v>
      </c>
      <c r="AE163" s="224">
        <v>20050.849871972572</v>
      </c>
      <c r="AF163" s="224">
        <v>1073.0849999999998</v>
      </c>
      <c r="AG163" s="224">
        <v>610.72195742009569</v>
      </c>
      <c r="AH163" s="224">
        <v>6993.6291955717243</v>
      </c>
      <c r="AI163" s="224">
        <v>66000</v>
      </c>
      <c r="AJ163" s="224">
        <v>0</v>
      </c>
      <c r="AK163" s="224">
        <v>745.98720000000003</v>
      </c>
      <c r="AL163" s="224">
        <v>0</v>
      </c>
      <c r="AM163" s="224">
        <v>436.00000000000006</v>
      </c>
      <c r="AN163" s="1120">
        <v>95910.273224964403</v>
      </c>
      <c r="AO163" s="224">
        <f t="shared" si="11"/>
        <v>2.5521045279668293</v>
      </c>
      <c r="AP163" s="1123">
        <v>0.1</v>
      </c>
      <c r="AQ163" s="1123">
        <f t="shared" si="13"/>
        <v>0.13792129201534861</v>
      </c>
      <c r="AR163" s="1123">
        <v>20</v>
      </c>
      <c r="AS163" s="1123">
        <f t="shared" si="14"/>
        <v>0.90306433152152543</v>
      </c>
      <c r="AT163" s="224">
        <f t="shared" si="12"/>
        <v>13228.068800732186</v>
      </c>
    </row>
    <row r="164" spans="1:46">
      <c r="A164" s="1121">
        <v>2020</v>
      </c>
      <c r="D164" s="1107" t="s">
        <v>2006</v>
      </c>
      <c r="E164" s="224" t="s">
        <v>2058</v>
      </c>
      <c r="G164" s="224">
        <v>18687.478629358859</v>
      </c>
      <c r="H164" s="224">
        <v>6873.7332999999999</v>
      </c>
      <c r="I164" s="224">
        <v>0.39366835200000005</v>
      </c>
      <c r="J164" s="224">
        <v>0.14173352720124627</v>
      </c>
      <c r="K164" s="224">
        <v>0.11671386345831801</v>
      </c>
      <c r="L164" s="224">
        <v>0.1397340471792278</v>
      </c>
      <c r="M164" s="224">
        <v>0</v>
      </c>
      <c r="N164" s="224">
        <v>0</v>
      </c>
      <c r="O164" s="224">
        <v>0</v>
      </c>
      <c r="P164" s="224">
        <v>0</v>
      </c>
      <c r="Q164" s="224">
        <v>0</v>
      </c>
      <c r="R164" s="224">
        <v>0</v>
      </c>
      <c r="S164" s="224">
        <v>0</v>
      </c>
      <c r="T164" s="224">
        <v>0</v>
      </c>
      <c r="U164" s="224">
        <v>0</v>
      </c>
      <c r="V164" s="224">
        <v>214.5652584</v>
      </c>
      <c r="W164" s="224">
        <v>4.7240000000000002</v>
      </c>
      <c r="X164" s="224">
        <v>7.0860000000000003</v>
      </c>
      <c r="Y164" s="224">
        <v>0.39366835200000005</v>
      </c>
      <c r="Z164" s="224">
        <v>0</v>
      </c>
      <c r="AA164" s="224">
        <v>28.346705440249252</v>
      </c>
      <c r="AB164" s="224">
        <v>23.342772691663601</v>
      </c>
      <c r="AC164" s="224">
        <v>27.946809435845559</v>
      </c>
      <c r="AD164" s="1120">
        <v>18.434119738506393</v>
      </c>
      <c r="AE164" s="224">
        <v>20422.502622786284</v>
      </c>
      <c r="AF164" s="224">
        <v>699.73410000000001</v>
      </c>
      <c r="AG164" s="224">
        <v>534.27336528229648</v>
      </c>
      <c r="AH164" s="224">
        <v>7017.2049123806892</v>
      </c>
      <c r="AI164" s="224">
        <v>66000</v>
      </c>
      <c r="AJ164" s="224">
        <v>1420.2532079296063</v>
      </c>
      <c r="AK164" s="224">
        <v>1214.2458237810094</v>
      </c>
      <c r="AL164" s="224">
        <v>0</v>
      </c>
      <c r="AM164" s="224">
        <v>436.00000000000006</v>
      </c>
      <c r="AN164" s="1120">
        <v>97744.214032159871</v>
      </c>
      <c r="AO164" s="224">
        <f t="shared" si="11"/>
        <v>2.4288796167456019</v>
      </c>
      <c r="AP164" s="1123">
        <v>0.1</v>
      </c>
      <c r="AQ164" s="1123">
        <f t="shared" si="13"/>
        <v>0.13792129201534861</v>
      </c>
      <c r="AR164" s="1123">
        <v>20</v>
      </c>
      <c r="AS164" s="1123">
        <f t="shared" si="14"/>
        <v>0.85946109315124997</v>
      </c>
      <c r="AT164" s="224">
        <f t="shared" si="12"/>
        <v>13481.008286340257</v>
      </c>
    </row>
    <row r="165" spans="1:46">
      <c r="A165" s="1118">
        <v>2025</v>
      </c>
      <c r="D165" s="1107" t="s">
        <v>2006</v>
      </c>
      <c r="E165" s="224" t="s">
        <v>2058</v>
      </c>
      <c r="G165" s="224">
        <v>18516.29256177185</v>
      </c>
      <c r="H165" s="224">
        <v>6953.2999999999993</v>
      </c>
      <c r="I165" s="224">
        <v>0.30950092800000006</v>
      </c>
      <c r="J165" s="224">
        <v>0.1279743898012109</v>
      </c>
      <c r="K165" s="224">
        <v>9.8700262022000496E-2</v>
      </c>
      <c r="L165" s="224">
        <v>0.11688874250184333</v>
      </c>
      <c r="M165" s="224">
        <v>0</v>
      </c>
      <c r="N165" s="224">
        <v>0</v>
      </c>
      <c r="O165" s="224">
        <v>0</v>
      </c>
      <c r="P165" s="224">
        <v>0</v>
      </c>
      <c r="Q165" s="224">
        <v>0</v>
      </c>
      <c r="R165" s="224">
        <v>0</v>
      </c>
      <c r="S165" s="224">
        <v>0</v>
      </c>
      <c r="T165" s="224">
        <v>0</v>
      </c>
      <c r="U165" s="224">
        <v>0</v>
      </c>
      <c r="V165" s="224">
        <v>209.22387565000002</v>
      </c>
      <c r="W165" s="224">
        <v>3.7139999999999995</v>
      </c>
      <c r="X165" s="224">
        <v>5.5709999999999997</v>
      </c>
      <c r="Y165" s="224">
        <v>0.30950092800000006</v>
      </c>
      <c r="Z165" s="224">
        <v>0</v>
      </c>
      <c r="AA165" s="224">
        <v>25.594877960242179</v>
      </c>
      <c r="AB165" s="224">
        <v>19.7400524044001</v>
      </c>
      <c r="AC165" s="224">
        <v>23.377748500368668</v>
      </c>
      <c r="AD165" s="1120">
        <v>16.372604112162687</v>
      </c>
      <c r="AE165" s="224">
        <v>20755.157169494854</v>
      </c>
      <c r="AF165" s="224">
        <v>337.6241</v>
      </c>
      <c r="AG165" s="224">
        <v>285.71973567740895</v>
      </c>
      <c r="AH165" s="224">
        <v>6867.9040552375855</v>
      </c>
      <c r="AI165" s="224">
        <v>66000</v>
      </c>
      <c r="AJ165" s="224">
        <v>3197.9288654775046</v>
      </c>
      <c r="AK165" s="224">
        <v>2829.8971847014668</v>
      </c>
      <c r="AL165" s="224">
        <v>0</v>
      </c>
      <c r="AM165" s="224">
        <v>352.00000000000006</v>
      </c>
      <c r="AN165" s="1120">
        <v>100626.23111058879</v>
      </c>
      <c r="AO165" s="224">
        <f t="shared" si="11"/>
        <v>2.1572543178185555</v>
      </c>
      <c r="AP165" s="1123">
        <v>0.1</v>
      </c>
      <c r="AQ165" s="1123">
        <f t="shared" si="13"/>
        <v>0.13792129201534861</v>
      </c>
      <c r="AR165" s="1123">
        <v>20</v>
      </c>
      <c r="AS165" s="1123">
        <f t="shared" si="14"/>
        <v>0.76334625290397151</v>
      </c>
      <c r="AT165" s="224">
        <f t="shared" si="12"/>
        <v>13878.499805407475</v>
      </c>
    </row>
    <row r="166" spans="1:46">
      <c r="A166" s="1118">
        <v>2030</v>
      </c>
      <c r="D166" s="1107" t="s">
        <v>2006</v>
      </c>
      <c r="E166" s="224" t="s">
        <v>2058</v>
      </c>
      <c r="G166" s="224">
        <v>18328.833560944367</v>
      </c>
      <c r="H166" s="224">
        <v>7043.5</v>
      </c>
      <c r="I166" s="224">
        <v>0.25316628480000003</v>
      </c>
      <c r="J166" s="224">
        <v>0.12056233930744834</v>
      </c>
      <c r="K166" s="224">
        <v>9.1333109798253875E-2</v>
      </c>
      <c r="L166" s="224">
        <v>0.10697537755951439</v>
      </c>
      <c r="M166" s="224">
        <v>0</v>
      </c>
      <c r="N166" s="224">
        <v>0</v>
      </c>
      <c r="O166" s="224">
        <v>0</v>
      </c>
      <c r="P166" s="224">
        <v>0</v>
      </c>
      <c r="Q166" s="224">
        <v>0</v>
      </c>
      <c r="R166" s="224">
        <v>0</v>
      </c>
      <c r="S166" s="224">
        <v>0</v>
      </c>
      <c r="T166" s="224">
        <v>0</v>
      </c>
      <c r="U166" s="224">
        <v>0</v>
      </c>
      <c r="V166" s="224">
        <v>206.16662495000003</v>
      </c>
      <c r="W166" s="224">
        <v>3.0380000000000003</v>
      </c>
      <c r="X166" s="224">
        <v>4.5570000000000004</v>
      </c>
      <c r="Y166" s="224">
        <v>0.25316628480000003</v>
      </c>
      <c r="Z166" s="224">
        <v>0</v>
      </c>
      <c r="AA166" s="224">
        <v>24.112467861489666</v>
      </c>
      <c r="AB166" s="224">
        <v>18.266621959650777</v>
      </c>
      <c r="AC166" s="224">
        <v>21.395075511902874</v>
      </c>
      <c r="AD166" s="1120">
        <v>15.211225419764613</v>
      </c>
      <c r="AE166" s="224">
        <v>20908.000049238857</v>
      </c>
      <c r="AF166" s="224">
        <v>219.28627440000002</v>
      </c>
      <c r="AG166" s="224">
        <v>149.45854097639233</v>
      </c>
      <c r="AH166" s="224">
        <v>6782.4486270506895</v>
      </c>
      <c r="AI166" s="224">
        <v>66000</v>
      </c>
      <c r="AJ166" s="224">
        <v>5082.4026577499999</v>
      </c>
      <c r="AK166" s="224">
        <v>3508.029060192428</v>
      </c>
      <c r="AL166" s="224">
        <v>0</v>
      </c>
      <c r="AM166" s="224">
        <v>296</v>
      </c>
      <c r="AN166" s="1120">
        <v>102945.62520960838</v>
      </c>
      <c r="AO166" s="224">
        <f t="shared" si="11"/>
        <v>2.0042310613081851</v>
      </c>
      <c r="AP166" s="1123">
        <v>0.1</v>
      </c>
      <c r="AQ166" s="1123">
        <f t="shared" si="13"/>
        <v>0.13792129201534861</v>
      </c>
      <c r="AR166" s="1123">
        <v>20</v>
      </c>
      <c r="AS166" s="1123">
        <f t="shared" si="14"/>
        <v>0.70919884501630348</v>
      </c>
      <c r="AT166" s="224">
        <f t="shared" si="12"/>
        <v>14198.393636237031</v>
      </c>
    </row>
    <row r="167" spans="1:46">
      <c r="A167" s="1118">
        <v>2035</v>
      </c>
      <c r="D167" s="1107" t="s">
        <v>2006</v>
      </c>
      <c r="E167" s="224" t="s">
        <v>2058</v>
      </c>
      <c r="G167" s="224">
        <v>18149.439140349226</v>
      </c>
      <c r="H167" s="224">
        <v>7133.7000000000007</v>
      </c>
      <c r="I167" s="224">
        <v>0.22499896320000001</v>
      </c>
      <c r="J167" s="224">
        <v>0.11560965311445159</v>
      </c>
      <c r="K167" s="224">
        <v>8.686905423637778E-2</v>
      </c>
      <c r="L167" s="224">
        <v>0.10211400314267557</v>
      </c>
      <c r="M167" s="224">
        <v>0</v>
      </c>
      <c r="N167" s="224">
        <v>0</v>
      </c>
      <c r="O167" s="224">
        <v>0</v>
      </c>
      <c r="P167" s="224">
        <v>0</v>
      </c>
      <c r="Q167" s="224">
        <v>0</v>
      </c>
      <c r="R167" s="224">
        <v>0</v>
      </c>
      <c r="S167" s="224">
        <v>0</v>
      </c>
      <c r="T167" s="224">
        <v>0</v>
      </c>
      <c r="U167" s="224">
        <v>0</v>
      </c>
      <c r="V167" s="224">
        <v>206.7935162</v>
      </c>
      <c r="W167" s="224">
        <v>2.7</v>
      </c>
      <c r="X167" s="224">
        <v>4.0500000000000007</v>
      </c>
      <c r="Y167" s="224">
        <v>0.22499896320000001</v>
      </c>
      <c r="Z167" s="224">
        <v>0</v>
      </c>
      <c r="AA167" s="224">
        <v>23.121930622890318</v>
      </c>
      <c r="AB167" s="224">
        <v>17.373810847275557</v>
      </c>
      <c r="AC167" s="224">
        <v>20.422800628535114</v>
      </c>
      <c r="AD167" s="1120">
        <v>14.397020938376512</v>
      </c>
      <c r="AE167" s="224">
        <v>21433.494232895999</v>
      </c>
      <c r="AF167" s="224">
        <v>164.96928000000003</v>
      </c>
      <c r="AG167" s="224">
        <v>83.680188366812203</v>
      </c>
      <c r="AH167" s="224">
        <v>6799.9713183351732</v>
      </c>
      <c r="AI167" s="224">
        <v>66000</v>
      </c>
      <c r="AJ167" s="224">
        <v>7124.2188517500035</v>
      </c>
      <c r="AK167" s="224">
        <v>3935.8667708711309</v>
      </c>
      <c r="AL167" s="224">
        <v>0</v>
      </c>
      <c r="AM167" s="224">
        <v>240</v>
      </c>
      <c r="AN167" s="1120">
        <v>105782.2006422191</v>
      </c>
      <c r="AO167" s="224">
        <f t="shared" si="11"/>
        <v>1.8969514788404891</v>
      </c>
      <c r="AP167" s="1123">
        <v>0.1</v>
      </c>
      <c r="AQ167" s="1123">
        <f t="shared" si="13"/>
        <v>0.13792129201534861</v>
      </c>
      <c r="AR167" s="1123">
        <v>20</v>
      </c>
      <c r="AS167" s="1123">
        <f t="shared" si="14"/>
        <v>0.67123787462286921</v>
      </c>
      <c r="AT167" s="224">
        <f t="shared" si="12"/>
        <v>14589.617784801698</v>
      </c>
    </row>
    <row r="168" spans="1:46">
      <c r="A168" s="1118">
        <v>2050</v>
      </c>
      <c r="D168" s="1107" t="s">
        <v>2006</v>
      </c>
      <c r="E168" s="224" t="s">
        <v>2058</v>
      </c>
      <c r="G168" s="224">
        <v>17868.022161462686</v>
      </c>
      <c r="H168" s="224">
        <v>7269</v>
      </c>
      <c r="I168" s="224">
        <v>0.16883159040000001</v>
      </c>
      <c r="J168" s="224">
        <v>0.1083178412446518</v>
      </c>
      <c r="K168" s="224">
        <v>8.0186186170206064E-2</v>
      </c>
      <c r="L168" s="224">
        <v>9.4798361155768757E-2</v>
      </c>
      <c r="M168" s="224">
        <v>0</v>
      </c>
      <c r="N168" s="224">
        <v>0</v>
      </c>
      <c r="O168" s="224">
        <v>0</v>
      </c>
      <c r="P168" s="224">
        <v>0</v>
      </c>
      <c r="Q168" s="224">
        <v>0</v>
      </c>
      <c r="R168" s="224">
        <v>0</v>
      </c>
      <c r="S168" s="224">
        <v>0</v>
      </c>
      <c r="T168" s="224">
        <v>0</v>
      </c>
      <c r="U168" s="224">
        <v>0</v>
      </c>
      <c r="V168" s="224">
        <v>201.24281819999999</v>
      </c>
      <c r="W168" s="224">
        <v>2.0260000000000002</v>
      </c>
      <c r="X168" s="224">
        <v>3.0389999999999997</v>
      </c>
      <c r="Y168" s="224">
        <v>0.16883159040000001</v>
      </c>
      <c r="Z168" s="224">
        <v>0</v>
      </c>
      <c r="AA168" s="224">
        <v>21.66356824893036</v>
      </c>
      <c r="AB168" s="224">
        <v>16.037237234041214</v>
      </c>
      <c r="AC168" s="224">
        <v>18.959672231153753</v>
      </c>
      <c r="AD168" s="1120">
        <v>13.227412093934699</v>
      </c>
      <c r="AE168" s="224">
        <v>21896.590475913144</v>
      </c>
      <c r="AF168" s="224">
        <v>74.8416</v>
      </c>
      <c r="AG168" s="224">
        <v>59.978043416593863</v>
      </c>
      <c r="AH168" s="224">
        <v>6644.8197390662062</v>
      </c>
      <c r="AI168" s="224">
        <v>66000</v>
      </c>
      <c r="AJ168" s="224">
        <v>10196.430783</v>
      </c>
      <c r="AK168" s="224">
        <v>4842.5801991868502</v>
      </c>
      <c r="AL168" s="224">
        <v>0</v>
      </c>
      <c r="AM168" s="224">
        <v>240</v>
      </c>
      <c r="AN168" s="1120">
        <v>109955.24084058279</v>
      </c>
      <c r="AO168" s="224">
        <f t="shared" si="11"/>
        <v>1.7428438174968359</v>
      </c>
      <c r="AP168" s="1123">
        <v>0.1</v>
      </c>
      <c r="AQ168" s="1123">
        <f t="shared" si="13"/>
        <v>0.13792129201534861</v>
      </c>
      <c r="AR168" s="1123">
        <v>20</v>
      </c>
      <c r="AS168" s="1123">
        <f t="shared" si="14"/>
        <v>0.61670674917381763</v>
      </c>
      <c r="AT168" s="224">
        <f t="shared" si="12"/>
        <v>15165.168880592004</v>
      </c>
    </row>
    <row r="169" spans="1:46">
      <c r="A169" s="1118">
        <v>2017</v>
      </c>
      <c r="D169" s="1107" t="s">
        <v>2006</v>
      </c>
      <c r="E169" s="224" t="s">
        <v>2059</v>
      </c>
      <c r="G169" s="224">
        <v>19239.994338219658</v>
      </c>
      <c r="H169" s="224">
        <v>6818</v>
      </c>
      <c r="I169" s="224">
        <v>5.8449600000000013</v>
      </c>
      <c r="J169" s="224">
        <v>0.130834617875104</v>
      </c>
      <c r="K169" s="224">
        <v>0.13331150225488958</v>
      </c>
      <c r="L169" s="224">
        <v>0.15612812984352584</v>
      </c>
      <c r="M169" s="224">
        <v>0</v>
      </c>
      <c r="N169" s="224">
        <v>0</v>
      </c>
      <c r="O169" s="224">
        <v>0</v>
      </c>
      <c r="P169" s="224">
        <v>0</v>
      </c>
      <c r="Q169" s="224">
        <v>0</v>
      </c>
      <c r="R169" s="224">
        <v>0</v>
      </c>
      <c r="S169" s="224">
        <v>0</v>
      </c>
      <c r="T169" s="224">
        <v>0</v>
      </c>
      <c r="U169" s="224">
        <v>0</v>
      </c>
      <c r="V169" s="224">
        <v>206.32542040000001</v>
      </c>
      <c r="W169" s="224">
        <v>139.50473639999998</v>
      </c>
      <c r="X169" s="224">
        <v>181.93995215311</v>
      </c>
      <c r="Y169" s="224">
        <v>5.8449600000000013</v>
      </c>
      <c r="Z169" s="224">
        <v>0</v>
      </c>
      <c r="AA169" s="224">
        <v>26.1669235750208</v>
      </c>
      <c r="AB169" s="224">
        <v>26.662300450977916</v>
      </c>
      <c r="AC169" s="224">
        <v>31.225625968705167</v>
      </c>
      <c r="AD169" s="1120">
        <v>17.36446839445874</v>
      </c>
      <c r="AE169" s="224">
        <v>19265.990516260568</v>
      </c>
      <c r="AF169" s="224">
        <v>6826.1781915599995</v>
      </c>
      <c r="AG169" s="224">
        <v>7932.581913875596</v>
      </c>
      <c r="AH169" s="224">
        <v>9105.5857836882042</v>
      </c>
      <c r="AI169" s="224">
        <v>66000</v>
      </c>
      <c r="AJ169" s="224">
        <v>0</v>
      </c>
      <c r="AK169" s="224">
        <v>745.98720000000003</v>
      </c>
      <c r="AL169" s="224">
        <v>0</v>
      </c>
      <c r="AM169" s="224">
        <v>436.00000000000006</v>
      </c>
      <c r="AN169" s="1120">
        <v>110312.32360538437</v>
      </c>
      <c r="AO169" s="224">
        <f t="shared" si="11"/>
        <v>2.2879423556538834</v>
      </c>
      <c r="AP169" s="1123">
        <v>0.1</v>
      </c>
      <c r="AQ169" s="1123">
        <f t="shared" si="13"/>
        <v>0.13792129201534861</v>
      </c>
      <c r="AR169" s="1123">
        <v>20</v>
      </c>
      <c r="AS169" s="1123">
        <f t="shared" si="14"/>
        <v>0.80959032489723048</v>
      </c>
      <c r="AT169" s="224">
        <f t="shared" si="12"/>
        <v>15214.418196869852</v>
      </c>
    </row>
    <row r="170" spans="1:46">
      <c r="A170" s="1121">
        <v>2020</v>
      </c>
      <c r="D170" s="1107" t="s">
        <v>2006</v>
      </c>
      <c r="E170" s="224" t="s">
        <v>2059</v>
      </c>
      <c r="G170" s="224">
        <v>19123.793092296313</v>
      </c>
      <c r="H170" s="224">
        <v>6873.7332999999999</v>
      </c>
      <c r="I170" s="224">
        <v>5.8449600000000013</v>
      </c>
      <c r="J170" s="224">
        <v>0.12390509814611782</v>
      </c>
      <c r="K170" s="224">
        <v>0.12266001754903105</v>
      </c>
      <c r="L170" s="224">
        <v>0.13156565056574965</v>
      </c>
      <c r="M170" s="224">
        <v>0</v>
      </c>
      <c r="N170" s="224">
        <v>0</v>
      </c>
      <c r="O170" s="224">
        <v>0</v>
      </c>
      <c r="P170" s="224">
        <v>0</v>
      </c>
      <c r="Q170" s="224">
        <v>0</v>
      </c>
      <c r="R170" s="224">
        <v>0</v>
      </c>
      <c r="S170" s="224">
        <v>0</v>
      </c>
      <c r="T170" s="224">
        <v>0</v>
      </c>
      <c r="U170" s="224">
        <v>0</v>
      </c>
      <c r="V170" s="224">
        <v>203.8227172</v>
      </c>
      <c r="W170" s="224">
        <v>139.46305280000001</v>
      </c>
      <c r="X170" s="224">
        <v>181.93995215311</v>
      </c>
      <c r="Y170" s="224">
        <v>5.8449600000000013</v>
      </c>
      <c r="Z170" s="224">
        <v>0</v>
      </c>
      <c r="AA170" s="224">
        <v>24.781019629223564</v>
      </c>
      <c r="AB170" s="224">
        <v>24.532003509806209</v>
      </c>
      <c r="AC170" s="224">
        <v>26.313130113149931</v>
      </c>
      <c r="AD170" s="1120">
        <v>16.272771978128755</v>
      </c>
      <c r="AE170" s="224">
        <v>19315.58450303314</v>
      </c>
      <c r="AF170" s="224">
        <v>5166.3337003200013</v>
      </c>
      <c r="AG170" s="224">
        <v>7932.581913875596</v>
      </c>
      <c r="AH170" s="224">
        <v>9034.9380940175542</v>
      </c>
      <c r="AI170" s="224">
        <v>66000</v>
      </c>
      <c r="AJ170" s="224">
        <v>1420.2532079296063</v>
      </c>
      <c r="AK170" s="224">
        <v>1214.2458237810094</v>
      </c>
      <c r="AL170" s="224">
        <v>0</v>
      </c>
      <c r="AM170" s="224">
        <v>436.00000000000006</v>
      </c>
      <c r="AN170" s="1120">
        <v>110519.93724295689</v>
      </c>
      <c r="AO170" s="224">
        <f t="shared" si="11"/>
        <v>2.1441004358382445</v>
      </c>
      <c r="AP170" s="1123">
        <v>0.1</v>
      </c>
      <c r="AQ170" s="1123">
        <f t="shared" si="13"/>
        <v>0.13792129201534861</v>
      </c>
      <c r="AR170" s="1123">
        <v>20</v>
      </c>
      <c r="AS170" s="1123">
        <f t="shared" si="14"/>
        <v>0.75869174071323231</v>
      </c>
      <c r="AT170" s="224">
        <f t="shared" si="12"/>
        <v>15243.05253800386</v>
      </c>
    </row>
    <row r="171" spans="1:46">
      <c r="A171" s="1118">
        <v>2025</v>
      </c>
      <c r="D171" s="1107" t="s">
        <v>2006</v>
      </c>
      <c r="E171" s="224" t="s">
        <v>2059</v>
      </c>
      <c r="G171" s="224">
        <v>18678.148789960869</v>
      </c>
      <c r="H171" s="224">
        <v>6953.2999999999993</v>
      </c>
      <c r="I171" s="224">
        <v>5.8449600000000013</v>
      </c>
      <c r="J171" s="224">
        <v>0.10870407218882905</v>
      </c>
      <c r="K171" s="224">
        <v>0.10473349290397796</v>
      </c>
      <c r="L171" s="224">
        <v>0.11377958105629912</v>
      </c>
      <c r="M171" s="224">
        <v>0</v>
      </c>
      <c r="N171" s="224">
        <v>0</v>
      </c>
      <c r="O171" s="224">
        <v>0</v>
      </c>
      <c r="P171" s="224">
        <v>0</v>
      </c>
      <c r="Q171" s="224">
        <v>0</v>
      </c>
      <c r="R171" s="224">
        <v>0</v>
      </c>
      <c r="S171" s="224">
        <v>0</v>
      </c>
      <c r="T171" s="224">
        <v>0</v>
      </c>
      <c r="U171" s="224">
        <v>0</v>
      </c>
      <c r="V171" s="224">
        <v>196.47936924999999</v>
      </c>
      <c r="W171" s="224">
        <v>139.49817490000001</v>
      </c>
      <c r="X171" s="224">
        <v>165.28605999263891</v>
      </c>
      <c r="Y171" s="224">
        <v>5.8449600000000013</v>
      </c>
      <c r="Z171" s="224">
        <v>0</v>
      </c>
      <c r="AA171" s="224">
        <v>21.74081443776581</v>
      </c>
      <c r="AB171" s="224">
        <v>20.946698580795591</v>
      </c>
      <c r="AC171" s="224">
        <v>22.755916211259823</v>
      </c>
      <c r="AD171" s="1120">
        <v>14.055339851068783</v>
      </c>
      <c r="AE171" s="224">
        <v>19453.323618354283</v>
      </c>
      <c r="AF171" s="224">
        <v>2546.0345018975004</v>
      </c>
      <c r="AG171" s="224">
        <v>5294.8840809716594</v>
      </c>
      <c r="AH171" s="224">
        <v>8830.2626198589423</v>
      </c>
      <c r="AI171" s="224">
        <v>66000</v>
      </c>
      <c r="AJ171" s="224">
        <v>3197.9288654775046</v>
      </c>
      <c r="AK171" s="224">
        <v>2829.8971847014668</v>
      </c>
      <c r="AL171" s="224">
        <v>0</v>
      </c>
      <c r="AM171" s="224">
        <v>352.00000000000006</v>
      </c>
      <c r="AN171" s="1120">
        <v>108504.33087126134</v>
      </c>
      <c r="AO171" s="224">
        <f t="shared" si="11"/>
        <v>1.8519315787768227</v>
      </c>
      <c r="AP171" s="1123">
        <v>0.1</v>
      </c>
      <c r="AQ171" s="1123">
        <f t="shared" si="13"/>
        <v>0.13792129201534861</v>
      </c>
      <c r="AR171" s="1123">
        <v>20</v>
      </c>
      <c r="AS171" s="1123">
        <f t="shared" si="14"/>
        <v>0.65530754515922851</v>
      </c>
      <c r="AT171" s="224">
        <f t="shared" si="12"/>
        <v>14965.05750302524</v>
      </c>
    </row>
    <row r="172" spans="1:46">
      <c r="A172" s="1118">
        <v>2030</v>
      </c>
      <c r="D172" s="1107" t="s">
        <v>2006</v>
      </c>
      <c r="E172" s="224" t="s">
        <v>2059</v>
      </c>
      <c r="G172" s="224">
        <v>18393.494691689535</v>
      </c>
      <c r="H172" s="224">
        <v>7043.5</v>
      </c>
      <c r="I172" s="224">
        <v>6.2251200000000004</v>
      </c>
      <c r="J172" s="224">
        <v>0.1022295342490158</v>
      </c>
      <c r="K172" s="224">
        <v>9.770895050543521E-2</v>
      </c>
      <c r="L172" s="224">
        <v>0.10963510101563058</v>
      </c>
      <c r="M172" s="224">
        <v>0</v>
      </c>
      <c r="N172" s="224">
        <v>0</v>
      </c>
      <c r="O172" s="224">
        <v>0</v>
      </c>
      <c r="P172" s="224">
        <v>0</v>
      </c>
      <c r="Q172" s="224">
        <v>0</v>
      </c>
      <c r="R172" s="224">
        <v>0</v>
      </c>
      <c r="S172" s="224">
        <v>0</v>
      </c>
      <c r="T172" s="224">
        <v>0</v>
      </c>
      <c r="U172" s="224">
        <v>0</v>
      </c>
      <c r="V172" s="224">
        <v>191.71381680000002</v>
      </c>
      <c r="W172" s="224">
        <v>148.53042765000001</v>
      </c>
      <c r="X172" s="224">
        <v>136.72951186368215</v>
      </c>
      <c r="Y172" s="224">
        <v>6.2251200000000004</v>
      </c>
      <c r="Z172" s="224">
        <v>0</v>
      </c>
      <c r="AA172" s="224">
        <v>20.445906849803162</v>
      </c>
      <c r="AB172" s="224">
        <v>19.541790101087045</v>
      </c>
      <c r="AC172" s="224">
        <v>21.927020203126116</v>
      </c>
      <c r="AD172" s="1120">
        <v>12.970124572013233</v>
      </c>
      <c r="AE172" s="224">
        <v>19444.399540315429</v>
      </c>
      <c r="AF172" s="224">
        <v>1961.6124810250803</v>
      </c>
      <c r="AG172" s="224">
        <v>3475.3463801569605</v>
      </c>
      <c r="AH172" s="224">
        <v>8847.1816590457711</v>
      </c>
      <c r="AI172" s="224">
        <v>66000</v>
      </c>
      <c r="AJ172" s="224">
        <v>5082.4026577499999</v>
      </c>
      <c r="AK172" s="224">
        <v>3508.029060192428</v>
      </c>
      <c r="AL172" s="224">
        <v>0</v>
      </c>
      <c r="AM172" s="224">
        <v>296</v>
      </c>
      <c r="AN172" s="1120">
        <v>108614.97177848569</v>
      </c>
      <c r="AO172" s="224">
        <f t="shared" si="11"/>
        <v>1.7089436136084635</v>
      </c>
      <c r="AP172" s="1123">
        <v>0.1</v>
      </c>
      <c r="AQ172" s="1123">
        <f t="shared" si="13"/>
        <v>0.13792129201534861</v>
      </c>
      <c r="AR172" s="1123">
        <v>20</v>
      </c>
      <c r="AS172" s="1123">
        <f t="shared" si="14"/>
        <v>0.60471113354467032</v>
      </c>
      <c r="AT172" s="224">
        <f t="shared" si="12"/>
        <v>14980.317239899374</v>
      </c>
    </row>
    <row r="173" spans="1:46">
      <c r="A173" s="1118">
        <v>2035</v>
      </c>
      <c r="D173" s="1107" t="s">
        <v>2006</v>
      </c>
      <c r="E173" s="224" t="s">
        <v>2059</v>
      </c>
      <c r="G173" s="224">
        <v>18183.655990274128</v>
      </c>
      <c r="H173" s="224">
        <v>7133.7000000000007</v>
      </c>
      <c r="I173" s="224">
        <v>6.2251200000000004</v>
      </c>
      <c r="J173" s="224">
        <v>9.7909987415554248E-2</v>
      </c>
      <c r="K173" s="224">
        <v>9.3117149129384694E-2</v>
      </c>
      <c r="L173" s="224">
        <v>0.10586697305375084</v>
      </c>
      <c r="M173" s="224">
        <v>0</v>
      </c>
      <c r="N173" s="224">
        <v>0</v>
      </c>
      <c r="O173" s="224">
        <v>0</v>
      </c>
      <c r="P173" s="224">
        <v>0</v>
      </c>
      <c r="Q173" s="224">
        <v>0</v>
      </c>
      <c r="R173" s="224">
        <v>0</v>
      </c>
      <c r="S173" s="224">
        <v>0</v>
      </c>
      <c r="T173" s="224">
        <v>0</v>
      </c>
      <c r="U173" s="224">
        <v>0</v>
      </c>
      <c r="V173" s="224">
        <v>186.2290146</v>
      </c>
      <c r="W173" s="224">
        <v>148.60063474999998</v>
      </c>
      <c r="X173" s="224">
        <v>117.64257641921392</v>
      </c>
      <c r="Y173" s="224">
        <v>6.2251200000000004</v>
      </c>
      <c r="Z173" s="224">
        <v>0</v>
      </c>
      <c r="AA173" s="224">
        <v>19.581997483110847</v>
      </c>
      <c r="AB173" s="224">
        <v>18.62342982587694</v>
      </c>
      <c r="AC173" s="224">
        <v>21.173394610750169</v>
      </c>
      <c r="AD173" s="1120">
        <v>12.246972540634651</v>
      </c>
      <c r="AE173" s="224">
        <v>19364.932325110858</v>
      </c>
      <c r="AF173" s="224">
        <v>1605.9969413808001</v>
      </c>
      <c r="AG173" s="224">
        <v>2241.4951965065493</v>
      </c>
      <c r="AH173" s="224">
        <v>8695.0388883409832</v>
      </c>
      <c r="AI173" s="224">
        <v>66000</v>
      </c>
      <c r="AJ173" s="224">
        <v>7124.2188517500035</v>
      </c>
      <c r="AK173" s="224">
        <v>3935.8667708711309</v>
      </c>
      <c r="AL173" s="224">
        <v>0</v>
      </c>
      <c r="AM173" s="224">
        <v>240</v>
      </c>
      <c r="AN173" s="1120">
        <v>109207.54897396032</v>
      </c>
      <c r="AO173" s="224">
        <f t="shared" si="11"/>
        <v>1.6136611019540215</v>
      </c>
      <c r="AP173" s="1123">
        <v>0.1</v>
      </c>
      <c r="AQ173" s="1123">
        <f t="shared" si="13"/>
        <v>0.13792129201534861</v>
      </c>
      <c r="AR173" s="1123">
        <v>20</v>
      </c>
      <c r="AS173" s="1123">
        <f t="shared" si="14"/>
        <v>0.57099533673854941</v>
      </c>
      <c r="AT173" s="224">
        <f t="shared" si="12"/>
        <v>15062.046252318067</v>
      </c>
    </row>
    <row r="174" spans="1:46">
      <c r="A174" s="1118">
        <v>2050</v>
      </c>
      <c r="D174" s="1107" t="s">
        <v>2006</v>
      </c>
      <c r="E174" s="224" t="s">
        <v>2059</v>
      </c>
      <c r="G174" s="224">
        <v>17906.372617120549</v>
      </c>
      <c r="H174" s="224">
        <v>7269</v>
      </c>
      <c r="I174" s="224">
        <v>6.2251200000000004</v>
      </c>
      <c r="J174" s="224">
        <v>9.0558889208858032E-2</v>
      </c>
      <c r="K174" s="224">
        <v>8.5413645410935157E-2</v>
      </c>
      <c r="L174" s="224">
        <v>9.733575861349561E-2</v>
      </c>
      <c r="M174" s="224">
        <v>0</v>
      </c>
      <c r="N174" s="224">
        <v>0</v>
      </c>
      <c r="O174" s="224">
        <v>0</v>
      </c>
      <c r="P174" s="224">
        <v>0</v>
      </c>
      <c r="Q174" s="224">
        <v>0</v>
      </c>
      <c r="R174" s="224">
        <v>0</v>
      </c>
      <c r="S174" s="224">
        <v>0</v>
      </c>
      <c r="T174" s="224">
        <v>0</v>
      </c>
      <c r="U174" s="224">
        <v>0</v>
      </c>
      <c r="V174" s="224">
        <v>182.69435214999999</v>
      </c>
      <c r="W174" s="224">
        <v>148.56446505</v>
      </c>
      <c r="X174" s="224">
        <v>117.64257641921392</v>
      </c>
      <c r="Y174" s="224">
        <v>6.2251200000000004</v>
      </c>
      <c r="Z174" s="224">
        <v>0</v>
      </c>
      <c r="AA174" s="224">
        <v>18.111777841771605</v>
      </c>
      <c r="AB174" s="224">
        <v>17.082729082187029</v>
      </c>
      <c r="AC174" s="224">
        <v>19.467151722699121</v>
      </c>
      <c r="AD174" s="1120">
        <v>11.121875505781333</v>
      </c>
      <c r="AE174" s="224">
        <v>20059.238592443431</v>
      </c>
      <c r="AF174" s="224">
        <v>966.99292966199982</v>
      </c>
      <c r="AG174" s="224">
        <v>2100.3241048034929</v>
      </c>
      <c r="AH174" s="224">
        <v>8595.6378045422935</v>
      </c>
      <c r="AI174" s="224">
        <v>66000</v>
      </c>
      <c r="AJ174" s="224">
        <v>10196.430783</v>
      </c>
      <c r="AK174" s="224">
        <v>4842.5801991868502</v>
      </c>
      <c r="AL174" s="224">
        <v>0</v>
      </c>
      <c r="AM174" s="224">
        <v>240</v>
      </c>
      <c r="AN174" s="1120">
        <v>113001.20441363807</v>
      </c>
      <c r="AO174" s="224">
        <f t="shared" si="11"/>
        <v>1.4654183166417483</v>
      </c>
      <c r="AP174" s="1123">
        <v>0.1</v>
      </c>
      <c r="AQ174" s="1123">
        <f t="shared" si="13"/>
        <v>0.13792129201534861</v>
      </c>
      <c r="AR174" s="1123">
        <v>20</v>
      </c>
      <c r="AS174" s="1123">
        <f t="shared" si="14"/>
        <v>0.51853950260092163</v>
      </c>
      <c r="AT174" s="224">
        <f t="shared" si="12"/>
        <v>15585.272112019476</v>
      </c>
    </row>
    <row r="175" spans="1:46">
      <c r="A175" s="1118">
        <v>2017</v>
      </c>
      <c r="D175" s="1107" t="s">
        <v>2006</v>
      </c>
      <c r="E175" s="224" t="s">
        <v>2060</v>
      </c>
      <c r="G175" s="224">
        <v>21442.798532908047</v>
      </c>
      <c r="H175" s="224">
        <v>6818</v>
      </c>
      <c r="I175" s="224">
        <v>328.43475000000001</v>
      </c>
      <c r="J175" s="224">
        <v>0.13637680898780222</v>
      </c>
      <c r="K175" s="224">
        <v>0.16605844745726939</v>
      </c>
      <c r="L175" s="224">
        <v>0.19476127514474026</v>
      </c>
      <c r="M175" s="224">
        <v>5.0162437631331457E-2</v>
      </c>
      <c r="N175" s="224">
        <v>6.1851535894817566E-2</v>
      </c>
      <c r="O175" s="224">
        <v>7.5124617980359035E-2</v>
      </c>
      <c r="P175" s="224">
        <v>-56.235883975474685</v>
      </c>
      <c r="Q175" s="224">
        <v>-28.283745137283045</v>
      </c>
      <c r="R175" s="224">
        <v>123.99796400420324</v>
      </c>
      <c r="S175" s="224">
        <v>1888.9213317754179</v>
      </c>
      <c r="T175" s="224">
        <v>2329.0870833163058</v>
      </c>
      <c r="U175" s="224">
        <v>2828.899474294004</v>
      </c>
      <c r="V175" s="224">
        <v>230</v>
      </c>
      <c r="W175" s="224">
        <v>318.18448959999995</v>
      </c>
      <c r="X175" s="224">
        <v>477.27673439999995</v>
      </c>
      <c r="Y175" s="224">
        <v>327.44175000000001</v>
      </c>
      <c r="Z175" s="224">
        <v>0</v>
      </c>
      <c r="AA175" s="224">
        <v>13.826006298510123</v>
      </c>
      <c r="AB175" s="224">
        <v>20.027736272506395</v>
      </c>
      <c r="AC175" s="224">
        <v>26.49050046990784</v>
      </c>
      <c r="AD175" s="1120">
        <v>9.0836261979655113</v>
      </c>
      <c r="AE175" s="224">
        <v>21795.66857142857</v>
      </c>
      <c r="AF175" s="224">
        <v>14491.539603839999</v>
      </c>
      <c r="AG175" s="224">
        <v>186307.80691500002</v>
      </c>
      <c r="AH175" s="224">
        <v>0</v>
      </c>
      <c r="AI175" s="224">
        <v>66000</v>
      </c>
      <c r="AJ175" s="224">
        <v>0</v>
      </c>
      <c r="AK175" s="224">
        <v>745.98720000000003</v>
      </c>
      <c r="AL175" s="224">
        <v>0</v>
      </c>
      <c r="AM175" s="224">
        <v>436.00000000000006</v>
      </c>
      <c r="AN175" s="1120">
        <v>289777.0022902686</v>
      </c>
      <c r="AO175" s="224">
        <f t="shared" si="11"/>
        <v>1.1968585878439357</v>
      </c>
      <c r="AP175" s="1123">
        <v>0.1</v>
      </c>
      <c r="AQ175" s="1123">
        <f t="shared" si="13"/>
        <v>0.13792129201534861</v>
      </c>
      <c r="AR175" s="1123">
        <v>20</v>
      </c>
      <c r="AS175" s="1123">
        <f t="shared" si="14"/>
        <v>0.42350941691959132</v>
      </c>
      <c r="AT175" s="224">
        <f t="shared" si="12"/>
        <v>39966.418552208481</v>
      </c>
    </row>
    <row r="176" spans="1:46">
      <c r="A176" s="1121">
        <v>2020</v>
      </c>
      <c r="D176" s="1107" t="s">
        <v>2006</v>
      </c>
      <c r="E176" s="224" t="s">
        <v>2060</v>
      </c>
      <c r="G176" s="224">
        <v>21024.851143642729</v>
      </c>
      <c r="H176" s="224">
        <v>6873.7332999999999</v>
      </c>
      <c r="I176" s="224">
        <v>308.07825000000003</v>
      </c>
      <c r="J176" s="224">
        <v>0.12536652208676966</v>
      </c>
      <c r="K176" s="224">
        <v>0.15224669562628959</v>
      </c>
      <c r="L176" s="224">
        <v>0.17641779748226225</v>
      </c>
      <c r="M176" s="224">
        <v>4.6934046996331413E-2</v>
      </c>
      <c r="N176" s="224">
        <v>5.7620571094789907E-2</v>
      </c>
      <c r="O176" s="224">
        <v>6.9821384989158131E-2</v>
      </c>
      <c r="P176" s="224">
        <v>-55.247268621647677</v>
      </c>
      <c r="Q176" s="224">
        <v>-33.476898404361172</v>
      </c>
      <c r="R176" s="224">
        <v>149.29632089541943</v>
      </c>
      <c r="S176" s="224">
        <v>1767.3527592396481</v>
      </c>
      <c r="T176" s="224">
        <v>2169.7654864772526</v>
      </c>
      <c r="U176" s="224">
        <v>2629.2004485393682</v>
      </c>
      <c r="V176" s="224">
        <v>210</v>
      </c>
      <c r="W176" s="224">
        <v>311.01074610000001</v>
      </c>
      <c r="X176" s="224">
        <v>466.51611915000001</v>
      </c>
      <c r="Y176" s="224">
        <v>307.45762500000001</v>
      </c>
      <c r="Z176" s="224">
        <v>0</v>
      </c>
      <c r="AA176" s="224">
        <v>12.794434238316633</v>
      </c>
      <c r="AB176" s="224">
        <v>18.382785513245757</v>
      </c>
      <c r="AC176" s="224">
        <v>24.06594158997526</v>
      </c>
      <c r="AD176" s="1120">
        <v>8.3848377639502285</v>
      </c>
      <c r="AE176" s="224">
        <v>19948.919155485713</v>
      </c>
      <c r="AF176" s="224">
        <v>10853.139733214999</v>
      </c>
      <c r="AG176" s="224">
        <v>162872.60226750001</v>
      </c>
      <c r="AH176" s="224">
        <v>0</v>
      </c>
      <c r="AI176" s="224">
        <v>66000</v>
      </c>
      <c r="AJ176" s="224">
        <v>1420.2532079296063</v>
      </c>
      <c r="AK176" s="224">
        <v>1214.2458237810094</v>
      </c>
      <c r="AL176" s="224">
        <v>0</v>
      </c>
      <c r="AM176" s="224">
        <v>436.00000000000006</v>
      </c>
      <c r="AN176" s="1120">
        <v>262745.16018791136</v>
      </c>
      <c r="AO176" s="224">
        <f t="shared" si="11"/>
        <v>1.1047862237780821</v>
      </c>
      <c r="AP176" s="1123">
        <v>0.1</v>
      </c>
      <c r="AQ176" s="1123">
        <f t="shared" si="13"/>
        <v>0.13792129201534861</v>
      </c>
      <c r="AR176" s="1123">
        <v>20</v>
      </c>
      <c r="AS176" s="1123">
        <f t="shared" si="14"/>
        <v>0.39092953353488646</v>
      </c>
      <c r="AT176" s="224">
        <f t="shared" si="12"/>
        <v>36238.151963896467</v>
      </c>
    </row>
    <row r="177" spans="1:46">
      <c r="A177" s="1118">
        <v>2025</v>
      </c>
      <c r="D177" s="1107" t="s">
        <v>2006</v>
      </c>
      <c r="E177" s="224" t="s">
        <v>2060</v>
      </c>
      <c r="G177" s="224">
        <v>20221.865903274273</v>
      </c>
      <c r="H177" s="224">
        <v>6953.2999999999993</v>
      </c>
      <c r="I177" s="224">
        <v>271.70962500000002</v>
      </c>
      <c r="J177" s="224">
        <v>0.10464956373575834</v>
      </c>
      <c r="K177" s="224">
        <v>0.12567957629639384</v>
      </c>
      <c r="L177" s="224">
        <v>0.14013583660349763</v>
      </c>
      <c r="M177" s="224">
        <v>4.1718351737718817E-2</v>
      </c>
      <c r="N177" s="224">
        <v>4.9945745208648154E-2</v>
      </c>
      <c r="O177" s="224">
        <v>6.0125784985443534E-2</v>
      </c>
      <c r="P177" s="224">
        <v>-27.156857320125081</v>
      </c>
      <c r="Q177" s="224">
        <v>-52.935421447141294</v>
      </c>
      <c r="R177" s="224">
        <v>224.46288268560232</v>
      </c>
      <c r="S177" s="224">
        <v>1570.9500623364245</v>
      </c>
      <c r="T177" s="224">
        <v>1880.7615421206801</v>
      </c>
      <c r="U177" s="224">
        <v>2264.1020494946765</v>
      </c>
      <c r="V177" s="224">
        <v>175</v>
      </c>
      <c r="W177" s="224">
        <v>295.60341964999998</v>
      </c>
      <c r="X177" s="224">
        <v>443.40512947499997</v>
      </c>
      <c r="Y177" s="224">
        <v>271.58550000000002</v>
      </c>
      <c r="Z177" s="224">
        <v>0</v>
      </c>
      <c r="AA177" s="224">
        <v>11.132848340260427</v>
      </c>
      <c r="AB177" s="224">
        <v>15.29847749310669</v>
      </c>
      <c r="AC177" s="224">
        <v>19.398823659405156</v>
      </c>
      <c r="AD177" s="1120">
        <v>7.1798969628866747</v>
      </c>
      <c r="AE177" s="224">
        <v>17383.606995885712</v>
      </c>
      <c r="AF177" s="224">
        <v>5110.832482759999</v>
      </c>
      <c r="AG177" s="224">
        <v>87326.108099999998</v>
      </c>
      <c r="AH177" s="224">
        <v>0</v>
      </c>
      <c r="AI177" s="224">
        <v>66000</v>
      </c>
      <c r="AJ177" s="224">
        <v>3197.9288654775046</v>
      </c>
      <c r="AK177" s="224">
        <v>2829.8971847014668</v>
      </c>
      <c r="AL177" s="224">
        <v>0</v>
      </c>
      <c r="AM177" s="224">
        <v>352.00000000000006</v>
      </c>
      <c r="AN177" s="1120">
        <v>182200.37362882466</v>
      </c>
      <c r="AO177" s="224">
        <f t="shared" si="11"/>
        <v>0.94602322382994819</v>
      </c>
      <c r="AP177" s="1123">
        <v>0.1</v>
      </c>
      <c r="AQ177" s="1123">
        <f t="shared" si="13"/>
        <v>0.13792129201534861</v>
      </c>
      <c r="AR177" s="1123">
        <v>20</v>
      </c>
      <c r="AS177" s="1123">
        <f t="shared" si="14"/>
        <v>0.33475111260918328</v>
      </c>
      <c r="AT177" s="224">
        <f t="shared" si="12"/>
        <v>25129.310936566748</v>
      </c>
    </row>
    <row r="178" spans="1:46">
      <c r="A178" s="1118">
        <v>2030</v>
      </c>
      <c r="D178" s="1107" t="s">
        <v>2006</v>
      </c>
      <c r="E178" s="224" t="s">
        <v>2060</v>
      </c>
      <c r="G178" s="224">
        <v>19777.551534303493</v>
      </c>
      <c r="H178" s="224">
        <v>7043.5</v>
      </c>
      <c r="I178" s="224">
        <v>258.49031250000002</v>
      </c>
      <c r="J178" s="224">
        <v>9.5338918321506608E-2</v>
      </c>
      <c r="K178" s="224">
        <v>0.11407672086662826</v>
      </c>
      <c r="L178" s="224">
        <v>0.12911587157488816</v>
      </c>
      <c r="M178" s="224">
        <v>3.9133252573242724E-2</v>
      </c>
      <c r="N178" s="224">
        <v>4.7016277568690895E-2</v>
      </c>
      <c r="O178" s="224">
        <v>5.6524164462443419E-2</v>
      </c>
      <c r="P178" s="224">
        <v>-42.034688657105107</v>
      </c>
      <c r="Q178" s="224">
        <v>-50.776778139309727</v>
      </c>
      <c r="R178" s="224">
        <v>157.40748617459889</v>
      </c>
      <c r="S178" s="224">
        <v>1473.6053321536206</v>
      </c>
      <c r="T178" s="224">
        <v>1770.4492411808865</v>
      </c>
      <c r="U178" s="224">
        <v>2128.479098216771</v>
      </c>
      <c r="V178" s="224">
        <v>170</v>
      </c>
      <c r="W178" s="224">
        <v>287.56546094999999</v>
      </c>
      <c r="X178" s="224">
        <v>431.34819142499998</v>
      </c>
      <c r="Y178" s="224">
        <v>257.80762499999997</v>
      </c>
      <c r="Z178" s="224">
        <v>0</v>
      </c>
      <c r="AA178" s="224">
        <v>10.217282453883607</v>
      </c>
      <c r="AB178" s="224">
        <v>14.035678030554454</v>
      </c>
      <c r="AC178" s="224">
        <v>17.919118854186291</v>
      </c>
      <c r="AD178" s="1120">
        <v>6.6641501394333371</v>
      </c>
      <c r="AE178" s="224">
        <v>17369.774255999997</v>
      </c>
      <c r="AF178" s="224">
        <v>3699.9210460214099</v>
      </c>
      <c r="AG178" s="224">
        <v>58631.747062499999</v>
      </c>
      <c r="AH178" s="224">
        <v>0</v>
      </c>
      <c r="AI178" s="224">
        <v>66000</v>
      </c>
      <c r="AJ178" s="224">
        <v>5082.4026577499999</v>
      </c>
      <c r="AK178" s="224">
        <v>3508.029060192428</v>
      </c>
      <c r="AL178" s="224">
        <v>0</v>
      </c>
      <c r="AM178" s="224">
        <v>296</v>
      </c>
      <c r="AN178" s="1120">
        <v>154587.87408246385</v>
      </c>
      <c r="AO178" s="224">
        <f t="shared" si="11"/>
        <v>0.87806842237173643</v>
      </c>
      <c r="AP178" s="1123">
        <v>0.1</v>
      </c>
      <c r="AQ178" s="1123">
        <f t="shared" si="13"/>
        <v>0.13792129201534861</v>
      </c>
      <c r="AR178" s="1123">
        <v>20</v>
      </c>
      <c r="AS178" s="1123">
        <f t="shared" si="14"/>
        <v>0.31070524901697871</v>
      </c>
      <c r="AT178" s="224">
        <f t="shared" si="12"/>
        <v>21320.959323359439</v>
      </c>
    </row>
    <row r="179" spans="1:46">
      <c r="A179" s="1118">
        <v>2035</v>
      </c>
      <c r="D179" s="1107" t="s">
        <v>2006</v>
      </c>
      <c r="E179" s="224" t="s">
        <v>2060</v>
      </c>
      <c r="G179" s="224">
        <v>19465.594620876189</v>
      </c>
      <c r="H179" s="224">
        <v>7133.7000000000007</v>
      </c>
      <c r="I179" s="224">
        <v>239.74743749999999</v>
      </c>
      <c r="J179" s="224">
        <v>8.8308525555869655E-2</v>
      </c>
      <c r="K179" s="224">
        <v>0.10712670483970141</v>
      </c>
      <c r="L179" s="224">
        <v>0.11946695709840469</v>
      </c>
      <c r="M179" s="224">
        <v>3.7272136092448185E-2</v>
      </c>
      <c r="N179" s="224">
        <v>4.5240549162070195E-2</v>
      </c>
      <c r="O179" s="224">
        <v>5.4399065929141059E-2</v>
      </c>
      <c r="P179" s="224">
        <v>-38.060981126421197</v>
      </c>
      <c r="Q179" s="224">
        <v>-58.648593441615176</v>
      </c>
      <c r="R179" s="224">
        <v>197.63645134433062</v>
      </c>
      <c r="S179" s="224">
        <v>1403.5229600143562</v>
      </c>
      <c r="T179" s="224">
        <v>1703.5822501594939</v>
      </c>
      <c r="U179" s="224">
        <v>2048.4561938040824</v>
      </c>
      <c r="V179" s="224">
        <v>160</v>
      </c>
      <c r="W179" s="224">
        <v>283.15475255000001</v>
      </c>
      <c r="X179" s="224">
        <v>424.73212882500002</v>
      </c>
      <c r="Y179" s="224">
        <v>239.06475</v>
      </c>
      <c r="Z179" s="224">
        <v>0</v>
      </c>
      <c r="AA179" s="224">
        <v>9.4930248789490186</v>
      </c>
      <c r="AB179" s="224">
        <v>13.27173941647168</v>
      </c>
      <c r="AC179" s="224">
        <v>16.765196624075237</v>
      </c>
      <c r="AD179" s="1120">
        <v>6.3241250987439521</v>
      </c>
      <c r="AE179" s="224">
        <v>16907.771699428566</v>
      </c>
      <c r="AF179" s="224">
        <v>2993.7781017312</v>
      </c>
      <c r="AG179" s="224">
        <v>40503.310672500003</v>
      </c>
      <c r="AH179" s="224">
        <v>0</v>
      </c>
      <c r="AI179" s="224">
        <v>66000</v>
      </c>
      <c r="AJ179" s="224">
        <v>7124.2188517500035</v>
      </c>
      <c r="AK179" s="224">
        <v>3935.8667708711309</v>
      </c>
      <c r="AL179" s="224">
        <v>0</v>
      </c>
      <c r="AM179" s="224">
        <v>240</v>
      </c>
      <c r="AN179" s="1120">
        <v>137704.94609628088</v>
      </c>
      <c r="AO179" s="224">
        <f t="shared" si="11"/>
        <v>0.83326672301050309</v>
      </c>
      <c r="AP179" s="1123">
        <v>0.1</v>
      </c>
      <c r="AQ179" s="1123">
        <f t="shared" si="13"/>
        <v>0.13792129201534861</v>
      </c>
      <c r="AR179" s="1123">
        <v>20</v>
      </c>
      <c r="AS179" s="1123">
        <f t="shared" si="14"/>
        <v>0.29485213005522809</v>
      </c>
      <c r="AT179" s="224">
        <f t="shared" si="12"/>
        <v>18992.444082502996</v>
      </c>
    </row>
    <row r="180" spans="1:46">
      <c r="A180" s="1118">
        <v>2050</v>
      </c>
      <c r="D180" s="1107" t="s">
        <v>2006</v>
      </c>
      <c r="E180" s="224" t="s">
        <v>2060</v>
      </c>
      <c r="G180" s="224">
        <v>19061.456711624814</v>
      </c>
      <c r="H180" s="224">
        <v>7269</v>
      </c>
      <c r="I180" s="224">
        <v>228.82443749999999</v>
      </c>
      <c r="J180" s="224">
        <v>7.9536628329220233E-2</v>
      </c>
      <c r="K180" s="224">
        <v>9.7337920317146595E-2</v>
      </c>
      <c r="L180" s="224">
        <v>0.10983229970123273</v>
      </c>
      <c r="M180" s="224">
        <v>3.4814357174466966E-2</v>
      </c>
      <c r="N180" s="224">
        <v>4.2659554786354983E-2</v>
      </c>
      <c r="O180" s="224">
        <v>5.1290514298042843E-2</v>
      </c>
      <c r="P180" s="224">
        <v>-35.2867312737784</v>
      </c>
      <c r="Q180" s="224">
        <v>-56.286502957404828</v>
      </c>
      <c r="R180" s="224">
        <v>150.81087351635719</v>
      </c>
      <c r="S180" s="224">
        <v>1310.9726126591693</v>
      </c>
      <c r="T180" s="224">
        <v>1606.3920902770774</v>
      </c>
      <c r="U180" s="224">
        <v>1931.4002897417336</v>
      </c>
      <c r="V180" s="224">
        <v>155</v>
      </c>
      <c r="W180" s="224">
        <v>276.80785404999995</v>
      </c>
      <c r="X180" s="224">
        <v>415.21178107500003</v>
      </c>
      <c r="Y180" s="224">
        <v>227.45906250000002</v>
      </c>
      <c r="Z180" s="224">
        <v>0</v>
      </c>
      <c r="AA180" s="224">
        <v>8.6233804781861565</v>
      </c>
      <c r="AB180" s="224">
        <v>12.198074412433025</v>
      </c>
      <c r="AC180" s="224">
        <v>15.491691903803796</v>
      </c>
      <c r="AD180" s="1120">
        <v>5.8448202265105103</v>
      </c>
      <c r="AE180" s="224">
        <v>17490.397985142859</v>
      </c>
      <c r="AF180" s="224">
        <v>1779.6565801319998</v>
      </c>
      <c r="AG180" s="224">
        <v>31964.967899999996</v>
      </c>
      <c r="AH180" s="224">
        <v>0</v>
      </c>
      <c r="AI180" s="224">
        <v>66000</v>
      </c>
      <c r="AJ180" s="224">
        <v>10196.430783</v>
      </c>
      <c r="AK180" s="224">
        <v>4842.5801991868502</v>
      </c>
      <c r="AL180" s="224">
        <v>0</v>
      </c>
      <c r="AM180" s="224">
        <v>240</v>
      </c>
      <c r="AN180" s="1120">
        <v>132514.0334474617</v>
      </c>
      <c r="AO180" s="224">
        <f t="shared" si="11"/>
        <v>0.77011351304502473</v>
      </c>
      <c r="AP180" s="1123">
        <v>0.1</v>
      </c>
      <c r="AQ180" s="1123">
        <f t="shared" si="13"/>
        <v>0.13792129201534861</v>
      </c>
      <c r="AR180" s="1123">
        <v>20</v>
      </c>
      <c r="AS180" s="1123">
        <f t="shared" si="14"/>
        <v>0.27250531364706626</v>
      </c>
      <c r="AT180" s="224">
        <f t="shared" si="12"/>
        <v>18276.506703239036</v>
      </c>
    </row>
    <row r="181" spans="1:46">
      <c r="A181" s="1118">
        <v>2017</v>
      </c>
      <c r="D181" s="1107" t="s">
        <v>2006</v>
      </c>
      <c r="E181" s="224" t="s">
        <v>2061</v>
      </c>
      <c r="G181" s="224">
        <v>21557.102694159999</v>
      </c>
      <c r="H181" s="224">
        <v>6818</v>
      </c>
      <c r="I181" s="224">
        <v>625.59</v>
      </c>
      <c r="J181" s="224">
        <v>0</v>
      </c>
      <c r="K181" s="224">
        <v>0</v>
      </c>
      <c r="L181" s="224">
        <v>0</v>
      </c>
      <c r="M181" s="224">
        <v>0</v>
      </c>
      <c r="N181" s="224">
        <v>0</v>
      </c>
      <c r="O181" s="224">
        <v>0</v>
      </c>
      <c r="P181" s="224">
        <v>0</v>
      </c>
      <c r="Q181" s="224">
        <v>0</v>
      </c>
      <c r="R181" s="224">
        <v>0</v>
      </c>
      <c r="S181" s="224">
        <v>1896.0745460713624</v>
      </c>
      <c r="T181" s="224">
        <v>2572.126009487029</v>
      </c>
      <c r="U181" s="224">
        <v>3119.4761552366012</v>
      </c>
      <c r="V181" s="224">
        <v>0</v>
      </c>
      <c r="W181" s="224">
        <v>307.41920959999999</v>
      </c>
      <c r="X181" s="224">
        <v>461.12881440000001</v>
      </c>
      <c r="Y181" s="224">
        <v>625.59</v>
      </c>
      <c r="Z181" s="224">
        <v>0</v>
      </c>
      <c r="AA181" s="224">
        <v>10.072109142477357</v>
      </c>
      <c r="AB181" s="224">
        <v>13.663351976026714</v>
      </c>
      <c r="AC181" s="224">
        <v>16.57092247137637</v>
      </c>
      <c r="AD181" s="1120">
        <v>6.9532161209092616</v>
      </c>
      <c r="AE181" s="224">
        <v>0</v>
      </c>
      <c r="AF181" s="224">
        <v>14029.709091839999</v>
      </c>
      <c r="AG181" s="224">
        <v>355948.19820000004</v>
      </c>
      <c r="AH181" s="224">
        <v>0</v>
      </c>
      <c r="AI181" s="224">
        <v>66000</v>
      </c>
      <c r="AJ181" s="224">
        <v>0</v>
      </c>
      <c r="AK181" s="224">
        <v>745.98720000000003</v>
      </c>
      <c r="AL181" s="224">
        <v>0</v>
      </c>
      <c r="AM181" s="224">
        <v>0</v>
      </c>
      <c r="AN181" s="1120">
        <v>436723.89449184004</v>
      </c>
      <c r="AO181" s="224">
        <f t="shared" si="11"/>
        <v>0.91615575609100419</v>
      </c>
      <c r="AP181" s="1123">
        <v>0.1</v>
      </c>
      <c r="AQ181" s="1123">
        <f t="shared" si="13"/>
        <v>0.13792129201534861</v>
      </c>
      <c r="AR181" s="1123">
        <v>20</v>
      </c>
      <c r="AS181" s="1123">
        <f t="shared" si="14"/>
        <v>0.32418248405485128</v>
      </c>
      <c r="AT181" s="224">
        <f t="shared" si="12"/>
        <v>60233.523782289369</v>
      </c>
    </row>
    <row r="182" spans="1:46">
      <c r="A182" s="1121">
        <v>2020</v>
      </c>
      <c r="D182" s="1107" t="s">
        <v>2006</v>
      </c>
      <c r="E182" s="224" t="s">
        <v>2061</v>
      </c>
      <c r="G182" s="224">
        <v>21048.047906506472</v>
      </c>
      <c r="H182" s="224">
        <v>6873.7332999999999</v>
      </c>
      <c r="I182" s="224">
        <v>589.84199999999998</v>
      </c>
      <c r="J182" s="224">
        <v>0</v>
      </c>
      <c r="K182" s="224">
        <v>0</v>
      </c>
      <c r="L182" s="224">
        <v>0</v>
      </c>
      <c r="M182" s="224">
        <v>0</v>
      </c>
      <c r="N182" s="224">
        <v>0</v>
      </c>
      <c r="O182" s="224">
        <v>0</v>
      </c>
      <c r="P182" s="224">
        <v>0</v>
      </c>
      <c r="Q182" s="224">
        <v>0</v>
      </c>
      <c r="R182" s="224">
        <v>0</v>
      </c>
      <c r="S182" s="224">
        <v>1767.1124528685141</v>
      </c>
      <c r="T182" s="224">
        <v>2397.2389648208778</v>
      </c>
      <c r="U182" s="224">
        <v>2901.6882594579884</v>
      </c>
      <c r="V182" s="224">
        <v>0</v>
      </c>
      <c r="W182" s="224">
        <v>298.50401740000001</v>
      </c>
      <c r="X182" s="224">
        <v>447.75602610000004</v>
      </c>
      <c r="Y182" s="224">
        <v>589.84199999999998</v>
      </c>
      <c r="Z182" s="224">
        <v>0</v>
      </c>
      <c r="AA182" s="224">
        <v>9.3870515424622276</v>
      </c>
      <c r="AB182" s="224">
        <v>12.734337130522592</v>
      </c>
      <c r="AC182" s="224">
        <v>15.41401465847537</v>
      </c>
      <c r="AD182" s="1120">
        <v>6.4277677634517305</v>
      </c>
      <c r="AE182" s="224">
        <v>0</v>
      </c>
      <c r="AF182" s="224">
        <v>10438.54167681</v>
      </c>
      <c r="AG182" s="224">
        <v>312462.90107999998</v>
      </c>
      <c r="AH182" s="224">
        <v>0</v>
      </c>
      <c r="AI182" s="224">
        <v>66000</v>
      </c>
      <c r="AJ182" s="224">
        <v>1420.2532079296063</v>
      </c>
      <c r="AK182" s="224">
        <v>1214.2458237810094</v>
      </c>
      <c r="AL182" s="224">
        <v>0</v>
      </c>
      <c r="AM182" s="224">
        <v>0</v>
      </c>
      <c r="AN182" s="1120">
        <v>391535.94178852061</v>
      </c>
      <c r="AO182" s="224">
        <f t="shared" si="11"/>
        <v>0.84692268051239994</v>
      </c>
      <c r="AP182" s="1123">
        <v>0.1</v>
      </c>
      <c r="AQ182" s="1123">
        <f t="shared" si="13"/>
        <v>0.13792129201534861</v>
      </c>
      <c r="AR182" s="1123">
        <v>20</v>
      </c>
      <c r="AS182" s="1123">
        <f t="shared" si="14"/>
        <v>0.29968430209112878</v>
      </c>
      <c r="AT182" s="224">
        <f t="shared" si="12"/>
        <v>54001.142961919089</v>
      </c>
    </row>
    <row r="183" spans="1:46">
      <c r="A183" s="1118">
        <v>2025</v>
      </c>
      <c r="D183" s="1107" t="s">
        <v>2006</v>
      </c>
      <c r="E183" s="224" t="s">
        <v>2061</v>
      </c>
      <c r="G183" s="224">
        <v>19960.276358228042</v>
      </c>
      <c r="H183" s="224">
        <v>6953.2999999999993</v>
      </c>
      <c r="I183" s="224">
        <v>520.14581250000003</v>
      </c>
      <c r="J183" s="224">
        <v>0</v>
      </c>
      <c r="K183" s="224">
        <v>0</v>
      </c>
      <c r="L183" s="224">
        <v>0</v>
      </c>
      <c r="M183" s="224">
        <v>0</v>
      </c>
      <c r="N183" s="224">
        <v>0</v>
      </c>
      <c r="O183" s="224">
        <v>0</v>
      </c>
      <c r="P183" s="224">
        <v>0</v>
      </c>
      <c r="Q183" s="224">
        <v>0</v>
      </c>
      <c r="R183" s="224">
        <v>0</v>
      </c>
      <c r="S183" s="224">
        <v>1551.1638914094738</v>
      </c>
      <c r="T183" s="224">
        <v>2075.0177327809529</v>
      </c>
      <c r="U183" s="224">
        <v>2498.7971249475668</v>
      </c>
      <c r="V183" s="224">
        <v>0</v>
      </c>
      <c r="W183" s="224">
        <v>279.94560230000002</v>
      </c>
      <c r="X183" s="224">
        <v>419.91840345000003</v>
      </c>
      <c r="Y183" s="224">
        <v>520.14581250000003</v>
      </c>
      <c r="Z183" s="224">
        <v>0</v>
      </c>
      <c r="AA183" s="224">
        <v>8.2399144297980023</v>
      </c>
      <c r="AB183" s="224">
        <v>11.022670559261369</v>
      </c>
      <c r="AC183" s="224">
        <v>13.273822708884815</v>
      </c>
      <c r="AD183" s="1120">
        <v>5.5690096494678469</v>
      </c>
      <c r="AE183" s="224">
        <v>0</v>
      </c>
      <c r="AF183" s="224">
        <v>4858.4300010200004</v>
      </c>
      <c r="AG183" s="224">
        <v>167166.13814999998</v>
      </c>
      <c r="AH183" s="224">
        <v>0</v>
      </c>
      <c r="AI183" s="224">
        <v>66000</v>
      </c>
      <c r="AJ183" s="224">
        <v>3197.9288654775046</v>
      </c>
      <c r="AK183" s="224">
        <v>2829.8971847014668</v>
      </c>
      <c r="AL183" s="224">
        <v>0</v>
      </c>
      <c r="AM183" s="224">
        <v>0</v>
      </c>
      <c r="AN183" s="1120">
        <v>244052.39420119894</v>
      </c>
      <c r="AO183" s="224">
        <f t="shared" si="11"/>
        <v>0.73377271141388345</v>
      </c>
      <c r="AP183" s="1123">
        <v>0.1</v>
      </c>
      <c r="AQ183" s="1123">
        <f t="shared" si="13"/>
        <v>0.13792129201534861</v>
      </c>
      <c r="AR183" s="1123">
        <v>20</v>
      </c>
      <c r="AS183" s="1123">
        <f t="shared" si="14"/>
        <v>0.25964609045602871</v>
      </c>
      <c r="AT183" s="224">
        <f t="shared" si="12"/>
        <v>33660.021527668534</v>
      </c>
    </row>
    <row r="184" spans="1:46">
      <c r="A184" s="1118">
        <v>2030</v>
      </c>
      <c r="D184" s="1107" t="s">
        <v>2006</v>
      </c>
      <c r="E184" s="224" t="s">
        <v>2061</v>
      </c>
      <c r="G184" s="224">
        <v>19328.480411014512</v>
      </c>
      <c r="H184" s="224">
        <v>7043.5</v>
      </c>
      <c r="I184" s="224">
        <v>494.94843749999995</v>
      </c>
      <c r="J184" s="224">
        <v>0</v>
      </c>
      <c r="K184" s="224">
        <v>0</v>
      </c>
      <c r="L184" s="224">
        <v>0</v>
      </c>
      <c r="M184" s="224">
        <v>0</v>
      </c>
      <c r="N184" s="224">
        <v>0</v>
      </c>
      <c r="O184" s="224">
        <v>0</v>
      </c>
      <c r="P184" s="224">
        <v>0</v>
      </c>
      <c r="Q184" s="224">
        <v>0</v>
      </c>
      <c r="R184" s="224">
        <v>0</v>
      </c>
      <c r="S184" s="224">
        <v>1443.3868076820445</v>
      </c>
      <c r="T184" s="224">
        <v>1947.8869517511803</v>
      </c>
      <c r="U184" s="224">
        <v>2344.6235409211113</v>
      </c>
      <c r="V184" s="224">
        <v>0</v>
      </c>
      <c r="W184" s="224">
        <v>270.22816384999999</v>
      </c>
      <c r="X184" s="224">
        <v>405.34224577500004</v>
      </c>
      <c r="Y184" s="224">
        <v>494.94843749999995</v>
      </c>
      <c r="Z184" s="224">
        <v>0</v>
      </c>
      <c r="AA184" s="224">
        <v>7.6673934007014317</v>
      </c>
      <c r="AB184" s="224">
        <v>10.347341045158991</v>
      </c>
      <c r="AC184" s="224">
        <v>12.454839526805372</v>
      </c>
      <c r="AD184" s="1120">
        <v>5.1228741011479508</v>
      </c>
      <c r="AE184" s="224">
        <v>0</v>
      </c>
      <c r="AF184" s="224">
        <v>3493.5508413023408</v>
      </c>
      <c r="AG184" s="224">
        <v>112495.66048125</v>
      </c>
      <c r="AH184" s="224">
        <v>0</v>
      </c>
      <c r="AI184" s="224">
        <v>66000</v>
      </c>
      <c r="AJ184" s="224">
        <v>5082.4026577499999</v>
      </c>
      <c r="AK184" s="224">
        <v>3508.029060192428</v>
      </c>
      <c r="AL184" s="224">
        <v>0</v>
      </c>
      <c r="AM184" s="224">
        <v>0</v>
      </c>
      <c r="AN184" s="1120">
        <v>190579.64304049476</v>
      </c>
      <c r="AO184" s="224">
        <f t="shared" si="11"/>
        <v>0.67498989156725397</v>
      </c>
      <c r="AP184" s="1123">
        <v>0.1</v>
      </c>
      <c r="AQ184" s="1123">
        <f t="shared" si="13"/>
        <v>0.13792129201534861</v>
      </c>
      <c r="AR184" s="1123">
        <v>20</v>
      </c>
      <c r="AS184" s="1123">
        <f t="shared" si="14"/>
        <v>0.23884574026346145</v>
      </c>
      <c r="AT184" s="224">
        <f t="shared" si="12"/>
        <v>26284.99059996898</v>
      </c>
    </row>
    <row r="185" spans="1:46">
      <c r="A185" s="1118">
        <v>2035</v>
      </c>
      <c r="D185" s="1107" t="s">
        <v>2006</v>
      </c>
      <c r="E185" s="224" t="s">
        <v>2061</v>
      </c>
      <c r="G185" s="224">
        <v>18984.288476120004</v>
      </c>
      <c r="H185" s="224">
        <v>7133.7000000000007</v>
      </c>
      <c r="I185" s="224">
        <v>458.76600000000002</v>
      </c>
      <c r="J185" s="224">
        <v>0</v>
      </c>
      <c r="K185" s="224">
        <v>0</v>
      </c>
      <c r="L185" s="224">
        <v>0</v>
      </c>
      <c r="M185" s="224">
        <v>0</v>
      </c>
      <c r="N185" s="224">
        <v>0</v>
      </c>
      <c r="O185" s="224">
        <v>0</v>
      </c>
      <c r="P185" s="224">
        <v>0</v>
      </c>
      <c r="Q185" s="224">
        <v>0</v>
      </c>
      <c r="R185" s="224">
        <v>0</v>
      </c>
      <c r="S185" s="224">
        <v>1371.6439903096771</v>
      </c>
      <c r="T185" s="224">
        <v>1874.6624470550896</v>
      </c>
      <c r="U185" s="224">
        <v>2257.5537767339065</v>
      </c>
      <c r="V185" s="224">
        <v>0</v>
      </c>
      <c r="W185" s="224">
        <v>264.96900599999998</v>
      </c>
      <c r="X185" s="224">
        <v>397.453509</v>
      </c>
      <c r="Y185" s="224">
        <v>458.76600000000002</v>
      </c>
      <c r="Z185" s="224">
        <v>0</v>
      </c>
      <c r="AA185" s="224">
        <v>7.2862894571563199</v>
      </c>
      <c r="AB185" s="224">
        <v>9.9583662526166776</v>
      </c>
      <c r="AC185" s="224">
        <v>11.992317539091136</v>
      </c>
      <c r="AD185" s="1120">
        <v>4.8156706385010022</v>
      </c>
      <c r="AE185" s="224">
        <v>0</v>
      </c>
      <c r="AF185" s="224">
        <v>2813.7681087743995</v>
      </c>
      <c r="AG185" s="224">
        <v>77740.818119999996</v>
      </c>
      <c r="AH185" s="224">
        <v>0</v>
      </c>
      <c r="AI185" s="224">
        <v>66000</v>
      </c>
      <c r="AJ185" s="224">
        <v>7124.2188517500035</v>
      </c>
      <c r="AK185" s="224">
        <v>3935.8667708711309</v>
      </c>
      <c r="AL185" s="224">
        <v>0</v>
      </c>
      <c r="AM185" s="224">
        <v>0</v>
      </c>
      <c r="AN185" s="1120">
        <v>157614.67185139551</v>
      </c>
      <c r="AO185" s="224">
        <f t="shared" si="11"/>
        <v>0.63451276332889195</v>
      </c>
      <c r="AP185" s="1123">
        <v>0.1</v>
      </c>
      <c r="AQ185" s="1123">
        <f t="shared" si="13"/>
        <v>0.13792129201534861</v>
      </c>
      <c r="AR185" s="1123">
        <v>20</v>
      </c>
      <c r="AS185" s="1123">
        <f t="shared" si="14"/>
        <v>0.22452287442708119</v>
      </c>
      <c r="AT185" s="224">
        <f t="shared" si="12"/>
        <v>21738.419182319667</v>
      </c>
    </row>
    <row r="186" spans="1:46">
      <c r="A186" s="1118">
        <v>2050</v>
      </c>
      <c r="D186" s="1107" t="s">
        <v>2006</v>
      </c>
      <c r="E186" s="224" t="s">
        <v>2061</v>
      </c>
      <c r="G186" s="224">
        <v>18506.068513950715</v>
      </c>
      <c r="H186" s="224">
        <v>7269</v>
      </c>
      <c r="I186" s="224">
        <v>436.54762499999998</v>
      </c>
      <c r="J186" s="224">
        <v>0</v>
      </c>
      <c r="K186" s="224">
        <v>0</v>
      </c>
      <c r="L186" s="224">
        <v>0</v>
      </c>
      <c r="M186" s="224">
        <v>0</v>
      </c>
      <c r="N186" s="224">
        <v>0</v>
      </c>
      <c r="O186" s="224">
        <v>0</v>
      </c>
      <c r="P186" s="224">
        <v>0</v>
      </c>
      <c r="Q186" s="224">
        <v>0</v>
      </c>
      <c r="R186" s="224">
        <v>0</v>
      </c>
      <c r="S186" s="224">
        <v>1276.4702971527481</v>
      </c>
      <c r="T186" s="224">
        <v>1767.7825760397509</v>
      </c>
      <c r="U186" s="224">
        <v>2129.6935555471237</v>
      </c>
      <c r="V186" s="224">
        <v>0</v>
      </c>
      <c r="W186" s="224">
        <v>257.35262130000001</v>
      </c>
      <c r="X186" s="224">
        <v>386.02893195000001</v>
      </c>
      <c r="Y186" s="224">
        <v>436.54762499999998</v>
      </c>
      <c r="Z186" s="224">
        <v>0</v>
      </c>
      <c r="AA186" s="224">
        <v>6.7807187099747583</v>
      </c>
      <c r="AB186" s="224">
        <v>9.3906112937038557</v>
      </c>
      <c r="AC186" s="224">
        <v>11.313113176877151</v>
      </c>
      <c r="AD186" s="1120">
        <v>4.4068989916320103</v>
      </c>
      <c r="AE186" s="224">
        <v>0</v>
      </c>
      <c r="AF186" s="224">
        <v>1660.6092705239998</v>
      </c>
      <c r="AG186" s="224">
        <v>61369.098029999994</v>
      </c>
      <c r="AH186" s="224">
        <v>0</v>
      </c>
      <c r="AI186" s="224">
        <v>66000</v>
      </c>
      <c r="AJ186" s="224">
        <v>10196.430783</v>
      </c>
      <c r="AK186" s="224">
        <v>4842.5801991868502</v>
      </c>
      <c r="AL186" s="224">
        <v>0</v>
      </c>
      <c r="AM186" s="224">
        <v>0</v>
      </c>
      <c r="AN186" s="1120">
        <v>144068.71828271082</v>
      </c>
      <c r="AO186" s="224">
        <f t="shared" si="11"/>
        <v>0.58065301113743362</v>
      </c>
      <c r="AP186" s="1123">
        <v>0.1</v>
      </c>
      <c r="AQ186" s="1123">
        <f t="shared" si="13"/>
        <v>0.13792129201534861</v>
      </c>
      <c r="AR186" s="1123">
        <v>20</v>
      </c>
      <c r="AS186" s="1123">
        <f t="shared" si="14"/>
        <v>0.20546455586070053</v>
      </c>
      <c r="AT186" s="224">
        <f t="shared" si="12"/>
        <v>19870.143764546752</v>
      </c>
    </row>
    <row r="187" spans="1:46">
      <c r="A187" s="1118">
        <v>2017</v>
      </c>
      <c r="D187" s="1107" t="s">
        <v>2006</v>
      </c>
      <c r="E187" s="224" t="s">
        <v>2062</v>
      </c>
      <c r="G187" s="224">
        <v>19606.978433003693</v>
      </c>
      <c r="H187" s="224">
        <v>6818</v>
      </c>
      <c r="I187" s="224">
        <v>6.6528000000000009</v>
      </c>
      <c r="J187" s="224">
        <v>9.4657873641763493E-2</v>
      </c>
      <c r="K187" s="224">
        <v>0.12316018085685555</v>
      </c>
      <c r="L187" s="224">
        <v>0.15649256157745464</v>
      </c>
      <c r="M187" s="224">
        <v>0</v>
      </c>
      <c r="N187" s="224">
        <v>0</v>
      </c>
      <c r="O187" s="224">
        <v>0</v>
      </c>
      <c r="P187" s="224">
        <v>0</v>
      </c>
      <c r="Q187" s="224">
        <v>0</v>
      </c>
      <c r="R187" s="224">
        <v>0</v>
      </c>
      <c r="S187" s="224">
        <v>0</v>
      </c>
      <c r="T187" s="224">
        <v>0</v>
      </c>
      <c r="U187" s="224">
        <v>0</v>
      </c>
      <c r="V187" s="224">
        <v>0</v>
      </c>
      <c r="W187" s="224">
        <v>305.79246330000001</v>
      </c>
      <c r="X187" s="224">
        <v>207.08612440191385</v>
      </c>
      <c r="Y187" s="224">
        <v>6.6528000000000009</v>
      </c>
      <c r="Z187" s="224">
        <v>198.96140359999998</v>
      </c>
      <c r="AA187" s="224">
        <v>18.9315747283527</v>
      </c>
      <c r="AB187" s="224">
        <v>24.632036171371112</v>
      </c>
      <c r="AC187" s="224">
        <v>31.298512315490928</v>
      </c>
      <c r="AD187" s="1120">
        <v>12.583208593833213</v>
      </c>
      <c r="AE187" s="224">
        <v>0</v>
      </c>
      <c r="AF187" s="224">
        <v>13959.921675569998</v>
      </c>
      <c r="AG187" s="224">
        <v>9028.9550239234432</v>
      </c>
      <c r="AH187" s="224">
        <v>0</v>
      </c>
      <c r="AI187" s="224">
        <v>66000</v>
      </c>
      <c r="AJ187" s="224">
        <v>0</v>
      </c>
      <c r="AK187" s="224">
        <v>745.98720000000003</v>
      </c>
      <c r="AL187" s="224">
        <v>95422.96</v>
      </c>
      <c r="AM187" s="224">
        <v>29542.285695999999</v>
      </c>
      <c r="AN187" s="1120">
        <v>214700.10959549344</v>
      </c>
      <c r="AO187" s="224">
        <f t="shared" si="11"/>
        <v>1.657963564323464</v>
      </c>
      <c r="AP187" s="1123">
        <v>0.1</v>
      </c>
      <c r="AQ187" s="1123">
        <f t="shared" si="13"/>
        <v>0.13792129201534861</v>
      </c>
      <c r="AR187" s="1123">
        <v>20</v>
      </c>
      <c r="AS187" s="1123">
        <f t="shared" si="14"/>
        <v>0.58667180027129162</v>
      </c>
      <c r="AT187" s="224">
        <f t="shared" si="12"/>
        <v>29611.716511247403</v>
      </c>
    </row>
    <row r="188" spans="1:46">
      <c r="A188" s="1121">
        <v>2020</v>
      </c>
      <c r="D188" s="1107" t="s">
        <v>2006</v>
      </c>
      <c r="E188" s="224" t="s">
        <v>2062</v>
      </c>
      <c r="G188" s="224">
        <v>19460.294094325123</v>
      </c>
      <c r="H188" s="224">
        <v>6873.7332999999999</v>
      </c>
      <c r="I188" s="224">
        <v>6.7003199999999996</v>
      </c>
      <c r="J188" s="224">
        <v>8.8491829313362427E-2</v>
      </c>
      <c r="K188" s="224">
        <v>0.11300521430044612</v>
      </c>
      <c r="L188" s="224">
        <v>0.14641634791690061</v>
      </c>
      <c r="M188" s="224">
        <v>0</v>
      </c>
      <c r="N188" s="224">
        <v>0</v>
      </c>
      <c r="O188" s="224">
        <v>0</v>
      </c>
      <c r="P188" s="224">
        <v>0</v>
      </c>
      <c r="Q188" s="224">
        <v>0</v>
      </c>
      <c r="R188" s="224">
        <v>0</v>
      </c>
      <c r="S188" s="224">
        <v>0</v>
      </c>
      <c r="T188" s="224">
        <v>0</v>
      </c>
      <c r="U188" s="224">
        <v>0</v>
      </c>
      <c r="V188" s="224">
        <v>0</v>
      </c>
      <c r="W188" s="224">
        <v>298.94341989999998</v>
      </c>
      <c r="X188" s="224">
        <v>208.56531100478466</v>
      </c>
      <c r="Y188" s="224">
        <v>6.7003200000000005</v>
      </c>
      <c r="Z188" s="224">
        <v>194.35906219999998</v>
      </c>
      <c r="AA188" s="224">
        <v>17.698365862672485</v>
      </c>
      <c r="AB188" s="224">
        <v>22.601042860089223</v>
      </c>
      <c r="AC188" s="224">
        <v>29.283269583380122</v>
      </c>
      <c r="AD188" s="1120">
        <v>11.604297333809688</v>
      </c>
      <c r="AE188" s="224">
        <v>0</v>
      </c>
      <c r="AF188" s="224">
        <v>10453.107869684998</v>
      </c>
      <c r="AG188" s="224">
        <v>9093.4475598086101</v>
      </c>
      <c r="AH188" s="224">
        <v>0</v>
      </c>
      <c r="AI188" s="224">
        <v>66000</v>
      </c>
      <c r="AJ188" s="224">
        <v>1420.2532079296063</v>
      </c>
      <c r="AK188" s="224">
        <v>1214.2458237810094</v>
      </c>
      <c r="AL188" s="224">
        <v>88815.380000000019</v>
      </c>
      <c r="AM188" s="224">
        <v>27893.557464615387</v>
      </c>
      <c r="AN188" s="1120">
        <v>204889.99192581963</v>
      </c>
      <c r="AO188" s="224">
        <f t="shared" si="11"/>
        <v>1.5289822167027645</v>
      </c>
      <c r="AP188" s="1123">
        <v>0.1</v>
      </c>
      <c r="AQ188" s="1123">
        <f t="shared" si="13"/>
        <v>0.13792129201534861</v>
      </c>
      <c r="AR188" s="1123">
        <v>20</v>
      </c>
      <c r="AS188" s="1123">
        <f t="shared" si="14"/>
        <v>0.54103164204445486</v>
      </c>
      <c r="AT188" s="224">
        <f t="shared" si="12"/>
        <v>28258.69240742339</v>
      </c>
    </row>
    <row r="189" spans="1:46">
      <c r="A189" s="1118">
        <v>2025</v>
      </c>
      <c r="D189" s="1107" t="s">
        <v>2006</v>
      </c>
      <c r="E189" s="224" t="s">
        <v>2062</v>
      </c>
      <c r="G189" s="224">
        <v>18850.552920461443</v>
      </c>
      <c r="H189" s="224">
        <v>6953.2999999999993</v>
      </c>
      <c r="I189" s="224">
        <v>6.6765600000000003</v>
      </c>
      <c r="J189" s="224">
        <v>7.8087984536286431E-2</v>
      </c>
      <c r="K189" s="224">
        <v>9.5598029759206032E-2</v>
      </c>
      <c r="L189" s="224">
        <v>0.12573737143357708</v>
      </c>
      <c r="M189" s="224">
        <v>0</v>
      </c>
      <c r="N189" s="224">
        <v>0</v>
      </c>
      <c r="O189" s="224">
        <v>0</v>
      </c>
      <c r="P189" s="224">
        <v>0</v>
      </c>
      <c r="Q189" s="224">
        <v>0</v>
      </c>
      <c r="R189" s="224">
        <v>0</v>
      </c>
      <c r="S189" s="224">
        <v>0</v>
      </c>
      <c r="T189" s="224">
        <v>0</v>
      </c>
      <c r="U189" s="224">
        <v>0</v>
      </c>
      <c r="V189" s="224">
        <v>0</v>
      </c>
      <c r="W189" s="224">
        <v>284.51656609999998</v>
      </c>
      <c r="X189" s="224">
        <v>188.73467059256532</v>
      </c>
      <c r="Y189" s="224">
        <v>6.6765600000000003</v>
      </c>
      <c r="Z189" s="224">
        <v>184.77359974999999</v>
      </c>
      <c r="AA189" s="224">
        <v>15.617596907257287</v>
      </c>
      <c r="AB189" s="224">
        <v>19.119605951841205</v>
      </c>
      <c r="AC189" s="224">
        <v>25.147474286715415</v>
      </c>
      <c r="AD189" s="1120">
        <v>10.018771362154025</v>
      </c>
      <c r="AE189" s="224">
        <v>0</v>
      </c>
      <c r="AF189" s="224">
        <v>4922.9781415774996</v>
      </c>
      <c r="AG189" s="224">
        <v>6043.7114817813763</v>
      </c>
      <c r="AH189" s="224">
        <v>0</v>
      </c>
      <c r="AI189" s="224">
        <v>66000</v>
      </c>
      <c r="AJ189" s="224">
        <v>3197.9288654775046</v>
      </c>
      <c r="AK189" s="224">
        <v>2829.8971847014668</v>
      </c>
      <c r="AL189" s="224">
        <v>53180.160000000003</v>
      </c>
      <c r="AM189" s="224">
        <v>17372.183840000002</v>
      </c>
      <c r="AN189" s="1120">
        <v>153546.85951353784</v>
      </c>
      <c r="AO189" s="224">
        <f t="shared" si="11"/>
        <v>1.3200733146774142</v>
      </c>
      <c r="AP189" s="1123">
        <v>0.1</v>
      </c>
      <c r="AQ189" s="1123">
        <f t="shared" si="13"/>
        <v>0.13792129201534861</v>
      </c>
      <c r="AR189" s="1123">
        <v>20</v>
      </c>
      <c r="AS189" s="1123">
        <f t="shared" si="14"/>
        <v>0.46710905153570487</v>
      </c>
      <c r="AT189" s="224">
        <f t="shared" si="12"/>
        <v>21177.381249006361</v>
      </c>
    </row>
    <row r="190" spans="1:46">
      <c r="A190" s="1118">
        <v>2030</v>
      </c>
      <c r="D190" s="1107" t="s">
        <v>2006</v>
      </c>
      <c r="E190" s="224" t="s">
        <v>2062</v>
      </c>
      <c r="G190" s="224">
        <v>18465.928973242753</v>
      </c>
      <c r="H190" s="224">
        <v>7043.5</v>
      </c>
      <c r="I190" s="224">
        <v>6.6528000000000009</v>
      </c>
      <c r="J190" s="224">
        <v>7.2212141542293759E-2</v>
      </c>
      <c r="K190" s="224">
        <v>8.8007012750989266E-2</v>
      </c>
      <c r="L190" s="224">
        <v>0.11614075246722463</v>
      </c>
      <c r="M190" s="224">
        <v>0</v>
      </c>
      <c r="N190" s="224">
        <v>0</v>
      </c>
      <c r="O190" s="224">
        <v>0</v>
      </c>
      <c r="P190" s="224">
        <v>0</v>
      </c>
      <c r="Q190" s="224">
        <v>0</v>
      </c>
      <c r="R190" s="224">
        <v>0</v>
      </c>
      <c r="S190" s="224">
        <v>0</v>
      </c>
      <c r="T190" s="224">
        <v>0</v>
      </c>
      <c r="U190" s="224">
        <v>0</v>
      </c>
      <c r="V190" s="224">
        <v>0</v>
      </c>
      <c r="W190" s="224">
        <v>277.27313500000002</v>
      </c>
      <c r="X190" s="224">
        <v>147.44985800225973</v>
      </c>
      <c r="Y190" s="224">
        <v>6.6528000000000009</v>
      </c>
      <c r="Z190" s="224">
        <v>179.91648594999998</v>
      </c>
      <c r="AA190" s="224">
        <v>14.442428308458751</v>
      </c>
      <c r="AB190" s="224">
        <v>17.601402550197854</v>
      </c>
      <c r="AC190" s="224">
        <v>23.228150493444929</v>
      </c>
      <c r="AD190" s="1120">
        <v>9.1161890039719342</v>
      </c>
      <c r="AE190" s="224">
        <v>0</v>
      </c>
      <c r="AF190" s="224">
        <v>3561.3534865881002</v>
      </c>
      <c r="AG190" s="224">
        <v>3774.1443301676486</v>
      </c>
      <c r="AH190" s="224">
        <v>0</v>
      </c>
      <c r="AI190" s="224">
        <v>66000</v>
      </c>
      <c r="AJ190" s="224">
        <v>5082.4026577499999</v>
      </c>
      <c r="AK190" s="224">
        <v>3508.029060192428</v>
      </c>
      <c r="AL190" s="224">
        <v>34077</v>
      </c>
      <c r="AM190" s="224">
        <v>12297.904600000002</v>
      </c>
      <c r="AN190" s="1120">
        <v>128300.83413469818</v>
      </c>
      <c r="AO190" s="224">
        <f t="shared" si="11"/>
        <v>1.2011490631633419</v>
      </c>
      <c r="AP190" s="1123">
        <v>0.1</v>
      </c>
      <c r="AQ190" s="1123">
        <f t="shared" si="13"/>
        <v>0.13792129201534861</v>
      </c>
      <c r="AR190" s="1123">
        <v>20</v>
      </c>
      <c r="AS190" s="1123">
        <f t="shared" si="14"/>
        <v>0.42502760521625799</v>
      </c>
      <c r="AT190" s="224">
        <f t="shared" si="12"/>
        <v>17695.416810504514</v>
      </c>
    </row>
    <row r="191" spans="1:46">
      <c r="A191" s="1118">
        <v>2035</v>
      </c>
      <c r="D191" s="1107" t="s">
        <v>2006</v>
      </c>
      <c r="E191" s="224" t="s">
        <v>2062</v>
      </c>
      <c r="G191" s="224">
        <v>18176.405880584774</v>
      </c>
      <c r="H191" s="224">
        <v>7133.7000000000007</v>
      </c>
      <c r="I191" s="224">
        <v>6.6528000000000009</v>
      </c>
      <c r="J191" s="224">
        <v>6.6717317489780867E-2</v>
      </c>
      <c r="K191" s="224">
        <v>8.1474665309264407E-2</v>
      </c>
      <c r="L191" s="224">
        <v>0.10751723488398779</v>
      </c>
      <c r="M191" s="224">
        <v>0</v>
      </c>
      <c r="N191" s="224">
        <v>0</v>
      </c>
      <c r="O191" s="224">
        <v>0</v>
      </c>
      <c r="P191" s="224">
        <v>0</v>
      </c>
      <c r="Q191" s="224">
        <v>0</v>
      </c>
      <c r="R191" s="224">
        <v>0</v>
      </c>
      <c r="S191" s="224">
        <v>0</v>
      </c>
      <c r="T191" s="224">
        <v>0</v>
      </c>
      <c r="U191" s="224">
        <v>0</v>
      </c>
      <c r="V191" s="224">
        <v>0</v>
      </c>
      <c r="W191" s="224">
        <v>274.08423310000001</v>
      </c>
      <c r="X191" s="224">
        <v>125.72489082969429</v>
      </c>
      <c r="Y191" s="224">
        <v>6.6528000000000009</v>
      </c>
      <c r="Z191" s="224">
        <v>177.76752440000001</v>
      </c>
      <c r="AA191" s="224">
        <v>13.343463497956174</v>
      </c>
      <c r="AB191" s="224">
        <v>16.29493306185288</v>
      </c>
      <c r="AC191" s="224">
        <v>21.503446976797555</v>
      </c>
      <c r="AD191" s="1120">
        <v>8.2880594513037753</v>
      </c>
      <c r="AE191" s="224">
        <v>0</v>
      </c>
      <c r="AF191" s="224">
        <v>2901.0652419648</v>
      </c>
      <c r="AG191" s="224">
        <v>2413.9179039301303</v>
      </c>
      <c r="AH191" s="224">
        <v>0</v>
      </c>
      <c r="AI191" s="224">
        <v>66000</v>
      </c>
      <c r="AJ191" s="224">
        <v>7124.2188517500035</v>
      </c>
      <c r="AK191" s="224">
        <v>3935.8667708711309</v>
      </c>
      <c r="AL191" s="224">
        <v>26508.6</v>
      </c>
      <c r="AM191" s="224">
        <v>8996.9115299999994</v>
      </c>
      <c r="AN191" s="1120">
        <v>117880.58029851606</v>
      </c>
      <c r="AO191" s="224">
        <f t="shared" si="11"/>
        <v>1.0920347133037853</v>
      </c>
      <c r="AP191" s="1123">
        <v>0.1</v>
      </c>
      <c r="AQ191" s="1123">
        <f t="shared" si="13"/>
        <v>0.13792129201534861</v>
      </c>
      <c r="AR191" s="1123">
        <v>20</v>
      </c>
      <c r="AS191" s="1123">
        <f t="shared" si="14"/>
        <v>0.38641740083962633</v>
      </c>
      <c r="AT191" s="224">
        <f t="shared" si="12"/>
        <v>16258.241938290383</v>
      </c>
    </row>
    <row r="192" spans="1:46">
      <c r="A192" s="1118">
        <v>2050</v>
      </c>
      <c r="D192" s="1107" t="s">
        <v>2006</v>
      </c>
      <c r="E192" s="224" t="s">
        <v>2062</v>
      </c>
      <c r="G192" s="224">
        <v>17776.715214781463</v>
      </c>
      <c r="H192" s="224">
        <v>7269</v>
      </c>
      <c r="I192" s="224">
        <v>6.6290400000000007</v>
      </c>
      <c r="J192" s="224">
        <v>6.0643449174750085E-2</v>
      </c>
      <c r="K192" s="224">
        <v>7.3935172392706056E-2</v>
      </c>
      <c r="L192" s="224">
        <v>9.7049659858491247E-2</v>
      </c>
      <c r="M192" s="224">
        <v>0</v>
      </c>
      <c r="N192" s="224">
        <v>0</v>
      </c>
      <c r="O192" s="224">
        <v>0</v>
      </c>
      <c r="P192" s="224">
        <v>0</v>
      </c>
      <c r="Q192" s="224">
        <v>0</v>
      </c>
      <c r="R192" s="224">
        <v>0</v>
      </c>
      <c r="S192" s="224">
        <v>0</v>
      </c>
      <c r="T192" s="224">
        <v>0</v>
      </c>
      <c r="U192" s="224">
        <v>0</v>
      </c>
      <c r="V192" s="224">
        <v>0</v>
      </c>
      <c r="W192" s="224">
        <v>266.16780510000001</v>
      </c>
      <c r="X192" s="224">
        <v>125.27587336244537</v>
      </c>
      <c r="Y192" s="224">
        <v>6.6290400000000007</v>
      </c>
      <c r="Z192" s="224">
        <v>172.47618445000001</v>
      </c>
      <c r="AA192" s="224">
        <v>12.128689834950016</v>
      </c>
      <c r="AB192" s="224">
        <v>14.787034478541209</v>
      </c>
      <c r="AC192" s="224">
        <v>19.409931971698249</v>
      </c>
      <c r="AD192" s="1120">
        <v>7.3556439557929512</v>
      </c>
      <c r="AE192" s="224">
        <v>0</v>
      </c>
      <c r="AF192" s="224">
        <v>1715.7119713739999</v>
      </c>
      <c r="AG192" s="224">
        <v>2256.043362445414</v>
      </c>
      <c r="AH192" s="224">
        <v>0</v>
      </c>
      <c r="AI192" s="224">
        <v>66000</v>
      </c>
      <c r="AJ192" s="224">
        <v>10196.430783</v>
      </c>
      <c r="AK192" s="224">
        <v>4842.5801991868502</v>
      </c>
      <c r="AL192" s="224">
        <v>23041.799999999996</v>
      </c>
      <c r="AM192" s="224">
        <v>7577.2243199999994</v>
      </c>
      <c r="AN192" s="1120">
        <v>115629.79063600626</v>
      </c>
      <c r="AO192" s="224">
        <f t="shared" si="11"/>
        <v>0.96917964761527919</v>
      </c>
      <c r="AP192" s="1123">
        <v>0.1</v>
      </c>
      <c r="AQ192" s="1123">
        <f t="shared" si="13"/>
        <v>0.13792129201534861</v>
      </c>
      <c r="AR192" s="1123">
        <v>20</v>
      </c>
      <c r="AS192" s="1123">
        <f t="shared" si="14"/>
        <v>0.34294503262185172</v>
      </c>
      <c r="AT192" s="224">
        <f t="shared" si="12"/>
        <v>15947.810119982243</v>
      </c>
    </row>
    <row r="193" spans="1:46">
      <c r="A193" s="1118">
        <v>2017</v>
      </c>
      <c r="B193" s="1119"/>
      <c r="C193" s="1119"/>
      <c r="D193" s="1119" t="s">
        <v>2008</v>
      </c>
      <c r="E193" s="1119" t="s">
        <v>2057</v>
      </c>
      <c r="F193" s="1119"/>
      <c r="G193" s="224">
        <v>24989.884255070989</v>
      </c>
      <c r="H193" s="224">
        <v>9364</v>
      </c>
      <c r="I193" s="224">
        <v>2.3759999999999999</v>
      </c>
      <c r="J193" s="224">
        <v>0.16950749573681748</v>
      </c>
      <c r="K193" s="224">
        <v>0.10886097846829028</v>
      </c>
      <c r="L193" s="224">
        <v>0.12220511235236636</v>
      </c>
      <c r="M193" s="224">
        <v>0</v>
      </c>
      <c r="N193" s="224">
        <v>0</v>
      </c>
      <c r="O193" s="224">
        <v>0</v>
      </c>
      <c r="P193" s="224">
        <v>0</v>
      </c>
      <c r="Q193" s="224">
        <v>0</v>
      </c>
      <c r="R193" s="224">
        <v>0</v>
      </c>
      <c r="S193" s="224">
        <v>0</v>
      </c>
      <c r="T193" s="224">
        <v>0</v>
      </c>
      <c r="U193" s="224">
        <v>0</v>
      </c>
      <c r="V193" s="224">
        <v>304.51632640000003</v>
      </c>
      <c r="W193" s="224">
        <v>0</v>
      </c>
      <c r="X193" s="224">
        <v>3.2632499999999989</v>
      </c>
      <c r="Y193" s="224">
        <v>2.3759999999999999</v>
      </c>
      <c r="Z193" s="224">
        <v>0</v>
      </c>
      <c r="AA193" s="224">
        <v>84.753747868408738</v>
      </c>
      <c r="AB193" s="224">
        <v>54.430489234145142</v>
      </c>
      <c r="AC193" s="224">
        <v>61.102556176183178</v>
      </c>
      <c r="AD193" s="1120">
        <v>11.975722271073153</v>
      </c>
      <c r="AE193" s="224">
        <v>30789.827542454852</v>
      </c>
      <c r="AF193" s="224">
        <v>0</v>
      </c>
      <c r="AG193" s="224">
        <v>261.60000000000002</v>
      </c>
      <c r="AH193" s="224">
        <v>12689.115239486457</v>
      </c>
      <c r="AI193" s="224">
        <v>90000</v>
      </c>
      <c r="AJ193" s="224">
        <v>0</v>
      </c>
      <c r="AK193" s="224">
        <v>745.98720000000003</v>
      </c>
      <c r="AL193" s="224">
        <v>0</v>
      </c>
      <c r="AM193" s="224">
        <v>436.00000000000006</v>
      </c>
      <c r="AN193" s="1120">
        <v>134922.5299819413</v>
      </c>
      <c r="AO193" s="224">
        <f t="shared" si="11"/>
        <v>1.5779211664365984</v>
      </c>
      <c r="AP193" s="1123">
        <v>0.1</v>
      </c>
      <c r="AQ193" s="1123">
        <f>AA193*$C$4*365/1000*0.1</f>
        <v>0.40760111439866603</v>
      </c>
      <c r="AR193" s="1123">
        <v>20</v>
      </c>
      <c r="AS193" s="1123">
        <f>AO193/$AO$193</f>
        <v>1</v>
      </c>
      <c r="AT193" s="224">
        <f t="shared" si="12"/>
        <v>54994.573578126707</v>
      </c>
    </row>
    <row r="194" spans="1:46">
      <c r="A194" s="1121">
        <v>2020</v>
      </c>
      <c r="B194" s="1107"/>
      <c r="C194" s="1107"/>
      <c r="D194" s="1107" t="s">
        <v>2008</v>
      </c>
      <c r="E194" s="1107" t="s">
        <v>2057</v>
      </c>
      <c r="F194" s="1107"/>
      <c r="G194" s="224" t="e">
        <v>#DIV/0!</v>
      </c>
      <c r="H194" s="224" t="e">
        <v>#DIV/0!</v>
      </c>
      <c r="I194" s="224" t="e">
        <v>#DIV/0!</v>
      </c>
      <c r="J194" s="224" t="e">
        <v>#DIV/0!</v>
      </c>
      <c r="K194" s="224" t="e">
        <v>#DIV/0!</v>
      </c>
      <c r="L194" s="224" t="e">
        <v>#DIV/0!</v>
      </c>
      <c r="M194" s="224" t="e">
        <v>#DIV/0!</v>
      </c>
      <c r="N194" s="224" t="e">
        <v>#DIV/0!</v>
      </c>
      <c r="O194" s="224" t="e">
        <v>#DIV/0!</v>
      </c>
      <c r="P194" s="224" t="e">
        <v>#DIV/0!</v>
      </c>
      <c r="Q194" s="224" t="e">
        <v>#DIV/0!</v>
      </c>
      <c r="R194" s="224" t="e">
        <v>#DIV/0!</v>
      </c>
      <c r="S194" s="224" t="e">
        <v>#DIV/0!</v>
      </c>
      <c r="T194" s="224" t="e">
        <v>#DIV/0!</v>
      </c>
      <c r="U194" s="224" t="e">
        <v>#DIV/0!</v>
      </c>
      <c r="V194" s="224" t="e">
        <v>#DIV/0!</v>
      </c>
      <c r="W194" s="224" t="e">
        <v>#DIV/0!</v>
      </c>
      <c r="X194" s="224" t="e">
        <v>#DIV/0!</v>
      </c>
      <c r="Y194" s="224" t="e">
        <v>#DIV/0!</v>
      </c>
      <c r="Z194" s="224" t="e">
        <v>#DIV/0!</v>
      </c>
      <c r="AA194" s="224" t="e">
        <v>#DIV/0!</v>
      </c>
      <c r="AB194" s="224" t="e">
        <v>#DIV/0!</v>
      </c>
      <c r="AC194" s="224" t="e">
        <v>#DIV/0!</v>
      </c>
      <c r="AD194" s="1120" t="e">
        <v>#DIV/0!</v>
      </c>
      <c r="AE194" s="224" t="e">
        <v>#DIV/0!</v>
      </c>
      <c r="AF194" s="224" t="e">
        <v>#DIV/0!</v>
      </c>
      <c r="AG194" s="224" t="e">
        <v>#DIV/0!</v>
      </c>
      <c r="AH194" s="224" t="e">
        <v>#DIV/0!</v>
      </c>
      <c r="AI194" s="224" t="e">
        <v>#DIV/0!</v>
      </c>
      <c r="AJ194" s="224" t="e">
        <v>#DIV/0!</v>
      </c>
      <c r="AK194" s="224" t="e">
        <v>#DIV/0!</v>
      </c>
      <c r="AL194" s="224" t="e">
        <v>#DIV/0!</v>
      </c>
      <c r="AM194" s="224" t="e">
        <v>#DIV/0!</v>
      </c>
      <c r="AN194" s="1120" t="e">
        <v>#DIV/0!</v>
      </c>
      <c r="AO194" s="224" t="e">
        <f t="shared" si="11"/>
        <v>#DIV/0!</v>
      </c>
      <c r="AP194" s="1123">
        <v>0.1</v>
      </c>
      <c r="AQ194" s="1123">
        <f t="shared" si="13"/>
        <v>0.40760111439866603</v>
      </c>
      <c r="AR194" s="1123">
        <v>20</v>
      </c>
      <c r="AS194" s="1123" t="e">
        <f t="shared" ref="AS194:AS228" si="15">AO194/$AO$193</f>
        <v>#DIV/0!</v>
      </c>
      <c r="AT194" s="224" t="e">
        <f t="shared" si="12"/>
        <v>#DIV/0!</v>
      </c>
    </row>
    <row r="195" spans="1:46">
      <c r="A195" s="1118">
        <v>2025</v>
      </c>
      <c r="B195" s="1119"/>
      <c r="C195" s="1119"/>
      <c r="D195" s="1107" t="s">
        <v>2008</v>
      </c>
      <c r="E195" s="1119" t="s">
        <v>2057</v>
      </c>
      <c r="F195" s="1119"/>
      <c r="G195" s="224" t="e">
        <v>#DIV/0!</v>
      </c>
      <c r="H195" s="224" t="e">
        <v>#DIV/0!</v>
      </c>
      <c r="I195" s="224" t="e">
        <v>#DIV/0!</v>
      </c>
      <c r="J195" s="224" t="e">
        <v>#DIV/0!</v>
      </c>
      <c r="K195" s="224" t="e">
        <v>#DIV/0!</v>
      </c>
      <c r="L195" s="224" t="e">
        <v>#DIV/0!</v>
      </c>
      <c r="M195" s="224" t="e">
        <v>#DIV/0!</v>
      </c>
      <c r="N195" s="224" t="e">
        <v>#DIV/0!</v>
      </c>
      <c r="O195" s="224" t="e">
        <v>#DIV/0!</v>
      </c>
      <c r="P195" s="224" t="e">
        <v>#DIV/0!</v>
      </c>
      <c r="Q195" s="224" t="e">
        <v>#DIV/0!</v>
      </c>
      <c r="R195" s="224" t="e">
        <v>#DIV/0!</v>
      </c>
      <c r="S195" s="224" t="e">
        <v>#DIV/0!</v>
      </c>
      <c r="T195" s="224" t="e">
        <v>#DIV/0!</v>
      </c>
      <c r="U195" s="224" t="e">
        <v>#DIV/0!</v>
      </c>
      <c r="V195" s="224" t="e">
        <v>#DIV/0!</v>
      </c>
      <c r="W195" s="224" t="e">
        <v>#DIV/0!</v>
      </c>
      <c r="X195" s="224" t="e">
        <v>#DIV/0!</v>
      </c>
      <c r="Y195" s="224" t="e">
        <v>#DIV/0!</v>
      </c>
      <c r="Z195" s="224" t="e">
        <v>#DIV/0!</v>
      </c>
      <c r="AA195" s="224" t="e">
        <v>#DIV/0!</v>
      </c>
      <c r="AB195" s="224" t="e">
        <v>#DIV/0!</v>
      </c>
      <c r="AC195" s="224" t="e">
        <v>#DIV/0!</v>
      </c>
      <c r="AD195" s="1120" t="e">
        <v>#DIV/0!</v>
      </c>
      <c r="AE195" s="224" t="e">
        <v>#DIV/0!</v>
      </c>
      <c r="AF195" s="224" t="e">
        <v>#DIV/0!</v>
      </c>
      <c r="AG195" s="224" t="e">
        <v>#DIV/0!</v>
      </c>
      <c r="AH195" s="224" t="e">
        <v>#DIV/0!</v>
      </c>
      <c r="AI195" s="224" t="e">
        <v>#DIV/0!</v>
      </c>
      <c r="AJ195" s="224" t="e">
        <v>#DIV/0!</v>
      </c>
      <c r="AK195" s="224" t="e">
        <v>#DIV/0!</v>
      </c>
      <c r="AL195" s="224" t="e">
        <v>#DIV/0!</v>
      </c>
      <c r="AM195" s="224" t="e">
        <v>#DIV/0!</v>
      </c>
      <c r="AN195" s="1120" t="e">
        <v>#DIV/0!</v>
      </c>
      <c r="AO195" s="224" t="e">
        <f t="shared" si="11"/>
        <v>#DIV/0!</v>
      </c>
      <c r="AP195" s="1123">
        <v>0.1</v>
      </c>
      <c r="AQ195" s="1123">
        <f t="shared" si="13"/>
        <v>0.40760111439866603</v>
      </c>
      <c r="AR195" s="1123">
        <v>20</v>
      </c>
      <c r="AS195" s="1123" t="e">
        <f t="shared" si="15"/>
        <v>#DIV/0!</v>
      </c>
      <c r="AT195" s="224" t="e">
        <f t="shared" si="12"/>
        <v>#DIV/0!</v>
      </c>
    </row>
    <row r="196" spans="1:46">
      <c r="A196" s="1118">
        <v>2030</v>
      </c>
      <c r="B196" s="1107"/>
      <c r="C196" s="1107"/>
      <c r="D196" s="1107" t="s">
        <v>2008</v>
      </c>
      <c r="E196" s="1107" t="s">
        <v>2057</v>
      </c>
      <c r="F196" s="1107"/>
      <c r="G196" s="224">
        <v>22576.914856884745</v>
      </c>
      <c r="H196" s="224">
        <v>9364</v>
      </c>
      <c r="I196" s="224">
        <v>2.3759999999999999</v>
      </c>
      <c r="J196" s="224">
        <v>0.12715167281672726</v>
      </c>
      <c r="K196" s="224">
        <v>7.6144552277835051E-2</v>
      </c>
      <c r="L196" s="224">
        <v>8.3863058368518345E-2</v>
      </c>
      <c r="M196" s="224">
        <v>0</v>
      </c>
      <c r="N196" s="224">
        <v>0</v>
      </c>
      <c r="O196" s="224">
        <v>0</v>
      </c>
      <c r="P196" s="224">
        <v>0</v>
      </c>
      <c r="Q196" s="224">
        <v>0</v>
      </c>
      <c r="R196" s="224">
        <v>0</v>
      </c>
      <c r="S196" s="224">
        <v>0</v>
      </c>
      <c r="T196" s="224">
        <v>0</v>
      </c>
      <c r="U196" s="224">
        <v>0</v>
      </c>
      <c r="V196" s="224">
        <v>267.6789569</v>
      </c>
      <c r="W196" s="224">
        <v>0</v>
      </c>
      <c r="X196" s="224">
        <v>3.2973260869565211</v>
      </c>
      <c r="Y196" s="224">
        <v>2.3759999999999999</v>
      </c>
      <c r="Z196" s="224">
        <v>0</v>
      </c>
      <c r="AA196" s="224">
        <v>63.575836408363628</v>
      </c>
      <c r="AB196" s="224">
        <v>38.072276138917523</v>
      </c>
      <c r="AC196" s="224">
        <v>41.931529184259169</v>
      </c>
      <c r="AD196" s="1120">
        <v>8.2797608146575641</v>
      </c>
      <c r="AE196" s="224">
        <v>26148.558274751998</v>
      </c>
      <c r="AF196" s="224">
        <v>0</v>
      </c>
      <c r="AG196" s="224">
        <v>177.6</v>
      </c>
      <c r="AH196" s="224">
        <v>11277.469302591977</v>
      </c>
      <c r="AI196" s="224">
        <v>90000</v>
      </c>
      <c r="AJ196" s="224">
        <v>0</v>
      </c>
      <c r="AK196" s="224">
        <v>658.22399999999993</v>
      </c>
      <c r="AL196" s="224">
        <v>0</v>
      </c>
      <c r="AM196" s="224">
        <v>296</v>
      </c>
      <c r="AN196" s="1120">
        <v>128557.85157734397</v>
      </c>
      <c r="AO196" s="224">
        <f t="shared" si="11"/>
        <v>1.0909412849392806</v>
      </c>
      <c r="AP196" s="1123">
        <v>0.1</v>
      </c>
      <c r="AQ196" s="1123">
        <f t="shared" si="13"/>
        <v>0.40760111439866603</v>
      </c>
      <c r="AR196" s="1123">
        <v>20</v>
      </c>
      <c r="AS196" s="1123">
        <f t="shared" si="15"/>
        <v>0.69137882686683327</v>
      </c>
      <c r="AT196" s="224">
        <f t="shared" si="12"/>
        <v>52400.323567623709</v>
      </c>
    </row>
    <row r="197" spans="1:46">
      <c r="A197" s="1118">
        <v>2035</v>
      </c>
      <c r="B197" s="1119"/>
      <c r="C197" s="1119"/>
      <c r="D197" s="1107" t="s">
        <v>2008</v>
      </c>
      <c r="E197" s="1119" t="s">
        <v>2057</v>
      </c>
      <c r="F197" s="1119"/>
      <c r="G197" s="224" t="e">
        <v>#DIV/0!</v>
      </c>
      <c r="H197" s="224" t="e">
        <v>#DIV/0!</v>
      </c>
      <c r="I197" s="224" t="e">
        <v>#DIV/0!</v>
      </c>
      <c r="J197" s="224" t="e">
        <v>#DIV/0!</v>
      </c>
      <c r="K197" s="224" t="e">
        <v>#DIV/0!</v>
      </c>
      <c r="L197" s="224" t="e">
        <v>#DIV/0!</v>
      </c>
      <c r="M197" s="224" t="e">
        <v>#DIV/0!</v>
      </c>
      <c r="N197" s="224" t="e">
        <v>#DIV/0!</v>
      </c>
      <c r="O197" s="224" t="e">
        <v>#DIV/0!</v>
      </c>
      <c r="P197" s="224" t="e">
        <v>#DIV/0!</v>
      </c>
      <c r="Q197" s="224" t="e">
        <v>#DIV/0!</v>
      </c>
      <c r="R197" s="224" t="e">
        <v>#DIV/0!</v>
      </c>
      <c r="S197" s="224" t="e">
        <v>#DIV/0!</v>
      </c>
      <c r="T197" s="224" t="e">
        <v>#DIV/0!</v>
      </c>
      <c r="U197" s="224" t="e">
        <v>#DIV/0!</v>
      </c>
      <c r="V197" s="224" t="e">
        <v>#DIV/0!</v>
      </c>
      <c r="W197" s="224" t="e">
        <v>#DIV/0!</v>
      </c>
      <c r="X197" s="224" t="e">
        <v>#DIV/0!</v>
      </c>
      <c r="Y197" s="224" t="e">
        <v>#DIV/0!</v>
      </c>
      <c r="Z197" s="224" t="e">
        <v>#DIV/0!</v>
      </c>
      <c r="AA197" s="224" t="e">
        <v>#DIV/0!</v>
      </c>
      <c r="AB197" s="224" t="e">
        <v>#DIV/0!</v>
      </c>
      <c r="AC197" s="224" t="e">
        <v>#DIV/0!</v>
      </c>
      <c r="AD197" s="1120" t="e">
        <v>#DIV/0!</v>
      </c>
      <c r="AE197" s="224" t="e">
        <v>#DIV/0!</v>
      </c>
      <c r="AF197" s="224" t="e">
        <v>#DIV/0!</v>
      </c>
      <c r="AG197" s="224" t="e">
        <v>#DIV/0!</v>
      </c>
      <c r="AH197" s="224" t="e">
        <v>#DIV/0!</v>
      </c>
      <c r="AI197" s="224" t="e">
        <v>#DIV/0!</v>
      </c>
      <c r="AJ197" s="224" t="e">
        <v>#DIV/0!</v>
      </c>
      <c r="AK197" s="224" t="e">
        <v>#DIV/0!</v>
      </c>
      <c r="AL197" s="224" t="e">
        <v>#DIV/0!</v>
      </c>
      <c r="AM197" s="224" t="e">
        <v>#DIV/0!</v>
      </c>
      <c r="AN197" s="1120" t="e">
        <v>#DIV/0!</v>
      </c>
      <c r="AO197" s="224" t="e">
        <f t="shared" si="11"/>
        <v>#DIV/0!</v>
      </c>
      <c r="AP197" s="1123">
        <v>0.1</v>
      </c>
      <c r="AQ197" s="1123">
        <f t="shared" si="13"/>
        <v>0.40760111439866603</v>
      </c>
      <c r="AR197" s="1123">
        <v>20</v>
      </c>
      <c r="AS197" s="1123" t="e">
        <f t="shared" si="15"/>
        <v>#DIV/0!</v>
      </c>
      <c r="AT197" s="224" t="e">
        <f t="shared" si="12"/>
        <v>#DIV/0!</v>
      </c>
    </row>
    <row r="198" spans="1:46">
      <c r="A198" s="1118">
        <v>2050</v>
      </c>
      <c r="B198" s="1107"/>
      <c r="C198" s="1107"/>
      <c r="D198" s="1107" t="s">
        <v>2008</v>
      </c>
      <c r="E198" s="1107" t="s">
        <v>2057</v>
      </c>
      <c r="F198" s="1107"/>
      <c r="G198" s="224">
        <v>21132.204102031774</v>
      </c>
      <c r="H198" s="224">
        <v>9364</v>
      </c>
      <c r="I198" s="224">
        <v>2.3759999999999999</v>
      </c>
      <c r="J198" s="224">
        <v>0.10816003000012898</v>
      </c>
      <c r="K198" s="224">
        <v>6.3423850478708479E-2</v>
      </c>
      <c r="L198" s="224">
        <v>7.0027103434465304E-2</v>
      </c>
      <c r="M198" s="224">
        <v>0</v>
      </c>
      <c r="N198" s="224">
        <v>0</v>
      </c>
      <c r="O198" s="224">
        <v>0</v>
      </c>
      <c r="P198" s="224">
        <v>0</v>
      </c>
      <c r="Q198" s="224">
        <v>0</v>
      </c>
      <c r="R198" s="224">
        <v>0</v>
      </c>
      <c r="S198" s="224">
        <v>0</v>
      </c>
      <c r="T198" s="224">
        <v>0</v>
      </c>
      <c r="U198" s="224">
        <v>0</v>
      </c>
      <c r="V198" s="224">
        <v>246.38190019999999</v>
      </c>
      <c r="W198" s="224">
        <v>0</v>
      </c>
      <c r="X198" s="224">
        <v>3.2973260869565211</v>
      </c>
      <c r="Y198" s="224">
        <v>2.3759999999999999</v>
      </c>
      <c r="Z198" s="224">
        <v>0</v>
      </c>
      <c r="AA198" s="224">
        <v>54.080015000064492</v>
      </c>
      <c r="AB198" s="224">
        <v>31.71192523935424</v>
      </c>
      <c r="AC198" s="224">
        <v>35.013551717232652</v>
      </c>
      <c r="AD198" s="1120">
        <v>6.9224005701607405</v>
      </c>
      <c r="AE198" s="224">
        <v>23650.658756187426</v>
      </c>
      <c r="AF198" s="224">
        <v>0</v>
      </c>
      <c r="AG198" s="224">
        <v>144</v>
      </c>
      <c r="AH198" s="224">
        <v>10461.344156675514</v>
      </c>
      <c r="AI198" s="224">
        <v>90000</v>
      </c>
      <c r="AJ198" s="224">
        <v>0</v>
      </c>
      <c r="AK198" s="224">
        <v>658.22399999999993</v>
      </c>
      <c r="AL198" s="224">
        <v>0</v>
      </c>
      <c r="AM198" s="224">
        <v>240</v>
      </c>
      <c r="AN198" s="1120">
        <v>125154.22691286294</v>
      </c>
      <c r="AO198" s="224">
        <f t="shared" si="11"/>
        <v>0.91209549912437904</v>
      </c>
      <c r="AP198" s="1123">
        <v>0.1</v>
      </c>
      <c r="AQ198" s="1123">
        <f t="shared" si="13"/>
        <v>0.40760111439866603</v>
      </c>
      <c r="AR198" s="1123">
        <v>20</v>
      </c>
      <c r="AS198" s="1123">
        <f t="shared" si="15"/>
        <v>0.5780361646229476</v>
      </c>
      <c r="AT198" s="224">
        <f t="shared" si="12"/>
        <v>51013.002361386454</v>
      </c>
    </row>
    <row r="199" spans="1:46">
      <c r="A199" s="1118">
        <v>2017</v>
      </c>
      <c r="B199" s="1119"/>
      <c r="C199" s="1119"/>
      <c r="D199" s="1107" t="s">
        <v>2008</v>
      </c>
      <c r="E199" s="1119" t="s">
        <v>2058</v>
      </c>
      <c r="F199" s="1119"/>
      <c r="G199" s="224">
        <v>24972.322295949962</v>
      </c>
      <c r="H199" s="224">
        <v>9364</v>
      </c>
      <c r="I199" s="224">
        <v>0.10666782720000001</v>
      </c>
      <c r="J199" s="224">
        <v>0.17221090405746176</v>
      </c>
      <c r="K199" s="224">
        <v>0.10782294043001833</v>
      </c>
      <c r="L199" s="224">
        <v>0.12295243011306108</v>
      </c>
      <c r="M199" s="224">
        <v>0</v>
      </c>
      <c r="N199" s="224">
        <v>0</v>
      </c>
      <c r="O199" s="224">
        <v>0</v>
      </c>
      <c r="P199" s="224">
        <v>0</v>
      </c>
      <c r="Q199" s="224">
        <v>0</v>
      </c>
      <c r="R199" s="224">
        <v>0</v>
      </c>
      <c r="S199" s="224">
        <v>0</v>
      </c>
      <c r="T199" s="224">
        <v>0</v>
      </c>
      <c r="U199" s="224">
        <v>0</v>
      </c>
      <c r="V199" s="224">
        <v>304.51632640000003</v>
      </c>
      <c r="W199" s="224">
        <v>2</v>
      </c>
      <c r="X199" s="224">
        <v>3</v>
      </c>
      <c r="Y199" s="224">
        <v>0.10666782720000001</v>
      </c>
      <c r="Z199" s="224">
        <v>0</v>
      </c>
      <c r="AA199" s="224">
        <v>86.10545202873088</v>
      </c>
      <c r="AB199" s="224">
        <v>53.911470215009167</v>
      </c>
      <c r="AC199" s="224">
        <v>61.476215056530535</v>
      </c>
      <c r="AD199" s="1120">
        <v>12.041723372227729</v>
      </c>
      <c r="AE199" s="224">
        <v>30789.827542454852</v>
      </c>
      <c r="AF199" s="224">
        <v>612.29999999999995</v>
      </c>
      <c r="AG199" s="224">
        <v>144.76596535119614</v>
      </c>
      <c r="AH199" s="224">
        <v>12689.115239486457</v>
      </c>
      <c r="AI199" s="224">
        <v>90000</v>
      </c>
      <c r="AJ199" s="224">
        <v>0</v>
      </c>
      <c r="AK199" s="224">
        <v>745.98720000000003</v>
      </c>
      <c r="AL199" s="224">
        <v>0</v>
      </c>
      <c r="AM199" s="224">
        <v>436.00000000000006</v>
      </c>
      <c r="AN199" s="1120">
        <v>135417.99594729248</v>
      </c>
      <c r="AO199" s="224">
        <f t="shared" si="11"/>
        <v>1.5866174715247254</v>
      </c>
      <c r="AP199" s="1123">
        <v>0.1</v>
      </c>
      <c r="AQ199" s="1123">
        <f t="shared" si="13"/>
        <v>0.40760111439866603</v>
      </c>
      <c r="AR199" s="1123">
        <v>20</v>
      </c>
      <c r="AS199" s="1123">
        <f t="shared" si="15"/>
        <v>1.0055112417990855</v>
      </c>
      <c r="AT199" s="224">
        <f t="shared" si="12"/>
        <v>55196.52605775046</v>
      </c>
    </row>
    <row r="200" spans="1:46">
      <c r="A200" s="1121">
        <v>2020</v>
      </c>
      <c r="D200" s="1107" t="s">
        <v>2008</v>
      </c>
      <c r="E200" s="224" t="s">
        <v>2058</v>
      </c>
      <c r="G200" s="224" t="e">
        <v>#DIV/0!</v>
      </c>
      <c r="H200" s="224" t="e">
        <v>#DIV/0!</v>
      </c>
      <c r="I200" s="224" t="e">
        <v>#DIV/0!</v>
      </c>
      <c r="J200" s="224" t="e">
        <v>#DIV/0!</v>
      </c>
      <c r="K200" s="224" t="e">
        <v>#DIV/0!</v>
      </c>
      <c r="L200" s="224" t="e">
        <v>#DIV/0!</v>
      </c>
      <c r="M200" s="224" t="e">
        <v>#DIV/0!</v>
      </c>
      <c r="N200" s="224" t="e">
        <v>#DIV/0!</v>
      </c>
      <c r="O200" s="224" t="e">
        <v>#DIV/0!</v>
      </c>
      <c r="P200" s="224" t="e">
        <v>#DIV/0!</v>
      </c>
      <c r="Q200" s="224" t="e">
        <v>#DIV/0!</v>
      </c>
      <c r="R200" s="224" t="e">
        <v>#DIV/0!</v>
      </c>
      <c r="S200" s="224" t="e">
        <v>#DIV/0!</v>
      </c>
      <c r="T200" s="224" t="e">
        <v>#DIV/0!</v>
      </c>
      <c r="U200" s="224" t="e">
        <v>#DIV/0!</v>
      </c>
      <c r="V200" s="224" t="e">
        <v>#DIV/0!</v>
      </c>
      <c r="W200" s="224" t="e">
        <v>#DIV/0!</v>
      </c>
      <c r="X200" s="224" t="e">
        <v>#DIV/0!</v>
      </c>
      <c r="Y200" s="224" t="e">
        <v>#DIV/0!</v>
      </c>
      <c r="Z200" s="224" t="e">
        <v>#DIV/0!</v>
      </c>
      <c r="AA200" s="224" t="e">
        <v>#DIV/0!</v>
      </c>
      <c r="AB200" s="224" t="e">
        <v>#DIV/0!</v>
      </c>
      <c r="AC200" s="224" t="e">
        <v>#DIV/0!</v>
      </c>
      <c r="AD200" s="1120" t="e">
        <v>#DIV/0!</v>
      </c>
      <c r="AE200" s="224" t="e">
        <v>#DIV/0!</v>
      </c>
      <c r="AF200" s="224" t="e">
        <v>#DIV/0!</v>
      </c>
      <c r="AG200" s="224" t="e">
        <v>#DIV/0!</v>
      </c>
      <c r="AH200" s="224" t="e">
        <v>#DIV/0!</v>
      </c>
      <c r="AI200" s="224" t="e">
        <v>#DIV/0!</v>
      </c>
      <c r="AJ200" s="224" t="e">
        <v>#DIV/0!</v>
      </c>
      <c r="AK200" s="224" t="e">
        <v>#DIV/0!</v>
      </c>
      <c r="AL200" s="224" t="e">
        <v>#DIV/0!</v>
      </c>
      <c r="AM200" s="224" t="e">
        <v>#DIV/0!</v>
      </c>
      <c r="AN200" s="1120" t="e">
        <v>#DIV/0!</v>
      </c>
      <c r="AO200" s="224" t="e">
        <f t="shared" si="11"/>
        <v>#DIV/0!</v>
      </c>
      <c r="AP200" s="1123">
        <v>0.1</v>
      </c>
      <c r="AQ200" s="1123">
        <f t="shared" si="13"/>
        <v>0.40760111439866603</v>
      </c>
      <c r="AR200" s="1123">
        <v>20</v>
      </c>
      <c r="AS200" s="1123" t="e">
        <f t="shared" si="15"/>
        <v>#DIV/0!</v>
      </c>
      <c r="AT200" s="224" t="e">
        <f t="shared" si="12"/>
        <v>#DIV/0!</v>
      </c>
    </row>
    <row r="201" spans="1:46">
      <c r="A201" s="1118">
        <v>2025</v>
      </c>
      <c r="D201" s="1107" t="s">
        <v>2008</v>
      </c>
      <c r="E201" s="224" t="s">
        <v>2058</v>
      </c>
      <c r="G201" s="224" t="e">
        <v>#DIV/0!</v>
      </c>
      <c r="H201" s="224" t="e">
        <v>#DIV/0!</v>
      </c>
      <c r="I201" s="224" t="e">
        <v>#DIV/0!</v>
      </c>
      <c r="J201" s="224" t="e">
        <v>#DIV/0!</v>
      </c>
      <c r="K201" s="224" t="e">
        <v>#DIV/0!</v>
      </c>
      <c r="L201" s="224" t="e">
        <v>#DIV/0!</v>
      </c>
      <c r="M201" s="224" t="e">
        <v>#DIV/0!</v>
      </c>
      <c r="N201" s="224" t="e">
        <v>#DIV/0!</v>
      </c>
      <c r="O201" s="224" t="e">
        <v>#DIV/0!</v>
      </c>
      <c r="P201" s="224" t="e">
        <v>#DIV/0!</v>
      </c>
      <c r="Q201" s="224" t="e">
        <v>#DIV/0!</v>
      </c>
      <c r="R201" s="224" t="e">
        <v>#DIV/0!</v>
      </c>
      <c r="S201" s="224" t="e">
        <v>#DIV/0!</v>
      </c>
      <c r="T201" s="224" t="e">
        <v>#DIV/0!</v>
      </c>
      <c r="U201" s="224" t="e">
        <v>#DIV/0!</v>
      </c>
      <c r="V201" s="224" t="e">
        <v>#DIV/0!</v>
      </c>
      <c r="W201" s="224" t="e">
        <v>#DIV/0!</v>
      </c>
      <c r="X201" s="224" t="e">
        <v>#DIV/0!</v>
      </c>
      <c r="Y201" s="224" t="e">
        <v>#DIV/0!</v>
      </c>
      <c r="Z201" s="224" t="e">
        <v>#DIV/0!</v>
      </c>
      <c r="AA201" s="224" t="e">
        <v>#DIV/0!</v>
      </c>
      <c r="AB201" s="224" t="e">
        <v>#DIV/0!</v>
      </c>
      <c r="AC201" s="224" t="e">
        <v>#DIV/0!</v>
      </c>
      <c r="AD201" s="1120" t="e">
        <v>#DIV/0!</v>
      </c>
      <c r="AE201" s="224" t="e">
        <v>#DIV/0!</v>
      </c>
      <c r="AF201" s="224" t="e">
        <v>#DIV/0!</v>
      </c>
      <c r="AG201" s="224" t="e">
        <v>#DIV/0!</v>
      </c>
      <c r="AH201" s="224" t="e">
        <v>#DIV/0!</v>
      </c>
      <c r="AI201" s="224" t="e">
        <v>#DIV/0!</v>
      </c>
      <c r="AJ201" s="224" t="e">
        <v>#DIV/0!</v>
      </c>
      <c r="AK201" s="224" t="e">
        <v>#DIV/0!</v>
      </c>
      <c r="AL201" s="224" t="e">
        <v>#DIV/0!</v>
      </c>
      <c r="AM201" s="224" t="e">
        <v>#DIV/0!</v>
      </c>
      <c r="AN201" s="1120" t="e">
        <v>#DIV/0!</v>
      </c>
      <c r="AO201" s="224" t="e">
        <f t="shared" si="11"/>
        <v>#DIV/0!</v>
      </c>
      <c r="AP201" s="1123">
        <v>0.1</v>
      </c>
      <c r="AQ201" s="1123">
        <f t="shared" si="13"/>
        <v>0.40760111439866603</v>
      </c>
      <c r="AR201" s="1123">
        <v>20</v>
      </c>
      <c r="AS201" s="1123" t="e">
        <f t="shared" si="15"/>
        <v>#DIV/0!</v>
      </c>
      <c r="AT201" s="224" t="e">
        <f t="shared" si="12"/>
        <v>#DIV/0!</v>
      </c>
    </row>
    <row r="202" spans="1:46">
      <c r="A202" s="1118">
        <v>2030</v>
      </c>
      <c r="D202" s="1107" t="s">
        <v>2008</v>
      </c>
      <c r="E202" s="224" t="s">
        <v>2058</v>
      </c>
      <c r="G202" s="224" t="e">
        <v>#DIV/0!</v>
      </c>
      <c r="H202" s="224" t="e">
        <v>#DIV/0!</v>
      </c>
      <c r="I202" s="224" t="e">
        <v>#DIV/0!</v>
      </c>
      <c r="J202" s="224" t="e">
        <v>#DIV/0!</v>
      </c>
      <c r="K202" s="224" t="e">
        <v>#DIV/0!</v>
      </c>
      <c r="L202" s="224" t="e">
        <v>#DIV/0!</v>
      </c>
      <c r="M202" s="224" t="e">
        <v>#DIV/0!</v>
      </c>
      <c r="N202" s="224" t="e">
        <v>#DIV/0!</v>
      </c>
      <c r="O202" s="224" t="e">
        <v>#DIV/0!</v>
      </c>
      <c r="P202" s="224" t="e">
        <v>#DIV/0!</v>
      </c>
      <c r="Q202" s="224" t="e">
        <v>#DIV/0!</v>
      </c>
      <c r="R202" s="224" t="e">
        <v>#DIV/0!</v>
      </c>
      <c r="S202" s="224" t="e">
        <v>#DIV/0!</v>
      </c>
      <c r="T202" s="224" t="e">
        <v>#DIV/0!</v>
      </c>
      <c r="U202" s="224" t="e">
        <v>#DIV/0!</v>
      </c>
      <c r="V202" s="224" t="e">
        <v>#DIV/0!</v>
      </c>
      <c r="W202" s="224" t="e">
        <v>#DIV/0!</v>
      </c>
      <c r="X202" s="224" t="e">
        <v>#DIV/0!</v>
      </c>
      <c r="Y202" s="224" t="e">
        <v>#DIV/0!</v>
      </c>
      <c r="Z202" s="224" t="e">
        <v>#DIV/0!</v>
      </c>
      <c r="AA202" s="224" t="e">
        <v>#DIV/0!</v>
      </c>
      <c r="AB202" s="224" t="e">
        <v>#DIV/0!</v>
      </c>
      <c r="AC202" s="224" t="e">
        <v>#DIV/0!</v>
      </c>
      <c r="AD202" s="1120" t="e">
        <v>#DIV/0!</v>
      </c>
      <c r="AE202" s="224" t="e">
        <v>#DIV/0!</v>
      </c>
      <c r="AF202" s="224" t="e">
        <v>#DIV/0!</v>
      </c>
      <c r="AG202" s="224" t="e">
        <v>#DIV/0!</v>
      </c>
      <c r="AH202" s="224" t="e">
        <v>#DIV/0!</v>
      </c>
      <c r="AI202" s="224" t="e">
        <v>#DIV/0!</v>
      </c>
      <c r="AJ202" s="224" t="e">
        <v>#DIV/0!</v>
      </c>
      <c r="AK202" s="224" t="e">
        <v>#DIV/0!</v>
      </c>
      <c r="AL202" s="224" t="e">
        <v>#DIV/0!</v>
      </c>
      <c r="AM202" s="224" t="e">
        <v>#DIV/0!</v>
      </c>
      <c r="AN202" s="1120" t="e">
        <v>#DIV/0!</v>
      </c>
      <c r="AO202" s="224" t="e">
        <f t="shared" si="11"/>
        <v>#DIV/0!</v>
      </c>
      <c r="AP202" s="1123">
        <v>0.1</v>
      </c>
      <c r="AQ202" s="1123">
        <f t="shared" si="13"/>
        <v>0.40760111439866603</v>
      </c>
      <c r="AR202" s="1123">
        <v>20</v>
      </c>
      <c r="AS202" s="1123" t="e">
        <f t="shared" si="15"/>
        <v>#DIV/0!</v>
      </c>
      <c r="AT202" s="224" t="e">
        <f t="shared" si="12"/>
        <v>#DIV/0!</v>
      </c>
    </row>
    <row r="203" spans="1:46">
      <c r="A203" s="1118">
        <v>2035</v>
      </c>
      <c r="D203" s="1107" t="s">
        <v>2008</v>
      </c>
      <c r="E203" s="224" t="s">
        <v>2058</v>
      </c>
      <c r="G203" s="224" t="e">
        <v>#DIV/0!</v>
      </c>
      <c r="H203" s="224" t="e">
        <v>#DIV/0!</v>
      </c>
      <c r="I203" s="224" t="e">
        <v>#DIV/0!</v>
      </c>
      <c r="J203" s="224" t="e">
        <v>#DIV/0!</v>
      </c>
      <c r="K203" s="224" t="e">
        <v>#DIV/0!</v>
      </c>
      <c r="L203" s="224" t="e">
        <v>#DIV/0!</v>
      </c>
      <c r="M203" s="224" t="e">
        <v>#DIV/0!</v>
      </c>
      <c r="N203" s="224" t="e">
        <v>#DIV/0!</v>
      </c>
      <c r="O203" s="224" t="e">
        <v>#DIV/0!</v>
      </c>
      <c r="P203" s="224" t="e">
        <v>#DIV/0!</v>
      </c>
      <c r="Q203" s="224" t="e">
        <v>#DIV/0!</v>
      </c>
      <c r="R203" s="224" t="e">
        <v>#DIV/0!</v>
      </c>
      <c r="S203" s="224" t="e">
        <v>#DIV/0!</v>
      </c>
      <c r="T203" s="224" t="e">
        <v>#DIV/0!</v>
      </c>
      <c r="U203" s="224" t="e">
        <v>#DIV/0!</v>
      </c>
      <c r="V203" s="224" t="e">
        <v>#DIV/0!</v>
      </c>
      <c r="W203" s="224" t="e">
        <v>#DIV/0!</v>
      </c>
      <c r="X203" s="224" t="e">
        <v>#DIV/0!</v>
      </c>
      <c r="Y203" s="224" t="e">
        <v>#DIV/0!</v>
      </c>
      <c r="Z203" s="224" t="e">
        <v>#DIV/0!</v>
      </c>
      <c r="AA203" s="224" t="e">
        <v>#DIV/0!</v>
      </c>
      <c r="AB203" s="224" t="e">
        <v>#DIV/0!</v>
      </c>
      <c r="AC203" s="224" t="e">
        <v>#DIV/0!</v>
      </c>
      <c r="AD203" s="1120" t="e">
        <v>#DIV/0!</v>
      </c>
      <c r="AE203" s="224" t="e">
        <v>#DIV/0!</v>
      </c>
      <c r="AF203" s="224" t="e">
        <v>#DIV/0!</v>
      </c>
      <c r="AG203" s="224" t="e">
        <v>#DIV/0!</v>
      </c>
      <c r="AH203" s="224" t="e">
        <v>#DIV/0!</v>
      </c>
      <c r="AI203" s="224" t="e">
        <v>#DIV/0!</v>
      </c>
      <c r="AJ203" s="224" t="e">
        <v>#DIV/0!</v>
      </c>
      <c r="AK203" s="224" t="e">
        <v>#DIV/0!</v>
      </c>
      <c r="AL203" s="224" t="e">
        <v>#DIV/0!</v>
      </c>
      <c r="AM203" s="224" t="e">
        <v>#DIV/0!</v>
      </c>
      <c r="AN203" s="1120" t="e">
        <v>#DIV/0!</v>
      </c>
      <c r="AO203" s="224" t="e">
        <f t="shared" si="11"/>
        <v>#DIV/0!</v>
      </c>
      <c r="AP203" s="1123">
        <v>0.1</v>
      </c>
      <c r="AQ203" s="1123">
        <f t="shared" si="13"/>
        <v>0.40760111439866603</v>
      </c>
      <c r="AR203" s="1123">
        <v>20</v>
      </c>
      <c r="AS203" s="1123" t="e">
        <f t="shared" si="15"/>
        <v>#DIV/0!</v>
      </c>
      <c r="AT203" s="224" t="e">
        <f t="shared" si="12"/>
        <v>#DIV/0!</v>
      </c>
    </row>
    <row r="204" spans="1:46">
      <c r="A204" s="1118">
        <v>2050</v>
      </c>
      <c r="D204" s="1107" t="s">
        <v>2008</v>
      </c>
      <c r="E204" s="224" t="s">
        <v>2058</v>
      </c>
      <c r="G204" s="224" t="e">
        <v>#DIV/0!</v>
      </c>
      <c r="H204" s="224" t="e">
        <v>#DIV/0!</v>
      </c>
      <c r="I204" s="224" t="e">
        <v>#DIV/0!</v>
      </c>
      <c r="J204" s="224" t="e">
        <v>#DIV/0!</v>
      </c>
      <c r="K204" s="224" t="e">
        <v>#DIV/0!</v>
      </c>
      <c r="L204" s="224" t="e">
        <v>#DIV/0!</v>
      </c>
      <c r="M204" s="224" t="e">
        <v>#DIV/0!</v>
      </c>
      <c r="N204" s="224" t="e">
        <v>#DIV/0!</v>
      </c>
      <c r="O204" s="224" t="e">
        <v>#DIV/0!</v>
      </c>
      <c r="P204" s="224" t="e">
        <v>#DIV/0!</v>
      </c>
      <c r="Q204" s="224" t="e">
        <v>#DIV/0!</v>
      </c>
      <c r="R204" s="224" t="e">
        <v>#DIV/0!</v>
      </c>
      <c r="S204" s="224" t="e">
        <v>#DIV/0!</v>
      </c>
      <c r="T204" s="224" t="e">
        <v>#DIV/0!</v>
      </c>
      <c r="U204" s="224" t="e">
        <v>#DIV/0!</v>
      </c>
      <c r="V204" s="224" t="e">
        <v>#DIV/0!</v>
      </c>
      <c r="W204" s="224" t="e">
        <v>#DIV/0!</v>
      </c>
      <c r="X204" s="224" t="e">
        <v>#DIV/0!</v>
      </c>
      <c r="Y204" s="224" t="e">
        <v>#DIV/0!</v>
      </c>
      <c r="Z204" s="224" t="e">
        <v>#DIV/0!</v>
      </c>
      <c r="AA204" s="224" t="e">
        <v>#DIV/0!</v>
      </c>
      <c r="AB204" s="224" t="e">
        <v>#DIV/0!</v>
      </c>
      <c r="AC204" s="224" t="e">
        <v>#DIV/0!</v>
      </c>
      <c r="AD204" s="1120" t="e">
        <v>#DIV/0!</v>
      </c>
      <c r="AE204" s="224" t="e">
        <v>#DIV/0!</v>
      </c>
      <c r="AF204" s="224" t="e">
        <v>#DIV/0!</v>
      </c>
      <c r="AG204" s="224" t="e">
        <v>#DIV/0!</v>
      </c>
      <c r="AH204" s="224" t="e">
        <v>#DIV/0!</v>
      </c>
      <c r="AI204" s="224" t="e">
        <v>#DIV/0!</v>
      </c>
      <c r="AJ204" s="224" t="e">
        <v>#DIV/0!</v>
      </c>
      <c r="AK204" s="224" t="e">
        <v>#DIV/0!</v>
      </c>
      <c r="AL204" s="224" t="e">
        <v>#DIV/0!</v>
      </c>
      <c r="AM204" s="224" t="e">
        <v>#DIV/0!</v>
      </c>
      <c r="AN204" s="1120" t="e">
        <v>#DIV/0!</v>
      </c>
      <c r="AO204" s="224" t="e">
        <f t="shared" si="11"/>
        <v>#DIV/0!</v>
      </c>
      <c r="AP204" s="1123">
        <v>0.1</v>
      </c>
      <c r="AQ204" s="1123">
        <f t="shared" si="13"/>
        <v>0.40760111439866603</v>
      </c>
      <c r="AR204" s="1123">
        <v>20</v>
      </c>
      <c r="AS204" s="1123" t="e">
        <f t="shared" si="15"/>
        <v>#DIV/0!</v>
      </c>
      <c r="AT204" s="224" t="e">
        <f t="shared" si="12"/>
        <v>#DIV/0!</v>
      </c>
    </row>
    <row r="205" spans="1:46">
      <c r="A205" s="1118">
        <v>2017</v>
      </c>
      <c r="D205" s="1107" t="s">
        <v>2008</v>
      </c>
      <c r="E205" s="224" t="s">
        <v>2059</v>
      </c>
      <c r="G205" s="224">
        <v>25089.675453402142</v>
      </c>
      <c r="H205" s="224">
        <v>9364</v>
      </c>
      <c r="I205" s="224">
        <v>3.1046400000000003</v>
      </c>
      <c r="J205" s="224">
        <v>0.15153580584049722</v>
      </c>
      <c r="K205" s="224">
        <v>0.10467547106226353</v>
      </c>
      <c r="L205" s="224">
        <v>0.12482378882670668</v>
      </c>
      <c r="M205" s="224">
        <v>0</v>
      </c>
      <c r="N205" s="224">
        <v>0</v>
      </c>
      <c r="O205" s="224">
        <v>0</v>
      </c>
      <c r="P205" s="224">
        <v>0</v>
      </c>
      <c r="Q205" s="224">
        <v>0</v>
      </c>
      <c r="R205" s="224">
        <v>0</v>
      </c>
      <c r="S205" s="224">
        <v>0</v>
      </c>
      <c r="T205" s="224">
        <v>0</v>
      </c>
      <c r="U205" s="224">
        <v>0</v>
      </c>
      <c r="V205" s="224">
        <v>267.71743819999995</v>
      </c>
      <c r="W205" s="224">
        <v>74.079214399999998</v>
      </c>
      <c r="X205" s="224">
        <v>96.640191387559796</v>
      </c>
      <c r="Y205" s="224">
        <v>3.1046400000000003</v>
      </c>
      <c r="Z205" s="224">
        <v>0</v>
      </c>
      <c r="AA205" s="224">
        <v>75.767902920248616</v>
      </c>
      <c r="AB205" s="224">
        <v>52.33773553113177</v>
      </c>
      <c r="AC205" s="224">
        <v>62.411894413353338</v>
      </c>
      <c r="AD205" s="1120">
        <v>12.004259970206405</v>
      </c>
      <c r="AE205" s="224">
        <v>26149.363963227428</v>
      </c>
      <c r="AF205" s="224">
        <v>3704.4982977599998</v>
      </c>
      <c r="AG205" s="224">
        <v>4213.512344497608</v>
      </c>
      <c r="AH205" s="224">
        <v>12510.209431304665</v>
      </c>
      <c r="AI205" s="224">
        <v>90000</v>
      </c>
      <c r="AJ205" s="224">
        <v>0</v>
      </c>
      <c r="AK205" s="224">
        <v>745.98720000000003</v>
      </c>
      <c r="AL205" s="224">
        <v>0</v>
      </c>
      <c r="AM205" s="224">
        <v>436.00000000000006</v>
      </c>
      <c r="AN205" s="1120">
        <v>137759.57123678969</v>
      </c>
      <c r="AO205" s="224">
        <f t="shared" si="11"/>
        <v>1.5816812936743958</v>
      </c>
      <c r="AP205" s="1123">
        <v>0.1</v>
      </c>
      <c r="AQ205" s="1123">
        <f t="shared" si="13"/>
        <v>0.40760111439866603</v>
      </c>
      <c r="AR205" s="1123">
        <v>20</v>
      </c>
      <c r="AS205" s="1123">
        <f t="shared" si="15"/>
        <v>1.0023829626712524</v>
      </c>
      <c r="AT205" s="224">
        <f t="shared" si="12"/>
        <v>56150.954755197898</v>
      </c>
    </row>
    <row r="206" spans="1:46">
      <c r="A206" s="1121">
        <v>2020</v>
      </c>
      <c r="D206" s="1107" t="s">
        <v>2008</v>
      </c>
      <c r="E206" s="224" t="s">
        <v>2059</v>
      </c>
      <c r="G206" s="224" t="e">
        <v>#DIV/0!</v>
      </c>
      <c r="H206" s="224" t="e">
        <v>#DIV/0!</v>
      </c>
      <c r="I206" s="224" t="e">
        <v>#DIV/0!</v>
      </c>
      <c r="J206" s="224" t="e">
        <v>#DIV/0!</v>
      </c>
      <c r="K206" s="224" t="e">
        <v>#DIV/0!</v>
      </c>
      <c r="L206" s="224" t="e">
        <v>#DIV/0!</v>
      </c>
      <c r="M206" s="224" t="e">
        <v>#DIV/0!</v>
      </c>
      <c r="N206" s="224" t="e">
        <v>#DIV/0!</v>
      </c>
      <c r="O206" s="224" t="e">
        <v>#DIV/0!</v>
      </c>
      <c r="P206" s="224" t="e">
        <v>#DIV/0!</v>
      </c>
      <c r="Q206" s="224" t="e">
        <v>#DIV/0!</v>
      </c>
      <c r="R206" s="224" t="e">
        <v>#DIV/0!</v>
      </c>
      <c r="S206" s="224" t="e">
        <v>#DIV/0!</v>
      </c>
      <c r="T206" s="224" t="e">
        <v>#DIV/0!</v>
      </c>
      <c r="U206" s="224" t="e">
        <v>#DIV/0!</v>
      </c>
      <c r="V206" s="224" t="e">
        <v>#DIV/0!</v>
      </c>
      <c r="W206" s="224" t="e">
        <v>#DIV/0!</v>
      </c>
      <c r="X206" s="224" t="e">
        <v>#DIV/0!</v>
      </c>
      <c r="Y206" s="224" t="e">
        <v>#DIV/0!</v>
      </c>
      <c r="Z206" s="224" t="e">
        <v>#DIV/0!</v>
      </c>
      <c r="AA206" s="224" t="e">
        <v>#DIV/0!</v>
      </c>
      <c r="AB206" s="224" t="e">
        <v>#DIV/0!</v>
      </c>
      <c r="AC206" s="224" t="e">
        <v>#DIV/0!</v>
      </c>
      <c r="AD206" s="1120" t="e">
        <v>#DIV/0!</v>
      </c>
      <c r="AE206" s="224" t="e">
        <v>#DIV/0!</v>
      </c>
      <c r="AF206" s="224" t="e">
        <v>#DIV/0!</v>
      </c>
      <c r="AG206" s="224" t="e">
        <v>#DIV/0!</v>
      </c>
      <c r="AH206" s="224" t="e">
        <v>#DIV/0!</v>
      </c>
      <c r="AI206" s="224" t="e">
        <v>#DIV/0!</v>
      </c>
      <c r="AJ206" s="224" t="e">
        <v>#DIV/0!</v>
      </c>
      <c r="AK206" s="224" t="e">
        <v>#DIV/0!</v>
      </c>
      <c r="AL206" s="224" t="e">
        <v>#DIV/0!</v>
      </c>
      <c r="AM206" s="224" t="e">
        <v>#DIV/0!</v>
      </c>
      <c r="AN206" s="1120" t="e">
        <v>#DIV/0!</v>
      </c>
      <c r="AO206" s="224" t="e">
        <f t="shared" ref="AO206:AO264" si="16">AD206*$C$4</f>
        <v>#DIV/0!</v>
      </c>
      <c r="AP206" s="1123">
        <v>0.1</v>
      </c>
      <c r="AQ206" s="1123">
        <f t="shared" si="13"/>
        <v>0.40760111439866603</v>
      </c>
      <c r="AR206" s="1123">
        <v>20</v>
      </c>
      <c r="AS206" s="1123" t="e">
        <f t="shared" si="15"/>
        <v>#DIV/0!</v>
      </c>
      <c r="AT206" s="224" t="e">
        <f t="shared" ref="AT206:AT264" si="17">AN206*AQ206</f>
        <v>#DIV/0!</v>
      </c>
    </row>
    <row r="207" spans="1:46">
      <c r="A207" s="1118">
        <v>2025</v>
      </c>
      <c r="D207" s="1107" t="s">
        <v>2008</v>
      </c>
      <c r="E207" s="224" t="s">
        <v>2059</v>
      </c>
      <c r="G207" s="224" t="e">
        <v>#DIV/0!</v>
      </c>
      <c r="H207" s="224" t="e">
        <v>#DIV/0!</v>
      </c>
      <c r="I207" s="224" t="e">
        <v>#DIV/0!</v>
      </c>
      <c r="J207" s="224" t="e">
        <v>#DIV/0!</v>
      </c>
      <c r="K207" s="224" t="e">
        <v>#DIV/0!</v>
      </c>
      <c r="L207" s="224" t="e">
        <v>#DIV/0!</v>
      </c>
      <c r="M207" s="224" t="e">
        <v>#DIV/0!</v>
      </c>
      <c r="N207" s="224" t="e">
        <v>#DIV/0!</v>
      </c>
      <c r="O207" s="224" t="e">
        <v>#DIV/0!</v>
      </c>
      <c r="P207" s="224" t="e">
        <v>#DIV/0!</v>
      </c>
      <c r="Q207" s="224" t="e">
        <v>#DIV/0!</v>
      </c>
      <c r="R207" s="224" t="e">
        <v>#DIV/0!</v>
      </c>
      <c r="S207" s="224" t="e">
        <v>#DIV/0!</v>
      </c>
      <c r="T207" s="224" t="e">
        <v>#DIV/0!</v>
      </c>
      <c r="U207" s="224" t="e">
        <v>#DIV/0!</v>
      </c>
      <c r="V207" s="224" t="e">
        <v>#DIV/0!</v>
      </c>
      <c r="W207" s="224" t="e">
        <v>#DIV/0!</v>
      </c>
      <c r="X207" s="224" t="e">
        <v>#DIV/0!</v>
      </c>
      <c r="Y207" s="224" t="e">
        <v>#DIV/0!</v>
      </c>
      <c r="Z207" s="224" t="e">
        <v>#DIV/0!</v>
      </c>
      <c r="AA207" s="224" t="e">
        <v>#DIV/0!</v>
      </c>
      <c r="AB207" s="224" t="e">
        <v>#DIV/0!</v>
      </c>
      <c r="AC207" s="224" t="e">
        <v>#DIV/0!</v>
      </c>
      <c r="AD207" s="1120" t="e">
        <v>#DIV/0!</v>
      </c>
      <c r="AE207" s="224" t="e">
        <v>#DIV/0!</v>
      </c>
      <c r="AF207" s="224" t="e">
        <v>#DIV/0!</v>
      </c>
      <c r="AG207" s="224" t="e">
        <v>#DIV/0!</v>
      </c>
      <c r="AH207" s="224" t="e">
        <v>#DIV/0!</v>
      </c>
      <c r="AI207" s="224" t="e">
        <v>#DIV/0!</v>
      </c>
      <c r="AJ207" s="224" t="e">
        <v>#DIV/0!</v>
      </c>
      <c r="AK207" s="224" t="e">
        <v>#DIV/0!</v>
      </c>
      <c r="AL207" s="224" t="e">
        <v>#DIV/0!</v>
      </c>
      <c r="AM207" s="224" t="e">
        <v>#DIV/0!</v>
      </c>
      <c r="AN207" s="1120" t="e">
        <v>#DIV/0!</v>
      </c>
      <c r="AO207" s="224" t="e">
        <f t="shared" si="16"/>
        <v>#DIV/0!</v>
      </c>
      <c r="AP207" s="1123">
        <v>0.1</v>
      </c>
      <c r="AQ207" s="1123">
        <f t="shared" ref="AQ207:AQ264" si="18">AQ206</f>
        <v>0.40760111439866603</v>
      </c>
      <c r="AR207" s="1123">
        <v>20</v>
      </c>
      <c r="AS207" s="1123" t="e">
        <f t="shared" si="15"/>
        <v>#DIV/0!</v>
      </c>
      <c r="AT207" s="224" t="e">
        <f t="shared" si="17"/>
        <v>#DIV/0!</v>
      </c>
    </row>
    <row r="208" spans="1:46">
      <c r="A208" s="1118">
        <v>2030</v>
      </c>
      <c r="D208" s="1107" t="s">
        <v>2008</v>
      </c>
      <c r="E208" s="224" t="s">
        <v>2059</v>
      </c>
      <c r="G208" s="224" t="e">
        <v>#DIV/0!</v>
      </c>
      <c r="H208" s="224" t="e">
        <v>#DIV/0!</v>
      </c>
      <c r="I208" s="224" t="e">
        <v>#DIV/0!</v>
      </c>
      <c r="J208" s="224" t="e">
        <v>#DIV/0!</v>
      </c>
      <c r="K208" s="224" t="e">
        <v>#DIV/0!</v>
      </c>
      <c r="L208" s="224" t="e">
        <v>#DIV/0!</v>
      </c>
      <c r="M208" s="224" t="e">
        <v>#DIV/0!</v>
      </c>
      <c r="N208" s="224" t="e">
        <v>#DIV/0!</v>
      </c>
      <c r="O208" s="224" t="e">
        <v>#DIV/0!</v>
      </c>
      <c r="P208" s="224" t="e">
        <v>#DIV/0!</v>
      </c>
      <c r="Q208" s="224" t="e">
        <v>#DIV/0!</v>
      </c>
      <c r="R208" s="224" t="e">
        <v>#DIV/0!</v>
      </c>
      <c r="S208" s="224" t="e">
        <v>#DIV/0!</v>
      </c>
      <c r="T208" s="224" t="e">
        <v>#DIV/0!</v>
      </c>
      <c r="U208" s="224" t="e">
        <v>#DIV/0!</v>
      </c>
      <c r="V208" s="224" t="e">
        <v>#DIV/0!</v>
      </c>
      <c r="W208" s="224" t="e">
        <v>#DIV/0!</v>
      </c>
      <c r="X208" s="224" t="e">
        <v>#DIV/0!</v>
      </c>
      <c r="Y208" s="224" t="e">
        <v>#DIV/0!</v>
      </c>
      <c r="Z208" s="224" t="e">
        <v>#DIV/0!</v>
      </c>
      <c r="AA208" s="224" t="e">
        <v>#DIV/0!</v>
      </c>
      <c r="AB208" s="224" t="e">
        <v>#DIV/0!</v>
      </c>
      <c r="AC208" s="224" t="e">
        <v>#DIV/0!</v>
      </c>
      <c r="AD208" s="1120" t="e">
        <v>#DIV/0!</v>
      </c>
      <c r="AE208" s="224" t="e">
        <v>#DIV/0!</v>
      </c>
      <c r="AF208" s="224" t="e">
        <v>#DIV/0!</v>
      </c>
      <c r="AG208" s="224" t="e">
        <v>#DIV/0!</v>
      </c>
      <c r="AH208" s="224" t="e">
        <v>#DIV/0!</v>
      </c>
      <c r="AI208" s="224" t="e">
        <v>#DIV/0!</v>
      </c>
      <c r="AJ208" s="224" t="e">
        <v>#DIV/0!</v>
      </c>
      <c r="AK208" s="224" t="e">
        <v>#DIV/0!</v>
      </c>
      <c r="AL208" s="224" t="e">
        <v>#DIV/0!</v>
      </c>
      <c r="AM208" s="224" t="e">
        <v>#DIV/0!</v>
      </c>
      <c r="AN208" s="1120" t="e">
        <v>#DIV/0!</v>
      </c>
      <c r="AO208" s="224" t="e">
        <f t="shared" si="16"/>
        <v>#DIV/0!</v>
      </c>
      <c r="AP208" s="1123">
        <v>0.1</v>
      </c>
      <c r="AQ208" s="1123">
        <f t="shared" si="18"/>
        <v>0.40760111439866603</v>
      </c>
      <c r="AR208" s="1123">
        <v>20</v>
      </c>
      <c r="AS208" s="1123" t="e">
        <f t="shared" si="15"/>
        <v>#DIV/0!</v>
      </c>
      <c r="AT208" s="224" t="e">
        <f t="shared" si="17"/>
        <v>#DIV/0!</v>
      </c>
    </row>
    <row r="209" spans="1:46">
      <c r="A209" s="1118">
        <v>2035</v>
      </c>
      <c r="D209" s="1107" t="s">
        <v>2008</v>
      </c>
      <c r="E209" s="224" t="s">
        <v>2059</v>
      </c>
      <c r="G209" s="224" t="e">
        <v>#DIV/0!</v>
      </c>
      <c r="H209" s="224" t="e">
        <v>#DIV/0!</v>
      </c>
      <c r="I209" s="224" t="e">
        <v>#DIV/0!</v>
      </c>
      <c r="J209" s="224" t="e">
        <v>#DIV/0!</v>
      </c>
      <c r="K209" s="224" t="e">
        <v>#DIV/0!</v>
      </c>
      <c r="L209" s="224" t="e">
        <v>#DIV/0!</v>
      </c>
      <c r="M209" s="224" t="e">
        <v>#DIV/0!</v>
      </c>
      <c r="N209" s="224" t="e">
        <v>#DIV/0!</v>
      </c>
      <c r="O209" s="224" t="e">
        <v>#DIV/0!</v>
      </c>
      <c r="P209" s="224" t="e">
        <v>#DIV/0!</v>
      </c>
      <c r="Q209" s="224" t="e">
        <v>#DIV/0!</v>
      </c>
      <c r="R209" s="224" t="e">
        <v>#DIV/0!</v>
      </c>
      <c r="S209" s="224" t="e">
        <v>#DIV/0!</v>
      </c>
      <c r="T209" s="224" t="e">
        <v>#DIV/0!</v>
      </c>
      <c r="U209" s="224" t="e">
        <v>#DIV/0!</v>
      </c>
      <c r="V209" s="224" t="e">
        <v>#DIV/0!</v>
      </c>
      <c r="W209" s="224" t="e">
        <v>#DIV/0!</v>
      </c>
      <c r="X209" s="224" t="e">
        <v>#DIV/0!</v>
      </c>
      <c r="Y209" s="224" t="e">
        <v>#DIV/0!</v>
      </c>
      <c r="Z209" s="224" t="e">
        <v>#DIV/0!</v>
      </c>
      <c r="AA209" s="224" t="e">
        <v>#DIV/0!</v>
      </c>
      <c r="AB209" s="224" t="e">
        <v>#DIV/0!</v>
      </c>
      <c r="AC209" s="224" t="e">
        <v>#DIV/0!</v>
      </c>
      <c r="AD209" s="1120" t="e">
        <v>#DIV/0!</v>
      </c>
      <c r="AE209" s="224" t="e">
        <v>#DIV/0!</v>
      </c>
      <c r="AF209" s="224" t="e">
        <v>#DIV/0!</v>
      </c>
      <c r="AG209" s="224" t="e">
        <v>#DIV/0!</v>
      </c>
      <c r="AH209" s="224" t="e">
        <v>#DIV/0!</v>
      </c>
      <c r="AI209" s="224" t="e">
        <v>#DIV/0!</v>
      </c>
      <c r="AJ209" s="224" t="e">
        <v>#DIV/0!</v>
      </c>
      <c r="AK209" s="224" t="e">
        <v>#DIV/0!</v>
      </c>
      <c r="AL209" s="224" t="e">
        <v>#DIV/0!</v>
      </c>
      <c r="AM209" s="224" t="e">
        <v>#DIV/0!</v>
      </c>
      <c r="AN209" s="1120" t="e">
        <v>#DIV/0!</v>
      </c>
      <c r="AO209" s="224" t="e">
        <f t="shared" si="16"/>
        <v>#DIV/0!</v>
      </c>
      <c r="AP209" s="1123">
        <v>0.1</v>
      </c>
      <c r="AQ209" s="1123">
        <f t="shared" si="18"/>
        <v>0.40760111439866603</v>
      </c>
      <c r="AR209" s="1123">
        <v>20</v>
      </c>
      <c r="AS209" s="1123" t="e">
        <f t="shared" si="15"/>
        <v>#DIV/0!</v>
      </c>
      <c r="AT209" s="224" t="e">
        <f t="shared" si="17"/>
        <v>#DIV/0!</v>
      </c>
    </row>
    <row r="210" spans="1:46">
      <c r="A210" s="1118">
        <v>2050</v>
      </c>
      <c r="D210" s="1107" t="s">
        <v>2008</v>
      </c>
      <c r="E210" s="224" t="s">
        <v>2059</v>
      </c>
      <c r="G210" s="224" t="e">
        <v>#DIV/0!</v>
      </c>
      <c r="H210" s="224" t="e">
        <v>#DIV/0!</v>
      </c>
      <c r="I210" s="224" t="e">
        <v>#DIV/0!</v>
      </c>
      <c r="J210" s="224" t="e">
        <v>#DIV/0!</v>
      </c>
      <c r="K210" s="224" t="e">
        <v>#DIV/0!</v>
      </c>
      <c r="L210" s="224" t="e">
        <v>#DIV/0!</v>
      </c>
      <c r="M210" s="224" t="e">
        <v>#DIV/0!</v>
      </c>
      <c r="N210" s="224" t="e">
        <v>#DIV/0!</v>
      </c>
      <c r="O210" s="224" t="e">
        <v>#DIV/0!</v>
      </c>
      <c r="P210" s="224" t="e">
        <v>#DIV/0!</v>
      </c>
      <c r="Q210" s="224" t="e">
        <v>#DIV/0!</v>
      </c>
      <c r="R210" s="224" t="e">
        <v>#DIV/0!</v>
      </c>
      <c r="S210" s="224" t="e">
        <v>#DIV/0!</v>
      </c>
      <c r="T210" s="224" t="e">
        <v>#DIV/0!</v>
      </c>
      <c r="U210" s="224" t="e">
        <v>#DIV/0!</v>
      </c>
      <c r="V210" s="224" t="e">
        <v>#DIV/0!</v>
      </c>
      <c r="W210" s="224" t="e">
        <v>#DIV/0!</v>
      </c>
      <c r="X210" s="224" t="e">
        <v>#DIV/0!</v>
      </c>
      <c r="Y210" s="224" t="e">
        <v>#DIV/0!</v>
      </c>
      <c r="Z210" s="224" t="e">
        <v>#DIV/0!</v>
      </c>
      <c r="AA210" s="224" t="e">
        <v>#DIV/0!</v>
      </c>
      <c r="AB210" s="224" t="e">
        <v>#DIV/0!</v>
      </c>
      <c r="AC210" s="224" t="e">
        <v>#DIV/0!</v>
      </c>
      <c r="AD210" s="1120" t="e">
        <v>#DIV/0!</v>
      </c>
      <c r="AE210" s="224" t="e">
        <v>#DIV/0!</v>
      </c>
      <c r="AF210" s="224" t="e">
        <v>#DIV/0!</v>
      </c>
      <c r="AG210" s="224" t="e">
        <v>#DIV/0!</v>
      </c>
      <c r="AH210" s="224" t="e">
        <v>#DIV/0!</v>
      </c>
      <c r="AI210" s="224" t="e">
        <v>#DIV/0!</v>
      </c>
      <c r="AJ210" s="224" t="e">
        <v>#DIV/0!</v>
      </c>
      <c r="AK210" s="224" t="e">
        <v>#DIV/0!</v>
      </c>
      <c r="AL210" s="224" t="e">
        <v>#DIV/0!</v>
      </c>
      <c r="AM210" s="224" t="e">
        <v>#DIV/0!</v>
      </c>
      <c r="AN210" s="1120" t="e">
        <v>#DIV/0!</v>
      </c>
      <c r="AO210" s="224" t="e">
        <f t="shared" si="16"/>
        <v>#DIV/0!</v>
      </c>
      <c r="AP210" s="1123">
        <v>0.1</v>
      </c>
      <c r="AQ210" s="1123">
        <f t="shared" si="18"/>
        <v>0.40760111439866603</v>
      </c>
      <c r="AR210" s="1123">
        <v>20</v>
      </c>
      <c r="AS210" s="1123" t="e">
        <f t="shared" si="15"/>
        <v>#DIV/0!</v>
      </c>
      <c r="AT210" s="224" t="e">
        <f t="shared" si="17"/>
        <v>#DIV/0!</v>
      </c>
    </row>
    <row r="211" spans="1:46">
      <c r="A211" s="1118">
        <v>2017</v>
      </c>
      <c r="D211" s="1107" t="s">
        <v>2008</v>
      </c>
      <c r="E211" s="224" t="s">
        <v>2060</v>
      </c>
      <c r="G211" s="224">
        <v>28578.54367849847</v>
      </c>
      <c r="H211" s="224">
        <v>9364</v>
      </c>
      <c r="I211" s="224">
        <v>679.21199999999999</v>
      </c>
      <c r="J211" s="224">
        <v>0.16809308825632943</v>
      </c>
      <c r="K211" s="224">
        <v>0.1447217683375126</v>
      </c>
      <c r="L211" s="224">
        <v>0.14620730438261273</v>
      </c>
      <c r="M211" s="224">
        <v>6.3612026016272569E-2</v>
      </c>
      <c r="N211" s="224">
        <v>5.2831206270658723E-2</v>
      </c>
      <c r="O211" s="224">
        <v>6.1322905704347903E-2</v>
      </c>
      <c r="P211" s="224">
        <v>25.697652058729066</v>
      </c>
      <c r="Q211" s="224">
        <v>-102.39553130684378</v>
      </c>
      <c r="R211" s="224">
        <v>375.86090135473563</v>
      </c>
      <c r="S211" s="224">
        <v>2395.3802600800918</v>
      </c>
      <c r="T211" s="224">
        <v>1989.4167273430744</v>
      </c>
      <c r="U211" s="224">
        <v>2309.1809365947806</v>
      </c>
      <c r="V211" s="224">
        <v>180</v>
      </c>
      <c r="W211" s="224">
        <v>457.05737329999999</v>
      </c>
      <c r="X211" s="224">
        <v>685.58605994999994</v>
      </c>
      <c r="Y211" s="224">
        <v>678.83962499999996</v>
      </c>
      <c r="Z211" s="224">
        <v>0</v>
      </c>
      <c r="AA211" s="224">
        <v>57.400666677169426</v>
      </c>
      <c r="AB211" s="224">
        <v>44.143650270790715</v>
      </c>
      <c r="AC211" s="224">
        <v>50.64783604622086</v>
      </c>
      <c r="AD211" s="1120">
        <v>5.8903643325416581</v>
      </c>
      <c r="AE211" s="224">
        <v>16644.811428571425</v>
      </c>
      <c r="AF211" s="224">
        <v>20134.261314570002</v>
      </c>
      <c r="AG211" s="224">
        <v>386246.16983250005</v>
      </c>
      <c r="AH211" s="224">
        <v>0</v>
      </c>
      <c r="AI211" s="224">
        <v>90000</v>
      </c>
      <c r="AJ211" s="224">
        <v>0</v>
      </c>
      <c r="AK211" s="224">
        <v>745.98720000000003</v>
      </c>
      <c r="AL211" s="224">
        <v>0</v>
      </c>
      <c r="AM211" s="224">
        <v>436.00000000000006</v>
      </c>
      <c r="AN211" s="1120">
        <v>514207.22977564146</v>
      </c>
      <c r="AO211" s="224">
        <f t="shared" si="16"/>
        <v>0.7761144044556888</v>
      </c>
      <c r="AP211" s="1123">
        <v>0.1</v>
      </c>
      <c r="AQ211" s="1123">
        <f t="shared" si="18"/>
        <v>0.40760111439866603</v>
      </c>
      <c r="AR211" s="1123">
        <v>20</v>
      </c>
      <c r="AS211" s="1123">
        <f t="shared" si="15"/>
        <v>0.49185879558760165</v>
      </c>
      <c r="AT211" s="224">
        <f t="shared" si="17"/>
        <v>209591.43988840238</v>
      </c>
    </row>
    <row r="212" spans="1:46">
      <c r="A212" s="1121">
        <v>2020</v>
      </c>
      <c r="D212" s="1107" t="s">
        <v>2008</v>
      </c>
      <c r="E212" s="224" t="s">
        <v>2060</v>
      </c>
      <c r="G212" s="224" t="e">
        <v>#DIV/0!</v>
      </c>
      <c r="H212" s="224" t="e">
        <v>#DIV/0!</v>
      </c>
      <c r="I212" s="224" t="e">
        <v>#DIV/0!</v>
      </c>
      <c r="J212" s="224" t="e">
        <v>#DIV/0!</v>
      </c>
      <c r="K212" s="224" t="e">
        <v>#DIV/0!</v>
      </c>
      <c r="L212" s="224" t="e">
        <v>#DIV/0!</v>
      </c>
      <c r="M212" s="224" t="e">
        <v>#DIV/0!</v>
      </c>
      <c r="N212" s="224" t="e">
        <v>#DIV/0!</v>
      </c>
      <c r="O212" s="224" t="e">
        <v>#DIV/0!</v>
      </c>
      <c r="P212" s="224" t="e">
        <v>#DIV/0!</v>
      </c>
      <c r="Q212" s="224" t="e">
        <v>#DIV/0!</v>
      </c>
      <c r="R212" s="224" t="e">
        <v>#DIV/0!</v>
      </c>
      <c r="S212" s="224" t="e">
        <v>#DIV/0!</v>
      </c>
      <c r="T212" s="224" t="e">
        <v>#DIV/0!</v>
      </c>
      <c r="U212" s="224" t="e">
        <v>#DIV/0!</v>
      </c>
      <c r="V212" s="224" t="e">
        <v>#DIV/0!</v>
      </c>
      <c r="W212" s="224" t="e">
        <v>#DIV/0!</v>
      </c>
      <c r="X212" s="224" t="e">
        <v>#DIV/0!</v>
      </c>
      <c r="Y212" s="224" t="e">
        <v>#DIV/0!</v>
      </c>
      <c r="Z212" s="224" t="e">
        <v>#DIV/0!</v>
      </c>
      <c r="AA212" s="224" t="e">
        <v>#DIV/0!</v>
      </c>
      <c r="AB212" s="224" t="e">
        <v>#DIV/0!</v>
      </c>
      <c r="AC212" s="224" t="e">
        <v>#DIV/0!</v>
      </c>
      <c r="AD212" s="1120" t="e">
        <v>#DIV/0!</v>
      </c>
      <c r="AE212" s="224" t="e">
        <v>#DIV/0!</v>
      </c>
      <c r="AF212" s="224" t="e">
        <v>#DIV/0!</v>
      </c>
      <c r="AG212" s="224" t="e">
        <v>#DIV/0!</v>
      </c>
      <c r="AH212" s="224" t="e">
        <v>#DIV/0!</v>
      </c>
      <c r="AI212" s="224" t="e">
        <v>#DIV/0!</v>
      </c>
      <c r="AJ212" s="224" t="e">
        <v>#DIV/0!</v>
      </c>
      <c r="AK212" s="224" t="e">
        <v>#DIV/0!</v>
      </c>
      <c r="AL212" s="224" t="e">
        <v>#DIV/0!</v>
      </c>
      <c r="AM212" s="224" t="e">
        <v>#DIV/0!</v>
      </c>
      <c r="AN212" s="1120" t="e">
        <v>#DIV/0!</v>
      </c>
      <c r="AO212" s="224" t="e">
        <f t="shared" si="16"/>
        <v>#DIV/0!</v>
      </c>
      <c r="AP212" s="1123">
        <v>0.1</v>
      </c>
      <c r="AQ212" s="1123">
        <f t="shared" si="18"/>
        <v>0.40760111439866603</v>
      </c>
      <c r="AR212" s="1123">
        <v>20</v>
      </c>
      <c r="AS212" s="1123" t="e">
        <f t="shared" si="15"/>
        <v>#DIV/0!</v>
      </c>
      <c r="AT212" s="224" t="e">
        <f t="shared" si="17"/>
        <v>#DIV/0!</v>
      </c>
    </row>
    <row r="213" spans="1:46">
      <c r="A213" s="1118">
        <v>2025</v>
      </c>
      <c r="D213" s="1107" t="s">
        <v>2008</v>
      </c>
      <c r="E213" s="224" t="s">
        <v>2060</v>
      </c>
      <c r="G213" s="224" t="e">
        <v>#DIV/0!</v>
      </c>
      <c r="H213" s="224" t="e">
        <v>#DIV/0!</v>
      </c>
      <c r="I213" s="224" t="e">
        <v>#DIV/0!</v>
      </c>
      <c r="J213" s="224" t="e">
        <v>#DIV/0!</v>
      </c>
      <c r="K213" s="224" t="e">
        <v>#DIV/0!</v>
      </c>
      <c r="L213" s="224" t="e">
        <v>#DIV/0!</v>
      </c>
      <c r="M213" s="224" t="e">
        <v>#DIV/0!</v>
      </c>
      <c r="N213" s="224" t="e">
        <v>#DIV/0!</v>
      </c>
      <c r="O213" s="224" t="e">
        <v>#DIV/0!</v>
      </c>
      <c r="P213" s="224" t="e">
        <v>#DIV/0!</v>
      </c>
      <c r="Q213" s="224" t="e">
        <v>#DIV/0!</v>
      </c>
      <c r="R213" s="224" t="e">
        <v>#DIV/0!</v>
      </c>
      <c r="S213" s="224" t="e">
        <v>#DIV/0!</v>
      </c>
      <c r="T213" s="224" t="e">
        <v>#DIV/0!</v>
      </c>
      <c r="U213" s="224" t="e">
        <v>#DIV/0!</v>
      </c>
      <c r="V213" s="224" t="e">
        <v>#DIV/0!</v>
      </c>
      <c r="W213" s="224" t="e">
        <v>#DIV/0!</v>
      </c>
      <c r="X213" s="224" t="e">
        <v>#DIV/0!</v>
      </c>
      <c r="Y213" s="224" t="e">
        <v>#DIV/0!</v>
      </c>
      <c r="Z213" s="224" t="e">
        <v>#DIV/0!</v>
      </c>
      <c r="AA213" s="224" t="e">
        <v>#DIV/0!</v>
      </c>
      <c r="AB213" s="224" t="e">
        <v>#DIV/0!</v>
      </c>
      <c r="AC213" s="224" t="e">
        <v>#DIV/0!</v>
      </c>
      <c r="AD213" s="1120" t="e">
        <v>#DIV/0!</v>
      </c>
      <c r="AE213" s="224" t="e">
        <v>#DIV/0!</v>
      </c>
      <c r="AF213" s="224" t="e">
        <v>#DIV/0!</v>
      </c>
      <c r="AG213" s="224" t="e">
        <v>#DIV/0!</v>
      </c>
      <c r="AH213" s="224" t="e">
        <v>#DIV/0!</v>
      </c>
      <c r="AI213" s="224" t="e">
        <v>#DIV/0!</v>
      </c>
      <c r="AJ213" s="224" t="e">
        <v>#DIV/0!</v>
      </c>
      <c r="AK213" s="224" t="e">
        <v>#DIV/0!</v>
      </c>
      <c r="AL213" s="224" t="e">
        <v>#DIV/0!</v>
      </c>
      <c r="AM213" s="224" t="e">
        <v>#DIV/0!</v>
      </c>
      <c r="AN213" s="1120" t="e">
        <v>#DIV/0!</v>
      </c>
      <c r="AO213" s="224" t="e">
        <f t="shared" si="16"/>
        <v>#DIV/0!</v>
      </c>
      <c r="AP213" s="1123">
        <v>0.1</v>
      </c>
      <c r="AQ213" s="1123">
        <f t="shared" si="18"/>
        <v>0.40760111439866603</v>
      </c>
      <c r="AR213" s="1123">
        <v>20</v>
      </c>
      <c r="AS213" s="1123" t="e">
        <f t="shared" si="15"/>
        <v>#DIV/0!</v>
      </c>
      <c r="AT213" s="224" t="e">
        <f t="shared" si="17"/>
        <v>#DIV/0!</v>
      </c>
    </row>
    <row r="214" spans="1:46">
      <c r="A214" s="1118">
        <v>2030</v>
      </c>
      <c r="D214" s="1107" t="s">
        <v>2008</v>
      </c>
      <c r="E214" s="224" t="s">
        <v>2060</v>
      </c>
      <c r="G214" s="224" t="e">
        <v>#DIV/0!</v>
      </c>
      <c r="H214" s="224" t="e">
        <v>#DIV/0!</v>
      </c>
      <c r="I214" s="224" t="e">
        <v>#DIV/0!</v>
      </c>
      <c r="J214" s="224" t="e">
        <v>#DIV/0!</v>
      </c>
      <c r="K214" s="224" t="e">
        <v>#DIV/0!</v>
      </c>
      <c r="L214" s="224" t="e">
        <v>#DIV/0!</v>
      </c>
      <c r="M214" s="224" t="e">
        <v>#DIV/0!</v>
      </c>
      <c r="N214" s="224" t="e">
        <v>#DIV/0!</v>
      </c>
      <c r="O214" s="224" t="e">
        <v>#DIV/0!</v>
      </c>
      <c r="P214" s="224" t="e">
        <v>#DIV/0!</v>
      </c>
      <c r="Q214" s="224" t="e">
        <v>#DIV/0!</v>
      </c>
      <c r="R214" s="224" t="e">
        <v>#DIV/0!</v>
      </c>
      <c r="S214" s="224" t="e">
        <v>#DIV/0!</v>
      </c>
      <c r="T214" s="224" t="e">
        <v>#DIV/0!</v>
      </c>
      <c r="U214" s="224" t="e">
        <v>#DIV/0!</v>
      </c>
      <c r="V214" s="224" t="e">
        <v>#DIV/0!</v>
      </c>
      <c r="W214" s="224" t="e">
        <v>#DIV/0!</v>
      </c>
      <c r="X214" s="224" t="e">
        <v>#DIV/0!</v>
      </c>
      <c r="Y214" s="224" t="e">
        <v>#DIV/0!</v>
      </c>
      <c r="Z214" s="224" t="e">
        <v>#DIV/0!</v>
      </c>
      <c r="AA214" s="224" t="e">
        <v>#DIV/0!</v>
      </c>
      <c r="AB214" s="224" t="e">
        <v>#DIV/0!</v>
      </c>
      <c r="AC214" s="224" t="e">
        <v>#DIV/0!</v>
      </c>
      <c r="AD214" s="1120" t="e">
        <v>#DIV/0!</v>
      </c>
      <c r="AE214" s="224" t="e">
        <v>#DIV/0!</v>
      </c>
      <c r="AF214" s="224" t="e">
        <v>#DIV/0!</v>
      </c>
      <c r="AG214" s="224" t="e">
        <v>#DIV/0!</v>
      </c>
      <c r="AH214" s="224" t="e">
        <v>#DIV/0!</v>
      </c>
      <c r="AI214" s="224" t="e">
        <v>#DIV/0!</v>
      </c>
      <c r="AJ214" s="224" t="e">
        <v>#DIV/0!</v>
      </c>
      <c r="AK214" s="224" t="e">
        <v>#DIV/0!</v>
      </c>
      <c r="AL214" s="224" t="e">
        <v>#DIV/0!</v>
      </c>
      <c r="AM214" s="224" t="e">
        <v>#DIV/0!</v>
      </c>
      <c r="AN214" s="1120" t="e">
        <v>#DIV/0!</v>
      </c>
      <c r="AO214" s="224" t="e">
        <f t="shared" si="16"/>
        <v>#DIV/0!</v>
      </c>
      <c r="AP214" s="1123">
        <v>0.1</v>
      </c>
      <c r="AQ214" s="1123">
        <f t="shared" si="18"/>
        <v>0.40760111439866603</v>
      </c>
      <c r="AR214" s="1123">
        <v>20</v>
      </c>
      <c r="AS214" s="1123" t="e">
        <f t="shared" si="15"/>
        <v>#DIV/0!</v>
      </c>
      <c r="AT214" s="224" t="e">
        <f t="shared" si="17"/>
        <v>#DIV/0!</v>
      </c>
    </row>
    <row r="215" spans="1:46">
      <c r="A215" s="1118">
        <v>2035</v>
      </c>
      <c r="D215" s="1107" t="s">
        <v>2008</v>
      </c>
      <c r="E215" s="224" t="s">
        <v>2060</v>
      </c>
      <c r="G215" s="224" t="e">
        <v>#DIV/0!</v>
      </c>
      <c r="H215" s="224" t="e">
        <v>#DIV/0!</v>
      </c>
      <c r="I215" s="224" t="e">
        <v>#DIV/0!</v>
      </c>
      <c r="J215" s="224" t="e">
        <v>#DIV/0!</v>
      </c>
      <c r="K215" s="224" t="e">
        <v>#DIV/0!</v>
      </c>
      <c r="L215" s="224" t="e">
        <v>#DIV/0!</v>
      </c>
      <c r="M215" s="224" t="e">
        <v>#DIV/0!</v>
      </c>
      <c r="N215" s="224" t="e">
        <v>#DIV/0!</v>
      </c>
      <c r="O215" s="224" t="e">
        <v>#DIV/0!</v>
      </c>
      <c r="P215" s="224" t="e">
        <v>#DIV/0!</v>
      </c>
      <c r="Q215" s="224" t="e">
        <v>#DIV/0!</v>
      </c>
      <c r="R215" s="224" t="e">
        <v>#DIV/0!</v>
      </c>
      <c r="S215" s="224" t="e">
        <v>#DIV/0!</v>
      </c>
      <c r="T215" s="224" t="e">
        <v>#DIV/0!</v>
      </c>
      <c r="U215" s="224" t="e">
        <v>#DIV/0!</v>
      </c>
      <c r="V215" s="224" t="e">
        <v>#DIV/0!</v>
      </c>
      <c r="W215" s="224" t="e">
        <v>#DIV/0!</v>
      </c>
      <c r="X215" s="224" t="e">
        <v>#DIV/0!</v>
      </c>
      <c r="Y215" s="224" t="e">
        <v>#DIV/0!</v>
      </c>
      <c r="Z215" s="224" t="e">
        <v>#DIV/0!</v>
      </c>
      <c r="AA215" s="224" t="e">
        <v>#DIV/0!</v>
      </c>
      <c r="AB215" s="224" t="e">
        <v>#DIV/0!</v>
      </c>
      <c r="AC215" s="224" t="e">
        <v>#DIV/0!</v>
      </c>
      <c r="AD215" s="1120" t="e">
        <v>#DIV/0!</v>
      </c>
      <c r="AE215" s="224" t="e">
        <v>#DIV/0!</v>
      </c>
      <c r="AF215" s="224" t="e">
        <v>#DIV/0!</v>
      </c>
      <c r="AG215" s="224" t="e">
        <v>#DIV/0!</v>
      </c>
      <c r="AH215" s="224" t="e">
        <v>#DIV/0!</v>
      </c>
      <c r="AI215" s="224" t="e">
        <v>#DIV/0!</v>
      </c>
      <c r="AJ215" s="224" t="e">
        <v>#DIV/0!</v>
      </c>
      <c r="AK215" s="224" t="e">
        <v>#DIV/0!</v>
      </c>
      <c r="AL215" s="224" t="e">
        <v>#DIV/0!</v>
      </c>
      <c r="AM215" s="224" t="e">
        <v>#DIV/0!</v>
      </c>
      <c r="AN215" s="1120" t="e">
        <v>#DIV/0!</v>
      </c>
      <c r="AO215" s="224" t="e">
        <f t="shared" si="16"/>
        <v>#DIV/0!</v>
      </c>
      <c r="AP215" s="1123">
        <v>0.1</v>
      </c>
      <c r="AQ215" s="1123">
        <f t="shared" si="18"/>
        <v>0.40760111439866603</v>
      </c>
      <c r="AR215" s="1123">
        <v>20</v>
      </c>
      <c r="AS215" s="1123" t="e">
        <f t="shared" si="15"/>
        <v>#DIV/0!</v>
      </c>
      <c r="AT215" s="224" t="e">
        <f t="shared" si="17"/>
        <v>#DIV/0!</v>
      </c>
    </row>
    <row r="216" spans="1:46">
      <c r="A216" s="1118">
        <v>2050</v>
      </c>
      <c r="D216" s="1107" t="s">
        <v>2008</v>
      </c>
      <c r="E216" s="224" t="s">
        <v>2060</v>
      </c>
      <c r="G216" s="224" t="e">
        <v>#DIV/0!</v>
      </c>
      <c r="H216" s="224" t="e">
        <v>#DIV/0!</v>
      </c>
      <c r="I216" s="224" t="e">
        <v>#DIV/0!</v>
      </c>
      <c r="J216" s="224" t="e">
        <v>#DIV/0!</v>
      </c>
      <c r="K216" s="224" t="e">
        <v>#DIV/0!</v>
      </c>
      <c r="L216" s="224" t="e">
        <v>#DIV/0!</v>
      </c>
      <c r="M216" s="224" t="e">
        <v>#DIV/0!</v>
      </c>
      <c r="N216" s="224" t="e">
        <v>#DIV/0!</v>
      </c>
      <c r="O216" s="224" t="e">
        <v>#DIV/0!</v>
      </c>
      <c r="P216" s="224" t="e">
        <v>#DIV/0!</v>
      </c>
      <c r="Q216" s="224" t="e">
        <v>#DIV/0!</v>
      </c>
      <c r="R216" s="224" t="e">
        <v>#DIV/0!</v>
      </c>
      <c r="S216" s="224" t="e">
        <v>#DIV/0!</v>
      </c>
      <c r="T216" s="224" t="e">
        <v>#DIV/0!</v>
      </c>
      <c r="U216" s="224" t="e">
        <v>#DIV/0!</v>
      </c>
      <c r="V216" s="224" t="e">
        <v>#DIV/0!</v>
      </c>
      <c r="W216" s="224" t="e">
        <v>#DIV/0!</v>
      </c>
      <c r="X216" s="224" t="e">
        <v>#DIV/0!</v>
      </c>
      <c r="Y216" s="224" t="e">
        <v>#DIV/0!</v>
      </c>
      <c r="Z216" s="224" t="e">
        <v>#DIV/0!</v>
      </c>
      <c r="AA216" s="224" t="e">
        <v>#DIV/0!</v>
      </c>
      <c r="AB216" s="224" t="e">
        <v>#DIV/0!</v>
      </c>
      <c r="AC216" s="224" t="e">
        <v>#DIV/0!</v>
      </c>
      <c r="AD216" s="1120" t="e">
        <v>#DIV/0!</v>
      </c>
      <c r="AE216" s="224" t="e">
        <v>#DIV/0!</v>
      </c>
      <c r="AF216" s="224" t="e">
        <v>#DIV/0!</v>
      </c>
      <c r="AG216" s="224" t="e">
        <v>#DIV/0!</v>
      </c>
      <c r="AH216" s="224" t="e">
        <v>#DIV/0!</v>
      </c>
      <c r="AI216" s="224" t="e">
        <v>#DIV/0!</v>
      </c>
      <c r="AJ216" s="224" t="e">
        <v>#DIV/0!</v>
      </c>
      <c r="AK216" s="224" t="e">
        <v>#DIV/0!</v>
      </c>
      <c r="AL216" s="224" t="e">
        <v>#DIV/0!</v>
      </c>
      <c r="AM216" s="224" t="e">
        <v>#DIV/0!</v>
      </c>
      <c r="AN216" s="1120" t="e">
        <v>#DIV/0!</v>
      </c>
      <c r="AO216" s="224" t="e">
        <f t="shared" si="16"/>
        <v>#DIV/0!</v>
      </c>
      <c r="AP216" s="1123">
        <v>0.1</v>
      </c>
      <c r="AQ216" s="1123">
        <f t="shared" si="18"/>
        <v>0.40760111439866603</v>
      </c>
      <c r="AR216" s="1123">
        <v>20</v>
      </c>
      <c r="AS216" s="1123" t="e">
        <f t="shared" si="15"/>
        <v>#DIV/0!</v>
      </c>
      <c r="AT216" s="224" t="e">
        <f t="shared" si="17"/>
        <v>#DIV/0!</v>
      </c>
    </row>
    <row r="217" spans="1:46">
      <c r="A217" s="1118">
        <v>2017</v>
      </c>
      <c r="D217" s="1107" t="s">
        <v>2008</v>
      </c>
      <c r="E217" s="224" t="s">
        <v>2061</v>
      </c>
      <c r="G217" s="224">
        <v>30691.178976530005</v>
      </c>
      <c r="H217" s="224">
        <v>9364</v>
      </c>
      <c r="I217" s="224">
        <v>1304.8019999999999</v>
      </c>
      <c r="J217" s="224">
        <v>0</v>
      </c>
      <c r="K217" s="224">
        <v>0</v>
      </c>
      <c r="L217" s="224">
        <v>0</v>
      </c>
      <c r="M217" s="224">
        <v>0</v>
      </c>
      <c r="N217" s="224">
        <v>0</v>
      </c>
      <c r="O217" s="224">
        <v>0</v>
      </c>
      <c r="P217" s="224">
        <v>0</v>
      </c>
      <c r="Q217" s="224">
        <v>0</v>
      </c>
      <c r="R217" s="224">
        <v>0</v>
      </c>
      <c r="S217" s="224">
        <v>2553.601292560098</v>
      </c>
      <c r="T217" s="224">
        <v>2328.6629084223073</v>
      </c>
      <c r="U217" s="224">
        <v>2663.2837217045339</v>
      </c>
      <c r="V217" s="224">
        <v>0</v>
      </c>
      <c r="W217" s="224">
        <v>485.91511020000002</v>
      </c>
      <c r="X217" s="224">
        <v>728.87266529999999</v>
      </c>
      <c r="Y217" s="224">
        <v>1304.8019999999999</v>
      </c>
      <c r="Z217" s="224">
        <v>0</v>
      </c>
      <c r="AA217" s="224">
        <v>33.912367763082315</v>
      </c>
      <c r="AB217" s="224">
        <v>30.925138226059854</v>
      </c>
      <c r="AC217" s="224">
        <v>35.368973727815856</v>
      </c>
      <c r="AD217" s="1120">
        <v>6.7746016405599576</v>
      </c>
      <c r="AE217" s="224">
        <v>0</v>
      </c>
      <c r="AF217" s="224">
        <v>21372.258227579998</v>
      </c>
      <c r="AG217" s="224">
        <v>742406.2419599999</v>
      </c>
      <c r="AH217" s="224">
        <v>0</v>
      </c>
      <c r="AI217" s="224">
        <v>90000</v>
      </c>
      <c r="AJ217" s="224">
        <v>0</v>
      </c>
      <c r="AK217" s="224">
        <v>745.98720000000003</v>
      </c>
      <c r="AL217" s="224">
        <v>0</v>
      </c>
      <c r="AM217" s="224">
        <v>0</v>
      </c>
      <c r="AN217" s="1120">
        <v>854524.48738757998</v>
      </c>
      <c r="AO217" s="224">
        <f t="shared" si="16"/>
        <v>0.89262151216017993</v>
      </c>
      <c r="AP217" s="1123">
        <v>0.1</v>
      </c>
      <c r="AQ217" s="1123">
        <f t="shared" si="18"/>
        <v>0.40760111439866603</v>
      </c>
      <c r="AR217" s="1123">
        <v>20</v>
      </c>
      <c r="AS217" s="1123">
        <f t="shared" si="15"/>
        <v>0.56569461843013169</v>
      </c>
      <c r="AT217" s="224">
        <f t="shared" si="17"/>
        <v>348305.13334012643</v>
      </c>
    </row>
    <row r="218" spans="1:46">
      <c r="A218" s="1121">
        <v>2020</v>
      </c>
      <c r="D218" s="1107" t="s">
        <v>2008</v>
      </c>
      <c r="E218" s="224" t="s">
        <v>2061</v>
      </c>
      <c r="G218" s="224" t="e">
        <v>#DIV/0!</v>
      </c>
      <c r="H218" s="224" t="e">
        <v>#DIV/0!</v>
      </c>
      <c r="I218" s="224" t="e">
        <v>#DIV/0!</v>
      </c>
      <c r="J218" s="224" t="e">
        <v>#DIV/0!</v>
      </c>
      <c r="K218" s="224" t="e">
        <v>#DIV/0!</v>
      </c>
      <c r="L218" s="224" t="e">
        <v>#DIV/0!</v>
      </c>
      <c r="M218" s="224" t="e">
        <v>#DIV/0!</v>
      </c>
      <c r="N218" s="224" t="e">
        <v>#DIV/0!</v>
      </c>
      <c r="O218" s="224" t="e">
        <v>#DIV/0!</v>
      </c>
      <c r="P218" s="224" t="e">
        <v>#DIV/0!</v>
      </c>
      <c r="Q218" s="224" t="e">
        <v>#DIV/0!</v>
      </c>
      <c r="R218" s="224" t="e">
        <v>#DIV/0!</v>
      </c>
      <c r="S218" s="224" t="e">
        <v>#DIV/0!</v>
      </c>
      <c r="T218" s="224" t="e">
        <v>#DIV/0!</v>
      </c>
      <c r="U218" s="224" t="e">
        <v>#DIV/0!</v>
      </c>
      <c r="V218" s="224" t="e">
        <v>#DIV/0!</v>
      </c>
      <c r="W218" s="224" t="e">
        <v>#DIV/0!</v>
      </c>
      <c r="X218" s="224" t="e">
        <v>#DIV/0!</v>
      </c>
      <c r="Y218" s="224" t="e">
        <v>#DIV/0!</v>
      </c>
      <c r="Z218" s="224" t="e">
        <v>#DIV/0!</v>
      </c>
      <c r="AA218" s="224" t="e">
        <v>#DIV/0!</v>
      </c>
      <c r="AB218" s="224" t="e">
        <v>#DIV/0!</v>
      </c>
      <c r="AC218" s="224" t="e">
        <v>#DIV/0!</v>
      </c>
      <c r="AD218" s="1120" t="e">
        <v>#DIV/0!</v>
      </c>
      <c r="AE218" s="224" t="e">
        <v>#DIV/0!</v>
      </c>
      <c r="AF218" s="224" t="e">
        <v>#DIV/0!</v>
      </c>
      <c r="AG218" s="224" t="e">
        <v>#DIV/0!</v>
      </c>
      <c r="AH218" s="224" t="e">
        <v>#DIV/0!</v>
      </c>
      <c r="AI218" s="224" t="e">
        <v>#DIV/0!</v>
      </c>
      <c r="AJ218" s="224" t="e">
        <v>#DIV/0!</v>
      </c>
      <c r="AK218" s="224" t="e">
        <v>#DIV/0!</v>
      </c>
      <c r="AL218" s="224" t="e">
        <v>#DIV/0!</v>
      </c>
      <c r="AM218" s="224" t="e">
        <v>#DIV/0!</v>
      </c>
      <c r="AN218" s="1120" t="e">
        <v>#DIV/0!</v>
      </c>
      <c r="AO218" s="224" t="e">
        <f t="shared" si="16"/>
        <v>#DIV/0!</v>
      </c>
      <c r="AP218" s="1123">
        <v>0.1</v>
      </c>
      <c r="AQ218" s="1123">
        <f t="shared" si="18"/>
        <v>0.40760111439866603</v>
      </c>
      <c r="AR218" s="1123">
        <v>20</v>
      </c>
      <c r="AS218" s="1123" t="e">
        <f t="shared" si="15"/>
        <v>#DIV/0!</v>
      </c>
      <c r="AT218" s="224" t="e">
        <f t="shared" si="17"/>
        <v>#DIV/0!</v>
      </c>
    </row>
    <row r="219" spans="1:46">
      <c r="A219" s="1118">
        <v>2025</v>
      </c>
      <c r="D219" s="1107" t="s">
        <v>2008</v>
      </c>
      <c r="E219" s="224" t="s">
        <v>2061</v>
      </c>
      <c r="G219" s="224" t="e">
        <v>#DIV/0!</v>
      </c>
      <c r="H219" s="224" t="e">
        <v>#DIV/0!</v>
      </c>
      <c r="I219" s="224" t="e">
        <v>#DIV/0!</v>
      </c>
      <c r="J219" s="224" t="e">
        <v>#DIV/0!</v>
      </c>
      <c r="K219" s="224" t="e">
        <v>#DIV/0!</v>
      </c>
      <c r="L219" s="224" t="e">
        <v>#DIV/0!</v>
      </c>
      <c r="M219" s="224" t="e">
        <v>#DIV/0!</v>
      </c>
      <c r="N219" s="224" t="e">
        <v>#DIV/0!</v>
      </c>
      <c r="O219" s="224" t="e">
        <v>#DIV/0!</v>
      </c>
      <c r="P219" s="224" t="e">
        <v>#DIV/0!</v>
      </c>
      <c r="Q219" s="224" t="e">
        <v>#DIV/0!</v>
      </c>
      <c r="R219" s="224" t="e">
        <v>#DIV/0!</v>
      </c>
      <c r="S219" s="224" t="e">
        <v>#DIV/0!</v>
      </c>
      <c r="T219" s="224" t="e">
        <v>#DIV/0!</v>
      </c>
      <c r="U219" s="224" t="e">
        <v>#DIV/0!</v>
      </c>
      <c r="V219" s="224" t="e">
        <v>#DIV/0!</v>
      </c>
      <c r="W219" s="224" t="e">
        <v>#DIV/0!</v>
      </c>
      <c r="X219" s="224" t="e">
        <v>#DIV/0!</v>
      </c>
      <c r="Y219" s="224" t="e">
        <v>#DIV/0!</v>
      </c>
      <c r="Z219" s="224" t="e">
        <v>#DIV/0!</v>
      </c>
      <c r="AA219" s="224" t="e">
        <v>#DIV/0!</v>
      </c>
      <c r="AB219" s="224" t="e">
        <v>#DIV/0!</v>
      </c>
      <c r="AC219" s="224" t="e">
        <v>#DIV/0!</v>
      </c>
      <c r="AD219" s="1120" t="e">
        <v>#DIV/0!</v>
      </c>
      <c r="AE219" s="224" t="e">
        <v>#DIV/0!</v>
      </c>
      <c r="AF219" s="224" t="e">
        <v>#DIV/0!</v>
      </c>
      <c r="AG219" s="224" t="e">
        <v>#DIV/0!</v>
      </c>
      <c r="AH219" s="224" t="e">
        <v>#DIV/0!</v>
      </c>
      <c r="AI219" s="224" t="e">
        <v>#DIV/0!</v>
      </c>
      <c r="AJ219" s="224" t="e">
        <v>#DIV/0!</v>
      </c>
      <c r="AK219" s="224" t="e">
        <v>#DIV/0!</v>
      </c>
      <c r="AL219" s="224" t="e">
        <v>#DIV/0!</v>
      </c>
      <c r="AM219" s="224" t="e">
        <v>#DIV/0!</v>
      </c>
      <c r="AN219" s="1120" t="e">
        <v>#DIV/0!</v>
      </c>
      <c r="AO219" s="224" t="e">
        <f t="shared" si="16"/>
        <v>#DIV/0!</v>
      </c>
      <c r="AP219" s="1123">
        <v>0.1</v>
      </c>
      <c r="AQ219" s="1123">
        <f t="shared" si="18"/>
        <v>0.40760111439866603</v>
      </c>
      <c r="AR219" s="1123">
        <v>20</v>
      </c>
      <c r="AS219" s="1123" t="e">
        <f t="shared" si="15"/>
        <v>#DIV/0!</v>
      </c>
      <c r="AT219" s="224" t="e">
        <f t="shared" si="17"/>
        <v>#DIV/0!</v>
      </c>
    </row>
    <row r="220" spans="1:46">
      <c r="A220" s="1118">
        <v>2030</v>
      </c>
      <c r="D220" s="1107" t="s">
        <v>2008</v>
      </c>
      <c r="E220" s="224" t="s">
        <v>2061</v>
      </c>
      <c r="G220" s="224" t="e">
        <v>#DIV/0!</v>
      </c>
      <c r="H220" s="224" t="e">
        <v>#DIV/0!</v>
      </c>
      <c r="I220" s="224" t="e">
        <v>#DIV/0!</v>
      </c>
      <c r="J220" s="224" t="e">
        <v>#DIV/0!</v>
      </c>
      <c r="K220" s="224" t="e">
        <v>#DIV/0!</v>
      </c>
      <c r="L220" s="224" t="e">
        <v>#DIV/0!</v>
      </c>
      <c r="M220" s="224" t="e">
        <v>#DIV/0!</v>
      </c>
      <c r="N220" s="224" t="e">
        <v>#DIV/0!</v>
      </c>
      <c r="O220" s="224" t="e">
        <v>#DIV/0!</v>
      </c>
      <c r="P220" s="224" t="e">
        <v>#DIV/0!</v>
      </c>
      <c r="Q220" s="224" t="e">
        <v>#DIV/0!</v>
      </c>
      <c r="R220" s="224" t="e">
        <v>#DIV/0!</v>
      </c>
      <c r="S220" s="224" t="e">
        <v>#DIV/0!</v>
      </c>
      <c r="T220" s="224" t="e">
        <v>#DIV/0!</v>
      </c>
      <c r="U220" s="224" t="e">
        <v>#DIV/0!</v>
      </c>
      <c r="V220" s="224" t="e">
        <v>#DIV/0!</v>
      </c>
      <c r="W220" s="224" t="e">
        <v>#DIV/0!</v>
      </c>
      <c r="X220" s="224" t="e">
        <v>#DIV/0!</v>
      </c>
      <c r="Y220" s="224" t="e">
        <v>#DIV/0!</v>
      </c>
      <c r="Z220" s="224" t="e">
        <v>#DIV/0!</v>
      </c>
      <c r="AA220" s="224" t="e">
        <v>#DIV/0!</v>
      </c>
      <c r="AB220" s="224" t="e">
        <v>#DIV/0!</v>
      </c>
      <c r="AC220" s="224" t="e">
        <v>#DIV/0!</v>
      </c>
      <c r="AD220" s="1120" t="e">
        <v>#DIV/0!</v>
      </c>
      <c r="AE220" s="224" t="e">
        <v>#DIV/0!</v>
      </c>
      <c r="AF220" s="224" t="e">
        <v>#DIV/0!</v>
      </c>
      <c r="AG220" s="224" t="e">
        <v>#DIV/0!</v>
      </c>
      <c r="AH220" s="224" t="e">
        <v>#DIV/0!</v>
      </c>
      <c r="AI220" s="224" t="e">
        <v>#DIV/0!</v>
      </c>
      <c r="AJ220" s="224" t="e">
        <v>#DIV/0!</v>
      </c>
      <c r="AK220" s="224" t="e">
        <v>#DIV/0!</v>
      </c>
      <c r="AL220" s="224" t="e">
        <v>#DIV/0!</v>
      </c>
      <c r="AM220" s="224" t="e">
        <v>#DIV/0!</v>
      </c>
      <c r="AN220" s="1120" t="e">
        <v>#DIV/0!</v>
      </c>
      <c r="AO220" s="224" t="e">
        <f t="shared" si="16"/>
        <v>#DIV/0!</v>
      </c>
      <c r="AP220" s="1123">
        <v>0.1</v>
      </c>
      <c r="AQ220" s="1123">
        <f t="shared" si="18"/>
        <v>0.40760111439866603</v>
      </c>
      <c r="AR220" s="1123">
        <v>20</v>
      </c>
      <c r="AS220" s="1123" t="e">
        <f t="shared" si="15"/>
        <v>#DIV/0!</v>
      </c>
      <c r="AT220" s="224" t="e">
        <f t="shared" si="17"/>
        <v>#DIV/0!</v>
      </c>
    </row>
    <row r="221" spans="1:46">
      <c r="A221" s="1118">
        <v>2035</v>
      </c>
      <c r="D221" s="1107" t="s">
        <v>2008</v>
      </c>
      <c r="E221" s="224" t="s">
        <v>2061</v>
      </c>
      <c r="G221" s="224" t="e">
        <v>#DIV/0!</v>
      </c>
      <c r="H221" s="224" t="e">
        <v>#DIV/0!</v>
      </c>
      <c r="I221" s="224" t="e">
        <v>#DIV/0!</v>
      </c>
      <c r="J221" s="224" t="e">
        <v>#DIV/0!</v>
      </c>
      <c r="K221" s="224" t="e">
        <v>#DIV/0!</v>
      </c>
      <c r="L221" s="224" t="e">
        <v>#DIV/0!</v>
      </c>
      <c r="M221" s="224" t="e">
        <v>#DIV/0!</v>
      </c>
      <c r="N221" s="224" t="e">
        <v>#DIV/0!</v>
      </c>
      <c r="O221" s="224" t="e">
        <v>#DIV/0!</v>
      </c>
      <c r="P221" s="224" t="e">
        <v>#DIV/0!</v>
      </c>
      <c r="Q221" s="224" t="e">
        <v>#DIV/0!</v>
      </c>
      <c r="R221" s="224" t="e">
        <v>#DIV/0!</v>
      </c>
      <c r="S221" s="224" t="e">
        <v>#DIV/0!</v>
      </c>
      <c r="T221" s="224" t="e">
        <v>#DIV/0!</v>
      </c>
      <c r="U221" s="224" t="e">
        <v>#DIV/0!</v>
      </c>
      <c r="V221" s="224" t="e">
        <v>#DIV/0!</v>
      </c>
      <c r="W221" s="224" t="e">
        <v>#DIV/0!</v>
      </c>
      <c r="X221" s="224" t="e">
        <v>#DIV/0!</v>
      </c>
      <c r="Y221" s="224" t="e">
        <v>#DIV/0!</v>
      </c>
      <c r="Z221" s="224" t="e">
        <v>#DIV/0!</v>
      </c>
      <c r="AA221" s="224" t="e">
        <v>#DIV/0!</v>
      </c>
      <c r="AB221" s="224" t="e">
        <v>#DIV/0!</v>
      </c>
      <c r="AC221" s="224" t="e">
        <v>#DIV/0!</v>
      </c>
      <c r="AD221" s="1120" t="e">
        <v>#DIV/0!</v>
      </c>
      <c r="AE221" s="224" t="e">
        <v>#DIV/0!</v>
      </c>
      <c r="AF221" s="224" t="e">
        <v>#DIV/0!</v>
      </c>
      <c r="AG221" s="224" t="e">
        <v>#DIV/0!</v>
      </c>
      <c r="AH221" s="224" t="e">
        <v>#DIV/0!</v>
      </c>
      <c r="AI221" s="224" t="e">
        <v>#DIV/0!</v>
      </c>
      <c r="AJ221" s="224" t="e">
        <v>#DIV/0!</v>
      </c>
      <c r="AK221" s="224" t="e">
        <v>#DIV/0!</v>
      </c>
      <c r="AL221" s="224" t="e">
        <v>#DIV/0!</v>
      </c>
      <c r="AM221" s="224" t="e">
        <v>#DIV/0!</v>
      </c>
      <c r="AN221" s="1120" t="e">
        <v>#DIV/0!</v>
      </c>
      <c r="AO221" s="224" t="e">
        <f t="shared" si="16"/>
        <v>#DIV/0!</v>
      </c>
      <c r="AP221" s="1123">
        <v>0.1</v>
      </c>
      <c r="AQ221" s="1123">
        <f t="shared" si="18"/>
        <v>0.40760111439866603</v>
      </c>
      <c r="AR221" s="1123">
        <v>20</v>
      </c>
      <c r="AS221" s="1123" t="e">
        <f t="shared" si="15"/>
        <v>#DIV/0!</v>
      </c>
      <c r="AT221" s="224" t="e">
        <f t="shared" si="17"/>
        <v>#DIV/0!</v>
      </c>
    </row>
    <row r="222" spans="1:46">
      <c r="A222" s="1118">
        <v>2050</v>
      </c>
      <c r="D222" s="1107" t="s">
        <v>2008</v>
      </c>
      <c r="E222" s="224" t="s">
        <v>2061</v>
      </c>
      <c r="G222" s="224" t="e">
        <v>#DIV/0!</v>
      </c>
      <c r="H222" s="224" t="e">
        <v>#DIV/0!</v>
      </c>
      <c r="I222" s="224" t="e">
        <v>#DIV/0!</v>
      </c>
      <c r="J222" s="224" t="e">
        <v>#DIV/0!</v>
      </c>
      <c r="K222" s="224" t="e">
        <v>#DIV/0!</v>
      </c>
      <c r="L222" s="224" t="e">
        <v>#DIV/0!</v>
      </c>
      <c r="M222" s="224" t="e">
        <v>#DIV/0!</v>
      </c>
      <c r="N222" s="224" t="e">
        <v>#DIV/0!</v>
      </c>
      <c r="O222" s="224" t="e">
        <v>#DIV/0!</v>
      </c>
      <c r="P222" s="224" t="e">
        <v>#DIV/0!</v>
      </c>
      <c r="Q222" s="224" t="e">
        <v>#DIV/0!</v>
      </c>
      <c r="R222" s="224" t="e">
        <v>#DIV/0!</v>
      </c>
      <c r="S222" s="224" t="e">
        <v>#DIV/0!</v>
      </c>
      <c r="T222" s="224" t="e">
        <v>#DIV/0!</v>
      </c>
      <c r="U222" s="224" t="e">
        <v>#DIV/0!</v>
      </c>
      <c r="V222" s="224" t="e">
        <v>#DIV/0!</v>
      </c>
      <c r="W222" s="224" t="e">
        <v>#DIV/0!</v>
      </c>
      <c r="X222" s="224" t="e">
        <v>#DIV/0!</v>
      </c>
      <c r="Y222" s="224" t="e">
        <v>#DIV/0!</v>
      </c>
      <c r="Z222" s="224" t="e">
        <v>#DIV/0!</v>
      </c>
      <c r="AA222" s="224" t="e">
        <v>#DIV/0!</v>
      </c>
      <c r="AB222" s="224" t="e">
        <v>#DIV/0!</v>
      </c>
      <c r="AC222" s="224" t="e">
        <v>#DIV/0!</v>
      </c>
      <c r="AD222" s="1120" t="e">
        <v>#DIV/0!</v>
      </c>
      <c r="AE222" s="224" t="e">
        <v>#DIV/0!</v>
      </c>
      <c r="AF222" s="224" t="e">
        <v>#DIV/0!</v>
      </c>
      <c r="AG222" s="224" t="e">
        <v>#DIV/0!</v>
      </c>
      <c r="AH222" s="224" t="e">
        <v>#DIV/0!</v>
      </c>
      <c r="AI222" s="224" t="e">
        <v>#DIV/0!</v>
      </c>
      <c r="AJ222" s="224" t="e">
        <v>#DIV/0!</v>
      </c>
      <c r="AK222" s="224" t="e">
        <v>#DIV/0!</v>
      </c>
      <c r="AL222" s="224" t="e">
        <v>#DIV/0!</v>
      </c>
      <c r="AM222" s="224" t="e">
        <v>#DIV/0!</v>
      </c>
      <c r="AN222" s="1120" t="e">
        <v>#DIV/0!</v>
      </c>
      <c r="AO222" s="224" t="e">
        <f t="shared" si="16"/>
        <v>#DIV/0!</v>
      </c>
      <c r="AP222" s="1123">
        <v>0.1</v>
      </c>
      <c r="AQ222" s="1123">
        <f t="shared" si="18"/>
        <v>0.40760111439866603</v>
      </c>
      <c r="AR222" s="1123">
        <v>20</v>
      </c>
      <c r="AS222" s="1123" t="e">
        <f t="shared" si="15"/>
        <v>#DIV/0!</v>
      </c>
      <c r="AT222" s="224" t="e">
        <f t="shared" si="17"/>
        <v>#DIV/0!</v>
      </c>
    </row>
    <row r="223" spans="1:46">
      <c r="A223" s="1118">
        <v>2017</v>
      </c>
      <c r="D223" s="1107" t="s">
        <v>2008</v>
      </c>
      <c r="E223" s="224" t="s">
        <v>2062</v>
      </c>
      <c r="G223" s="224">
        <v>25534.86775654148</v>
      </c>
      <c r="H223" s="224">
        <v>9364</v>
      </c>
      <c r="I223" s="224">
        <v>2.5660800000000004</v>
      </c>
      <c r="J223" s="224">
        <v>0.1302780109415648</v>
      </c>
      <c r="K223" s="224">
        <v>9.9214558371791869E-2</v>
      </c>
      <c r="L223" s="224">
        <v>0.11887603990438811</v>
      </c>
      <c r="M223" s="224">
        <v>0</v>
      </c>
      <c r="N223" s="224">
        <v>0</v>
      </c>
      <c r="O223" s="224">
        <v>0</v>
      </c>
      <c r="P223" s="224">
        <v>0</v>
      </c>
      <c r="Q223" s="224">
        <v>0</v>
      </c>
      <c r="R223" s="224">
        <v>0</v>
      </c>
      <c r="S223" s="224">
        <v>0</v>
      </c>
      <c r="T223" s="224">
        <v>0</v>
      </c>
      <c r="U223" s="224">
        <v>0</v>
      </c>
      <c r="V223" s="224">
        <v>0</v>
      </c>
      <c r="W223" s="224">
        <v>475.59541869999998</v>
      </c>
      <c r="X223" s="224">
        <v>79.876076555023914</v>
      </c>
      <c r="Y223" s="224">
        <v>2.5660800000000004</v>
      </c>
      <c r="Z223" s="224">
        <v>307.75849840000001</v>
      </c>
      <c r="AA223" s="224">
        <v>65.139005470782394</v>
      </c>
      <c r="AB223" s="224">
        <v>49.607279185895933</v>
      </c>
      <c r="AC223" s="224">
        <v>59.438019952194054</v>
      </c>
      <c r="AD223" s="1120">
        <v>11.352815462075323</v>
      </c>
      <c r="AE223" s="224">
        <v>0</v>
      </c>
      <c r="AF223" s="224">
        <v>20929.543462230002</v>
      </c>
      <c r="AG223" s="224">
        <v>3482.5969377990432</v>
      </c>
      <c r="AH223" s="224">
        <v>0</v>
      </c>
      <c r="AI223" s="224">
        <v>90000</v>
      </c>
      <c r="AJ223" s="224">
        <v>0</v>
      </c>
      <c r="AK223" s="224">
        <v>745.98720000000003</v>
      </c>
      <c r="AL223" s="224">
        <v>147601.26</v>
      </c>
      <c r="AM223" s="224">
        <v>58917.277320000001</v>
      </c>
      <c r="AN223" s="1120">
        <v>321676.66492002906</v>
      </c>
      <c r="AO223" s="224">
        <f t="shared" si="16"/>
        <v>1.4958469652830444</v>
      </c>
      <c r="AP223" s="1123">
        <v>0.1</v>
      </c>
      <c r="AQ223" s="1123">
        <f t="shared" si="18"/>
        <v>0.40760111439866603</v>
      </c>
      <c r="AR223" s="1123">
        <v>20</v>
      </c>
      <c r="AS223" s="1123">
        <f t="shared" si="15"/>
        <v>0.94798586716540389</v>
      </c>
      <c r="AT223" s="224">
        <f t="shared" si="17"/>
        <v>131115.76709745012</v>
      </c>
    </row>
    <row r="224" spans="1:46">
      <c r="A224" s="1121">
        <v>2020</v>
      </c>
      <c r="D224" s="1107" t="s">
        <v>2008</v>
      </c>
      <c r="E224" s="224" t="s">
        <v>2062</v>
      </c>
      <c r="G224" s="224" t="e">
        <v>#DIV/0!</v>
      </c>
      <c r="H224" s="224" t="e">
        <v>#DIV/0!</v>
      </c>
      <c r="I224" s="224" t="e">
        <v>#DIV/0!</v>
      </c>
      <c r="J224" s="224" t="e">
        <v>#DIV/0!</v>
      </c>
      <c r="K224" s="224" t="e">
        <v>#DIV/0!</v>
      </c>
      <c r="L224" s="224" t="e">
        <v>#DIV/0!</v>
      </c>
      <c r="M224" s="224" t="e">
        <v>#DIV/0!</v>
      </c>
      <c r="N224" s="224" t="e">
        <v>#DIV/0!</v>
      </c>
      <c r="O224" s="224" t="e">
        <v>#DIV/0!</v>
      </c>
      <c r="P224" s="224" t="e">
        <v>#DIV/0!</v>
      </c>
      <c r="Q224" s="224" t="e">
        <v>#DIV/0!</v>
      </c>
      <c r="R224" s="224" t="e">
        <v>#DIV/0!</v>
      </c>
      <c r="S224" s="224" t="e">
        <v>#DIV/0!</v>
      </c>
      <c r="T224" s="224" t="e">
        <v>#DIV/0!</v>
      </c>
      <c r="U224" s="224" t="e">
        <v>#DIV/0!</v>
      </c>
      <c r="V224" s="224" t="e">
        <v>#DIV/0!</v>
      </c>
      <c r="W224" s="224" t="e">
        <v>#DIV/0!</v>
      </c>
      <c r="X224" s="224" t="e">
        <v>#DIV/0!</v>
      </c>
      <c r="Y224" s="224" t="e">
        <v>#DIV/0!</v>
      </c>
      <c r="Z224" s="224" t="e">
        <v>#DIV/0!</v>
      </c>
      <c r="AA224" s="224" t="e">
        <v>#DIV/0!</v>
      </c>
      <c r="AB224" s="224" t="e">
        <v>#DIV/0!</v>
      </c>
      <c r="AC224" s="224" t="e">
        <v>#DIV/0!</v>
      </c>
      <c r="AD224" s="1120" t="e">
        <v>#DIV/0!</v>
      </c>
      <c r="AE224" s="224" t="e">
        <v>#DIV/0!</v>
      </c>
      <c r="AF224" s="224" t="e">
        <v>#DIV/0!</v>
      </c>
      <c r="AG224" s="224" t="e">
        <v>#DIV/0!</v>
      </c>
      <c r="AH224" s="224" t="e">
        <v>#DIV/0!</v>
      </c>
      <c r="AI224" s="224" t="e">
        <v>#DIV/0!</v>
      </c>
      <c r="AJ224" s="224" t="e">
        <v>#DIV/0!</v>
      </c>
      <c r="AK224" s="224" t="e">
        <v>#DIV/0!</v>
      </c>
      <c r="AL224" s="224" t="e">
        <v>#DIV/0!</v>
      </c>
      <c r="AM224" s="224" t="e">
        <v>#DIV/0!</v>
      </c>
      <c r="AN224" s="1120" t="e">
        <v>#DIV/0!</v>
      </c>
      <c r="AO224" s="224" t="e">
        <f t="shared" si="16"/>
        <v>#DIV/0!</v>
      </c>
      <c r="AP224" s="1123">
        <v>0.1</v>
      </c>
      <c r="AQ224" s="1123">
        <f t="shared" si="18"/>
        <v>0.40760111439866603</v>
      </c>
      <c r="AR224" s="1123">
        <v>20</v>
      </c>
      <c r="AS224" s="1123" t="e">
        <f t="shared" si="15"/>
        <v>#DIV/0!</v>
      </c>
      <c r="AT224" s="224" t="e">
        <f t="shared" si="17"/>
        <v>#DIV/0!</v>
      </c>
    </row>
    <row r="225" spans="1:46">
      <c r="A225" s="1118">
        <v>2025</v>
      </c>
      <c r="D225" s="1107" t="s">
        <v>2008</v>
      </c>
      <c r="E225" s="224" t="s">
        <v>2062</v>
      </c>
      <c r="G225" s="224" t="e">
        <v>#DIV/0!</v>
      </c>
      <c r="H225" s="224" t="e">
        <v>#DIV/0!</v>
      </c>
      <c r="I225" s="224" t="e">
        <v>#DIV/0!</v>
      </c>
      <c r="J225" s="224" t="e">
        <v>#DIV/0!</v>
      </c>
      <c r="K225" s="224" t="e">
        <v>#DIV/0!</v>
      </c>
      <c r="L225" s="224" t="e">
        <v>#DIV/0!</v>
      </c>
      <c r="M225" s="224" t="e">
        <v>#DIV/0!</v>
      </c>
      <c r="N225" s="224" t="e">
        <v>#DIV/0!</v>
      </c>
      <c r="O225" s="224" t="e">
        <v>#DIV/0!</v>
      </c>
      <c r="P225" s="224" t="e">
        <v>#DIV/0!</v>
      </c>
      <c r="Q225" s="224" t="e">
        <v>#DIV/0!</v>
      </c>
      <c r="R225" s="224" t="e">
        <v>#DIV/0!</v>
      </c>
      <c r="S225" s="224" t="e">
        <v>#DIV/0!</v>
      </c>
      <c r="T225" s="224" t="e">
        <v>#DIV/0!</v>
      </c>
      <c r="U225" s="224" t="e">
        <v>#DIV/0!</v>
      </c>
      <c r="V225" s="224" t="e">
        <v>#DIV/0!</v>
      </c>
      <c r="W225" s="224" t="e">
        <v>#DIV/0!</v>
      </c>
      <c r="X225" s="224" t="e">
        <v>#DIV/0!</v>
      </c>
      <c r="Y225" s="224" t="e">
        <v>#DIV/0!</v>
      </c>
      <c r="Z225" s="224" t="e">
        <v>#DIV/0!</v>
      </c>
      <c r="AA225" s="224" t="e">
        <v>#DIV/0!</v>
      </c>
      <c r="AB225" s="224" t="e">
        <v>#DIV/0!</v>
      </c>
      <c r="AC225" s="224" t="e">
        <v>#DIV/0!</v>
      </c>
      <c r="AD225" s="1120" t="e">
        <v>#DIV/0!</v>
      </c>
      <c r="AE225" s="224" t="e">
        <v>#DIV/0!</v>
      </c>
      <c r="AF225" s="224" t="e">
        <v>#DIV/0!</v>
      </c>
      <c r="AG225" s="224" t="e">
        <v>#DIV/0!</v>
      </c>
      <c r="AH225" s="224" t="e">
        <v>#DIV/0!</v>
      </c>
      <c r="AI225" s="224" t="e">
        <v>#DIV/0!</v>
      </c>
      <c r="AJ225" s="224" t="e">
        <v>#DIV/0!</v>
      </c>
      <c r="AK225" s="224" t="e">
        <v>#DIV/0!</v>
      </c>
      <c r="AL225" s="224" t="e">
        <v>#DIV/0!</v>
      </c>
      <c r="AM225" s="224" t="e">
        <v>#DIV/0!</v>
      </c>
      <c r="AN225" s="1120" t="e">
        <v>#DIV/0!</v>
      </c>
      <c r="AO225" s="224" t="e">
        <f t="shared" si="16"/>
        <v>#DIV/0!</v>
      </c>
      <c r="AP225" s="1123">
        <v>0.1</v>
      </c>
      <c r="AQ225" s="1123">
        <f t="shared" si="18"/>
        <v>0.40760111439866603</v>
      </c>
      <c r="AR225" s="1123">
        <v>20</v>
      </c>
      <c r="AS225" s="1123" t="e">
        <f t="shared" si="15"/>
        <v>#DIV/0!</v>
      </c>
      <c r="AT225" s="224" t="e">
        <f t="shared" si="17"/>
        <v>#DIV/0!</v>
      </c>
    </row>
    <row r="226" spans="1:46">
      <c r="A226" s="1118">
        <v>2030</v>
      </c>
      <c r="D226" s="1107" t="s">
        <v>2008</v>
      </c>
      <c r="E226" s="224" t="s">
        <v>2062</v>
      </c>
      <c r="G226" s="224">
        <v>22352.31373488313</v>
      </c>
      <c r="H226" s="224">
        <v>9364</v>
      </c>
      <c r="I226" s="224">
        <v>5.8924800000000017</v>
      </c>
      <c r="J226" s="224">
        <v>9.3763641137222992E-2</v>
      </c>
      <c r="K226" s="224">
        <v>7.2331496825707303E-2</v>
      </c>
      <c r="L226" s="224">
        <v>8.5505412702411368E-2</v>
      </c>
      <c r="M226" s="224">
        <v>0</v>
      </c>
      <c r="N226" s="224">
        <v>0</v>
      </c>
      <c r="O226" s="224">
        <v>0</v>
      </c>
      <c r="P226" s="224">
        <v>0</v>
      </c>
      <c r="Q226" s="224">
        <v>0</v>
      </c>
      <c r="R226" s="224">
        <v>0</v>
      </c>
      <c r="S226" s="224">
        <v>0</v>
      </c>
      <c r="T226" s="224">
        <v>0</v>
      </c>
      <c r="U226" s="224">
        <v>0</v>
      </c>
      <c r="V226" s="224">
        <v>0</v>
      </c>
      <c r="W226" s="224">
        <v>418.3983715</v>
      </c>
      <c r="X226" s="224">
        <v>111.35633187772922</v>
      </c>
      <c r="Y226" s="224">
        <v>5.8924800000000008</v>
      </c>
      <c r="Z226" s="224">
        <v>270.70423839999995</v>
      </c>
      <c r="AA226" s="224">
        <v>46.881820568611495</v>
      </c>
      <c r="AB226" s="224">
        <v>36.165748412853652</v>
      </c>
      <c r="AC226" s="224">
        <v>42.752706351205681</v>
      </c>
      <c r="AD226" s="1120">
        <v>8.1772957224046934</v>
      </c>
      <c r="AE226" s="224">
        <v>0</v>
      </c>
      <c r="AF226" s="224">
        <v>3987.323274492001</v>
      </c>
      <c r="AG226" s="224">
        <v>2472.1105676855886</v>
      </c>
      <c r="AH226" s="224">
        <v>0</v>
      </c>
      <c r="AI226" s="224">
        <v>90000</v>
      </c>
      <c r="AJ226" s="224">
        <v>0</v>
      </c>
      <c r="AK226" s="224">
        <v>658.22399999999993</v>
      </c>
      <c r="AL226" s="224">
        <v>32050.880000000001</v>
      </c>
      <c r="AM226" s="224">
        <v>21032.679599999999</v>
      </c>
      <c r="AN226" s="1120">
        <v>150201.21744217759</v>
      </c>
      <c r="AO226" s="224">
        <f t="shared" si="16"/>
        <v>1.0774404843840424</v>
      </c>
      <c r="AP226" s="1123">
        <v>0.1</v>
      </c>
      <c r="AQ226" s="1123">
        <f t="shared" si="18"/>
        <v>0.40760111439866603</v>
      </c>
      <c r="AR226" s="1123">
        <v>20</v>
      </c>
      <c r="AS226" s="1123">
        <f t="shared" si="15"/>
        <v>0.68282275902110756</v>
      </c>
      <c r="AT226" s="224">
        <f t="shared" si="17"/>
        <v>61222.18361346794</v>
      </c>
    </row>
    <row r="227" spans="1:46">
      <c r="A227" s="1118">
        <v>2035</v>
      </c>
      <c r="D227" s="1107" t="s">
        <v>2008</v>
      </c>
      <c r="E227" s="224" t="s">
        <v>2062</v>
      </c>
      <c r="G227" s="224" t="e">
        <v>#DIV/0!</v>
      </c>
      <c r="H227" s="224" t="e">
        <v>#DIV/0!</v>
      </c>
      <c r="I227" s="224" t="e">
        <v>#DIV/0!</v>
      </c>
      <c r="J227" s="224" t="e">
        <v>#DIV/0!</v>
      </c>
      <c r="K227" s="224" t="e">
        <v>#DIV/0!</v>
      </c>
      <c r="L227" s="224" t="e">
        <v>#DIV/0!</v>
      </c>
      <c r="M227" s="224" t="e">
        <v>#DIV/0!</v>
      </c>
      <c r="N227" s="224" t="e">
        <v>#DIV/0!</v>
      </c>
      <c r="O227" s="224" t="e">
        <v>#DIV/0!</v>
      </c>
      <c r="P227" s="224" t="e">
        <v>#DIV/0!</v>
      </c>
      <c r="Q227" s="224" t="e">
        <v>#DIV/0!</v>
      </c>
      <c r="R227" s="224" t="e">
        <v>#DIV/0!</v>
      </c>
      <c r="S227" s="224" t="e">
        <v>#DIV/0!</v>
      </c>
      <c r="T227" s="224" t="e">
        <v>#DIV/0!</v>
      </c>
      <c r="U227" s="224" t="e">
        <v>#DIV/0!</v>
      </c>
      <c r="V227" s="224" t="e">
        <v>#DIV/0!</v>
      </c>
      <c r="W227" s="224" t="e">
        <v>#DIV/0!</v>
      </c>
      <c r="X227" s="224" t="e">
        <v>#DIV/0!</v>
      </c>
      <c r="Y227" s="224" t="e">
        <v>#DIV/0!</v>
      </c>
      <c r="Z227" s="224" t="e">
        <v>#DIV/0!</v>
      </c>
      <c r="AA227" s="224" t="e">
        <v>#DIV/0!</v>
      </c>
      <c r="AB227" s="224" t="e">
        <v>#DIV/0!</v>
      </c>
      <c r="AC227" s="224" t="e">
        <v>#DIV/0!</v>
      </c>
      <c r="AD227" s="1120" t="e">
        <v>#DIV/0!</v>
      </c>
      <c r="AE227" s="224" t="e">
        <v>#DIV/0!</v>
      </c>
      <c r="AF227" s="224" t="e">
        <v>#DIV/0!</v>
      </c>
      <c r="AG227" s="224" t="e">
        <v>#DIV/0!</v>
      </c>
      <c r="AH227" s="224" t="e">
        <v>#DIV/0!</v>
      </c>
      <c r="AI227" s="224" t="e">
        <v>#DIV/0!</v>
      </c>
      <c r="AJ227" s="224" t="e">
        <v>#DIV/0!</v>
      </c>
      <c r="AK227" s="224" t="e">
        <v>#DIV/0!</v>
      </c>
      <c r="AL227" s="224" t="e">
        <v>#DIV/0!</v>
      </c>
      <c r="AM227" s="224" t="e">
        <v>#DIV/0!</v>
      </c>
      <c r="AN227" s="1120" t="e">
        <v>#DIV/0!</v>
      </c>
      <c r="AO227" s="224" t="e">
        <f t="shared" si="16"/>
        <v>#DIV/0!</v>
      </c>
      <c r="AP227" s="1123">
        <v>0.1</v>
      </c>
      <c r="AQ227" s="1123">
        <f t="shared" si="18"/>
        <v>0.40760111439866603</v>
      </c>
      <c r="AR227" s="1123">
        <v>20</v>
      </c>
      <c r="AS227" s="1123" t="e">
        <f t="shared" si="15"/>
        <v>#DIV/0!</v>
      </c>
      <c r="AT227" s="224" t="e">
        <f t="shared" si="17"/>
        <v>#DIV/0!</v>
      </c>
    </row>
    <row r="228" spans="1:46">
      <c r="A228" s="1118">
        <v>2050</v>
      </c>
      <c r="D228" s="1107" t="s">
        <v>2008</v>
      </c>
      <c r="E228" s="224" t="s">
        <v>2062</v>
      </c>
      <c r="G228" s="224">
        <v>20226.52146037616</v>
      </c>
      <c r="H228" s="224">
        <v>9364</v>
      </c>
      <c r="I228" s="224">
        <v>6.3201600000000004</v>
      </c>
      <c r="J228" s="224">
        <v>7.5378415413228386E-2</v>
      </c>
      <c r="K228" s="224">
        <v>5.8415325261279738E-2</v>
      </c>
      <c r="L228" s="224">
        <v>6.9533082861795742E-2</v>
      </c>
      <c r="M228" s="224">
        <v>0</v>
      </c>
      <c r="N228" s="224">
        <v>0</v>
      </c>
      <c r="O228" s="224">
        <v>0</v>
      </c>
      <c r="P228" s="224">
        <v>0</v>
      </c>
      <c r="Q228" s="224">
        <v>0</v>
      </c>
      <c r="R228" s="224">
        <v>0</v>
      </c>
      <c r="S228" s="224">
        <v>0</v>
      </c>
      <c r="T228" s="224">
        <v>0</v>
      </c>
      <c r="U228" s="224">
        <v>0</v>
      </c>
      <c r="V228" s="224">
        <v>0</v>
      </c>
      <c r="W228" s="224">
        <v>371.73317680000002</v>
      </c>
      <c r="X228" s="224">
        <v>119.43864628820957</v>
      </c>
      <c r="Y228" s="224">
        <v>6.3201600000000004</v>
      </c>
      <c r="Z228" s="224">
        <v>240.45350060000001</v>
      </c>
      <c r="AA228" s="224">
        <v>37.689207706614191</v>
      </c>
      <c r="AB228" s="224">
        <v>29.20766263063987</v>
      </c>
      <c r="AC228" s="224">
        <v>34.766541430897874</v>
      </c>
      <c r="AD228" s="1120">
        <v>6.6411223724235882</v>
      </c>
      <c r="AE228" s="224">
        <v>0</v>
      </c>
      <c r="AF228" s="224">
        <v>1818.87924864</v>
      </c>
      <c r="AG228" s="224">
        <v>1863.242882096069</v>
      </c>
      <c r="AH228" s="224">
        <v>0</v>
      </c>
      <c r="AI228" s="224">
        <v>90000</v>
      </c>
      <c r="AJ228" s="224">
        <v>0</v>
      </c>
      <c r="AK228" s="224">
        <v>658.22399999999993</v>
      </c>
      <c r="AL228" s="224">
        <v>17312.399999999998</v>
      </c>
      <c r="AM228" s="224">
        <v>12378.86328</v>
      </c>
      <c r="AN228" s="1120">
        <v>124031.60941073607</v>
      </c>
      <c r="AO228" s="224">
        <f t="shared" si="16"/>
        <v>0.87503428379053194</v>
      </c>
      <c r="AP228" s="1123">
        <v>0.1</v>
      </c>
      <c r="AQ228" s="1123">
        <f t="shared" si="18"/>
        <v>0.40760111439866603</v>
      </c>
      <c r="AR228" s="1123">
        <v>20</v>
      </c>
      <c r="AS228" s="1123">
        <f t="shared" si="15"/>
        <v>0.55454879648177358</v>
      </c>
      <c r="AT228" s="224">
        <f t="shared" si="17"/>
        <v>50555.422216476094</v>
      </c>
    </row>
    <row r="229" spans="1:46">
      <c r="A229" s="1118">
        <v>2017</v>
      </c>
      <c r="B229" s="1119"/>
      <c r="C229" s="1119"/>
      <c r="D229" s="1119" t="s">
        <v>2064</v>
      </c>
      <c r="E229" s="1119" t="s">
        <v>2057</v>
      </c>
      <c r="F229" s="1119"/>
      <c r="G229" s="224">
        <v>7715.1847696842215</v>
      </c>
      <c r="H229" s="224">
        <v>4500</v>
      </c>
      <c r="I229" s="224">
        <v>3.1680000000000001</v>
      </c>
      <c r="J229" s="224">
        <v>9.1708277887815326E-2</v>
      </c>
      <c r="K229" s="224">
        <v>6.3074259889277465E-2</v>
      </c>
      <c r="L229" s="224">
        <v>7.603189212238233E-2</v>
      </c>
      <c r="M229" s="224">
        <v>0</v>
      </c>
      <c r="N229" s="224">
        <v>0</v>
      </c>
      <c r="O229" s="224">
        <v>0</v>
      </c>
      <c r="P229" s="224">
        <v>0</v>
      </c>
      <c r="Q229" s="224">
        <v>0</v>
      </c>
      <c r="R229" s="224">
        <v>0</v>
      </c>
      <c r="S229" s="224">
        <v>0</v>
      </c>
      <c r="T229" s="224">
        <v>0</v>
      </c>
      <c r="U229" s="224">
        <v>0</v>
      </c>
      <c r="V229" s="224">
        <v>231.5721681</v>
      </c>
      <c r="W229" s="224">
        <v>0</v>
      </c>
      <c r="X229" s="224">
        <v>4.3509999999999991</v>
      </c>
      <c r="Y229" s="224">
        <v>3.1680000000000001</v>
      </c>
      <c r="Z229" s="224">
        <v>0</v>
      </c>
      <c r="AA229" s="224">
        <v>13.756241683172298</v>
      </c>
      <c r="AB229" s="224">
        <v>9.4611389833916189</v>
      </c>
      <c r="AC229" s="224">
        <v>11.40478381835735</v>
      </c>
      <c r="AD229" s="1120">
        <v>16.465157139568362</v>
      </c>
      <c r="AE229" s="224">
        <v>21972.585279533716</v>
      </c>
      <c r="AF229" s="224">
        <v>0</v>
      </c>
      <c r="AG229" s="224">
        <v>261.60000000000002</v>
      </c>
      <c r="AH229" s="224">
        <v>7492.577360753794</v>
      </c>
      <c r="AI229" s="224">
        <v>40800</v>
      </c>
      <c r="AJ229" s="224">
        <v>0</v>
      </c>
      <c r="AK229" s="224">
        <v>745.98720000000003</v>
      </c>
      <c r="AL229" s="224">
        <v>0</v>
      </c>
      <c r="AM229" s="224">
        <v>436.00000000000006</v>
      </c>
      <c r="AN229" s="1120">
        <v>71708.749840287506</v>
      </c>
      <c r="AO229" s="224">
        <f t="shared" si="16"/>
        <v>2.169449104709527</v>
      </c>
      <c r="AP229" s="1123">
        <v>0.1</v>
      </c>
      <c r="AQ229" s="1123">
        <f>AA229*$C$4*365/1000*0.1</f>
        <v>6.6157067752379534E-2</v>
      </c>
      <c r="AR229" s="1123">
        <v>20</v>
      </c>
      <c r="AS229" s="1123">
        <f>AO229/$AO$229</f>
        <v>1</v>
      </c>
      <c r="AT229" s="224">
        <f t="shared" si="17"/>
        <v>4744.0406216223355</v>
      </c>
    </row>
    <row r="230" spans="1:46">
      <c r="A230" s="1121">
        <v>2020</v>
      </c>
      <c r="B230" s="1107"/>
      <c r="C230" s="1107"/>
      <c r="D230" s="1107" t="s">
        <v>2064</v>
      </c>
      <c r="E230" s="1107" t="s">
        <v>2057</v>
      </c>
      <c r="F230" s="1107"/>
      <c r="G230" s="224" t="e">
        <v>#DIV/0!</v>
      </c>
      <c r="H230" s="224" t="e">
        <v>#DIV/0!</v>
      </c>
      <c r="I230" s="224" t="e">
        <v>#DIV/0!</v>
      </c>
      <c r="J230" s="224" t="e">
        <v>#DIV/0!</v>
      </c>
      <c r="K230" s="224" t="e">
        <v>#DIV/0!</v>
      </c>
      <c r="L230" s="224" t="e">
        <v>#DIV/0!</v>
      </c>
      <c r="M230" s="224" t="e">
        <v>#DIV/0!</v>
      </c>
      <c r="N230" s="224" t="e">
        <v>#DIV/0!</v>
      </c>
      <c r="O230" s="224" t="e">
        <v>#DIV/0!</v>
      </c>
      <c r="P230" s="224" t="e">
        <v>#DIV/0!</v>
      </c>
      <c r="Q230" s="224" t="e">
        <v>#DIV/0!</v>
      </c>
      <c r="R230" s="224" t="e">
        <v>#DIV/0!</v>
      </c>
      <c r="S230" s="224" t="e">
        <v>#DIV/0!</v>
      </c>
      <c r="T230" s="224" t="e">
        <v>#DIV/0!</v>
      </c>
      <c r="U230" s="224" t="e">
        <v>#DIV/0!</v>
      </c>
      <c r="V230" s="224" t="e">
        <v>#DIV/0!</v>
      </c>
      <c r="W230" s="224" t="e">
        <v>#DIV/0!</v>
      </c>
      <c r="X230" s="224" t="e">
        <v>#DIV/0!</v>
      </c>
      <c r="Y230" s="224" t="e">
        <v>#DIV/0!</v>
      </c>
      <c r="Z230" s="224" t="e">
        <v>#DIV/0!</v>
      </c>
      <c r="AA230" s="224" t="e">
        <v>#DIV/0!</v>
      </c>
      <c r="AB230" s="224" t="e">
        <v>#DIV/0!</v>
      </c>
      <c r="AC230" s="224" t="e">
        <v>#DIV/0!</v>
      </c>
      <c r="AD230" s="1120" t="e">
        <v>#DIV/0!</v>
      </c>
      <c r="AE230" s="224" t="e">
        <v>#DIV/0!</v>
      </c>
      <c r="AF230" s="224" t="e">
        <v>#DIV/0!</v>
      </c>
      <c r="AG230" s="224" t="e">
        <v>#DIV/0!</v>
      </c>
      <c r="AH230" s="224" t="e">
        <v>#DIV/0!</v>
      </c>
      <c r="AI230" s="224" t="e">
        <v>#DIV/0!</v>
      </c>
      <c r="AJ230" s="224" t="e">
        <v>#DIV/0!</v>
      </c>
      <c r="AK230" s="224" t="e">
        <v>#DIV/0!</v>
      </c>
      <c r="AL230" s="224" t="e">
        <v>#DIV/0!</v>
      </c>
      <c r="AM230" s="224" t="e">
        <v>#DIV/0!</v>
      </c>
      <c r="AN230" s="1120" t="e">
        <v>#DIV/0!</v>
      </c>
      <c r="AO230" s="224" t="e">
        <f t="shared" si="16"/>
        <v>#DIV/0!</v>
      </c>
      <c r="AP230" s="1123">
        <v>0.1</v>
      </c>
      <c r="AQ230" s="1123">
        <f t="shared" si="18"/>
        <v>6.6157067752379534E-2</v>
      </c>
      <c r="AR230" s="1123">
        <v>20</v>
      </c>
      <c r="AS230" s="1123" t="e">
        <f t="shared" ref="AS230:AS264" si="19">AO230/$AO$229</f>
        <v>#DIV/0!</v>
      </c>
      <c r="AT230" s="224" t="e">
        <f t="shared" si="17"/>
        <v>#DIV/0!</v>
      </c>
    </row>
    <row r="231" spans="1:46">
      <c r="A231" s="1118">
        <v>2025</v>
      </c>
      <c r="B231" s="1119"/>
      <c r="C231" s="1119"/>
      <c r="D231" s="1107" t="s">
        <v>2064</v>
      </c>
      <c r="E231" s="1119" t="s">
        <v>2057</v>
      </c>
      <c r="F231" s="1119"/>
      <c r="G231" s="224" t="e">
        <v>#DIV/0!</v>
      </c>
      <c r="H231" s="224" t="e">
        <v>#DIV/0!</v>
      </c>
      <c r="I231" s="224" t="e">
        <v>#DIV/0!</v>
      </c>
      <c r="J231" s="224" t="e">
        <v>#DIV/0!</v>
      </c>
      <c r="K231" s="224" t="e">
        <v>#DIV/0!</v>
      </c>
      <c r="L231" s="224" t="e">
        <v>#DIV/0!</v>
      </c>
      <c r="M231" s="224" t="e">
        <v>#DIV/0!</v>
      </c>
      <c r="N231" s="224" t="e">
        <v>#DIV/0!</v>
      </c>
      <c r="O231" s="224" t="e">
        <v>#DIV/0!</v>
      </c>
      <c r="P231" s="224" t="e">
        <v>#DIV/0!</v>
      </c>
      <c r="Q231" s="224" t="e">
        <v>#DIV/0!</v>
      </c>
      <c r="R231" s="224" t="e">
        <v>#DIV/0!</v>
      </c>
      <c r="S231" s="224" t="e">
        <v>#DIV/0!</v>
      </c>
      <c r="T231" s="224" t="e">
        <v>#DIV/0!</v>
      </c>
      <c r="U231" s="224" t="e">
        <v>#DIV/0!</v>
      </c>
      <c r="V231" s="224" t="e">
        <v>#DIV/0!</v>
      </c>
      <c r="W231" s="224" t="e">
        <v>#DIV/0!</v>
      </c>
      <c r="X231" s="224" t="e">
        <v>#DIV/0!</v>
      </c>
      <c r="Y231" s="224" t="e">
        <v>#DIV/0!</v>
      </c>
      <c r="Z231" s="224" t="e">
        <v>#DIV/0!</v>
      </c>
      <c r="AA231" s="224" t="e">
        <v>#DIV/0!</v>
      </c>
      <c r="AB231" s="224" t="e">
        <v>#DIV/0!</v>
      </c>
      <c r="AC231" s="224" t="e">
        <v>#DIV/0!</v>
      </c>
      <c r="AD231" s="1120" t="e">
        <v>#DIV/0!</v>
      </c>
      <c r="AE231" s="224" t="e">
        <v>#DIV/0!</v>
      </c>
      <c r="AF231" s="224" t="e">
        <v>#DIV/0!</v>
      </c>
      <c r="AG231" s="224" t="e">
        <v>#DIV/0!</v>
      </c>
      <c r="AH231" s="224" t="e">
        <v>#DIV/0!</v>
      </c>
      <c r="AI231" s="224" t="e">
        <v>#DIV/0!</v>
      </c>
      <c r="AJ231" s="224" t="e">
        <v>#DIV/0!</v>
      </c>
      <c r="AK231" s="224" t="e">
        <v>#DIV/0!</v>
      </c>
      <c r="AL231" s="224" t="e">
        <v>#DIV/0!</v>
      </c>
      <c r="AM231" s="224" t="e">
        <v>#DIV/0!</v>
      </c>
      <c r="AN231" s="1120" t="e">
        <v>#DIV/0!</v>
      </c>
      <c r="AO231" s="224" t="e">
        <f t="shared" si="16"/>
        <v>#DIV/0!</v>
      </c>
      <c r="AP231" s="1123">
        <v>0.1</v>
      </c>
      <c r="AQ231" s="1123">
        <f t="shared" si="18"/>
        <v>6.6157067752379534E-2</v>
      </c>
      <c r="AR231" s="1123">
        <v>20</v>
      </c>
      <c r="AS231" s="1123" t="e">
        <f t="shared" si="19"/>
        <v>#DIV/0!</v>
      </c>
      <c r="AT231" s="224" t="e">
        <f t="shared" si="17"/>
        <v>#DIV/0!</v>
      </c>
    </row>
    <row r="232" spans="1:46">
      <c r="A232" s="1118">
        <v>2030</v>
      </c>
      <c r="B232" s="1107"/>
      <c r="C232" s="1107"/>
      <c r="D232" s="1107" t="s">
        <v>2064</v>
      </c>
      <c r="E232" s="1107" t="s">
        <v>2057</v>
      </c>
      <c r="F232" s="1107"/>
      <c r="G232" s="224">
        <v>7769.0109925377456</v>
      </c>
      <c r="H232" s="224">
        <v>4581</v>
      </c>
      <c r="I232" s="224">
        <v>3.1680000000000001</v>
      </c>
      <c r="J232" s="224">
        <v>6.6869126036282547E-2</v>
      </c>
      <c r="K232" s="224">
        <v>4.1798887165477104E-2</v>
      </c>
      <c r="L232" s="224">
        <v>4.9869941621400779E-2</v>
      </c>
      <c r="M232" s="224">
        <v>0</v>
      </c>
      <c r="N232" s="224">
        <v>0</v>
      </c>
      <c r="O232" s="224">
        <v>0</v>
      </c>
      <c r="P232" s="224">
        <v>0</v>
      </c>
      <c r="Q232" s="224">
        <v>0</v>
      </c>
      <c r="R232" s="224">
        <v>0</v>
      </c>
      <c r="S232" s="224">
        <v>0</v>
      </c>
      <c r="T232" s="224">
        <v>0</v>
      </c>
      <c r="U232" s="224">
        <v>0</v>
      </c>
      <c r="V232" s="224">
        <v>203.2395961</v>
      </c>
      <c r="W232" s="224">
        <v>0</v>
      </c>
      <c r="X232" s="224">
        <v>4.3964347826086954</v>
      </c>
      <c r="Y232" s="224">
        <v>3.1680000000000001</v>
      </c>
      <c r="Z232" s="224">
        <v>0</v>
      </c>
      <c r="AA232" s="224">
        <v>10.030368905442382</v>
      </c>
      <c r="AB232" s="224">
        <v>6.269833074821566</v>
      </c>
      <c r="AC232" s="224">
        <v>7.4804912432101167</v>
      </c>
      <c r="AD232" s="1120">
        <v>11.293667743221315</v>
      </c>
      <c r="AE232" s="224">
        <v>18949.382172059428</v>
      </c>
      <c r="AF232" s="224">
        <v>0</v>
      </c>
      <c r="AG232" s="224">
        <v>177.6</v>
      </c>
      <c r="AH232" s="224">
        <v>6700.6331240917234</v>
      </c>
      <c r="AI232" s="224">
        <v>40800</v>
      </c>
      <c r="AJ232" s="224">
        <v>1426.4912628</v>
      </c>
      <c r="AK232" s="224">
        <v>5614.4184944067338</v>
      </c>
      <c r="AL232" s="224">
        <v>0</v>
      </c>
      <c r="AM232" s="224">
        <v>296</v>
      </c>
      <c r="AN232" s="1120">
        <v>73964.52505335788</v>
      </c>
      <c r="AO232" s="224">
        <f t="shared" si="16"/>
        <v>1.4880536618468403</v>
      </c>
      <c r="AP232" s="1123">
        <v>0.1</v>
      </c>
      <c r="AQ232" s="1123">
        <f t="shared" si="18"/>
        <v>6.6157067752379534E-2</v>
      </c>
      <c r="AR232" s="1123">
        <v>20</v>
      </c>
      <c r="AS232" s="1123">
        <f t="shared" si="19"/>
        <v>0.68591314662165326</v>
      </c>
      <c r="AT232" s="224">
        <f t="shared" si="17"/>
        <v>4893.2760952275703</v>
      </c>
    </row>
    <row r="233" spans="1:46">
      <c r="A233" s="1118">
        <v>2035</v>
      </c>
      <c r="B233" s="1119"/>
      <c r="C233" s="1119"/>
      <c r="D233" s="1107" t="s">
        <v>2064</v>
      </c>
      <c r="E233" s="1119" t="s">
        <v>2057</v>
      </c>
      <c r="F233" s="1119"/>
      <c r="G233" s="224" t="e">
        <v>#DIV/0!</v>
      </c>
      <c r="H233" s="224" t="e">
        <v>#DIV/0!</v>
      </c>
      <c r="I233" s="224" t="e">
        <v>#DIV/0!</v>
      </c>
      <c r="J233" s="224" t="e">
        <v>#DIV/0!</v>
      </c>
      <c r="K233" s="224" t="e">
        <v>#DIV/0!</v>
      </c>
      <c r="L233" s="224" t="e">
        <v>#DIV/0!</v>
      </c>
      <c r="M233" s="224" t="e">
        <v>#DIV/0!</v>
      </c>
      <c r="N233" s="224" t="e">
        <v>#DIV/0!</v>
      </c>
      <c r="O233" s="224" t="e">
        <v>#DIV/0!</v>
      </c>
      <c r="P233" s="224" t="e">
        <v>#DIV/0!</v>
      </c>
      <c r="Q233" s="224" t="e">
        <v>#DIV/0!</v>
      </c>
      <c r="R233" s="224" t="e">
        <v>#DIV/0!</v>
      </c>
      <c r="S233" s="224" t="e">
        <v>#DIV/0!</v>
      </c>
      <c r="T233" s="224" t="e">
        <v>#DIV/0!</v>
      </c>
      <c r="U233" s="224" t="e">
        <v>#DIV/0!</v>
      </c>
      <c r="V233" s="224" t="e">
        <v>#DIV/0!</v>
      </c>
      <c r="W233" s="224" t="e">
        <v>#DIV/0!</v>
      </c>
      <c r="X233" s="224" t="e">
        <v>#DIV/0!</v>
      </c>
      <c r="Y233" s="224" t="e">
        <v>#DIV/0!</v>
      </c>
      <c r="Z233" s="224" t="e">
        <v>#DIV/0!</v>
      </c>
      <c r="AA233" s="224" t="e">
        <v>#DIV/0!</v>
      </c>
      <c r="AB233" s="224" t="e">
        <v>#DIV/0!</v>
      </c>
      <c r="AC233" s="224" t="e">
        <v>#DIV/0!</v>
      </c>
      <c r="AD233" s="1120" t="e">
        <v>#DIV/0!</v>
      </c>
      <c r="AE233" s="224" t="e">
        <v>#DIV/0!</v>
      </c>
      <c r="AF233" s="224" t="e">
        <v>#DIV/0!</v>
      </c>
      <c r="AG233" s="224" t="e">
        <v>#DIV/0!</v>
      </c>
      <c r="AH233" s="224" t="e">
        <v>#DIV/0!</v>
      </c>
      <c r="AI233" s="224" t="e">
        <v>#DIV/0!</v>
      </c>
      <c r="AJ233" s="224" t="e">
        <v>#DIV/0!</v>
      </c>
      <c r="AK233" s="224" t="e">
        <v>#DIV/0!</v>
      </c>
      <c r="AL233" s="224" t="e">
        <v>#DIV/0!</v>
      </c>
      <c r="AM233" s="224" t="e">
        <v>#DIV/0!</v>
      </c>
      <c r="AN233" s="1120" t="e">
        <v>#DIV/0!</v>
      </c>
      <c r="AO233" s="224" t="e">
        <f t="shared" si="16"/>
        <v>#DIV/0!</v>
      </c>
      <c r="AP233" s="1123">
        <v>0.1</v>
      </c>
      <c r="AQ233" s="1123">
        <f t="shared" si="18"/>
        <v>6.6157067752379534E-2</v>
      </c>
      <c r="AR233" s="1123">
        <v>20</v>
      </c>
      <c r="AS233" s="1123" t="e">
        <f t="shared" si="19"/>
        <v>#DIV/0!</v>
      </c>
      <c r="AT233" s="224" t="e">
        <f t="shared" si="17"/>
        <v>#DIV/0!</v>
      </c>
    </row>
    <row r="234" spans="1:46">
      <c r="A234" s="1118">
        <v>2050</v>
      </c>
      <c r="B234" s="1107"/>
      <c r="C234" s="1107"/>
      <c r="D234" s="1107" t="s">
        <v>2064</v>
      </c>
      <c r="E234" s="1107" t="s">
        <v>2057</v>
      </c>
      <c r="F234" s="1107"/>
      <c r="G234" s="224">
        <v>7672.0810096492369</v>
      </c>
      <c r="H234" s="224">
        <v>4699</v>
      </c>
      <c r="I234" s="224">
        <v>3.1680000000000001</v>
      </c>
      <c r="J234" s="224">
        <v>6.1814367038089298E-2</v>
      </c>
      <c r="K234" s="224">
        <v>3.8686455628347965E-2</v>
      </c>
      <c r="L234" s="224">
        <v>4.6348312829270107E-2</v>
      </c>
      <c r="M234" s="224">
        <v>0</v>
      </c>
      <c r="N234" s="224">
        <v>0</v>
      </c>
      <c r="O234" s="224">
        <v>0</v>
      </c>
      <c r="P234" s="224">
        <v>0</v>
      </c>
      <c r="Q234" s="224">
        <v>0</v>
      </c>
      <c r="R234" s="224">
        <v>0</v>
      </c>
      <c r="S234" s="224">
        <v>0</v>
      </c>
      <c r="T234" s="224">
        <v>0</v>
      </c>
      <c r="U234" s="224">
        <v>0</v>
      </c>
      <c r="V234" s="224">
        <v>199.208101</v>
      </c>
      <c r="W234" s="224">
        <v>0</v>
      </c>
      <c r="X234" s="224">
        <v>4.3964347826086954</v>
      </c>
      <c r="Y234" s="224">
        <v>3.1680000000000001</v>
      </c>
      <c r="Z234" s="224">
        <v>0</v>
      </c>
      <c r="AA234" s="224">
        <v>9.2721550557133945</v>
      </c>
      <c r="AB234" s="224">
        <v>5.8029683442521947</v>
      </c>
      <c r="AC234" s="224">
        <v>6.9522469243905158</v>
      </c>
      <c r="AD234" s="1120">
        <v>10.212914723832165</v>
      </c>
      <c r="AE234" s="224">
        <v>18540.974183222857</v>
      </c>
      <c r="AF234" s="224">
        <v>0</v>
      </c>
      <c r="AG234" s="224">
        <v>144</v>
      </c>
      <c r="AH234" s="224">
        <v>6587.945885193104</v>
      </c>
      <c r="AI234" s="224">
        <v>40800</v>
      </c>
      <c r="AJ234" s="224">
        <v>2092.7190328799998</v>
      </c>
      <c r="AK234" s="224">
        <v>6393.2965024452897</v>
      </c>
      <c r="AL234" s="224">
        <v>0</v>
      </c>
      <c r="AM234" s="224">
        <v>240</v>
      </c>
      <c r="AN234" s="1120">
        <v>74798.935603741251</v>
      </c>
      <c r="AO234" s="224">
        <f t="shared" si="16"/>
        <v>1.3456536440121261</v>
      </c>
      <c r="AP234" s="1123">
        <v>0.1</v>
      </c>
      <c r="AQ234" s="1123">
        <f t="shared" si="18"/>
        <v>6.6157067752379534E-2</v>
      </c>
      <c r="AR234" s="1123">
        <v>20</v>
      </c>
      <c r="AS234" s="1123">
        <f t="shared" si="19"/>
        <v>0.62027435494611383</v>
      </c>
      <c r="AT234" s="224">
        <f t="shared" si="17"/>
        <v>4948.4782505425837</v>
      </c>
    </row>
    <row r="235" spans="1:46">
      <c r="A235" s="1118">
        <v>2017</v>
      </c>
      <c r="B235" s="1119"/>
      <c r="C235" s="1119"/>
      <c r="D235" s="1107" t="s">
        <v>2064</v>
      </c>
      <c r="E235" s="1119" t="s">
        <v>2058</v>
      </c>
      <c r="F235" s="1119"/>
      <c r="G235" s="224">
        <v>7711.0655516680272</v>
      </c>
      <c r="H235" s="224">
        <v>4500</v>
      </c>
      <c r="I235" s="224">
        <v>0.21333565440000002</v>
      </c>
      <c r="J235" s="224">
        <v>8.7146044233268702E-2</v>
      </c>
      <c r="K235" s="224">
        <v>6.072652113568186E-2</v>
      </c>
      <c r="L235" s="224">
        <v>7.3609250049487374E-2</v>
      </c>
      <c r="M235" s="224">
        <v>0</v>
      </c>
      <c r="N235" s="224">
        <v>0</v>
      </c>
      <c r="O235" s="224">
        <v>0</v>
      </c>
      <c r="P235" s="224">
        <v>0</v>
      </c>
      <c r="Q235" s="224">
        <v>0</v>
      </c>
      <c r="R235" s="224">
        <v>0</v>
      </c>
      <c r="S235" s="224">
        <v>0</v>
      </c>
      <c r="T235" s="224">
        <v>0</v>
      </c>
      <c r="U235" s="224">
        <v>0</v>
      </c>
      <c r="V235" s="224">
        <v>231.5721681</v>
      </c>
      <c r="W235" s="224">
        <v>4</v>
      </c>
      <c r="X235" s="224">
        <v>6</v>
      </c>
      <c r="Y235" s="224">
        <v>0.21333565440000002</v>
      </c>
      <c r="Z235" s="224">
        <v>0</v>
      </c>
      <c r="AA235" s="224">
        <v>13.071906634990306</v>
      </c>
      <c r="AB235" s="224">
        <v>9.1089781703522785</v>
      </c>
      <c r="AC235" s="224">
        <v>11.041387507423106</v>
      </c>
      <c r="AD235" s="1120">
        <v>15.743322897722262</v>
      </c>
      <c r="AE235" s="224">
        <v>21972.585279533716</v>
      </c>
      <c r="AF235" s="224">
        <v>883.35</v>
      </c>
      <c r="AG235" s="224">
        <v>289.53193070239229</v>
      </c>
      <c r="AH235" s="224">
        <v>7492.577360753794</v>
      </c>
      <c r="AI235" s="224">
        <v>40800</v>
      </c>
      <c r="AJ235" s="224">
        <v>0</v>
      </c>
      <c r="AK235" s="224">
        <v>745.98720000000003</v>
      </c>
      <c r="AL235" s="224">
        <v>0</v>
      </c>
      <c r="AM235" s="224">
        <v>436.00000000000006</v>
      </c>
      <c r="AN235" s="1120">
        <v>72620.03177098991</v>
      </c>
      <c r="AO235" s="224">
        <f t="shared" si="16"/>
        <v>2.0743402250038852</v>
      </c>
      <c r="AP235" s="1123">
        <v>0.1</v>
      </c>
      <c r="AQ235" s="1123">
        <f t="shared" si="18"/>
        <v>6.6157067752379534E-2</v>
      </c>
      <c r="AR235" s="1123">
        <v>20</v>
      </c>
      <c r="AS235" s="1123">
        <f t="shared" si="19"/>
        <v>0.95615989354201691</v>
      </c>
      <c r="AT235" s="224">
        <f t="shared" si="17"/>
        <v>4804.3283620533339</v>
      </c>
    </row>
    <row r="236" spans="1:46">
      <c r="A236" s="1121">
        <v>2020</v>
      </c>
      <c r="D236" s="1107" t="s">
        <v>2064</v>
      </c>
      <c r="E236" s="224" t="s">
        <v>2058</v>
      </c>
      <c r="G236" s="224" t="e">
        <v>#DIV/0!</v>
      </c>
      <c r="H236" s="224" t="e">
        <v>#DIV/0!</v>
      </c>
      <c r="I236" s="224" t="e">
        <v>#DIV/0!</v>
      </c>
      <c r="J236" s="224" t="e">
        <v>#DIV/0!</v>
      </c>
      <c r="K236" s="224" t="e">
        <v>#DIV/0!</v>
      </c>
      <c r="L236" s="224" t="e">
        <v>#DIV/0!</v>
      </c>
      <c r="M236" s="224" t="e">
        <v>#DIV/0!</v>
      </c>
      <c r="N236" s="224" t="e">
        <v>#DIV/0!</v>
      </c>
      <c r="O236" s="224" t="e">
        <v>#DIV/0!</v>
      </c>
      <c r="P236" s="224" t="e">
        <v>#DIV/0!</v>
      </c>
      <c r="Q236" s="224" t="e">
        <v>#DIV/0!</v>
      </c>
      <c r="R236" s="224" t="e">
        <v>#DIV/0!</v>
      </c>
      <c r="S236" s="224" t="e">
        <v>#DIV/0!</v>
      </c>
      <c r="T236" s="224" t="e">
        <v>#DIV/0!</v>
      </c>
      <c r="U236" s="224" t="e">
        <v>#DIV/0!</v>
      </c>
      <c r="V236" s="224" t="e">
        <v>#DIV/0!</v>
      </c>
      <c r="W236" s="224" t="e">
        <v>#DIV/0!</v>
      </c>
      <c r="X236" s="224" t="e">
        <v>#DIV/0!</v>
      </c>
      <c r="Y236" s="224" t="e">
        <v>#DIV/0!</v>
      </c>
      <c r="Z236" s="224" t="e">
        <v>#DIV/0!</v>
      </c>
      <c r="AA236" s="224" t="e">
        <v>#DIV/0!</v>
      </c>
      <c r="AB236" s="224" t="e">
        <v>#DIV/0!</v>
      </c>
      <c r="AC236" s="224" t="e">
        <v>#DIV/0!</v>
      </c>
      <c r="AD236" s="1120" t="e">
        <v>#DIV/0!</v>
      </c>
      <c r="AE236" s="224" t="e">
        <v>#DIV/0!</v>
      </c>
      <c r="AF236" s="224" t="e">
        <v>#DIV/0!</v>
      </c>
      <c r="AG236" s="224" t="e">
        <v>#DIV/0!</v>
      </c>
      <c r="AH236" s="224" t="e">
        <v>#DIV/0!</v>
      </c>
      <c r="AI236" s="224" t="e">
        <v>#DIV/0!</v>
      </c>
      <c r="AJ236" s="224" t="e">
        <v>#DIV/0!</v>
      </c>
      <c r="AK236" s="224" t="e">
        <v>#DIV/0!</v>
      </c>
      <c r="AL236" s="224" t="e">
        <v>#DIV/0!</v>
      </c>
      <c r="AM236" s="224" t="e">
        <v>#DIV/0!</v>
      </c>
      <c r="AN236" s="1120" t="e">
        <v>#DIV/0!</v>
      </c>
      <c r="AO236" s="224" t="e">
        <f t="shared" si="16"/>
        <v>#DIV/0!</v>
      </c>
      <c r="AP236" s="1123">
        <v>0.1</v>
      </c>
      <c r="AQ236" s="1123">
        <f t="shared" si="18"/>
        <v>6.6157067752379534E-2</v>
      </c>
      <c r="AR236" s="1123">
        <v>20</v>
      </c>
      <c r="AS236" s="1123" t="e">
        <f t="shared" si="19"/>
        <v>#DIV/0!</v>
      </c>
      <c r="AT236" s="224" t="e">
        <f t="shared" si="17"/>
        <v>#DIV/0!</v>
      </c>
    </row>
    <row r="237" spans="1:46">
      <c r="A237" s="1118">
        <v>2025</v>
      </c>
      <c r="D237" s="1107" t="s">
        <v>2064</v>
      </c>
      <c r="E237" s="224" t="s">
        <v>2058</v>
      </c>
      <c r="G237" s="224" t="e">
        <v>#DIV/0!</v>
      </c>
      <c r="H237" s="224" t="e">
        <v>#DIV/0!</v>
      </c>
      <c r="I237" s="224" t="e">
        <v>#DIV/0!</v>
      </c>
      <c r="J237" s="224" t="e">
        <v>#DIV/0!</v>
      </c>
      <c r="K237" s="224" t="e">
        <v>#DIV/0!</v>
      </c>
      <c r="L237" s="224" t="e">
        <v>#DIV/0!</v>
      </c>
      <c r="M237" s="224" t="e">
        <v>#DIV/0!</v>
      </c>
      <c r="N237" s="224" t="e">
        <v>#DIV/0!</v>
      </c>
      <c r="O237" s="224" t="e">
        <v>#DIV/0!</v>
      </c>
      <c r="P237" s="224" t="e">
        <v>#DIV/0!</v>
      </c>
      <c r="Q237" s="224" t="e">
        <v>#DIV/0!</v>
      </c>
      <c r="R237" s="224" t="e">
        <v>#DIV/0!</v>
      </c>
      <c r="S237" s="224" t="e">
        <v>#DIV/0!</v>
      </c>
      <c r="T237" s="224" t="e">
        <v>#DIV/0!</v>
      </c>
      <c r="U237" s="224" t="e">
        <v>#DIV/0!</v>
      </c>
      <c r="V237" s="224" t="e">
        <v>#DIV/0!</v>
      </c>
      <c r="W237" s="224" t="e">
        <v>#DIV/0!</v>
      </c>
      <c r="X237" s="224" t="e">
        <v>#DIV/0!</v>
      </c>
      <c r="Y237" s="224" t="e">
        <v>#DIV/0!</v>
      </c>
      <c r="Z237" s="224" t="e">
        <v>#DIV/0!</v>
      </c>
      <c r="AA237" s="224" t="e">
        <v>#DIV/0!</v>
      </c>
      <c r="AB237" s="224" t="e">
        <v>#DIV/0!</v>
      </c>
      <c r="AC237" s="224" t="e">
        <v>#DIV/0!</v>
      </c>
      <c r="AD237" s="1120" t="e">
        <v>#DIV/0!</v>
      </c>
      <c r="AE237" s="224" t="e">
        <v>#DIV/0!</v>
      </c>
      <c r="AF237" s="224" t="e">
        <v>#DIV/0!</v>
      </c>
      <c r="AG237" s="224" t="e">
        <v>#DIV/0!</v>
      </c>
      <c r="AH237" s="224" t="e">
        <v>#DIV/0!</v>
      </c>
      <c r="AI237" s="224" t="e">
        <v>#DIV/0!</v>
      </c>
      <c r="AJ237" s="224" t="e">
        <v>#DIV/0!</v>
      </c>
      <c r="AK237" s="224" t="e">
        <v>#DIV/0!</v>
      </c>
      <c r="AL237" s="224" t="e">
        <v>#DIV/0!</v>
      </c>
      <c r="AM237" s="224" t="e">
        <v>#DIV/0!</v>
      </c>
      <c r="AN237" s="1120" t="e">
        <v>#DIV/0!</v>
      </c>
      <c r="AO237" s="224" t="e">
        <f t="shared" si="16"/>
        <v>#DIV/0!</v>
      </c>
      <c r="AP237" s="1123">
        <v>0.1</v>
      </c>
      <c r="AQ237" s="1123">
        <f t="shared" si="18"/>
        <v>6.6157067752379534E-2</v>
      </c>
      <c r="AR237" s="1123">
        <v>20</v>
      </c>
      <c r="AS237" s="1123" t="e">
        <f t="shared" si="19"/>
        <v>#DIV/0!</v>
      </c>
      <c r="AT237" s="224" t="e">
        <f t="shared" si="17"/>
        <v>#DIV/0!</v>
      </c>
    </row>
    <row r="238" spans="1:46">
      <c r="A238" s="1118">
        <v>2030</v>
      </c>
      <c r="D238" s="1107" t="s">
        <v>2064</v>
      </c>
      <c r="E238" s="224" t="s">
        <v>2058</v>
      </c>
      <c r="G238" s="224" t="e">
        <v>#DIV/0!</v>
      </c>
      <c r="H238" s="224" t="e">
        <v>#DIV/0!</v>
      </c>
      <c r="I238" s="224" t="e">
        <v>#DIV/0!</v>
      </c>
      <c r="J238" s="224" t="e">
        <v>#DIV/0!</v>
      </c>
      <c r="K238" s="224" t="e">
        <v>#DIV/0!</v>
      </c>
      <c r="L238" s="224" t="e">
        <v>#DIV/0!</v>
      </c>
      <c r="M238" s="224" t="e">
        <v>#DIV/0!</v>
      </c>
      <c r="N238" s="224" t="e">
        <v>#DIV/0!</v>
      </c>
      <c r="O238" s="224" t="e">
        <v>#DIV/0!</v>
      </c>
      <c r="P238" s="224" t="e">
        <v>#DIV/0!</v>
      </c>
      <c r="Q238" s="224" t="e">
        <v>#DIV/0!</v>
      </c>
      <c r="R238" s="224" t="e">
        <v>#DIV/0!</v>
      </c>
      <c r="S238" s="224" t="e">
        <v>#DIV/0!</v>
      </c>
      <c r="T238" s="224" t="e">
        <v>#DIV/0!</v>
      </c>
      <c r="U238" s="224" t="e">
        <v>#DIV/0!</v>
      </c>
      <c r="V238" s="224" t="e">
        <v>#DIV/0!</v>
      </c>
      <c r="W238" s="224" t="e">
        <v>#DIV/0!</v>
      </c>
      <c r="X238" s="224" t="e">
        <v>#DIV/0!</v>
      </c>
      <c r="Y238" s="224" t="e">
        <v>#DIV/0!</v>
      </c>
      <c r="Z238" s="224" t="e">
        <v>#DIV/0!</v>
      </c>
      <c r="AA238" s="224" t="e">
        <v>#DIV/0!</v>
      </c>
      <c r="AB238" s="224" t="e">
        <v>#DIV/0!</v>
      </c>
      <c r="AC238" s="224" t="e">
        <v>#DIV/0!</v>
      </c>
      <c r="AD238" s="1120" t="e">
        <v>#DIV/0!</v>
      </c>
      <c r="AE238" s="224" t="e">
        <v>#DIV/0!</v>
      </c>
      <c r="AF238" s="224" t="e">
        <v>#DIV/0!</v>
      </c>
      <c r="AG238" s="224" t="e">
        <v>#DIV/0!</v>
      </c>
      <c r="AH238" s="224" t="e">
        <v>#DIV/0!</v>
      </c>
      <c r="AI238" s="224" t="e">
        <v>#DIV/0!</v>
      </c>
      <c r="AJ238" s="224" t="e">
        <v>#DIV/0!</v>
      </c>
      <c r="AK238" s="224" t="e">
        <v>#DIV/0!</v>
      </c>
      <c r="AL238" s="224" t="e">
        <v>#DIV/0!</v>
      </c>
      <c r="AM238" s="224" t="e">
        <v>#DIV/0!</v>
      </c>
      <c r="AN238" s="1120" t="e">
        <v>#DIV/0!</v>
      </c>
      <c r="AO238" s="224" t="e">
        <f t="shared" si="16"/>
        <v>#DIV/0!</v>
      </c>
      <c r="AP238" s="1123">
        <v>0.1</v>
      </c>
      <c r="AQ238" s="1123">
        <f t="shared" si="18"/>
        <v>6.6157067752379534E-2</v>
      </c>
      <c r="AR238" s="1123">
        <v>20</v>
      </c>
      <c r="AS238" s="1123" t="e">
        <f t="shared" si="19"/>
        <v>#DIV/0!</v>
      </c>
      <c r="AT238" s="224" t="e">
        <f t="shared" si="17"/>
        <v>#DIV/0!</v>
      </c>
    </row>
    <row r="239" spans="1:46">
      <c r="A239" s="1118">
        <v>2035</v>
      </c>
      <c r="D239" s="1107" t="s">
        <v>2064</v>
      </c>
      <c r="E239" s="224" t="s">
        <v>2058</v>
      </c>
      <c r="G239" s="224" t="e">
        <v>#DIV/0!</v>
      </c>
      <c r="H239" s="224" t="e">
        <v>#DIV/0!</v>
      </c>
      <c r="I239" s="224" t="e">
        <v>#DIV/0!</v>
      </c>
      <c r="J239" s="224" t="e">
        <v>#DIV/0!</v>
      </c>
      <c r="K239" s="224" t="e">
        <v>#DIV/0!</v>
      </c>
      <c r="L239" s="224" t="e">
        <v>#DIV/0!</v>
      </c>
      <c r="M239" s="224" t="e">
        <v>#DIV/0!</v>
      </c>
      <c r="N239" s="224" t="e">
        <v>#DIV/0!</v>
      </c>
      <c r="O239" s="224" t="e">
        <v>#DIV/0!</v>
      </c>
      <c r="P239" s="224" t="e">
        <v>#DIV/0!</v>
      </c>
      <c r="Q239" s="224" t="e">
        <v>#DIV/0!</v>
      </c>
      <c r="R239" s="224" t="e">
        <v>#DIV/0!</v>
      </c>
      <c r="S239" s="224" t="e">
        <v>#DIV/0!</v>
      </c>
      <c r="T239" s="224" t="e">
        <v>#DIV/0!</v>
      </c>
      <c r="U239" s="224" t="e">
        <v>#DIV/0!</v>
      </c>
      <c r="V239" s="224" t="e">
        <v>#DIV/0!</v>
      </c>
      <c r="W239" s="224" t="e">
        <v>#DIV/0!</v>
      </c>
      <c r="X239" s="224" t="e">
        <v>#DIV/0!</v>
      </c>
      <c r="Y239" s="224" t="e">
        <v>#DIV/0!</v>
      </c>
      <c r="Z239" s="224" t="e">
        <v>#DIV/0!</v>
      </c>
      <c r="AA239" s="224" t="e">
        <v>#DIV/0!</v>
      </c>
      <c r="AB239" s="224" t="e">
        <v>#DIV/0!</v>
      </c>
      <c r="AC239" s="224" t="e">
        <v>#DIV/0!</v>
      </c>
      <c r="AD239" s="1120" t="e">
        <v>#DIV/0!</v>
      </c>
      <c r="AE239" s="224" t="e">
        <v>#DIV/0!</v>
      </c>
      <c r="AF239" s="224" t="e">
        <v>#DIV/0!</v>
      </c>
      <c r="AG239" s="224" t="e">
        <v>#DIV/0!</v>
      </c>
      <c r="AH239" s="224" t="e">
        <v>#DIV/0!</v>
      </c>
      <c r="AI239" s="224" t="e">
        <v>#DIV/0!</v>
      </c>
      <c r="AJ239" s="224" t="e">
        <v>#DIV/0!</v>
      </c>
      <c r="AK239" s="224" t="e">
        <v>#DIV/0!</v>
      </c>
      <c r="AL239" s="224" t="e">
        <v>#DIV/0!</v>
      </c>
      <c r="AM239" s="224" t="e">
        <v>#DIV/0!</v>
      </c>
      <c r="AN239" s="1120" t="e">
        <v>#DIV/0!</v>
      </c>
      <c r="AO239" s="224" t="e">
        <f t="shared" si="16"/>
        <v>#DIV/0!</v>
      </c>
      <c r="AP239" s="1123">
        <v>0.1</v>
      </c>
      <c r="AQ239" s="1123">
        <f t="shared" si="18"/>
        <v>6.6157067752379534E-2</v>
      </c>
      <c r="AR239" s="1123">
        <v>20</v>
      </c>
      <c r="AS239" s="1123" t="e">
        <f t="shared" si="19"/>
        <v>#DIV/0!</v>
      </c>
      <c r="AT239" s="224" t="e">
        <f t="shared" si="17"/>
        <v>#DIV/0!</v>
      </c>
    </row>
    <row r="240" spans="1:46">
      <c r="A240" s="1118">
        <v>2050</v>
      </c>
      <c r="D240" s="1107" t="s">
        <v>2064</v>
      </c>
      <c r="E240" s="224" t="s">
        <v>2058</v>
      </c>
      <c r="G240" s="224" t="e">
        <v>#DIV/0!</v>
      </c>
      <c r="H240" s="224" t="e">
        <v>#DIV/0!</v>
      </c>
      <c r="I240" s="224" t="e">
        <v>#DIV/0!</v>
      </c>
      <c r="J240" s="224" t="e">
        <v>#DIV/0!</v>
      </c>
      <c r="K240" s="224" t="e">
        <v>#DIV/0!</v>
      </c>
      <c r="L240" s="224" t="e">
        <v>#DIV/0!</v>
      </c>
      <c r="M240" s="224" t="e">
        <v>#DIV/0!</v>
      </c>
      <c r="N240" s="224" t="e">
        <v>#DIV/0!</v>
      </c>
      <c r="O240" s="224" t="e">
        <v>#DIV/0!</v>
      </c>
      <c r="P240" s="224" t="e">
        <v>#DIV/0!</v>
      </c>
      <c r="Q240" s="224" t="e">
        <v>#DIV/0!</v>
      </c>
      <c r="R240" s="224" t="e">
        <v>#DIV/0!</v>
      </c>
      <c r="S240" s="224" t="e">
        <v>#DIV/0!</v>
      </c>
      <c r="T240" s="224" t="e">
        <v>#DIV/0!</v>
      </c>
      <c r="U240" s="224" t="e">
        <v>#DIV/0!</v>
      </c>
      <c r="V240" s="224" t="e">
        <v>#DIV/0!</v>
      </c>
      <c r="W240" s="224" t="e">
        <v>#DIV/0!</v>
      </c>
      <c r="X240" s="224" t="e">
        <v>#DIV/0!</v>
      </c>
      <c r="Y240" s="224" t="e">
        <v>#DIV/0!</v>
      </c>
      <c r="Z240" s="224" t="e">
        <v>#DIV/0!</v>
      </c>
      <c r="AA240" s="224" t="e">
        <v>#DIV/0!</v>
      </c>
      <c r="AB240" s="224" t="e">
        <v>#DIV/0!</v>
      </c>
      <c r="AC240" s="224" t="e">
        <v>#DIV/0!</v>
      </c>
      <c r="AD240" s="1120" t="e">
        <v>#DIV/0!</v>
      </c>
      <c r="AE240" s="224" t="e">
        <v>#DIV/0!</v>
      </c>
      <c r="AF240" s="224" t="e">
        <v>#DIV/0!</v>
      </c>
      <c r="AG240" s="224" t="e">
        <v>#DIV/0!</v>
      </c>
      <c r="AH240" s="224" t="e">
        <v>#DIV/0!</v>
      </c>
      <c r="AI240" s="224" t="e">
        <v>#DIV/0!</v>
      </c>
      <c r="AJ240" s="224" t="e">
        <v>#DIV/0!</v>
      </c>
      <c r="AK240" s="224" t="e">
        <v>#DIV/0!</v>
      </c>
      <c r="AL240" s="224" t="e">
        <v>#DIV/0!</v>
      </c>
      <c r="AM240" s="224" t="e">
        <v>#DIV/0!</v>
      </c>
      <c r="AN240" s="1120" t="e">
        <v>#DIV/0!</v>
      </c>
      <c r="AO240" s="224" t="e">
        <f t="shared" si="16"/>
        <v>#DIV/0!</v>
      </c>
      <c r="AP240" s="1123">
        <v>0.1</v>
      </c>
      <c r="AQ240" s="1123">
        <f t="shared" si="18"/>
        <v>6.6157067752379534E-2</v>
      </c>
      <c r="AR240" s="1123">
        <v>20</v>
      </c>
      <c r="AS240" s="1123" t="e">
        <f t="shared" si="19"/>
        <v>#DIV/0!</v>
      </c>
      <c r="AT240" s="224" t="e">
        <f t="shared" si="17"/>
        <v>#DIV/0!</v>
      </c>
    </row>
    <row r="241" spans="1:46">
      <c r="A241" s="1118">
        <v>2017</v>
      </c>
      <c r="D241" s="1107" t="s">
        <v>2064</v>
      </c>
      <c r="E241" s="224" t="s">
        <v>2059</v>
      </c>
      <c r="G241" s="224">
        <v>8074.9597203803824</v>
      </c>
      <c r="H241" s="224">
        <v>4500</v>
      </c>
      <c r="I241" s="224">
        <v>4.7520000000000007</v>
      </c>
      <c r="J241" s="224">
        <v>6.7710210487715347E-2</v>
      </c>
      <c r="K241" s="224">
        <v>6.0540850222056991E-2</v>
      </c>
      <c r="L241" s="224">
        <v>7.3822967772974077E-2</v>
      </c>
      <c r="M241" s="224">
        <v>0</v>
      </c>
      <c r="N241" s="224">
        <v>0</v>
      </c>
      <c r="O241" s="224">
        <v>0</v>
      </c>
      <c r="P241" s="224">
        <v>0</v>
      </c>
      <c r="Q241" s="224">
        <v>0</v>
      </c>
      <c r="R241" s="224">
        <v>0</v>
      </c>
      <c r="S241" s="224">
        <v>0</v>
      </c>
      <c r="T241" s="224">
        <v>0</v>
      </c>
      <c r="U241" s="224">
        <v>0</v>
      </c>
      <c r="V241" s="224">
        <v>231.5059072</v>
      </c>
      <c r="W241" s="224">
        <v>113.6112368</v>
      </c>
      <c r="X241" s="224">
        <v>147.91866028708131</v>
      </c>
      <c r="Y241" s="224">
        <v>4.7520000000000007</v>
      </c>
      <c r="Z241" s="224">
        <v>0</v>
      </c>
      <c r="AA241" s="224">
        <v>10.156531573157302</v>
      </c>
      <c r="AB241" s="224">
        <v>9.0811275333085479</v>
      </c>
      <c r="AC241" s="224">
        <v>11.073445165946112</v>
      </c>
      <c r="AD241" s="1120">
        <v>13.536109626683087</v>
      </c>
      <c r="AE241" s="224">
        <v>21971.19796560457</v>
      </c>
      <c r="AF241" s="224">
        <v>5585.6720587199998</v>
      </c>
      <c r="AG241" s="224">
        <v>6449.2535885167463</v>
      </c>
      <c r="AH241" s="224">
        <v>9379.0497430624619</v>
      </c>
      <c r="AI241" s="224">
        <v>40800</v>
      </c>
      <c r="AJ241" s="224">
        <v>0</v>
      </c>
      <c r="AK241" s="224">
        <v>745.98720000000003</v>
      </c>
      <c r="AL241" s="224">
        <v>0</v>
      </c>
      <c r="AM241" s="224">
        <v>436.00000000000006</v>
      </c>
      <c r="AN241" s="1120">
        <v>85367.160555903785</v>
      </c>
      <c r="AO241" s="224">
        <f t="shared" si="16"/>
        <v>1.7835178044117634</v>
      </c>
      <c r="AP241" s="1123">
        <v>0.1</v>
      </c>
      <c r="AQ241" s="1123">
        <f t="shared" si="18"/>
        <v>6.6157067752379534E-2</v>
      </c>
      <c r="AR241" s="1123">
        <v>20</v>
      </c>
      <c r="AS241" s="1123">
        <f t="shared" si="19"/>
        <v>0.8221063128607311</v>
      </c>
      <c r="AT241" s="224">
        <f t="shared" si="17"/>
        <v>5647.6410247251888</v>
      </c>
    </row>
    <row r="242" spans="1:46">
      <c r="A242" s="1121">
        <v>2020</v>
      </c>
      <c r="D242" s="1107" t="s">
        <v>2064</v>
      </c>
      <c r="E242" s="224" t="s">
        <v>2059</v>
      </c>
      <c r="G242" s="224" t="e">
        <v>#DIV/0!</v>
      </c>
      <c r="H242" s="224" t="e">
        <v>#DIV/0!</v>
      </c>
      <c r="I242" s="224" t="e">
        <v>#DIV/0!</v>
      </c>
      <c r="J242" s="224" t="e">
        <v>#DIV/0!</v>
      </c>
      <c r="K242" s="224" t="e">
        <v>#DIV/0!</v>
      </c>
      <c r="L242" s="224" t="e">
        <v>#DIV/0!</v>
      </c>
      <c r="M242" s="224" t="e">
        <v>#DIV/0!</v>
      </c>
      <c r="N242" s="224" t="e">
        <v>#DIV/0!</v>
      </c>
      <c r="O242" s="224" t="e">
        <v>#DIV/0!</v>
      </c>
      <c r="P242" s="224" t="e">
        <v>#DIV/0!</v>
      </c>
      <c r="Q242" s="224" t="e">
        <v>#DIV/0!</v>
      </c>
      <c r="R242" s="224" t="e">
        <v>#DIV/0!</v>
      </c>
      <c r="S242" s="224" t="e">
        <v>#DIV/0!</v>
      </c>
      <c r="T242" s="224" t="e">
        <v>#DIV/0!</v>
      </c>
      <c r="U242" s="224" t="e">
        <v>#DIV/0!</v>
      </c>
      <c r="V242" s="224" t="e">
        <v>#DIV/0!</v>
      </c>
      <c r="W242" s="224" t="e">
        <v>#DIV/0!</v>
      </c>
      <c r="X242" s="224" t="e">
        <v>#DIV/0!</v>
      </c>
      <c r="Y242" s="224" t="e">
        <v>#DIV/0!</v>
      </c>
      <c r="Z242" s="224" t="e">
        <v>#DIV/0!</v>
      </c>
      <c r="AA242" s="224" t="e">
        <v>#DIV/0!</v>
      </c>
      <c r="AB242" s="224" t="e">
        <v>#DIV/0!</v>
      </c>
      <c r="AC242" s="224" t="e">
        <v>#DIV/0!</v>
      </c>
      <c r="AD242" s="1120" t="e">
        <v>#DIV/0!</v>
      </c>
      <c r="AE242" s="224" t="e">
        <v>#DIV/0!</v>
      </c>
      <c r="AF242" s="224" t="e">
        <v>#DIV/0!</v>
      </c>
      <c r="AG242" s="224" t="e">
        <v>#DIV/0!</v>
      </c>
      <c r="AH242" s="224" t="e">
        <v>#DIV/0!</v>
      </c>
      <c r="AI242" s="224" t="e">
        <v>#DIV/0!</v>
      </c>
      <c r="AJ242" s="224" t="e">
        <v>#DIV/0!</v>
      </c>
      <c r="AK242" s="224" t="e">
        <v>#DIV/0!</v>
      </c>
      <c r="AL242" s="224" t="e">
        <v>#DIV/0!</v>
      </c>
      <c r="AM242" s="224" t="e">
        <v>#DIV/0!</v>
      </c>
      <c r="AN242" s="1120" t="e">
        <v>#DIV/0!</v>
      </c>
      <c r="AO242" s="224" t="e">
        <f t="shared" si="16"/>
        <v>#DIV/0!</v>
      </c>
      <c r="AP242" s="1123">
        <v>0.1</v>
      </c>
      <c r="AQ242" s="1123">
        <f t="shared" si="18"/>
        <v>6.6157067752379534E-2</v>
      </c>
      <c r="AR242" s="1123">
        <v>20</v>
      </c>
      <c r="AS242" s="1123" t="e">
        <f t="shared" si="19"/>
        <v>#DIV/0!</v>
      </c>
      <c r="AT242" s="224" t="e">
        <f t="shared" si="17"/>
        <v>#DIV/0!</v>
      </c>
    </row>
    <row r="243" spans="1:46">
      <c r="A243" s="1118">
        <v>2025</v>
      </c>
      <c r="D243" s="1107" t="s">
        <v>2064</v>
      </c>
      <c r="E243" s="224" t="s">
        <v>2059</v>
      </c>
      <c r="G243" s="224" t="e">
        <v>#DIV/0!</v>
      </c>
      <c r="H243" s="224" t="e">
        <v>#DIV/0!</v>
      </c>
      <c r="I243" s="224" t="e">
        <v>#DIV/0!</v>
      </c>
      <c r="J243" s="224" t="e">
        <v>#DIV/0!</v>
      </c>
      <c r="K243" s="224" t="e">
        <v>#DIV/0!</v>
      </c>
      <c r="L243" s="224" t="e">
        <v>#DIV/0!</v>
      </c>
      <c r="M243" s="224" t="e">
        <v>#DIV/0!</v>
      </c>
      <c r="N243" s="224" t="e">
        <v>#DIV/0!</v>
      </c>
      <c r="O243" s="224" t="e">
        <v>#DIV/0!</v>
      </c>
      <c r="P243" s="224" t="e">
        <v>#DIV/0!</v>
      </c>
      <c r="Q243" s="224" t="e">
        <v>#DIV/0!</v>
      </c>
      <c r="R243" s="224" t="e">
        <v>#DIV/0!</v>
      </c>
      <c r="S243" s="224" t="e">
        <v>#DIV/0!</v>
      </c>
      <c r="T243" s="224" t="e">
        <v>#DIV/0!</v>
      </c>
      <c r="U243" s="224" t="e">
        <v>#DIV/0!</v>
      </c>
      <c r="V243" s="224" t="e">
        <v>#DIV/0!</v>
      </c>
      <c r="W243" s="224" t="e">
        <v>#DIV/0!</v>
      </c>
      <c r="X243" s="224" t="e">
        <v>#DIV/0!</v>
      </c>
      <c r="Y243" s="224" t="e">
        <v>#DIV/0!</v>
      </c>
      <c r="Z243" s="224" t="e">
        <v>#DIV/0!</v>
      </c>
      <c r="AA243" s="224" t="e">
        <v>#DIV/0!</v>
      </c>
      <c r="AB243" s="224" t="e">
        <v>#DIV/0!</v>
      </c>
      <c r="AC243" s="224" t="e">
        <v>#DIV/0!</v>
      </c>
      <c r="AD243" s="1120" t="e">
        <v>#DIV/0!</v>
      </c>
      <c r="AE243" s="224" t="e">
        <v>#DIV/0!</v>
      </c>
      <c r="AF243" s="224" t="e">
        <v>#DIV/0!</v>
      </c>
      <c r="AG243" s="224" t="e">
        <v>#DIV/0!</v>
      </c>
      <c r="AH243" s="224" t="e">
        <v>#DIV/0!</v>
      </c>
      <c r="AI243" s="224" t="e">
        <v>#DIV/0!</v>
      </c>
      <c r="AJ243" s="224" t="e">
        <v>#DIV/0!</v>
      </c>
      <c r="AK243" s="224" t="e">
        <v>#DIV/0!</v>
      </c>
      <c r="AL243" s="224" t="e">
        <v>#DIV/0!</v>
      </c>
      <c r="AM243" s="224" t="e">
        <v>#DIV/0!</v>
      </c>
      <c r="AN243" s="1120" t="e">
        <v>#DIV/0!</v>
      </c>
      <c r="AO243" s="224" t="e">
        <f t="shared" si="16"/>
        <v>#DIV/0!</v>
      </c>
      <c r="AP243" s="1123">
        <v>0.1</v>
      </c>
      <c r="AQ243" s="1123">
        <f t="shared" si="18"/>
        <v>6.6157067752379534E-2</v>
      </c>
      <c r="AR243" s="1123">
        <v>20</v>
      </c>
      <c r="AS243" s="1123" t="e">
        <f t="shared" si="19"/>
        <v>#DIV/0!</v>
      </c>
      <c r="AT243" s="224" t="e">
        <f t="shared" si="17"/>
        <v>#DIV/0!</v>
      </c>
    </row>
    <row r="244" spans="1:46">
      <c r="A244" s="1118">
        <v>2030</v>
      </c>
      <c r="D244" s="1107" t="s">
        <v>2064</v>
      </c>
      <c r="E244" s="71" t="s">
        <v>2059</v>
      </c>
      <c r="G244" s="224">
        <v>8074.9597203803824</v>
      </c>
      <c r="H244" s="224">
        <v>4500</v>
      </c>
      <c r="I244" s="224">
        <v>4.7520000000000007</v>
      </c>
      <c r="J244" s="224">
        <v>6.7710210487715347E-2</v>
      </c>
      <c r="K244" s="224">
        <v>6.0540850222056991E-2</v>
      </c>
      <c r="L244" s="224">
        <v>7.3822967772974077E-2</v>
      </c>
      <c r="M244" s="224">
        <v>0</v>
      </c>
      <c r="N244" s="224">
        <v>0</v>
      </c>
      <c r="O244" s="224">
        <v>0</v>
      </c>
      <c r="P244" s="224">
        <v>0</v>
      </c>
      <c r="Q244" s="224">
        <v>0</v>
      </c>
      <c r="R244" s="224">
        <v>0</v>
      </c>
      <c r="S244" s="224">
        <v>0</v>
      </c>
      <c r="T244" s="224">
        <v>0</v>
      </c>
      <c r="U244" s="224">
        <v>0</v>
      </c>
      <c r="V244" s="224">
        <v>231.5059072</v>
      </c>
      <c r="W244" s="224">
        <v>113.6112368</v>
      </c>
      <c r="X244" s="224">
        <v>147.91866028708131</v>
      </c>
      <c r="Y244" s="224">
        <v>4.7520000000000007</v>
      </c>
      <c r="Z244" s="224">
        <v>0</v>
      </c>
      <c r="AA244" s="224">
        <v>10.156531573157302</v>
      </c>
      <c r="AB244" s="224">
        <v>9.0811275333085479</v>
      </c>
      <c r="AC244" s="224">
        <v>11.073445165946112</v>
      </c>
      <c r="AD244" s="224">
        <v>13.536109626683087</v>
      </c>
      <c r="AE244" s="224">
        <v>22174.658046364562</v>
      </c>
      <c r="AF244" s="224">
        <v>1605.1330214094808</v>
      </c>
      <c r="AG244" s="224">
        <v>2825.484861916229</v>
      </c>
      <c r="AH244" s="224">
        <v>9112.8850836535621</v>
      </c>
      <c r="AI244" s="224">
        <v>40800</v>
      </c>
      <c r="AJ244" s="224">
        <v>0</v>
      </c>
      <c r="AK244" s="224">
        <v>3508.0290601924276</v>
      </c>
      <c r="AL244" s="224">
        <v>0</v>
      </c>
      <c r="AM244" s="224">
        <v>296</v>
      </c>
      <c r="AN244" s="1120">
        <v>80322.190073536258</v>
      </c>
      <c r="AO244" s="224">
        <f t="shared" si="16"/>
        <v>1.7835178044117634</v>
      </c>
      <c r="AP244" s="1123">
        <v>0.1</v>
      </c>
      <c r="AQ244" s="1123">
        <f t="shared" si="18"/>
        <v>6.6157067752379534E-2</v>
      </c>
      <c r="AR244" s="1123">
        <v>20</v>
      </c>
      <c r="AS244" s="1123">
        <f t="shared" si="19"/>
        <v>0.8221063128607311</v>
      </c>
      <c r="AT244" s="224">
        <f t="shared" si="17"/>
        <v>5313.8805707144447</v>
      </c>
    </row>
    <row r="245" spans="1:46">
      <c r="A245" s="1118">
        <v>2035</v>
      </c>
      <c r="D245" s="1107" t="s">
        <v>2064</v>
      </c>
      <c r="E245" s="224" t="s">
        <v>2059</v>
      </c>
      <c r="G245" s="224" t="e">
        <v>#DIV/0!</v>
      </c>
      <c r="H245" s="224" t="e">
        <v>#DIV/0!</v>
      </c>
      <c r="I245" s="224" t="e">
        <v>#DIV/0!</v>
      </c>
      <c r="J245" s="224" t="e">
        <v>#DIV/0!</v>
      </c>
      <c r="K245" s="224" t="e">
        <v>#DIV/0!</v>
      </c>
      <c r="L245" s="224" t="e">
        <v>#DIV/0!</v>
      </c>
      <c r="M245" s="224" t="e">
        <v>#DIV/0!</v>
      </c>
      <c r="N245" s="224" t="e">
        <v>#DIV/0!</v>
      </c>
      <c r="O245" s="224" t="e">
        <v>#DIV/0!</v>
      </c>
      <c r="P245" s="224" t="e">
        <v>#DIV/0!</v>
      </c>
      <c r="Q245" s="224" t="e">
        <v>#DIV/0!</v>
      </c>
      <c r="R245" s="224" t="e">
        <v>#DIV/0!</v>
      </c>
      <c r="S245" s="224" t="e">
        <v>#DIV/0!</v>
      </c>
      <c r="T245" s="224" t="e">
        <v>#DIV/0!</v>
      </c>
      <c r="U245" s="224" t="e">
        <v>#DIV/0!</v>
      </c>
      <c r="V245" s="224" t="e">
        <v>#DIV/0!</v>
      </c>
      <c r="W245" s="224" t="e">
        <v>#DIV/0!</v>
      </c>
      <c r="X245" s="224" t="e">
        <v>#DIV/0!</v>
      </c>
      <c r="Y245" s="224" t="e">
        <v>#DIV/0!</v>
      </c>
      <c r="Z245" s="224" t="e">
        <v>#DIV/0!</v>
      </c>
      <c r="AA245" s="224" t="e">
        <v>#DIV/0!</v>
      </c>
      <c r="AB245" s="224" t="e">
        <v>#DIV/0!</v>
      </c>
      <c r="AC245" s="224" t="e">
        <v>#DIV/0!</v>
      </c>
      <c r="AD245" s="224" t="e">
        <v>#DIV/0!</v>
      </c>
      <c r="AE245" s="224" t="e">
        <v>#DIV/0!</v>
      </c>
      <c r="AF245" s="224" t="e">
        <v>#DIV/0!</v>
      </c>
      <c r="AG245" s="224" t="e">
        <v>#DIV/0!</v>
      </c>
      <c r="AH245" s="224" t="e">
        <v>#DIV/0!</v>
      </c>
      <c r="AI245" s="224" t="e">
        <v>#DIV/0!</v>
      </c>
      <c r="AJ245" s="224" t="e">
        <v>#DIV/0!</v>
      </c>
      <c r="AK245" s="224" t="e">
        <v>#DIV/0!</v>
      </c>
      <c r="AL245" s="224" t="e">
        <v>#DIV/0!</v>
      </c>
      <c r="AM245" s="224" t="e">
        <v>#DIV/0!</v>
      </c>
      <c r="AN245" s="1120" t="e">
        <v>#DIV/0!</v>
      </c>
      <c r="AO245" s="224" t="e">
        <f t="shared" si="16"/>
        <v>#DIV/0!</v>
      </c>
      <c r="AP245" s="1123">
        <v>0.1</v>
      </c>
      <c r="AQ245" s="1123">
        <f t="shared" si="18"/>
        <v>6.6157067752379534E-2</v>
      </c>
      <c r="AR245" s="1123">
        <v>20</v>
      </c>
      <c r="AS245" s="1123" t="e">
        <f t="shared" si="19"/>
        <v>#DIV/0!</v>
      </c>
      <c r="AT245" s="224" t="e">
        <f t="shared" si="17"/>
        <v>#DIV/0!</v>
      </c>
    </row>
    <row r="246" spans="1:46">
      <c r="A246" s="1118">
        <v>2050</v>
      </c>
      <c r="D246" s="1107" t="s">
        <v>2064</v>
      </c>
      <c r="E246" s="71" t="s">
        <v>2059</v>
      </c>
      <c r="G246" s="224">
        <v>8074.9597203803824</v>
      </c>
      <c r="H246" s="224">
        <v>4500</v>
      </c>
      <c r="I246" s="224">
        <v>4.7520000000000007</v>
      </c>
      <c r="J246" s="224">
        <v>6.7710210487715347E-2</v>
      </c>
      <c r="K246" s="224">
        <v>6.0540850222056991E-2</v>
      </c>
      <c r="L246" s="224">
        <v>7.3822967772974077E-2</v>
      </c>
      <c r="M246" s="224">
        <v>0</v>
      </c>
      <c r="N246" s="224">
        <v>0</v>
      </c>
      <c r="O246" s="224">
        <v>0</v>
      </c>
      <c r="P246" s="224">
        <v>0</v>
      </c>
      <c r="Q246" s="224">
        <v>0</v>
      </c>
      <c r="R246" s="224">
        <v>0</v>
      </c>
      <c r="S246" s="224">
        <v>0</v>
      </c>
      <c r="T246" s="224">
        <v>0</v>
      </c>
      <c r="U246" s="224">
        <v>0</v>
      </c>
      <c r="V246" s="224">
        <v>231.5059072</v>
      </c>
      <c r="W246" s="224">
        <v>113.6112368</v>
      </c>
      <c r="X246" s="224">
        <v>147.91866028708131</v>
      </c>
      <c r="Y246" s="224">
        <v>4.7520000000000007</v>
      </c>
      <c r="Z246" s="224">
        <v>0</v>
      </c>
      <c r="AA246" s="224">
        <v>10.156531573157302</v>
      </c>
      <c r="AB246" s="224">
        <v>9.0811275333085479</v>
      </c>
      <c r="AC246" s="224">
        <v>11.073445165946112</v>
      </c>
      <c r="AD246" s="224">
        <v>13.536109626683087</v>
      </c>
      <c r="AE246" s="224">
        <v>22875.828874819377</v>
      </c>
      <c r="AF246" s="224">
        <v>791.26346201613819</v>
      </c>
      <c r="AG246" s="224">
        <v>1707.5805730109701</v>
      </c>
      <c r="AH246" s="224">
        <v>8853.7867257888593</v>
      </c>
      <c r="AI246" s="224">
        <v>40800</v>
      </c>
      <c r="AJ246" s="224">
        <v>0</v>
      </c>
      <c r="AK246" s="224">
        <v>4842.5801991868502</v>
      </c>
      <c r="AL246" s="224">
        <v>0</v>
      </c>
      <c r="AM246" s="224">
        <v>240</v>
      </c>
      <c r="AN246" s="1120">
        <v>80111.039834822193</v>
      </c>
      <c r="AO246" s="224">
        <f t="shared" si="16"/>
        <v>1.7835178044117634</v>
      </c>
      <c r="AP246" s="1123">
        <v>0.1</v>
      </c>
      <c r="AQ246" s="1123">
        <f t="shared" si="18"/>
        <v>6.6157067752379534E-2</v>
      </c>
      <c r="AR246" s="1123">
        <v>20</v>
      </c>
      <c r="AS246" s="1123">
        <f t="shared" si="19"/>
        <v>0.8221063128607311</v>
      </c>
      <c r="AT246" s="224">
        <f t="shared" si="17"/>
        <v>5299.9114900659079</v>
      </c>
    </row>
    <row r="247" spans="1:46">
      <c r="A247" s="1118">
        <v>2017</v>
      </c>
      <c r="D247" s="1107" t="s">
        <v>2064</v>
      </c>
      <c r="E247" s="224" t="s">
        <v>2060</v>
      </c>
      <c r="G247" s="224">
        <v>8535.8837748748629</v>
      </c>
      <c r="H247" s="224">
        <v>4500</v>
      </c>
      <c r="I247" s="224">
        <v>107.98875</v>
      </c>
      <c r="J247" s="224">
        <v>6.25136907746566E-2</v>
      </c>
      <c r="K247" s="224">
        <v>7.2210247963338511E-2</v>
      </c>
      <c r="L247" s="224">
        <v>8.7750578230701426E-2</v>
      </c>
      <c r="M247" s="224">
        <v>2.0976099809536165E-2</v>
      </c>
      <c r="N247" s="224">
        <v>2.4864927210847324E-2</v>
      </c>
      <c r="O247" s="224">
        <v>2.9333478491419988E-2</v>
      </c>
      <c r="P247" s="224">
        <v>-15.910871775069657</v>
      </c>
      <c r="Q247" s="224">
        <v>-7.1516626140394446E-2</v>
      </c>
      <c r="R247" s="224">
        <v>-54.104516016274395</v>
      </c>
      <c r="S247" s="224">
        <v>789.87792975465629</v>
      </c>
      <c r="T247" s="224">
        <v>936.3159694670901</v>
      </c>
      <c r="U247" s="224">
        <v>1104.5841445115577</v>
      </c>
      <c r="V247" s="224">
        <v>110</v>
      </c>
      <c r="W247" s="224">
        <v>280.08470490000002</v>
      </c>
      <c r="X247" s="224">
        <v>420.12705735000003</v>
      </c>
      <c r="Y247" s="224">
        <v>107.36812500000001</v>
      </c>
      <c r="Z247" s="224">
        <v>0</v>
      </c>
      <c r="AA247" s="224">
        <v>4.2958836702726426</v>
      </c>
      <c r="AB247" s="224">
        <v>5.9457380606827392</v>
      </c>
      <c r="AC247" s="224">
        <v>8.0525528312865138</v>
      </c>
      <c r="AD247" s="1120">
        <v>4.8066115573072752</v>
      </c>
      <c r="AE247" s="224">
        <v>10607.211428571429</v>
      </c>
      <c r="AF247" s="224">
        <v>12727.383840209999</v>
      </c>
      <c r="AG247" s="224">
        <v>61090.315762499988</v>
      </c>
      <c r="AH247" s="224">
        <v>0</v>
      </c>
      <c r="AI247" s="224">
        <v>40800</v>
      </c>
      <c r="AJ247" s="224">
        <v>0</v>
      </c>
      <c r="AK247" s="224">
        <v>745.98720000000003</v>
      </c>
      <c r="AL247" s="224">
        <v>0</v>
      </c>
      <c r="AM247" s="224">
        <v>436.00000000000006</v>
      </c>
      <c r="AN247" s="1120">
        <v>126406.89823128143</v>
      </c>
      <c r="AO247" s="224">
        <f t="shared" si="16"/>
        <v>0.63331913879080648</v>
      </c>
      <c r="AP247" s="1123">
        <v>0.1</v>
      </c>
      <c r="AQ247" s="1123">
        <f t="shared" si="18"/>
        <v>6.6157067752379534E-2</v>
      </c>
      <c r="AR247" s="1123">
        <v>20</v>
      </c>
      <c r="AS247" s="1123">
        <f t="shared" si="19"/>
        <v>0.29192624865730749</v>
      </c>
      <c r="AT247" s="224">
        <f t="shared" si="17"/>
        <v>8362.7097306550313</v>
      </c>
    </row>
    <row r="248" spans="1:46">
      <c r="A248" s="1121">
        <v>2020</v>
      </c>
      <c r="D248" s="1107" t="s">
        <v>2064</v>
      </c>
      <c r="E248" s="224" t="s">
        <v>2060</v>
      </c>
      <c r="G248" s="224" t="e">
        <v>#DIV/0!</v>
      </c>
      <c r="H248" s="224" t="e">
        <v>#DIV/0!</v>
      </c>
      <c r="I248" s="224" t="e">
        <v>#DIV/0!</v>
      </c>
      <c r="J248" s="224" t="e">
        <v>#DIV/0!</v>
      </c>
      <c r="K248" s="224" t="e">
        <v>#DIV/0!</v>
      </c>
      <c r="L248" s="224" t="e">
        <v>#DIV/0!</v>
      </c>
      <c r="M248" s="224" t="e">
        <v>#DIV/0!</v>
      </c>
      <c r="N248" s="224" t="e">
        <v>#DIV/0!</v>
      </c>
      <c r="O248" s="224" t="e">
        <v>#DIV/0!</v>
      </c>
      <c r="P248" s="224" t="e">
        <v>#DIV/0!</v>
      </c>
      <c r="Q248" s="224" t="e">
        <v>#DIV/0!</v>
      </c>
      <c r="R248" s="224" t="e">
        <v>#DIV/0!</v>
      </c>
      <c r="S248" s="224" t="e">
        <v>#DIV/0!</v>
      </c>
      <c r="T248" s="224" t="e">
        <v>#DIV/0!</v>
      </c>
      <c r="U248" s="224" t="e">
        <v>#DIV/0!</v>
      </c>
      <c r="V248" s="224" t="e">
        <v>#DIV/0!</v>
      </c>
      <c r="W248" s="224" t="e">
        <v>#DIV/0!</v>
      </c>
      <c r="X248" s="224" t="e">
        <v>#DIV/0!</v>
      </c>
      <c r="Y248" s="224" t="e">
        <v>#DIV/0!</v>
      </c>
      <c r="Z248" s="224" t="e">
        <v>#DIV/0!</v>
      </c>
      <c r="AA248" s="224" t="e">
        <v>#DIV/0!</v>
      </c>
      <c r="AB248" s="224" t="e">
        <v>#DIV/0!</v>
      </c>
      <c r="AC248" s="224" t="e">
        <v>#DIV/0!</v>
      </c>
      <c r="AD248" s="1120" t="e">
        <v>#DIV/0!</v>
      </c>
      <c r="AE248" s="224" t="e">
        <v>#DIV/0!</v>
      </c>
      <c r="AF248" s="224" t="e">
        <v>#DIV/0!</v>
      </c>
      <c r="AG248" s="224" t="e">
        <v>#DIV/0!</v>
      </c>
      <c r="AH248" s="224" t="e">
        <v>#DIV/0!</v>
      </c>
      <c r="AI248" s="224" t="e">
        <v>#DIV/0!</v>
      </c>
      <c r="AJ248" s="224" t="e">
        <v>#DIV/0!</v>
      </c>
      <c r="AK248" s="224" t="e">
        <v>#DIV/0!</v>
      </c>
      <c r="AL248" s="224" t="e">
        <v>#DIV/0!</v>
      </c>
      <c r="AM248" s="224" t="e">
        <v>#DIV/0!</v>
      </c>
      <c r="AN248" s="1120" t="e">
        <v>#DIV/0!</v>
      </c>
      <c r="AO248" s="224" t="e">
        <f t="shared" si="16"/>
        <v>#DIV/0!</v>
      </c>
      <c r="AP248" s="1123">
        <v>0.1</v>
      </c>
      <c r="AQ248" s="1123">
        <f t="shared" si="18"/>
        <v>6.6157067752379534E-2</v>
      </c>
      <c r="AR248" s="1123">
        <v>20</v>
      </c>
      <c r="AS248" s="1123" t="e">
        <f t="shared" si="19"/>
        <v>#DIV/0!</v>
      </c>
      <c r="AT248" s="224" t="e">
        <f t="shared" si="17"/>
        <v>#DIV/0!</v>
      </c>
    </row>
    <row r="249" spans="1:46">
      <c r="A249" s="1118">
        <v>2025</v>
      </c>
      <c r="D249" s="1107" t="s">
        <v>2064</v>
      </c>
      <c r="E249" s="224" t="s">
        <v>2060</v>
      </c>
      <c r="G249" s="224" t="e">
        <v>#DIV/0!</v>
      </c>
      <c r="H249" s="224" t="e">
        <v>#DIV/0!</v>
      </c>
      <c r="I249" s="224" t="e">
        <v>#DIV/0!</v>
      </c>
      <c r="J249" s="224" t="e">
        <v>#DIV/0!</v>
      </c>
      <c r="K249" s="224" t="e">
        <v>#DIV/0!</v>
      </c>
      <c r="L249" s="224" t="e">
        <v>#DIV/0!</v>
      </c>
      <c r="M249" s="224" t="e">
        <v>#DIV/0!</v>
      </c>
      <c r="N249" s="224" t="e">
        <v>#DIV/0!</v>
      </c>
      <c r="O249" s="224" t="e">
        <v>#DIV/0!</v>
      </c>
      <c r="P249" s="224" t="e">
        <v>#DIV/0!</v>
      </c>
      <c r="Q249" s="224" t="e">
        <v>#DIV/0!</v>
      </c>
      <c r="R249" s="224" t="e">
        <v>#DIV/0!</v>
      </c>
      <c r="S249" s="224" t="e">
        <v>#DIV/0!</v>
      </c>
      <c r="T249" s="224" t="e">
        <v>#DIV/0!</v>
      </c>
      <c r="U249" s="224" t="e">
        <v>#DIV/0!</v>
      </c>
      <c r="V249" s="224" t="e">
        <v>#DIV/0!</v>
      </c>
      <c r="W249" s="224" t="e">
        <v>#DIV/0!</v>
      </c>
      <c r="X249" s="224" t="e">
        <v>#DIV/0!</v>
      </c>
      <c r="Y249" s="224" t="e">
        <v>#DIV/0!</v>
      </c>
      <c r="Z249" s="224" t="e">
        <v>#DIV/0!</v>
      </c>
      <c r="AA249" s="224" t="e">
        <v>#DIV/0!</v>
      </c>
      <c r="AB249" s="224" t="e">
        <v>#DIV/0!</v>
      </c>
      <c r="AC249" s="224" t="e">
        <v>#DIV/0!</v>
      </c>
      <c r="AD249" s="1120" t="e">
        <v>#DIV/0!</v>
      </c>
      <c r="AE249" s="224" t="e">
        <v>#DIV/0!</v>
      </c>
      <c r="AF249" s="224" t="e">
        <v>#DIV/0!</v>
      </c>
      <c r="AG249" s="224" t="e">
        <v>#DIV/0!</v>
      </c>
      <c r="AH249" s="224" t="e">
        <v>#DIV/0!</v>
      </c>
      <c r="AI249" s="224" t="e">
        <v>#DIV/0!</v>
      </c>
      <c r="AJ249" s="224" t="e">
        <v>#DIV/0!</v>
      </c>
      <c r="AK249" s="224" t="e">
        <v>#DIV/0!</v>
      </c>
      <c r="AL249" s="224" t="e">
        <v>#DIV/0!</v>
      </c>
      <c r="AM249" s="224" t="e">
        <v>#DIV/0!</v>
      </c>
      <c r="AN249" s="1120" t="e">
        <v>#DIV/0!</v>
      </c>
      <c r="AO249" s="224" t="e">
        <f t="shared" si="16"/>
        <v>#DIV/0!</v>
      </c>
      <c r="AP249" s="1123">
        <v>0.1</v>
      </c>
      <c r="AQ249" s="1123">
        <f t="shared" si="18"/>
        <v>6.6157067752379534E-2</v>
      </c>
      <c r="AR249" s="1123">
        <v>20</v>
      </c>
      <c r="AS249" s="1123" t="e">
        <f t="shared" si="19"/>
        <v>#DIV/0!</v>
      </c>
      <c r="AT249" s="224" t="e">
        <f t="shared" si="17"/>
        <v>#DIV/0!</v>
      </c>
    </row>
    <row r="250" spans="1:46">
      <c r="A250" s="1118">
        <v>2030</v>
      </c>
      <c r="D250" s="1107" t="s">
        <v>2064</v>
      </c>
      <c r="E250" s="71" t="s">
        <v>2060</v>
      </c>
      <c r="G250" s="224">
        <v>8535.8837748748629</v>
      </c>
      <c r="H250" s="224">
        <v>4500</v>
      </c>
      <c r="I250" s="224">
        <v>107.98875</v>
      </c>
      <c r="J250" s="224">
        <v>6.25136907746566E-2</v>
      </c>
      <c r="K250" s="224">
        <v>7.2210247963338511E-2</v>
      </c>
      <c r="L250" s="224">
        <v>8.7750578230701426E-2</v>
      </c>
      <c r="M250" s="224">
        <v>2.0976099809536165E-2</v>
      </c>
      <c r="N250" s="224">
        <v>2.4864927210847324E-2</v>
      </c>
      <c r="O250" s="224">
        <v>2.9333478491419988E-2</v>
      </c>
      <c r="P250" s="224">
        <v>-15.910871775069657</v>
      </c>
      <c r="Q250" s="224">
        <v>-7.1516626140394446E-2</v>
      </c>
      <c r="R250" s="224">
        <v>-54.104516016274395</v>
      </c>
      <c r="S250" s="224">
        <v>789.87792975465629</v>
      </c>
      <c r="T250" s="224">
        <v>936.3159694670901</v>
      </c>
      <c r="U250" s="224">
        <v>1104.5841445115577</v>
      </c>
      <c r="V250" s="224">
        <v>110</v>
      </c>
      <c r="W250" s="224">
        <v>280.08470490000002</v>
      </c>
      <c r="X250" s="224">
        <v>420.12705735000003</v>
      </c>
      <c r="Y250" s="224">
        <v>107.36812500000001</v>
      </c>
      <c r="Z250" s="224">
        <v>0</v>
      </c>
      <c r="AA250" s="224">
        <v>4.2958836702726426</v>
      </c>
      <c r="AB250" s="224">
        <v>5.9457380606827392</v>
      </c>
      <c r="AC250" s="224">
        <v>8.0525528312865138</v>
      </c>
      <c r="AD250" s="224">
        <v>4.8066115573072752</v>
      </c>
      <c r="AE250" s="224">
        <v>8453.2790263415554</v>
      </c>
      <c r="AF250" s="224">
        <v>3249.5039601387612</v>
      </c>
      <c r="AG250" s="224">
        <v>19225.345416627173</v>
      </c>
      <c r="AH250" s="224">
        <v>0</v>
      </c>
      <c r="AI250" s="224">
        <v>40800</v>
      </c>
      <c r="AJ250" s="224">
        <v>0</v>
      </c>
      <c r="AK250" s="224">
        <v>3508.0290601924276</v>
      </c>
      <c r="AL250" s="224">
        <v>0</v>
      </c>
      <c r="AM250" s="224">
        <v>296</v>
      </c>
      <c r="AN250" s="1120">
        <v>75532.157463299911</v>
      </c>
      <c r="AO250" s="224">
        <f t="shared" si="16"/>
        <v>0.63331913879080648</v>
      </c>
      <c r="AP250" s="1123">
        <v>0.1</v>
      </c>
      <c r="AQ250" s="1123">
        <f t="shared" si="18"/>
        <v>6.6157067752379534E-2</v>
      </c>
      <c r="AR250" s="1123">
        <v>20</v>
      </c>
      <c r="AS250" s="1123">
        <f t="shared" si="19"/>
        <v>0.29192624865730749</v>
      </c>
      <c r="AT250" s="224">
        <f t="shared" si="17"/>
        <v>4996.9860587829317</v>
      </c>
    </row>
    <row r="251" spans="1:46">
      <c r="A251" s="1118">
        <v>2035</v>
      </c>
      <c r="D251" s="1107" t="s">
        <v>2064</v>
      </c>
      <c r="E251" s="224" t="s">
        <v>2060</v>
      </c>
      <c r="G251" s="224" t="e">
        <v>#DIV/0!</v>
      </c>
      <c r="H251" s="224" t="e">
        <v>#DIV/0!</v>
      </c>
      <c r="I251" s="224" t="e">
        <v>#DIV/0!</v>
      </c>
      <c r="J251" s="224" t="e">
        <v>#DIV/0!</v>
      </c>
      <c r="K251" s="224" t="e">
        <v>#DIV/0!</v>
      </c>
      <c r="L251" s="224" t="e">
        <v>#DIV/0!</v>
      </c>
      <c r="M251" s="224" t="e">
        <v>#DIV/0!</v>
      </c>
      <c r="N251" s="224" t="e">
        <v>#DIV/0!</v>
      </c>
      <c r="O251" s="224" t="e">
        <v>#DIV/0!</v>
      </c>
      <c r="P251" s="224" t="e">
        <v>#DIV/0!</v>
      </c>
      <c r="Q251" s="224" t="e">
        <v>#DIV/0!</v>
      </c>
      <c r="R251" s="224" t="e">
        <v>#DIV/0!</v>
      </c>
      <c r="S251" s="224" t="e">
        <v>#DIV/0!</v>
      </c>
      <c r="T251" s="224" t="e">
        <v>#DIV/0!</v>
      </c>
      <c r="U251" s="224" t="e">
        <v>#DIV/0!</v>
      </c>
      <c r="V251" s="224" t="e">
        <v>#DIV/0!</v>
      </c>
      <c r="W251" s="224" t="e">
        <v>#DIV/0!</v>
      </c>
      <c r="X251" s="224" t="e">
        <v>#DIV/0!</v>
      </c>
      <c r="Y251" s="224" t="e">
        <v>#DIV/0!</v>
      </c>
      <c r="Z251" s="224" t="e">
        <v>#DIV/0!</v>
      </c>
      <c r="AA251" s="224" t="e">
        <v>#DIV/0!</v>
      </c>
      <c r="AB251" s="224" t="e">
        <v>#DIV/0!</v>
      </c>
      <c r="AC251" s="224" t="e">
        <v>#DIV/0!</v>
      </c>
      <c r="AD251" s="224" t="e">
        <v>#DIV/0!</v>
      </c>
      <c r="AE251" s="224" t="e">
        <v>#DIV/0!</v>
      </c>
      <c r="AF251" s="224" t="e">
        <v>#DIV/0!</v>
      </c>
      <c r="AG251" s="224" t="e">
        <v>#DIV/0!</v>
      </c>
      <c r="AH251" s="224" t="e">
        <v>#DIV/0!</v>
      </c>
      <c r="AI251" s="224" t="e">
        <v>#DIV/0!</v>
      </c>
      <c r="AJ251" s="224" t="e">
        <v>#DIV/0!</v>
      </c>
      <c r="AK251" s="224" t="e">
        <v>#DIV/0!</v>
      </c>
      <c r="AL251" s="224" t="e">
        <v>#DIV/0!</v>
      </c>
      <c r="AM251" s="224" t="e">
        <v>#DIV/0!</v>
      </c>
      <c r="AN251" s="1120" t="e">
        <v>#DIV/0!</v>
      </c>
      <c r="AO251" s="224" t="e">
        <f t="shared" si="16"/>
        <v>#DIV/0!</v>
      </c>
      <c r="AP251" s="1123">
        <v>0.1</v>
      </c>
      <c r="AQ251" s="1123">
        <f t="shared" si="18"/>
        <v>6.6157067752379534E-2</v>
      </c>
      <c r="AR251" s="1123">
        <v>20</v>
      </c>
      <c r="AS251" s="1123" t="e">
        <f t="shared" si="19"/>
        <v>#DIV/0!</v>
      </c>
      <c r="AT251" s="224" t="e">
        <f t="shared" si="17"/>
        <v>#DIV/0!</v>
      </c>
    </row>
    <row r="252" spans="1:46">
      <c r="A252" s="1118">
        <v>2050</v>
      </c>
      <c r="D252" s="1107" t="s">
        <v>2064</v>
      </c>
      <c r="E252" s="71" t="s">
        <v>2060</v>
      </c>
      <c r="G252" s="224">
        <v>8535.8837748748629</v>
      </c>
      <c r="H252" s="224">
        <v>4500</v>
      </c>
      <c r="I252" s="224">
        <v>107.98875</v>
      </c>
      <c r="J252" s="224">
        <v>6.25136907746566E-2</v>
      </c>
      <c r="K252" s="224">
        <v>7.2210247963338511E-2</v>
      </c>
      <c r="L252" s="224">
        <v>8.7750578230701426E-2</v>
      </c>
      <c r="M252" s="224">
        <v>2.0976099809536165E-2</v>
      </c>
      <c r="N252" s="224">
        <v>2.4864927210847324E-2</v>
      </c>
      <c r="O252" s="224">
        <v>2.9333478491419988E-2</v>
      </c>
      <c r="P252" s="224">
        <v>-15.910871775069657</v>
      </c>
      <c r="Q252" s="224">
        <v>-7.1516626140394446E-2</v>
      </c>
      <c r="R252" s="224">
        <v>-54.104516016274395</v>
      </c>
      <c r="S252" s="224">
        <v>789.87792975465629</v>
      </c>
      <c r="T252" s="224">
        <v>936.3159694670901</v>
      </c>
      <c r="U252" s="224">
        <v>1104.5841445115577</v>
      </c>
      <c r="V252" s="224">
        <v>110</v>
      </c>
      <c r="W252" s="224">
        <v>280.08470490000002</v>
      </c>
      <c r="X252" s="224">
        <v>420.12705735000003</v>
      </c>
      <c r="Y252" s="224">
        <v>107.36812500000001</v>
      </c>
      <c r="Z252" s="224">
        <v>0</v>
      </c>
      <c r="AA252" s="224">
        <v>4.2958836702726426</v>
      </c>
      <c r="AB252" s="224">
        <v>5.9457380606827392</v>
      </c>
      <c r="AC252" s="224">
        <v>8.0525528312865138</v>
      </c>
      <c r="AD252" s="224">
        <v>4.8066115573072752</v>
      </c>
      <c r="AE252" s="224">
        <v>8511.9824973604864</v>
      </c>
      <c r="AF252" s="224">
        <v>1563.0066244371621</v>
      </c>
      <c r="AG252" s="224">
        <v>10481.31055098559</v>
      </c>
      <c r="AH252" s="224">
        <v>0</v>
      </c>
      <c r="AI252" s="224">
        <v>40800</v>
      </c>
      <c r="AJ252" s="224">
        <v>0</v>
      </c>
      <c r="AK252" s="224">
        <v>4842.5801991868502</v>
      </c>
      <c r="AL252" s="224">
        <v>0</v>
      </c>
      <c r="AM252" s="224">
        <v>240</v>
      </c>
      <c r="AN252" s="1120">
        <v>66438.879871970086</v>
      </c>
      <c r="AO252" s="224">
        <f t="shared" si="16"/>
        <v>0.63331913879080648</v>
      </c>
      <c r="AP252" s="1123">
        <v>0.1</v>
      </c>
      <c r="AQ252" s="1123">
        <f t="shared" si="18"/>
        <v>6.6157067752379534E-2</v>
      </c>
      <c r="AR252" s="1123">
        <v>20</v>
      </c>
      <c r="AS252" s="1123">
        <f t="shared" si="19"/>
        <v>0.29192624865730749</v>
      </c>
      <c r="AT252" s="224">
        <f t="shared" si="17"/>
        <v>4395.4014770821295</v>
      </c>
    </row>
    <row r="253" spans="1:46">
      <c r="A253" s="1118">
        <v>2017</v>
      </c>
      <c r="D253" s="1107" t="s">
        <v>2064</v>
      </c>
      <c r="E253" s="224" t="s">
        <v>2061</v>
      </c>
      <c r="G253" s="224">
        <v>8046.2394769900002</v>
      </c>
      <c r="H253" s="224">
        <v>4500</v>
      </c>
      <c r="I253" s="224">
        <v>200.71012500000001</v>
      </c>
      <c r="J253" s="224">
        <v>0</v>
      </c>
      <c r="K253" s="224">
        <v>0</v>
      </c>
      <c r="L253" s="224">
        <v>0</v>
      </c>
      <c r="M253" s="224">
        <v>0</v>
      </c>
      <c r="N253" s="224">
        <v>0</v>
      </c>
      <c r="O253" s="224">
        <v>0</v>
      </c>
      <c r="P253" s="224">
        <v>0</v>
      </c>
      <c r="Q253" s="224">
        <v>0</v>
      </c>
      <c r="R253" s="224">
        <v>0</v>
      </c>
      <c r="S253" s="224">
        <v>776.86862174944338</v>
      </c>
      <c r="T253" s="224">
        <v>1031.7341707930466</v>
      </c>
      <c r="U253" s="224">
        <v>1188.8652973642702</v>
      </c>
      <c r="V253" s="224">
        <v>0</v>
      </c>
      <c r="W253" s="224">
        <v>287.99307429999999</v>
      </c>
      <c r="X253" s="224">
        <v>431.98961144999998</v>
      </c>
      <c r="Y253" s="224">
        <v>200.71012500000001</v>
      </c>
      <c r="Z253" s="224">
        <v>0</v>
      </c>
      <c r="AA253" s="224">
        <v>3.0950941105555514</v>
      </c>
      <c r="AB253" s="224">
        <v>4.1104947043547675</v>
      </c>
      <c r="AC253" s="224">
        <v>4.7365151289413161</v>
      </c>
      <c r="AD253" s="1120">
        <v>4.9906580019543947</v>
      </c>
      <c r="AE253" s="224">
        <v>0</v>
      </c>
      <c r="AF253" s="224">
        <v>13066.65288747</v>
      </c>
      <c r="AG253" s="224">
        <v>114200.0469225</v>
      </c>
      <c r="AH253" s="224">
        <v>0</v>
      </c>
      <c r="AI253" s="224">
        <v>40800</v>
      </c>
      <c r="AJ253" s="224">
        <v>0</v>
      </c>
      <c r="AK253" s="224">
        <v>745.98720000000003</v>
      </c>
      <c r="AL253" s="224">
        <v>0</v>
      </c>
      <c r="AM253" s="224">
        <v>0</v>
      </c>
      <c r="AN253" s="1120">
        <v>168812.68700997002</v>
      </c>
      <c r="AO253" s="224">
        <f t="shared" si="16"/>
        <v>0.65756909833751098</v>
      </c>
      <c r="AP253" s="1123">
        <v>0.1</v>
      </c>
      <c r="AQ253" s="1123">
        <f t="shared" si="18"/>
        <v>6.6157067752379534E-2</v>
      </c>
      <c r="AR253" s="1123">
        <v>20</v>
      </c>
      <c r="AS253" s="1123">
        <f t="shared" si="19"/>
        <v>0.30310418295134633</v>
      </c>
      <c r="AT253" s="224">
        <f t="shared" si="17"/>
        <v>11168.152371979826</v>
      </c>
    </row>
    <row r="254" spans="1:46">
      <c r="A254" s="1121">
        <v>2020</v>
      </c>
      <c r="D254" s="1107" t="s">
        <v>2064</v>
      </c>
      <c r="E254" s="224" t="s">
        <v>2061</v>
      </c>
      <c r="G254" s="224" t="e">
        <v>#DIV/0!</v>
      </c>
      <c r="H254" s="224" t="e">
        <v>#DIV/0!</v>
      </c>
      <c r="I254" s="224" t="e">
        <v>#DIV/0!</v>
      </c>
      <c r="J254" s="224" t="e">
        <v>#DIV/0!</v>
      </c>
      <c r="K254" s="224" t="e">
        <v>#DIV/0!</v>
      </c>
      <c r="L254" s="224" t="e">
        <v>#DIV/0!</v>
      </c>
      <c r="M254" s="224" t="e">
        <v>#DIV/0!</v>
      </c>
      <c r="N254" s="224" t="e">
        <v>#DIV/0!</v>
      </c>
      <c r="O254" s="224" t="e">
        <v>#DIV/0!</v>
      </c>
      <c r="P254" s="224" t="e">
        <v>#DIV/0!</v>
      </c>
      <c r="Q254" s="224" t="e">
        <v>#DIV/0!</v>
      </c>
      <c r="R254" s="224" t="e">
        <v>#DIV/0!</v>
      </c>
      <c r="S254" s="224" t="e">
        <v>#DIV/0!</v>
      </c>
      <c r="T254" s="224" t="e">
        <v>#DIV/0!</v>
      </c>
      <c r="U254" s="224" t="e">
        <v>#DIV/0!</v>
      </c>
      <c r="V254" s="224" t="e">
        <v>#DIV/0!</v>
      </c>
      <c r="W254" s="224" t="e">
        <v>#DIV/0!</v>
      </c>
      <c r="X254" s="224" t="e">
        <v>#DIV/0!</v>
      </c>
      <c r="Y254" s="224" t="e">
        <v>#DIV/0!</v>
      </c>
      <c r="Z254" s="224" t="e">
        <v>#DIV/0!</v>
      </c>
      <c r="AA254" s="224" t="e">
        <v>#DIV/0!</v>
      </c>
      <c r="AB254" s="224" t="e">
        <v>#DIV/0!</v>
      </c>
      <c r="AC254" s="224" t="e">
        <v>#DIV/0!</v>
      </c>
      <c r="AD254" s="1120" t="e">
        <v>#DIV/0!</v>
      </c>
      <c r="AE254" s="224" t="e">
        <v>#DIV/0!</v>
      </c>
      <c r="AF254" s="224" t="e">
        <v>#DIV/0!</v>
      </c>
      <c r="AG254" s="224" t="e">
        <v>#DIV/0!</v>
      </c>
      <c r="AH254" s="224" t="e">
        <v>#DIV/0!</v>
      </c>
      <c r="AI254" s="224" t="e">
        <v>#DIV/0!</v>
      </c>
      <c r="AJ254" s="224" t="e">
        <v>#DIV/0!</v>
      </c>
      <c r="AK254" s="224" t="e">
        <v>#DIV/0!</v>
      </c>
      <c r="AL254" s="224" t="e">
        <v>#DIV/0!</v>
      </c>
      <c r="AM254" s="224" t="e">
        <v>#DIV/0!</v>
      </c>
      <c r="AN254" s="1120" t="e">
        <v>#DIV/0!</v>
      </c>
      <c r="AO254" s="224" t="e">
        <f t="shared" si="16"/>
        <v>#DIV/0!</v>
      </c>
      <c r="AP254" s="1123">
        <v>0.1</v>
      </c>
      <c r="AQ254" s="1123">
        <f t="shared" si="18"/>
        <v>6.6157067752379534E-2</v>
      </c>
      <c r="AR254" s="1123">
        <v>20</v>
      </c>
      <c r="AS254" s="1123" t="e">
        <f t="shared" si="19"/>
        <v>#DIV/0!</v>
      </c>
      <c r="AT254" s="224" t="e">
        <f t="shared" si="17"/>
        <v>#DIV/0!</v>
      </c>
    </row>
    <row r="255" spans="1:46">
      <c r="A255" s="1118">
        <v>2025</v>
      </c>
      <c r="D255" s="1107" t="s">
        <v>2064</v>
      </c>
      <c r="E255" s="224" t="s">
        <v>2061</v>
      </c>
      <c r="G255" s="224" t="e">
        <v>#DIV/0!</v>
      </c>
      <c r="H255" s="224" t="e">
        <v>#DIV/0!</v>
      </c>
      <c r="I255" s="224" t="e">
        <v>#DIV/0!</v>
      </c>
      <c r="J255" s="224" t="e">
        <v>#DIV/0!</v>
      </c>
      <c r="K255" s="224" t="e">
        <v>#DIV/0!</v>
      </c>
      <c r="L255" s="224" t="e">
        <v>#DIV/0!</v>
      </c>
      <c r="M255" s="224" t="e">
        <v>#DIV/0!</v>
      </c>
      <c r="N255" s="224" t="e">
        <v>#DIV/0!</v>
      </c>
      <c r="O255" s="224" t="e">
        <v>#DIV/0!</v>
      </c>
      <c r="P255" s="224" t="e">
        <v>#DIV/0!</v>
      </c>
      <c r="Q255" s="224" t="e">
        <v>#DIV/0!</v>
      </c>
      <c r="R255" s="224" t="e">
        <v>#DIV/0!</v>
      </c>
      <c r="S255" s="224" t="e">
        <v>#DIV/0!</v>
      </c>
      <c r="T255" s="224" t="e">
        <v>#DIV/0!</v>
      </c>
      <c r="U255" s="224" t="e">
        <v>#DIV/0!</v>
      </c>
      <c r="V255" s="224" t="e">
        <v>#DIV/0!</v>
      </c>
      <c r="W255" s="224" t="e">
        <v>#DIV/0!</v>
      </c>
      <c r="X255" s="224" t="e">
        <v>#DIV/0!</v>
      </c>
      <c r="Y255" s="224" t="e">
        <v>#DIV/0!</v>
      </c>
      <c r="Z255" s="224" t="e">
        <v>#DIV/0!</v>
      </c>
      <c r="AA255" s="224" t="e">
        <v>#DIV/0!</v>
      </c>
      <c r="AB255" s="224" t="e">
        <v>#DIV/0!</v>
      </c>
      <c r="AC255" s="224" t="e">
        <v>#DIV/0!</v>
      </c>
      <c r="AD255" s="1120" t="e">
        <v>#DIV/0!</v>
      </c>
      <c r="AE255" s="224" t="e">
        <v>#DIV/0!</v>
      </c>
      <c r="AF255" s="224" t="e">
        <v>#DIV/0!</v>
      </c>
      <c r="AG255" s="224" t="e">
        <v>#DIV/0!</v>
      </c>
      <c r="AH255" s="224" t="e">
        <v>#DIV/0!</v>
      </c>
      <c r="AI255" s="224" t="e">
        <v>#DIV/0!</v>
      </c>
      <c r="AJ255" s="224" t="e">
        <v>#DIV/0!</v>
      </c>
      <c r="AK255" s="224" t="e">
        <v>#DIV/0!</v>
      </c>
      <c r="AL255" s="224" t="e">
        <v>#DIV/0!</v>
      </c>
      <c r="AM255" s="224" t="e">
        <v>#DIV/0!</v>
      </c>
      <c r="AN255" s="1120" t="e">
        <v>#DIV/0!</v>
      </c>
      <c r="AO255" s="224" t="e">
        <f t="shared" si="16"/>
        <v>#DIV/0!</v>
      </c>
      <c r="AP255" s="1123">
        <v>0.1</v>
      </c>
      <c r="AQ255" s="1123">
        <f t="shared" si="18"/>
        <v>6.6157067752379534E-2</v>
      </c>
      <c r="AR255" s="1123">
        <v>20</v>
      </c>
      <c r="AS255" s="1123" t="e">
        <f t="shared" si="19"/>
        <v>#DIV/0!</v>
      </c>
      <c r="AT255" s="224" t="e">
        <f t="shared" si="17"/>
        <v>#DIV/0!</v>
      </c>
    </row>
    <row r="256" spans="1:46">
      <c r="A256" s="1118">
        <v>2030</v>
      </c>
      <c r="D256" s="1107" t="s">
        <v>2064</v>
      </c>
      <c r="E256" s="71" t="s">
        <v>2061</v>
      </c>
      <c r="G256" s="224">
        <v>8046.2394769900002</v>
      </c>
      <c r="H256" s="224">
        <v>4500</v>
      </c>
      <c r="I256" s="224">
        <v>200.71012500000001</v>
      </c>
      <c r="J256" s="224">
        <v>0</v>
      </c>
      <c r="K256" s="224">
        <v>0</v>
      </c>
      <c r="L256" s="224">
        <v>0</v>
      </c>
      <c r="M256" s="224">
        <v>0</v>
      </c>
      <c r="N256" s="224">
        <v>0</v>
      </c>
      <c r="O256" s="224">
        <v>0</v>
      </c>
      <c r="P256" s="224">
        <v>0</v>
      </c>
      <c r="Q256" s="224">
        <v>0</v>
      </c>
      <c r="R256" s="224">
        <v>0</v>
      </c>
      <c r="S256" s="224">
        <v>776.86862174944338</v>
      </c>
      <c r="T256" s="224">
        <v>1031.7341707930466</v>
      </c>
      <c r="U256" s="224">
        <v>1188.8652973642702</v>
      </c>
      <c r="V256" s="224">
        <v>0</v>
      </c>
      <c r="W256" s="224">
        <v>287.99307429999999</v>
      </c>
      <c r="X256" s="224">
        <v>431.98961144999998</v>
      </c>
      <c r="Y256" s="224">
        <v>200.71012500000001</v>
      </c>
      <c r="Z256" s="224">
        <v>0</v>
      </c>
      <c r="AA256" s="224">
        <v>3.0950941105555514</v>
      </c>
      <c r="AB256" s="224">
        <v>4.1104947043547675</v>
      </c>
      <c r="AC256" s="224">
        <v>4.7365151289413161</v>
      </c>
      <c r="AD256" s="224">
        <v>4.9906580019543947</v>
      </c>
      <c r="AE256" s="224">
        <v>0</v>
      </c>
      <c r="AF256" s="224">
        <v>3253.7393248286949</v>
      </c>
      <c r="AG256" s="224">
        <v>36092.357737734375</v>
      </c>
      <c r="AH256" s="224">
        <v>0</v>
      </c>
      <c r="AI256" s="224">
        <v>40800</v>
      </c>
      <c r="AJ256" s="224">
        <v>0</v>
      </c>
      <c r="AK256" s="224">
        <v>3508.0290601924276</v>
      </c>
      <c r="AL256" s="224">
        <v>0</v>
      </c>
      <c r="AM256" s="224">
        <v>0</v>
      </c>
      <c r="AN256" s="1120">
        <v>83654.126122755493</v>
      </c>
      <c r="AO256" s="224">
        <f t="shared" si="16"/>
        <v>0.65756909833751098</v>
      </c>
      <c r="AP256" s="1123">
        <v>0.1</v>
      </c>
      <c r="AQ256" s="1123">
        <f t="shared" si="18"/>
        <v>6.6157067752379534E-2</v>
      </c>
      <c r="AR256" s="1123">
        <v>20</v>
      </c>
      <c r="AS256" s="1123">
        <f t="shared" si="19"/>
        <v>0.30310418295134633</v>
      </c>
      <c r="AT256" s="224">
        <f t="shared" si="17"/>
        <v>5534.3116896692381</v>
      </c>
    </row>
    <row r="257" spans="1:46">
      <c r="A257" s="1118">
        <v>2035</v>
      </c>
      <c r="D257" s="1107" t="s">
        <v>2064</v>
      </c>
      <c r="E257" s="224" t="s">
        <v>2061</v>
      </c>
      <c r="G257" s="224" t="e">
        <v>#DIV/0!</v>
      </c>
      <c r="H257" s="224" t="e">
        <v>#DIV/0!</v>
      </c>
      <c r="I257" s="224" t="e">
        <v>#DIV/0!</v>
      </c>
      <c r="J257" s="224" t="e">
        <v>#DIV/0!</v>
      </c>
      <c r="K257" s="224" t="e">
        <v>#DIV/0!</v>
      </c>
      <c r="L257" s="224" t="e">
        <v>#DIV/0!</v>
      </c>
      <c r="M257" s="224" t="e">
        <v>#DIV/0!</v>
      </c>
      <c r="N257" s="224" t="e">
        <v>#DIV/0!</v>
      </c>
      <c r="O257" s="224" t="e">
        <v>#DIV/0!</v>
      </c>
      <c r="P257" s="224" t="e">
        <v>#DIV/0!</v>
      </c>
      <c r="Q257" s="224" t="e">
        <v>#DIV/0!</v>
      </c>
      <c r="R257" s="224" t="e">
        <v>#DIV/0!</v>
      </c>
      <c r="S257" s="224" t="e">
        <v>#DIV/0!</v>
      </c>
      <c r="T257" s="224" t="e">
        <v>#DIV/0!</v>
      </c>
      <c r="U257" s="224" t="e">
        <v>#DIV/0!</v>
      </c>
      <c r="V257" s="224" t="e">
        <v>#DIV/0!</v>
      </c>
      <c r="W257" s="224" t="e">
        <v>#DIV/0!</v>
      </c>
      <c r="X257" s="224" t="e">
        <v>#DIV/0!</v>
      </c>
      <c r="Y257" s="224" t="e">
        <v>#DIV/0!</v>
      </c>
      <c r="Z257" s="224" t="e">
        <v>#DIV/0!</v>
      </c>
      <c r="AA257" s="224" t="e">
        <v>#DIV/0!</v>
      </c>
      <c r="AB257" s="224" t="e">
        <v>#DIV/0!</v>
      </c>
      <c r="AC257" s="224" t="e">
        <v>#DIV/0!</v>
      </c>
      <c r="AD257" s="224" t="e">
        <v>#DIV/0!</v>
      </c>
      <c r="AE257" s="224" t="e">
        <v>#DIV/0!</v>
      </c>
      <c r="AF257" s="224" t="e">
        <v>#DIV/0!</v>
      </c>
      <c r="AG257" s="224" t="e">
        <v>#DIV/0!</v>
      </c>
      <c r="AH257" s="224" t="e">
        <v>#DIV/0!</v>
      </c>
      <c r="AI257" s="224" t="e">
        <v>#DIV/0!</v>
      </c>
      <c r="AJ257" s="224" t="e">
        <v>#DIV/0!</v>
      </c>
      <c r="AK257" s="224" t="e">
        <v>#DIV/0!</v>
      </c>
      <c r="AL257" s="224" t="e">
        <v>#DIV/0!</v>
      </c>
      <c r="AM257" s="224" t="e">
        <v>#DIV/0!</v>
      </c>
      <c r="AN257" s="1120" t="e">
        <v>#DIV/0!</v>
      </c>
      <c r="AO257" s="224" t="e">
        <f t="shared" si="16"/>
        <v>#DIV/0!</v>
      </c>
      <c r="AP257" s="1123">
        <v>0.1</v>
      </c>
      <c r="AQ257" s="1123">
        <f t="shared" si="18"/>
        <v>6.6157067752379534E-2</v>
      </c>
      <c r="AR257" s="1123">
        <v>20</v>
      </c>
      <c r="AS257" s="1123" t="e">
        <f t="shared" si="19"/>
        <v>#DIV/0!</v>
      </c>
      <c r="AT257" s="224" t="e">
        <f t="shared" si="17"/>
        <v>#DIV/0!</v>
      </c>
    </row>
    <row r="258" spans="1:46">
      <c r="A258" s="1118">
        <v>2050</v>
      </c>
      <c r="D258" s="1107" t="s">
        <v>2064</v>
      </c>
      <c r="E258" s="71" t="s">
        <v>2061</v>
      </c>
      <c r="G258" s="224">
        <v>8046.2394769900002</v>
      </c>
      <c r="H258" s="224">
        <v>4500</v>
      </c>
      <c r="I258" s="224">
        <v>200.71012500000001</v>
      </c>
      <c r="J258" s="224">
        <v>0</v>
      </c>
      <c r="K258" s="224">
        <v>0</v>
      </c>
      <c r="L258" s="224">
        <v>0</v>
      </c>
      <c r="M258" s="224">
        <v>0</v>
      </c>
      <c r="N258" s="224">
        <v>0</v>
      </c>
      <c r="O258" s="224">
        <v>0</v>
      </c>
      <c r="P258" s="224">
        <v>0</v>
      </c>
      <c r="Q258" s="224">
        <v>0</v>
      </c>
      <c r="R258" s="224">
        <v>0</v>
      </c>
      <c r="S258" s="224">
        <v>776.86862174944338</v>
      </c>
      <c r="T258" s="224">
        <v>1031.7341707930466</v>
      </c>
      <c r="U258" s="224">
        <v>1188.8652973642702</v>
      </c>
      <c r="V258" s="224">
        <v>0</v>
      </c>
      <c r="W258" s="224">
        <v>287.99307429999999</v>
      </c>
      <c r="X258" s="224">
        <v>431.98961144999998</v>
      </c>
      <c r="Y258" s="224">
        <v>200.71012500000001</v>
      </c>
      <c r="Z258" s="224">
        <v>0</v>
      </c>
      <c r="AA258" s="224">
        <v>3.0950941105555514</v>
      </c>
      <c r="AB258" s="224">
        <v>4.1104947043547675</v>
      </c>
      <c r="AC258" s="224">
        <v>4.7365151289413161</v>
      </c>
      <c r="AD258" s="224">
        <v>4.9906580019543947</v>
      </c>
      <c r="AE258" s="224">
        <v>0</v>
      </c>
      <c r="AF258" s="224">
        <v>1546.6183067382544</v>
      </c>
      <c r="AG258" s="224">
        <v>19689.252284624996</v>
      </c>
      <c r="AH258" s="224">
        <v>0</v>
      </c>
      <c r="AI258" s="224">
        <v>40800</v>
      </c>
      <c r="AJ258" s="224">
        <v>0</v>
      </c>
      <c r="AK258" s="224">
        <v>4842.5801991868502</v>
      </c>
      <c r="AL258" s="224">
        <v>0</v>
      </c>
      <c r="AM258" s="224">
        <v>0</v>
      </c>
      <c r="AN258" s="1120">
        <v>66878.450790550094</v>
      </c>
      <c r="AO258" s="224">
        <f t="shared" si="16"/>
        <v>0.65756909833751098</v>
      </c>
      <c r="AP258" s="1123">
        <v>0.1</v>
      </c>
      <c r="AQ258" s="1123">
        <f t="shared" si="18"/>
        <v>6.6157067752379534E-2</v>
      </c>
      <c r="AR258" s="1123">
        <v>20</v>
      </c>
      <c r="AS258" s="1123">
        <f t="shared" si="19"/>
        <v>0.30310418295134633</v>
      </c>
      <c r="AT258" s="224">
        <f t="shared" si="17"/>
        <v>4424.482200124603</v>
      </c>
    </row>
    <row r="259" spans="1:46">
      <c r="A259" s="1118">
        <v>2017</v>
      </c>
      <c r="D259" s="1107" t="s">
        <v>2064</v>
      </c>
      <c r="E259" s="224" t="s">
        <v>2062</v>
      </c>
      <c r="G259" s="224">
        <v>7952.1925725600022</v>
      </c>
      <c r="H259" s="224">
        <v>4500</v>
      </c>
      <c r="I259" s="224">
        <v>5.3697600000000003</v>
      </c>
      <c r="J259" s="224">
        <v>4.9205156496759085E-2</v>
      </c>
      <c r="K259" s="224">
        <v>4.9492795596186377E-2</v>
      </c>
      <c r="L259" s="224">
        <v>5.738214250235537E-2</v>
      </c>
      <c r="M259" s="224">
        <v>0</v>
      </c>
      <c r="N259" s="224">
        <v>0</v>
      </c>
      <c r="O259" s="224">
        <v>0</v>
      </c>
      <c r="P259" s="224">
        <v>0</v>
      </c>
      <c r="Q259" s="224">
        <v>0</v>
      </c>
      <c r="R259" s="224">
        <v>0</v>
      </c>
      <c r="S259" s="224">
        <v>0</v>
      </c>
      <c r="T259" s="224">
        <v>0</v>
      </c>
      <c r="U259" s="224">
        <v>0</v>
      </c>
      <c r="V259" s="224">
        <v>0</v>
      </c>
      <c r="W259" s="224">
        <v>370.01442309999999</v>
      </c>
      <c r="X259" s="224">
        <v>167.14808612440189</v>
      </c>
      <c r="Y259" s="224">
        <v>5.3697600000000003</v>
      </c>
      <c r="Z259" s="224">
        <v>240.08003669999999</v>
      </c>
      <c r="AA259" s="224">
        <v>7.3807734745138625</v>
      </c>
      <c r="AB259" s="224">
        <v>7.4239193394279566</v>
      </c>
      <c r="AC259" s="224">
        <v>8.6073213753533047</v>
      </c>
      <c r="AD259" s="1120">
        <v>10.162476287272719</v>
      </c>
      <c r="AE259" s="224">
        <v>0</v>
      </c>
      <c r="AF259" s="224">
        <v>16585.368750989997</v>
      </c>
      <c r="AG259" s="224">
        <v>7287.6565550239238</v>
      </c>
      <c r="AH259" s="224">
        <v>0</v>
      </c>
      <c r="AI259" s="224">
        <v>40800</v>
      </c>
      <c r="AJ259" s="224">
        <v>0</v>
      </c>
      <c r="AK259" s="224">
        <v>745.98720000000003</v>
      </c>
      <c r="AL259" s="224">
        <v>115143.24</v>
      </c>
      <c r="AM259" s="224">
        <v>9755.5863280000012</v>
      </c>
      <c r="AN259" s="1120">
        <v>190317.83883401394</v>
      </c>
      <c r="AO259" s="224">
        <f t="shared" si="16"/>
        <v>1.3390078756110533</v>
      </c>
      <c r="AP259" s="1123">
        <v>0.1</v>
      </c>
      <c r="AQ259" s="1123">
        <f t="shared" si="18"/>
        <v>6.6157067752379534E-2</v>
      </c>
      <c r="AR259" s="1123">
        <v>20</v>
      </c>
      <c r="AS259" s="1123">
        <f t="shared" si="19"/>
        <v>0.61721101117527088</v>
      </c>
      <c r="AT259" s="224">
        <f t="shared" si="17"/>
        <v>12590.870158228308</v>
      </c>
    </row>
    <row r="260" spans="1:46">
      <c r="A260" s="1121">
        <v>2020</v>
      </c>
      <c r="D260" s="1107" t="s">
        <v>2064</v>
      </c>
      <c r="E260" s="224" t="s">
        <v>2062</v>
      </c>
      <c r="G260" s="224" t="e">
        <v>#DIV/0!</v>
      </c>
      <c r="H260" s="224" t="e">
        <v>#DIV/0!</v>
      </c>
      <c r="I260" s="224" t="e">
        <v>#DIV/0!</v>
      </c>
      <c r="J260" s="224" t="e">
        <v>#DIV/0!</v>
      </c>
      <c r="K260" s="224" t="e">
        <v>#DIV/0!</v>
      </c>
      <c r="L260" s="224" t="e">
        <v>#DIV/0!</v>
      </c>
      <c r="M260" s="224" t="e">
        <v>#DIV/0!</v>
      </c>
      <c r="N260" s="224" t="e">
        <v>#DIV/0!</v>
      </c>
      <c r="O260" s="224" t="e">
        <v>#DIV/0!</v>
      </c>
      <c r="P260" s="224" t="e">
        <v>#DIV/0!</v>
      </c>
      <c r="Q260" s="224" t="e">
        <v>#DIV/0!</v>
      </c>
      <c r="R260" s="224" t="e">
        <v>#DIV/0!</v>
      </c>
      <c r="S260" s="224" t="e">
        <v>#DIV/0!</v>
      </c>
      <c r="T260" s="224" t="e">
        <v>#DIV/0!</v>
      </c>
      <c r="U260" s="224" t="e">
        <v>#DIV/0!</v>
      </c>
      <c r="V260" s="224" t="e">
        <v>#DIV/0!</v>
      </c>
      <c r="W260" s="224" t="e">
        <v>#DIV/0!</v>
      </c>
      <c r="X260" s="224" t="e">
        <v>#DIV/0!</v>
      </c>
      <c r="Y260" s="224" t="e">
        <v>#DIV/0!</v>
      </c>
      <c r="Z260" s="224" t="e">
        <v>#DIV/0!</v>
      </c>
      <c r="AA260" s="224" t="e">
        <v>#DIV/0!</v>
      </c>
      <c r="AB260" s="224" t="e">
        <v>#DIV/0!</v>
      </c>
      <c r="AC260" s="224" t="e">
        <v>#DIV/0!</v>
      </c>
      <c r="AD260" s="1120" t="e">
        <v>#DIV/0!</v>
      </c>
      <c r="AE260" s="224" t="e">
        <v>#DIV/0!</v>
      </c>
      <c r="AF260" s="224" t="e">
        <v>#DIV/0!</v>
      </c>
      <c r="AG260" s="224" t="e">
        <v>#DIV/0!</v>
      </c>
      <c r="AH260" s="224" t="e">
        <v>#DIV/0!</v>
      </c>
      <c r="AI260" s="224" t="e">
        <v>#DIV/0!</v>
      </c>
      <c r="AJ260" s="224" t="e">
        <v>#DIV/0!</v>
      </c>
      <c r="AK260" s="224" t="e">
        <v>#DIV/0!</v>
      </c>
      <c r="AL260" s="224" t="e">
        <v>#DIV/0!</v>
      </c>
      <c r="AM260" s="224" t="e">
        <v>#DIV/0!</v>
      </c>
      <c r="AN260" s="1120" t="e">
        <v>#DIV/0!</v>
      </c>
      <c r="AO260" s="224" t="e">
        <f t="shared" si="16"/>
        <v>#DIV/0!</v>
      </c>
      <c r="AP260" s="1123">
        <v>0.1</v>
      </c>
      <c r="AQ260" s="1123">
        <f t="shared" si="18"/>
        <v>6.6157067752379534E-2</v>
      </c>
      <c r="AR260" s="1123">
        <v>20</v>
      </c>
      <c r="AS260" s="1123" t="e">
        <f t="shared" si="19"/>
        <v>#DIV/0!</v>
      </c>
      <c r="AT260" s="224" t="e">
        <f t="shared" si="17"/>
        <v>#DIV/0!</v>
      </c>
    </row>
    <row r="261" spans="1:46">
      <c r="A261" s="1118">
        <v>2025</v>
      </c>
      <c r="D261" s="1107" t="s">
        <v>2064</v>
      </c>
      <c r="E261" s="224" t="s">
        <v>2062</v>
      </c>
      <c r="G261" s="224" t="e">
        <v>#DIV/0!</v>
      </c>
      <c r="H261" s="224" t="e">
        <v>#DIV/0!</v>
      </c>
      <c r="I261" s="224" t="e">
        <v>#DIV/0!</v>
      </c>
      <c r="J261" s="224" t="e">
        <v>#DIV/0!</v>
      </c>
      <c r="K261" s="224" t="e">
        <v>#DIV/0!</v>
      </c>
      <c r="L261" s="224" t="e">
        <v>#DIV/0!</v>
      </c>
      <c r="M261" s="224" t="e">
        <v>#DIV/0!</v>
      </c>
      <c r="N261" s="224" t="e">
        <v>#DIV/0!</v>
      </c>
      <c r="O261" s="224" t="e">
        <v>#DIV/0!</v>
      </c>
      <c r="P261" s="224" t="e">
        <v>#DIV/0!</v>
      </c>
      <c r="Q261" s="224" t="e">
        <v>#DIV/0!</v>
      </c>
      <c r="R261" s="224" t="e">
        <v>#DIV/0!</v>
      </c>
      <c r="S261" s="224" t="e">
        <v>#DIV/0!</v>
      </c>
      <c r="T261" s="224" t="e">
        <v>#DIV/0!</v>
      </c>
      <c r="U261" s="224" t="e">
        <v>#DIV/0!</v>
      </c>
      <c r="V261" s="224" t="e">
        <v>#DIV/0!</v>
      </c>
      <c r="W261" s="224" t="e">
        <v>#DIV/0!</v>
      </c>
      <c r="X261" s="224" t="e">
        <v>#DIV/0!</v>
      </c>
      <c r="Y261" s="224" t="e">
        <v>#DIV/0!</v>
      </c>
      <c r="Z261" s="224" t="e">
        <v>#DIV/0!</v>
      </c>
      <c r="AA261" s="224" t="e">
        <v>#DIV/0!</v>
      </c>
      <c r="AB261" s="224" t="e">
        <v>#DIV/0!</v>
      </c>
      <c r="AC261" s="224" t="e">
        <v>#DIV/0!</v>
      </c>
      <c r="AD261" s="1120" t="e">
        <v>#DIV/0!</v>
      </c>
      <c r="AE261" s="224" t="e">
        <v>#DIV/0!</v>
      </c>
      <c r="AF261" s="224" t="e">
        <v>#DIV/0!</v>
      </c>
      <c r="AG261" s="224" t="e">
        <v>#DIV/0!</v>
      </c>
      <c r="AH261" s="224" t="e">
        <v>#DIV/0!</v>
      </c>
      <c r="AI261" s="224" t="e">
        <v>#DIV/0!</v>
      </c>
      <c r="AJ261" s="224" t="e">
        <v>#DIV/0!</v>
      </c>
      <c r="AK261" s="224" t="e">
        <v>#DIV/0!</v>
      </c>
      <c r="AL261" s="224" t="e">
        <v>#DIV/0!</v>
      </c>
      <c r="AM261" s="224" t="e">
        <v>#DIV/0!</v>
      </c>
      <c r="AN261" s="1120" t="e">
        <v>#DIV/0!</v>
      </c>
      <c r="AO261" s="224" t="e">
        <f t="shared" si="16"/>
        <v>#DIV/0!</v>
      </c>
      <c r="AP261" s="1123">
        <v>0.1</v>
      </c>
      <c r="AQ261" s="1123">
        <f t="shared" si="18"/>
        <v>6.6157067752379534E-2</v>
      </c>
      <c r="AR261" s="1123">
        <v>20</v>
      </c>
      <c r="AS261" s="1123" t="e">
        <f t="shared" si="19"/>
        <v>#DIV/0!</v>
      </c>
      <c r="AT261" s="224" t="e">
        <f t="shared" si="17"/>
        <v>#DIV/0!</v>
      </c>
    </row>
    <row r="262" spans="1:46">
      <c r="A262" s="1118">
        <v>2030</v>
      </c>
      <c r="D262" s="1107" t="s">
        <v>2064</v>
      </c>
      <c r="E262" s="224" t="s">
        <v>2062</v>
      </c>
      <c r="G262" s="224">
        <v>7191.931798060773</v>
      </c>
      <c r="H262" s="224">
        <v>4581</v>
      </c>
      <c r="I262" s="224">
        <v>4.7044800000000002</v>
      </c>
      <c r="J262" s="224">
        <v>3.474182465266723E-2</v>
      </c>
      <c r="K262" s="224">
        <v>3.3233851318587519E-2</v>
      </c>
      <c r="L262" s="224">
        <v>3.8292804914657884E-2</v>
      </c>
      <c r="M262" s="224">
        <v>0</v>
      </c>
      <c r="N262" s="224">
        <v>0</v>
      </c>
      <c r="O262" s="224">
        <v>0</v>
      </c>
      <c r="P262" s="224">
        <v>0</v>
      </c>
      <c r="Q262" s="224">
        <v>0</v>
      </c>
      <c r="R262" s="224">
        <v>0</v>
      </c>
      <c r="S262" s="224">
        <v>0</v>
      </c>
      <c r="T262" s="224">
        <v>0</v>
      </c>
      <c r="U262" s="224">
        <v>0</v>
      </c>
      <c r="V262" s="224">
        <v>0</v>
      </c>
      <c r="W262" s="224">
        <v>309.03279420000001</v>
      </c>
      <c r="X262" s="224">
        <v>88.905458515283811</v>
      </c>
      <c r="Y262" s="224">
        <v>4.7044800000000002</v>
      </c>
      <c r="Z262" s="224">
        <v>200.13358799999997</v>
      </c>
      <c r="AA262" s="224">
        <v>5.2112736979000847</v>
      </c>
      <c r="AB262" s="224">
        <v>4.9850776977881281</v>
      </c>
      <c r="AC262" s="224">
        <v>5.7439207371986827</v>
      </c>
      <c r="AD262" s="1120">
        <v>6.8196278650938442</v>
      </c>
      <c r="AE262" s="224">
        <v>0</v>
      </c>
      <c r="AF262" s="224">
        <v>2979.9723925296003</v>
      </c>
      <c r="AG262" s="224">
        <v>1973.7011790393003</v>
      </c>
      <c r="AH262" s="224">
        <v>0</v>
      </c>
      <c r="AI262" s="224">
        <v>40800</v>
      </c>
      <c r="AJ262" s="224">
        <v>1426.4912628</v>
      </c>
      <c r="AK262" s="224">
        <v>5614.4184944067338</v>
      </c>
      <c r="AL262" s="224">
        <v>23696.280000000002</v>
      </c>
      <c r="AM262" s="224">
        <v>3163.9884000000002</v>
      </c>
      <c r="AN262" s="1120">
        <v>79654.85172877564</v>
      </c>
      <c r="AO262" s="224">
        <f t="shared" si="16"/>
        <v>0.8985541675047648</v>
      </c>
      <c r="AP262" s="1123">
        <v>0.1</v>
      </c>
      <c r="AQ262" s="1123">
        <f t="shared" si="18"/>
        <v>6.6157067752379534E-2</v>
      </c>
      <c r="AR262" s="1123">
        <v>20</v>
      </c>
      <c r="AS262" s="1123">
        <f t="shared" si="19"/>
        <v>0.41418541027496214</v>
      </c>
      <c r="AT262" s="224">
        <f t="shared" si="17"/>
        <v>5269.7314226263561</v>
      </c>
    </row>
    <row r="263" spans="1:46">
      <c r="A263" s="1118">
        <v>2035</v>
      </c>
      <c r="D263" s="1107" t="s">
        <v>2064</v>
      </c>
      <c r="E263" s="224" t="s">
        <v>2062</v>
      </c>
      <c r="G263" s="224" t="e">
        <v>#DIV/0!</v>
      </c>
      <c r="H263" s="224" t="e">
        <v>#DIV/0!</v>
      </c>
      <c r="I263" s="224" t="e">
        <v>#DIV/0!</v>
      </c>
      <c r="J263" s="224" t="e">
        <v>#DIV/0!</v>
      </c>
      <c r="K263" s="224" t="e">
        <v>#DIV/0!</v>
      </c>
      <c r="L263" s="224" t="e">
        <v>#DIV/0!</v>
      </c>
      <c r="M263" s="224" t="e">
        <v>#DIV/0!</v>
      </c>
      <c r="N263" s="224" t="e">
        <v>#DIV/0!</v>
      </c>
      <c r="O263" s="224" t="e">
        <v>#DIV/0!</v>
      </c>
      <c r="P263" s="224" t="e">
        <v>#DIV/0!</v>
      </c>
      <c r="Q263" s="224" t="e">
        <v>#DIV/0!</v>
      </c>
      <c r="R263" s="224" t="e">
        <v>#DIV/0!</v>
      </c>
      <c r="S263" s="224" t="e">
        <v>#DIV/0!</v>
      </c>
      <c r="T263" s="224" t="e">
        <v>#DIV/0!</v>
      </c>
      <c r="U263" s="224" t="e">
        <v>#DIV/0!</v>
      </c>
      <c r="V263" s="224" t="e">
        <v>#DIV/0!</v>
      </c>
      <c r="W263" s="224" t="e">
        <v>#DIV/0!</v>
      </c>
      <c r="X263" s="224" t="e">
        <v>#DIV/0!</v>
      </c>
      <c r="Y263" s="224" t="e">
        <v>#DIV/0!</v>
      </c>
      <c r="Z263" s="224" t="e">
        <v>#DIV/0!</v>
      </c>
      <c r="AA263" s="224" t="e">
        <v>#DIV/0!</v>
      </c>
      <c r="AB263" s="224" t="e">
        <v>#DIV/0!</v>
      </c>
      <c r="AC263" s="224" t="e">
        <v>#DIV/0!</v>
      </c>
      <c r="AD263" s="1120" t="e">
        <v>#DIV/0!</v>
      </c>
      <c r="AE263" s="224" t="e">
        <v>#DIV/0!</v>
      </c>
      <c r="AF263" s="224" t="e">
        <v>#DIV/0!</v>
      </c>
      <c r="AG263" s="224" t="e">
        <v>#DIV/0!</v>
      </c>
      <c r="AH263" s="224" t="e">
        <v>#DIV/0!</v>
      </c>
      <c r="AI263" s="224" t="e">
        <v>#DIV/0!</v>
      </c>
      <c r="AJ263" s="224" t="e">
        <v>#DIV/0!</v>
      </c>
      <c r="AK263" s="224" t="e">
        <v>#DIV/0!</v>
      </c>
      <c r="AL263" s="224" t="e">
        <v>#DIV/0!</v>
      </c>
      <c r="AM263" s="224" t="e">
        <v>#DIV/0!</v>
      </c>
      <c r="AN263" s="1120" t="e">
        <v>#DIV/0!</v>
      </c>
      <c r="AO263" s="224" t="e">
        <f t="shared" si="16"/>
        <v>#DIV/0!</v>
      </c>
      <c r="AP263" s="1123">
        <v>0.1</v>
      </c>
      <c r="AQ263" s="1123">
        <f t="shared" si="18"/>
        <v>6.6157067752379534E-2</v>
      </c>
      <c r="AR263" s="1123">
        <v>20</v>
      </c>
      <c r="AS263" s="1123" t="e">
        <f t="shared" si="19"/>
        <v>#DIV/0!</v>
      </c>
      <c r="AT263" s="224" t="e">
        <f t="shared" si="17"/>
        <v>#DIV/0!</v>
      </c>
    </row>
    <row r="264" spans="1:46">
      <c r="A264" s="1118">
        <v>2050</v>
      </c>
      <c r="D264" s="1107" t="s">
        <v>2064</v>
      </c>
      <c r="E264" s="224" t="s">
        <v>2062</v>
      </c>
      <c r="G264" s="224">
        <v>6760.045691076979</v>
      </c>
      <c r="H264" s="224">
        <v>4699</v>
      </c>
      <c r="I264" s="224">
        <v>4.4035200000000003</v>
      </c>
      <c r="J264" s="224">
        <v>2.8349511023532413E-2</v>
      </c>
      <c r="K264" s="224">
        <v>2.8033731496655046E-2</v>
      </c>
      <c r="L264" s="224">
        <v>3.2465985586443084E-2</v>
      </c>
      <c r="M264" s="224">
        <v>0</v>
      </c>
      <c r="N264" s="224">
        <v>0</v>
      </c>
      <c r="O264" s="224">
        <v>0</v>
      </c>
      <c r="P264" s="224">
        <v>0</v>
      </c>
      <c r="Q264" s="224">
        <v>0</v>
      </c>
      <c r="R264" s="224">
        <v>0</v>
      </c>
      <c r="S264" s="224">
        <v>0</v>
      </c>
      <c r="T264" s="224">
        <v>0</v>
      </c>
      <c r="U264" s="224">
        <v>0</v>
      </c>
      <c r="V264" s="224">
        <v>0</v>
      </c>
      <c r="W264" s="224">
        <v>280.85784690000003</v>
      </c>
      <c r="X264" s="224">
        <v>83.217903930130973</v>
      </c>
      <c r="Y264" s="224">
        <v>4.4035200000000003</v>
      </c>
      <c r="Z264" s="224">
        <v>181.6958755</v>
      </c>
      <c r="AA264" s="224">
        <v>4.252426653529862</v>
      </c>
      <c r="AB264" s="224">
        <v>4.2050597244982573</v>
      </c>
      <c r="AC264" s="224">
        <v>4.8698978379664624</v>
      </c>
      <c r="AD264" s="1120">
        <v>5.4963813903230774</v>
      </c>
      <c r="AE264" s="224">
        <v>0</v>
      </c>
      <c r="AF264" s="224">
        <v>1380.5176651200002</v>
      </c>
      <c r="AG264" s="224">
        <v>1298.1993013100432</v>
      </c>
      <c r="AH264" s="224">
        <v>0</v>
      </c>
      <c r="AI264" s="224">
        <v>40800</v>
      </c>
      <c r="AJ264" s="224">
        <v>2092.7190328799998</v>
      </c>
      <c r="AK264" s="224">
        <v>6393.2965024452897</v>
      </c>
      <c r="AL264" s="224">
        <v>13082.4</v>
      </c>
      <c r="AM264" s="224">
        <v>1927.1699999999998</v>
      </c>
      <c r="AN264" s="1120">
        <v>66974.30250175533</v>
      </c>
      <c r="AO264" s="224">
        <f t="shared" si="16"/>
        <v>0.72420321198896864</v>
      </c>
      <c r="AP264" s="1123">
        <v>0.1</v>
      </c>
      <c r="AQ264" s="1123">
        <f t="shared" si="18"/>
        <v>6.6157067752379534E-2</v>
      </c>
      <c r="AR264" s="1123">
        <v>20</v>
      </c>
      <c r="AS264" s="1123">
        <f t="shared" si="19"/>
        <v>0.33381894528746459</v>
      </c>
      <c r="AT264" s="224">
        <f t="shared" si="17"/>
        <v>4430.8234682769898</v>
      </c>
    </row>
  </sheetData>
  <mergeCells count="6">
    <mergeCell ref="AE11:AM11"/>
    <mergeCell ref="G11:H11"/>
    <mergeCell ref="J11:O11"/>
    <mergeCell ref="P11:U11"/>
    <mergeCell ref="V11:Z11"/>
    <mergeCell ref="AA11:AC11"/>
  </mergeCells>
  <conditionalFormatting sqref="AD13:AD109 AN13:AN109 AN115:AN228 AD115:AD228">
    <cfRule type="cellIs" dxfId="5" priority="5" operator="notBetween">
      <formula>0.01</formula>
      <formula>99999999</formula>
    </cfRule>
    <cfRule type="cellIs" dxfId="4" priority="6" operator="greaterThan">
      <formula>0</formula>
    </cfRule>
  </conditionalFormatting>
  <conditionalFormatting sqref="AD229:AD243 AD259:AD264 AD253:AD255 AD247:AD249 AN229:AN264">
    <cfRule type="cellIs" dxfId="3" priority="3" operator="notBetween">
      <formula>0.01</formula>
      <formula>99999999</formula>
    </cfRule>
    <cfRule type="cellIs" dxfId="2" priority="4" operator="greaterThan">
      <formula>0</formula>
    </cfRule>
  </conditionalFormatting>
  <conditionalFormatting sqref="AD110:AD111 AN110:AN114">
    <cfRule type="cellIs" dxfId="1" priority="1" operator="notBetween">
      <formula>0.01</formula>
      <formula>99999999</formula>
    </cfRule>
    <cfRule type="cellIs" dxfId="0" priority="2" operator="greaterThan">
      <formula>0</formula>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DAD7-1139-4BEF-BAF6-9FFB3FDEC562}">
  <sheetPr>
    <tabColor theme="3"/>
  </sheetPr>
  <dimension ref="A2:AR352"/>
  <sheetViews>
    <sheetView topLeftCell="B17" zoomScale="55" zoomScaleNormal="55" workbookViewId="0">
      <selection activeCell="C25" sqref="C25"/>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8" t="s">
        <v>710</v>
      </c>
    </row>
    <row r="4" spans="1:44" ht="25.05" customHeight="1">
      <c r="E4" s="224" t="s">
        <v>358</v>
      </c>
      <c r="F4" s="359">
        <v>7.45</v>
      </c>
      <c r="G4" s="359" t="s">
        <v>328</v>
      </c>
      <c r="T4" s="224" t="s">
        <v>715</v>
      </c>
      <c r="U4" s="224" t="s">
        <v>716</v>
      </c>
      <c r="V4" s="224" t="s">
        <v>717</v>
      </c>
      <c r="W4" s="224" t="s">
        <v>718</v>
      </c>
      <c r="X4" s="224" t="s">
        <v>719</v>
      </c>
    </row>
    <row r="5" spans="1:44" ht="15" customHeight="1">
      <c r="A5" s="360" t="s">
        <v>711</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186" t="s">
        <v>712</v>
      </c>
      <c r="D7" s="1205"/>
      <c r="E7" s="1205"/>
      <c r="F7" s="1205"/>
      <c r="G7" s="1205"/>
      <c r="H7" s="1205"/>
      <c r="I7" s="1205"/>
      <c r="J7" s="1205"/>
      <c r="K7" s="1205"/>
      <c r="L7" s="1206"/>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outlineLevel="1" thickBot="1">
      <c r="B8" s="1164" t="s">
        <v>4</v>
      </c>
      <c r="C8" s="1166">
        <v>2020</v>
      </c>
      <c r="D8" s="1166">
        <v>2030</v>
      </c>
      <c r="E8" s="1166">
        <v>2040</v>
      </c>
      <c r="F8" s="1166">
        <v>2050</v>
      </c>
      <c r="G8" s="1217" t="s">
        <v>721</v>
      </c>
      <c r="H8" s="1218"/>
      <c r="I8" s="1217" t="s">
        <v>648</v>
      </c>
      <c r="J8" s="1218"/>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30" customHeight="1" outlineLevel="1" thickBot="1">
      <c r="B9" s="1165"/>
      <c r="C9" s="1167"/>
      <c r="D9" s="1167"/>
      <c r="E9" s="1167"/>
      <c r="F9" s="1167"/>
      <c r="G9" s="369" t="s">
        <v>649</v>
      </c>
      <c r="H9" s="369" t="s">
        <v>650</v>
      </c>
      <c r="I9" s="369" t="s">
        <v>649</v>
      </c>
      <c r="J9" s="369" t="s">
        <v>650</v>
      </c>
      <c r="K9" s="1220"/>
      <c r="L9" s="1220"/>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724</v>
      </c>
      <c r="C10" s="372">
        <v>20000</v>
      </c>
      <c r="D10" s="372">
        <v>20000</v>
      </c>
      <c r="E10" s="372">
        <v>20000</v>
      </c>
      <c r="F10" s="372">
        <v>20000</v>
      </c>
      <c r="G10" s="372">
        <v>1000</v>
      </c>
      <c r="H10" s="372">
        <v>50000</v>
      </c>
      <c r="I10" s="372">
        <v>1000</v>
      </c>
      <c r="J10" s="372">
        <v>50000</v>
      </c>
      <c r="K10" s="372" t="s">
        <v>6</v>
      </c>
      <c r="L10" s="373" t="s">
        <v>725</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95</v>
      </c>
      <c r="D11" s="377">
        <v>96</v>
      </c>
      <c r="E11" s="378">
        <v>97</v>
      </c>
      <c r="F11" s="377">
        <v>97</v>
      </c>
      <c r="G11" s="377">
        <v>90</v>
      </c>
      <c r="H11" s="377">
        <v>98</v>
      </c>
      <c r="I11" s="377">
        <v>90</v>
      </c>
      <c r="J11" s="377">
        <v>98</v>
      </c>
      <c r="K11" s="379" t="s">
        <v>59</v>
      </c>
      <c r="L11" s="380" t="s">
        <v>729</v>
      </c>
      <c r="M11" s="370"/>
      <c r="N11" s="370"/>
      <c r="P11" s="1199" t="str">
        <f>C7</f>
        <v>Steam boiler, Oil</v>
      </c>
      <c r="Q11" s="1154" t="s">
        <v>730</v>
      </c>
      <c r="R11" s="381" t="s">
        <v>731</v>
      </c>
      <c r="S11" s="382"/>
      <c r="T11" s="1137">
        <v>0</v>
      </c>
      <c r="U11" s="1151">
        <v>1</v>
      </c>
      <c r="V11" s="1137">
        <v>0</v>
      </c>
      <c r="W11" s="1151">
        <v>1</v>
      </c>
      <c r="X11" s="1137">
        <v>0</v>
      </c>
      <c r="Y11" s="1151">
        <v>1</v>
      </c>
      <c r="Z11" s="1137">
        <v>0</v>
      </c>
      <c r="AA11" s="1151">
        <v>1</v>
      </c>
      <c r="AB11" s="1137">
        <v>0</v>
      </c>
      <c r="AC11" s="1151">
        <v>1</v>
      </c>
      <c r="AE11" s="1148" t="str">
        <f>P11</f>
        <v>Steam boiler, Oil</v>
      </c>
      <c r="AF11" s="1154" t="s">
        <v>730</v>
      </c>
      <c r="AG11" s="381" t="s">
        <v>731</v>
      </c>
      <c r="AH11" s="382"/>
      <c r="AI11" s="1137">
        <v>0</v>
      </c>
      <c r="AJ11" s="1151">
        <v>1</v>
      </c>
      <c r="AK11" s="1137">
        <v>0</v>
      </c>
      <c r="AL11" s="1151">
        <v>1</v>
      </c>
      <c r="AM11" s="1137">
        <v>0</v>
      </c>
      <c r="AN11" s="1151">
        <v>1</v>
      </c>
      <c r="AO11" s="1137">
        <v>0</v>
      </c>
      <c r="AP11" s="1151">
        <v>1</v>
      </c>
      <c r="AQ11" s="1137">
        <v>0</v>
      </c>
      <c r="AR11" s="1151">
        <v>1</v>
      </c>
    </row>
    <row r="12" spans="1:44" ht="32.549999999999997" customHeight="1" outlineLevel="1">
      <c r="B12" s="383" t="s">
        <v>732</v>
      </c>
      <c r="C12" s="384">
        <v>94</v>
      </c>
      <c r="D12" s="384">
        <v>95</v>
      </c>
      <c r="E12" s="384">
        <v>96</v>
      </c>
      <c r="F12" s="384">
        <v>96</v>
      </c>
      <c r="G12" s="385">
        <v>89</v>
      </c>
      <c r="H12" s="385">
        <v>97</v>
      </c>
      <c r="I12" s="385">
        <v>89</v>
      </c>
      <c r="J12" s="385">
        <v>97</v>
      </c>
      <c r="K12" s="386"/>
      <c r="L12" s="387" t="s">
        <v>729</v>
      </c>
      <c r="M12" s="370"/>
      <c r="N12" s="370"/>
      <c r="O12" s="71"/>
      <c r="P12" s="1195"/>
      <c r="Q12" s="1155"/>
      <c r="R12" s="388" t="s">
        <v>733</v>
      </c>
      <c r="S12" s="389"/>
      <c r="T12" s="1140"/>
      <c r="U12" s="1152"/>
      <c r="V12" s="1140"/>
      <c r="W12" s="1152"/>
      <c r="X12" s="1140"/>
      <c r="Y12" s="1152"/>
      <c r="Z12" s="1140"/>
      <c r="AA12" s="1152"/>
      <c r="AB12" s="1140"/>
      <c r="AC12" s="1152"/>
      <c r="AE12" s="1195"/>
      <c r="AF12" s="1155"/>
      <c r="AG12" s="388" t="s">
        <v>733</v>
      </c>
      <c r="AH12" s="389"/>
      <c r="AI12" s="1140"/>
      <c r="AJ12" s="1152"/>
      <c r="AK12" s="1140"/>
      <c r="AL12" s="1152"/>
      <c r="AM12" s="1140"/>
      <c r="AN12" s="1152"/>
      <c r="AO12" s="1140"/>
      <c r="AP12" s="1152"/>
      <c r="AQ12" s="1140"/>
      <c r="AR12" s="1152"/>
    </row>
    <row r="13" spans="1:44" ht="15" outlineLevel="1" thickBot="1">
      <c r="B13" s="376" t="s">
        <v>734</v>
      </c>
      <c r="C13" s="390">
        <v>0.14000000000000001</v>
      </c>
      <c r="D13" s="391">
        <v>0.12</v>
      </c>
      <c r="E13" s="391">
        <v>0.11</v>
      </c>
      <c r="F13" s="392">
        <v>0.1</v>
      </c>
      <c r="G13" s="391">
        <v>0.1</v>
      </c>
      <c r="H13" s="391">
        <v>0.14000000000000001</v>
      </c>
      <c r="I13" s="391">
        <v>0.08</v>
      </c>
      <c r="J13" s="391">
        <v>0.12</v>
      </c>
      <c r="K13" s="379" t="s">
        <v>16</v>
      </c>
      <c r="L13" s="380">
        <v>3</v>
      </c>
      <c r="M13" s="370"/>
      <c r="N13" s="370"/>
      <c r="O13" s="71"/>
      <c r="P13" s="1195"/>
      <c r="Q13" s="1156"/>
      <c r="R13" s="393" t="s">
        <v>735</v>
      </c>
      <c r="S13" s="394"/>
      <c r="T13" s="1141"/>
      <c r="U13" s="1153"/>
      <c r="V13" s="1141"/>
      <c r="W13" s="1153"/>
      <c r="X13" s="1141"/>
      <c r="Y13" s="1153"/>
      <c r="Z13" s="1141"/>
      <c r="AA13" s="1153"/>
      <c r="AB13" s="1141"/>
      <c r="AC13" s="1153"/>
      <c r="AE13" s="1195"/>
      <c r="AF13" s="1156"/>
      <c r="AG13" s="393" t="s">
        <v>735</v>
      </c>
      <c r="AH13" s="394"/>
      <c r="AI13" s="1141"/>
      <c r="AJ13" s="1153"/>
      <c r="AK13" s="1141"/>
      <c r="AL13" s="1153"/>
      <c r="AM13" s="1141"/>
      <c r="AN13" s="1153"/>
      <c r="AO13" s="1141"/>
      <c r="AP13" s="1153"/>
      <c r="AQ13" s="1141"/>
      <c r="AR13" s="1153"/>
    </row>
    <row r="14" spans="1:44" ht="15" customHeight="1" outlineLevel="1">
      <c r="B14" s="376" t="s">
        <v>657</v>
      </c>
      <c r="C14" s="390">
        <v>1.1000000000000001</v>
      </c>
      <c r="D14" s="390">
        <v>1.1000000000000001</v>
      </c>
      <c r="E14" s="390">
        <v>1.1000000000000001</v>
      </c>
      <c r="F14" s="390">
        <v>1.1000000000000001</v>
      </c>
      <c r="G14" s="390">
        <v>0.09</v>
      </c>
      <c r="H14" s="390">
        <v>2.1</v>
      </c>
      <c r="I14" s="390">
        <v>0.09</v>
      </c>
      <c r="J14" s="390">
        <v>2.1</v>
      </c>
      <c r="K14" s="379" t="s">
        <v>20</v>
      </c>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37">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37">
        <v>1</v>
      </c>
    </row>
    <row r="15" spans="1:44" outlineLevel="1">
      <c r="B15" s="376" t="s">
        <v>658</v>
      </c>
      <c r="C15" s="390">
        <v>0.60000000000000009</v>
      </c>
      <c r="D15" s="390">
        <v>0.60000000000000009</v>
      </c>
      <c r="E15" s="390">
        <v>0.60000000000000009</v>
      </c>
      <c r="F15" s="390">
        <v>0.60000000000000009</v>
      </c>
      <c r="G15" s="390">
        <v>0.5</v>
      </c>
      <c r="H15" s="390">
        <v>0.8</v>
      </c>
      <c r="I15" s="390">
        <v>0.5</v>
      </c>
      <c r="J15" s="390">
        <v>0.8</v>
      </c>
      <c r="K15" s="379" t="s">
        <v>20</v>
      </c>
      <c r="L15" s="380">
        <v>3</v>
      </c>
      <c r="M15" s="367"/>
      <c r="N15" s="367"/>
      <c r="O15" s="71"/>
      <c r="P15" s="1195"/>
      <c r="Q15" s="1155"/>
      <c r="R15" s="395" t="s">
        <v>739</v>
      </c>
      <c r="S15" s="396" t="s">
        <v>738</v>
      </c>
      <c r="T15" s="1138"/>
      <c r="U15" s="1138"/>
      <c r="V15" s="1138"/>
      <c r="W15" s="1138"/>
      <c r="X15" s="1138"/>
      <c r="Y15" s="1138"/>
      <c r="Z15" s="1138"/>
      <c r="AA15" s="1138"/>
      <c r="AB15" s="1138"/>
      <c r="AC15" s="1138"/>
      <c r="AE15" s="1195"/>
      <c r="AF15" s="1155"/>
      <c r="AG15" s="395" t="s">
        <v>739</v>
      </c>
      <c r="AH15" s="396" t="s">
        <v>738</v>
      </c>
      <c r="AI15" s="1138"/>
      <c r="AJ15" s="1138"/>
      <c r="AK15" s="1138"/>
      <c r="AL15" s="1138"/>
      <c r="AM15" s="1138"/>
      <c r="AN15" s="1138"/>
      <c r="AO15" s="1138"/>
      <c r="AP15" s="1138"/>
      <c r="AQ15" s="1138"/>
      <c r="AR15" s="1138"/>
    </row>
    <row r="16" spans="1:44" outlineLevel="1">
      <c r="B16" s="383" t="s">
        <v>11</v>
      </c>
      <c r="C16" s="397">
        <v>25</v>
      </c>
      <c r="D16" s="397">
        <v>25</v>
      </c>
      <c r="E16" s="397">
        <v>25</v>
      </c>
      <c r="F16" s="397">
        <v>25</v>
      </c>
      <c r="G16" s="398">
        <v>20</v>
      </c>
      <c r="H16" s="398">
        <v>30</v>
      </c>
      <c r="I16" s="398">
        <v>20</v>
      </c>
      <c r="J16" s="398">
        <v>30</v>
      </c>
      <c r="K16" s="372"/>
      <c r="L16" s="373" t="s">
        <v>740</v>
      </c>
      <c r="M16" s="363"/>
      <c r="N16" s="363"/>
      <c r="P16" s="1195"/>
      <c r="Q16" s="1155"/>
      <c r="R16" s="395" t="s">
        <v>741</v>
      </c>
      <c r="S16" s="396" t="s">
        <v>738</v>
      </c>
      <c r="T16" s="1138"/>
      <c r="U16" s="1138"/>
      <c r="V16" s="1138"/>
      <c r="W16" s="1138"/>
      <c r="X16" s="1138"/>
      <c r="Y16" s="1138"/>
      <c r="Z16" s="1138"/>
      <c r="AA16" s="1138"/>
      <c r="AB16" s="1138"/>
      <c r="AC16" s="1138"/>
      <c r="AE16" s="1195"/>
      <c r="AF16" s="1155"/>
      <c r="AG16" s="395" t="s">
        <v>741</v>
      </c>
      <c r="AH16" s="396" t="s">
        <v>738</v>
      </c>
      <c r="AI16" s="1138"/>
      <c r="AJ16" s="1138"/>
      <c r="AK16" s="1138"/>
      <c r="AL16" s="1138"/>
      <c r="AM16" s="1138"/>
      <c r="AN16" s="1138"/>
      <c r="AO16" s="1138"/>
      <c r="AP16" s="1138"/>
      <c r="AQ16" s="1138"/>
      <c r="AR16" s="1138"/>
    </row>
    <row r="17" spans="1:44" ht="15" outlineLevel="1" thickBot="1">
      <c r="B17" s="376" t="s">
        <v>273</v>
      </c>
      <c r="C17" s="399">
        <v>0.5</v>
      </c>
      <c r="D17" s="399">
        <v>0.5</v>
      </c>
      <c r="E17" s="399">
        <v>0.5</v>
      </c>
      <c r="F17" s="399">
        <v>0.5</v>
      </c>
      <c r="G17" s="399">
        <v>0.2</v>
      </c>
      <c r="H17" s="399">
        <v>0.7</v>
      </c>
      <c r="I17" s="399">
        <v>0.2</v>
      </c>
      <c r="J17" s="399">
        <v>0.7</v>
      </c>
      <c r="K17" s="372"/>
      <c r="L17" s="400"/>
      <c r="M17" s="363"/>
      <c r="N17" s="363"/>
      <c r="P17" s="1195"/>
      <c r="Q17" s="1155"/>
      <c r="R17" s="395" t="s">
        <v>742</v>
      </c>
      <c r="S17" s="396" t="s">
        <v>738</v>
      </c>
      <c r="T17" s="1138"/>
      <c r="U17" s="1138"/>
      <c r="V17" s="1138"/>
      <c r="W17" s="1138"/>
      <c r="X17" s="1138"/>
      <c r="Y17" s="1138"/>
      <c r="Z17" s="1138"/>
      <c r="AA17" s="1138"/>
      <c r="AB17" s="1138"/>
      <c r="AC17" s="1138"/>
      <c r="AE17" s="1195"/>
      <c r="AF17" s="1155"/>
      <c r="AG17" s="395" t="s">
        <v>742</v>
      </c>
      <c r="AH17" s="396" t="s">
        <v>738</v>
      </c>
      <c r="AI17" s="1138"/>
      <c r="AJ17" s="1138"/>
      <c r="AK17" s="1138"/>
      <c r="AL17" s="1138"/>
      <c r="AM17" s="1138"/>
      <c r="AN17" s="1138"/>
      <c r="AO17" s="1138"/>
      <c r="AP17" s="1138"/>
      <c r="AQ17" s="1138"/>
      <c r="AR17" s="1138"/>
    </row>
    <row r="18" spans="1:44" ht="15" outlineLevel="1" thickBot="1">
      <c r="B18" s="401" t="s">
        <v>743</v>
      </c>
      <c r="C18" s="402"/>
      <c r="D18" s="403"/>
      <c r="E18" s="404"/>
      <c r="F18" s="405"/>
      <c r="G18" s="406"/>
      <c r="H18" s="406"/>
      <c r="I18" s="406"/>
      <c r="J18" s="406"/>
      <c r="K18" s="407"/>
      <c r="L18" s="408"/>
      <c r="M18" s="363"/>
      <c r="N18" s="363"/>
      <c r="P18" s="1195"/>
      <c r="Q18" s="1155"/>
      <c r="R18" s="409" t="s">
        <v>744</v>
      </c>
      <c r="S18" s="410" t="s">
        <v>738</v>
      </c>
      <c r="T18" s="1139"/>
      <c r="U18" s="1139"/>
      <c r="V18" s="1139"/>
      <c r="W18" s="1139"/>
      <c r="X18" s="1139"/>
      <c r="Y18" s="1139"/>
      <c r="Z18" s="1139"/>
      <c r="AA18" s="1139"/>
      <c r="AB18" s="1139"/>
      <c r="AC18" s="1139"/>
      <c r="AE18" s="1195"/>
      <c r="AF18" s="1155"/>
      <c r="AG18" s="409" t="s">
        <v>744</v>
      </c>
      <c r="AH18" s="410" t="s">
        <v>738</v>
      </c>
      <c r="AI18" s="1139"/>
      <c r="AJ18" s="1139"/>
      <c r="AK18" s="1139"/>
      <c r="AL18" s="1139"/>
      <c r="AM18" s="1139"/>
      <c r="AN18" s="1139"/>
      <c r="AO18" s="1139"/>
      <c r="AP18" s="1139"/>
      <c r="AQ18" s="1139"/>
      <c r="AR18" s="1139"/>
    </row>
    <row r="19" spans="1:44" ht="29.4" outlineLevel="1" thickBot="1">
      <c r="B19" s="376" t="s">
        <v>663</v>
      </c>
      <c r="C19" s="390">
        <v>15</v>
      </c>
      <c r="D19" s="390">
        <v>15</v>
      </c>
      <c r="E19" s="390">
        <v>15</v>
      </c>
      <c r="F19" s="390">
        <v>15</v>
      </c>
      <c r="G19" s="391"/>
      <c r="H19" s="391"/>
      <c r="I19" s="391"/>
      <c r="J19" s="391"/>
      <c r="K19" s="379"/>
      <c r="L19" s="380">
        <v>3</v>
      </c>
      <c r="M19" s="363"/>
      <c r="N19" s="363"/>
      <c r="P19" s="1196"/>
      <c r="Q19" s="411" t="s">
        <v>745</v>
      </c>
      <c r="R19" s="412" t="s">
        <v>746</v>
      </c>
      <c r="S19" s="413" t="s">
        <v>738</v>
      </c>
      <c r="T19" s="414">
        <v>1</v>
      </c>
      <c r="U19" s="415">
        <v>1</v>
      </c>
      <c r="V19" s="416">
        <v>1</v>
      </c>
      <c r="W19" s="415">
        <v>1</v>
      </c>
      <c r="X19" s="416">
        <v>1</v>
      </c>
      <c r="Y19" s="415">
        <v>1</v>
      </c>
      <c r="Z19" s="416">
        <v>1</v>
      </c>
      <c r="AA19" s="415">
        <v>1</v>
      </c>
      <c r="AB19" s="416">
        <v>1</v>
      </c>
      <c r="AC19" s="417">
        <v>1</v>
      </c>
      <c r="AE19" s="1196"/>
      <c r="AF19" s="411" t="s">
        <v>745</v>
      </c>
      <c r="AG19" s="412" t="s">
        <v>746</v>
      </c>
      <c r="AH19" s="413" t="s">
        <v>738</v>
      </c>
      <c r="AI19" s="414">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15.6" outlineLevel="1">
      <c r="B23" s="383" t="s">
        <v>747</v>
      </c>
      <c r="C23" s="397">
        <v>0.5</v>
      </c>
      <c r="D23" s="397">
        <v>0.5</v>
      </c>
      <c r="E23" s="397">
        <v>0.5</v>
      </c>
      <c r="F23" s="397">
        <v>0.5</v>
      </c>
      <c r="G23" s="422"/>
      <c r="H23" s="425"/>
      <c r="I23" s="425"/>
      <c r="J23" s="425"/>
      <c r="K23" s="426" t="s">
        <v>76</v>
      </c>
      <c r="L23" s="427" t="s">
        <v>748</v>
      </c>
      <c r="M23" s="428"/>
      <c r="N23" s="428"/>
    </row>
    <row r="24" spans="1:44" outlineLevel="1">
      <c r="B24" s="383" t="s">
        <v>749</v>
      </c>
      <c r="C24" s="397">
        <v>0.1</v>
      </c>
      <c r="D24" s="397">
        <v>0.1</v>
      </c>
      <c r="E24" s="397">
        <v>0.1</v>
      </c>
      <c r="F24" s="397">
        <v>0.1</v>
      </c>
      <c r="G24" s="425"/>
      <c r="H24" s="425"/>
      <c r="I24" s="425"/>
      <c r="J24" s="425"/>
      <c r="K24" s="423"/>
      <c r="L24" s="427">
        <v>9</v>
      </c>
      <c r="M24" s="428"/>
      <c r="N24" s="428"/>
    </row>
    <row r="25" spans="1:44" ht="15.6" outlineLevel="1">
      <c r="B25" s="383" t="s">
        <v>750</v>
      </c>
      <c r="C25" s="397">
        <v>25</v>
      </c>
      <c r="D25" s="397">
        <v>20</v>
      </c>
      <c r="E25" s="397">
        <v>18</v>
      </c>
      <c r="F25" s="397">
        <v>15</v>
      </c>
      <c r="G25" s="425"/>
      <c r="H25" s="425"/>
      <c r="I25" s="425"/>
      <c r="J25" s="425"/>
      <c r="K25" s="423"/>
      <c r="L25" s="427" t="s">
        <v>748</v>
      </c>
      <c r="M25" s="428"/>
      <c r="N25" s="428"/>
      <c r="T25" s="224">
        <f>C$23</f>
        <v>0.5</v>
      </c>
      <c r="U25" s="224">
        <f t="shared" ref="U25:V25" si="0">D$23</f>
        <v>0.5</v>
      </c>
      <c r="V25" s="224">
        <f t="shared" si="0"/>
        <v>0.5</v>
      </c>
    </row>
    <row r="26" spans="1:44" outlineLevel="1">
      <c r="B26" s="383" t="s">
        <v>366</v>
      </c>
      <c r="C26" s="397">
        <v>0</v>
      </c>
      <c r="D26" s="397">
        <v>0</v>
      </c>
      <c r="E26" s="397">
        <v>0</v>
      </c>
      <c r="F26" s="397">
        <v>0</v>
      </c>
      <c r="G26" s="425"/>
      <c r="H26" s="425"/>
      <c r="I26" s="425"/>
      <c r="J26" s="425"/>
      <c r="K26" s="423"/>
      <c r="L26" s="427" t="s">
        <v>748</v>
      </c>
      <c r="M26" s="428"/>
      <c r="N26" s="428"/>
    </row>
    <row r="27" spans="1:44" ht="15" outlineLevel="1" thickBot="1">
      <c r="B27" s="429" t="s">
        <v>367</v>
      </c>
      <c r="C27" s="430">
        <v>0</v>
      </c>
      <c r="D27" s="430">
        <v>0</v>
      </c>
      <c r="E27" s="430">
        <v>0</v>
      </c>
      <c r="F27" s="430">
        <v>0</v>
      </c>
      <c r="G27" s="425"/>
      <c r="H27" s="425"/>
      <c r="I27" s="425"/>
      <c r="J27" s="425"/>
      <c r="K27" s="423"/>
      <c r="L27" s="427" t="s">
        <v>748</v>
      </c>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437">
        <v>5.5E-2</v>
      </c>
      <c r="D29" s="438">
        <v>4.6576380486507002E-2</v>
      </c>
      <c r="E29" s="438">
        <v>4.4600000000000001E-2</v>
      </c>
      <c r="F29" s="439">
        <v>4.4045618468049198E-2</v>
      </c>
      <c r="G29" s="425"/>
      <c r="H29" s="425"/>
      <c r="I29" s="425"/>
      <c r="J29" s="425"/>
      <c r="K29" s="426" t="s">
        <v>752</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v>40</v>
      </c>
      <c r="D31" s="442">
        <v>40</v>
      </c>
      <c r="E31" s="442">
        <v>40</v>
      </c>
      <c r="F31" s="442">
        <v>40</v>
      </c>
      <c r="G31" s="425"/>
      <c r="H31" s="425"/>
      <c r="I31" s="425"/>
      <c r="J31" s="425"/>
      <c r="K31" s="444"/>
      <c r="L31" s="373">
        <v>3</v>
      </c>
      <c r="M31" s="420"/>
      <c r="N31" s="420"/>
    </row>
    <row r="32" spans="1:44" ht="26.4" outlineLevel="1">
      <c r="B32" s="383" t="s">
        <v>756</v>
      </c>
      <c r="C32" s="445">
        <v>1.8</v>
      </c>
      <c r="D32" s="446">
        <v>1.7</v>
      </c>
      <c r="E32" s="446">
        <v>1.6</v>
      </c>
      <c r="F32" s="447">
        <v>1.5</v>
      </c>
      <c r="G32" s="425"/>
      <c r="H32" s="425"/>
      <c r="I32" s="425"/>
      <c r="J32" s="425"/>
      <c r="K32" s="448"/>
      <c r="L32" s="373">
        <v>3</v>
      </c>
      <c r="M32" s="420"/>
      <c r="N32" s="420"/>
    </row>
    <row r="33" spans="1:30" ht="37.049999999999997" customHeight="1" outlineLevel="1" thickBot="1">
      <c r="B33" s="383" t="s">
        <v>757</v>
      </c>
      <c r="C33" s="449">
        <f>1/3.6</f>
        <v>0.27777777777777779</v>
      </c>
      <c r="D33" s="449">
        <f>0.9/3.6</f>
        <v>0.25</v>
      </c>
      <c r="E33" s="449">
        <f>0.9/3.6</f>
        <v>0.25</v>
      </c>
      <c r="F33" s="449">
        <f>0.9/3.6</f>
        <v>0.25</v>
      </c>
      <c r="G33" s="425"/>
      <c r="H33" s="425"/>
      <c r="I33" s="425"/>
      <c r="J33" s="425"/>
      <c r="K33" s="448"/>
      <c r="L33" s="373">
        <v>3</v>
      </c>
      <c r="M33" s="450"/>
      <c r="N33" s="361"/>
      <c r="P33" s="1142">
        <f>C33</f>
        <v>0.27777777777777779</v>
      </c>
      <c r="Q33" s="1143"/>
      <c r="R33" s="1143"/>
      <c r="S33" s="1143"/>
      <c r="T33" s="1143"/>
      <c r="U33" s="1144"/>
    </row>
    <row r="34" spans="1:30" ht="15.75" customHeight="1" outlineLevel="1" thickBot="1">
      <c r="A34" s="224" t="s">
        <v>996</v>
      </c>
      <c r="B34" s="451" t="s">
        <v>758</v>
      </c>
      <c r="C34" s="452">
        <v>0.10220000000000001</v>
      </c>
      <c r="D34" s="452">
        <v>0.09</v>
      </c>
      <c r="E34" s="452">
        <v>8.3600000000000008E-2</v>
      </c>
      <c r="F34" s="452">
        <v>7.5999999999999998E-2</v>
      </c>
      <c r="G34" s="453"/>
      <c r="H34" s="453"/>
      <c r="I34" s="453"/>
      <c r="J34" s="453"/>
      <c r="K34" s="379" t="s">
        <v>52</v>
      </c>
      <c r="L34" s="380">
        <v>3</v>
      </c>
      <c r="M34" s="450"/>
      <c r="N34" s="361"/>
      <c r="P34" s="1134">
        <f>C34</f>
        <v>0.10220000000000001</v>
      </c>
      <c r="Q34" s="1135"/>
      <c r="R34" s="1135"/>
      <c r="S34" s="1135"/>
      <c r="T34" s="1135"/>
      <c r="U34" s="1136"/>
    </row>
    <row r="35" spans="1:30" outlineLevel="1">
      <c r="B35" s="451" t="s">
        <v>759</v>
      </c>
      <c r="C35" s="454">
        <v>0.89779999999999993</v>
      </c>
      <c r="D35" s="454">
        <v>0.81</v>
      </c>
      <c r="E35" s="454">
        <v>0.81640000000000001</v>
      </c>
      <c r="F35" s="454">
        <v>0.82400000000000007</v>
      </c>
      <c r="G35" s="453"/>
      <c r="H35" s="453"/>
      <c r="I35" s="453"/>
      <c r="J35" s="453"/>
      <c r="K35" s="455"/>
      <c r="L35" s="380">
        <v>3</v>
      </c>
      <c r="M35" s="363"/>
      <c r="N35" s="363"/>
      <c r="P35" s="53" t="s">
        <v>357</v>
      </c>
    </row>
    <row r="36" spans="1:30" ht="27.6"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1: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1: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1:30" outlineLevel="1">
      <c r="B39" s="451" t="s">
        <v>762</v>
      </c>
      <c r="C39" s="462" t="s">
        <v>36</v>
      </c>
      <c r="D39" s="462" t="s">
        <v>36</v>
      </c>
      <c r="E39" s="462" t="s">
        <v>36</v>
      </c>
      <c r="F39" s="462" t="s">
        <v>36</v>
      </c>
      <c r="G39" s="463"/>
      <c r="H39" s="463"/>
      <c r="I39" s="463"/>
      <c r="J39" s="463"/>
      <c r="K39" s="463" t="s">
        <v>55</v>
      </c>
      <c r="L39" s="464"/>
      <c r="M39" s="363"/>
      <c r="N39" s="363"/>
      <c r="O39" s="465">
        <f>C12</f>
        <v>94</v>
      </c>
      <c r="P39" s="466">
        <f>C8</f>
        <v>2020</v>
      </c>
      <c r="Q39" s="58">
        <f>P39</f>
        <v>2020</v>
      </c>
      <c r="R39" s="466">
        <f>O39/100</f>
        <v>0.94</v>
      </c>
      <c r="S39" s="58"/>
      <c r="T39" s="466">
        <f>C16</f>
        <v>25</v>
      </c>
      <c r="U39" s="467">
        <f>C46</f>
        <v>409.75</v>
      </c>
      <c r="V39" s="467">
        <f>C48</f>
        <v>13.41</v>
      </c>
      <c r="W39" s="467">
        <f>C49</f>
        <v>2.0694444444444446</v>
      </c>
      <c r="X39" s="58"/>
      <c r="Y39" s="58"/>
      <c r="Z39" s="466">
        <f>C23</f>
        <v>0.5</v>
      </c>
      <c r="AA39" s="468">
        <f>C25</f>
        <v>25</v>
      </c>
      <c r="AB39" s="468">
        <f>C26</f>
        <v>0</v>
      </c>
      <c r="AC39" s="468">
        <f>C27</f>
        <v>0</v>
      </c>
      <c r="AD39" s="468">
        <f>C24</f>
        <v>0.1</v>
      </c>
    </row>
    <row r="40" spans="1:30" ht="14.55" customHeight="1" outlineLevel="1">
      <c r="B40" s="376" t="s">
        <v>763</v>
      </c>
      <c r="C40" s="469" t="s">
        <v>36</v>
      </c>
      <c r="D40" s="470" t="s">
        <v>36</v>
      </c>
      <c r="E40" s="470" t="s">
        <v>36</v>
      </c>
      <c r="F40" s="471" t="s">
        <v>36</v>
      </c>
      <c r="G40" s="471"/>
      <c r="H40" s="471"/>
      <c r="I40" s="471"/>
      <c r="J40" s="471"/>
      <c r="K40" s="472" t="s">
        <v>55</v>
      </c>
      <c r="L40" s="464"/>
      <c r="M40" s="363"/>
      <c r="N40" s="363"/>
      <c r="O40" s="465">
        <f>D12</f>
        <v>95</v>
      </c>
      <c r="P40" s="466">
        <f>D8</f>
        <v>2030</v>
      </c>
      <c r="Q40" s="58"/>
      <c r="R40" s="466">
        <f>O40/100</f>
        <v>0.95</v>
      </c>
      <c r="S40" s="58"/>
      <c r="T40" s="466">
        <f>D16</f>
        <v>25</v>
      </c>
      <c r="U40" s="467">
        <f>D46</f>
        <v>346.99403462447719</v>
      </c>
      <c r="V40" s="467">
        <f>D48</f>
        <v>12.664999999999999</v>
      </c>
      <c r="W40" s="467">
        <f>D49</f>
        <v>1.8625</v>
      </c>
      <c r="X40" s="58"/>
      <c r="Y40" s="58"/>
      <c r="Z40" s="466">
        <f>D23</f>
        <v>0.5</v>
      </c>
      <c r="AA40" s="468">
        <f>D25</f>
        <v>20</v>
      </c>
      <c r="AB40" s="468">
        <f>D26</f>
        <v>0</v>
      </c>
      <c r="AC40" s="468">
        <f>D27</f>
        <v>0</v>
      </c>
      <c r="AD40" s="468">
        <f>D24</f>
        <v>0.1</v>
      </c>
    </row>
    <row r="41" spans="1:30" outlineLevel="1">
      <c r="B41" s="376" t="s">
        <v>764</v>
      </c>
      <c r="C41" s="469" t="s">
        <v>36</v>
      </c>
      <c r="D41" s="470" t="s">
        <v>36</v>
      </c>
      <c r="E41" s="470" t="s">
        <v>36</v>
      </c>
      <c r="F41" s="471" t="s">
        <v>36</v>
      </c>
      <c r="G41" s="453"/>
      <c r="H41" s="453"/>
      <c r="I41" s="453"/>
      <c r="J41" s="453"/>
      <c r="K41" s="453"/>
      <c r="L41" s="380"/>
      <c r="M41" s="363"/>
      <c r="N41" s="363"/>
      <c r="O41" s="465">
        <f>E12</f>
        <v>96</v>
      </c>
      <c r="P41" s="466">
        <f>E8</f>
        <v>2040</v>
      </c>
      <c r="Q41" s="58"/>
      <c r="R41" s="466">
        <f>O41/100</f>
        <v>0.96</v>
      </c>
      <c r="S41" s="58"/>
      <c r="T41" s="466">
        <f>E16</f>
        <v>25</v>
      </c>
      <c r="U41" s="467">
        <f>E46</f>
        <v>332.27</v>
      </c>
      <c r="V41" s="467">
        <f>E48</f>
        <v>11.920000000000002</v>
      </c>
      <c r="W41" s="467">
        <f>E49</f>
        <v>1.8625</v>
      </c>
      <c r="X41" s="58"/>
      <c r="Y41" s="58"/>
      <c r="Z41" s="466">
        <f>E23</f>
        <v>0.5</v>
      </c>
      <c r="AA41" s="468">
        <f>E25</f>
        <v>18</v>
      </c>
      <c r="AB41" s="468">
        <f>E26</f>
        <v>0</v>
      </c>
      <c r="AC41" s="468">
        <f>E27</f>
        <v>0</v>
      </c>
      <c r="AD41" s="468">
        <f>E24</f>
        <v>0.1</v>
      </c>
    </row>
    <row r="42" spans="1:30" outlineLevel="1">
      <c r="B42" s="376" t="s">
        <v>765</v>
      </c>
      <c r="C42" s="473">
        <v>90</v>
      </c>
      <c r="D42" s="473">
        <v>90</v>
      </c>
      <c r="E42" s="473">
        <v>90</v>
      </c>
      <c r="F42" s="473">
        <v>90</v>
      </c>
      <c r="G42" s="474"/>
      <c r="H42" s="474"/>
      <c r="I42" s="474"/>
      <c r="J42" s="474"/>
      <c r="K42" s="474"/>
      <c r="L42" s="380">
        <v>3</v>
      </c>
      <c r="M42" s="363"/>
      <c r="N42" s="363"/>
      <c r="O42" s="465">
        <f>F12</f>
        <v>96</v>
      </c>
      <c r="P42" s="466">
        <f>F8</f>
        <v>2050</v>
      </c>
      <c r="Q42" s="58"/>
      <c r="R42" s="466">
        <f>O42/100</f>
        <v>0.96</v>
      </c>
      <c r="S42" s="58"/>
      <c r="T42" s="466">
        <f>F16</f>
        <v>25</v>
      </c>
      <c r="U42" s="467">
        <f>F46</f>
        <v>328.13985758696651</v>
      </c>
      <c r="V42" s="467">
        <f>F48</f>
        <v>11.175000000000001</v>
      </c>
      <c r="W42" s="467">
        <f>F49</f>
        <v>1.8625</v>
      </c>
      <c r="X42" s="58"/>
      <c r="Y42" s="58"/>
      <c r="Z42" s="466">
        <f>F23</f>
        <v>0.5</v>
      </c>
      <c r="AA42" s="468">
        <f>F25</f>
        <v>15</v>
      </c>
      <c r="AB42" s="468">
        <f>F26</f>
        <v>0</v>
      </c>
      <c r="AC42" s="468">
        <f>F27</f>
        <v>0</v>
      </c>
      <c r="AD42" s="468">
        <f>F24</f>
        <v>0.1</v>
      </c>
    </row>
    <row r="43" spans="1:30" outlineLevel="1">
      <c r="B43" s="475" t="s">
        <v>766</v>
      </c>
      <c r="C43" s="469" t="s">
        <v>36</v>
      </c>
      <c r="D43" s="470" t="s">
        <v>36</v>
      </c>
      <c r="E43" s="470" t="s">
        <v>36</v>
      </c>
      <c r="F43" s="471" t="s">
        <v>36</v>
      </c>
      <c r="G43" s="474"/>
      <c r="H43" s="474"/>
      <c r="I43" s="474"/>
      <c r="J43" s="474"/>
      <c r="K43" s="474"/>
      <c r="L43" s="476"/>
      <c r="M43" s="367"/>
      <c r="N43" s="367"/>
    </row>
    <row r="44" spans="1:30" outlineLevel="1">
      <c r="B44" s="475" t="s">
        <v>767</v>
      </c>
      <c r="C44" s="469" t="s">
        <v>36</v>
      </c>
      <c r="D44" s="470" t="s">
        <v>36</v>
      </c>
      <c r="E44" s="470" t="s">
        <v>36</v>
      </c>
      <c r="F44" s="471" t="s">
        <v>36</v>
      </c>
      <c r="G44" s="474"/>
      <c r="H44" s="474"/>
      <c r="I44" s="474"/>
      <c r="J44" s="474"/>
      <c r="K44" s="474"/>
      <c r="L44" s="476"/>
      <c r="M44" s="363"/>
      <c r="N44" s="363"/>
    </row>
    <row r="45" spans="1:30" ht="15" outlineLevel="1" thickBot="1">
      <c r="B45" s="477" t="s">
        <v>768</v>
      </c>
      <c r="C45" s="478" t="s">
        <v>36</v>
      </c>
      <c r="D45" s="479" t="s">
        <v>36</v>
      </c>
      <c r="E45" s="479" t="s">
        <v>36</v>
      </c>
      <c r="F45" s="480" t="s">
        <v>36</v>
      </c>
      <c r="G45" s="481"/>
      <c r="H45" s="481"/>
      <c r="I45" s="481"/>
      <c r="J45" s="481"/>
      <c r="K45" s="481"/>
      <c r="L45" s="482"/>
      <c r="M45" s="363"/>
      <c r="N45" s="363"/>
    </row>
    <row r="46" spans="1:30" ht="57.6" outlineLevel="1">
      <c r="B46" s="461" t="s">
        <v>769</v>
      </c>
      <c r="C46" s="483">
        <f>C29*$F$4*1000</f>
        <v>409.75</v>
      </c>
      <c r="D46" s="483">
        <f t="shared" ref="D46:F46" si="1">D29*$F$4*1000</f>
        <v>346.99403462447719</v>
      </c>
      <c r="E46" s="483">
        <f t="shared" si="1"/>
        <v>332.27</v>
      </c>
      <c r="F46" s="483">
        <f t="shared" si="1"/>
        <v>328.13985758696651</v>
      </c>
      <c r="G46" s="483"/>
      <c r="H46" s="484"/>
      <c r="I46" s="420" t="s">
        <v>332</v>
      </c>
      <c r="J46" s="420"/>
      <c r="K46" s="484"/>
      <c r="L46" s="484"/>
      <c r="N46" s="420"/>
    </row>
    <row r="47" spans="1:30" outlineLevel="1">
      <c r="B47" s="485" t="s">
        <v>770</v>
      </c>
      <c r="C47" s="486">
        <f>C46*$I47</f>
        <v>204875</v>
      </c>
      <c r="D47" s="486">
        <f>D46*$I47</f>
        <v>173497.0173122386</v>
      </c>
      <c r="E47" s="486">
        <f>E46*$I47</f>
        <v>166135</v>
      </c>
      <c r="F47" s="486">
        <f>F46*$I47</f>
        <v>164069.92879348327</v>
      </c>
      <c r="G47" s="486"/>
      <c r="H47" s="484"/>
      <c r="I47" s="71">
        <v>500</v>
      </c>
      <c r="J47" s="420" t="s">
        <v>330</v>
      </c>
      <c r="K47" s="484"/>
      <c r="L47" s="484"/>
      <c r="N47" s="420"/>
    </row>
    <row r="48" spans="1:30" ht="43.2" outlineLevel="1">
      <c r="B48" s="461" t="s">
        <v>771</v>
      </c>
      <c r="C48" s="359">
        <f>C32*$F$4</f>
        <v>13.41</v>
      </c>
      <c r="D48" s="359">
        <f t="shared" ref="D48:F49" si="2">D32*$F$4</f>
        <v>12.664999999999999</v>
      </c>
      <c r="E48" s="359">
        <f t="shared" si="2"/>
        <v>11.920000000000002</v>
      </c>
      <c r="F48" s="359">
        <f t="shared" si="2"/>
        <v>11.175000000000001</v>
      </c>
      <c r="G48" s="359"/>
      <c r="I48" s="420" t="s">
        <v>333</v>
      </c>
      <c r="J48" s="420"/>
      <c r="N48" s="420"/>
    </row>
    <row r="49" spans="2:14" ht="43.2" outlineLevel="1">
      <c r="B49" s="461" t="s">
        <v>772</v>
      </c>
      <c r="C49" s="487">
        <f>C33*$F$4</f>
        <v>2.0694444444444446</v>
      </c>
      <c r="D49" s="487">
        <f t="shared" si="2"/>
        <v>1.8625</v>
      </c>
      <c r="E49" s="487">
        <f t="shared" si="2"/>
        <v>1.8625</v>
      </c>
      <c r="F49" s="487">
        <f t="shared" si="2"/>
        <v>1.8625</v>
      </c>
      <c r="G49" s="359"/>
      <c r="M49" s="420"/>
      <c r="N49" s="420"/>
    </row>
    <row r="50" spans="2:14" outlineLevel="1"/>
    <row r="51" spans="2:14" outlineLevel="1"/>
    <row r="52" spans="2:14" outlineLevel="1"/>
    <row r="53" spans="2:14" outlineLevel="1"/>
    <row r="54" spans="2:14" outlineLevel="1">
      <c r="B54" s="488" t="s">
        <v>773</v>
      </c>
      <c r="C54" s="489"/>
      <c r="D54" s="490"/>
      <c r="E54" s="490"/>
      <c r="F54" s="490"/>
    </row>
    <row r="55" spans="2:14" outlineLevel="1">
      <c r="B55" s="491">
        <v>1</v>
      </c>
      <c r="C55" s="492" t="s">
        <v>774</v>
      </c>
      <c r="E55" s="490"/>
      <c r="F55" s="490"/>
    </row>
    <row r="56" spans="2:14" outlineLevel="1">
      <c r="B56" s="491">
        <v>2</v>
      </c>
      <c r="C56" s="493" t="s">
        <v>775</v>
      </c>
      <c r="E56" s="490"/>
      <c r="F56" s="490"/>
    </row>
    <row r="57" spans="2:14" outlineLevel="1">
      <c r="B57" s="491">
        <v>3</v>
      </c>
      <c r="C57" s="493" t="s">
        <v>776</v>
      </c>
      <c r="E57" s="490"/>
      <c r="F57" s="490"/>
    </row>
    <row r="58" spans="2:14" outlineLevel="1">
      <c r="B58" s="491">
        <v>4</v>
      </c>
      <c r="C58" s="493" t="s">
        <v>777</v>
      </c>
      <c r="E58" s="490"/>
      <c r="F58" s="490"/>
    </row>
    <row r="59" spans="2:14" outlineLevel="1">
      <c r="B59" s="358">
        <v>5</v>
      </c>
      <c r="C59" s="494" t="s">
        <v>778</v>
      </c>
      <c r="D59" s="490"/>
      <c r="E59" s="490"/>
      <c r="F59" s="490"/>
    </row>
    <row r="60" spans="2:14" outlineLevel="1">
      <c r="B60" s="358">
        <v>6</v>
      </c>
      <c r="C60" s="492" t="s">
        <v>779</v>
      </c>
      <c r="D60" s="490"/>
      <c r="E60" s="490"/>
      <c r="F60" s="490"/>
    </row>
    <row r="61" spans="2:14" outlineLevel="1">
      <c r="B61" s="358">
        <v>7</v>
      </c>
      <c r="C61" s="495" t="s">
        <v>774</v>
      </c>
      <c r="D61" s="490"/>
      <c r="E61" s="490"/>
      <c r="F61" s="490"/>
    </row>
    <row r="62" spans="2:14" outlineLevel="1">
      <c r="B62" s="358">
        <v>8</v>
      </c>
      <c r="C62" s="495" t="s">
        <v>780</v>
      </c>
      <c r="D62" s="490"/>
      <c r="E62" s="490"/>
      <c r="F62" s="490"/>
    </row>
    <row r="63" spans="2:14" outlineLevel="1">
      <c r="B63" s="358">
        <v>9</v>
      </c>
      <c r="C63" s="489" t="s">
        <v>781</v>
      </c>
      <c r="D63" s="490"/>
      <c r="E63" s="490"/>
      <c r="F63" s="490"/>
    </row>
    <row r="64" spans="2:14" outlineLevel="1">
      <c r="B64" s="358">
        <v>10</v>
      </c>
      <c r="C64" s="490" t="s">
        <v>782</v>
      </c>
      <c r="D64" s="490"/>
      <c r="E64" s="490"/>
      <c r="F64" s="490"/>
    </row>
    <row r="65" spans="2:6" outlineLevel="1">
      <c r="B65" s="488" t="s">
        <v>783</v>
      </c>
      <c r="C65" s="489"/>
      <c r="D65" s="490"/>
      <c r="E65" s="490"/>
      <c r="F65" s="490"/>
    </row>
    <row r="66" spans="2:6" outlineLevel="1">
      <c r="B66" s="496" t="s">
        <v>6</v>
      </c>
      <c r="C66" s="497" t="s">
        <v>784</v>
      </c>
      <c r="E66" s="490"/>
      <c r="F66" s="490"/>
    </row>
    <row r="67" spans="2:6" outlineLevel="1">
      <c r="B67" s="496" t="s">
        <v>59</v>
      </c>
      <c r="C67" s="489" t="s">
        <v>785</v>
      </c>
      <c r="E67" s="490"/>
      <c r="F67" s="490"/>
    </row>
    <row r="68" spans="2:6" outlineLevel="1">
      <c r="B68" s="496" t="s">
        <v>16</v>
      </c>
      <c r="C68" s="489" t="s">
        <v>786</v>
      </c>
      <c r="E68" s="490"/>
      <c r="F68" s="490"/>
    </row>
    <row r="69" spans="2:6" outlineLevel="1">
      <c r="B69" s="496" t="s">
        <v>20</v>
      </c>
      <c r="C69" s="489" t="s">
        <v>787</v>
      </c>
      <c r="E69" s="490"/>
      <c r="F69" s="490"/>
    </row>
    <row r="70" spans="2:6" outlineLevel="1">
      <c r="B70" s="496" t="s">
        <v>76</v>
      </c>
      <c r="C70" s="498" t="s">
        <v>788</v>
      </c>
      <c r="E70" s="490"/>
      <c r="F70" s="490"/>
    </row>
    <row r="71" spans="2:6" outlineLevel="1">
      <c r="B71" s="496" t="s">
        <v>25</v>
      </c>
      <c r="C71" s="489" t="s">
        <v>789</v>
      </c>
      <c r="E71" s="490"/>
      <c r="F71" s="49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60" t="s">
        <v>790</v>
      </c>
      <c r="B84" s="1207"/>
      <c r="C84" s="1143"/>
      <c r="D84" s="1143"/>
      <c r="E84" s="1143"/>
      <c r="F84" s="1143"/>
      <c r="G84" s="1143"/>
      <c r="H84" s="1143"/>
      <c r="I84" s="1143"/>
      <c r="J84" s="1143"/>
      <c r="K84" s="1143"/>
      <c r="L84" s="1143"/>
      <c r="M84" s="1143"/>
      <c r="N84" s="361"/>
      <c r="P84" s="1143"/>
      <c r="Q84" s="1143"/>
      <c r="R84" s="1143"/>
      <c r="S84" s="1143"/>
      <c r="T84" s="1143"/>
      <c r="U84" s="1143"/>
    </row>
    <row r="85" spans="1:44" ht="15"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5" customHeight="1" outlineLevel="1" thickBot="1">
      <c r="B86" s="362" t="s">
        <v>0</v>
      </c>
      <c r="C86" s="1186" t="s">
        <v>791</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29.4" outlineLevel="1" thickBot="1">
      <c r="B89" s="371" t="s">
        <v>651</v>
      </c>
      <c r="C89" s="372">
        <v>20000</v>
      </c>
      <c r="D89" s="372">
        <v>20000</v>
      </c>
      <c r="E89" s="372">
        <v>20000</v>
      </c>
      <c r="F89" s="372">
        <v>20000</v>
      </c>
      <c r="G89" s="372">
        <v>1000</v>
      </c>
      <c r="H89" s="372">
        <v>50000</v>
      </c>
      <c r="I89" s="372">
        <v>1000</v>
      </c>
      <c r="J89" s="372">
        <v>50000</v>
      </c>
      <c r="K89" s="372" t="s">
        <v>6</v>
      </c>
      <c r="L89" s="373" t="s">
        <v>725</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501">
        <v>96</v>
      </c>
      <c r="D90" s="501">
        <v>97</v>
      </c>
      <c r="E90" s="502">
        <v>98</v>
      </c>
      <c r="F90" s="501">
        <v>98</v>
      </c>
      <c r="G90" s="501">
        <v>90</v>
      </c>
      <c r="H90" s="501">
        <v>98</v>
      </c>
      <c r="I90" s="501">
        <v>90</v>
      </c>
      <c r="J90" s="501">
        <v>98</v>
      </c>
      <c r="K90" s="503" t="s">
        <v>59</v>
      </c>
      <c r="L90" s="504" t="s">
        <v>729</v>
      </c>
      <c r="M90" s="370"/>
      <c r="N90" s="370"/>
      <c r="P90" s="1199" t="str">
        <f>C86</f>
        <v>Hot water boiler, Oil</v>
      </c>
      <c r="Q90" s="1154" t="s">
        <v>730</v>
      </c>
      <c r="R90" s="381" t="s">
        <v>731</v>
      </c>
      <c r="S90" s="382"/>
      <c r="T90" s="1137">
        <v>0</v>
      </c>
      <c r="U90" s="1151">
        <v>0</v>
      </c>
      <c r="V90" s="1137">
        <v>0</v>
      </c>
      <c r="W90" s="1151">
        <v>0</v>
      </c>
      <c r="X90" s="1137">
        <v>0</v>
      </c>
      <c r="Y90" s="1151">
        <v>0</v>
      </c>
      <c r="Z90" s="1137">
        <v>0</v>
      </c>
      <c r="AA90" s="1151">
        <v>0</v>
      </c>
      <c r="AB90" s="1137">
        <v>0</v>
      </c>
      <c r="AC90" s="1151">
        <v>0</v>
      </c>
      <c r="AE90" s="1148" t="str">
        <f>P90</f>
        <v>Hot water boiler, Oil</v>
      </c>
      <c r="AF90" s="1154" t="s">
        <v>730</v>
      </c>
      <c r="AG90" s="381" t="s">
        <v>731</v>
      </c>
      <c r="AH90" s="382"/>
      <c r="AI90" s="1137">
        <v>0</v>
      </c>
      <c r="AJ90" s="1151">
        <v>0</v>
      </c>
      <c r="AK90" s="1137">
        <v>0</v>
      </c>
      <c r="AL90" s="1151">
        <v>0</v>
      </c>
      <c r="AM90" s="1137">
        <v>0</v>
      </c>
      <c r="AN90" s="1151">
        <v>0</v>
      </c>
      <c r="AO90" s="1137">
        <v>0</v>
      </c>
      <c r="AP90" s="1151">
        <v>0</v>
      </c>
      <c r="AQ90" s="1137">
        <v>0</v>
      </c>
      <c r="AR90" s="1151">
        <v>0</v>
      </c>
    </row>
    <row r="91" spans="1:44" outlineLevel="1">
      <c r="B91" s="383" t="s">
        <v>732</v>
      </c>
      <c r="C91" s="384">
        <v>95</v>
      </c>
      <c r="D91" s="384">
        <v>96</v>
      </c>
      <c r="E91" s="384">
        <v>97</v>
      </c>
      <c r="F91" s="384">
        <v>97</v>
      </c>
      <c r="G91" s="505">
        <v>89</v>
      </c>
      <c r="H91" s="505">
        <v>97</v>
      </c>
      <c r="I91" s="505">
        <v>89</v>
      </c>
      <c r="J91" s="505">
        <v>97</v>
      </c>
      <c r="K91" s="372"/>
      <c r="L91" s="373" t="s">
        <v>729</v>
      </c>
      <c r="M91" s="370"/>
      <c r="N91" s="370"/>
      <c r="O91" s="71"/>
      <c r="P91" s="1195"/>
      <c r="Q91" s="1155"/>
      <c r="R91" s="388" t="s">
        <v>733</v>
      </c>
      <c r="S91" s="389"/>
      <c r="T91" s="1140"/>
      <c r="U91" s="1152"/>
      <c r="V91" s="1140"/>
      <c r="W91" s="1152"/>
      <c r="X91" s="1140"/>
      <c r="Y91" s="1152"/>
      <c r="Z91" s="1140"/>
      <c r="AA91" s="1152"/>
      <c r="AB91" s="1140"/>
      <c r="AC91" s="1152"/>
      <c r="AE91" s="1195"/>
      <c r="AF91" s="1155"/>
      <c r="AG91" s="388" t="s">
        <v>733</v>
      </c>
      <c r="AH91" s="389"/>
      <c r="AI91" s="1140"/>
      <c r="AJ91" s="1152"/>
      <c r="AK91" s="1140"/>
      <c r="AL91" s="1152"/>
      <c r="AM91" s="1140"/>
      <c r="AN91" s="1152"/>
      <c r="AO91" s="1140"/>
      <c r="AP91" s="1152"/>
      <c r="AQ91" s="1140"/>
      <c r="AR91" s="1152"/>
    </row>
    <row r="92" spans="1:44" ht="15" outlineLevel="1" thickBot="1">
      <c r="B92" s="500" t="s">
        <v>734</v>
      </c>
      <c r="C92" s="506">
        <v>0.14000000000000001</v>
      </c>
      <c r="D92" s="507">
        <v>0.12</v>
      </c>
      <c r="E92" s="507">
        <v>0.11</v>
      </c>
      <c r="F92" s="508">
        <v>0.1</v>
      </c>
      <c r="G92" s="507">
        <v>0.1</v>
      </c>
      <c r="H92" s="507">
        <v>0.14000000000000001</v>
      </c>
      <c r="I92" s="507">
        <v>0.08</v>
      </c>
      <c r="J92" s="507">
        <v>0.12</v>
      </c>
      <c r="K92" s="503" t="s">
        <v>16</v>
      </c>
      <c r="L92" s="504">
        <v>3</v>
      </c>
      <c r="M92" s="370"/>
      <c r="N92" s="370"/>
      <c r="O92" s="71"/>
      <c r="P92" s="1195"/>
      <c r="Q92" s="1156"/>
      <c r="R92" s="393" t="s">
        <v>735</v>
      </c>
      <c r="S92" s="394"/>
      <c r="T92" s="1141"/>
      <c r="U92" s="1153"/>
      <c r="V92" s="1141"/>
      <c r="W92" s="1153"/>
      <c r="X92" s="1141"/>
      <c r="Y92" s="1153"/>
      <c r="Z92" s="1141"/>
      <c r="AA92" s="1153"/>
      <c r="AB92" s="1141"/>
      <c r="AC92" s="1153"/>
      <c r="AE92" s="1195"/>
      <c r="AF92" s="1156"/>
      <c r="AG92" s="393" t="s">
        <v>735</v>
      </c>
      <c r="AH92" s="394"/>
      <c r="AI92" s="1141"/>
      <c r="AJ92" s="1153"/>
      <c r="AK92" s="1141"/>
      <c r="AL92" s="1153"/>
      <c r="AM92" s="1141"/>
      <c r="AN92" s="1153"/>
      <c r="AO92" s="1141"/>
      <c r="AP92" s="1153"/>
      <c r="AQ92" s="1141"/>
      <c r="AR92" s="1153"/>
    </row>
    <row r="93" spans="1:44" ht="15" customHeight="1" outlineLevel="1">
      <c r="B93" s="500" t="s">
        <v>657</v>
      </c>
      <c r="C93" s="506">
        <v>1.1000000000000001</v>
      </c>
      <c r="D93" s="506">
        <v>1.1000000000000001</v>
      </c>
      <c r="E93" s="506">
        <v>1.1000000000000001</v>
      </c>
      <c r="F93" s="506">
        <v>1.1000000000000001</v>
      </c>
      <c r="G93" s="506">
        <v>0.09</v>
      </c>
      <c r="H93" s="506">
        <v>2.1</v>
      </c>
      <c r="I93" s="506">
        <v>0.09</v>
      </c>
      <c r="J93" s="506">
        <v>2.1</v>
      </c>
      <c r="K93" s="503" t="s">
        <v>20</v>
      </c>
      <c r="L93" s="504">
        <v>3</v>
      </c>
      <c r="M93" s="370"/>
      <c r="N93" s="370"/>
      <c r="O93" s="71"/>
      <c r="P93" s="1195"/>
      <c r="Q93" s="1154" t="s">
        <v>736</v>
      </c>
      <c r="R93" s="395" t="s">
        <v>737</v>
      </c>
      <c r="S93" s="396" t="s">
        <v>738</v>
      </c>
      <c r="T93" s="1137">
        <v>0</v>
      </c>
      <c r="U93" s="1137">
        <v>0.67</v>
      </c>
      <c r="V93" s="1137">
        <v>0</v>
      </c>
      <c r="W93" s="1137">
        <v>0.56999999999999995</v>
      </c>
      <c r="X93" s="1137">
        <v>0</v>
      </c>
      <c r="Y93" s="1137">
        <v>0.5</v>
      </c>
      <c r="Z93" s="1137">
        <v>0</v>
      </c>
      <c r="AA93" s="1137">
        <v>0.51</v>
      </c>
      <c r="AB93" s="1137">
        <v>0</v>
      </c>
      <c r="AC93" s="1137">
        <v>0.41</v>
      </c>
      <c r="AE93" s="1195"/>
      <c r="AF93" s="1154" t="s">
        <v>736</v>
      </c>
      <c r="AG93" s="395" t="s">
        <v>737</v>
      </c>
      <c r="AH93" s="396" t="s">
        <v>738</v>
      </c>
      <c r="AI93" s="1137">
        <v>0</v>
      </c>
      <c r="AJ93" s="1137">
        <v>0.16750000000000001</v>
      </c>
      <c r="AK93" s="1137">
        <v>0</v>
      </c>
      <c r="AL93" s="1137">
        <v>0.14249999999999999</v>
      </c>
      <c r="AM93" s="1137">
        <v>0</v>
      </c>
      <c r="AN93" s="1137">
        <v>0.125</v>
      </c>
      <c r="AO93" s="1137">
        <v>0</v>
      </c>
      <c r="AP93" s="1137">
        <v>0.1275</v>
      </c>
      <c r="AQ93" s="1137">
        <v>0</v>
      </c>
      <c r="AR93" s="1137">
        <v>0.10249999999999999</v>
      </c>
    </row>
    <row r="94" spans="1:44" outlineLevel="1">
      <c r="B94" s="500" t="s">
        <v>658</v>
      </c>
      <c r="C94" s="506">
        <v>0.60000000000000009</v>
      </c>
      <c r="D94" s="506">
        <v>0.60000000000000009</v>
      </c>
      <c r="E94" s="506">
        <v>0.60000000000000009</v>
      </c>
      <c r="F94" s="506">
        <v>0.60000000000000009</v>
      </c>
      <c r="G94" s="506">
        <v>0.5</v>
      </c>
      <c r="H94" s="506">
        <v>0.8</v>
      </c>
      <c r="I94" s="506">
        <v>0.5</v>
      </c>
      <c r="J94" s="506">
        <v>0.8</v>
      </c>
      <c r="K94" s="503" t="s">
        <v>20</v>
      </c>
      <c r="L94" s="504">
        <v>3</v>
      </c>
      <c r="M94" s="367"/>
      <c r="N94" s="367"/>
      <c r="O94" s="71"/>
      <c r="P94" s="1195"/>
      <c r="Q94" s="1155"/>
      <c r="R94" s="395" t="s">
        <v>739</v>
      </c>
      <c r="S94" s="396" t="s">
        <v>738</v>
      </c>
      <c r="T94" s="1138"/>
      <c r="U94" s="1138"/>
      <c r="V94" s="1138"/>
      <c r="W94" s="1138"/>
      <c r="X94" s="1138"/>
      <c r="Y94" s="1138"/>
      <c r="Z94" s="1138"/>
      <c r="AA94" s="1138"/>
      <c r="AB94" s="1138"/>
      <c r="AC94" s="1138"/>
      <c r="AE94" s="1195"/>
      <c r="AF94" s="1155"/>
      <c r="AG94" s="395" t="s">
        <v>739</v>
      </c>
      <c r="AH94" s="396" t="s">
        <v>738</v>
      </c>
      <c r="AI94" s="1138"/>
      <c r="AJ94" s="1138"/>
      <c r="AK94" s="1138"/>
      <c r="AL94" s="1138"/>
      <c r="AM94" s="1138"/>
      <c r="AN94" s="1138"/>
      <c r="AO94" s="1138"/>
      <c r="AP94" s="1138"/>
      <c r="AQ94" s="1138"/>
      <c r="AR94" s="1138"/>
    </row>
    <row r="95" spans="1:44" outlineLevel="1">
      <c r="B95" s="383" t="s">
        <v>11</v>
      </c>
      <c r="C95" s="397">
        <v>25</v>
      </c>
      <c r="D95" s="397">
        <v>25</v>
      </c>
      <c r="E95" s="397">
        <v>25</v>
      </c>
      <c r="F95" s="397">
        <v>25</v>
      </c>
      <c r="G95" s="399">
        <v>20</v>
      </c>
      <c r="H95" s="399">
        <v>30</v>
      </c>
      <c r="I95" s="399">
        <v>20</v>
      </c>
      <c r="J95" s="399">
        <v>30</v>
      </c>
      <c r="K95" s="372"/>
      <c r="L95" s="373" t="s">
        <v>740</v>
      </c>
      <c r="M95" s="363"/>
      <c r="N95" s="363"/>
      <c r="P95" s="1195"/>
      <c r="Q95" s="1155"/>
      <c r="R95" s="395" t="s">
        <v>741</v>
      </c>
      <c r="S95" s="396"/>
      <c r="T95" s="1138"/>
      <c r="U95" s="1138"/>
      <c r="V95" s="1138"/>
      <c r="W95" s="1138"/>
      <c r="X95" s="1138"/>
      <c r="Y95" s="1138"/>
      <c r="Z95" s="1138"/>
      <c r="AA95" s="1138"/>
      <c r="AB95" s="1138"/>
      <c r="AC95" s="1138"/>
      <c r="AE95" s="1195"/>
      <c r="AF95" s="1155"/>
      <c r="AG95" s="395" t="s">
        <v>741</v>
      </c>
      <c r="AH95" s="396" t="s">
        <v>738</v>
      </c>
      <c r="AI95" s="1138"/>
      <c r="AJ95" s="1138"/>
      <c r="AK95" s="1138"/>
      <c r="AL95" s="1138"/>
      <c r="AM95" s="1138"/>
      <c r="AN95" s="1138"/>
      <c r="AO95" s="1138"/>
      <c r="AP95" s="1138"/>
      <c r="AQ95" s="1138"/>
      <c r="AR95" s="1138"/>
    </row>
    <row r="96" spans="1:44" ht="15" outlineLevel="1" thickBot="1">
      <c r="B96" s="500" t="s">
        <v>273</v>
      </c>
      <c r="C96" s="506">
        <v>0.5</v>
      </c>
      <c r="D96" s="506">
        <v>0.5</v>
      </c>
      <c r="E96" s="506">
        <v>0.5</v>
      </c>
      <c r="F96" s="506">
        <v>0.5</v>
      </c>
      <c r="G96" s="506">
        <v>0.2</v>
      </c>
      <c r="H96" s="506">
        <v>0.7</v>
      </c>
      <c r="I96" s="506">
        <v>0.2</v>
      </c>
      <c r="J96" s="506">
        <v>0.7</v>
      </c>
      <c r="K96" s="372"/>
      <c r="L96" s="400"/>
      <c r="M96" s="363"/>
      <c r="N96" s="363"/>
      <c r="P96" s="1195"/>
      <c r="Q96" s="1155"/>
      <c r="R96" s="395" t="s">
        <v>742</v>
      </c>
      <c r="S96" s="396" t="s">
        <v>738</v>
      </c>
      <c r="T96" s="1138"/>
      <c r="U96" s="1138"/>
      <c r="V96" s="1138"/>
      <c r="W96" s="1138"/>
      <c r="X96" s="1138"/>
      <c r="Y96" s="1138"/>
      <c r="Z96" s="1138"/>
      <c r="AA96" s="1138"/>
      <c r="AB96" s="1138"/>
      <c r="AC96" s="1138"/>
      <c r="AE96" s="1195"/>
      <c r="AF96" s="1155"/>
      <c r="AG96" s="395" t="s">
        <v>742</v>
      </c>
      <c r="AH96" s="396" t="s">
        <v>738</v>
      </c>
      <c r="AI96" s="1138"/>
      <c r="AJ96" s="1138"/>
      <c r="AK96" s="1138"/>
      <c r="AL96" s="1138"/>
      <c r="AM96" s="1138"/>
      <c r="AN96" s="1138"/>
      <c r="AO96" s="1138"/>
      <c r="AP96" s="1138"/>
      <c r="AQ96" s="1138"/>
      <c r="AR96" s="1138"/>
    </row>
    <row r="97" spans="1:44" ht="15" outlineLevel="1" thickBot="1">
      <c r="B97" s="401" t="s">
        <v>743</v>
      </c>
      <c r="C97" s="402"/>
      <c r="D97" s="403"/>
      <c r="E97" s="404"/>
      <c r="F97" s="405"/>
      <c r="G97" s="406"/>
      <c r="H97" s="406"/>
      <c r="I97" s="406"/>
      <c r="J97" s="406"/>
      <c r="K97" s="407"/>
      <c r="L97" s="408"/>
      <c r="M97" s="363"/>
      <c r="N97" s="363"/>
      <c r="P97" s="1195"/>
      <c r="Q97" s="1155"/>
      <c r="R97" s="409" t="s">
        <v>744</v>
      </c>
      <c r="S97" s="410" t="s">
        <v>738</v>
      </c>
      <c r="T97" s="1139"/>
      <c r="U97" s="1139"/>
      <c r="V97" s="1139"/>
      <c r="W97" s="1139"/>
      <c r="X97" s="1139"/>
      <c r="Y97" s="1139"/>
      <c r="Z97" s="1139"/>
      <c r="AA97" s="1139"/>
      <c r="AB97" s="1139"/>
      <c r="AC97" s="1139"/>
      <c r="AE97" s="1195"/>
      <c r="AF97" s="1155"/>
      <c r="AG97" s="409" t="s">
        <v>744</v>
      </c>
      <c r="AH97" s="410" t="s">
        <v>738</v>
      </c>
      <c r="AI97" s="1139"/>
      <c r="AJ97" s="1139"/>
      <c r="AK97" s="1139"/>
      <c r="AL97" s="1139"/>
      <c r="AM97" s="1139"/>
      <c r="AN97" s="1139"/>
      <c r="AO97" s="1139"/>
      <c r="AP97" s="1139"/>
      <c r="AQ97" s="1139"/>
      <c r="AR97" s="1139"/>
    </row>
    <row r="98" spans="1:44" ht="29.4" outlineLevel="1" thickBot="1">
      <c r="B98" s="500" t="s">
        <v>663</v>
      </c>
      <c r="C98" s="506">
        <v>15</v>
      </c>
      <c r="D98" s="506">
        <v>15</v>
      </c>
      <c r="E98" s="506">
        <v>15</v>
      </c>
      <c r="F98" s="506">
        <v>15</v>
      </c>
      <c r="G98" s="507"/>
      <c r="H98" s="507"/>
      <c r="I98" s="507"/>
      <c r="J98" s="507"/>
      <c r="K98" s="503"/>
      <c r="L98" s="504">
        <v>3</v>
      </c>
      <c r="M98" s="363"/>
      <c r="N98" s="363"/>
      <c r="P98" s="1196"/>
      <c r="Q98" s="411" t="s">
        <v>745</v>
      </c>
      <c r="R98" s="412" t="s">
        <v>746</v>
      </c>
      <c r="S98" s="413" t="s">
        <v>738</v>
      </c>
      <c r="T98" s="414">
        <v>1</v>
      </c>
      <c r="U98" s="415">
        <v>1</v>
      </c>
      <c r="V98" s="416">
        <v>1</v>
      </c>
      <c r="W98" s="415">
        <v>1</v>
      </c>
      <c r="X98" s="416">
        <v>1</v>
      </c>
      <c r="Y98" s="415">
        <v>1</v>
      </c>
      <c r="Z98" s="416">
        <v>1</v>
      </c>
      <c r="AA98" s="415">
        <v>1</v>
      </c>
      <c r="AB98" s="416">
        <v>1</v>
      </c>
      <c r="AC98" s="417">
        <v>1</v>
      </c>
      <c r="AE98" s="1196"/>
      <c r="AF98" s="411" t="s">
        <v>745</v>
      </c>
      <c r="AG98" s="412" t="s">
        <v>746</v>
      </c>
      <c r="AH98" s="413" t="s">
        <v>738</v>
      </c>
      <c r="AI98" s="414">
        <v>1</v>
      </c>
      <c r="AJ98" s="415">
        <v>1</v>
      </c>
      <c r="AK98" s="414">
        <v>1</v>
      </c>
      <c r="AL98" s="415">
        <v>1</v>
      </c>
      <c r="AM98" s="414">
        <v>1</v>
      </c>
      <c r="AN98" s="415">
        <v>1</v>
      </c>
      <c r="AO98" s="414">
        <v>1</v>
      </c>
      <c r="AP98" s="415">
        <v>1</v>
      </c>
      <c r="AQ98" s="414">
        <v>1</v>
      </c>
      <c r="AR98" s="417">
        <v>1</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ht="15.6" outlineLevel="1">
      <c r="B102" s="383" t="s">
        <v>747</v>
      </c>
      <c r="C102" s="397">
        <v>0.5</v>
      </c>
      <c r="D102" s="397">
        <v>0.5</v>
      </c>
      <c r="E102" s="397">
        <v>0.5</v>
      </c>
      <c r="F102" s="397">
        <v>0.5</v>
      </c>
      <c r="G102" s="422"/>
      <c r="H102" s="425"/>
      <c r="I102" s="425"/>
      <c r="J102" s="425"/>
      <c r="K102" s="426" t="s">
        <v>76</v>
      </c>
      <c r="L102" s="427" t="s">
        <v>748</v>
      </c>
      <c r="M102" s="428"/>
      <c r="N102" s="428"/>
    </row>
    <row r="103" spans="1:44" outlineLevel="1">
      <c r="B103" s="383" t="s">
        <v>749</v>
      </c>
      <c r="C103" s="397">
        <v>0.1</v>
      </c>
      <c r="D103" s="397">
        <v>0.1</v>
      </c>
      <c r="E103" s="397">
        <v>0.1</v>
      </c>
      <c r="F103" s="397">
        <v>0.1</v>
      </c>
      <c r="G103" s="425"/>
      <c r="H103" s="425"/>
      <c r="I103" s="425"/>
      <c r="J103" s="425"/>
      <c r="K103" s="423"/>
      <c r="L103" s="427">
        <v>9</v>
      </c>
      <c r="M103" s="428"/>
      <c r="N103" s="428"/>
    </row>
    <row r="104" spans="1:44" ht="15.6" outlineLevel="1">
      <c r="B104" s="383" t="s">
        <v>750</v>
      </c>
      <c r="C104" s="397">
        <v>25</v>
      </c>
      <c r="D104" s="397">
        <v>20</v>
      </c>
      <c r="E104" s="397">
        <v>18</v>
      </c>
      <c r="F104" s="397">
        <v>15</v>
      </c>
      <c r="G104" s="425"/>
      <c r="H104" s="425"/>
      <c r="I104" s="425"/>
      <c r="J104" s="425"/>
      <c r="K104" s="423"/>
      <c r="L104" s="427" t="s">
        <v>748</v>
      </c>
      <c r="M104" s="428"/>
      <c r="N104" s="428"/>
    </row>
    <row r="105" spans="1:44" outlineLevel="1">
      <c r="B105" s="383" t="s">
        <v>366</v>
      </c>
      <c r="C105" s="397">
        <v>0</v>
      </c>
      <c r="D105" s="397">
        <v>0</v>
      </c>
      <c r="E105" s="397">
        <v>0</v>
      </c>
      <c r="F105" s="397">
        <v>0</v>
      </c>
      <c r="G105" s="425"/>
      <c r="H105" s="425"/>
      <c r="I105" s="425"/>
      <c r="J105" s="425"/>
      <c r="K105" s="423"/>
      <c r="L105" s="427" t="s">
        <v>748</v>
      </c>
      <c r="M105" s="428"/>
      <c r="N105" s="428"/>
    </row>
    <row r="106" spans="1:44" ht="15" outlineLevel="1" thickBot="1">
      <c r="B106" s="429" t="s">
        <v>367</v>
      </c>
      <c r="C106" s="430">
        <v>0</v>
      </c>
      <c r="D106" s="430">
        <v>0</v>
      </c>
      <c r="E106" s="430">
        <v>0</v>
      </c>
      <c r="F106" s="430">
        <v>0</v>
      </c>
      <c r="G106" s="425"/>
      <c r="H106" s="425"/>
      <c r="I106" s="425"/>
      <c r="J106" s="425"/>
      <c r="K106" s="423"/>
      <c r="L106" s="427" t="s">
        <v>748</v>
      </c>
      <c r="M106" s="428"/>
      <c r="N106" s="428"/>
    </row>
    <row r="107" spans="1:44" ht="15" outlineLevel="1" thickBot="1">
      <c r="B107" s="431" t="s">
        <v>674</v>
      </c>
      <c r="C107" s="432"/>
      <c r="D107" s="403"/>
      <c r="E107" s="403"/>
      <c r="F107" s="433"/>
      <c r="G107" s="434"/>
      <c r="H107" s="406"/>
      <c r="I107" s="406"/>
      <c r="J107" s="406"/>
      <c r="K107" s="407"/>
      <c r="L107" s="408"/>
      <c r="M107" s="428"/>
      <c r="N107" s="428"/>
    </row>
    <row r="108" spans="1:44" outlineLevel="1">
      <c r="A108" s="435"/>
      <c r="B108" s="436" t="s">
        <v>792</v>
      </c>
      <c r="C108" s="511">
        <v>4.4000000000000004E-2</v>
      </c>
      <c r="D108" s="512">
        <v>3.7261104389205602E-2</v>
      </c>
      <c r="E108" s="512">
        <v>3.5680000000000003E-2</v>
      </c>
      <c r="F108" s="513">
        <v>3.523649477443936E-2</v>
      </c>
      <c r="G108" s="425"/>
      <c r="H108" s="425"/>
      <c r="I108" s="425"/>
      <c r="J108" s="425"/>
      <c r="K108" s="426" t="s">
        <v>752</v>
      </c>
      <c r="L108" s="440" t="s">
        <v>753</v>
      </c>
      <c r="M108" s="420"/>
      <c r="N108" s="420"/>
    </row>
    <row r="109" spans="1:44" outlineLevel="1">
      <c r="B109" s="441" t="s">
        <v>754</v>
      </c>
      <c r="C109" s="442">
        <v>60</v>
      </c>
      <c r="D109" s="442">
        <v>60</v>
      </c>
      <c r="E109" s="442">
        <v>60</v>
      </c>
      <c r="F109" s="442">
        <v>60</v>
      </c>
      <c r="G109" s="425"/>
      <c r="H109" s="425"/>
      <c r="I109" s="425"/>
      <c r="J109" s="425"/>
      <c r="K109" s="444"/>
      <c r="L109" s="373">
        <v>3</v>
      </c>
      <c r="M109" s="71"/>
      <c r="N109" s="420"/>
    </row>
    <row r="110" spans="1:44" outlineLevel="1">
      <c r="B110" s="441" t="s">
        <v>755</v>
      </c>
      <c r="C110" s="442">
        <v>40</v>
      </c>
      <c r="D110" s="442">
        <v>40</v>
      </c>
      <c r="E110" s="442">
        <v>40</v>
      </c>
      <c r="F110" s="442">
        <v>40</v>
      </c>
      <c r="G110" s="425"/>
      <c r="H110" s="425"/>
      <c r="I110" s="425"/>
      <c r="J110" s="425"/>
      <c r="K110" s="444"/>
      <c r="L110" s="373">
        <v>3</v>
      </c>
      <c r="M110" s="420"/>
      <c r="N110" s="420"/>
    </row>
    <row r="111" spans="1:44" outlineLevel="1">
      <c r="B111" s="383" t="s">
        <v>793</v>
      </c>
      <c r="C111" s="445">
        <f>1800/1000</f>
        <v>1.8</v>
      </c>
      <c r="D111" s="446">
        <v>1.7</v>
      </c>
      <c r="E111" s="446">
        <v>1.6</v>
      </c>
      <c r="F111" s="447">
        <v>1.5</v>
      </c>
      <c r="G111" s="425"/>
      <c r="H111" s="425"/>
      <c r="I111" s="425"/>
      <c r="J111" s="425"/>
      <c r="K111" s="448"/>
      <c r="L111" s="373">
        <v>3</v>
      </c>
      <c r="M111" s="420"/>
      <c r="N111" s="420"/>
    </row>
    <row r="112" spans="1:44" outlineLevel="1">
      <c r="B112" s="383" t="s">
        <v>794</v>
      </c>
      <c r="C112" s="449">
        <f>1/3.6</f>
        <v>0.27777777777777779</v>
      </c>
      <c r="D112" s="449">
        <f>0.9/3.6</f>
        <v>0.25</v>
      </c>
      <c r="E112" s="449">
        <f>0.9/3.6</f>
        <v>0.25</v>
      </c>
      <c r="F112" s="449">
        <f>0.9/3.6</f>
        <v>0.25</v>
      </c>
      <c r="G112" s="425"/>
      <c r="H112" s="425"/>
      <c r="I112" s="425"/>
      <c r="J112" s="425"/>
      <c r="K112" s="448"/>
      <c r="L112" s="373">
        <v>3</v>
      </c>
      <c r="M112" s="450"/>
      <c r="N112" s="361"/>
      <c r="P112" s="1142">
        <f>C112</f>
        <v>0.27777777777777779</v>
      </c>
      <c r="Q112" s="1143"/>
      <c r="R112" s="1143"/>
      <c r="S112" s="1143"/>
      <c r="T112" s="1143"/>
      <c r="U112" s="1144"/>
    </row>
    <row r="113" spans="2:30" ht="15" outlineLevel="1" thickBot="1">
      <c r="B113" s="500" t="s">
        <v>758</v>
      </c>
      <c r="C113" s="514">
        <v>0.10220000000000001</v>
      </c>
      <c r="D113" s="514">
        <v>0.09</v>
      </c>
      <c r="E113" s="514">
        <v>8.3600000000000008E-2</v>
      </c>
      <c r="F113" s="514">
        <v>7.5999999999999998E-2</v>
      </c>
      <c r="G113" s="515"/>
      <c r="H113" s="515"/>
      <c r="I113" s="515"/>
      <c r="J113" s="515"/>
      <c r="K113" s="503" t="s">
        <v>52</v>
      </c>
      <c r="L113" s="504">
        <v>3</v>
      </c>
      <c r="M113" s="450"/>
      <c r="N113" s="361"/>
      <c r="P113" s="1134">
        <f>C113</f>
        <v>0.10220000000000001</v>
      </c>
      <c r="Q113" s="1135"/>
      <c r="R113" s="1135"/>
      <c r="S113" s="1135"/>
      <c r="T113" s="1135"/>
      <c r="U113" s="1136"/>
    </row>
    <row r="114" spans="2:30" outlineLevel="1">
      <c r="B114" s="500" t="s">
        <v>759</v>
      </c>
      <c r="C114" s="516">
        <v>0.89779999999999993</v>
      </c>
      <c r="D114" s="516">
        <v>0.81</v>
      </c>
      <c r="E114" s="516">
        <v>0.81640000000000001</v>
      </c>
      <c r="F114" s="516">
        <v>0.82400000000000007</v>
      </c>
      <c r="G114" s="515"/>
      <c r="H114" s="515"/>
      <c r="I114" s="515"/>
      <c r="J114" s="515"/>
      <c r="K114" s="517"/>
      <c r="L114" s="504">
        <v>3</v>
      </c>
      <c r="M114" s="363"/>
      <c r="N114" s="363"/>
      <c r="P114" s="53" t="s">
        <v>357</v>
      </c>
    </row>
    <row r="115" spans="2:30" ht="27.6"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43.8"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v>3.5000000000000003E-2</v>
      </c>
      <c r="D118" s="523">
        <v>0.03</v>
      </c>
      <c r="E118" s="523">
        <v>0.03</v>
      </c>
      <c r="F118" s="523">
        <v>0.03</v>
      </c>
      <c r="G118" s="524"/>
      <c r="H118" s="524"/>
      <c r="I118" s="524"/>
      <c r="J118" s="524"/>
      <c r="K118" s="524" t="s">
        <v>55</v>
      </c>
      <c r="L118" s="525"/>
      <c r="M118" s="363"/>
      <c r="N118" s="363"/>
      <c r="O118" s="465">
        <f>C91</f>
        <v>95</v>
      </c>
      <c r="P118" s="466">
        <f>C87</f>
        <v>2020</v>
      </c>
      <c r="Q118" s="58">
        <f>P118</f>
        <v>2020</v>
      </c>
      <c r="R118" s="466">
        <f>O118/100</f>
        <v>0.95</v>
      </c>
      <c r="S118" s="58"/>
      <c r="T118" s="466">
        <f>C95</f>
        <v>25</v>
      </c>
      <c r="U118" s="467">
        <f>C125</f>
        <v>327.8</v>
      </c>
      <c r="V118" s="467">
        <f>C127</f>
        <v>13.41</v>
      </c>
      <c r="W118" s="467">
        <f>C128</f>
        <v>2.0694444444444446</v>
      </c>
      <c r="X118" s="58"/>
      <c r="Y118" s="58"/>
      <c r="Z118" s="466">
        <f>C102</f>
        <v>0.5</v>
      </c>
      <c r="AA118" s="468">
        <f>C104</f>
        <v>25</v>
      </c>
      <c r="AB118" s="468">
        <f>C105</f>
        <v>0</v>
      </c>
      <c r="AC118" s="468">
        <f>C106</f>
        <v>0</v>
      </c>
      <c r="AD118" s="468">
        <f>C103</f>
        <v>0.1</v>
      </c>
    </row>
    <row r="119" spans="2:30" outlineLevel="1">
      <c r="B119" s="500" t="s">
        <v>763</v>
      </c>
      <c r="C119" s="526" t="s">
        <v>36</v>
      </c>
      <c r="D119" s="527" t="s">
        <v>36</v>
      </c>
      <c r="E119" s="527" t="s">
        <v>36</v>
      </c>
      <c r="F119" s="528" t="s">
        <v>36</v>
      </c>
      <c r="G119" s="528"/>
      <c r="H119" s="528"/>
      <c r="I119" s="528"/>
      <c r="J119" s="528"/>
      <c r="K119" s="529" t="s">
        <v>49</v>
      </c>
      <c r="L119" s="525"/>
      <c r="M119" s="363"/>
      <c r="N119" s="363"/>
      <c r="O119" s="465">
        <f>D91</f>
        <v>96</v>
      </c>
      <c r="P119" s="466">
        <f>D87</f>
        <v>2030</v>
      </c>
      <c r="Q119" s="58"/>
      <c r="R119" s="466">
        <f>O119/100</f>
        <v>0.96</v>
      </c>
      <c r="S119" s="58"/>
      <c r="T119" s="466">
        <f>D95</f>
        <v>25</v>
      </c>
      <c r="U119" s="467">
        <f>D125</f>
        <v>277.5952276995817</v>
      </c>
      <c r="V119" s="467">
        <f>D127</f>
        <v>12.664999999999999</v>
      </c>
      <c r="W119" s="467">
        <f>D128</f>
        <v>1.8625</v>
      </c>
      <c r="X119" s="58"/>
      <c r="Y119" s="58"/>
      <c r="Z119" s="466">
        <f>D102</f>
        <v>0.5</v>
      </c>
      <c r="AA119" s="468">
        <f>D104</f>
        <v>20</v>
      </c>
      <c r="AB119" s="468">
        <f>D105</f>
        <v>0</v>
      </c>
      <c r="AC119" s="468">
        <f>D106</f>
        <v>0</v>
      </c>
      <c r="AD119" s="468">
        <f>D103</f>
        <v>0.1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97</v>
      </c>
      <c r="P120" s="466">
        <f>E87</f>
        <v>2040</v>
      </c>
      <c r="Q120" s="58"/>
      <c r="R120" s="466">
        <f>O120/100</f>
        <v>0.97</v>
      </c>
      <c r="S120" s="58"/>
      <c r="T120" s="466">
        <f>E95</f>
        <v>25</v>
      </c>
      <c r="U120" s="467">
        <f>E125</f>
        <v>265.81600000000003</v>
      </c>
      <c r="V120" s="467">
        <f>E127</f>
        <v>11.920000000000002</v>
      </c>
      <c r="W120" s="467">
        <f>E128</f>
        <v>1.8625</v>
      </c>
      <c r="X120" s="58"/>
      <c r="Y120" s="58"/>
      <c r="Z120" s="466">
        <f>E102</f>
        <v>0.5</v>
      </c>
      <c r="AA120" s="468">
        <f>E104</f>
        <v>18</v>
      </c>
      <c r="AB120" s="468">
        <f>E105</f>
        <v>0</v>
      </c>
      <c r="AC120" s="468">
        <f>E106</f>
        <v>0</v>
      </c>
      <c r="AD120" s="468">
        <f>E103</f>
        <v>0.1</v>
      </c>
    </row>
    <row r="121" spans="2:30" outlineLevel="1">
      <c r="B121" s="500" t="s">
        <v>765</v>
      </c>
      <c r="C121" s="530">
        <v>90</v>
      </c>
      <c r="D121" s="530">
        <v>90</v>
      </c>
      <c r="E121" s="530">
        <v>90</v>
      </c>
      <c r="F121" s="530">
        <v>90</v>
      </c>
      <c r="G121" s="531"/>
      <c r="H121" s="531"/>
      <c r="I121" s="531"/>
      <c r="J121" s="531"/>
      <c r="K121" s="531"/>
      <c r="L121" s="504">
        <v>3</v>
      </c>
      <c r="M121" s="363"/>
      <c r="N121" s="363"/>
      <c r="O121" s="465">
        <f>F91</f>
        <v>97</v>
      </c>
      <c r="P121" s="466">
        <f>F87</f>
        <v>2050</v>
      </c>
      <c r="Q121" s="58"/>
      <c r="R121" s="466">
        <f>O121/100</f>
        <v>0.97</v>
      </c>
      <c r="S121" s="58"/>
      <c r="T121" s="466">
        <f>F95</f>
        <v>25</v>
      </c>
      <c r="U121" s="467">
        <f>F125</f>
        <v>262.51188606957328</v>
      </c>
      <c r="V121" s="467">
        <f>F127</f>
        <v>11.175000000000001</v>
      </c>
      <c r="W121" s="467">
        <f>F128</f>
        <v>1.8625</v>
      </c>
      <c r="X121" s="58"/>
      <c r="Y121" s="58"/>
      <c r="Z121" s="466">
        <f>F102</f>
        <v>0.5</v>
      </c>
      <c r="AA121" s="468">
        <f>F104</f>
        <v>15</v>
      </c>
      <c r="AB121" s="468">
        <f>F105</f>
        <v>0</v>
      </c>
      <c r="AC121" s="468">
        <f>F106</f>
        <v>0</v>
      </c>
      <c r="AD121" s="468">
        <f>F103</f>
        <v>0.1</v>
      </c>
    </row>
    <row r="122" spans="2:30" outlineLevel="1">
      <c r="B122" s="532" t="s">
        <v>766</v>
      </c>
      <c r="C122" s="526"/>
      <c r="D122" s="527"/>
      <c r="E122" s="527"/>
      <c r="F122" s="528"/>
      <c r="G122" s="531"/>
      <c r="H122" s="531"/>
      <c r="I122" s="531"/>
      <c r="J122" s="531"/>
      <c r="K122" s="531"/>
      <c r="L122" s="533"/>
      <c r="M122" s="367"/>
      <c r="N122" s="367"/>
    </row>
    <row r="123" spans="2:30" outlineLevel="1">
      <c r="B123" s="532" t="s">
        <v>767</v>
      </c>
      <c r="C123" s="526"/>
      <c r="D123" s="527"/>
      <c r="E123" s="527"/>
      <c r="F123" s="528"/>
      <c r="G123" s="531"/>
      <c r="H123" s="531"/>
      <c r="I123" s="531"/>
      <c r="J123" s="531"/>
      <c r="K123" s="531"/>
      <c r="L123" s="533"/>
      <c r="M123" s="363"/>
      <c r="N123" s="363"/>
    </row>
    <row r="124" spans="2:30" ht="15" outlineLevel="1" thickBot="1">
      <c r="B124" s="534" t="s">
        <v>768</v>
      </c>
      <c r="C124" s="535"/>
      <c r="D124" s="536"/>
      <c r="E124" s="536"/>
      <c r="F124" s="537"/>
      <c r="G124" s="538"/>
      <c r="H124" s="538"/>
      <c r="I124" s="538"/>
      <c r="J124" s="538"/>
      <c r="K124" s="538"/>
      <c r="L124" s="539"/>
      <c r="M124" s="363"/>
      <c r="N124" s="363"/>
    </row>
    <row r="125" spans="2:30" ht="57.6" outlineLevel="1">
      <c r="B125" s="461" t="s">
        <v>769</v>
      </c>
      <c r="C125" s="483">
        <f>C108*$F$4*1000</f>
        <v>327.8</v>
      </c>
      <c r="D125" s="483">
        <f t="shared" ref="D125:F125" si="3">D108*$F$4*1000</f>
        <v>277.5952276995817</v>
      </c>
      <c r="E125" s="483">
        <f t="shared" si="3"/>
        <v>265.81600000000003</v>
      </c>
      <c r="F125" s="483">
        <f t="shared" si="3"/>
        <v>262.51188606957328</v>
      </c>
      <c r="G125" s="483"/>
      <c r="H125" s="484"/>
      <c r="I125" s="420" t="s">
        <v>332</v>
      </c>
      <c r="J125" s="420"/>
      <c r="K125" s="484"/>
      <c r="L125" s="484"/>
      <c r="N125" s="420"/>
    </row>
    <row r="126" spans="2:30" outlineLevel="1">
      <c r="B126" s="485" t="s">
        <v>770</v>
      </c>
      <c r="C126" s="486">
        <f>C125*$I126</f>
        <v>163900</v>
      </c>
      <c r="D126" s="486">
        <f>D125*$I126</f>
        <v>138797.61384979085</v>
      </c>
      <c r="E126" s="486">
        <f>E125*$I126</f>
        <v>132908.00000000003</v>
      </c>
      <c r="F126" s="486">
        <f>F125*$I126</f>
        <v>131255.94303478664</v>
      </c>
      <c r="G126" s="486"/>
      <c r="H126" s="484"/>
      <c r="I126" s="71">
        <v>500</v>
      </c>
      <c r="J126" s="420" t="s">
        <v>330</v>
      </c>
      <c r="K126" s="484"/>
      <c r="L126" s="484"/>
      <c r="N126" s="420"/>
    </row>
    <row r="127" spans="2:30" ht="43.2" outlineLevel="1">
      <c r="B127" s="461" t="s">
        <v>771</v>
      </c>
      <c r="C127" s="359">
        <f>C111*$F$4</f>
        <v>13.41</v>
      </c>
      <c r="D127" s="359">
        <f t="shared" ref="D127:F128" si="4">D111*$F$4</f>
        <v>12.664999999999999</v>
      </c>
      <c r="E127" s="359">
        <f t="shared" si="4"/>
        <v>11.920000000000002</v>
      </c>
      <c r="F127" s="359">
        <f t="shared" si="4"/>
        <v>11.175000000000001</v>
      </c>
      <c r="G127" s="359"/>
      <c r="I127" s="420" t="s">
        <v>333</v>
      </c>
      <c r="J127" s="420"/>
      <c r="N127" s="420"/>
    </row>
    <row r="128" spans="2:30" ht="43.2" outlineLevel="1">
      <c r="B128" s="461" t="s">
        <v>772</v>
      </c>
      <c r="C128" s="487">
        <f>C112*$F$4</f>
        <v>2.0694444444444446</v>
      </c>
      <c r="D128" s="487">
        <f t="shared" si="4"/>
        <v>1.8625</v>
      </c>
      <c r="E128" s="487">
        <f t="shared" si="4"/>
        <v>1.8625</v>
      </c>
      <c r="F128" s="487">
        <f t="shared" si="4"/>
        <v>1.8625</v>
      </c>
      <c r="G128" s="359"/>
      <c r="M128" s="420"/>
      <c r="N128" s="420"/>
    </row>
    <row r="129" spans="2:6" outlineLevel="1"/>
    <row r="130" spans="2:6" outlineLevel="1"/>
    <row r="131" spans="2:6" outlineLevel="1"/>
    <row r="132" spans="2:6" outlineLevel="1"/>
    <row r="133" spans="2:6" outlineLevel="1">
      <c r="B133" s="488" t="s">
        <v>773</v>
      </c>
      <c r="C133" s="489"/>
      <c r="D133" s="490"/>
      <c r="E133" s="490"/>
      <c r="F133" s="490"/>
    </row>
    <row r="134" spans="2:6" outlineLevel="1">
      <c r="B134" s="491">
        <v>1</v>
      </c>
      <c r="C134" s="492" t="s">
        <v>774</v>
      </c>
      <c r="E134" s="490"/>
      <c r="F134" s="490"/>
    </row>
    <row r="135" spans="2:6" outlineLevel="1">
      <c r="B135" s="491">
        <v>2</v>
      </c>
      <c r="C135" s="493" t="s">
        <v>775</v>
      </c>
      <c r="E135" s="490"/>
      <c r="F135" s="490"/>
    </row>
    <row r="136" spans="2:6" outlineLevel="1">
      <c r="B136" s="491">
        <v>3</v>
      </c>
      <c r="C136" s="493" t="s">
        <v>776</v>
      </c>
      <c r="E136" s="490"/>
      <c r="F136" s="490"/>
    </row>
    <row r="137" spans="2:6" outlineLevel="1">
      <c r="B137" s="491">
        <v>4</v>
      </c>
      <c r="C137" s="493" t="s">
        <v>777</v>
      </c>
      <c r="E137" s="490"/>
      <c r="F137" s="490"/>
    </row>
    <row r="138" spans="2:6" outlineLevel="1">
      <c r="B138" s="358">
        <v>5</v>
      </c>
      <c r="C138" s="494" t="s">
        <v>778</v>
      </c>
      <c r="D138" s="490"/>
      <c r="E138" s="490"/>
      <c r="F138" s="490"/>
    </row>
    <row r="139" spans="2:6" outlineLevel="1">
      <c r="B139" s="358">
        <v>6</v>
      </c>
      <c r="C139" s="492" t="s">
        <v>779</v>
      </c>
      <c r="D139" s="490"/>
      <c r="E139" s="490"/>
      <c r="F139" s="490"/>
    </row>
    <row r="140" spans="2:6" outlineLevel="1">
      <c r="B140" s="358">
        <v>7</v>
      </c>
      <c r="C140" s="495" t="s">
        <v>774</v>
      </c>
      <c r="D140" s="490"/>
      <c r="E140" s="490"/>
      <c r="F140" s="490"/>
    </row>
    <row r="141" spans="2:6" outlineLevel="1">
      <c r="B141" s="358">
        <v>8</v>
      </c>
      <c r="C141" s="495" t="s">
        <v>780</v>
      </c>
      <c r="D141" s="490"/>
      <c r="E141" s="490"/>
      <c r="F141" s="490"/>
    </row>
    <row r="142" spans="2:6" outlineLevel="1">
      <c r="B142" s="358">
        <v>9</v>
      </c>
      <c r="C142" s="489" t="s">
        <v>781</v>
      </c>
      <c r="D142" s="490"/>
      <c r="E142" s="490"/>
      <c r="F142" s="490"/>
    </row>
    <row r="143" spans="2:6" outlineLevel="1">
      <c r="B143" s="358">
        <v>10</v>
      </c>
      <c r="C143" s="490" t="s">
        <v>782</v>
      </c>
      <c r="D143" s="490"/>
      <c r="E143" s="490"/>
      <c r="F143" s="490"/>
    </row>
    <row r="144" spans="2:6" outlineLevel="1">
      <c r="B144" s="488" t="s">
        <v>783</v>
      </c>
      <c r="C144" s="489"/>
      <c r="D144" s="490"/>
      <c r="E144" s="490"/>
      <c r="F144" s="490"/>
    </row>
    <row r="145" spans="1:44" outlineLevel="1">
      <c r="B145" s="496" t="s">
        <v>6</v>
      </c>
      <c r="C145" s="497" t="s">
        <v>784</v>
      </c>
      <c r="E145" s="490"/>
      <c r="F145" s="490"/>
    </row>
    <row r="146" spans="1:44" outlineLevel="1">
      <c r="B146" s="496" t="s">
        <v>59</v>
      </c>
      <c r="C146" s="489" t="s">
        <v>785</v>
      </c>
      <c r="E146" s="490"/>
      <c r="F146" s="490"/>
    </row>
    <row r="147" spans="1:44" outlineLevel="1">
      <c r="B147" s="496" t="s">
        <v>16</v>
      </c>
      <c r="C147" s="489" t="s">
        <v>786</v>
      </c>
      <c r="E147" s="490"/>
      <c r="F147" s="490"/>
    </row>
    <row r="148" spans="1:44" outlineLevel="1">
      <c r="B148" s="496" t="s">
        <v>20</v>
      </c>
      <c r="C148" s="489" t="s">
        <v>787</v>
      </c>
      <c r="E148" s="490"/>
      <c r="F148" s="490"/>
    </row>
    <row r="149" spans="1:44" outlineLevel="1">
      <c r="B149" s="496" t="s">
        <v>76</v>
      </c>
      <c r="C149" s="498" t="s">
        <v>788</v>
      </c>
      <c r="E149" s="490"/>
      <c r="F149" s="490"/>
    </row>
    <row r="150" spans="1:44" outlineLevel="1">
      <c r="B150" s="496" t="s">
        <v>25</v>
      </c>
      <c r="C150" s="489" t="s">
        <v>789</v>
      </c>
      <c r="E150" s="490"/>
      <c r="F150" s="490"/>
    </row>
    <row r="151" spans="1:44" outlineLevel="1"/>
    <row r="152" spans="1:44" outlineLevel="1">
      <c r="M152" s="214"/>
    </row>
    <row r="153" spans="1:44" outlineLevel="1"/>
    <row r="156" spans="1:44">
      <c r="A156" s="360"/>
      <c r="B156" s="1207"/>
      <c r="C156" s="1143"/>
      <c r="D156" s="1143"/>
      <c r="E156" s="1143"/>
      <c r="F156" s="1143"/>
      <c r="G156" s="1143"/>
      <c r="H156" s="1143"/>
      <c r="I156" s="1143"/>
      <c r="J156" s="1143"/>
      <c r="K156" s="1143"/>
      <c r="L156" s="1143"/>
      <c r="M156" s="1143"/>
      <c r="N156" s="361"/>
      <c r="P156" s="1143"/>
      <c r="Q156" s="1143"/>
      <c r="R156" s="1143"/>
      <c r="S156" s="1143"/>
      <c r="T156" s="1143"/>
      <c r="U156" s="1143"/>
    </row>
    <row r="157" spans="1:44" ht="15" outlineLevel="1" thickBot="1">
      <c r="B157" s="1207"/>
      <c r="C157" s="1143"/>
      <c r="D157" s="1143"/>
      <c r="E157" s="1143"/>
      <c r="F157" s="1143"/>
      <c r="G157" s="1143"/>
      <c r="H157" s="1143"/>
      <c r="I157" s="1143"/>
      <c r="J157" s="1143"/>
      <c r="K157" s="1143"/>
      <c r="L157" s="1143"/>
      <c r="M157" s="1143"/>
      <c r="N157" s="361"/>
      <c r="P157" s="1143"/>
      <c r="Q157" s="1143"/>
      <c r="R157" s="1143"/>
      <c r="S157" s="1143"/>
      <c r="T157" s="1143"/>
      <c r="U157" s="1143"/>
    </row>
    <row r="158" spans="1:44" ht="20.55" customHeight="1" outlineLevel="1" thickBot="1">
      <c r="B158" s="362"/>
      <c r="C158" s="1186"/>
      <c r="D158" s="1205"/>
      <c r="E158" s="1205"/>
      <c r="F158" s="1205"/>
      <c r="G158" s="1205"/>
      <c r="H158" s="1205"/>
      <c r="I158" s="1205"/>
      <c r="J158" s="1205"/>
      <c r="K158" s="1205"/>
      <c r="L158" s="1206"/>
      <c r="M158" s="363"/>
      <c r="N158" s="363"/>
      <c r="P158" s="364"/>
      <c r="Q158" s="365"/>
      <c r="R158" s="366"/>
      <c r="S158" s="1176"/>
      <c r="T158" s="1160"/>
      <c r="U158" s="1161"/>
      <c r="V158" s="1160"/>
      <c r="W158" s="1161"/>
      <c r="X158" s="1160"/>
      <c r="Y158" s="1161"/>
      <c r="Z158" s="1160"/>
      <c r="AA158" s="1161"/>
      <c r="AB158" s="1160"/>
      <c r="AC158" s="1161"/>
      <c r="AE158" s="364"/>
      <c r="AF158" s="365"/>
      <c r="AG158" s="366"/>
      <c r="AH158" s="1176"/>
      <c r="AI158" s="1160"/>
      <c r="AJ158" s="1161"/>
      <c r="AK158" s="1160"/>
      <c r="AL158" s="1161"/>
      <c r="AM158" s="1160"/>
      <c r="AN158" s="1161"/>
      <c r="AO158" s="1160"/>
      <c r="AP158" s="1161"/>
      <c r="AQ158" s="1160"/>
      <c r="AR158" s="1161"/>
    </row>
    <row r="159" spans="1:44" ht="15" customHeight="1" outlineLevel="1" thickBot="1">
      <c r="B159" s="1164"/>
      <c r="C159" s="1166"/>
      <c r="D159" s="1166"/>
      <c r="E159" s="1166"/>
      <c r="F159" s="1166"/>
      <c r="G159" s="1221"/>
      <c r="H159" s="1222"/>
      <c r="I159" s="1221"/>
      <c r="J159" s="1222"/>
      <c r="K159" s="1189"/>
      <c r="L159" s="1189"/>
      <c r="M159" s="367"/>
      <c r="N159" s="367"/>
      <c r="P159" s="1180"/>
      <c r="Q159" s="368"/>
      <c r="R159" s="368"/>
      <c r="S159" s="1177"/>
      <c r="T159" s="1162"/>
      <c r="U159" s="1163"/>
      <c r="V159" s="1162"/>
      <c r="W159" s="1163"/>
      <c r="X159" s="1162"/>
      <c r="Y159" s="1163"/>
      <c r="Z159" s="1162"/>
      <c r="AA159" s="1163"/>
      <c r="AB159" s="1162"/>
      <c r="AC159" s="1163"/>
      <c r="AE159" s="1180"/>
      <c r="AF159" s="368"/>
      <c r="AG159" s="368"/>
      <c r="AH159" s="1177"/>
      <c r="AI159" s="1162"/>
      <c r="AJ159" s="1163"/>
      <c r="AK159" s="1162"/>
      <c r="AL159" s="1163"/>
      <c r="AM159" s="1162"/>
      <c r="AN159" s="1163"/>
      <c r="AO159" s="1162"/>
      <c r="AP159" s="1163"/>
      <c r="AQ159" s="1162"/>
      <c r="AR159" s="1163"/>
    </row>
    <row r="160" spans="1:44" ht="15" customHeight="1" outlineLevel="1" thickBot="1">
      <c r="B160" s="1165"/>
      <c r="C160" s="1167"/>
      <c r="D160" s="1167"/>
      <c r="E160" s="1167"/>
      <c r="F160" s="1167"/>
      <c r="G160" s="540"/>
      <c r="H160" s="540"/>
      <c r="I160" s="540"/>
      <c r="J160" s="540"/>
      <c r="K160" s="1190"/>
      <c r="L160" s="1190"/>
      <c r="M160" s="370"/>
      <c r="N160" s="370"/>
      <c r="P160" s="1181"/>
      <c r="Q160" s="1183"/>
      <c r="R160" s="1184"/>
      <c r="S160" s="1178"/>
      <c r="T160" s="1162"/>
      <c r="U160" s="1163"/>
      <c r="V160" s="1162"/>
      <c r="W160" s="1163"/>
      <c r="X160" s="1162"/>
      <c r="Y160" s="1163"/>
      <c r="Z160" s="1162"/>
      <c r="AA160" s="1163"/>
      <c r="AB160" s="1162"/>
      <c r="AC160" s="1163"/>
      <c r="AE160" s="1181"/>
      <c r="AF160" s="1197"/>
      <c r="AG160" s="1184"/>
      <c r="AH160" s="1178"/>
      <c r="AI160" s="1162"/>
      <c r="AJ160" s="1163"/>
      <c r="AK160" s="1162"/>
      <c r="AL160" s="1163"/>
      <c r="AM160" s="1162"/>
      <c r="AN160" s="1163"/>
      <c r="AO160" s="1162"/>
      <c r="AP160" s="1163"/>
      <c r="AQ160" s="1162"/>
      <c r="AR160" s="1163"/>
    </row>
    <row r="161" spans="2:44" ht="15" outlineLevel="1" thickBot="1">
      <c r="B161" s="371"/>
      <c r="C161" s="372"/>
      <c r="D161" s="372"/>
      <c r="E161" s="372"/>
      <c r="F161" s="372"/>
      <c r="G161" s="372"/>
      <c r="H161" s="372"/>
      <c r="I161" s="372"/>
      <c r="J161" s="372"/>
      <c r="K161" s="372"/>
      <c r="L161" s="373"/>
      <c r="M161" s="370"/>
      <c r="N161" s="370"/>
      <c r="O161" s="74"/>
      <c r="P161" s="1182"/>
      <c r="Q161" s="1179"/>
      <c r="R161" s="1185"/>
      <c r="S161" s="1179"/>
      <c r="T161" s="374"/>
      <c r="U161" s="375"/>
      <c r="V161" s="374"/>
      <c r="W161" s="375"/>
      <c r="X161" s="374"/>
      <c r="Y161" s="375"/>
      <c r="Z161" s="374"/>
      <c r="AA161" s="375"/>
      <c r="AB161" s="374"/>
      <c r="AC161" s="375"/>
      <c r="AE161" s="1182"/>
      <c r="AF161" s="1198"/>
      <c r="AG161" s="1185"/>
      <c r="AH161" s="1179"/>
      <c r="AI161" s="374"/>
      <c r="AJ161" s="375"/>
      <c r="AK161" s="374"/>
      <c r="AL161" s="375"/>
      <c r="AM161" s="374"/>
      <c r="AN161" s="375"/>
      <c r="AO161" s="374"/>
      <c r="AP161" s="375"/>
      <c r="AQ161" s="374"/>
      <c r="AR161" s="375"/>
    </row>
    <row r="162" spans="2:44" ht="14.55" customHeight="1" outlineLevel="1">
      <c r="B162" s="541"/>
      <c r="C162" s="542"/>
      <c r="D162" s="542"/>
      <c r="E162" s="543"/>
      <c r="F162" s="542"/>
      <c r="G162" s="542"/>
      <c r="H162" s="542"/>
      <c r="I162" s="542"/>
      <c r="J162" s="542"/>
      <c r="K162" s="372"/>
      <c r="L162" s="373"/>
      <c r="M162" s="370"/>
      <c r="N162" s="370"/>
      <c r="P162" s="1148"/>
      <c r="Q162" s="1154"/>
      <c r="R162" s="381"/>
      <c r="S162" s="382"/>
      <c r="T162" s="1137"/>
      <c r="U162" s="1151"/>
      <c r="V162" s="1137"/>
      <c r="W162" s="1151"/>
      <c r="X162" s="1137"/>
      <c r="Y162" s="1151"/>
      <c r="Z162" s="1137"/>
      <c r="AA162" s="1151"/>
      <c r="AB162" s="1137"/>
      <c r="AC162" s="1151"/>
      <c r="AE162" s="1148"/>
      <c r="AF162" s="1154"/>
      <c r="AG162" s="381"/>
      <c r="AH162" s="382"/>
      <c r="AI162" s="1137"/>
      <c r="AJ162" s="1151"/>
      <c r="AK162" s="1137"/>
      <c r="AL162" s="1151"/>
      <c r="AM162" s="1137"/>
      <c r="AN162" s="1151"/>
      <c r="AO162" s="1137"/>
      <c r="AP162" s="1151"/>
      <c r="AQ162" s="1137"/>
      <c r="AR162" s="1151"/>
    </row>
    <row r="163" spans="2:44" outlineLevel="1">
      <c r="B163" s="383"/>
      <c r="C163" s="384"/>
      <c r="D163" s="384"/>
      <c r="E163" s="384"/>
      <c r="F163" s="384"/>
      <c r="G163" s="505"/>
      <c r="H163" s="505"/>
      <c r="I163" s="505"/>
      <c r="J163" s="505"/>
      <c r="K163" s="372"/>
      <c r="L163" s="373"/>
      <c r="M163" s="370"/>
      <c r="N163" s="370"/>
      <c r="O163" s="71"/>
      <c r="P163" s="1195"/>
      <c r="Q163" s="1155"/>
      <c r="R163" s="388"/>
      <c r="S163" s="389"/>
      <c r="T163" s="1140"/>
      <c r="U163" s="1152"/>
      <c r="V163" s="1140"/>
      <c r="W163" s="1152"/>
      <c r="X163" s="1140"/>
      <c r="Y163" s="1152"/>
      <c r="Z163" s="1140"/>
      <c r="AA163" s="1152"/>
      <c r="AB163" s="1140"/>
      <c r="AC163" s="1152"/>
      <c r="AE163" s="1195"/>
      <c r="AF163" s="1155"/>
      <c r="AG163" s="388"/>
      <c r="AH163" s="389"/>
      <c r="AI163" s="1140"/>
      <c r="AJ163" s="1152"/>
      <c r="AK163" s="1140"/>
      <c r="AL163" s="1152"/>
      <c r="AM163" s="1140"/>
      <c r="AN163" s="1152"/>
      <c r="AO163" s="1140"/>
      <c r="AP163" s="1152"/>
      <c r="AQ163" s="1140"/>
      <c r="AR163" s="1152"/>
    </row>
    <row r="164" spans="2:44" ht="15" outlineLevel="1" thickBot="1">
      <c r="B164" s="541"/>
      <c r="C164" s="544"/>
      <c r="D164" s="545"/>
      <c r="E164" s="545"/>
      <c r="F164" s="546"/>
      <c r="G164" s="545"/>
      <c r="H164" s="545"/>
      <c r="I164" s="545"/>
      <c r="J164" s="545"/>
      <c r="K164" s="547"/>
      <c r="L164" s="548"/>
      <c r="M164" s="370"/>
      <c r="N164" s="370"/>
      <c r="O164" s="71"/>
      <c r="P164" s="1195"/>
      <c r="Q164" s="1156"/>
      <c r="R164" s="393"/>
      <c r="S164" s="394"/>
      <c r="T164" s="1141"/>
      <c r="U164" s="1153"/>
      <c r="V164" s="1141"/>
      <c r="W164" s="1153"/>
      <c r="X164" s="1141"/>
      <c r="Y164" s="1153"/>
      <c r="Z164" s="1141"/>
      <c r="AA164" s="1153"/>
      <c r="AB164" s="1141"/>
      <c r="AC164" s="1153"/>
      <c r="AE164" s="1195"/>
      <c r="AF164" s="1156"/>
      <c r="AG164" s="393"/>
      <c r="AH164" s="394"/>
      <c r="AI164" s="1141"/>
      <c r="AJ164" s="1153"/>
      <c r="AK164" s="1141"/>
      <c r="AL164" s="1153"/>
      <c r="AM164" s="1141"/>
      <c r="AN164" s="1153"/>
      <c r="AO164" s="1141"/>
      <c r="AP164" s="1153"/>
      <c r="AQ164" s="1141"/>
      <c r="AR164" s="1153"/>
    </row>
    <row r="165" spans="2:44" ht="14.55" customHeight="1" outlineLevel="1">
      <c r="B165" s="541"/>
      <c r="C165" s="544"/>
      <c r="D165" s="544"/>
      <c r="E165" s="544"/>
      <c r="F165" s="544"/>
      <c r="G165" s="544"/>
      <c r="H165" s="544"/>
      <c r="I165" s="544"/>
      <c r="J165" s="544"/>
      <c r="K165" s="547"/>
      <c r="L165" s="548"/>
      <c r="M165" s="370"/>
      <c r="N165" s="370"/>
      <c r="O165" s="71"/>
      <c r="P165" s="1195"/>
      <c r="Q165" s="1154"/>
      <c r="R165" s="395"/>
      <c r="S165" s="396"/>
      <c r="T165" s="1137"/>
      <c r="U165" s="1137"/>
      <c r="V165" s="1137"/>
      <c r="W165" s="1137"/>
      <c r="X165" s="1137"/>
      <c r="Y165" s="1137"/>
      <c r="Z165" s="1137"/>
      <c r="AA165" s="1137"/>
      <c r="AB165" s="1137"/>
      <c r="AC165" s="1137"/>
      <c r="AE165" s="1195"/>
      <c r="AF165" s="1154"/>
      <c r="AG165" s="395"/>
      <c r="AH165" s="396"/>
      <c r="AI165" s="1137"/>
      <c r="AJ165" s="1137"/>
      <c r="AK165" s="1137"/>
      <c r="AL165" s="1137"/>
      <c r="AM165" s="1137"/>
      <c r="AN165" s="1137"/>
      <c r="AO165" s="1137"/>
      <c r="AP165" s="1137"/>
      <c r="AQ165" s="1137"/>
      <c r="AR165" s="1137"/>
    </row>
    <row r="166" spans="2:44" outlineLevel="1">
      <c r="B166" s="541"/>
      <c r="C166" s="544"/>
      <c r="D166" s="544"/>
      <c r="E166" s="544"/>
      <c r="F166" s="544"/>
      <c r="G166" s="544"/>
      <c r="H166" s="544"/>
      <c r="I166" s="544"/>
      <c r="J166" s="544"/>
      <c r="K166" s="547"/>
      <c r="L166" s="548"/>
      <c r="M166" s="367"/>
      <c r="N166" s="367"/>
      <c r="O166" s="71"/>
      <c r="P166" s="1195"/>
      <c r="Q166" s="1155"/>
      <c r="R166" s="395"/>
      <c r="S166" s="396"/>
      <c r="T166" s="1138"/>
      <c r="U166" s="1138"/>
      <c r="V166" s="1138"/>
      <c r="W166" s="1138"/>
      <c r="X166" s="1138"/>
      <c r="Y166" s="1138"/>
      <c r="Z166" s="1138"/>
      <c r="AA166" s="1138"/>
      <c r="AB166" s="1138"/>
      <c r="AC166" s="1138"/>
      <c r="AE166" s="1195"/>
      <c r="AF166" s="1155"/>
      <c r="AG166" s="395"/>
      <c r="AH166" s="396"/>
      <c r="AI166" s="1138"/>
      <c r="AJ166" s="1138"/>
      <c r="AK166" s="1138"/>
      <c r="AL166" s="1138"/>
      <c r="AM166" s="1138"/>
      <c r="AN166" s="1138"/>
      <c r="AO166" s="1138"/>
      <c r="AP166" s="1138"/>
      <c r="AQ166" s="1138"/>
      <c r="AR166" s="1138"/>
    </row>
    <row r="167" spans="2:44" outlineLevel="1">
      <c r="B167" s="383"/>
      <c r="C167" s="397"/>
      <c r="D167" s="397"/>
      <c r="E167" s="397"/>
      <c r="F167" s="399"/>
      <c r="G167" s="399"/>
      <c r="H167" s="399"/>
      <c r="I167" s="399"/>
      <c r="J167" s="399"/>
      <c r="K167" s="372"/>
      <c r="L167" s="373"/>
      <c r="M167" s="363"/>
      <c r="N167" s="363"/>
      <c r="P167" s="1195"/>
      <c r="Q167" s="1155"/>
      <c r="R167" s="395"/>
      <c r="S167" s="396"/>
      <c r="T167" s="1138"/>
      <c r="U167" s="1138"/>
      <c r="V167" s="1138"/>
      <c r="W167" s="1138"/>
      <c r="X167" s="1138"/>
      <c r="Y167" s="1138"/>
      <c r="Z167" s="1138"/>
      <c r="AA167" s="1138"/>
      <c r="AB167" s="1138"/>
      <c r="AC167" s="1138"/>
      <c r="AE167" s="1195"/>
      <c r="AF167" s="1155"/>
      <c r="AG167" s="395"/>
      <c r="AH167" s="396"/>
      <c r="AI167" s="1138"/>
      <c r="AJ167" s="1138"/>
      <c r="AK167" s="1138"/>
      <c r="AL167" s="1138"/>
      <c r="AM167" s="1138"/>
      <c r="AN167" s="1138"/>
      <c r="AO167" s="1138"/>
      <c r="AP167" s="1138"/>
      <c r="AQ167" s="1138"/>
      <c r="AR167" s="1138"/>
    </row>
    <row r="168" spans="2:44" ht="15" outlineLevel="1" thickBot="1">
      <c r="B168" s="541"/>
      <c r="C168" s="544"/>
      <c r="D168" s="544"/>
      <c r="E168" s="544"/>
      <c r="F168" s="544"/>
      <c r="G168" s="544"/>
      <c r="H168" s="544"/>
      <c r="I168" s="544"/>
      <c r="J168" s="544"/>
      <c r="K168" s="372"/>
      <c r="L168" s="400"/>
      <c r="M168" s="363"/>
      <c r="N168" s="363"/>
      <c r="P168" s="1195"/>
      <c r="Q168" s="1155"/>
      <c r="R168" s="395"/>
      <c r="S168" s="396"/>
      <c r="T168" s="1138"/>
      <c r="U168" s="1138"/>
      <c r="V168" s="1138"/>
      <c r="W168" s="1138"/>
      <c r="X168" s="1138"/>
      <c r="Y168" s="1138"/>
      <c r="Z168" s="1138"/>
      <c r="AA168" s="1138"/>
      <c r="AB168" s="1138"/>
      <c r="AC168" s="1138"/>
      <c r="AE168" s="1195"/>
      <c r="AF168" s="1155"/>
      <c r="AG168" s="395"/>
      <c r="AH168" s="396"/>
      <c r="AI168" s="1138"/>
      <c r="AJ168" s="1138"/>
      <c r="AK168" s="1138"/>
      <c r="AL168" s="1138"/>
      <c r="AM168" s="1138"/>
      <c r="AN168" s="1138"/>
      <c r="AO168" s="1138"/>
      <c r="AP168" s="1138"/>
      <c r="AQ168" s="1138"/>
      <c r="AR168" s="1138"/>
    </row>
    <row r="169" spans="2:44" ht="15" outlineLevel="1" thickBot="1">
      <c r="B169" s="401"/>
      <c r="C169" s="402"/>
      <c r="D169" s="403"/>
      <c r="E169" s="404"/>
      <c r="F169" s="405"/>
      <c r="G169" s="406"/>
      <c r="H169" s="406"/>
      <c r="I169" s="406"/>
      <c r="J169" s="406"/>
      <c r="K169" s="407"/>
      <c r="L169" s="408"/>
      <c r="M169" s="363"/>
      <c r="N169" s="363"/>
      <c r="P169" s="1195"/>
      <c r="Q169" s="1155"/>
      <c r="R169" s="409"/>
      <c r="S169" s="410"/>
      <c r="T169" s="1139"/>
      <c r="U169" s="1139"/>
      <c r="V169" s="1139"/>
      <c r="W169" s="1139"/>
      <c r="X169" s="1139"/>
      <c r="Y169" s="1139"/>
      <c r="Z169" s="1139"/>
      <c r="AA169" s="1139"/>
      <c r="AB169" s="1139"/>
      <c r="AC169" s="1139"/>
      <c r="AE169" s="1195"/>
      <c r="AF169" s="1155"/>
      <c r="AG169" s="409"/>
      <c r="AH169" s="410"/>
      <c r="AI169" s="1139"/>
      <c r="AJ169" s="1139"/>
      <c r="AK169" s="1139"/>
      <c r="AL169" s="1139"/>
      <c r="AM169" s="1139"/>
      <c r="AN169" s="1139"/>
      <c r="AO169" s="1139"/>
      <c r="AP169" s="1139"/>
      <c r="AQ169" s="1139"/>
      <c r="AR169" s="1139"/>
    </row>
    <row r="170" spans="2:44" ht="15" outlineLevel="1" thickBot="1">
      <c r="B170" s="541"/>
      <c r="C170" s="544"/>
      <c r="D170" s="544"/>
      <c r="E170" s="544"/>
      <c r="F170" s="544"/>
      <c r="G170" s="545"/>
      <c r="H170" s="545"/>
      <c r="I170" s="545"/>
      <c r="J170" s="545"/>
      <c r="K170" s="547"/>
      <c r="L170" s="548"/>
      <c r="M170" s="363"/>
      <c r="N170" s="363"/>
      <c r="P170" s="1196"/>
      <c r="Q170" s="411"/>
      <c r="R170" s="412"/>
      <c r="S170" s="413"/>
      <c r="T170" s="414"/>
      <c r="U170" s="415"/>
      <c r="V170" s="416"/>
      <c r="W170" s="415"/>
      <c r="X170" s="416"/>
      <c r="Y170" s="415"/>
      <c r="Z170" s="416"/>
      <c r="AA170" s="415"/>
      <c r="AB170" s="416"/>
      <c r="AC170" s="417"/>
      <c r="AE170" s="1196"/>
      <c r="AF170" s="411"/>
      <c r="AG170" s="412"/>
      <c r="AH170" s="413"/>
      <c r="AI170" s="414"/>
      <c r="AJ170" s="415"/>
      <c r="AK170" s="416"/>
      <c r="AL170" s="415"/>
      <c r="AM170" s="416"/>
      <c r="AN170" s="415"/>
      <c r="AO170" s="416"/>
      <c r="AP170" s="415"/>
      <c r="AQ170" s="416"/>
      <c r="AR170" s="417"/>
    </row>
    <row r="171" spans="2:44" outlineLevel="1">
      <c r="B171" s="541"/>
      <c r="C171" s="544"/>
      <c r="D171" s="544"/>
      <c r="E171" s="544"/>
      <c r="F171" s="544"/>
      <c r="G171" s="549"/>
      <c r="H171" s="549"/>
      <c r="I171" s="549"/>
      <c r="J171" s="549"/>
      <c r="K171" s="550"/>
      <c r="L171" s="548"/>
      <c r="M171" s="363"/>
      <c r="N171" s="363"/>
    </row>
    <row r="172" spans="2:44" outlineLevel="1">
      <c r="B172" s="541"/>
      <c r="C172" s="544"/>
      <c r="D172" s="544"/>
      <c r="E172" s="544"/>
      <c r="F172" s="544"/>
      <c r="G172" s="549"/>
      <c r="H172" s="549"/>
      <c r="I172" s="549"/>
      <c r="J172" s="549"/>
      <c r="K172" s="550"/>
      <c r="L172" s="548"/>
      <c r="M172" s="420"/>
      <c r="N172" s="363"/>
    </row>
    <row r="173" spans="2:44" outlineLevel="1">
      <c r="B173" s="421"/>
      <c r="C173" s="399"/>
      <c r="D173" s="399"/>
      <c r="E173" s="399"/>
      <c r="F173" s="399"/>
      <c r="G173" s="422"/>
      <c r="H173" s="422"/>
      <c r="I173" s="422"/>
      <c r="J173" s="422"/>
      <c r="K173" s="423"/>
      <c r="L173" s="424"/>
      <c r="M173" s="420"/>
      <c r="N173" s="420"/>
    </row>
    <row r="174" spans="2:44" outlineLevel="1">
      <c r="B174" s="383"/>
      <c r="C174" s="397"/>
      <c r="D174" s="397"/>
      <c r="E174" s="397"/>
      <c r="F174" s="397"/>
      <c r="G174" s="422"/>
      <c r="H174" s="425"/>
      <c r="I174" s="425"/>
      <c r="J174" s="425"/>
      <c r="K174" s="426"/>
      <c r="L174" s="427"/>
      <c r="M174" s="428"/>
      <c r="N174" s="428"/>
    </row>
    <row r="175" spans="2:44" outlineLevel="1">
      <c r="B175" s="383"/>
      <c r="C175" s="397"/>
      <c r="D175" s="397"/>
      <c r="E175" s="397"/>
      <c r="F175" s="397"/>
      <c r="G175" s="425"/>
      <c r="H175" s="425"/>
      <c r="I175" s="425"/>
      <c r="J175" s="425"/>
      <c r="K175" s="423"/>
      <c r="L175" s="427"/>
      <c r="M175" s="428"/>
      <c r="N175" s="428"/>
    </row>
    <row r="176" spans="2:44" outlineLevel="1">
      <c r="B176" s="383"/>
      <c r="C176" s="397"/>
      <c r="D176" s="397"/>
      <c r="E176" s="397"/>
      <c r="F176" s="397"/>
      <c r="G176" s="425"/>
      <c r="H176" s="425"/>
      <c r="I176" s="425"/>
      <c r="J176" s="425"/>
      <c r="K176" s="423"/>
      <c r="L176" s="427"/>
      <c r="M176" s="428"/>
      <c r="N176" s="428"/>
    </row>
    <row r="177" spans="1:30" outlineLevel="1">
      <c r="B177" s="383"/>
      <c r="C177" s="397"/>
      <c r="D177" s="397"/>
      <c r="E177" s="397"/>
      <c r="F177" s="397"/>
      <c r="G177" s="425"/>
      <c r="H177" s="425"/>
      <c r="I177" s="425"/>
      <c r="J177" s="425"/>
      <c r="K177" s="423"/>
      <c r="L177" s="427"/>
      <c r="M177" s="428"/>
      <c r="N177" s="428"/>
    </row>
    <row r="178" spans="1:30" ht="15" outlineLevel="1" thickBot="1">
      <c r="B178" s="429"/>
      <c r="C178" s="430"/>
      <c r="D178" s="430"/>
      <c r="E178" s="430"/>
      <c r="F178" s="430"/>
      <c r="G178" s="425"/>
      <c r="H178" s="425"/>
      <c r="I178" s="425"/>
      <c r="J178" s="425"/>
      <c r="K178" s="423"/>
      <c r="L178" s="427"/>
      <c r="M178" s="428"/>
      <c r="N178" s="428"/>
    </row>
    <row r="179" spans="1:30" ht="15" outlineLevel="1" thickBot="1">
      <c r="B179" s="431"/>
      <c r="C179" s="432"/>
      <c r="D179" s="403"/>
      <c r="E179" s="403"/>
      <c r="F179" s="433"/>
      <c r="G179" s="434"/>
      <c r="H179" s="406"/>
      <c r="I179" s="406"/>
      <c r="J179" s="406"/>
      <c r="K179" s="407"/>
      <c r="L179" s="408"/>
      <c r="M179" s="428"/>
      <c r="N179" s="428"/>
    </row>
    <row r="180" spans="1:30" outlineLevel="1">
      <c r="A180" s="435"/>
      <c r="B180" s="436"/>
      <c r="C180" s="551"/>
      <c r="D180" s="438"/>
      <c r="E180" s="438"/>
      <c r="F180" s="439"/>
      <c r="G180" s="425"/>
      <c r="H180" s="425"/>
      <c r="I180" s="425"/>
      <c r="J180" s="425"/>
      <c r="K180" s="426"/>
      <c r="L180" s="440"/>
      <c r="M180" s="420"/>
      <c r="N180" s="420"/>
    </row>
    <row r="181" spans="1:30" outlineLevel="1">
      <c r="B181" s="441"/>
      <c r="C181" s="442"/>
      <c r="D181" s="443"/>
      <c r="E181" s="443"/>
      <c r="F181" s="443"/>
      <c r="G181" s="425"/>
      <c r="H181" s="425"/>
      <c r="I181" s="425"/>
      <c r="J181" s="425"/>
      <c r="K181" s="444"/>
      <c r="L181" s="373"/>
      <c r="M181" s="71"/>
      <c r="N181" s="420"/>
    </row>
    <row r="182" spans="1:30" outlineLevel="1">
      <c r="B182" s="441"/>
      <c r="C182" s="442"/>
      <c r="D182" s="442"/>
      <c r="E182" s="442"/>
      <c r="F182" s="442"/>
      <c r="G182" s="425"/>
      <c r="H182" s="425"/>
      <c r="I182" s="425"/>
      <c r="J182" s="425"/>
      <c r="K182" s="444"/>
      <c r="L182" s="373"/>
      <c r="M182" s="420"/>
      <c r="N182" s="420"/>
    </row>
    <row r="183" spans="1:30" outlineLevel="1">
      <c r="B183" s="383"/>
      <c r="C183" s="445"/>
      <c r="D183" s="446"/>
      <c r="E183" s="446"/>
      <c r="F183" s="447"/>
      <c r="G183" s="425"/>
      <c r="H183" s="425"/>
      <c r="I183" s="425"/>
      <c r="J183" s="425"/>
      <c r="K183" s="448"/>
      <c r="L183" s="373"/>
      <c r="M183" s="420"/>
      <c r="N183" s="420"/>
    </row>
    <row r="184" spans="1:30" outlineLevel="1">
      <c r="B184" s="383"/>
      <c r="C184" s="449"/>
      <c r="D184" s="449"/>
      <c r="E184" s="449"/>
      <c r="F184" s="449"/>
      <c r="G184" s="425"/>
      <c r="H184" s="425"/>
      <c r="I184" s="425"/>
      <c r="J184" s="425"/>
      <c r="K184" s="448"/>
      <c r="L184" s="373"/>
      <c r="M184" s="450"/>
      <c r="N184" s="361"/>
      <c r="P184" s="1142"/>
      <c r="Q184" s="1143"/>
      <c r="R184" s="1143"/>
      <c r="S184" s="1143"/>
      <c r="T184" s="1143"/>
      <c r="U184" s="1144"/>
    </row>
    <row r="185" spans="1:30" ht="15" outlineLevel="1" thickBot="1">
      <c r="B185" s="541"/>
      <c r="C185" s="552"/>
      <c r="D185" s="552"/>
      <c r="E185" s="552"/>
      <c r="F185" s="552"/>
      <c r="G185" s="553"/>
      <c r="H185" s="553"/>
      <c r="I185" s="553"/>
      <c r="J185" s="553"/>
      <c r="K185" s="547"/>
      <c r="L185" s="548"/>
      <c r="M185" s="450"/>
      <c r="N185" s="361"/>
      <c r="P185" s="1134"/>
      <c r="Q185" s="1135"/>
      <c r="R185" s="1135"/>
      <c r="S185" s="1135"/>
      <c r="T185" s="1135"/>
      <c r="U185" s="1136"/>
    </row>
    <row r="186" spans="1:30" outlineLevel="1">
      <c r="B186" s="541"/>
      <c r="C186" s="554"/>
      <c r="D186" s="554"/>
      <c r="E186" s="554"/>
      <c r="F186" s="554"/>
      <c r="G186" s="553"/>
      <c r="H186" s="553"/>
      <c r="I186" s="553"/>
      <c r="J186" s="553"/>
      <c r="K186" s="555"/>
      <c r="L186" s="548"/>
      <c r="M186" s="363"/>
      <c r="N186" s="363"/>
      <c r="P186" s="53"/>
    </row>
    <row r="187" spans="1:30" outlineLevel="1">
      <c r="B187" s="441"/>
      <c r="C187" s="456"/>
      <c r="D187" s="456"/>
      <c r="E187" s="456"/>
      <c r="F187" s="456"/>
      <c r="G187" s="425"/>
      <c r="H187" s="425"/>
      <c r="I187" s="425"/>
      <c r="J187" s="425"/>
      <c r="K187" s="444"/>
      <c r="L187" s="424"/>
      <c r="M187" s="367"/>
      <c r="N187" s="367"/>
      <c r="P187" s="46"/>
      <c r="Q187" s="46"/>
      <c r="R187" s="47"/>
      <c r="S187" s="47"/>
      <c r="T187" s="47"/>
      <c r="U187" s="48"/>
      <c r="V187" s="49"/>
      <c r="W187" s="49"/>
      <c r="X187" s="49"/>
      <c r="Y187" s="49"/>
      <c r="Z187" s="49"/>
      <c r="AA187" s="49"/>
      <c r="AB187" s="49"/>
      <c r="AC187" s="49"/>
      <c r="AD187" s="49"/>
    </row>
    <row r="188" spans="1:30" ht="15" outlineLevel="1" thickBot="1">
      <c r="B188" s="441"/>
      <c r="C188" s="442"/>
      <c r="D188" s="457"/>
      <c r="E188" s="457"/>
      <c r="F188" s="458"/>
      <c r="G188" s="425"/>
      <c r="H188" s="425"/>
      <c r="I188" s="425"/>
      <c r="J188" s="425"/>
      <c r="K188" s="448"/>
      <c r="L188" s="424"/>
      <c r="M188" s="363"/>
      <c r="N188" s="363"/>
      <c r="P188" s="50"/>
      <c r="Q188" s="50"/>
      <c r="R188" s="51"/>
      <c r="S188" s="51"/>
      <c r="T188" s="51"/>
      <c r="U188" s="51"/>
      <c r="V188" s="50"/>
      <c r="W188" s="50"/>
      <c r="X188" s="50"/>
      <c r="Y188" s="50"/>
      <c r="Z188" s="50"/>
      <c r="AA188" s="50"/>
      <c r="AB188" s="50"/>
      <c r="AC188" s="50"/>
      <c r="AD188" s="50"/>
    </row>
    <row r="189" spans="1:30" ht="15" outlineLevel="1" thickBot="1">
      <c r="B189" s="401"/>
      <c r="C189" s="402"/>
      <c r="D189" s="403"/>
      <c r="E189" s="404"/>
      <c r="F189" s="405"/>
      <c r="G189" s="406"/>
      <c r="H189" s="406"/>
      <c r="I189" s="406"/>
      <c r="J189" s="406"/>
      <c r="K189" s="459"/>
      <c r="L189" s="460"/>
      <c r="M189" s="363"/>
      <c r="N189" s="363"/>
      <c r="O189" s="461"/>
      <c r="P189" s="56"/>
      <c r="Q189" s="56"/>
      <c r="R189" s="57"/>
      <c r="S189" s="57"/>
      <c r="T189" s="57"/>
      <c r="U189" s="56"/>
      <c r="V189" s="56"/>
      <c r="W189" s="56"/>
      <c r="X189" s="56"/>
      <c r="Y189" s="56"/>
      <c r="Z189" s="56"/>
      <c r="AA189" s="56"/>
      <c r="AB189" s="56"/>
      <c r="AC189" s="56"/>
      <c r="AD189" s="56"/>
    </row>
    <row r="190" spans="1:30" outlineLevel="1">
      <c r="B190" s="556"/>
      <c r="C190" s="557"/>
      <c r="D190" s="557"/>
      <c r="E190" s="557"/>
      <c r="F190" s="557"/>
      <c r="G190" s="558"/>
      <c r="H190" s="558"/>
      <c r="I190" s="558"/>
      <c r="J190" s="558"/>
      <c r="K190" s="558"/>
      <c r="L190" s="559"/>
      <c r="M190" s="363"/>
      <c r="N190" s="363"/>
      <c r="O190" s="465"/>
      <c r="P190" s="466"/>
      <c r="Q190" s="58"/>
      <c r="R190" s="466"/>
      <c r="S190" s="58"/>
      <c r="T190" s="466"/>
      <c r="U190" s="467"/>
      <c r="V190" s="467"/>
      <c r="W190" s="467"/>
      <c r="X190" s="58"/>
      <c r="Y190" s="58"/>
      <c r="Z190" s="466"/>
      <c r="AA190" s="468"/>
      <c r="AB190" s="468"/>
      <c r="AC190" s="468"/>
      <c r="AD190" s="468"/>
    </row>
    <row r="191" spans="1:30" outlineLevel="1">
      <c r="B191" s="541"/>
      <c r="C191" s="560"/>
      <c r="D191" s="561"/>
      <c r="E191" s="561"/>
      <c r="F191" s="562"/>
      <c r="G191" s="562"/>
      <c r="H191" s="562"/>
      <c r="I191" s="562"/>
      <c r="J191" s="562"/>
      <c r="K191" s="563"/>
      <c r="L191" s="559"/>
      <c r="M191" s="363"/>
      <c r="N191" s="363"/>
      <c r="O191" s="465"/>
      <c r="P191" s="466"/>
      <c r="Q191" s="58"/>
      <c r="R191" s="466"/>
      <c r="S191" s="58"/>
      <c r="T191" s="466"/>
      <c r="U191" s="467"/>
      <c r="V191" s="467"/>
      <c r="W191" s="467"/>
      <c r="X191" s="58"/>
      <c r="Y191" s="58"/>
      <c r="Z191" s="466"/>
      <c r="AA191" s="468"/>
      <c r="AB191" s="468"/>
      <c r="AC191" s="468"/>
      <c r="AD191" s="468"/>
    </row>
    <row r="192" spans="1:30" outlineLevel="1">
      <c r="B192" s="541"/>
      <c r="C192" s="560"/>
      <c r="D192" s="561"/>
      <c r="E192" s="561"/>
      <c r="F192" s="562"/>
      <c r="G192" s="562"/>
      <c r="H192" s="562"/>
      <c r="I192" s="562"/>
      <c r="J192" s="562"/>
      <c r="K192" s="563"/>
      <c r="L192" s="559"/>
      <c r="M192" s="363"/>
      <c r="N192" s="363"/>
      <c r="O192" s="465"/>
      <c r="P192" s="466"/>
      <c r="Q192" s="58"/>
      <c r="R192" s="466"/>
      <c r="S192" s="58"/>
      <c r="T192" s="466"/>
      <c r="U192" s="467"/>
      <c r="V192" s="467"/>
      <c r="W192" s="467"/>
      <c r="X192" s="58"/>
      <c r="Y192" s="58"/>
      <c r="Z192" s="466"/>
      <c r="AA192" s="468"/>
      <c r="AB192" s="468"/>
      <c r="AC192" s="468"/>
      <c r="AD192" s="468"/>
    </row>
    <row r="193" spans="1:30" outlineLevel="1">
      <c r="B193" s="541"/>
      <c r="C193" s="564"/>
      <c r="D193" s="564"/>
      <c r="E193" s="564"/>
      <c r="F193" s="564"/>
      <c r="G193" s="565"/>
      <c r="H193" s="565"/>
      <c r="I193" s="565"/>
      <c r="J193" s="565"/>
      <c r="K193" s="565"/>
      <c r="L193" s="548"/>
      <c r="M193" s="363"/>
      <c r="N193" s="363"/>
      <c r="O193" s="465"/>
      <c r="P193" s="466"/>
      <c r="Q193" s="58"/>
      <c r="R193" s="466"/>
      <c r="S193" s="58"/>
      <c r="T193" s="466"/>
      <c r="U193" s="467"/>
      <c r="V193" s="467"/>
      <c r="W193" s="467"/>
      <c r="X193" s="58"/>
      <c r="Y193" s="58"/>
      <c r="Z193" s="466"/>
      <c r="AA193" s="468"/>
      <c r="AB193" s="468"/>
      <c r="AC193" s="468"/>
      <c r="AD193" s="468"/>
    </row>
    <row r="194" spans="1:30" outlineLevel="1">
      <c r="B194" s="566"/>
      <c r="C194" s="560"/>
      <c r="D194" s="561"/>
      <c r="E194" s="561"/>
      <c r="F194" s="562"/>
      <c r="G194" s="562"/>
      <c r="H194" s="562"/>
      <c r="I194" s="562"/>
      <c r="J194" s="562"/>
      <c r="K194" s="563"/>
      <c r="L194" s="559"/>
      <c r="M194" s="367"/>
      <c r="N194" s="367"/>
    </row>
    <row r="195" spans="1:30" outlineLevel="1">
      <c r="B195" s="566"/>
      <c r="C195" s="560"/>
      <c r="D195" s="561"/>
      <c r="E195" s="561"/>
      <c r="F195" s="562"/>
      <c r="G195" s="562"/>
      <c r="H195" s="562"/>
      <c r="I195" s="562"/>
      <c r="J195" s="562"/>
      <c r="K195" s="563"/>
      <c r="L195" s="559"/>
      <c r="M195" s="363"/>
      <c r="N195" s="363"/>
    </row>
    <row r="196" spans="1:30" ht="15" outlineLevel="1" thickBot="1">
      <c r="B196" s="567"/>
      <c r="C196" s="568"/>
      <c r="D196" s="568"/>
      <c r="E196" s="568"/>
      <c r="F196" s="568"/>
      <c r="G196" s="568"/>
      <c r="H196" s="568"/>
      <c r="I196" s="568"/>
      <c r="J196" s="568"/>
      <c r="K196" s="568"/>
      <c r="L196" s="569"/>
      <c r="M196" s="363"/>
      <c r="N196" s="363"/>
    </row>
    <row r="197" spans="1:30" outlineLevel="1">
      <c r="B197" s="461"/>
      <c r="C197" s="483"/>
      <c r="D197" s="483"/>
      <c r="E197" s="483"/>
      <c r="F197" s="483"/>
      <c r="G197" s="483"/>
      <c r="H197" s="484"/>
      <c r="I197" s="420"/>
      <c r="J197" s="420"/>
      <c r="K197" s="484"/>
      <c r="L197" s="484"/>
      <c r="N197" s="420"/>
    </row>
    <row r="198" spans="1:30" outlineLevel="1">
      <c r="B198" s="485"/>
      <c r="C198" s="486"/>
      <c r="D198" s="486"/>
      <c r="E198" s="486"/>
      <c r="F198" s="486"/>
      <c r="G198" s="486"/>
      <c r="H198" s="484"/>
      <c r="I198" s="71"/>
      <c r="J198" s="420"/>
      <c r="K198" s="484"/>
      <c r="L198" s="484"/>
      <c r="N198" s="420"/>
    </row>
    <row r="199" spans="1:30" outlineLevel="1">
      <c r="B199" s="461"/>
      <c r="C199" s="359"/>
      <c r="D199" s="359"/>
      <c r="E199" s="359"/>
      <c r="F199" s="359"/>
      <c r="G199" s="359"/>
      <c r="I199" s="420"/>
      <c r="J199" s="420"/>
      <c r="N199" s="420"/>
    </row>
    <row r="200" spans="1:30" outlineLevel="1">
      <c r="B200" s="461"/>
      <c r="C200" s="487"/>
      <c r="D200" s="487"/>
      <c r="E200" s="487"/>
      <c r="F200" s="487"/>
      <c r="G200" s="359"/>
      <c r="M200" s="420"/>
      <c r="N200" s="420"/>
    </row>
    <row r="201" spans="1:30" outlineLevel="1"/>
    <row r="202" spans="1:30" outlineLevel="1">
      <c r="A202" s="488"/>
      <c r="B202" s="489"/>
      <c r="D202" s="490"/>
      <c r="E202" s="490"/>
      <c r="F202" s="490"/>
      <c r="G202" s="358"/>
      <c r="H202" s="358"/>
      <c r="I202" s="358"/>
      <c r="J202" s="358"/>
      <c r="K202" s="358"/>
      <c r="L202" s="358"/>
      <c r="N202" s="570"/>
      <c r="O202" s="489"/>
      <c r="P202" s="490"/>
    </row>
    <row r="203" spans="1:30" outlineLevel="1">
      <c r="A203" s="491"/>
      <c r="B203" s="492"/>
      <c r="D203" s="490"/>
      <c r="E203" s="490"/>
      <c r="F203" s="490"/>
      <c r="G203" s="358"/>
      <c r="H203" s="358"/>
      <c r="I203" s="358"/>
      <c r="J203" s="358"/>
      <c r="K203" s="358"/>
      <c r="L203" s="358"/>
      <c r="N203" s="570"/>
      <c r="O203" s="489"/>
      <c r="P203" s="490"/>
    </row>
    <row r="204" spans="1:30" outlineLevel="1">
      <c r="A204" s="491"/>
      <c r="B204" s="493"/>
      <c r="D204" s="490"/>
      <c r="E204" s="490"/>
      <c r="F204" s="490"/>
      <c r="G204" s="358"/>
      <c r="H204" s="358"/>
      <c r="I204" s="358"/>
      <c r="J204" s="358"/>
      <c r="K204" s="358"/>
      <c r="L204" s="358"/>
      <c r="N204" s="570"/>
      <c r="O204" s="489"/>
      <c r="P204" s="490"/>
    </row>
    <row r="205" spans="1:30" outlineLevel="1">
      <c r="A205" s="491"/>
      <c r="B205" s="493"/>
      <c r="D205" s="490"/>
      <c r="E205" s="490"/>
      <c r="F205" s="490"/>
      <c r="G205" s="358"/>
      <c r="H205" s="358"/>
      <c r="I205" s="358"/>
      <c r="J205" s="358"/>
      <c r="K205" s="358"/>
      <c r="L205" s="358"/>
      <c r="N205" s="570"/>
      <c r="O205" s="489"/>
      <c r="P205" s="490"/>
    </row>
    <row r="206" spans="1:30" outlineLevel="1">
      <c r="A206" s="491"/>
      <c r="B206" s="493"/>
      <c r="D206" s="490"/>
      <c r="E206" s="490"/>
      <c r="F206" s="490"/>
      <c r="G206" s="358"/>
      <c r="H206" s="358"/>
      <c r="I206" s="358"/>
      <c r="J206" s="358"/>
      <c r="K206" s="358"/>
      <c r="L206" s="358"/>
      <c r="N206" s="570"/>
      <c r="O206" s="489"/>
      <c r="P206" s="490"/>
    </row>
    <row r="207" spans="1:30" outlineLevel="1">
      <c r="A207" s="358"/>
      <c r="B207" s="494"/>
      <c r="D207" s="490"/>
      <c r="E207" s="490"/>
      <c r="F207" s="490"/>
      <c r="G207" s="358"/>
      <c r="H207" s="358"/>
      <c r="I207" s="358"/>
      <c r="J207" s="358"/>
      <c r="K207" s="358"/>
      <c r="L207" s="358"/>
    </row>
    <row r="208" spans="1:30" outlineLevel="1">
      <c r="A208" s="358"/>
      <c r="B208" s="492"/>
      <c r="D208" s="490"/>
      <c r="E208" s="490"/>
      <c r="F208" s="490"/>
      <c r="G208" s="358"/>
      <c r="H208" s="358"/>
      <c r="I208" s="358"/>
      <c r="J208" s="358"/>
      <c r="K208" s="358"/>
      <c r="L208" s="358"/>
    </row>
    <row r="209" spans="1:16" outlineLevel="1">
      <c r="A209" s="358"/>
      <c r="B209" s="495"/>
      <c r="D209" s="490"/>
      <c r="E209" s="490"/>
      <c r="F209" s="490"/>
      <c r="G209" s="358"/>
      <c r="H209" s="358"/>
      <c r="I209" s="358"/>
      <c r="J209" s="358"/>
      <c r="K209" s="358"/>
      <c r="L209" s="358"/>
    </row>
    <row r="210" spans="1:16" outlineLevel="1">
      <c r="A210" s="358"/>
      <c r="B210" s="495"/>
      <c r="D210" s="490"/>
      <c r="E210" s="490"/>
      <c r="F210" s="490"/>
      <c r="G210" s="358"/>
      <c r="H210" s="358"/>
      <c r="I210" s="358"/>
      <c r="J210" s="358"/>
      <c r="K210" s="358"/>
      <c r="L210" s="358"/>
    </row>
    <row r="211" spans="1:16" outlineLevel="1">
      <c r="A211" s="358"/>
      <c r="B211" s="489"/>
      <c r="D211" s="490"/>
      <c r="E211" s="490"/>
      <c r="F211" s="490"/>
      <c r="G211" s="358"/>
      <c r="H211" s="358"/>
      <c r="I211" s="358"/>
      <c r="J211" s="358"/>
      <c r="K211" s="358"/>
      <c r="L211" s="358"/>
    </row>
    <row r="212" spans="1:16" outlineLevel="1">
      <c r="A212" s="358"/>
      <c r="B212" s="490"/>
      <c r="D212" s="490"/>
      <c r="E212" s="490"/>
      <c r="F212" s="490"/>
      <c r="G212" s="358"/>
      <c r="H212" s="358"/>
      <c r="I212" s="358"/>
      <c r="J212" s="358"/>
      <c r="K212" s="358"/>
      <c r="L212" s="358"/>
    </row>
    <row r="213" spans="1:16" outlineLevel="1">
      <c r="A213" s="488"/>
      <c r="B213" s="489"/>
      <c r="D213" s="490"/>
      <c r="E213" s="490"/>
      <c r="F213" s="490"/>
      <c r="G213" s="358"/>
      <c r="H213" s="358"/>
      <c r="I213" s="358"/>
      <c r="J213" s="358"/>
      <c r="K213" s="358"/>
      <c r="L213" s="358"/>
    </row>
    <row r="214" spans="1:16" outlineLevel="1">
      <c r="A214" s="496"/>
      <c r="B214" s="497"/>
      <c r="C214" s="490"/>
      <c r="D214" s="490"/>
      <c r="E214" s="490"/>
      <c r="F214" s="490"/>
      <c r="G214" s="358"/>
      <c r="H214" s="358"/>
      <c r="I214" s="358"/>
      <c r="J214" s="358"/>
      <c r="K214" s="358"/>
      <c r="L214" s="358"/>
      <c r="N214" s="570"/>
      <c r="O214" s="489"/>
      <c r="P214" s="490"/>
    </row>
    <row r="215" spans="1:16" outlineLevel="1">
      <c r="A215" s="496"/>
      <c r="B215" s="489"/>
      <c r="C215" s="490"/>
      <c r="D215" s="490"/>
      <c r="E215" s="490"/>
      <c r="F215" s="490"/>
      <c r="G215" s="358"/>
      <c r="H215" s="358"/>
      <c r="I215" s="358"/>
      <c r="J215" s="358"/>
      <c r="K215" s="358"/>
      <c r="L215" s="358"/>
      <c r="N215" s="571"/>
      <c r="O215" s="489"/>
      <c r="P215" s="490"/>
    </row>
    <row r="216" spans="1:16" outlineLevel="1">
      <c r="A216" s="496"/>
      <c r="B216" s="489"/>
      <c r="C216" s="490"/>
      <c r="D216" s="490"/>
      <c r="E216" s="490"/>
      <c r="F216" s="490"/>
      <c r="G216" s="358"/>
      <c r="H216" s="358"/>
      <c r="I216" s="358"/>
      <c r="J216" s="358"/>
      <c r="K216" s="358"/>
      <c r="L216" s="358"/>
      <c r="N216" s="572"/>
      <c r="O216" s="489"/>
      <c r="P216" s="490"/>
    </row>
    <row r="217" spans="1:16" outlineLevel="1">
      <c r="A217" s="496"/>
      <c r="B217" s="489"/>
      <c r="C217" s="490"/>
      <c r="D217" s="490"/>
      <c r="E217" s="490"/>
      <c r="F217" s="490"/>
      <c r="G217" s="358"/>
      <c r="H217" s="358"/>
      <c r="I217" s="358"/>
      <c r="J217" s="358"/>
      <c r="K217" s="358"/>
      <c r="L217" s="358"/>
      <c r="N217" s="573"/>
      <c r="O217" s="489"/>
      <c r="P217" s="490"/>
    </row>
    <row r="218" spans="1:16" outlineLevel="1">
      <c r="A218" s="496"/>
      <c r="B218" s="498"/>
      <c r="C218" s="490"/>
      <c r="D218" s="490"/>
      <c r="E218" s="490"/>
      <c r="F218" s="490"/>
      <c r="G218" s="358"/>
      <c r="H218" s="358"/>
      <c r="I218" s="358"/>
      <c r="J218" s="358"/>
      <c r="K218" s="358"/>
      <c r="L218" s="358"/>
      <c r="N218" s="573"/>
      <c r="O218" s="490"/>
      <c r="P218" s="490"/>
    </row>
    <row r="219" spans="1:16" outlineLevel="1">
      <c r="A219" s="496"/>
      <c r="B219" s="489"/>
      <c r="C219" s="490"/>
      <c r="D219" s="490"/>
      <c r="E219" s="490"/>
      <c r="F219" s="490"/>
      <c r="G219" s="358"/>
      <c r="H219" s="358"/>
      <c r="I219" s="358"/>
      <c r="J219" s="358"/>
      <c r="K219" s="358"/>
      <c r="L219" s="358"/>
      <c r="N219" s="489"/>
      <c r="O219" s="490"/>
      <c r="P219" s="490"/>
    </row>
    <row r="220" spans="1:16" outlineLevel="1">
      <c r="A220" s="496"/>
      <c r="B220" s="489"/>
      <c r="C220" s="490"/>
      <c r="D220" s="490"/>
      <c r="E220" s="490"/>
      <c r="F220" s="490"/>
      <c r="G220" s="358"/>
      <c r="H220" s="358"/>
      <c r="I220" s="358"/>
      <c r="J220" s="358"/>
      <c r="K220" s="358"/>
      <c r="L220" s="358"/>
      <c r="N220" s="490"/>
      <c r="O220" s="490"/>
      <c r="P220" s="490"/>
    </row>
    <row r="221" spans="1:16" outlineLevel="1"/>
    <row r="222" spans="1:16" outlineLevel="1"/>
    <row r="224" spans="1:16" ht="15" thickBot="1">
      <c r="A224" s="360"/>
    </row>
    <row r="225" spans="2:44" ht="20.55" customHeight="1" outlineLevel="1" thickBot="1">
      <c r="B225" s="362"/>
      <c r="C225" s="1186"/>
      <c r="D225" s="1205"/>
      <c r="E225" s="1205"/>
      <c r="F225" s="1205"/>
      <c r="G225" s="1205"/>
      <c r="H225" s="1205"/>
      <c r="I225" s="1205"/>
      <c r="J225" s="1205"/>
      <c r="K225" s="1205"/>
      <c r="L225" s="1206"/>
      <c r="M225" s="363"/>
      <c r="N225" s="363"/>
      <c r="P225" s="364"/>
      <c r="Q225" s="365"/>
      <c r="R225" s="366"/>
      <c r="S225" s="1176"/>
      <c r="T225" s="1160"/>
      <c r="U225" s="1161"/>
      <c r="V225" s="1160"/>
      <c r="W225" s="1161"/>
      <c r="X225" s="1160"/>
      <c r="Y225" s="1161"/>
      <c r="Z225" s="1160"/>
      <c r="AA225" s="1161"/>
      <c r="AB225" s="1160"/>
      <c r="AC225" s="1161"/>
      <c r="AE225" s="364"/>
      <c r="AF225" s="365"/>
      <c r="AG225" s="366"/>
      <c r="AH225" s="1176"/>
      <c r="AI225" s="1160"/>
      <c r="AJ225" s="1161"/>
      <c r="AK225" s="1160"/>
      <c r="AL225" s="1161"/>
      <c r="AM225" s="1160"/>
      <c r="AN225" s="1161"/>
      <c r="AO225" s="1160"/>
      <c r="AP225" s="1161"/>
      <c r="AQ225" s="1160"/>
      <c r="AR225" s="1161"/>
    </row>
    <row r="226" spans="2:44" ht="15" customHeight="1" outlineLevel="1" thickBot="1">
      <c r="B226" s="1164"/>
      <c r="C226" s="1166"/>
      <c r="D226" s="1166"/>
      <c r="E226" s="1166"/>
      <c r="F226" s="1166"/>
      <c r="G226" s="1168"/>
      <c r="H226" s="1169"/>
      <c r="I226" s="1168"/>
      <c r="J226" s="1169"/>
      <c r="K226" s="1189"/>
      <c r="L226" s="1189"/>
      <c r="M226" s="367"/>
      <c r="N226" s="367"/>
      <c r="P226" s="1180"/>
      <c r="Q226" s="368"/>
      <c r="R226" s="368"/>
      <c r="S226" s="1177"/>
      <c r="T226" s="1162"/>
      <c r="U226" s="1163"/>
      <c r="V226" s="1162"/>
      <c r="W226" s="1163"/>
      <c r="X226" s="1162"/>
      <c r="Y226" s="1163"/>
      <c r="Z226" s="1162"/>
      <c r="AA226" s="1163"/>
      <c r="AB226" s="1162"/>
      <c r="AC226" s="1163"/>
      <c r="AE226" s="1180"/>
      <c r="AF226" s="368"/>
      <c r="AG226" s="368"/>
      <c r="AH226" s="1177"/>
      <c r="AI226" s="1162"/>
      <c r="AJ226" s="1163"/>
      <c r="AK226" s="1162"/>
      <c r="AL226" s="1163"/>
      <c r="AM226" s="1162"/>
      <c r="AN226" s="1163"/>
      <c r="AO226" s="1162"/>
      <c r="AP226" s="1163"/>
      <c r="AQ226" s="1162"/>
      <c r="AR226" s="1163"/>
    </row>
    <row r="227" spans="2:44" ht="15" customHeight="1" outlineLevel="1" thickBot="1">
      <c r="B227" s="1165"/>
      <c r="C227" s="1167"/>
      <c r="D227" s="1167"/>
      <c r="E227" s="1167"/>
      <c r="F227" s="1167"/>
      <c r="G227" s="406"/>
      <c r="H227" s="406"/>
      <c r="I227" s="406"/>
      <c r="J227" s="406"/>
      <c r="K227" s="1190"/>
      <c r="L227" s="1190"/>
      <c r="M227" s="370"/>
      <c r="N227" s="370"/>
      <c r="P227" s="1181"/>
      <c r="Q227" s="1183"/>
      <c r="R227" s="1184"/>
      <c r="S227" s="1178"/>
      <c r="T227" s="1162"/>
      <c r="U227" s="1163"/>
      <c r="V227" s="1162"/>
      <c r="W227" s="1163"/>
      <c r="X227" s="1162"/>
      <c r="Y227" s="1163"/>
      <c r="Z227" s="1162"/>
      <c r="AA227" s="1163"/>
      <c r="AB227" s="1162"/>
      <c r="AC227" s="1163"/>
      <c r="AE227" s="1181"/>
      <c r="AF227" s="1197"/>
      <c r="AG227" s="1184"/>
      <c r="AH227" s="1178"/>
      <c r="AI227" s="1162"/>
      <c r="AJ227" s="1163"/>
      <c r="AK227" s="1162"/>
      <c r="AL227" s="1163"/>
      <c r="AM227" s="1162"/>
      <c r="AN227" s="1163"/>
      <c r="AO227" s="1162"/>
      <c r="AP227" s="1163"/>
      <c r="AQ227" s="1162"/>
      <c r="AR227" s="1163"/>
    </row>
    <row r="228" spans="2:44" ht="15" outlineLevel="1" thickBot="1">
      <c r="B228" s="371"/>
      <c r="C228" s="372"/>
      <c r="D228" s="372"/>
      <c r="E228" s="372"/>
      <c r="F228" s="372"/>
      <c r="G228" s="372"/>
      <c r="H228" s="372"/>
      <c r="I228" s="372"/>
      <c r="J228" s="372"/>
      <c r="K228" s="372"/>
      <c r="L228" s="373"/>
      <c r="M228" s="370"/>
      <c r="N228" s="370"/>
      <c r="O228" s="74"/>
      <c r="P228" s="1182"/>
      <c r="Q228" s="1179"/>
      <c r="R228" s="1185"/>
      <c r="S228" s="1179"/>
      <c r="T228" s="374"/>
      <c r="U228" s="375"/>
      <c r="V228" s="374"/>
      <c r="W228" s="375"/>
      <c r="X228" s="374"/>
      <c r="Y228" s="375"/>
      <c r="Z228" s="374"/>
      <c r="AA228" s="375"/>
      <c r="AB228" s="374"/>
      <c r="AC228" s="375"/>
      <c r="AE228" s="1182"/>
      <c r="AF228" s="1198"/>
      <c r="AG228" s="1185"/>
      <c r="AH228" s="1179"/>
      <c r="AI228" s="374"/>
      <c r="AJ228" s="375"/>
      <c r="AK228" s="374"/>
      <c r="AL228" s="375"/>
      <c r="AM228" s="374"/>
      <c r="AN228" s="375"/>
      <c r="AO228" s="374"/>
      <c r="AP228" s="375"/>
      <c r="AQ228" s="374"/>
      <c r="AR228" s="375"/>
    </row>
    <row r="229" spans="2:44" ht="14.55" customHeight="1" outlineLevel="1">
      <c r="B229" s="541"/>
      <c r="C229" s="542"/>
      <c r="D229" s="542"/>
      <c r="E229" s="543"/>
      <c r="F229" s="542"/>
      <c r="G229" s="542"/>
      <c r="H229" s="542"/>
      <c r="I229" s="542"/>
      <c r="J229" s="542"/>
      <c r="K229" s="547"/>
      <c r="L229" s="548"/>
      <c r="M229" s="370"/>
      <c r="N229" s="370"/>
      <c r="P229" s="1148"/>
      <c r="Q229" s="1154"/>
      <c r="R229" s="381"/>
      <c r="S229" s="382"/>
      <c r="T229" s="1137"/>
      <c r="U229" s="1151"/>
      <c r="V229" s="1137"/>
      <c r="W229" s="1151"/>
      <c r="X229" s="1137"/>
      <c r="Y229" s="1151"/>
      <c r="Z229" s="1137"/>
      <c r="AA229" s="1151"/>
      <c r="AB229" s="1137"/>
      <c r="AC229" s="1151"/>
      <c r="AE229" s="1148"/>
      <c r="AF229" s="1154"/>
      <c r="AG229" s="381"/>
      <c r="AH229" s="382"/>
      <c r="AI229" s="1137"/>
      <c r="AJ229" s="1151"/>
      <c r="AK229" s="1137"/>
      <c r="AL229" s="1151"/>
      <c r="AM229" s="1137"/>
      <c r="AN229" s="1151"/>
      <c r="AO229" s="1137"/>
      <c r="AP229" s="1151"/>
      <c r="AQ229" s="1137"/>
      <c r="AR229" s="1151"/>
    </row>
    <row r="230" spans="2:44" outlineLevel="1">
      <c r="B230" s="383"/>
      <c r="C230" s="384"/>
      <c r="D230" s="384"/>
      <c r="E230" s="384"/>
      <c r="F230" s="384"/>
      <c r="G230" s="505"/>
      <c r="H230" s="505"/>
      <c r="I230" s="505"/>
      <c r="J230" s="505"/>
      <c r="K230" s="372"/>
      <c r="L230" s="373"/>
      <c r="M230" s="370"/>
      <c r="N230" s="370"/>
      <c r="O230" s="71"/>
      <c r="P230" s="1195"/>
      <c r="Q230" s="1155"/>
      <c r="R230" s="388"/>
      <c r="S230" s="389"/>
      <c r="T230" s="1140"/>
      <c r="U230" s="1152"/>
      <c r="V230" s="1140"/>
      <c r="W230" s="1152"/>
      <c r="X230" s="1140"/>
      <c r="Y230" s="1152"/>
      <c r="Z230" s="1140"/>
      <c r="AA230" s="1152"/>
      <c r="AB230" s="1140"/>
      <c r="AC230" s="1152"/>
      <c r="AE230" s="1195"/>
      <c r="AF230" s="1155"/>
      <c r="AG230" s="388"/>
      <c r="AH230" s="389"/>
      <c r="AI230" s="1140"/>
      <c r="AJ230" s="1152"/>
      <c r="AK230" s="1140"/>
      <c r="AL230" s="1152"/>
      <c r="AM230" s="1140"/>
      <c r="AN230" s="1152"/>
      <c r="AO230" s="1140"/>
      <c r="AP230" s="1152"/>
      <c r="AQ230" s="1140"/>
      <c r="AR230" s="1152"/>
    </row>
    <row r="231" spans="2:44" ht="15" outlineLevel="1" thickBot="1">
      <c r="B231" s="541"/>
      <c r="C231" s="544"/>
      <c r="D231" s="545"/>
      <c r="E231" s="545"/>
      <c r="F231" s="546"/>
      <c r="G231" s="545"/>
      <c r="H231" s="545"/>
      <c r="I231" s="545"/>
      <c r="J231" s="545"/>
      <c r="K231" s="547"/>
      <c r="L231" s="548"/>
      <c r="M231" s="370"/>
      <c r="N231" s="370"/>
      <c r="O231" s="71"/>
      <c r="P231" s="1195"/>
      <c r="Q231" s="1156"/>
      <c r="R231" s="393"/>
      <c r="S231" s="394"/>
      <c r="T231" s="1141"/>
      <c r="U231" s="1153"/>
      <c r="V231" s="1141"/>
      <c r="W231" s="1153"/>
      <c r="X231" s="1141"/>
      <c r="Y231" s="1153"/>
      <c r="Z231" s="1141"/>
      <c r="AA231" s="1153"/>
      <c r="AB231" s="1141"/>
      <c r="AC231" s="1153"/>
      <c r="AE231" s="1195"/>
      <c r="AF231" s="1156"/>
      <c r="AG231" s="393"/>
      <c r="AH231" s="394"/>
      <c r="AI231" s="1141"/>
      <c r="AJ231" s="1153"/>
      <c r="AK231" s="1141"/>
      <c r="AL231" s="1153"/>
      <c r="AM231" s="1141"/>
      <c r="AN231" s="1153"/>
      <c r="AO231" s="1141"/>
      <c r="AP231" s="1153"/>
      <c r="AQ231" s="1141"/>
      <c r="AR231" s="1153"/>
    </row>
    <row r="232" spans="2:44" ht="14.55" customHeight="1" outlineLevel="1">
      <c r="B232" s="541"/>
      <c r="C232" s="544"/>
      <c r="D232" s="544"/>
      <c r="E232" s="544"/>
      <c r="F232" s="544"/>
      <c r="G232" s="544"/>
      <c r="H232" s="544"/>
      <c r="I232" s="544"/>
      <c r="J232" s="544"/>
      <c r="K232" s="547"/>
      <c r="L232" s="548"/>
      <c r="M232" s="370"/>
      <c r="N232" s="370"/>
      <c r="O232" s="71"/>
      <c r="P232" s="1195"/>
      <c r="Q232" s="1154"/>
      <c r="R232" s="395"/>
      <c r="S232" s="396"/>
      <c r="T232" s="1137"/>
      <c r="U232" s="1137"/>
      <c r="V232" s="1137"/>
      <c r="W232" s="1137"/>
      <c r="X232" s="1137"/>
      <c r="Y232" s="1137"/>
      <c r="Z232" s="1137"/>
      <c r="AA232" s="1137"/>
      <c r="AB232" s="1137"/>
      <c r="AC232" s="1137"/>
      <c r="AE232" s="1195"/>
      <c r="AF232" s="1154"/>
      <c r="AG232" s="395"/>
      <c r="AH232" s="396"/>
      <c r="AI232" s="1137"/>
      <c r="AJ232" s="1137"/>
      <c r="AK232" s="1137"/>
      <c r="AL232" s="1137"/>
      <c r="AM232" s="1137"/>
      <c r="AN232" s="1137"/>
      <c r="AO232" s="1137"/>
      <c r="AP232" s="1137"/>
      <c r="AQ232" s="1137"/>
      <c r="AR232" s="1137"/>
    </row>
    <row r="233" spans="2:44" outlineLevel="1">
      <c r="B233" s="541"/>
      <c r="C233" s="544"/>
      <c r="D233" s="544"/>
      <c r="E233" s="544"/>
      <c r="F233" s="544"/>
      <c r="G233" s="544"/>
      <c r="H233" s="544"/>
      <c r="I233" s="544"/>
      <c r="J233" s="544"/>
      <c r="K233" s="547"/>
      <c r="L233" s="548"/>
      <c r="M233" s="367"/>
      <c r="N233" s="367"/>
      <c r="O233" s="71"/>
      <c r="P233" s="1195"/>
      <c r="Q233" s="1155"/>
      <c r="R233" s="395"/>
      <c r="S233" s="396"/>
      <c r="T233" s="1138"/>
      <c r="U233" s="1138"/>
      <c r="V233" s="1138"/>
      <c r="W233" s="1138"/>
      <c r="X233" s="1138"/>
      <c r="Y233" s="1138"/>
      <c r="Z233" s="1138"/>
      <c r="AA233" s="1138"/>
      <c r="AB233" s="1138"/>
      <c r="AC233" s="1138"/>
      <c r="AE233" s="1195"/>
      <c r="AF233" s="1155"/>
      <c r="AG233" s="395"/>
      <c r="AH233" s="396"/>
      <c r="AI233" s="1138"/>
      <c r="AJ233" s="1138"/>
      <c r="AK233" s="1138"/>
      <c r="AL233" s="1138"/>
      <c r="AM233" s="1138"/>
      <c r="AN233" s="1138"/>
      <c r="AO233" s="1138"/>
      <c r="AP233" s="1138"/>
      <c r="AQ233" s="1138"/>
      <c r="AR233" s="1138"/>
    </row>
    <row r="234" spans="2:44" outlineLevel="1">
      <c r="B234" s="383"/>
      <c r="C234" s="397"/>
      <c r="D234" s="397"/>
      <c r="E234" s="397"/>
      <c r="F234" s="397"/>
      <c r="G234" s="399"/>
      <c r="H234" s="399"/>
      <c r="I234" s="399"/>
      <c r="J234" s="399"/>
      <c r="K234" s="372"/>
      <c r="L234" s="373"/>
      <c r="M234" s="363"/>
      <c r="N234" s="363"/>
      <c r="P234" s="1195"/>
      <c r="Q234" s="1155"/>
      <c r="R234" s="395"/>
      <c r="S234" s="396"/>
      <c r="T234" s="1138"/>
      <c r="U234" s="1138"/>
      <c r="V234" s="1138"/>
      <c r="W234" s="1138"/>
      <c r="X234" s="1138"/>
      <c r="Y234" s="1138"/>
      <c r="Z234" s="1138"/>
      <c r="AA234" s="1138"/>
      <c r="AB234" s="1138"/>
      <c r="AC234" s="1138"/>
      <c r="AE234" s="1195"/>
      <c r="AF234" s="1155"/>
      <c r="AG234" s="395"/>
      <c r="AH234" s="396"/>
      <c r="AI234" s="1138"/>
      <c r="AJ234" s="1138"/>
      <c r="AK234" s="1138"/>
      <c r="AL234" s="1138"/>
      <c r="AM234" s="1138"/>
      <c r="AN234" s="1138"/>
      <c r="AO234" s="1138"/>
      <c r="AP234" s="1138"/>
      <c r="AQ234" s="1138"/>
      <c r="AR234" s="1138"/>
    </row>
    <row r="235" spans="2:44" ht="15" outlineLevel="1" thickBot="1">
      <c r="B235" s="541"/>
      <c r="C235" s="544"/>
      <c r="D235" s="544"/>
      <c r="E235" s="544"/>
      <c r="F235" s="544"/>
      <c r="G235" s="544"/>
      <c r="H235" s="544"/>
      <c r="I235" s="544"/>
      <c r="J235" s="544"/>
      <c r="K235" s="547"/>
      <c r="L235" s="559"/>
      <c r="M235" s="363"/>
      <c r="N235" s="363"/>
      <c r="P235" s="1195"/>
      <c r="Q235" s="1155"/>
      <c r="R235" s="395"/>
      <c r="S235" s="396"/>
      <c r="T235" s="1138"/>
      <c r="U235" s="1138"/>
      <c r="V235" s="1138"/>
      <c r="W235" s="1138"/>
      <c r="X235" s="1138"/>
      <c r="Y235" s="1138"/>
      <c r="Z235" s="1138"/>
      <c r="AA235" s="1138"/>
      <c r="AB235" s="1138"/>
      <c r="AC235" s="1138"/>
      <c r="AE235" s="1195"/>
      <c r="AF235" s="1155"/>
      <c r="AG235" s="395"/>
      <c r="AH235" s="396"/>
      <c r="AI235" s="1138"/>
      <c r="AJ235" s="1138"/>
      <c r="AK235" s="1138"/>
      <c r="AL235" s="1138"/>
      <c r="AM235" s="1138"/>
      <c r="AN235" s="1138"/>
      <c r="AO235" s="1138"/>
      <c r="AP235" s="1138"/>
      <c r="AQ235" s="1138"/>
      <c r="AR235" s="1138"/>
    </row>
    <row r="236" spans="2:44" ht="15" outlineLevel="1" thickBot="1">
      <c r="B236" s="401"/>
      <c r="C236" s="402"/>
      <c r="D236" s="403"/>
      <c r="E236" s="404"/>
      <c r="F236" s="405"/>
      <c r="G236" s="406"/>
      <c r="H236" s="406"/>
      <c r="I236" s="406"/>
      <c r="J236" s="406"/>
      <c r="K236" s="407"/>
      <c r="L236" s="408"/>
      <c r="M236" s="363"/>
      <c r="N236" s="363"/>
      <c r="P236" s="1195"/>
      <c r="Q236" s="1155"/>
      <c r="R236" s="409"/>
      <c r="S236" s="410"/>
      <c r="T236" s="1139"/>
      <c r="U236" s="1139"/>
      <c r="V236" s="1139"/>
      <c r="W236" s="1139"/>
      <c r="X236" s="1139"/>
      <c r="Y236" s="1139"/>
      <c r="Z236" s="1139"/>
      <c r="AA236" s="1139"/>
      <c r="AB236" s="1139"/>
      <c r="AC236" s="1139"/>
      <c r="AE236" s="1195"/>
      <c r="AF236" s="1155"/>
      <c r="AG236" s="409"/>
      <c r="AH236" s="410"/>
      <c r="AI236" s="1139"/>
      <c r="AJ236" s="1139"/>
      <c r="AK236" s="1139"/>
      <c r="AL236" s="1139"/>
      <c r="AM236" s="1139"/>
      <c r="AN236" s="1139"/>
      <c r="AO236" s="1139"/>
      <c r="AP236" s="1139"/>
      <c r="AQ236" s="1139"/>
      <c r="AR236" s="1139"/>
    </row>
    <row r="237" spans="2:44" ht="15" outlineLevel="1" thickBot="1">
      <c r="B237" s="541"/>
      <c r="C237" s="544"/>
      <c r="D237" s="544"/>
      <c r="E237" s="544"/>
      <c r="F237" s="544"/>
      <c r="G237" s="545"/>
      <c r="H237" s="545"/>
      <c r="I237" s="545"/>
      <c r="J237" s="545"/>
      <c r="K237" s="547"/>
      <c r="L237" s="548"/>
      <c r="M237" s="363"/>
      <c r="N237" s="363"/>
      <c r="P237" s="1196"/>
      <c r="Q237" s="411"/>
      <c r="R237" s="412"/>
      <c r="S237" s="413"/>
      <c r="T237" s="414"/>
      <c r="U237" s="415"/>
      <c r="V237" s="414"/>
      <c r="W237" s="415"/>
      <c r="X237" s="414"/>
      <c r="Y237" s="415"/>
      <c r="Z237" s="414"/>
      <c r="AA237" s="415"/>
      <c r="AB237" s="414"/>
      <c r="AC237" s="417"/>
      <c r="AE237" s="1196"/>
      <c r="AF237" s="411"/>
      <c r="AG237" s="412"/>
      <c r="AH237" s="413"/>
      <c r="AI237" s="414"/>
      <c r="AJ237" s="415"/>
      <c r="AK237" s="414"/>
      <c r="AL237" s="415"/>
      <c r="AM237" s="414"/>
      <c r="AN237" s="415"/>
      <c r="AO237" s="414"/>
      <c r="AP237" s="415"/>
      <c r="AQ237" s="414"/>
      <c r="AR237" s="417"/>
    </row>
    <row r="238" spans="2:44" outlineLevel="1">
      <c r="B238" s="541"/>
      <c r="C238" s="544"/>
      <c r="D238" s="544"/>
      <c r="E238" s="544"/>
      <c r="F238" s="544"/>
      <c r="G238" s="549"/>
      <c r="H238" s="549"/>
      <c r="I238" s="549"/>
      <c r="J238" s="549"/>
      <c r="K238" s="550"/>
      <c r="L238" s="548"/>
      <c r="M238" s="363"/>
      <c r="N238" s="363"/>
    </row>
    <row r="239" spans="2:44" outlineLevel="1">
      <c r="B239" s="541"/>
      <c r="C239" s="544"/>
      <c r="D239" s="544"/>
      <c r="E239" s="544"/>
      <c r="F239" s="544"/>
      <c r="G239" s="549"/>
      <c r="H239" s="549"/>
      <c r="I239" s="549"/>
      <c r="J239" s="549"/>
      <c r="K239" s="550"/>
      <c r="L239" s="548"/>
      <c r="M239" s="420"/>
      <c r="N239" s="363"/>
    </row>
    <row r="240" spans="2:44" outlineLevel="1">
      <c r="B240" s="421"/>
      <c r="C240" s="399"/>
      <c r="D240" s="399"/>
      <c r="E240" s="399"/>
      <c r="F240" s="399"/>
      <c r="G240" s="422"/>
      <c r="H240" s="422"/>
      <c r="I240" s="422"/>
      <c r="J240" s="422"/>
      <c r="K240" s="423"/>
      <c r="L240" s="424"/>
      <c r="M240" s="420"/>
      <c r="N240" s="420"/>
    </row>
    <row r="241" spans="1:30" outlineLevel="1">
      <c r="B241" s="383"/>
      <c r="C241" s="397"/>
      <c r="D241" s="397"/>
      <c r="E241" s="397"/>
      <c r="F241" s="397"/>
      <c r="G241" s="422"/>
      <c r="H241" s="425"/>
      <c r="I241" s="425"/>
      <c r="J241" s="425"/>
      <c r="K241" s="426"/>
      <c r="L241" s="427"/>
      <c r="M241" s="428"/>
      <c r="N241" s="428"/>
    </row>
    <row r="242" spans="1:30" outlineLevel="1">
      <c r="B242" s="383"/>
      <c r="C242" s="397"/>
      <c r="D242" s="397"/>
      <c r="E242" s="397"/>
      <c r="F242" s="397"/>
      <c r="G242" s="425"/>
      <c r="H242" s="425"/>
      <c r="I242" s="425"/>
      <c r="J242" s="425"/>
      <c r="K242" s="423"/>
      <c r="L242" s="427"/>
      <c r="M242" s="428"/>
      <c r="N242" s="428"/>
    </row>
    <row r="243" spans="1:30" outlineLevel="1">
      <c r="B243" s="383"/>
      <c r="C243" s="397"/>
      <c r="D243" s="397"/>
      <c r="E243" s="397"/>
      <c r="F243" s="397"/>
      <c r="G243" s="425"/>
      <c r="H243" s="425"/>
      <c r="I243" s="425"/>
      <c r="J243" s="425"/>
      <c r="K243" s="423"/>
      <c r="L243" s="427"/>
      <c r="M243" s="428"/>
      <c r="N243" s="428"/>
    </row>
    <row r="244" spans="1:30" outlineLevel="1">
      <c r="B244" s="383"/>
      <c r="C244" s="397"/>
      <c r="D244" s="397"/>
      <c r="E244" s="397"/>
      <c r="F244" s="397"/>
      <c r="G244" s="425"/>
      <c r="H244" s="425"/>
      <c r="I244" s="425"/>
      <c r="J244" s="425"/>
      <c r="K244" s="423"/>
      <c r="L244" s="427"/>
      <c r="M244" s="428"/>
      <c r="N244" s="428"/>
    </row>
    <row r="245" spans="1:30" ht="15" outlineLevel="1" thickBot="1">
      <c r="B245" s="429"/>
      <c r="C245" s="430"/>
      <c r="D245" s="430"/>
      <c r="E245" s="430"/>
      <c r="F245" s="430"/>
      <c r="G245" s="425"/>
      <c r="H245" s="425"/>
      <c r="I245" s="425"/>
      <c r="J245" s="425"/>
      <c r="K245" s="423"/>
      <c r="L245" s="427"/>
      <c r="M245" s="428"/>
      <c r="N245" s="428"/>
    </row>
    <row r="246" spans="1:30" ht="15" outlineLevel="1" thickBot="1">
      <c r="B246" s="431"/>
      <c r="C246" s="432"/>
      <c r="D246" s="403"/>
      <c r="E246" s="403"/>
      <c r="F246" s="433"/>
      <c r="G246" s="434"/>
      <c r="H246" s="406"/>
      <c r="I246" s="406"/>
      <c r="J246" s="406"/>
      <c r="K246" s="407"/>
      <c r="L246" s="408"/>
      <c r="M246" s="428"/>
      <c r="N246" s="428"/>
    </row>
    <row r="247" spans="1:30" outlineLevel="1">
      <c r="A247" s="435"/>
      <c r="B247" s="436"/>
      <c r="C247" s="551"/>
      <c r="D247" s="512"/>
      <c r="E247" s="512"/>
      <c r="F247" s="513"/>
      <c r="G247" s="425"/>
      <c r="H247" s="425"/>
      <c r="I247" s="425"/>
      <c r="J247" s="425"/>
      <c r="K247" s="426"/>
      <c r="L247" s="440"/>
      <c r="M247" s="420"/>
      <c r="N247" s="420"/>
    </row>
    <row r="248" spans="1:30" outlineLevel="1">
      <c r="B248" s="441"/>
      <c r="C248" s="443"/>
      <c r="D248" s="442"/>
      <c r="E248" s="442"/>
      <c r="F248" s="442"/>
      <c r="G248" s="425"/>
      <c r="H248" s="425"/>
      <c r="I248" s="425"/>
      <c r="J248" s="425"/>
      <c r="K248" s="444"/>
      <c r="L248" s="373"/>
      <c r="M248" s="71"/>
      <c r="N248" s="420"/>
    </row>
    <row r="249" spans="1:30" outlineLevel="1">
      <c r="B249" s="441"/>
      <c r="C249" s="443"/>
      <c r="D249" s="443"/>
      <c r="E249" s="443"/>
      <c r="F249" s="443"/>
      <c r="G249" s="425"/>
      <c r="H249" s="425"/>
      <c r="I249" s="425"/>
      <c r="J249" s="425"/>
      <c r="K249" s="444"/>
      <c r="L249" s="373"/>
      <c r="M249" s="420"/>
      <c r="N249" s="420"/>
    </row>
    <row r="250" spans="1:30" outlineLevel="1">
      <c r="B250" s="383"/>
      <c r="C250" s="445"/>
      <c r="D250" s="446"/>
      <c r="E250" s="446"/>
      <c r="F250" s="447"/>
      <c r="G250" s="425"/>
      <c r="H250" s="425"/>
      <c r="I250" s="425"/>
      <c r="J250" s="425"/>
      <c r="K250" s="448"/>
      <c r="L250" s="373"/>
      <c r="M250" s="420"/>
      <c r="N250" s="420"/>
    </row>
    <row r="251" spans="1:30" outlineLevel="1">
      <c r="B251" s="383"/>
      <c r="C251" s="449"/>
      <c r="D251" s="449"/>
      <c r="E251" s="449"/>
      <c r="F251" s="449"/>
      <c r="G251" s="425"/>
      <c r="H251" s="425"/>
      <c r="I251" s="425"/>
      <c r="J251" s="425"/>
      <c r="K251" s="448"/>
      <c r="L251" s="373"/>
      <c r="M251" s="450"/>
      <c r="N251" s="361"/>
      <c r="P251" s="1142"/>
      <c r="Q251" s="1143"/>
      <c r="R251" s="1143"/>
      <c r="S251" s="1143"/>
      <c r="T251" s="1143"/>
      <c r="U251" s="1144"/>
    </row>
    <row r="252" spans="1:30" ht="15" outlineLevel="1" thickBot="1">
      <c r="B252" s="541"/>
      <c r="C252" s="552"/>
      <c r="D252" s="552"/>
      <c r="E252" s="552"/>
      <c r="F252" s="552"/>
      <c r="G252" s="425"/>
      <c r="H252" s="425"/>
      <c r="I252" s="425"/>
      <c r="J252" s="425"/>
      <c r="K252" s="444"/>
      <c r="L252" s="373"/>
      <c r="M252" s="450"/>
      <c r="N252" s="361"/>
      <c r="P252" s="1134"/>
      <c r="Q252" s="1135"/>
      <c r="R252" s="1135"/>
      <c r="S252" s="1135"/>
      <c r="T252" s="1135"/>
      <c r="U252" s="1136"/>
    </row>
    <row r="253" spans="1:30" outlineLevel="1">
      <c r="B253" s="541"/>
      <c r="C253" s="554"/>
      <c r="D253" s="554"/>
      <c r="E253" s="554"/>
      <c r="F253" s="554"/>
      <c r="G253" s="425"/>
      <c r="H253" s="425"/>
      <c r="I253" s="425"/>
      <c r="J253" s="425"/>
      <c r="K253" s="448"/>
      <c r="L253" s="373"/>
      <c r="M253" s="363"/>
      <c r="N253" s="363"/>
      <c r="P253" s="53"/>
    </row>
    <row r="254" spans="1:30" outlineLevel="1">
      <c r="B254" s="441"/>
      <c r="C254" s="518"/>
      <c r="D254" s="518"/>
      <c r="E254" s="518"/>
      <c r="F254" s="518"/>
      <c r="G254" s="425"/>
      <c r="H254" s="425"/>
      <c r="I254" s="425"/>
      <c r="J254" s="425"/>
      <c r="K254" s="444"/>
      <c r="L254" s="424"/>
      <c r="M254" s="367"/>
      <c r="N254" s="367"/>
      <c r="P254" s="46"/>
      <c r="Q254" s="46"/>
      <c r="R254" s="47"/>
      <c r="S254" s="47"/>
      <c r="T254" s="47"/>
      <c r="U254" s="48"/>
      <c r="V254" s="49"/>
      <c r="W254" s="49"/>
      <c r="X254" s="49"/>
      <c r="Y254" s="49"/>
      <c r="Z254" s="49"/>
      <c r="AA254" s="49"/>
      <c r="AB254" s="49"/>
      <c r="AC254" s="49"/>
      <c r="AD254" s="49"/>
    </row>
    <row r="255" spans="1:30" ht="15" outlineLevel="1" thickBot="1">
      <c r="B255" s="519"/>
      <c r="C255" s="442"/>
      <c r="D255" s="520"/>
      <c r="E255" s="520"/>
      <c r="F255" s="521"/>
      <c r="G255" s="425"/>
      <c r="H255" s="425"/>
      <c r="I255" s="425"/>
      <c r="J255" s="425"/>
      <c r="K255" s="448"/>
      <c r="L255" s="424"/>
      <c r="M255" s="363"/>
      <c r="N255" s="363"/>
      <c r="P255" s="50"/>
      <c r="Q255" s="50"/>
      <c r="R255" s="51"/>
      <c r="S255" s="51"/>
      <c r="T255" s="51"/>
      <c r="U255" s="51"/>
      <c r="V255" s="50"/>
      <c r="W255" s="50"/>
      <c r="X255" s="50"/>
      <c r="Y255" s="50"/>
      <c r="Z255" s="50"/>
      <c r="AA255" s="50"/>
      <c r="AB255" s="50"/>
      <c r="AC255" s="50"/>
      <c r="AD255" s="50"/>
    </row>
    <row r="256" spans="1:30" ht="15" outlineLevel="1" thickBot="1">
      <c r="B256" s="401"/>
      <c r="C256" s="402"/>
      <c r="D256" s="403"/>
      <c r="E256" s="404"/>
      <c r="F256" s="405"/>
      <c r="G256" s="406"/>
      <c r="H256" s="406"/>
      <c r="I256" s="406"/>
      <c r="J256" s="406"/>
      <c r="K256" s="459"/>
      <c r="L256" s="460"/>
      <c r="M256" s="363"/>
      <c r="N256" s="363"/>
      <c r="O256" s="461"/>
      <c r="P256" s="56"/>
      <c r="Q256" s="56"/>
      <c r="R256" s="57"/>
      <c r="S256" s="57"/>
      <c r="T256" s="57"/>
      <c r="U256" s="56"/>
      <c r="V256" s="56"/>
      <c r="W256" s="56"/>
      <c r="X256" s="56"/>
      <c r="Y256" s="56"/>
      <c r="Z256" s="56"/>
      <c r="AA256" s="56"/>
      <c r="AB256" s="56"/>
      <c r="AC256" s="56"/>
      <c r="AD256" s="56"/>
    </row>
    <row r="257" spans="1:30" outlineLevel="1">
      <c r="B257" s="556"/>
      <c r="C257" s="557"/>
      <c r="D257" s="557"/>
      <c r="E257" s="557"/>
      <c r="F257" s="557"/>
      <c r="G257" s="558"/>
      <c r="H257" s="558"/>
      <c r="I257" s="558"/>
      <c r="J257" s="558"/>
      <c r="K257" s="558"/>
      <c r="L257" s="559"/>
      <c r="M257" s="363"/>
      <c r="N257" s="363"/>
      <c r="O257" s="465"/>
      <c r="P257" s="466"/>
      <c r="Q257" s="58"/>
      <c r="R257" s="466"/>
      <c r="S257" s="58"/>
      <c r="T257" s="466"/>
      <c r="U257" s="467"/>
      <c r="V257" s="467"/>
      <c r="W257" s="467"/>
      <c r="X257" s="58"/>
      <c r="Y257" s="58"/>
      <c r="Z257" s="466"/>
      <c r="AA257" s="468"/>
      <c r="AB257" s="468"/>
      <c r="AC257" s="468"/>
      <c r="AD257" s="468"/>
    </row>
    <row r="258" spans="1:30" outlineLevel="1">
      <c r="B258" s="541"/>
      <c r="C258" s="560"/>
      <c r="D258" s="561"/>
      <c r="E258" s="561"/>
      <c r="F258" s="562"/>
      <c r="G258" s="562"/>
      <c r="H258" s="562"/>
      <c r="I258" s="562"/>
      <c r="J258" s="562"/>
      <c r="K258" s="563"/>
      <c r="L258" s="559"/>
      <c r="M258" s="363"/>
      <c r="N258" s="363"/>
      <c r="O258" s="465"/>
      <c r="P258" s="466"/>
      <c r="Q258" s="58"/>
      <c r="R258" s="466"/>
      <c r="S258" s="58"/>
      <c r="T258" s="466"/>
      <c r="U258" s="467"/>
      <c r="V258" s="467"/>
      <c r="W258" s="467"/>
      <c r="X258" s="58"/>
      <c r="Y258" s="58"/>
      <c r="Z258" s="466"/>
      <c r="AA258" s="468"/>
      <c r="AB258" s="468"/>
      <c r="AC258" s="468"/>
      <c r="AD258" s="468"/>
    </row>
    <row r="259" spans="1:30" outlineLevel="1">
      <c r="B259" s="541"/>
      <c r="C259" s="560"/>
      <c r="D259" s="561"/>
      <c r="E259" s="561"/>
      <c r="F259" s="562"/>
      <c r="G259" s="562"/>
      <c r="H259" s="562"/>
      <c r="I259" s="562"/>
      <c r="J259" s="562"/>
      <c r="K259" s="563"/>
      <c r="L259" s="559"/>
      <c r="M259" s="363"/>
      <c r="N259" s="363"/>
      <c r="O259" s="465"/>
      <c r="P259" s="466"/>
      <c r="Q259" s="58"/>
      <c r="R259" s="466"/>
      <c r="S259" s="58"/>
      <c r="T259" s="466"/>
      <c r="U259" s="467"/>
      <c r="V259" s="467"/>
      <c r="W259" s="467"/>
      <c r="X259" s="58"/>
      <c r="Y259" s="58"/>
      <c r="Z259" s="466"/>
      <c r="AA259" s="468"/>
      <c r="AB259" s="468"/>
      <c r="AC259" s="468"/>
      <c r="AD259" s="468"/>
    </row>
    <row r="260" spans="1:30" outlineLevel="1">
      <c r="B260" s="541"/>
      <c r="C260" s="564"/>
      <c r="D260" s="564"/>
      <c r="E260" s="564"/>
      <c r="F260" s="564"/>
      <c r="G260" s="565"/>
      <c r="H260" s="565"/>
      <c r="I260" s="565"/>
      <c r="J260" s="565"/>
      <c r="K260" s="565"/>
      <c r="L260" s="548"/>
      <c r="M260" s="363"/>
      <c r="N260" s="363"/>
      <c r="O260" s="465"/>
      <c r="P260" s="466"/>
      <c r="Q260" s="58"/>
      <c r="R260" s="466"/>
      <c r="S260" s="58"/>
      <c r="T260" s="466"/>
      <c r="U260" s="467"/>
      <c r="V260" s="467"/>
      <c r="W260" s="467"/>
      <c r="X260" s="58"/>
      <c r="Y260" s="58"/>
      <c r="Z260" s="466"/>
      <c r="AA260" s="468"/>
      <c r="AB260" s="468"/>
      <c r="AC260" s="468"/>
      <c r="AD260" s="468"/>
    </row>
    <row r="261" spans="1:30" outlineLevel="1">
      <c r="B261" s="566"/>
      <c r="C261" s="560"/>
      <c r="D261" s="561"/>
      <c r="E261" s="561"/>
      <c r="F261" s="562"/>
      <c r="G261" s="562"/>
      <c r="H261" s="562"/>
      <c r="I261" s="562"/>
      <c r="J261" s="562"/>
      <c r="K261" s="563"/>
      <c r="L261" s="559"/>
      <c r="M261" s="367"/>
      <c r="N261" s="367"/>
    </row>
    <row r="262" spans="1:30" outlineLevel="1">
      <c r="B262" s="566"/>
      <c r="C262" s="560"/>
      <c r="D262" s="561"/>
      <c r="E262" s="561"/>
      <c r="F262" s="562"/>
      <c r="G262" s="562"/>
      <c r="H262" s="562"/>
      <c r="I262" s="562"/>
      <c r="J262" s="562"/>
      <c r="K262" s="563"/>
      <c r="L262" s="559"/>
      <c r="M262" s="363"/>
      <c r="N262" s="363"/>
    </row>
    <row r="263" spans="1:30" ht="15" outlineLevel="1" thickBot="1">
      <c r="B263" s="567"/>
      <c r="C263" s="568"/>
      <c r="D263" s="568"/>
      <c r="E263" s="568"/>
      <c r="F263" s="568"/>
      <c r="G263" s="568"/>
      <c r="H263" s="568"/>
      <c r="I263" s="568"/>
      <c r="J263" s="568"/>
      <c r="K263" s="568"/>
      <c r="L263" s="569"/>
      <c r="M263" s="363"/>
      <c r="N263" s="363"/>
    </row>
    <row r="264" spans="1:30" outlineLevel="1">
      <c r="B264" s="461"/>
      <c r="C264" s="483"/>
      <c r="D264" s="483"/>
      <c r="E264" s="483"/>
      <c r="F264" s="483"/>
      <c r="G264" s="483"/>
      <c r="H264" s="484"/>
      <c r="I264" s="420"/>
      <c r="J264" s="420"/>
      <c r="K264" s="484"/>
      <c r="L264" s="484"/>
      <c r="N264" s="420"/>
    </row>
    <row r="265" spans="1:30" outlineLevel="1">
      <c r="B265" s="485"/>
      <c r="C265" s="486"/>
      <c r="D265" s="486"/>
      <c r="E265" s="486"/>
      <c r="F265" s="486"/>
      <c r="G265" s="486"/>
      <c r="H265" s="484"/>
      <c r="I265" s="71"/>
      <c r="J265" s="420"/>
      <c r="K265" s="484"/>
      <c r="L265" s="484"/>
      <c r="N265" s="420"/>
    </row>
    <row r="266" spans="1:30" outlineLevel="1">
      <c r="B266" s="461"/>
      <c r="C266" s="359"/>
      <c r="D266" s="359"/>
      <c r="E266" s="359"/>
      <c r="F266" s="359"/>
      <c r="G266" s="359"/>
      <c r="I266" s="420"/>
      <c r="J266" s="420"/>
      <c r="N266" s="420"/>
    </row>
    <row r="267" spans="1:30" outlineLevel="1">
      <c r="B267" s="461"/>
      <c r="C267" s="487"/>
      <c r="D267" s="487"/>
      <c r="E267" s="487"/>
      <c r="F267" s="487"/>
      <c r="G267" s="359"/>
      <c r="M267" s="420"/>
      <c r="N267" s="420"/>
    </row>
    <row r="268" spans="1:30" outlineLevel="1"/>
    <row r="269" spans="1:30" outlineLevel="1">
      <c r="A269" s="488"/>
      <c r="B269" s="489"/>
      <c r="D269" s="490"/>
      <c r="E269" s="490"/>
      <c r="F269" s="490"/>
      <c r="G269" s="358"/>
      <c r="H269" s="358"/>
      <c r="I269" s="358"/>
      <c r="J269" s="358"/>
      <c r="K269" s="358"/>
      <c r="L269" s="358"/>
    </row>
    <row r="270" spans="1:30" outlineLevel="1">
      <c r="A270" s="491"/>
      <c r="B270" s="492"/>
      <c r="D270" s="490"/>
      <c r="E270" s="490"/>
      <c r="F270" s="490"/>
      <c r="G270" s="358"/>
      <c r="H270" s="358"/>
      <c r="I270" s="358"/>
      <c r="J270" s="358"/>
      <c r="K270" s="358"/>
      <c r="L270" s="358"/>
    </row>
    <row r="271" spans="1:30" outlineLevel="1">
      <c r="A271" s="491"/>
      <c r="B271" s="493"/>
      <c r="D271" s="490"/>
      <c r="E271" s="490"/>
      <c r="F271" s="490"/>
      <c r="G271" s="358"/>
      <c r="H271" s="358"/>
      <c r="I271" s="358"/>
      <c r="J271" s="358"/>
      <c r="K271" s="358"/>
      <c r="L271" s="358"/>
    </row>
    <row r="272" spans="1:30" outlineLevel="1">
      <c r="A272" s="491"/>
      <c r="B272" s="493"/>
      <c r="D272" s="490"/>
      <c r="E272" s="490"/>
      <c r="F272" s="490"/>
      <c r="G272" s="358"/>
      <c r="H272" s="358"/>
      <c r="I272" s="358"/>
      <c r="J272" s="358"/>
      <c r="K272" s="358"/>
      <c r="L272" s="358"/>
    </row>
    <row r="273" spans="1:15" outlineLevel="1">
      <c r="A273" s="491"/>
      <c r="B273" s="493"/>
      <c r="D273" s="490"/>
      <c r="E273" s="490"/>
      <c r="F273" s="490"/>
      <c r="G273" s="358"/>
      <c r="H273" s="358"/>
      <c r="I273" s="358"/>
      <c r="J273" s="358"/>
      <c r="K273" s="358"/>
      <c r="L273" s="358"/>
    </row>
    <row r="274" spans="1:15" outlineLevel="1">
      <c r="A274" s="358"/>
      <c r="B274" s="494"/>
      <c r="D274" s="490"/>
      <c r="E274" s="490"/>
      <c r="F274" s="490"/>
      <c r="G274" s="358"/>
      <c r="H274" s="358"/>
      <c r="I274" s="358"/>
      <c r="J274" s="358"/>
      <c r="K274" s="358"/>
      <c r="L274" s="358"/>
      <c r="M274" s="570"/>
      <c r="N274" s="489"/>
      <c r="O274" s="490"/>
    </row>
    <row r="275" spans="1:15" outlineLevel="1">
      <c r="A275" s="358"/>
      <c r="B275" s="492"/>
      <c r="D275" s="490"/>
      <c r="E275" s="490"/>
      <c r="F275" s="490"/>
      <c r="G275" s="358"/>
      <c r="H275" s="358"/>
      <c r="I275" s="358"/>
      <c r="J275" s="358"/>
      <c r="K275" s="358"/>
      <c r="L275" s="358"/>
      <c r="O275" s="490"/>
    </row>
    <row r="276" spans="1:15" outlineLevel="1">
      <c r="A276" s="358"/>
      <c r="B276" s="495"/>
      <c r="D276" s="490"/>
      <c r="E276" s="490"/>
      <c r="F276" s="490"/>
      <c r="G276" s="358"/>
      <c r="H276" s="358"/>
      <c r="I276" s="358"/>
      <c r="J276" s="358"/>
      <c r="K276" s="358"/>
      <c r="L276" s="358"/>
      <c r="O276" s="490"/>
    </row>
    <row r="277" spans="1:15" outlineLevel="1">
      <c r="A277" s="358"/>
      <c r="B277" s="495"/>
      <c r="D277" s="490"/>
      <c r="E277" s="490"/>
      <c r="F277" s="490"/>
      <c r="G277" s="358"/>
      <c r="H277" s="358"/>
      <c r="I277" s="358"/>
      <c r="J277" s="358"/>
      <c r="K277" s="358"/>
      <c r="L277" s="358"/>
      <c r="O277" s="490"/>
    </row>
    <row r="278" spans="1:15" outlineLevel="1">
      <c r="A278" s="358"/>
      <c r="B278" s="489"/>
      <c r="D278" s="490"/>
      <c r="E278" s="490"/>
      <c r="F278" s="490"/>
      <c r="G278" s="358"/>
      <c r="H278" s="358"/>
      <c r="I278" s="358"/>
      <c r="J278" s="358"/>
      <c r="K278" s="358"/>
      <c r="L278" s="358"/>
      <c r="O278" s="490"/>
    </row>
    <row r="279" spans="1:15" outlineLevel="1">
      <c r="A279" s="358"/>
      <c r="B279" s="490"/>
      <c r="D279" s="490"/>
      <c r="E279" s="490"/>
      <c r="F279" s="490"/>
      <c r="G279" s="358"/>
      <c r="H279" s="358"/>
      <c r="I279" s="358"/>
      <c r="J279" s="358"/>
      <c r="K279" s="358"/>
      <c r="L279" s="358"/>
      <c r="O279" s="490"/>
    </row>
    <row r="280" spans="1:15" outlineLevel="1">
      <c r="A280" s="488"/>
      <c r="B280" s="489"/>
      <c r="D280" s="490"/>
      <c r="E280" s="490"/>
      <c r="F280" s="490"/>
      <c r="G280" s="358"/>
      <c r="H280" s="358"/>
      <c r="I280" s="358"/>
      <c r="J280" s="358"/>
      <c r="K280" s="358"/>
      <c r="L280" s="358"/>
      <c r="O280" s="490"/>
    </row>
    <row r="281" spans="1:15" outlineLevel="1">
      <c r="A281" s="496"/>
      <c r="B281" s="497"/>
      <c r="D281" s="490"/>
      <c r="E281" s="490"/>
      <c r="F281" s="490"/>
      <c r="G281" s="358"/>
      <c r="H281" s="358"/>
      <c r="I281" s="358"/>
      <c r="J281" s="358"/>
      <c r="K281" s="358"/>
      <c r="L281" s="358"/>
      <c r="M281" s="570"/>
      <c r="N281" s="489"/>
      <c r="O281" s="490"/>
    </row>
    <row r="282" spans="1:15" outlineLevel="1">
      <c r="A282" s="496"/>
      <c r="B282" s="489"/>
      <c r="D282" s="490"/>
      <c r="E282" s="490"/>
      <c r="F282" s="490"/>
      <c r="G282" s="358"/>
      <c r="H282" s="358"/>
      <c r="I282" s="358"/>
      <c r="J282" s="358"/>
      <c r="K282" s="358"/>
      <c r="L282" s="358"/>
      <c r="M282" s="571"/>
      <c r="N282" s="489"/>
      <c r="O282" s="490"/>
    </row>
    <row r="283" spans="1:15" outlineLevel="1">
      <c r="A283" s="496"/>
      <c r="B283" s="489"/>
      <c r="D283" s="490"/>
      <c r="E283" s="490"/>
      <c r="F283" s="490"/>
      <c r="G283" s="358"/>
      <c r="H283" s="358"/>
      <c r="I283" s="358"/>
      <c r="J283" s="358"/>
      <c r="K283" s="358"/>
      <c r="L283" s="358"/>
      <c r="M283" s="572"/>
      <c r="N283" s="489"/>
      <c r="O283" s="490"/>
    </row>
    <row r="284" spans="1:15" outlineLevel="1">
      <c r="A284" s="496"/>
      <c r="B284" s="498"/>
      <c r="D284" s="490"/>
      <c r="E284" s="490"/>
      <c r="F284" s="490"/>
      <c r="G284" s="358"/>
      <c r="H284" s="358"/>
      <c r="I284" s="358"/>
      <c r="J284" s="358"/>
      <c r="K284" s="358"/>
      <c r="L284" s="358"/>
      <c r="M284" s="573"/>
      <c r="N284" s="489"/>
      <c r="O284" s="490"/>
    </row>
    <row r="285" spans="1:15" outlineLevel="1">
      <c r="A285" s="496"/>
      <c r="B285" s="489"/>
      <c r="D285" s="490"/>
      <c r="E285" s="490"/>
      <c r="F285" s="490"/>
      <c r="G285" s="358"/>
      <c r="H285" s="358"/>
      <c r="I285" s="358"/>
      <c r="J285" s="358"/>
      <c r="K285" s="358"/>
      <c r="L285" s="358"/>
      <c r="M285" s="573"/>
      <c r="N285" s="490"/>
      <c r="O285" s="490"/>
    </row>
    <row r="286" spans="1:15" outlineLevel="1">
      <c r="A286" s="496"/>
      <c r="B286" s="489"/>
      <c r="D286" s="490"/>
      <c r="E286" s="490"/>
      <c r="F286" s="490"/>
      <c r="G286" s="358"/>
      <c r="H286" s="358"/>
      <c r="I286" s="358"/>
      <c r="J286" s="358"/>
      <c r="K286" s="358"/>
      <c r="L286" s="358"/>
      <c r="M286" s="489"/>
      <c r="N286" s="490"/>
      <c r="O286" s="490"/>
    </row>
    <row r="287" spans="1:15" outlineLevel="1"/>
    <row r="290" spans="1:44" ht="15" thickBot="1">
      <c r="A290" s="360"/>
    </row>
    <row r="291" spans="1:44" ht="20.55" customHeight="1" thickBot="1">
      <c r="B291" s="362"/>
      <c r="C291" s="1186"/>
      <c r="D291" s="1187"/>
      <c r="E291" s="1187"/>
      <c r="F291" s="1187"/>
      <c r="G291" s="1187"/>
      <c r="H291" s="1187"/>
      <c r="I291" s="1187"/>
      <c r="J291" s="1187"/>
      <c r="K291" s="1187"/>
      <c r="L291" s="1188"/>
      <c r="M291" s="363"/>
      <c r="N291" s="363"/>
      <c r="P291" s="364"/>
      <c r="Q291" s="365"/>
      <c r="R291" s="366"/>
      <c r="S291" s="1176"/>
      <c r="T291" s="1160"/>
      <c r="U291" s="1161"/>
      <c r="V291" s="1160"/>
      <c r="W291" s="1161"/>
      <c r="X291" s="1160"/>
      <c r="Y291" s="1161"/>
      <c r="Z291" s="1160"/>
      <c r="AA291" s="1161"/>
      <c r="AB291" s="1160"/>
      <c r="AC291" s="1161"/>
      <c r="AE291" s="364"/>
      <c r="AF291" s="365"/>
      <c r="AG291" s="366"/>
      <c r="AH291" s="1176"/>
      <c r="AI291" s="1160"/>
      <c r="AJ291" s="1161"/>
      <c r="AK291" s="1160"/>
      <c r="AL291" s="1161"/>
      <c r="AM291" s="1160"/>
      <c r="AN291" s="1161"/>
      <c r="AO291" s="1160"/>
      <c r="AP291" s="1161"/>
      <c r="AQ291" s="1160"/>
      <c r="AR291" s="1161"/>
    </row>
    <row r="292" spans="1:44" ht="15" customHeight="1" thickBot="1">
      <c r="B292" s="1164"/>
      <c r="C292" s="1166"/>
      <c r="D292" s="1166"/>
      <c r="E292" s="1166"/>
      <c r="F292" s="1166"/>
      <c r="G292" s="1168"/>
      <c r="H292" s="1169"/>
      <c r="I292" s="1168"/>
      <c r="J292" s="1169"/>
      <c r="K292" s="1189"/>
      <c r="L292" s="1189"/>
      <c r="M292" s="367"/>
      <c r="N292" s="367"/>
      <c r="P292" s="1180"/>
      <c r="Q292" s="368"/>
      <c r="R292" s="368"/>
      <c r="S292" s="1177"/>
      <c r="T292" s="1162"/>
      <c r="U292" s="1163"/>
      <c r="V292" s="1162"/>
      <c r="W292" s="1163"/>
      <c r="X292" s="1162"/>
      <c r="Y292" s="1163"/>
      <c r="Z292" s="1162"/>
      <c r="AA292" s="1163"/>
      <c r="AB292" s="1162"/>
      <c r="AC292" s="1163"/>
      <c r="AE292" s="1180"/>
      <c r="AF292" s="368"/>
      <c r="AG292" s="368"/>
      <c r="AH292" s="1177"/>
      <c r="AI292" s="1162"/>
      <c r="AJ292" s="1163"/>
      <c r="AK292" s="1162"/>
      <c r="AL292" s="1163"/>
      <c r="AM292" s="1162"/>
      <c r="AN292" s="1163"/>
      <c r="AO292" s="1162"/>
      <c r="AP292" s="1163"/>
      <c r="AQ292" s="1162"/>
      <c r="AR292" s="1163"/>
    </row>
    <row r="293" spans="1:44" ht="15" customHeight="1" thickBot="1">
      <c r="B293" s="1165"/>
      <c r="C293" s="1167"/>
      <c r="D293" s="1167"/>
      <c r="E293" s="1167"/>
      <c r="F293" s="1167"/>
      <c r="G293" s="406"/>
      <c r="H293" s="406"/>
      <c r="I293" s="406"/>
      <c r="J293" s="406"/>
      <c r="K293" s="1190"/>
      <c r="L293" s="1190"/>
      <c r="M293" s="370"/>
      <c r="N293" s="370"/>
      <c r="P293" s="1181"/>
      <c r="Q293" s="1183"/>
      <c r="R293" s="1184"/>
      <c r="S293" s="1178"/>
      <c r="T293" s="1162"/>
      <c r="U293" s="1163"/>
      <c r="V293" s="1162"/>
      <c r="W293" s="1163"/>
      <c r="X293" s="1162"/>
      <c r="Y293" s="1163"/>
      <c r="Z293" s="1162"/>
      <c r="AA293" s="1163"/>
      <c r="AB293" s="1162"/>
      <c r="AC293" s="1163"/>
      <c r="AE293" s="1181"/>
      <c r="AF293" s="1183"/>
      <c r="AG293" s="1184"/>
      <c r="AH293" s="1178"/>
      <c r="AI293" s="1162"/>
      <c r="AJ293" s="1163"/>
      <c r="AK293" s="1162"/>
      <c r="AL293" s="1163"/>
      <c r="AM293" s="1162"/>
      <c r="AN293" s="1163"/>
      <c r="AO293" s="1162"/>
      <c r="AP293" s="1163"/>
      <c r="AQ293" s="1162"/>
      <c r="AR293" s="1163"/>
    </row>
    <row r="294" spans="1:44" ht="15" thickBot="1">
      <c r="B294" s="371"/>
      <c r="C294" s="372"/>
      <c r="D294" s="372"/>
      <c r="E294" s="372"/>
      <c r="F294" s="372"/>
      <c r="G294" s="372"/>
      <c r="H294" s="372"/>
      <c r="I294" s="372"/>
      <c r="J294" s="372"/>
      <c r="K294" s="372"/>
      <c r="L294" s="373"/>
      <c r="M294" s="370"/>
      <c r="N294" s="370"/>
      <c r="O294" s="74"/>
      <c r="P294" s="1182"/>
      <c r="Q294" s="1179"/>
      <c r="R294" s="1185"/>
      <c r="S294" s="1179"/>
      <c r="T294" s="374"/>
      <c r="U294" s="375"/>
      <c r="V294" s="374"/>
      <c r="W294" s="375"/>
      <c r="X294" s="374"/>
      <c r="Y294" s="375"/>
      <c r="Z294" s="374"/>
      <c r="AA294" s="375"/>
      <c r="AB294" s="374"/>
      <c r="AC294" s="375"/>
      <c r="AE294" s="1182"/>
      <c r="AF294" s="1179"/>
      <c r="AG294" s="1185"/>
      <c r="AH294" s="1179"/>
      <c r="AI294" s="374"/>
      <c r="AJ294" s="375"/>
      <c r="AK294" s="374"/>
      <c r="AL294" s="375"/>
      <c r="AM294" s="374"/>
      <c r="AN294" s="375"/>
      <c r="AO294" s="374"/>
      <c r="AP294" s="375"/>
      <c r="AQ294" s="374"/>
      <c r="AR294" s="375"/>
    </row>
    <row r="295" spans="1:44" ht="14.55" customHeight="1">
      <c r="B295" s="574"/>
      <c r="C295" s="575"/>
      <c r="D295" s="575"/>
      <c r="E295" s="575"/>
      <c r="F295" s="575"/>
      <c r="G295" s="576"/>
      <c r="H295" s="576"/>
      <c r="I295" s="576"/>
      <c r="J295" s="576"/>
      <c r="K295" s="372"/>
      <c r="L295" s="373"/>
      <c r="M295" s="370"/>
      <c r="N295" s="370"/>
      <c r="P295" s="1148"/>
      <c r="Q295" s="1154"/>
      <c r="R295" s="381"/>
      <c r="S295" s="382"/>
      <c r="T295" s="1137"/>
      <c r="U295" s="1151"/>
      <c r="V295" s="1137"/>
      <c r="W295" s="1151"/>
      <c r="X295" s="1137"/>
      <c r="Y295" s="1151"/>
      <c r="Z295" s="1137"/>
      <c r="AA295" s="1151"/>
      <c r="AB295" s="1157"/>
      <c r="AC295" s="1151"/>
      <c r="AE295" s="1148"/>
      <c r="AF295" s="1154"/>
      <c r="AG295" s="381"/>
      <c r="AH295" s="382"/>
      <c r="AI295" s="1137"/>
      <c r="AJ295" s="1151"/>
      <c r="AK295" s="1137"/>
      <c r="AL295" s="1151"/>
      <c r="AM295" s="1137"/>
      <c r="AN295" s="1151"/>
      <c r="AO295" s="1137"/>
      <c r="AP295" s="1151"/>
      <c r="AQ295" s="1157"/>
      <c r="AR295" s="1151"/>
    </row>
    <row r="296" spans="1:44">
      <c r="B296" s="383"/>
      <c r="C296" s="577"/>
      <c r="D296" s="577"/>
      <c r="E296" s="577"/>
      <c r="F296" s="577"/>
      <c r="G296" s="576"/>
      <c r="H296" s="576"/>
      <c r="I296" s="576"/>
      <c r="J296" s="576"/>
      <c r="K296" s="372"/>
      <c r="L296" s="373"/>
      <c r="M296" s="370"/>
      <c r="N296" s="370"/>
      <c r="O296" s="71"/>
      <c r="P296" s="1149"/>
      <c r="Q296" s="1155"/>
      <c r="R296" s="388"/>
      <c r="S296" s="389"/>
      <c r="T296" s="1140"/>
      <c r="U296" s="1152"/>
      <c r="V296" s="1140"/>
      <c r="W296" s="1152"/>
      <c r="X296" s="1140"/>
      <c r="Y296" s="1152"/>
      <c r="Z296" s="1140"/>
      <c r="AA296" s="1152"/>
      <c r="AB296" s="1158"/>
      <c r="AC296" s="1152"/>
      <c r="AE296" s="1149"/>
      <c r="AF296" s="1155"/>
      <c r="AG296" s="388"/>
      <c r="AH296" s="389"/>
      <c r="AI296" s="1140"/>
      <c r="AJ296" s="1152"/>
      <c r="AK296" s="1140"/>
      <c r="AL296" s="1152"/>
      <c r="AM296" s="1140"/>
      <c r="AN296" s="1152"/>
      <c r="AO296" s="1140"/>
      <c r="AP296" s="1152"/>
      <c r="AQ296" s="1158"/>
      <c r="AR296" s="1152"/>
    </row>
    <row r="297" spans="1:44" ht="15" thickBot="1">
      <c r="B297" s="574"/>
      <c r="C297" s="578"/>
      <c r="D297" s="578"/>
      <c r="E297" s="578"/>
      <c r="F297" s="578"/>
      <c r="G297" s="578"/>
      <c r="H297" s="578"/>
      <c r="I297" s="578"/>
      <c r="J297" s="578"/>
      <c r="K297" s="579"/>
      <c r="L297" s="580"/>
      <c r="M297" s="370"/>
      <c r="N297" s="370"/>
      <c r="O297" s="71"/>
      <c r="P297" s="1149"/>
      <c r="Q297" s="1156"/>
      <c r="R297" s="393"/>
      <c r="S297" s="394"/>
      <c r="T297" s="1141"/>
      <c r="U297" s="1153"/>
      <c r="V297" s="1141"/>
      <c r="W297" s="1153"/>
      <c r="X297" s="1141"/>
      <c r="Y297" s="1153"/>
      <c r="Z297" s="1141"/>
      <c r="AA297" s="1153"/>
      <c r="AB297" s="1159"/>
      <c r="AC297" s="1153"/>
      <c r="AE297" s="1149"/>
      <c r="AF297" s="1156"/>
      <c r="AG297" s="393"/>
      <c r="AH297" s="394"/>
      <c r="AI297" s="1141"/>
      <c r="AJ297" s="1153"/>
      <c r="AK297" s="1141"/>
      <c r="AL297" s="1153"/>
      <c r="AM297" s="1141"/>
      <c r="AN297" s="1153"/>
      <c r="AO297" s="1141"/>
      <c r="AP297" s="1153"/>
      <c r="AQ297" s="1159"/>
      <c r="AR297" s="1153"/>
    </row>
    <row r="298" spans="1:44" ht="14.55" customHeight="1">
      <c r="B298" s="574"/>
      <c r="C298" s="581"/>
      <c r="D298" s="581"/>
      <c r="E298" s="581"/>
      <c r="F298" s="581"/>
      <c r="G298" s="581"/>
      <c r="H298" s="581"/>
      <c r="I298" s="581"/>
      <c r="J298" s="581"/>
      <c r="K298" s="579"/>
      <c r="L298" s="580"/>
      <c r="M298" s="370"/>
      <c r="N298" s="370"/>
      <c r="O298" s="71"/>
      <c r="P298" s="1149"/>
      <c r="Q298" s="1145"/>
      <c r="R298" s="395"/>
      <c r="S298" s="396"/>
      <c r="T298" s="1137"/>
      <c r="U298" s="1137"/>
      <c r="V298" s="1137"/>
      <c r="W298" s="1137"/>
      <c r="X298" s="1137"/>
      <c r="Y298" s="1137"/>
      <c r="Z298" s="1137"/>
      <c r="AA298" s="1137"/>
      <c r="AB298" s="1137"/>
      <c r="AC298" s="1137"/>
      <c r="AE298" s="1149"/>
      <c r="AF298" s="1145"/>
      <c r="AG298" s="395"/>
      <c r="AH298" s="396"/>
      <c r="AI298" s="1137"/>
      <c r="AJ298" s="1137"/>
      <c r="AK298" s="1137"/>
      <c r="AL298" s="1137"/>
      <c r="AM298" s="1137"/>
      <c r="AN298" s="1137"/>
      <c r="AO298" s="1137"/>
      <c r="AP298" s="1137"/>
      <c r="AQ298" s="1137"/>
      <c r="AR298" s="1137"/>
    </row>
    <row r="299" spans="1:44">
      <c r="B299" s="574"/>
      <c r="C299" s="582"/>
      <c r="D299" s="582"/>
      <c r="E299" s="582"/>
      <c r="F299" s="582"/>
      <c r="G299" s="582"/>
      <c r="H299" s="582"/>
      <c r="I299" s="582"/>
      <c r="J299" s="582"/>
      <c r="K299" s="579"/>
      <c r="L299" s="580"/>
      <c r="M299" s="367"/>
      <c r="N299" s="367"/>
      <c r="O299" s="71"/>
      <c r="P299" s="1149"/>
      <c r="Q299" s="1146"/>
      <c r="R299" s="395"/>
      <c r="S299" s="396"/>
      <c r="T299" s="1138"/>
      <c r="U299" s="1138"/>
      <c r="V299" s="1138"/>
      <c r="W299" s="1138"/>
      <c r="X299" s="1138"/>
      <c r="Y299" s="1138"/>
      <c r="Z299" s="1138"/>
      <c r="AA299" s="1138"/>
      <c r="AB299" s="1140"/>
      <c r="AC299" s="1138"/>
      <c r="AE299" s="1149"/>
      <c r="AF299" s="1146"/>
      <c r="AG299" s="395"/>
      <c r="AH299" s="396"/>
      <c r="AI299" s="1138"/>
      <c r="AJ299" s="1138"/>
      <c r="AK299" s="1138"/>
      <c r="AL299" s="1138"/>
      <c r="AM299" s="1138"/>
      <c r="AN299" s="1138"/>
      <c r="AO299" s="1138"/>
      <c r="AP299" s="1138"/>
      <c r="AQ299" s="1140"/>
      <c r="AR299" s="1138"/>
    </row>
    <row r="300" spans="1:44">
      <c r="B300" s="383"/>
      <c r="C300" s="397"/>
      <c r="D300" s="397"/>
      <c r="E300" s="397"/>
      <c r="F300" s="397"/>
      <c r="G300" s="398"/>
      <c r="H300" s="398"/>
      <c r="I300" s="398"/>
      <c r="J300" s="398"/>
      <c r="K300" s="372"/>
      <c r="L300" s="373"/>
      <c r="M300" s="363"/>
      <c r="N300" s="363"/>
      <c r="P300" s="1149"/>
      <c r="Q300" s="1146"/>
      <c r="R300" s="395"/>
      <c r="S300" s="396"/>
      <c r="T300" s="1138"/>
      <c r="U300" s="1138"/>
      <c r="V300" s="1138"/>
      <c r="W300" s="1138"/>
      <c r="X300" s="1138"/>
      <c r="Y300" s="1138"/>
      <c r="Z300" s="1138"/>
      <c r="AA300" s="1138"/>
      <c r="AB300" s="1140"/>
      <c r="AC300" s="1138"/>
      <c r="AE300" s="1149"/>
      <c r="AF300" s="1146"/>
      <c r="AG300" s="395"/>
      <c r="AH300" s="396"/>
      <c r="AI300" s="1138"/>
      <c r="AJ300" s="1138"/>
      <c r="AK300" s="1138"/>
      <c r="AL300" s="1138"/>
      <c r="AM300" s="1138"/>
      <c r="AN300" s="1138"/>
      <c r="AO300" s="1138"/>
      <c r="AP300" s="1138"/>
      <c r="AQ300" s="1140"/>
      <c r="AR300" s="1138"/>
    </row>
    <row r="301" spans="1:44" ht="15" thickBot="1">
      <c r="B301" s="574"/>
      <c r="C301" s="582"/>
      <c r="D301" s="582"/>
      <c r="E301" s="582"/>
      <c r="F301" s="582"/>
      <c r="G301" s="582"/>
      <c r="H301" s="582"/>
      <c r="I301" s="582"/>
      <c r="J301" s="582"/>
      <c r="K301" s="372"/>
      <c r="L301" s="373"/>
      <c r="M301" s="363"/>
      <c r="N301" s="363"/>
      <c r="P301" s="1149"/>
      <c r="Q301" s="1146"/>
      <c r="R301" s="395"/>
      <c r="S301" s="396"/>
      <c r="T301" s="1138"/>
      <c r="U301" s="1138"/>
      <c r="V301" s="1138"/>
      <c r="W301" s="1138"/>
      <c r="X301" s="1138"/>
      <c r="Y301" s="1138"/>
      <c r="Z301" s="1138"/>
      <c r="AA301" s="1138"/>
      <c r="AB301" s="1140"/>
      <c r="AC301" s="1138"/>
      <c r="AE301" s="1149"/>
      <c r="AF301" s="1146"/>
      <c r="AG301" s="395"/>
      <c r="AH301" s="396"/>
      <c r="AI301" s="1138"/>
      <c r="AJ301" s="1138"/>
      <c r="AK301" s="1138"/>
      <c r="AL301" s="1138"/>
      <c r="AM301" s="1138"/>
      <c r="AN301" s="1138"/>
      <c r="AO301" s="1138"/>
      <c r="AP301" s="1138"/>
      <c r="AQ301" s="1140"/>
      <c r="AR301" s="1138"/>
    </row>
    <row r="302" spans="1:44" ht="15" thickBot="1">
      <c r="B302" s="401"/>
      <c r="C302" s="583"/>
      <c r="D302" s="584"/>
      <c r="E302" s="585"/>
      <c r="F302" s="586"/>
      <c r="G302" s="406"/>
      <c r="H302" s="406"/>
      <c r="I302" s="406"/>
      <c r="J302" s="406"/>
      <c r="K302" s="407"/>
      <c r="L302" s="587"/>
      <c r="M302" s="363"/>
      <c r="N302" s="363"/>
      <c r="P302" s="1149"/>
      <c r="Q302" s="1147"/>
      <c r="R302" s="409"/>
      <c r="S302" s="410"/>
      <c r="T302" s="1139"/>
      <c r="U302" s="1139"/>
      <c r="V302" s="1139"/>
      <c r="W302" s="1139"/>
      <c r="X302" s="1139"/>
      <c r="Y302" s="1139"/>
      <c r="Z302" s="1139"/>
      <c r="AA302" s="1139"/>
      <c r="AB302" s="1141"/>
      <c r="AC302" s="1139"/>
      <c r="AE302" s="1149"/>
      <c r="AF302" s="1147"/>
      <c r="AG302" s="409"/>
      <c r="AH302" s="410"/>
      <c r="AI302" s="1139"/>
      <c r="AJ302" s="1139"/>
      <c r="AK302" s="1139"/>
      <c r="AL302" s="1139"/>
      <c r="AM302" s="1139"/>
      <c r="AN302" s="1139"/>
      <c r="AO302" s="1139"/>
      <c r="AP302" s="1139"/>
      <c r="AQ302" s="1141"/>
      <c r="AR302" s="1139"/>
    </row>
    <row r="303" spans="1:44" ht="15" thickBot="1">
      <c r="B303" s="574"/>
      <c r="C303" s="588"/>
      <c r="D303" s="588"/>
      <c r="E303" s="588"/>
      <c r="F303" s="588"/>
      <c r="G303" s="589"/>
      <c r="H303" s="589"/>
      <c r="I303" s="590"/>
      <c r="J303" s="590"/>
      <c r="K303" s="579"/>
      <c r="L303" s="580"/>
      <c r="M303" s="363"/>
      <c r="N303" s="363"/>
      <c r="P303" s="1150"/>
      <c r="Q303" s="411"/>
      <c r="R303" s="412"/>
      <c r="S303" s="413"/>
      <c r="T303" s="591"/>
      <c r="U303" s="592"/>
      <c r="V303" s="593"/>
      <c r="W303" s="592"/>
      <c r="X303" s="593"/>
      <c r="Y303" s="592"/>
      <c r="Z303" s="593"/>
      <c r="AA303" s="592"/>
      <c r="AB303" s="593"/>
      <c r="AC303" s="594"/>
      <c r="AE303" s="1150"/>
      <c r="AF303" s="411"/>
      <c r="AG303" s="412"/>
      <c r="AH303" s="413"/>
      <c r="AI303" s="591"/>
      <c r="AJ303" s="592"/>
      <c r="AK303" s="593"/>
      <c r="AL303" s="592"/>
      <c r="AM303" s="593"/>
      <c r="AN303" s="592"/>
      <c r="AO303" s="593"/>
      <c r="AP303" s="592"/>
      <c r="AQ303" s="593"/>
      <c r="AR303" s="594"/>
    </row>
    <row r="304" spans="1:44">
      <c r="B304" s="574"/>
      <c r="C304" s="582"/>
      <c r="D304" s="582"/>
      <c r="E304" s="582"/>
      <c r="F304" s="582"/>
      <c r="G304" s="595"/>
      <c r="H304" s="595"/>
      <c r="I304" s="595"/>
      <c r="J304" s="595"/>
      <c r="K304" s="596"/>
      <c r="L304" s="580"/>
      <c r="M304" s="363"/>
      <c r="N304" s="363"/>
    </row>
    <row r="305" spans="1:30">
      <c r="B305" s="574"/>
      <c r="C305" s="582"/>
      <c r="D305" s="582"/>
      <c r="E305" s="582"/>
      <c r="F305" s="582"/>
      <c r="G305" s="595"/>
      <c r="H305" s="595"/>
      <c r="I305" s="595"/>
      <c r="J305" s="595"/>
      <c r="K305" s="596"/>
      <c r="L305" s="580"/>
      <c r="M305" s="420"/>
      <c r="N305" s="363"/>
    </row>
    <row r="306" spans="1:30">
      <c r="B306" s="421"/>
      <c r="C306" s="399"/>
      <c r="D306" s="399"/>
      <c r="E306" s="399"/>
      <c r="F306" s="399"/>
      <c r="G306" s="422"/>
      <c r="H306" s="422"/>
      <c r="I306" s="422"/>
      <c r="J306" s="422"/>
      <c r="K306" s="423"/>
      <c r="L306" s="597"/>
      <c r="M306" s="420"/>
      <c r="N306" s="420"/>
    </row>
    <row r="307" spans="1:30">
      <c r="B307" s="383"/>
      <c r="C307" s="397"/>
      <c r="D307" s="397"/>
      <c r="E307" s="397"/>
      <c r="F307" s="397"/>
      <c r="G307" s="422"/>
      <c r="H307" s="425"/>
      <c r="I307" s="425"/>
      <c r="J307" s="425"/>
      <c r="K307" s="426"/>
      <c r="L307" s="427"/>
      <c r="M307" s="428"/>
      <c r="N307" s="428"/>
    </row>
    <row r="308" spans="1:30">
      <c r="B308" s="383"/>
      <c r="C308" s="397"/>
      <c r="D308" s="397"/>
      <c r="E308" s="397"/>
      <c r="F308" s="397"/>
      <c r="G308" s="425"/>
      <c r="H308" s="425"/>
      <c r="I308" s="425"/>
      <c r="J308" s="425"/>
      <c r="K308" s="423"/>
      <c r="L308" s="427"/>
      <c r="M308" s="428"/>
      <c r="N308" s="428"/>
    </row>
    <row r="309" spans="1:30">
      <c r="B309" s="383"/>
      <c r="C309" s="397"/>
      <c r="D309" s="397"/>
      <c r="E309" s="397"/>
      <c r="F309" s="397"/>
      <c r="G309" s="425"/>
      <c r="H309" s="425"/>
      <c r="I309" s="425"/>
      <c r="J309" s="425"/>
      <c r="K309" s="423"/>
      <c r="L309" s="427"/>
      <c r="M309" s="428"/>
      <c r="N309" s="428"/>
    </row>
    <row r="310" spans="1:30">
      <c r="B310" s="383"/>
      <c r="C310" s="397"/>
      <c r="D310" s="397"/>
      <c r="E310" s="397"/>
      <c r="F310" s="397"/>
      <c r="G310" s="425"/>
      <c r="H310" s="425"/>
      <c r="I310" s="425"/>
      <c r="J310" s="425"/>
      <c r="K310" s="423"/>
      <c r="L310" s="427"/>
      <c r="M310" s="428"/>
      <c r="N310" s="428"/>
    </row>
    <row r="311" spans="1:30" ht="15" thickBot="1">
      <c r="B311" s="429"/>
      <c r="C311" s="397"/>
      <c r="D311" s="397"/>
      <c r="E311" s="397"/>
      <c r="F311" s="397"/>
      <c r="G311" s="425"/>
      <c r="H311" s="425"/>
      <c r="I311" s="425"/>
      <c r="J311" s="425"/>
      <c r="K311" s="423"/>
      <c r="L311" s="427"/>
      <c r="M311" s="428"/>
      <c r="N311" s="428"/>
    </row>
    <row r="312" spans="1:30" ht="15" thickBot="1">
      <c r="B312" s="431"/>
      <c r="C312" s="598"/>
      <c r="D312" s="584"/>
      <c r="E312" s="584"/>
      <c r="F312" s="599"/>
      <c r="G312" s="434"/>
      <c r="H312" s="406"/>
      <c r="I312" s="406"/>
      <c r="J312" s="406"/>
      <c r="K312" s="407"/>
      <c r="L312" s="587"/>
      <c r="M312" s="428"/>
      <c r="N312" s="428"/>
    </row>
    <row r="313" spans="1:30">
      <c r="A313" s="435"/>
      <c r="B313" s="436"/>
      <c r="C313" s="600"/>
      <c r="D313" s="600"/>
      <c r="E313" s="600"/>
      <c r="F313" s="600"/>
      <c r="G313" s="425"/>
      <c r="H313" s="425"/>
      <c r="I313" s="425"/>
      <c r="J313" s="425"/>
      <c r="K313" s="426"/>
      <c r="L313" s="440"/>
      <c r="M313" s="420"/>
      <c r="N313" s="420"/>
    </row>
    <row r="314" spans="1:30">
      <c r="B314" s="441"/>
      <c r="C314" s="601"/>
      <c r="D314" s="601"/>
      <c r="E314" s="601"/>
      <c r="F314" s="601"/>
      <c r="G314" s="425"/>
      <c r="H314" s="425"/>
      <c r="I314" s="425"/>
      <c r="J314" s="425"/>
      <c r="K314" s="444"/>
      <c r="L314" s="373"/>
      <c r="M314" s="71"/>
      <c r="N314" s="420"/>
    </row>
    <row r="315" spans="1:30">
      <c r="B315" s="441"/>
      <c r="C315" s="601"/>
      <c r="D315" s="601"/>
      <c r="E315" s="601"/>
      <c r="F315" s="601"/>
      <c r="G315" s="425"/>
      <c r="H315" s="425"/>
      <c r="I315" s="425"/>
      <c r="J315" s="425"/>
      <c r="K315" s="444"/>
      <c r="L315" s="373"/>
      <c r="M315" s="420"/>
      <c r="N315" s="420"/>
    </row>
    <row r="316" spans="1:30">
      <c r="B316" s="383"/>
      <c r="C316" s="602"/>
      <c r="D316" s="603"/>
      <c r="E316" s="603"/>
      <c r="F316" s="604"/>
      <c r="G316" s="425"/>
      <c r="H316" s="425"/>
      <c r="I316" s="425"/>
      <c r="J316" s="425"/>
      <c r="K316" s="444"/>
      <c r="L316" s="373"/>
      <c r="M316" s="420"/>
      <c r="N316" s="420"/>
    </row>
    <row r="317" spans="1:30">
      <c r="B317" s="383"/>
      <c r="C317" s="605"/>
      <c r="D317" s="605"/>
      <c r="E317" s="605"/>
      <c r="F317" s="605"/>
      <c r="G317" s="425"/>
      <c r="H317" s="425"/>
      <c r="I317" s="425"/>
      <c r="J317" s="425"/>
      <c r="K317" s="444"/>
      <c r="L317" s="373"/>
      <c r="M317" s="450"/>
      <c r="N317" s="361"/>
      <c r="P317" s="1142"/>
      <c r="Q317" s="1143"/>
      <c r="R317" s="1143"/>
      <c r="S317" s="1143"/>
      <c r="T317" s="1143"/>
      <c r="U317" s="1144"/>
    </row>
    <row r="318" spans="1:30" ht="15" thickBot="1">
      <c r="B318" s="541"/>
      <c r="C318" s="552"/>
      <c r="D318" s="552"/>
      <c r="E318" s="552"/>
      <c r="F318" s="552"/>
      <c r="G318" s="553"/>
      <c r="H318" s="553"/>
      <c r="I318" s="553"/>
      <c r="J318" s="553"/>
      <c r="K318" s="547"/>
      <c r="L318" s="548"/>
      <c r="M318" s="450"/>
      <c r="N318" s="361"/>
      <c r="P318" s="1134"/>
      <c r="Q318" s="1135"/>
      <c r="R318" s="1135"/>
      <c r="S318" s="1135"/>
      <c r="T318" s="1135"/>
      <c r="U318" s="1136"/>
    </row>
    <row r="319" spans="1:30">
      <c r="B319" s="541"/>
      <c r="C319" s="606"/>
      <c r="D319" s="606"/>
      <c r="E319" s="606"/>
      <c r="F319" s="606"/>
      <c r="G319" s="553"/>
      <c r="H319" s="553"/>
      <c r="I319" s="553"/>
      <c r="J319" s="553"/>
      <c r="K319" s="547"/>
      <c r="L319" s="548"/>
      <c r="M319" s="363"/>
      <c r="N319" s="363"/>
      <c r="P319" s="53"/>
    </row>
    <row r="320" spans="1:30">
      <c r="B320" s="541"/>
      <c r="C320" s="607"/>
      <c r="D320" s="547"/>
      <c r="E320" s="547"/>
      <c r="F320" s="563"/>
      <c r="G320" s="550"/>
      <c r="H320" s="550"/>
      <c r="I320" s="550"/>
      <c r="J320" s="550"/>
      <c r="K320" s="547"/>
      <c r="L320" s="608"/>
      <c r="M320" s="367"/>
      <c r="N320" s="367"/>
      <c r="P320" s="46"/>
      <c r="Q320" s="46"/>
      <c r="R320" s="47"/>
      <c r="S320" s="47"/>
      <c r="T320" s="47"/>
      <c r="U320" s="48"/>
      <c r="V320" s="49"/>
      <c r="W320" s="49"/>
      <c r="X320" s="49"/>
      <c r="Y320" s="49"/>
      <c r="Z320" s="49"/>
      <c r="AA320" s="49"/>
      <c r="AB320" s="49"/>
      <c r="AC320" s="49"/>
      <c r="AD320" s="49"/>
    </row>
    <row r="321" spans="1:30" ht="15" thickBot="1">
      <c r="B321" s="566"/>
      <c r="C321" s="607"/>
      <c r="D321" s="609"/>
      <c r="E321" s="609"/>
      <c r="F321" s="610"/>
      <c r="G321" s="550"/>
      <c r="H321" s="550"/>
      <c r="I321" s="550"/>
      <c r="J321" s="550"/>
      <c r="K321" s="547"/>
      <c r="L321" s="608"/>
      <c r="M321" s="363"/>
      <c r="N321" s="363"/>
      <c r="O321" s="71"/>
      <c r="P321" s="50"/>
      <c r="Q321" s="50"/>
      <c r="R321" s="51"/>
      <c r="S321" s="51"/>
      <c r="T321" s="51"/>
      <c r="U321" s="51"/>
      <c r="V321" s="50"/>
      <c r="W321" s="50"/>
      <c r="X321" s="50"/>
      <c r="Y321" s="50"/>
      <c r="Z321" s="50"/>
      <c r="AA321" s="50"/>
      <c r="AB321" s="50"/>
      <c r="AC321" s="50"/>
      <c r="AD321" s="50"/>
    </row>
    <row r="322" spans="1:30" ht="15" thickBot="1">
      <c r="B322" s="611"/>
      <c r="C322" s="612"/>
      <c r="D322" s="613"/>
      <c r="E322" s="614"/>
      <c r="F322" s="615"/>
      <c r="G322" s="540"/>
      <c r="H322" s="540"/>
      <c r="I322" s="540"/>
      <c r="J322" s="540"/>
      <c r="K322" s="616"/>
      <c r="L322" s="617"/>
      <c r="M322" s="363"/>
      <c r="N322" s="363"/>
      <c r="O322" s="461"/>
      <c r="P322" s="56"/>
      <c r="Q322" s="56"/>
      <c r="R322" s="57"/>
      <c r="S322" s="57"/>
      <c r="T322" s="57"/>
      <c r="U322" s="56"/>
      <c r="V322" s="56"/>
      <c r="W322" s="56"/>
      <c r="X322" s="56"/>
      <c r="Y322" s="56"/>
      <c r="Z322" s="56"/>
      <c r="AA322" s="56"/>
      <c r="AB322" s="56"/>
      <c r="AC322" s="56"/>
      <c r="AD322" s="56"/>
    </row>
    <row r="323" spans="1:30">
      <c r="B323" s="556"/>
      <c r="C323" s="618"/>
      <c r="D323" s="618"/>
      <c r="E323" s="618"/>
      <c r="F323" s="618"/>
      <c r="G323" s="618"/>
      <c r="H323" s="618"/>
      <c r="I323" s="618"/>
      <c r="J323" s="618"/>
      <c r="K323" s="618"/>
      <c r="L323" s="619"/>
      <c r="M323" s="363"/>
      <c r="N323" s="363"/>
      <c r="O323" s="620"/>
      <c r="P323" s="466"/>
      <c r="Q323" s="58"/>
      <c r="R323" s="466"/>
      <c r="S323" s="58"/>
      <c r="T323" s="466"/>
      <c r="U323" s="467"/>
      <c r="V323" s="467"/>
      <c r="W323" s="467"/>
      <c r="X323" s="58"/>
      <c r="Y323" s="58"/>
      <c r="Z323" s="466"/>
      <c r="AA323" s="468"/>
      <c r="AB323" s="468"/>
      <c r="AC323" s="468"/>
      <c r="AD323" s="468"/>
    </row>
    <row r="324" spans="1:30">
      <c r="B324" s="541"/>
      <c r="C324" s="558"/>
      <c r="D324" s="558"/>
      <c r="E324" s="558"/>
      <c r="F324" s="558"/>
      <c r="G324" s="563"/>
      <c r="H324" s="563"/>
      <c r="I324" s="563"/>
      <c r="J324" s="563"/>
      <c r="K324" s="563"/>
      <c r="L324" s="548"/>
      <c r="M324" s="363"/>
      <c r="N324" s="363"/>
      <c r="O324" s="620"/>
      <c r="P324" s="466"/>
      <c r="Q324" s="58"/>
      <c r="R324" s="466"/>
      <c r="S324" s="58"/>
      <c r="T324" s="466"/>
      <c r="U324" s="467"/>
      <c r="V324" s="467"/>
      <c r="W324" s="467"/>
      <c r="X324" s="58"/>
      <c r="Y324" s="58"/>
      <c r="Z324" s="466"/>
      <c r="AA324" s="468"/>
      <c r="AB324" s="468"/>
      <c r="AC324" s="468"/>
      <c r="AD324" s="468"/>
    </row>
    <row r="325" spans="1:30">
      <c r="B325" s="541"/>
      <c r="C325" s="558"/>
      <c r="D325" s="558"/>
      <c r="E325" s="558"/>
      <c r="F325" s="558"/>
      <c r="G325" s="563"/>
      <c r="H325" s="563"/>
      <c r="I325" s="563"/>
      <c r="J325" s="563"/>
      <c r="K325" s="563"/>
      <c r="L325" s="548"/>
      <c r="M325" s="363"/>
      <c r="N325" s="363"/>
      <c r="O325" s="620"/>
      <c r="P325" s="466"/>
      <c r="Q325" s="58"/>
      <c r="R325" s="466"/>
      <c r="S325" s="58"/>
      <c r="T325" s="466"/>
      <c r="U325" s="467"/>
      <c r="V325" s="467"/>
      <c r="W325" s="467"/>
      <c r="X325" s="58"/>
      <c r="Y325" s="58"/>
      <c r="Z325" s="466"/>
      <c r="AA325" s="468"/>
      <c r="AB325" s="468"/>
      <c r="AC325" s="468"/>
      <c r="AD325" s="468"/>
    </row>
    <row r="326" spans="1:30">
      <c r="B326" s="541"/>
      <c r="C326" s="564"/>
      <c r="D326" s="564"/>
      <c r="E326" s="564"/>
      <c r="F326" s="564"/>
      <c r="G326" s="621"/>
      <c r="H326" s="621"/>
      <c r="I326" s="621"/>
      <c r="J326" s="621"/>
      <c r="K326" s="621"/>
      <c r="L326" s="548"/>
      <c r="M326" s="363"/>
      <c r="N326" s="363"/>
      <c r="O326" s="620"/>
      <c r="P326" s="466"/>
      <c r="Q326" s="58"/>
      <c r="R326" s="466"/>
      <c r="S326" s="58"/>
      <c r="T326" s="466"/>
      <c r="U326" s="467"/>
      <c r="V326" s="467"/>
      <c r="W326" s="467"/>
      <c r="X326" s="58"/>
      <c r="Y326" s="58"/>
      <c r="Z326" s="466"/>
      <c r="AA326" s="468"/>
      <c r="AB326" s="468"/>
      <c r="AC326" s="468"/>
      <c r="AD326" s="468"/>
    </row>
    <row r="327" spans="1:30">
      <c r="B327" s="566"/>
      <c r="C327" s="558"/>
      <c r="D327" s="558"/>
      <c r="E327" s="558"/>
      <c r="F327" s="558"/>
      <c r="G327" s="563"/>
      <c r="H327" s="563"/>
      <c r="I327" s="563"/>
      <c r="J327" s="563"/>
      <c r="K327" s="563"/>
      <c r="L327" s="548"/>
      <c r="M327" s="367"/>
      <c r="N327" s="367"/>
    </row>
    <row r="328" spans="1:30">
      <c r="B328" s="566"/>
      <c r="C328" s="558"/>
      <c r="D328" s="558"/>
      <c r="E328" s="558"/>
      <c r="F328" s="558"/>
      <c r="G328" s="563"/>
      <c r="H328" s="563"/>
      <c r="I328" s="563"/>
      <c r="J328" s="563"/>
      <c r="K328" s="563"/>
      <c r="L328" s="548"/>
      <c r="M328" s="363"/>
      <c r="N328" s="363"/>
    </row>
    <row r="329" spans="1:30" ht="15" thickBot="1">
      <c r="B329" s="567"/>
      <c r="C329" s="622"/>
      <c r="D329" s="622"/>
      <c r="E329" s="622"/>
      <c r="F329" s="622"/>
      <c r="G329" s="623"/>
      <c r="H329" s="623"/>
      <c r="I329" s="623"/>
      <c r="J329" s="623"/>
      <c r="K329" s="623"/>
      <c r="L329" s="624"/>
      <c r="M329" s="363"/>
      <c r="N329" s="363"/>
    </row>
    <row r="330" spans="1:30">
      <c r="B330" s="461"/>
      <c r="C330" s="483"/>
      <c r="D330" s="483"/>
      <c r="E330" s="483"/>
      <c r="F330" s="483"/>
      <c r="G330" s="483"/>
      <c r="H330" s="484"/>
      <c r="I330" s="420"/>
      <c r="J330" s="420"/>
      <c r="K330" s="484"/>
      <c r="L330" s="484"/>
      <c r="N330" s="420"/>
    </row>
    <row r="331" spans="1:30">
      <c r="B331" s="485"/>
      <c r="C331" s="486"/>
      <c r="D331" s="486"/>
      <c r="E331" s="486"/>
      <c r="F331" s="486"/>
      <c r="G331" s="486"/>
      <c r="H331" s="484"/>
      <c r="I331" s="71"/>
      <c r="J331" s="420"/>
      <c r="K331" s="484"/>
      <c r="L331" s="484"/>
      <c r="N331" s="420"/>
    </row>
    <row r="332" spans="1:30">
      <c r="B332" s="461"/>
      <c r="C332" s="359"/>
      <c r="D332" s="359"/>
      <c r="E332" s="359"/>
      <c r="F332" s="359"/>
      <c r="G332" s="359"/>
      <c r="I332" s="420"/>
      <c r="J332" s="420"/>
      <c r="N332" s="420"/>
    </row>
    <row r="333" spans="1:30">
      <c r="B333" s="461"/>
      <c r="C333" s="487"/>
      <c r="D333" s="487"/>
      <c r="E333" s="487"/>
      <c r="F333" s="487"/>
      <c r="G333" s="359"/>
      <c r="M333" s="420"/>
      <c r="N333" s="420"/>
    </row>
    <row r="336" spans="1:30">
      <c r="A336" s="488"/>
      <c r="B336" s="489"/>
      <c r="D336" s="358"/>
      <c r="E336" s="358"/>
      <c r="F336" s="358"/>
      <c r="G336" s="358"/>
      <c r="H336" s="358"/>
      <c r="I336" s="358"/>
      <c r="J336" s="358"/>
      <c r="K336" s="358"/>
    </row>
    <row r="337" spans="1:11">
      <c r="A337" s="358"/>
      <c r="B337" s="490"/>
      <c r="E337" s="358"/>
      <c r="F337" s="358"/>
      <c r="G337" s="358"/>
      <c r="H337" s="358"/>
      <c r="I337" s="358"/>
      <c r="J337" s="358"/>
      <c r="K337" s="358"/>
    </row>
    <row r="338" spans="1:11">
      <c r="A338" s="358"/>
      <c r="B338" s="490"/>
      <c r="E338" s="358"/>
      <c r="F338" s="358"/>
      <c r="G338" s="358"/>
      <c r="H338" s="358"/>
      <c r="I338" s="358"/>
      <c r="J338" s="358"/>
      <c r="K338" s="358"/>
    </row>
    <row r="339" spans="1:11">
      <c r="A339" s="358"/>
      <c r="B339" s="490"/>
      <c r="E339" s="358"/>
      <c r="F339" s="358"/>
      <c r="G339" s="358"/>
      <c r="H339" s="358"/>
      <c r="I339" s="358"/>
      <c r="J339" s="358"/>
      <c r="K339" s="358"/>
    </row>
    <row r="340" spans="1:11">
      <c r="A340" s="358"/>
      <c r="B340" s="490"/>
      <c r="E340" s="358"/>
      <c r="F340" s="358"/>
      <c r="G340" s="358"/>
      <c r="H340" s="358"/>
      <c r="I340" s="358"/>
      <c r="J340" s="358"/>
      <c r="K340" s="358"/>
    </row>
    <row r="341" spans="1:11">
      <c r="A341" s="358"/>
      <c r="B341" s="490"/>
      <c r="E341" s="358"/>
      <c r="F341" s="358"/>
      <c r="G341" s="358"/>
      <c r="H341" s="358"/>
      <c r="I341" s="358"/>
      <c r="J341" s="358"/>
      <c r="K341" s="358"/>
    </row>
    <row r="342" spans="1:11">
      <c r="A342" s="358"/>
      <c r="B342" s="490"/>
      <c r="E342" s="358"/>
      <c r="F342" s="358"/>
      <c r="G342" s="358"/>
      <c r="H342" s="358"/>
      <c r="I342" s="358"/>
      <c r="J342" s="358"/>
      <c r="K342" s="358"/>
    </row>
    <row r="343" spans="1:11">
      <c r="A343" s="358"/>
      <c r="B343" s="490"/>
      <c r="E343" s="358"/>
      <c r="F343" s="358"/>
      <c r="G343" s="358"/>
      <c r="H343" s="358"/>
      <c r="I343" s="358"/>
      <c r="J343" s="358"/>
      <c r="K343" s="358"/>
    </row>
    <row r="344" spans="1:11">
      <c r="A344" s="358"/>
      <c r="B344" s="625"/>
      <c r="E344" s="358"/>
      <c r="F344" s="358"/>
      <c r="G344" s="358"/>
      <c r="H344" s="358"/>
      <c r="I344" s="358"/>
      <c r="J344" s="358"/>
      <c r="K344" s="358"/>
    </row>
    <row r="345" spans="1:11">
      <c r="A345" s="358"/>
      <c r="B345" s="490"/>
      <c r="E345" s="358"/>
      <c r="F345" s="358"/>
      <c r="G345" s="358"/>
      <c r="H345" s="358"/>
      <c r="I345" s="358"/>
      <c r="J345" s="358"/>
      <c r="K345" s="358"/>
    </row>
    <row r="346" spans="1:11">
      <c r="A346" s="488"/>
      <c r="B346" s="489"/>
      <c r="E346" s="358"/>
      <c r="F346" s="358"/>
      <c r="G346" s="358"/>
      <c r="H346" s="358"/>
      <c r="I346" s="358"/>
      <c r="J346" s="358"/>
      <c r="K346" s="358"/>
    </row>
    <row r="347" spans="1:11">
      <c r="A347" s="496"/>
      <c r="B347" s="490"/>
      <c r="C347" s="489"/>
      <c r="E347" s="358"/>
      <c r="F347" s="358"/>
      <c r="G347" s="358"/>
      <c r="H347" s="358"/>
      <c r="I347" s="358"/>
      <c r="J347" s="358"/>
      <c r="K347" s="358"/>
    </row>
    <row r="348" spans="1:11">
      <c r="A348" s="496"/>
      <c r="B348" s="490"/>
      <c r="C348" s="489"/>
      <c r="E348" s="358"/>
      <c r="F348" s="358"/>
      <c r="G348" s="358"/>
      <c r="H348" s="358"/>
      <c r="I348" s="358"/>
      <c r="J348" s="358"/>
      <c r="K348" s="358"/>
    </row>
    <row r="349" spans="1:11">
      <c r="A349" s="496"/>
      <c r="B349" s="490"/>
      <c r="C349" s="489"/>
      <c r="E349" s="358"/>
      <c r="F349" s="358"/>
      <c r="G349" s="358"/>
      <c r="H349" s="358"/>
      <c r="I349" s="358"/>
      <c r="J349" s="358"/>
      <c r="K349" s="358"/>
    </row>
    <row r="350" spans="1:11">
      <c r="A350" s="496"/>
      <c r="B350" s="490"/>
      <c r="C350" s="489"/>
      <c r="E350" s="358"/>
      <c r="F350" s="358"/>
      <c r="G350" s="358"/>
      <c r="H350" s="358"/>
      <c r="I350" s="358"/>
      <c r="J350" s="358"/>
      <c r="K350" s="358"/>
    </row>
    <row r="351" spans="1:11" ht="15.75" customHeight="1">
      <c r="A351" s="496"/>
      <c r="B351" s="490"/>
      <c r="C351" s="489"/>
      <c r="E351" s="358"/>
      <c r="F351" s="358"/>
      <c r="G351" s="358"/>
      <c r="H351" s="358"/>
      <c r="I351" s="358"/>
      <c r="J351" s="358"/>
      <c r="K351" s="358"/>
    </row>
    <row r="352" spans="1:11" ht="15.75" customHeight="1">
      <c r="A352" s="496"/>
      <c r="B352" s="490"/>
      <c r="C352" s="489"/>
      <c r="E352" s="358"/>
      <c r="F352" s="358"/>
      <c r="G352" s="358"/>
      <c r="H352" s="358"/>
      <c r="I352" s="358"/>
      <c r="J352" s="358"/>
      <c r="K352" s="358"/>
    </row>
  </sheetData>
  <mergeCells count="393">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A232:AA236"/>
    <mergeCell ref="AB232:AB236"/>
    <mergeCell ref="AC232:AC236"/>
    <mergeCell ref="P229:P237"/>
    <mergeCell ref="Q229:Q231"/>
    <mergeCell ref="T229:T231"/>
    <mergeCell ref="U229:U231"/>
    <mergeCell ref="V229:V231"/>
    <mergeCell ref="W229:W231"/>
    <mergeCell ref="X229:X231"/>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P184:U184"/>
    <mergeCell ref="P185:U185"/>
    <mergeCell ref="C225:L225"/>
    <mergeCell ref="S225:S228"/>
    <mergeCell ref="T225:U227"/>
    <mergeCell ref="V225:W227"/>
    <mergeCell ref="K226:K227"/>
    <mergeCell ref="L226:L227"/>
    <mergeCell ref="P226:P228"/>
    <mergeCell ref="Q227:Q228"/>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P162:P170"/>
    <mergeCell ref="Q162:Q164"/>
    <mergeCell ref="T162:T164"/>
    <mergeCell ref="U162:U164"/>
    <mergeCell ref="V162:V164"/>
    <mergeCell ref="W162:W164"/>
    <mergeCell ref="Q165:Q169"/>
    <mergeCell ref="T165:T169"/>
    <mergeCell ref="U165:U169"/>
    <mergeCell ref="V165:V169"/>
    <mergeCell ref="W165:W169"/>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Z158:AA160"/>
    <mergeCell ref="P159:P161"/>
    <mergeCell ref="Q160:Q161"/>
    <mergeCell ref="R160:R161"/>
    <mergeCell ref="P112:U112"/>
    <mergeCell ref="P113:U113"/>
    <mergeCell ref="B156:B157"/>
    <mergeCell ref="C156:M156"/>
    <mergeCell ref="P156:U156"/>
    <mergeCell ref="C157:M157"/>
    <mergeCell ref="P157:U15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P33:U33"/>
    <mergeCell ref="P34:U34"/>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86" location="INDEX" display="Hot water boiler, Oil" xr:uid="{D26382D3-0D40-4E40-9DC0-E5D60ECCEBED}"/>
    <hyperlink ref="C7" location="INDEX" display="Steam boiler, Oil" xr:uid="{09DB974D-A2E6-4242-946A-0A9DBB0EEA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A0B0-6287-4C28-9ABD-44CA871A0883}">
  <sheetPr>
    <tabColor theme="3"/>
  </sheetPr>
  <dimension ref="A2:AR374"/>
  <sheetViews>
    <sheetView topLeftCell="B3" zoomScale="55" zoomScaleNormal="55" workbookViewId="0">
      <selection activeCell="B26" sqref="B26"/>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8" t="s">
        <v>308</v>
      </c>
    </row>
    <row r="4" spans="1:44" ht="25.05" customHeight="1">
      <c r="E4" s="224" t="s">
        <v>358</v>
      </c>
      <c r="F4" s="359">
        <v>7.45</v>
      </c>
      <c r="G4" s="359" t="s">
        <v>328</v>
      </c>
    </row>
    <row r="5" spans="1:44" ht="15" customHeight="1">
      <c r="A5" s="360" t="s">
        <v>795</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1.6" outlineLevel="1" thickBot="1">
      <c r="B7" s="362" t="s">
        <v>0</v>
      </c>
      <c r="C7" s="1186" t="s">
        <v>796</v>
      </c>
      <c r="D7" s="1205"/>
      <c r="E7" s="1205"/>
      <c r="F7" s="1205"/>
      <c r="G7" s="1205"/>
      <c r="H7" s="1205"/>
      <c r="I7" s="1205"/>
      <c r="J7" s="1205"/>
      <c r="K7" s="1205"/>
      <c r="L7" s="1206"/>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outlineLevel="1" thickBot="1">
      <c r="B8" s="1164" t="s">
        <v>4</v>
      </c>
      <c r="C8" s="1166">
        <v>2020</v>
      </c>
      <c r="D8" s="1166">
        <v>2030</v>
      </c>
      <c r="E8" s="1166">
        <v>2040</v>
      </c>
      <c r="F8" s="1166">
        <v>2050</v>
      </c>
      <c r="G8" s="1217" t="s">
        <v>721</v>
      </c>
      <c r="H8" s="1218"/>
      <c r="I8" s="1217" t="s">
        <v>648</v>
      </c>
      <c r="J8" s="1218"/>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165"/>
      <c r="C9" s="1167"/>
      <c r="D9" s="1167"/>
      <c r="E9" s="1167"/>
      <c r="F9" s="1167"/>
      <c r="G9" s="369" t="s">
        <v>649</v>
      </c>
      <c r="H9" s="369" t="s">
        <v>650</v>
      </c>
      <c r="I9" s="369" t="s">
        <v>649</v>
      </c>
      <c r="J9" s="369" t="s">
        <v>650</v>
      </c>
      <c r="K9" s="1220"/>
      <c r="L9" s="1220"/>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724</v>
      </c>
      <c r="C10" s="372">
        <f>20*1000</f>
        <v>20000</v>
      </c>
      <c r="D10" s="372">
        <f>20*1000</f>
        <v>20000</v>
      </c>
      <c r="E10" s="372">
        <f>20*1000</f>
        <v>20000</v>
      </c>
      <c r="F10" s="372">
        <f>20*1000</f>
        <v>20000</v>
      </c>
      <c r="G10" s="372">
        <f>1*1000</f>
        <v>1000</v>
      </c>
      <c r="H10" s="372">
        <f>50*1000</f>
        <v>50000</v>
      </c>
      <c r="I10" s="372">
        <f>1*1000</f>
        <v>1000</v>
      </c>
      <c r="J10" s="372">
        <f>50*1000</f>
        <v>50000</v>
      </c>
      <c r="K10" s="372" t="s">
        <v>6</v>
      </c>
      <c r="L10" s="373" t="s">
        <v>725</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93</v>
      </c>
      <c r="D11" s="377">
        <f>C11+1</f>
        <v>94</v>
      </c>
      <c r="E11" s="378">
        <f>D11</f>
        <v>94</v>
      </c>
      <c r="F11" s="377">
        <f>D11+1</f>
        <v>95</v>
      </c>
      <c r="G11" s="377">
        <v>90</v>
      </c>
      <c r="H11" s="377">
        <v>96</v>
      </c>
      <c r="I11" s="377">
        <v>90</v>
      </c>
      <c r="J11" s="377">
        <v>97</v>
      </c>
      <c r="K11" s="379" t="s">
        <v>59</v>
      </c>
      <c r="L11" s="380" t="s">
        <v>729</v>
      </c>
      <c r="M11" s="370"/>
      <c r="N11" s="370"/>
      <c r="P11" s="1199" t="str">
        <f>C7</f>
        <v>Steam boiler, Natural gas or biogas</v>
      </c>
      <c r="Q11" s="1154" t="s">
        <v>730</v>
      </c>
      <c r="R11" s="381" t="s">
        <v>731</v>
      </c>
      <c r="S11" s="382"/>
      <c r="T11" s="1137">
        <v>0</v>
      </c>
      <c r="U11" s="1151">
        <v>1</v>
      </c>
      <c r="V11" s="1137">
        <v>0</v>
      </c>
      <c r="W11" s="1151">
        <v>1</v>
      </c>
      <c r="X11" s="1137">
        <v>0</v>
      </c>
      <c r="Y11" s="1151">
        <v>1</v>
      </c>
      <c r="Z11" s="1137">
        <v>0</v>
      </c>
      <c r="AA11" s="1151">
        <v>1</v>
      </c>
      <c r="AB11" s="1137">
        <v>0</v>
      </c>
      <c r="AC11" s="1151">
        <v>1</v>
      </c>
      <c r="AE11" s="1148" t="str">
        <f>P11</f>
        <v>Steam boiler, Natural gas or biogas</v>
      </c>
      <c r="AF11" s="1154" t="s">
        <v>730</v>
      </c>
      <c r="AG11" s="381" t="s">
        <v>731</v>
      </c>
      <c r="AH11" s="382"/>
      <c r="AI11" s="1137">
        <v>0</v>
      </c>
      <c r="AJ11" s="1151">
        <v>1</v>
      </c>
      <c r="AK11" s="1137">
        <v>0</v>
      </c>
      <c r="AL11" s="1151">
        <v>1</v>
      </c>
      <c r="AM11" s="1137">
        <v>0</v>
      </c>
      <c r="AN11" s="1151">
        <v>1</v>
      </c>
      <c r="AO11" s="1137">
        <v>0</v>
      </c>
      <c r="AP11" s="1151">
        <v>1</v>
      </c>
      <c r="AQ11" s="1137">
        <v>0</v>
      </c>
      <c r="AR11" s="1151">
        <v>1</v>
      </c>
    </row>
    <row r="12" spans="1:44" ht="32.549999999999997" customHeight="1" outlineLevel="1">
      <c r="B12" s="383" t="s">
        <v>732</v>
      </c>
      <c r="C12" s="384">
        <f t="shared" ref="C12:J12" si="0">C11-1</f>
        <v>92</v>
      </c>
      <c r="D12" s="384">
        <f t="shared" si="0"/>
        <v>93</v>
      </c>
      <c r="E12" s="384">
        <f t="shared" si="0"/>
        <v>93</v>
      </c>
      <c r="F12" s="384">
        <f t="shared" si="0"/>
        <v>94</v>
      </c>
      <c r="G12" s="385">
        <f t="shared" si="0"/>
        <v>89</v>
      </c>
      <c r="H12" s="385">
        <f t="shared" si="0"/>
        <v>95</v>
      </c>
      <c r="I12" s="385">
        <f t="shared" si="0"/>
        <v>89</v>
      </c>
      <c r="J12" s="385">
        <f t="shared" si="0"/>
        <v>96</v>
      </c>
      <c r="K12" s="386"/>
      <c r="L12" s="387" t="s">
        <v>729</v>
      </c>
      <c r="M12" s="370"/>
      <c r="N12" s="370"/>
      <c r="O12" s="71"/>
      <c r="P12" s="1195"/>
      <c r="Q12" s="1155"/>
      <c r="R12" s="388" t="s">
        <v>733</v>
      </c>
      <c r="S12" s="389"/>
      <c r="T12" s="1140"/>
      <c r="U12" s="1152"/>
      <c r="V12" s="1140"/>
      <c r="W12" s="1152"/>
      <c r="X12" s="1140"/>
      <c r="Y12" s="1152"/>
      <c r="Z12" s="1140"/>
      <c r="AA12" s="1152"/>
      <c r="AB12" s="1140"/>
      <c r="AC12" s="1152"/>
      <c r="AE12" s="1195"/>
      <c r="AF12" s="1155"/>
      <c r="AG12" s="388" t="s">
        <v>733</v>
      </c>
      <c r="AH12" s="389"/>
      <c r="AI12" s="1140"/>
      <c r="AJ12" s="1152"/>
      <c r="AK12" s="1140"/>
      <c r="AL12" s="1152"/>
      <c r="AM12" s="1140"/>
      <c r="AN12" s="1152"/>
      <c r="AO12" s="1140"/>
      <c r="AP12" s="1152"/>
      <c r="AQ12" s="1140"/>
      <c r="AR12" s="1152"/>
    </row>
    <row r="13" spans="1:44" ht="15" outlineLevel="1" thickBot="1">
      <c r="B13" s="376" t="s">
        <v>734</v>
      </c>
      <c r="C13" s="390">
        <v>0.14000000000000001</v>
      </c>
      <c r="D13" s="391">
        <v>0.12</v>
      </c>
      <c r="E13" s="391">
        <v>0.11</v>
      </c>
      <c r="F13" s="392">
        <v>0.1</v>
      </c>
      <c r="G13" s="391">
        <v>0.1</v>
      </c>
      <c r="H13" s="391">
        <v>0.14000000000000001</v>
      </c>
      <c r="I13" s="391">
        <v>0.08</v>
      </c>
      <c r="J13" s="391">
        <v>0.12</v>
      </c>
      <c r="K13" s="379"/>
      <c r="L13" s="380">
        <v>3</v>
      </c>
      <c r="M13" s="370"/>
      <c r="N13" s="370"/>
      <c r="O13" s="71"/>
      <c r="P13" s="1195"/>
      <c r="Q13" s="1156"/>
      <c r="R13" s="393" t="s">
        <v>735</v>
      </c>
      <c r="S13" s="394"/>
      <c r="T13" s="1141"/>
      <c r="U13" s="1153"/>
      <c r="V13" s="1141"/>
      <c r="W13" s="1153"/>
      <c r="X13" s="1141"/>
      <c r="Y13" s="1153"/>
      <c r="Z13" s="1141"/>
      <c r="AA13" s="1153"/>
      <c r="AB13" s="1141"/>
      <c r="AC13" s="1153"/>
      <c r="AE13" s="1195"/>
      <c r="AF13" s="1156"/>
      <c r="AG13" s="393" t="s">
        <v>735</v>
      </c>
      <c r="AH13" s="394"/>
      <c r="AI13" s="1141"/>
      <c r="AJ13" s="1153"/>
      <c r="AK13" s="1141"/>
      <c r="AL13" s="1153"/>
      <c r="AM13" s="1141"/>
      <c r="AN13" s="1153"/>
      <c r="AO13" s="1141"/>
      <c r="AP13" s="1153"/>
      <c r="AQ13" s="1141"/>
      <c r="AR13" s="1153"/>
    </row>
    <row r="14" spans="1:44" outlineLevel="1">
      <c r="B14" s="376" t="s">
        <v>657</v>
      </c>
      <c r="C14" s="390">
        <v>1</v>
      </c>
      <c r="D14" s="390">
        <v>1</v>
      </c>
      <c r="E14" s="390">
        <v>1</v>
      </c>
      <c r="F14" s="390">
        <v>1</v>
      </c>
      <c r="G14" s="390">
        <v>0.08</v>
      </c>
      <c r="H14" s="390">
        <v>2</v>
      </c>
      <c r="I14" s="390">
        <v>0.08</v>
      </c>
      <c r="J14" s="390">
        <v>2</v>
      </c>
      <c r="K14" s="379"/>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37">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37">
        <v>1</v>
      </c>
    </row>
    <row r="15" spans="1:44" outlineLevel="1">
      <c r="B15" s="376" t="s">
        <v>658</v>
      </c>
      <c r="C15" s="390">
        <v>0.4</v>
      </c>
      <c r="D15" s="390">
        <v>0.4</v>
      </c>
      <c r="E15" s="390">
        <v>0.4</v>
      </c>
      <c r="F15" s="390">
        <v>0.4</v>
      </c>
      <c r="G15" s="390">
        <v>0.3</v>
      </c>
      <c r="H15" s="390">
        <v>0.6</v>
      </c>
      <c r="I15" s="390">
        <v>0.3</v>
      </c>
      <c r="J15" s="390">
        <v>0.6</v>
      </c>
      <c r="K15" s="379"/>
      <c r="L15" s="380">
        <v>3</v>
      </c>
      <c r="M15" s="367"/>
      <c r="N15" s="367"/>
      <c r="O15" s="71"/>
      <c r="P15" s="1195"/>
      <c r="Q15" s="1155"/>
      <c r="R15" s="395" t="s">
        <v>739</v>
      </c>
      <c r="S15" s="396" t="s">
        <v>738</v>
      </c>
      <c r="T15" s="1138"/>
      <c r="U15" s="1138"/>
      <c r="V15" s="1138"/>
      <c r="W15" s="1138"/>
      <c r="X15" s="1138"/>
      <c r="Y15" s="1138"/>
      <c r="Z15" s="1138"/>
      <c r="AA15" s="1138"/>
      <c r="AB15" s="1138"/>
      <c r="AC15" s="1138"/>
      <c r="AE15" s="1195"/>
      <c r="AF15" s="1155"/>
      <c r="AG15" s="395" t="s">
        <v>739</v>
      </c>
      <c r="AH15" s="396" t="s">
        <v>738</v>
      </c>
      <c r="AI15" s="1138"/>
      <c r="AJ15" s="1138"/>
      <c r="AK15" s="1138"/>
      <c r="AL15" s="1138"/>
      <c r="AM15" s="1138"/>
      <c r="AN15" s="1138"/>
      <c r="AO15" s="1138"/>
      <c r="AP15" s="1138"/>
      <c r="AQ15" s="1138"/>
      <c r="AR15" s="1138"/>
    </row>
    <row r="16" spans="1:44" outlineLevel="1">
      <c r="B16" s="383" t="s">
        <v>11</v>
      </c>
      <c r="C16" s="397">
        <v>25</v>
      </c>
      <c r="D16" s="397">
        <v>25</v>
      </c>
      <c r="E16" s="397">
        <v>25</v>
      </c>
      <c r="F16" s="397">
        <v>25</v>
      </c>
      <c r="G16" s="398">
        <v>25</v>
      </c>
      <c r="H16" s="398">
        <v>30</v>
      </c>
      <c r="I16" s="398">
        <v>25</v>
      </c>
      <c r="J16" s="398">
        <v>30</v>
      </c>
      <c r="K16" s="372"/>
      <c r="L16" s="373" t="s">
        <v>740</v>
      </c>
      <c r="M16" s="363"/>
      <c r="N16" s="363"/>
      <c r="P16" s="1195"/>
      <c r="Q16" s="1155"/>
      <c r="R16" s="395" t="s">
        <v>741</v>
      </c>
      <c r="S16" s="396" t="s">
        <v>738</v>
      </c>
      <c r="T16" s="1138"/>
      <c r="U16" s="1138"/>
      <c r="V16" s="1138"/>
      <c r="W16" s="1138"/>
      <c r="X16" s="1138"/>
      <c r="Y16" s="1138"/>
      <c r="Z16" s="1138"/>
      <c r="AA16" s="1138"/>
      <c r="AB16" s="1138"/>
      <c r="AC16" s="1138"/>
      <c r="AE16" s="1195"/>
      <c r="AF16" s="1155"/>
      <c r="AG16" s="395" t="s">
        <v>741</v>
      </c>
      <c r="AH16" s="396" t="s">
        <v>738</v>
      </c>
      <c r="AI16" s="1138"/>
      <c r="AJ16" s="1138"/>
      <c r="AK16" s="1138"/>
      <c r="AL16" s="1138"/>
      <c r="AM16" s="1138"/>
      <c r="AN16" s="1138"/>
      <c r="AO16" s="1138"/>
      <c r="AP16" s="1138"/>
      <c r="AQ16" s="1138"/>
      <c r="AR16" s="1138"/>
    </row>
    <row r="17" spans="1:44" ht="15" outlineLevel="1" thickBot="1">
      <c r="B17" s="376" t="s">
        <v>273</v>
      </c>
      <c r="C17" s="399">
        <v>0.5</v>
      </c>
      <c r="D17" s="399">
        <v>0.5</v>
      </c>
      <c r="E17" s="399">
        <v>0.5</v>
      </c>
      <c r="F17" s="399">
        <v>0.5</v>
      </c>
      <c r="G17" s="399">
        <v>0.2</v>
      </c>
      <c r="H17" s="399">
        <v>0.7</v>
      </c>
      <c r="I17" s="399">
        <v>0.2</v>
      </c>
      <c r="J17" s="399">
        <v>0.7</v>
      </c>
      <c r="K17" s="372"/>
      <c r="L17" s="400"/>
      <c r="M17" s="363"/>
      <c r="N17" s="363"/>
      <c r="P17" s="1195"/>
      <c r="Q17" s="1155"/>
      <c r="R17" s="395" t="s">
        <v>742</v>
      </c>
      <c r="S17" s="396" t="s">
        <v>738</v>
      </c>
      <c r="T17" s="1138"/>
      <c r="U17" s="1138"/>
      <c r="V17" s="1138"/>
      <c r="W17" s="1138"/>
      <c r="X17" s="1138"/>
      <c r="Y17" s="1138"/>
      <c r="Z17" s="1138"/>
      <c r="AA17" s="1138"/>
      <c r="AB17" s="1138"/>
      <c r="AC17" s="1138"/>
      <c r="AE17" s="1195"/>
      <c r="AF17" s="1155"/>
      <c r="AG17" s="395" t="s">
        <v>742</v>
      </c>
      <c r="AH17" s="396" t="s">
        <v>738</v>
      </c>
      <c r="AI17" s="1138"/>
      <c r="AJ17" s="1138"/>
      <c r="AK17" s="1138"/>
      <c r="AL17" s="1138"/>
      <c r="AM17" s="1138"/>
      <c r="AN17" s="1138"/>
      <c r="AO17" s="1138"/>
      <c r="AP17" s="1138"/>
      <c r="AQ17" s="1138"/>
      <c r="AR17" s="1138"/>
    </row>
    <row r="18" spans="1:44" ht="15" outlineLevel="1" thickBot="1">
      <c r="B18" s="401" t="s">
        <v>743</v>
      </c>
      <c r="C18" s="402"/>
      <c r="D18" s="403"/>
      <c r="E18" s="404"/>
      <c r="F18" s="405"/>
      <c r="G18" s="406"/>
      <c r="H18" s="406"/>
      <c r="I18" s="406"/>
      <c r="J18" s="406"/>
      <c r="K18" s="407"/>
      <c r="L18" s="408"/>
      <c r="M18" s="363"/>
      <c r="N18" s="363"/>
      <c r="P18" s="1195"/>
      <c r="Q18" s="1155"/>
      <c r="R18" s="409" t="s">
        <v>744</v>
      </c>
      <c r="S18" s="410" t="s">
        <v>738</v>
      </c>
      <c r="T18" s="1139"/>
      <c r="U18" s="1139"/>
      <c r="V18" s="1139"/>
      <c r="W18" s="1139"/>
      <c r="X18" s="1139"/>
      <c r="Y18" s="1139"/>
      <c r="Z18" s="1139"/>
      <c r="AA18" s="1139"/>
      <c r="AB18" s="1139"/>
      <c r="AC18" s="1139"/>
      <c r="AE18" s="1195"/>
      <c r="AF18" s="1155"/>
      <c r="AG18" s="409" t="s">
        <v>744</v>
      </c>
      <c r="AH18" s="410" t="s">
        <v>738</v>
      </c>
      <c r="AI18" s="1139"/>
      <c r="AJ18" s="1139"/>
      <c r="AK18" s="1139"/>
      <c r="AL18" s="1139"/>
      <c r="AM18" s="1139"/>
      <c r="AN18" s="1139"/>
      <c r="AO18" s="1139"/>
      <c r="AP18" s="1139"/>
      <c r="AQ18" s="1139"/>
      <c r="AR18" s="1139"/>
    </row>
    <row r="19" spans="1:44" ht="29.4" outlineLevel="1" thickBot="1">
      <c r="B19" s="376" t="s">
        <v>663</v>
      </c>
      <c r="C19" s="390">
        <v>15</v>
      </c>
      <c r="D19" s="390">
        <v>15</v>
      </c>
      <c r="E19" s="390">
        <v>15</v>
      </c>
      <c r="F19" s="390">
        <v>15</v>
      </c>
      <c r="G19" s="391"/>
      <c r="H19" s="391"/>
      <c r="I19" s="391"/>
      <c r="J19" s="391"/>
      <c r="K19" s="379"/>
      <c r="L19" s="380">
        <v>3</v>
      </c>
      <c r="M19" s="363"/>
      <c r="N19" s="363"/>
      <c r="P19" s="1196"/>
      <c r="Q19" s="411" t="s">
        <v>745</v>
      </c>
      <c r="R19" s="412" t="s">
        <v>746</v>
      </c>
      <c r="S19" s="413" t="s">
        <v>738</v>
      </c>
      <c r="T19" s="414">
        <v>1</v>
      </c>
      <c r="U19" s="415">
        <v>1</v>
      </c>
      <c r="V19" s="416">
        <v>1</v>
      </c>
      <c r="W19" s="415">
        <v>1</v>
      </c>
      <c r="X19" s="416">
        <v>1</v>
      </c>
      <c r="Y19" s="415">
        <v>1</v>
      </c>
      <c r="Z19" s="416">
        <v>1</v>
      </c>
      <c r="AA19" s="415">
        <v>1</v>
      </c>
      <c r="AB19" s="416">
        <v>1</v>
      </c>
      <c r="AC19" s="417">
        <v>1</v>
      </c>
      <c r="AE19" s="1196"/>
      <c r="AF19" s="411" t="s">
        <v>745</v>
      </c>
      <c r="AG19" s="412" t="s">
        <v>746</v>
      </c>
      <c r="AH19" s="413" t="s">
        <v>738</v>
      </c>
      <c r="AI19" s="414">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15.6" outlineLevel="1">
      <c r="B23" s="383" t="s">
        <v>747</v>
      </c>
      <c r="C23" s="397">
        <v>0.3</v>
      </c>
      <c r="D23" s="397">
        <v>0.3</v>
      </c>
      <c r="E23" s="397">
        <v>0.3</v>
      </c>
      <c r="F23" s="397">
        <v>0.3</v>
      </c>
      <c r="G23" s="422"/>
      <c r="H23" s="425"/>
      <c r="I23" s="425"/>
      <c r="J23" s="425"/>
      <c r="K23" s="426" t="s">
        <v>16</v>
      </c>
      <c r="L23" s="427" t="s">
        <v>748</v>
      </c>
      <c r="M23" s="428"/>
      <c r="N23" s="428"/>
    </row>
    <row r="24" spans="1:44" outlineLevel="1">
      <c r="B24" s="383" t="s">
        <v>749</v>
      </c>
      <c r="C24" s="397">
        <v>0.1</v>
      </c>
      <c r="D24" s="397">
        <v>0.1</v>
      </c>
      <c r="E24" s="397">
        <v>0.1</v>
      </c>
      <c r="F24" s="397">
        <v>0.1</v>
      </c>
      <c r="G24" s="425"/>
      <c r="H24" s="425"/>
      <c r="I24" s="425"/>
      <c r="J24" s="425"/>
      <c r="K24" s="423"/>
      <c r="L24" s="427">
        <v>9</v>
      </c>
      <c r="M24" s="428"/>
      <c r="N24" s="428"/>
    </row>
    <row r="25" spans="1:44" ht="15.6" outlineLevel="1">
      <c r="B25" s="383" t="s">
        <v>750</v>
      </c>
      <c r="C25" s="397">
        <v>9</v>
      </c>
      <c r="D25" s="397">
        <v>7</v>
      </c>
      <c r="E25" s="397">
        <v>6</v>
      </c>
      <c r="F25" s="397">
        <v>6</v>
      </c>
      <c r="G25" s="425"/>
      <c r="H25" s="425"/>
      <c r="I25" s="425"/>
      <c r="J25" s="425"/>
      <c r="K25" s="423"/>
      <c r="L25" s="427" t="s">
        <v>748</v>
      </c>
      <c r="M25" s="428"/>
      <c r="N25" s="428"/>
      <c r="T25" s="224">
        <f>C$23</f>
        <v>0.3</v>
      </c>
      <c r="U25" s="224">
        <f t="shared" ref="U25:V25" si="1">D$23</f>
        <v>0.3</v>
      </c>
      <c r="V25" s="224">
        <f t="shared" si="1"/>
        <v>0.3</v>
      </c>
    </row>
    <row r="26" spans="1:44" outlineLevel="1">
      <c r="B26" s="383" t="s">
        <v>366</v>
      </c>
      <c r="C26" s="397">
        <v>3</v>
      </c>
      <c r="D26" s="397">
        <v>2</v>
      </c>
      <c r="E26" s="397">
        <v>2</v>
      </c>
      <c r="F26" s="397">
        <v>2</v>
      </c>
      <c r="G26" s="425"/>
      <c r="H26" s="425"/>
      <c r="I26" s="425"/>
      <c r="J26" s="425"/>
      <c r="K26" s="423"/>
      <c r="L26" s="427" t="s">
        <v>748</v>
      </c>
      <c r="M26" s="428"/>
      <c r="N26" s="428"/>
    </row>
    <row r="27" spans="1:44" ht="15" outlineLevel="1" thickBot="1">
      <c r="B27" s="429" t="s">
        <v>367</v>
      </c>
      <c r="C27" s="430">
        <v>1</v>
      </c>
      <c r="D27" s="430">
        <v>1</v>
      </c>
      <c r="E27" s="430">
        <v>1</v>
      </c>
      <c r="F27" s="430">
        <v>1</v>
      </c>
      <c r="G27" s="425"/>
      <c r="H27" s="425"/>
      <c r="I27" s="425"/>
      <c r="J27" s="425"/>
      <c r="K27" s="423"/>
      <c r="L27" s="427" t="s">
        <v>748</v>
      </c>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t="s">
        <v>797</v>
      </c>
      <c r="B29" s="436" t="s">
        <v>751</v>
      </c>
      <c r="C29" s="437">
        <f>0.06/1.1</f>
        <v>5.4545454545454536E-2</v>
      </c>
      <c r="D29" s="438">
        <f>0.05/1.1</f>
        <v>4.5454545454545456E-2</v>
      </c>
      <c r="E29" s="438">
        <f>0.05/1.1</f>
        <v>4.5454545454545456E-2</v>
      </c>
      <c r="F29" s="439">
        <f>0.05/1.1</f>
        <v>4.5454545454545456E-2</v>
      </c>
      <c r="G29" s="425"/>
      <c r="H29" s="425"/>
      <c r="I29" s="425"/>
      <c r="J29" s="425"/>
      <c r="K29" s="426" t="s">
        <v>20</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f>100-C30</f>
        <v>40</v>
      </c>
      <c r="D31" s="442">
        <f>100-D30</f>
        <v>40</v>
      </c>
      <c r="E31" s="442">
        <f>100-E30</f>
        <v>40</v>
      </c>
      <c r="F31" s="442">
        <f>100-F30</f>
        <v>40</v>
      </c>
      <c r="G31" s="425"/>
      <c r="H31" s="425"/>
      <c r="I31" s="425"/>
      <c r="J31" s="425"/>
      <c r="K31" s="444"/>
      <c r="L31" s="373">
        <v>3</v>
      </c>
      <c r="M31" s="420"/>
      <c r="N31" s="420"/>
    </row>
    <row r="32" spans="1:44" ht="26.4" outlineLevel="1">
      <c r="B32" s="383" t="s">
        <v>756</v>
      </c>
      <c r="C32" s="445">
        <f>2000/1000</f>
        <v>2</v>
      </c>
      <c r="D32" s="446">
        <f>1900/1000</f>
        <v>1.9</v>
      </c>
      <c r="E32" s="446">
        <f>1800/1000</f>
        <v>1.8</v>
      </c>
      <c r="F32" s="447">
        <f>1700/1000</f>
        <v>1.7</v>
      </c>
      <c r="G32" s="425"/>
      <c r="H32" s="425"/>
      <c r="I32" s="425"/>
      <c r="J32" s="425"/>
      <c r="K32" s="448"/>
      <c r="L32" s="373">
        <v>3</v>
      </c>
      <c r="M32" s="420"/>
      <c r="N32" s="420"/>
    </row>
    <row r="33" spans="2:30" ht="37.049999999999997" customHeight="1" outlineLevel="1" thickBot="1">
      <c r="B33" s="383" t="s">
        <v>757</v>
      </c>
      <c r="C33" s="449">
        <f>1.1/3.6</f>
        <v>0.30555555555555558</v>
      </c>
      <c r="D33" s="449">
        <f>1/3.6</f>
        <v>0.27777777777777779</v>
      </c>
      <c r="E33" s="449">
        <f>1/3.6</f>
        <v>0.27777777777777779</v>
      </c>
      <c r="F33" s="449">
        <f>1/3.6</f>
        <v>0.27777777777777779</v>
      </c>
      <c r="G33" s="425"/>
      <c r="H33" s="425"/>
      <c r="I33" s="425"/>
      <c r="J33" s="425"/>
      <c r="K33" s="448"/>
      <c r="L33" s="373">
        <v>3</v>
      </c>
      <c r="M33" s="450"/>
      <c r="N33" s="361"/>
      <c r="P33" s="1142">
        <f>C33</f>
        <v>0.30555555555555558</v>
      </c>
      <c r="Q33" s="1143"/>
      <c r="R33" s="1143"/>
      <c r="S33" s="1143"/>
      <c r="T33" s="1143"/>
      <c r="U33" s="1144"/>
    </row>
    <row r="34" spans="2:30" ht="15.75" customHeight="1" outlineLevel="1" thickBot="1">
      <c r="B34" s="451" t="s">
        <v>758</v>
      </c>
      <c r="C34" s="452">
        <f>C13/100*73</f>
        <v>0.10220000000000001</v>
      </c>
      <c r="D34" s="452">
        <f>D13/100*75</f>
        <v>0.09</v>
      </c>
      <c r="E34" s="452">
        <f>E13/100*76</f>
        <v>8.3600000000000008E-2</v>
      </c>
      <c r="F34" s="452">
        <f>F13/100*76</f>
        <v>7.5999999999999998E-2</v>
      </c>
      <c r="G34" s="453"/>
      <c r="H34" s="453"/>
      <c r="I34" s="453"/>
      <c r="J34" s="453"/>
      <c r="K34" s="379" t="s">
        <v>76</v>
      </c>
      <c r="L34" s="380">
        <v>3</v>
      </c>
      <c r="M34" s="450"/>
      <c r="N34" s="361"/>
      <c r="P34" s="1134">
        <f>C34</f>
        <v>0.10220000000000001</v>
      </c>
      <c r="Q34" s="1135"/>
      <c r="R34" s="1135"/>
      <c r="S34" s="1135"/>
      <c r="T34" s="1135"/>
      <c r="U34" s="1136"/>
    </row>
    <row r="35" spans="2:30" outlineLevel="1">
      <c r="B35" s="451" t="s">
        <v>759</v>
      </c>
      <c r="C35" s="454">
        <f>C33-C34</f>
        <v>0.20335555555555557</v>
      </c>
      <c r="D35" s="454">
        <f>D33-D34</f>
        <v>0.18777777777777779</v>
      </c>
      <c r="E35" s="454">
        <f>E33-E34</f>
        <v>0.19417777777777778</v>
      </c>
      <c r="F35" s="454">
        <f>F33-F34</f>
        <v>0.20177777777777778</v>
      </c>
      <c r="G35" s="453"/>
      <c r="H35" s="453"/>
      <c r="I35" s="453"/>
      <c r="J35" s="453"/>
      <c r="K35" s="455"/>
      <c r="L35" s="380">
        <v>3</v>
      </c>
      <c r="M35" s="363"/>
      <c r="N35" s="363"/>
      <c r="P35" s="53" t="s">
        <v>357</v>
      </c>
    </row>
    <row r="36" spans="2:30" ht="27.6"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25</v>
      </c>
      <c r="L39" s="464"/>
      <c r="M39" s="363"/>
      <c r="N39" s="363"/>
      <c r="O39" s="465">
        <f>C12</f>
        <v>92</v>
      </c>
      <c r="P39" s="466">
        <f>C8</f>
        <v>2020</v>
      </c>
      <c r="Q39" s="58">
        <f>P39</f>
        <v>2020</v>
      </c>
      <c r="R39" s="466">
        <f>O39/100</f>
        <v>0.92</v>
      </c>
      <c r="S39" s="58"/>
      <c r="T39" s="466">
        <f>C16</f>
        <v>25</v>
      </c>
      <c r="U39" s="467">
        <f>C46</f>
        <v>406.36363636363632</v>
      </c>
      <c r="V39" s="467">
        <f>C48</f>
        <v>14.9</v>
      </c>
      <c r="W39" s="467">
        <f>C49</f>
        <v>2.276388888888889</v>
      </c>
      <c r="X39" s="58"/>
      <c r="Y39" s="58"/>
      <c r="Z39" s="466">
        <f>C23</f>
        <v>0.3</v>
      </c>
      <c r="AA39" s="468">
        <f>C25</f>
        <v>9</v>
      </c>
      <c r="AB39" s="468">
        <f>C26</f>
        <v>3</v>
      </c>
      <c r="AC39" s="468">
        <f>C27</f>
        <v>1</v>
      </c>
      <c r="AD39" s="468">
        <f>C24</f>
        <v>0.1</v>
      </c>
    </row>
    <row r="40" spans="2:30" ht="14.55" customHeight="1" outlineLevel="1">
      <c r="B40" s="376" t="s">
        <v>763</v>
      </c>
      <c r="C40" s="469" t="s">
        <v>36</v>
      </c>
      <c r="D40" s="470" t="s">
        <v>36</v>
      </c>
      <c r="E40" s="470" t="s">
        <v>36</v>
      </c>
      <c r="F40" s="471" t="s">
        <v>36</v>
      </c>
      <c r="G40" s="471"/>
      <c r="H40" s="471"/>
      <c r="I40" s="471"/>
      <c r="J40" s="471"/>
      <c r="K40" s="472" t="s">
        <v>25</v>
      </c>
      <c r="L40" s="464"/>
      <c r="M40" s="363"/>
      <c r="N40" s="363"/>
      <c r="O40" s="465">
        <f>D12</f>
        <v>93</v>
      </c>
      <c r="P40" s="466">
        <f>D8</f>
        <v>2030</v>
      </c>
      <c r="Q40" s="58"/>
      <c r="R40" s="466">
        <f>O40/100</f>
        <v>0.93</v>
      </c>
      <c r="S40" s="58"/>
      <c r="T40" s="466">
        <f>D16</f>
        <v>25</v>
      </c>
      <c r="U40" s="467">
        <f>D46</f>
        <v>338.63636363636368</v>
      </c>
      <c r="V40" s="467">
        <f>D48</f>
        <v>14.154999999999999</v>
      </c>
      <c r="W40" s="467">
        <f>D49</f>
        <v>2.0694444444444446</v>
      </c>
      <c r="X40" s="58"/>
      <c r="Y40" s="58"/>
      <c r="Z40" s="466">
        <f>D23</f>
        <v>0.3</v>
      </c>
      <c r="AA40" s="468">
        <f>D25</f>
        <v>7</v>
      </c>
      <c r="AB40" s="468">
        <f>D26</f>
        <v>2</v>
      </c>
      <c r="AC40" s="468">
        <f>D27</f>
        <v>1</v>
      </c>
      <c r="AD40" s="468">
        <f>D24</f>
        <v>0.1</v>
      </c>
    </row>
    <row r="41" spans="2:30" outlineLevel="1">
      <c r="B41" s="376" t="s">
        <v>764</v>
      </c>
      <c r="C41" s="469" t="s">
        <v>36</v>
      </c>
      <c r="D41" s="470" t="s">
        <v>36</v>
      </c>
      <c r="E41" s="470" t="s">
        <v>36</v>
      </c>
      <c r="F41" s="471" t="s">
        <v>36</v>
      </c>
      <c r="G41" s="453"/>
      <c r="H41" s="453"/>
      <c r="I41" s="453"/>
      <c r="J41" s="453"/>
      <c r="K41" s="453"/>
      <c r="L41" s="380"/>
      <c r="M41" s="363"/>
      <c r="N41" s="363"/>
      <c r="O41" s="465">
        <f>E12</f>
        <v>93</v>
      </c>
      <c r="P41" s="466">
        <f>E8</f>
        <v>2040</v>
      </c>
      <c r="Q41" s="58"/>
      <c r="R41" s="466">
        <f>O41/100</f>
        <v>0.93</v>
      </c>
      <c r="S41" s="58"/>
      <c r="T41" s="466">
        <f>E16</f>
        <v>25</v>
      </c>
      <c r="U41" s="467">
        <f>E46</f>
        <v>338.63636363636368</v>
      </c>
      <c r="V41" s="467">
        <f>E48</f>
        <v>13.41</v>
      </c>
      <c r="W41" s="467">
        <f>E49</f>
        <v>2.0694444444444446</v>
      </c>
      <c r="X41" s="58"/>
      <c r="Y41" s="58"/>
      <c r="Z41" s="466">
        <f>E23</f>
        <v>0.3</v>
      </c>
      <c r="AA41" s="468">
        <f>E25</f>
        <v>6</v>
      </c>
      <c r="AB41" s="468">
        <f>E26</f>
        <v>2</v>
      </c>
      <c r="AC41" s="468">
        <f>E27</f>
        <v>1</v>
      </c>
      <c r="AD41" s="468">
        <f>E24</f>
        <v>0.1</v>
      </c>
    </row>
    <row r="42" spans="2:30" outlineLevel="1">
      <c r="B42" s="376" t="s">
        <v>765</v>
      </c>
      <c r="C42" s="473">
        <v>90</v>
      </c>
      <c r="D42" s="473">
        <v>90</v>
      </c>
      <c r="E42" s="473">
        <v>90</v>
      </c>
      <c r="F42" s="473">
        <v>90</v>
      </c>
      <c r="G42" s="474"/>
      <c r="H42" s="474"/>
      <c r="I42" s="474"/>
      <c r="J42" s="474"/>
      <c r="K42" s="474"/>
      <c r="L42" s="380">
        <v>3</v>
      </c>
      <c r="M42" s="363"/>
      <c r="N42" s="363"/>
      <c r="O42" s="465">
        <f>F12</f>
        <v>94</v>
      </c>
      <c r="P42" s="466">
        <f>F8</f>
        <v>2050</v>
      </c>
      <c r="Q42" s="58"/>
      <c r="R42" s="466">
        <f>O42/100</f>
        <v>0.94</v>
      </c>
      <c r="S42" s="58"/>
      <c r="T42" s="466">
        <f>F16</f>
        <v>25</v>
      </c>
      <c r="U42" s="467">
        <f>F46</f>
        <v>338.63636363636368</v>
      </c>
      <c r="V42" s="467">
        <f>F48</f>
        <v>12.664999999999999</v>
      </c>
      <c r="W42" s="467">
        <f>F49</f>
        <v>2.0694444444444446</v>
      </c>
      <c r="X42" s="58"/>
      <c r="Y42" s="58"/>
      <c r="Z42" s="466">
        <f>F23</f>
        <v>0.3</v>
      </c>
      <c r="AA42" s="468">
        <f>F25</f>
        <v>6</v>
      </c>
      <c r="AB42" s="468">
        <f>F26</f>
        <v>2</v>
      </c>
      <c r="AC42" s="468">
        <f>F27</f>
        <v>1</v>
      </c>
      <c r="AD42" s="468">
        <f>F24</f>
        <v>0.1</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406.36363636363632</v>
      </c>
      <c r="D46" s="483">
        <f t="shared" ref="D46:F46" si="2">D29*$F$4*1000</f>
        <v>338.63636363636368</v>
      </c>
      <c r="E46" s="483">
        <f t="shared" si="2"/>
        <v>338.63636363636368</v>
      </c>
      <c r="F46" s="483">
        <f t="shared" si="2"/>
        <v>338.63636363636368</v>
      </c>
      <c r="G46" s="483"/>
      <c r="H46" s="484"/>
      <c r="I46" s="420" t="s">
        <v>332</v>
      </c>
      <c r="J46" s="420"/>
      <c r="K46" s="484"/>
      <c r="L46" s="484"/>
      <c r="N46" s="420"/>
    </row>
    <row r="47" spans="2:30" outlineLevel="1">
      <c r="B47" s="485" t="s">
        <v>770</v>
      </c>
      <c r="C47" s="486">
        <f>C46*$I47</f>
        <v>203181.81818181815</v>
      </c>
      <c r="D47" s="486">
        <f>D46*$I47</f>
        <v>169318.18181818185</v>
      </c>
      <c r="E47" s="486">
        <f>E46*$I47</f>
        <v>169318.18181818185</v>
      </c>
      <c r="F47" s="486">
        <f>F46*$I47</f>
        <v>169318.18181818185</v>
      </c>
      <c r="G47" s="486"/>
      <c r="H47" s="484"/>
      <c r="I47" s="71">
        <v>500</v>
      </c>
      <c r="J47" s="420" t="s">
        <v>330</v>
      </c>
      <c r="K47" s="484"/>
      <c r="L47" s="484"/>
      <c r="N47" s="420"/>
    </row>
    <row r="48" spans="2:30" ht="43.2" outlineLevel="1">
      <c r="B48" s="461" t="s">
        <v>771</v>
      </c>
      <c r="C48" s="359">
        <f>C32*$F$4</f>
        <v>14.9</v>
      </c>
      <c r="D48" s="359">
        <f t="shared" ref="D48:F49" si="3">D32*$F$4</f>
        <v>14.154999999999999</v>
      </c>
      <c r="E48" s="359">
        <f t="shared" si="3"/>
        <v>13.41</v>
      </c>
      <c r="F48" s="359">
        <f t="shared" si="3"/>
        <v>12.664999999999999</v>
      </c>
      <c r="G48" s="359"/>
      <c r="I48" s="420" t="s">
        <v>333</v>
      </c>
      <c r="J48" s="420"/>
      <c r="N48" s="420"/>
    </row>
    <row r="49" spans="2:20" ht="43.2" outlineLevel="1">
      <c r="B49" s="461" t="s">
        <v>772</v>
      </c>
      <c r="C49" s="487">
        <f>C33*$F$4</f>
        <v>2.276388888888889</v>
      </c>
      <c r="D49" s="487">
        <f t="shared" si="3"/>
        <v>2.0694444444444446</v>
      </c>
      <c r="E49" s="487">
        <f t="shared" si="3"/>
        <v>2.0694444444444446</v>
      </c>
      <c r="F49" s="487">
        <f t="shared" si="3"/>
        <v>2.0694444444444446</v>
      </c>
      <c r="G49" s="359"/>
      <c r="M49" s="420"/>
      <c r="N49" s="420"/>
    </row>
    <row r="50" spans="2:20" outlineLevel="1"/>
    <row r="51" spans="2:20" outlineLevel="1"/>
    <row r="52" spans="2:20" outlineLevel="1"/>
    <row r="53" spans="2:20" outlineLevel="1"/>
    <row r="54" spans="2:20" outlineLevel="1">
      <c r="B54" s="488" t="s">
        <v>773</v>
      </c>
      <c r="C54" s="489"/>
      <c r="D54" s="490"/>
      <c r="E54" s="490"/>
      <c r="F54" s="490"/>
    </row>
    <row r="55" spans="2:20" outlineLevel="1">
      <c r="B55" s="491">
        <v>1</v>
      </c>
      <c r="C55" s="492" t="s">
        <v>774</v>
      </c>
      <c r="E55" s="490"/>
      <c r="F55" s="490"/>
    </row>
    <row r="56" spans="2:20" outlineLevel="1">
      <c r="B56" s="491">
        <v>2</v>
      </c>
      <c r="C56" s="493" t="s">
        <v>775</v>
      </c>
      <c r="E56" s="490"/>
      <c r="F56" s="490"/>
    </row>
    <row r="57" spans="2:20" outlineLevel="1">
      <c r="B57" s="491">
        <v>3</v>
      </c>
      <c r="C57" s="493" t="s">
        <v>776</v>
      </c>
      <c r="E57" s="490"/>
      <c r="F57" s="490"/>
    </row>
    <row r="58" spans="2:20" outlineLevel="1">
      <c r="B58" s="491">
        <v>4</v>
      </c>
      <c r="C58" s="493" t="s">
        <v>777</v>
      </c>
      <c r="E58" s="490"/>
      <c r="F58" s="490"/>
    </row>
    <row r="59" spans="2:20" outlineLevel="1">
      <c r="B59" s="358">
        <v>5</v>
      </c>
      <c r="C59" s="494" t="s">
        <v>778</v>
      </c>
      <c r="D59" s="490"/>
      <c r="E59" s="490"/>
      <c r="F59" s="490"/>
      <c r="T59" s="224" t="s">
        <v>798</v>
      </c>
    </row>
    <row r="60" spans="2:20" outlineLevel="1">
      <c r="B60" s="358">
        <v>6</v>
      </c>
      <c r="C60" s="492" t="s">
        <v>779</v>
      </c>
      <c r="D60" s="490"/>
      <c r="E60" s="490"/>
      <c r="F60" s="490"/>
    </row>
    <row r="61" spans="2:20" outlineLevel="1">
      <c r="B61" s="358">
        <v>7</v>
      </c>
      <c r="C61" s="495" t="s">
        <v>774</v>
      </c>
      <c r="D61" s="490"/>
      <c r="E61" s="490"/>
      <c r="F61" s="490"/>
    </row>
    <row r="62" spans="2:20" outlineLevel="1">
      <c r="B62" s="358">
        <v>8</v>
      </c>
      <c r="C62" s="495" t="s">
        <v>780</v>
      </c>
      <c r="D62" s="490"/>
      <c r="E62" s="490"/>
      <c r="F62" s="490"/>
    </row>
    <row r="63" spans="2:20" outlineLevel="1">
      <c r="B63" s="358">
        <v>9</v>
      </c>
      <c r="C63" s="489" t="s">
        <v>781</v>
      </c>
      <c r="D63" s="490"/>
      <c r="E63" s="490"/>
      <c r="F63" s="490"/>
    </row>
    <row r="64" spans="2:20" outlineLevel="1">
      <c r="B64" s="358">
        <v>10</v>
      </c>
      <c r="C64" s="490" t="s">
        <v>782</v>
      </c>
      <c r="D64" s="490"/>
      <c r="E64" s="490"/>
      <c r="F64" s="490"/>
    </row>
    <row r="65" spans="2:6" outlineLevel="1">
      <c r="B65" s="488" t="s">
        <v>783</v>
      </c>
      <c r="C65" s="489"/>
      <c r="D65" s="490"/>
      <c r="E65" s="490"/>
      <c r="F65" s="490"/>
    </row>
    <row r="66" spans="2:6" outlineLevel="1">
      <c r="B66" s="496" t="s">
        <v>6</v>
      </c>
      <c r="C66" s="497" t="s">
        <v>784</v>
      </c>
      <c r="E66" s="490"/>
      <c r="F66" s="490"/>
    </row>
    <row r="67" spans="2:6" outlineLevel="1">
      <c r="B67" s="496" t="s">
        <v>59</v>
      </c>
      <c r="C67" s="489" t="s">
        <v>785</v>
      </c>
      <c r="E67" s="490"/>
      <c r="F67" s="490"/>
    </row>
    <row r="68" spans="2:6" outlineLevel="1">
      <c r="B68" s="496" t="s">
        <v>16</v>
      </c>
      <c r="C68" s="489" t="s">
        <v>786</v>
      </c>
      <c r="E68" s="490"/>
      <c r="F68" s="490"/>
    </row>
    <row r="69" spans="2:6" outlineLevel="1">
      <c r="B69" s="496" t="s">
        <v>20</v>
      </c>
      <c r="C69" s="489" t="s">
        <v>787</v>
      </c>
      <c r="E69" s="490"/>
      <c r="F69" s="490"/>
    </row>
    <row r="70" spans="2:6" outlineLevel="1">
      <c r="B70" s="496" t="s">
        <v>76</v>
      </c>
      <c r="C70" s="498" t="s">
        <v>788</v>
      </c>
      <c r="E70" s="490"/>
      <c r="F70" s="490"/>
    </row>
    <row r="71" spans="2:6" outlineLevel="1">
      <c r="B71" s="496" t="s">
        <v>25</v>
      </c>
      <c r="C71" s="489" t="s">
        <v>789</v>
      </c>
      <c r="E71" s="490"/>
      <c r="F71" s="490"/>
    </row>
    <row r="72" spans="2:6" outlineLevel="1"/>
    <row r="73" spans="2:6" outlineLevel="1"/>
    <row r="74" spans="2:6" outlineLevel="1"/>
    <row r="75" spans="2:6" outlineLevel="1"/>
    <row r="76" spans="2:6" outlineLevel="1"/>
    <row r="77" spans="2:6" outlineLevel="1"/>
    <row r="78" spans="2:6" outlineLevel="1"/>
    <row r="79" spans="2:6" outlineLevel="1"/>
    <row r="80" spans="2:6" outlineLevel="1"/>
    <row r="81" spans="1:44" outlineLevel="1"/>
    <row r="84" spans="1:44">
      <c r="A84" s="360" t="s">
        <v>799</v>
      </c>
      <c r="B84" s="1207"/>
      <c r="C84" s="1143"/>
      <c r="D84" s="1143"/>
      <c r="E84" s="1143"/>
      <c r="F84" s="1143"/>
      <c r="G84" s="1143"/>
      <c r="H84" s="1143"/>
      <c r="I84" s="1143"/>
      <c r="J84" s="1143"/>
      <c r="K84" s="1143"/>
      <c r="L84" s="1143"/>
      <c r="M84" s="1143"/>
      <c r="N84" s="361"/>
      <c r="P84" s="1143"/>
      <c r="Q84" s="1143"/>
      <c r="R84" s="1143"/>
      <c r="S84" s="1143"/>
      <c r="T84" s="1143"/>
      <c r="U84" s="1143"/>
    </row>
    <row r="85" spans="1:44" ht="15"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5" customHeight="1" outlineLevel="1" thickBot="1">
      <c r="B86" s="362" t="s">
        <v>0</v>
      </c>
      <c r="C86" s="1186" t="s">
        <v>800</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29.4" outlineLevel="1" thickBot="1">
      <c r="B89" s="371" t="s">
        <v>651</v>
      </c>
      <c r="C89" s="372">
        <v>20</v>
      </c>
      <c r="D89" s="372">
        <v>20</v>
      </c>
      <c r="E89" s="372">
        <v>20</v>
      </c>
      <c r="F89" s="372">
        <v>20</v>
      </c>
      <c r="G89" s="372">
        <v>1</v>
      </c>
      <c r="H89" s="372">
        <v>50</v>
      </c>
      <c r="I89" s="372">
        <v>1</v>
      </c>
      <c r="J89" s="372">
        <v>50</v>
      </c>
      <c r="K89" s="372" t="s">
        <v>6</v>
      </c>
      <c r="L89" s="373" t="s">
        <v>725</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outlineLevel="1">
      <c r="B90" s="500" t="s">
        <v>728</v>
      </c>
      <c r="C90" s="501">
        <v>103</v>
      </c>
      <c r="D90" s="501">
        <v>104</v>
      </c>
      <c r="E90" s="502">
        <v>104</v>
      </c>
      <c r="F90" s="501">
        <v>104</v>
      </c>
      <c r="G90" s="501">
        <v>95</v>
      </c>
      <c r="H90" s="501">
        <v>106</v>
      </c>
      <c r="I90" s="501">
        <v>96</v>
      </c>
      <c r="J90" s="501">
        <v>107</v>
      </c>
      <c r="K90" s="503"/>
      <c r="L90" s="504" t="s">
        <v>801</v>
      </c>
      <c r="M90" s="370"/>
      <c r="N90" s="370"/>
      <c r="P90" s="1148" t="str">
        <f>C86</f>
        <v>Steam boiler, Natural gas or biogas (Condensing)</v>
      </c>
      <c r="Q90" s="1154" t="s">
        <v>730</v>
      </c>
      <c r="R90" s="381" t="s">
        <v>731</v>
      </c>
      <c r="S90" s="382"/>
      <c r="T90" s="1137">
        <v>0</v>
      </c>
      <c r="U90" s="1151">
        <v>0</v>
      </c>
      <c r="V90" s="1137">
        <v>0</v>
      </c>
      <c r="W90" s="1151">
        <v>0</v>
      </c>
      <c r="X90" s="1137">
        <v>0</v>
      </c>
      <c r="Y90" s="1151">
        <v>0</v>
      </c>
      <c r="Z90" s="1137">
        <v>0</v>
      </c>
      <c r="AA90" s="1151">
        <v>0</v>
      </c>
      <c r="AB90" s="1137">
        <v>0</v>
      </c>
      <c r="AC90" s="1151">
        <v>0</v>
      </c>
      <c r="AE90" s="1148" t="str">
        <f>P90</f>
        <v>Steam boiler, Natural gas or biogas (Condensing)</v>
      </c>
      <c r="AF90" s="1154" t="s">
        <v>730</v>
      </c>
      <c r="AG90" s="381" t="s">
        <v>731</v>
      </c>
      <c r="AH90" s="382"/>
      <c r="AI90" s="1137">
        <v>0</v>
      </c>
      <c r="AJ90" s="1151">
        <v>0</v>
      </c>
      <c r="AK90" s="1137">
        <v>0</v>
      </c>
      <c r="AL90" s="1151">
        <v>0</v>
      </c>
      <c r="AM90" s="1137">
        <v>0</v>
      </c>
      <c r="AN90" s="1151">
        <v>0</v>
      </c>
      <c r="AO90" s="1137">
        <v>0</v>
      </c>
      <c r="AP90" s="1151">
        <v>0</v>
      </c>
      <c r="AQ90" s="1137">
        <v>0</v>
      </c>
      <c r="AR90" s="1151">
        <v>0</v>
      </c>
    </row>
    <row r="91" spans="1:44" outlineLevel="1">
      <c r="B91" s="383" t="s">
        <v>732</v>
      </c>
      <c r="C91" s="384">
        <f>C90-2</f>
        <v>101</v>
      </c>
      <c r="D91" s="384">
        <f t="shared" ref="D91:J91" si="4">D90-1</f>
        <v>103</v>
      </c>
      <c r="E91" s="384">
        <f t="shared" si="4"/>
        <v>103</v>
      </c>
      <c r="F91" s="384">
        <f t="shared" si="4"/>
        <v>103</v>
      </c>
      <c r="G91" s="505">
        <f t="shared" si="4"/>
        <v>94</v>
      </c>
      <c r="H91" s="505">
        <f t="shared" si="4"/>
        <v>105</v>
      </c>
      <c r="I91" s="505">
        <f t="shared" si="4"/>
        <v>95</v>
      </c>
      <c r="J91" s="505">
        <f t="shared" si="4"/>
        <v>106</v>
      </c>
      <c r="K91" s="372"/>
      <c r="L91" s="373" t="s">
        <v>729</v>
      </c>
      <c r="M91" s="370"/>
      <c r="N91" s="370"/>
      <c r="O91" s="71"/>
      <c r="P91" s="1195"/>
      <c r="Q91" s="1155"/>
      <c r="R91" s="388" t="s">
        <v>733</v>
      </c>
      <c r="S91" s="389"/>
      <c r="T91" s="1140"/>
      <c r="U91" s="1152"/>
      <c r="V91" s="1140"/>
      <c r="W91" s="1152"/>
      <c r="X91" s="1140"/>
      <c r="Y91" s="1152"/>
      <c r="Z91" s="1140"/>
      <c r="AA91" s="1152"/>
      <c r="AB91" s="1140"/>
      <c r="AC91" s="1152"/>
      <c r="AE91" s="1195"/>
      <c r="AF91" s="1155"/>
      <c r="AG91" s="388" t="s">
        <v>733</v>
      </c>
      <c r="AH91" s="389"/>
      <c r="AI91" s="1140"/>
      <c r="AJ91" s="1152"/>
      <c r="AK91" s="1140"/>
      <c r="AL91" s="1152"/>
      <c r="AM91" s="1140"/>
      <c r="AN91" s="1152"/>
      <c r="AO91" s="1140"/>
      <c r="AP91" s="1152"/>
      <c r="AQ91" s="1140"/>
      <c r="AR91" s="1152"/>
    </row>
    <row r="92" spans="1:44" ht="15" outlineLevel="1" thickBot="1">
      <c r="B92" s="500" t="s">
        <v>734</v>
      </c>
      <c r="C92" s="506">
        <v>0.14000000000000001</v>
      </c>
      <c r="D92" s="507">
        <v>0.12</v>
      </c>
      <c r="E92" s="507">
        <v>0.11</v>
      </c>
      <c r="F92" s="508">
        <v>0.1</v>
      </c>
      <c r="G92" s="507">
        <v>0.1</v>
      </c>
      <c r="H92" s="507">
        <v>0.14000000000000001</v>
      </c>
      <c r="I92" s="507">
        <v>0.08</v>
      </c>
      <c r="J92" s="507">
        <v>0.12</v>
      </c>
      <c r="K92" s="503"/>
      <c r="L92" s="504">
        <v>3</v>
      </c>
      <c r="M92" s="370"/>
      <c r="N92" s="370"/>
      <c r="O92" s="71"/>
      <c r="P92" s="1195"/>
      <c r="Q92" s="1156"/>
      <c r="R92" s="393" t="s">
        <v>735</v>
      </c>
      <c r="S92" s="394"/>
      <c r="T92" s="1141"/>
      <c r="U92" s="1153"/>
      <c r="V92" s="1141"/>
      <c r="W92" s="1153"/>
      <c r="X92" s="1141"/>
      <c r="Y92" s="1153"/>
      <c r="Z92" s="1141"/>
      <c r="AA92" s="1153"/>
      <c r="AB92" s="1141"/>
      <c r="AC92" s="1153"/>
      <c r="AE92" s="1195"/>
      <c r="AF92" s="1156"/>
      <c r="AG92" s="393" t="s">
        <v>735</v>
      </c>
      <c r="AH92" s="394"/>
      <c r="AI92" s="1141"/>
      <c r="AJ92" s="1153"/>
      <c r="AK92" s="1141"/>
      <c r="AL92" s="1153"/>
      <c r="AM92" s="1141"/>
      <c r="AN92" s="1153"/>
      <c r="AO92" s="1141"/>
      <c r="AP92" s="1153"/>
      <c r="AQ92" s="1141"/>
      <c r="AR92" s="1153"/>
    </row>
    <row r="93" spans="1:44" outlineLevel="1">
      <c r="B93" s="500" t="s">
        <v>657</v>
      </c>
      <c r="C93" s="506">
        <v>1</v>
      </c>
      <c r="D93" s="506">
        <v>1</v>
      </c>
      <c r="E93" s="506">
        <v>1</v>
      </c>
      <c r="F93" s="506">
        <v>1</v>
      </c>
      <c r="G93" s="506">
        <v>0.08</v>
      </c>
      <c r="H93" s="506">
        <v>2</v>
      </c>
      <c r="I93" s="506">
        <v>0.08</v>
      </c>
      <c r="J93" s="506">
        <v>2</v>
      </c>
      <c r="K93" s="503"/>
      <c r="L93" s="504">
        <v>3</v>
      </c>
      <c r="M93" s="370"/>
      <c r="N93" s="370"/>
      <c r="O93" s="71"/>
      <c r="P93" s="1195"/>
      <c r="Q93" s="1154" t="s">
        <v>736</v>
      </c>
      <c r="R93" s="395" t="s">
        <v>737</v>
      </c>
      <c r="S93" s="396" t="s">
        <v>738</v>
      </c>
      <c r="T93" s="1137">
        <v>0</v>
      </c>
      <c r="U93" s="1137">
        <v>0.21</v>
      </c>
      <c r="V93" s="1137">
        <v>0</v>
      </c>
      <c r="W93" s="1137">
        <v>0</v>
      </c>
      <c r="X93" s="1137">
        <v>0</v>
      </c>
      <c r="Y93" s="1137">
        <v>0</v>
      </c>
      <c r="Z93" s="1137">
        <v>0</v>
      </c>
      <c r="AA93" s="1137">
        <v>0.09</v>
      </c>
      <c r="AB93" s="1137">
        <v>0</v>
      </c>
      <c r="AC93" s="1137">
        <v>0</v>
      </c>
      <c r="AE93" s="1195"/>
      <c r="AF93" s="1154" t="s">
        <v>736</v>
      </c>
      <c r="AG93" s="395" t="s">
        <v>737</v>
      </c>
      <c r="AH93" s="396" t="s">
        <v>738</v>
      </c>
      <c r="AI93" s="1137">
        <v>0</v>
      </c>
      <c r="AJ93" s="1137">
        <v>0.21</v>
      </c>
      <c r="AK93" s="1137">
        <v>0</v>
      </c>
      <c r="AL93" s="1137">
        <v>0</v>
      </c>
      <c r="AM93" s="1137">
        <v>0</v>
      </c>
      <c r="AN93" s="1137">
        <v>0</v>
      </c>
      <c r="AO93" s="1137">
        <v>0</v>
      </c>
      <c r="AP93" s="1137">
        <v>0.09</v>
      </c>
      <c r="AQ93" s="1137">
        <v>0</v>
      </c>
      <c r="AR93" s="1137">
        <v>0</v>
      </c>
    </row>
    <row r="94" spans="1:44" outlineLevel="1">
      <c r="B94" s="500" t="s">
        <v>658</v>
      </c>
      <c r="C94" s="506">
        <v>0.4</v>
      </c>
      <c r="D94" s="506">
        <v>0.4</v>
      </c>
      <c r="E94" s="506">
        <v>0.4</v>
      </c>
      <c r="F94" s="506">
        <v>0.4</v>
      </c>
      <c r="G94" s="506">
        <v>0.3</v>
      </c>
      <c r="H94" s="506">
        <v>0.6</v>
      </c>
      <c r="I94" s="506">
        <v>0.3</v>
      </c>
      <c r="J94" s="506">
        <v>0.6</v>
      </c>
      <c r="K94" s="503"/>
      <c r="L94" s="504">
        <v>3</v>
      </c>
      <c r="M94" s="367"/>
      <c r="N94" s="367"/>
      <c r="O94" s="71"/>
      <c r="P94" s="1195"/>
      <c r="Q94" s="1155"/>
      <c r="R94" s="395" t="s">
        <v>739</v>
      </c>
      <c r="S94" s="396" t="s">
        <v>738</v>
      </c>
      <c r="T94" s="1138"/>
      <c r="U94" s="1138"/>
      <c r="V94" s="1138"/>
      <c r="W94" s="1138"/>
      <c r="X94" s="1138"/>
      <c r="Y94" s="1138"/>
      <c r="Z94" s="1138"/>
      <c r="AA94" s="1138"/>
      <c r="AB94" s="1138"/>
      <c r="AC94" s="1138"/>
      <c r="AE94" s="1195"/>
      <c r="AF94" s="1155"/>
      <c r="AG94" s="395" t="s">
        <v>739</v>
      </c>
      <c r="AH94" s="396" t="s">
        <v>738</v>
      </c>
      <c r="AI94" s="1138"/>
      <c r="AJ94" s="1138"/>
      <c r="AK94" s="1138"/>
      <c r="AL94" s="1138"/>
      <c r="AM94" s="1138"/>
      <c r="AN94" s="1138"/>
      <c r="AO94" s="1138"/>
      <c r="AP94" s="1138"/>
      <c r="AQ94" s="1138"/>
      <c r="AR94" s="1138"/>
    </row>
    <row r="95" spans="1:44" outlineLevel="1">
      <c r="B95" s="383" t="s">
        <v>11</v>
      </c>
      <c r="C95" s="397">
        <v>25</v>
      </c>
      <c r="D95" s="397">
        <v>25</v>
      </c>
      <c r="E95" s="397">
        <v>25</v>
      </c>
      <c r="F95" s="397">
        <v>25</v>
      </c>
      <c r="G95" s="399">
        <v>20</v>
      </c>
      <c r="H95" s="399">
        <v>30</v>
      </c>
      <c r="I95" s="399">
        <v>20</v>
      </c>
      <c r="J95" s="399">
        <v>30</v>
      </c>
      <c r="K95" s="372"/>
      <c r="L95" s="373" t="s">
        <v>740</v>
      </c>
      <c r="M95" s="363"/>
      <c r="N95" s="363"/>
      <c r="P95" s="1195"/>
      <c r="Q95" s="1155"/>
      <c r="R95" s="395" t="s">
        <v>741</v>
      </c>
      <c r="S95" s="396" t="s">
        <v>738</v>
      </c>
      <c r="T95" s="1138"/>
      <c r="U95" s="1138"/>
      <c r="V95" s="1138"/>
      <c r="W95" s="1138"/>
      <c r="X95" s="1138"/>
      <c r="Y95" s="1138"/>
      <c r="Z95" s="1138"/>
      <c r="AA95" s="1138"/>
      <c r="AB95" s="1138"/>
      <c r="AC95" s="1138"/>
      <c r="AE95" s="1195"/>
      <c r="AF95" s="1155"/>
      <c r="AG95" s="395" t="s">
        <v>741</v>
      </c>
      <c r="AH95" s="396" t="s">
        <v>738</v>
      </c>
      <c r="AI95" s="1138"/>
      <c r="AJ95" s="1138"/>
      <c r="AK95" s="1138"/>
      <c r="AL95" s="1138"/>
      <c r="AM95" s="1138"/>
      <c r="AN95" s="1138"/>
      <c r="AO95" s="1138"/>
      <c r="AP95" s="1138"/>
      <c r="AQ95" s="1138"/>
      <c r="AR95" s="1138"/>
    </row>
    <row r="96" spans="1:44" ht="15" outlineLevel="1" thickBot="1">
      <c r="B96" s="500" t="s">
        <v>273</v>
      </c>
      <c r="C96" s="506">
        <v>0.5</v>
      </c>
      <c r="D96" s="506">
        <v>0.5</v>
      </c>
      <c r="E96" s="506">
        <v>0.5</v>
      </c>
      <c r="F96" s="506">
        <v>0.5</v>
      </c>
      <c r="G96" s="506">
        <v>0.2</v>
      </c>
      <c r="H96" s="506">
        <v>0.7</v>
      </c>
      <c r="I96" s="506">
        <v>0.2</v>
      </c>
      <c r="J96" s="506">
        <v>0.7</v>
      </c>
      <c r="K96" s="372"/>
      <c r="L96" s="400"/>
      <c r="M96" s="363"/>
      <c r="N96" s="363"/>
      <c r="P96" s="1195"/>
      <c r="Q96" s="1155"/>
      <c r="R96" s="395" t="s">
        <v>742</v>
      </c>
      <c r="S96" s="396" t="s">
        <v>738</v>
      </c>
      <c r="T96" s="1138"/>
      <c r="U96" s="1138"/>
      <c r="V96" s="1138"/>
      <c r="W96" s="1138"/>
      <c r="X96" s="1138"/>
      <c r="Y96" s="1138"/>
      <c r="Z96" s="1138"/>
      <c r="AA96" s="1138"/>
      <c r="AB96" s="1138"/>
      <c r="AC96" s="1138"/>
      <c r="AE96" s="1195"/>
      <c r="AF96" s="1155"/>
      <c r="AG96" s="395" t="s">
        <v>742</v>
      </c>
      <c r="AH96" s="396" t="s">
        <v>738</v>
      </c>
      <c r="AI96" s="1138"/>
      <c r="AJ96" s="1138"/>
      <c r="AK96" s="1138"/>
      <c r="AL96" s="1138"/>
      <c r="AM96" s="1138"/>
      <c r="AN96" s="1138"/>
      <c r="AO96" s="1138"/>
      <c r="AP96" s="1138"/>
      <c r="AQ96" s="1138"/>
      <c r="AR96" s="1138"/>
    </row>
    <row r="97" spans="1:44" ht="15" outlineLevel="1" thickBot="1">
      <c r="B97" s="401" t="s">
        <v>743</v>
      </c>
      <c r="C97" s="402"/>
      <c r="D97" s="403"/>
      <c r="E97" s="404"/>
      <c r="F97" s="405"/>
      <c r="G97" s="406"/>
      <c r="H97" s="406"/>
      <c r="I97" s="406"/>
      <c r="J97" s="406"/>
      <c r="K97" s="407"/>
      <c r="L97" s="408"/>
      <c r="M97" s="363"/>
      <c r="N97" s="363"/>
      <c r="P97" s="1195"/>
      <c r="Q97" s="1155"/>
      <c r="R97" s="409" t="s">
        <v>744</v>
      </c>
      <c r="S97" s="410" t="s">
        <v>738</v>
      </c>
      <c r="T97" s="1139"/>
      <c r="U97" s="1139"/>
      <c r="V97" s="1139"/>
      <c r="W97" s="1139"/>
      <c r="X97" s="1139"/>
      <c r="Y97" s="1139"/>
      <c r="Z97" s="1139"/>
      <c r="AA97" s="1139"/>
      <c r="AB97" s="1139"/>
      <c r="AC97" s="1139"/>
      <c r="AE97" s="1195"/>
      <c r="AF97" s="1155"/>
      <c r="AG97" s="409" t="s">
        <v>744</v>
      </c>
      <c r="AH97" s="410" t="s">
        <v>738</v>
      </c>
      <c r="AI97" s="1139"/>
      <c r="AJ97" s="1139"/>
      <c r="AK97" s="1139"/>
      <c r="AL97" s="1139"/>
      <c r="AM97" s="1139"/>
      <c r="AN97" s="1139"/>
      <c r="AO97" s="1139"/>
      <c r="AP97" s="1139"/>
      <c r="AQ97" s="1139"/>
      <c r="AR97" s="1139"/>
    </row>
    <row r="98" spans="1:44" ht="29.4" outlineLevel="1" thickBot="1">
      <c r="B98" s="500" t="s">
        <v>663</v>
      </c>
      <c r="C98" s="506">
        <v>15</v>
      </c>
      <c r="D98" s="506">
        <v>15</v>
      </c>
      <c r="E98" s="506">
        <v>15</v>
      </c>
      <c r="F98" s="506">
        <v>15</v>
      </c>
      <c r="G98" s="507"/>
      <c r="H98" s="507"/>
      <c r="I98" s="507"/>
      <c r="J98" s="507"/>
      <c r="K98" s="503"/>
      <c r="L98" s="504">
        <v>3</v>
      </c>
      <c r="M98" s="363"/>
      <c r="N98" s="363"/>
      <c r="P98" s="1196"/>
      <c r="Q98" s="411" t="s">
        <v>745</v>
      </c>
      <c r="R98" s="412" t="s">
        <v>746</v>
      </c>
      <c r="S98" s="413" t="s">
        <v>738</v>
      </c>
      <c r="T98" s="414">
        <v>1</v>
      </c>
      <c r="U98" s="415">
        <v>1</v>
      </c>
      <c r="V98" s="414">
        <v>0</v>
      </c>
      <c r="W98" s="415">
        <v>0</v>
      </c>
      <c r="X98" s="414">
        <v>0</v>
      </c>
      <c r="Y98" s="415">
        <v>0</v>
      </c>
      <c r="Z98" s="414">
        <v>1</v>
      </c>
      <c r="AA98" s="415">
        <v>1</v>
      </c>
      <c r="AB98" s="414">
        <v>0</v>
      </c>
      <c r="AC98" s="417">
        <v>0</v>
      </c>
      <c r="AE98" s="1196"/>
      <c r="AF98" s="411" t="s">
        <v>745</v>
      </c>
      <c r="AG98" s="412" t="s">
        <v>746</v>
      </c>
      <c r="AH98" s="413" t="s">
        <v>738</v>
      </c>
      <c r="AI98" s="414">
        <v>1</v>
      </c>
      <c r="AJ98" s="415">
        <v>1</v>
      </c>
      <c r="AK98" s="414">
        <v>0</v>
      </c>
      <c r="AL98" s="415">
        <v>0</v>
      </c>
      <c r="AM98" s="414">
        <v>0</v>
      </c>
      <c r="AN98" s="415">
        <v>0</v>
      </c>
      <c r="AO98" s="414">
        <v>1</v>
      </c>
      <c r="AP98" s="415">
        <v>1</v>
      </c>
      <c r="AQ98" s="414">
        <v>0</v>
      </c>
      <c r="AR98" s="417">
        <v>0</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ht="15.6" outlineLevel="1">
      <c r="B102" s="383" t="s">
        <v>747</v>
      </c>
      <c r="C102" s="397">
        <v>0.3</v>
      </c>
      <c r="D102" s="397">
        <v>0.3</v>
      </c>
      <c r="E102" s="397">
        <v>0.3</v>
      </c>
      <c r="F102" s="397">
        <v>0.3</v>
      </c>
      <c r="G102" s="422"/>
      <c r="H102" s="425"/>
      <c r="I102" s="425"/>
      <c r="J102" s="425"/>
      <c r="K102" s="426" t="s">
        <v>59</v>
      </c>
      <c r="L102" s="427" t="s">
        <v>748</v>
      </c>
      <c r="M102" s="428"/>
      <c r="N102" s="428"/>
    </row>
    <row r="103" spans="1:44" outlineLevel="1">
      <c r="B103" s="383" t="s">
        <v>749</v>
      </c>
      <c r="C103" s="397">
        <v>0.1</v>
      </c>
      <c r="D103" s="397">
        <v>0.1</v>
      </c>
      <c r="E103" s="397">
        <v>0.1</v>
      </c>
      <c r="F103" s="397">
        <v>0.1</v>
      </c>
      <c r="G103" s="425"/>
      <c r="H103" s="425"/>
      <c r="I103" s="425"/>
      <c r="J103" s="425"/>
      <c r="K103" s="423"/>
      <c r="L103" s="427">
        <v>9</v>
      </c>
      <c r="M103" s="428"/>
      <c r="N103" s="428"/>
    </row>
    <row r="104" spans="1:44" ht="15.6" outlineLevel="1">
      <c r="B104" s="383" t="s">
        <v>750</v>
      </c>
      <c r="C104" s="397">
        <v>9</v>
      </c>
      <c r="D104" s="397">
        <v>7</v>
      </c>
      <c r="E104" s="397">
        <v>6</v>
      </c>
      <c r="F104" s="397">
        <v>6</v>
      </c>
      <c r="G104" s="425"/>
      <c r="H104" s="425"/>
      <c r="I104" s="425"/>
      <c r="J104" s="425"/>
      <c r="K104" s="423"/>
      <c r="L104" s="427" t="s">
        <v>748</v>
      </c>
      <c r="M104" s="428"/>
      <c r="N104" s="428"/>
      <c r="T104" s="224">
        <f>C$23</f>
        <v>0.3</v>
      </c>
      <c r="U104" s="224">
        <f t="shared" ref="U104:V104" si="5">D$23</f>
        <v>0.3</v>
      </c>
      <c r="V104" s="224">
        <f t="shared" si="5"/>
        <v>0.3</v>
      </c>
    </row>
    <row r="105" spans="1:44" outlineLevel="1">
      <c r="B105" s="383" t="s">
        <v>366</v>
      </c>
      <c r="C105" s="397">
        <v>3</v>
      </c>
      <c r="D105" s="397">
        <v>2</v>
      </c>
      <c r="E105" s="397">
        <v>2</v>
      </c>
      <c r="F105" s="397">
        <v>2</v>
      </c>
      <c r="G105" s="425"/>
      <c r="H105" s="425"/>
      <c r="I105" s="425"/>
      <c r="J105" s="425"/>
      <c r="K105" s="423"/>
      <c r="L105" s="427" t="s">
        <v>748</v>
      </c>
      <c r="M105" s="428"/>
      <c r="N105" s="428"/>
    </row>
    <row r="106" spans="1:44" ht="15" outlineLevel="1" thickBot="1">
      <c r="B106" s="429" t="s">
        <v>367</v>
      </c>
      <c r="C106" s="430">
        <v>1</v>
      </c>
      <c r="D106" s="430">
        <v>1</v>
      </c>
      <c r="E106" s="430">
        <v>1</v>
      </c>
      <c r="F106" s="430">
        <v>1</v>
      </c>
      <c r="G106" s="425"/>
      <c r="H106" s="425"/>
      <c r="I106" s="425"/>
      <c r="J106" s="425"/>
      <c r="K106" s="423"/>
      <c r="L106" s="427" t="s">
        <v>748</v>
      </c>
      <c r="M106" s="428"/>
      <c r="N106" s="428"/>
    </row>
    <row r="107" spans="1:44" ht="15" outlineLevel="1" thickBot="1">
      <c r="B107" s="431" t="s">
        <v>674</v>
      </c>
      <c r="C107" s="432"/>
      <c r="D107" s="403"/>
      <c r="E107" s="403"/>
      <c r="F107" s="433"/>
      <c r="G107" s="434"/>
      <c r="H107" s="406"/>
      <c r="I107" s="406"/>
      <c r="J107" s="406"/>
      <c r="K107" s="407"/>
      <c r="L107" s="408"/>
      <c r="M107" s="428"/>
      <c r="N107" s="428"/>
    </row>
    <row r="108" spans="1:44" ht="43.2" outlineLevel="1">
      <c r="A108" s="435" t="s">
        <v>797</v>
      </c>
      <c r="B108" s="436" t="s">
        <v>792</v>
      </c>
      <c r="C108" s="511">
        <v>0.06</v>
      </c>
      <c r="D108" s="512">
        <v>0.05</v>
      </c>
      <c r="E108" s="512">
        <v>0.05</v>
      </c>
      <c r="F108" s="513">
        <v>0.05</v>
      </c>
      <c r="G108" s="425"/>
      <c r="H108" s="425"/>
      <c r="I108" s="425"/>
      <c r="J108" s="425"/>
      <c r="K108" s="426" t="s">
        <v>16</v>
      </c>
      <c r="L108" s="440" t="s">
        <v>753</v>
      </c>
      <c r="M108" s="420"/>
      <c r="N108" s="420"/>
    </row>
    <row r="109" spans="1:44" outlineLevel="1">
      <c r="B109" s="441" t="s">
        <v>754</v>
      </c>
      <c r="C109" s="442">
        <v>65</v>
      </c>
      <c r="D109" s="442">
        <v>65</v>
      </c>
      <c r="E109" s="442">
        <v>65</v>
      </c>
      <c r="F109" s="442">
        <v>65</v>
      </c>
      <c r="G109" s="425"/>
      <c r="H109" s="425"/>
      <c r="I109" s="425"/>
      <c r="J109" s="425"/>
      <c r="K109" s="444"/>
      <c r="L109" s="373">
        <v>3</v>
      </c>
      <c r="M109" s="71"/>
      <c r="N109" s="420"/>
    </row>
    <row r="110" spans="1:44" outlineLevel="1">
      <c r="B110" s="441" t="s">
        <v>755</v>
      </c>
      <c r="C110" s="442">
        <f>100-C109</f>
        <v>35</v>
      </c>
      <c r="D110" s="442">
        <f t="shared" ref="D110:F110" si="6">100-D109</f>
        <v>35</v>
      </c>
      <c r="E110" s="442">
        <f t="shared" si="6"/>
        <v>35</v>
      </c>
      <c r="F110" s="442">
        <f t="shared" si="6"/>
        <v>35</v>
      </c>
      <c r="G110" s="425"/>
      <c r="H110" s="425"/>
      <c r="I110" s="425"/>
      <c r="J110" s="425"/>
      <c r="K110" s="444"/>
      <c r="L110" s="373">
        <v>3</v>
      </c>
      <c r="M110" s="420"/>
      <c r="N110" s="420"/>
    </row>
    <row r="111" spans="1:44" outlineLevel="1">
      <c r="B111" s="383" t="s">
        <v>793</v>
      </c>
      <c r="C111" s="445">
        <f>2000/1000</f>
        <v>2</v>
      </c>
      <c r="D111" s="446">
        <f>1900/1000</f>
        <v>1.9</v>
      </c>
      <c r="E111" s="446">
        <f>1800/1000</f>
        <v>1.8</v>
      </c>
      <c r="F111" s="447">
        <f>1700/1000</f>
        <v>1.7</v>
      </c>
      <c r="G111" s="425"/>
      <c r="H111" s="425"/>
      <c r="I111" s="425"/>
      <c r="J111" s="425"/>
      <c r="K111" s="448"/>
      <c r="L111" s="373">
        <v>3</v>
      </c>
      <c r="M111" s="420"/>
      <c r="N111" s="420"/>
    </row>
    <row r="112" spans="1:44" outlineLevel="1">
      <c r="B112" s="383" t="s">
        <v>794</v>
      </c>
      <c r="C112" s="449">
        <f>1.1/3.6</f>
        <v>0.30555555555555558</v>
      </c>
      <c r="D112" s="449">
        <f>1/3.6</f>
        <v>0.27777777777777779</v>
      </c>
      <c r="E112" s="449">
        <f>1/3.6</f>
        <v>0.27777777777777779</v>
      </c>
      <c r="F112" s="449">
        <f>1/3.6</f>
        <v>0.27777777777777779</v>
      </c>
      <c r="G112" s="425"/>
      <c r="H112" s="425"/>
      <c r="I112" s="425"/>
      <c r="J112" s="425"/>
      <c r="K112" s="448"/>
      <c r="L112" s="373">
        <v>3</v>
      </c>
      <c r="M112" s="450"/>
      <c r="N112" s="361"/>
      <c r="P112" s="1142">
        <f>C112</f>
        <v>0.30555555555555558</v>
      </c>
      <c r="Q112" s="1143"/>
      <c r="R112" s="1143"/>
      <c r="S112" s="1143"/>
      <c r="T112" s="1143"/>
      <c r="U112" s="1144"/>
    </row>
    <row r="113" spans="2:30" ht="15" outlineLevel="1" thickBot="1">
      <c r="B113" s="500" t="s">
        <v>758</v>
      </c>
      <c r="C113" s="514">
        <f>C92/100*73</f>
        <v>0.10220000000000001</v>
      </c>
      <c r="D113" s="514">
        <f>D92/100*75</f>
        <v>0.09</v>
      </c>
      <c r="E113" s="514">
        <f>E92/100*76</f>
        <v>8.3600000000000008E-2</v>
      </c>
      <c r="F113" s="514">
        <f>F92/100*76</f>
        <v>7.5999999999999998E-2</v>
      </c>
      <c r="G113" s="515"/>
      <c r="H113" s="515"/>
      <c r="I113" s="515"/>
      <c r="J113" s="515"/>
      <c r="K113" s="503" t="s">
        <v>20</v>
      </c>
      <c r="L113" s="504">
        <v>3</v>
      </c>
      <c r="M113" s="450"/>
      <c r="N113" s="361"/>
      <c r="P113" s="1134">
        <f>C113</f>
        <v>0.10220000000000001</v>
      </c>
      <c r="Q113" s="1135"/>
      <c r="R113" s="1135"/>
      <c r="S113" s="1135"/>
      <c r="T113" s="1135"/>
      <c r="U113" s="1136"/>
    </row>
    <row r="114" spans="2:30" outlineLevel="1">
      <c r="B114" s="500" t="s">
        <v>759</v>
      </c>
      <c r="C114" s="516">
        <f>C112-C113</f>
        <v>0.20335555555555557</v>
      </c>
      <c r="D114" s="516">
        <f>D112-D113</f>
        <v>0.18777777777777779</v>
      </c>
      <c r="E114" s="516">
        <f>E112-E113</f>
        <v>0.19417777777777778</v>
      </c>
      <c r="F114" s="516">
        <f>F112-F113</f>
        <v>0.20177777777777778</v>
      </c>
      <c r="G114" s="515"/>
      <c r="H114" s="515"/>
      <c r="I114" s="515"/>
      <c r="J114" s="515"/>
      <c r="K114" s="517"/>
      <c r="L114" s="504">
        <v>3</v>
      </c>
      <c r="M114" s="363"/>
      <c r="N114" s="363"/>
      <c r="P114" s="53" t="s">
        <v>357</v>
      </c>
    </row>
    <row r="115" spans="2:30" ht="27.6"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43.8"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t="s">
        <v>36</v>
      </c>
      <c r="D118" s="523" t="s">
        <v>36</v>
      </c>
      <c r="E118" s="523" t="s">
        <v>36</v>
      </c>
      <c r="F118" s="523" t="s">
        <v>36</v>
      </c>
      <c r="G118" s="524"/>
      <c r="H118" s="524"/>
      <c r="I118" s="524"/>
      <c r="J118" s="524"/>
      <c r="K118" s="524" t="s">
        <v>76</v>
      </c>
      <c r="L118" s="525"/>
      <c r="M118" s="363"/>
      <c r="N118" s="363"/>
      <c r="O118" s="465">
        <f>C91</f>
        <v>101</v>
      </c>
      <c r="P118" s="466">
        <f>C87</f>
        <v>2020</v>
      </c>
      <c r="Q118" s="58">
        <f>P118</f>
        <v>2020</v>
      </c>
      <c r="R118" s="466">
        <f>O118/100</f>
        <v>1.01</v>
      </c>
      <c r="S118" s="58"/>
      <c r="T118" s="466">
        <f>C95</f>
        <v>25</v>
      </c>
      <c r="U118" s="467">
        <f>C125</f>
        <v>447</v>
      </c>
      <c r="V118" s="467">
        <f>C127</f>
        <v>14.9</v>
      </c>
      <c r="W118" s="467">
        <f>C128</f>
        <v>2.276388888888889</v>
      </c>
      <c r="X118" s="58"/>
      <c r="Y118" s="58"/>
      <c r="Z118" s="466">
        <f>C102</f>
        <v>0.3</v>
      </c>
      <c r="AA118" s="468">
        <f>C104</f>
        <v>9</v>
      </c>
      <c r="AB118" s="468">
        <f>C105</f>
        <v>3</v>
      </c>
      <c r="AC118" s="468">
        <f>C106</f>
        <v>1</v>
      </c>
      <c r="AD118" s="468">
        <f>C103</f>
        <v>0.1</v>
      </c>
    </row>
    <row r="119" spans="2:30" outlineLevel="1">
      <c r="B119" s="500" t="s">
        <v>763</v>
      </c>
      <c r="C119" s="526" t="s">
        <v>36</v>
      </c>
      <c r="D119" s="527" t="s">
        <v>36</v>
      </c>
      <c r="E119" s="527" t="s">
        <v>36</v>
      </c>
      <c r="F119" s="528" t="s">
        <v>36</v>
      </c>
      <c r="G119" s="528"/>
      <c r="H119" s="528"/>
      <c r="I119" s="528"/>
      <c r="J119" s="528"/>
      <c r="K119" s="529" t="s">
        <v>76</v>
      </c>
      <c r="L119" s="525"/>
      <c r="M119" s="363"/>
      <c r="N119" s="363"/>
      <c r="O119" s="465">
        <f>D91</f>
        <v>103</v>
      </c>
      <c r="P119" s="466">
        <f>D87</f>
        <v>2030</v>
      </c>
      <c r="Q119" s="58"/>
      <c r="R119" s="466">
        <f>O119/100</f>
        <v>1.03</v>
      </c>
      <c r="S119" s="58"/>
      <c r="T119" s="466">
        <f>D95</f>
        <v>25</v>
      </c>
      <c r="U119" s="467">
        <f>D125</f>
        <v>372.50000000000006</v>
      </c>
      <c r="V119" s="467">
        <f>D127</f>
        <v>14.154999999999999</v>
      </c>
      <c r="W119" s="467">
        <f>D128</f>
        <v>2.0694444444444446</v>
      </c>
      <c r="X119" s="58"/>
      <c r="Y119" s="58"/>
      <c r="Z119" s="466">
        <f>D102</f>
        <v>0.3</v>
      </c>
      <c r="AA119" s="468">
        <f>D104</f>
        <v>7</v>
      </c>
      <c r="AB119" s="468">
        <f>D105</f>
        <v>2</v>
      </c>
      <c r="AC119" s="468">
        <f>D106</f>
        <v>1</v>
      </c>
      <c r="AD119" s="468">
        <f>D103</f>
        <v>0.1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103</v>
      </c>
      <c r="P120" s="466">
        <f>E87</f>
        <v>2040</v>
      </c>
      <c r="Q120" s="58"/>
      <c r="R120" s="466">
        <f>O120/100</f>
        <v>1.03</v>
      </c>
      <c r="S120" s="58"/>
      <c r="T120" s="466">
        <f>E95</f>
        <v>25</v>
      </c>
      <c r="U120" s="467">
        <f>E125</f>
        <v>372.50000000000006</v>
      </c>
      <c r="V120" s="467">
        <f>E127</f>
        <v>13.41</v>
      </c>
      <c r="W120" s="467">
        <f>E128</f>
        <v>2.0694444444444446</v>
      </c>
      <c r="X120" s="58"/>
      <c r="Y120" s="58"/>
      <c r="Z120" s="466">
        <f>E102</f>
        <v>0.3</v>
      </c>
      <c r="AA120" s="468">
        <f>E104</f>
        <v>6</v>
      </c>
      <c r="AB120" s="468">
        <f>E105</f>
        <v>2</v>
      </c>
      <c r="AC120" s="468">
        <f>E106</f>
        <v>1</v>
      </c>
      <c r="AD120" s="468">
        <f>E103</f>
        <v>0.1</v>
      </c>
    </row>
    <row r="121" spans="2:30" outlineLevel="1">
      <c r="B121" s="500" t="s">
        <v>765</v>
      </c>
      <c r="C121" s="530">
        <v>90</v>
      </c>
      <c r="D121" s="530">
        <v>90</v>
      </c>
      <c r="E121" s="530">
        <v>90</v>
      </c>
      <c r="F121" s="530">
        <v>90</v>
      </c>
      <c r="G121" s="531"/>
      <c r="H121" s="531"/>
      <c r="I121" s="531"/>
      <c r="J121" s="531"/>
      <c r="K121" s="531"/>
      <c r="L121" s="504">
        <v>3</v>
      </c>
      <c r="M121" s="363"/>
      <c r="N121" s="363"/>
      <c r="O121" s="465">
        <f>F91</f>
        <v>103</v>
      </c>
      <c r="P121" s="466">
        <f>F87</f>
        <v>2050</v>
      </c>
      <c r="Q121" s="58"/>
      <c r="R121" s="466">
        <f>O121/100</f>
        <v>1.03</v>
      </c>
      <c r="S121" s="58"/>
      <c r="T121" s="466">
        <f>F95</f>
        <v>25</v>
      </c>
      <c r="U121" s="467">
        <f>F125</f>
        <v>372.50000000000006</v>
      </c>
      <c r="V121" s="467">
        <f>F127</f>
        <v>12.664999999999999</v>
      </c>
      <c r="W121" s="467">
        <f>F128</f>
        <v>2.0694444444444446</v>
      </c>
      <c r="X121" s="58"/>
      <c r="Y121" s="58"/>
      <c r="Z121" s="466">
        <f>F102</f>
        <v>0.3</v>
      </c>
      <c r="AA121" s="468">
        <f>F104</f>
        <v>6</v>
      </c>
      <c r="AB121" s="468">
        <f>F105</f>
        <v>2</v>
      </c>
      <c r="AC121" s="468">
        <f>F106</f>
        <v>1</v>
      </c>
      <c r="AD121" s="468">
        <f>F103</f>
        <v>0.1</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5" outlineLevel="1" thickBot="1">
      <c r="B124" s="534" t="s">
        <v>768</v>
      </c>
      <c r="C124" s="535" t="s">
        <v>36</v>
      </c>
      <c r="D124" s="536" t="s">
        <v>36</v>
      </c>
      <c r="E124" s="536" t="s">
        <v>36</v>
      </c>
      <c r="F124" s="537" t="s">
        <v>36</v>
      </c>
      <c r="G124" s="538"/>
      <c r="H124" s="538"/>
      <c r="I124" s="538"/>
      <c r="J124" s="538"/>
      <c r="K124" s="538"/>
      <c r="L124" s="539"/>
      <c r="M124" s="363"/>
      <c r="N124" s="363"/>
    </row>
    <row r="125" spans="2:30" ht="57.6" outlineLevel="1">
      <c r="B125" s="461" t="s">
        <v>769</v>
      </c>
      <c r="C125" s="483">
        <f>C108*$F$4*1000</f>
        <v>447</v>
      </c>
      <c r="D125" s="483">
        <f t="shared" ref="D125:F125" si="7">D108*$F$4*1000</f>
        <v>372.50000000000006</v>
      </c>
      <c r="E125" s="483">
        <f t="shared" si="7"/>
        <v>372.50000000000006</v>
      </c>
      <c r="F125" s="483">
        <f t="shared" si="7"/>
        <v>372.50000000000006</v>
      </c>
      <c r="G125" s="483"/>
      <c r="H125" s="484"/>
      <c r="I125" s="420" t="s">
        <v>332</v>
      </c>
      <c r="J125" s="420"/>
      <c r="K125" s="484"/>
      <c r="L125" s="484"/>
      <c r="N125" s="420"/>
    </row>
    <row r="126" spans="2:30" outlineLevel="1">
      <c r="B126" s="485" t="s">
        <v>770</v>
      </c>
      <c r="C126" s="486">
        <f>C125*$I126</f>
        <v>223500</v>
      </c>
      <c r="D126" s="486">
        <f>D125*$I126</f>
        <v>186250.00000000003</v>
      </c>
      <c r="E126" s="486">
        <f>E125*$I126</f>
        <v>186250.00000000003</v>
      </c>
      <c r="F126" s="486">
        <f>F125*$I126</f>
        <v>186250.00000000003</v>
      </c>
      <c r="G126" s="486"/>
      <c r="H126" s="484"/>
      <c r="I126" s="71">
        <v>500</v>
      </c>
      <c r="J126" s="420" t="s">
        <v>330</v>
      </c>
      <c r="K126" s="484"/>
      <c r="L126" s="484"/>
      <c r="N126" s="420"/>
    </row>
    <row r="127" spans="2:30" ht="43.2" outlineLevel="1">
      <c r="B127" s="461" t="s">
        <v>771</v>
      </c>
      <c r="C127" s="359">
        <f>C111*$F$4</f>
        <v>14.9</v>
      </c>
      <c r="D127" s="359">
        <f t="shared" ref="D127:F128" si="8">D111*$F$4</f>
        <v>14.154999999999999</v>
      </c>
      <c r="E127" s="359">
        <f t="shared" si="8"/>
        <v>13.41</v>
      </c>
      <c r="F127" s="359">
        <f t="shared" si="8"/>
        <v>12.664999999999999</v>
      </c>
      <c r="G127" s="359"/>
      <c r="I127" s="420" t="s">
        <v>333</v>
      </c>
      <c r="J127" s="420"/>
      <c r="N127" s="420"/>
    </row>
    <row r="128" spans="2:30" ht="43.2" outlineLevel="1">
      <c r="B128" s="461" t="s">
        <v>772</v>
      </c>
      <c r="C128" s="487">
        <f>C112*$F$4</f>
        <v>2.276388888888889</v>
      </c>
      <c r="D128" s="487">
        <f t="shared" si="8"/>
        <v>2.0694444444444446</v>
      </c>
      <c r="E128" s="487">
        <f t="shared" si="8"/>
        <v>2.0694444444444446</v>
      </c>
      <c r="F128" s="487">
        <f t="shared" si="8"/>
        <v>2.0694444444444446</v>
      </c>
      <c r="G128" s="359"/>
      <c r="M128" s="420"/>
      <c r="N128" s="420"/>
    </row>
    <row r="129" spans="2:6" outlineLevel="1"/>
    <row r="130" spans="2:6" outlineLevel="1"/>
    <row r="131" spans="2:6" outlineLevel="1"/>
    <row r="132" spans="2:6" outlineLevel="1"/>
    <row r="133" spans="2:6" outlineLevel="1">
      <c r="B133" s="488" t="s">
        <v>773</v>
      </c>
      <c r="C133" s="489"/>
      <c r="D133" s="490"/>
      <c r="E133" s="490"/>
      <c r="F133" s="490"/>
    </row>
    <row r="134" spans="2:6" outlineLevel="1">
      <c r="B134" s="491">
        <v>1</v>
      </c>
      <c r="C134" s="492" t="s">
        <v>774</v>
      </c>
      <c r="E134" s="490"/>
      <c r="F134" s="490"/>
    </row>
    <row r="135" spans="2:6" outlineLevel="1">
      <c r="B135" s="491">
        <v>2</v>
      </c>
      <c r="C135" s="493" t="s">
        <v>775</v>
      </c>
      <c r="E135" s="490"/>
      <c r="F135" s="490"/>
    </row>
    <row r="136" spans="2:6" outlineLevel="1">
      <c r="B136" s="491">
        <v>3</v>
      </c>
      <c r="C136" s="493" t="s">
        <v>776</v>
      </c>
      <c r="E136" s="490"/>
      <c r="F136" s="490"/>
    </row>
    <row r="137" spans="2:6" outlineLevel="1">
      <c r="B137" s="491">
        <v>4</v>
      </c>
      <c r="C137" s="493" t="s">
        <v>777</v>
      </c>
      <c r="E137" s="490"/>
      <c r="F137" s="490"/>
    </row>
    <row r="138" spans="2:6" outlineLevel="1">
      <c r="B138" s="358">
        <v>5</v>
      </c>
      <c r="C138" s="494" t="s">
        <v>778</v>
      </c>
      <c r="D138" s="490"/>
      <c r="E138" s="490"/>
      <c r="F138" s="490"/>
    </row>
    <row r="139" spans="2:6" outlineLevel="1">
      <c r="B139" s="358">
        <v>6</v>
      </c>
      <c r="C139" s="492" t="s">
        <v>779</v>
      </c>
      <c r="D139" s="490"/>
      <c r="E139" s="490"/>
      <c r="F139" s="490"/>
    </row>
    <row r="140" spans="2:6" outlineLevel="1">
      <c r="B140" s="358">
        <v>7</v>
      </c>
      <c r="C140" s="495" t="s">
        <v>774</v>
      </c>
      <c r="D140" s="490"/>
      <c r="E140" s="490"/>
      <c r="F140" s="490"/>
    </row>
    <row r="141" spans="2:6" outlineLevel="1">
      <c r="B141" s="358">
        <v>8</v>
      </c>
      <c r="C141" s="495" t="s">
        <v>780</v>
      </c>
      <c r="D141" s="490"/>
      <c r="E141" s="490"/>
      <c r="F141" s="490"/>
    </row>
    <row r="142" spans="2:6" outlineLevel="1">
      <c r="B142" s="358">
        <v>9</v>
      </c>
      <c r="C142" s="489" t="s">
        <v>781</v>
      </c>
      <c r="D142" s="490"/>
      <c r="E142" s="490"/>
      <c r="F142" s="490"/>
    </row>
    <row r="143" spans="2:6" outlineLevel="1">
      <c r="B143" s="358">
        <v>10</v>
      </c>
      <c r="C143" s="490" t="s">
        <v>782</v>
      </c>
      <c r="D143" s="490"/>
      <c r="E143" s="490"/>
      <c r="F143" s="490"/>
    </row>
    <row r="144" spans="2:6" outlineLevel="1">
      <c r="B144" s="488" t="s">
        <v>783</v>
      </c>
      <c r="C144" s="489"/>
      <c r="D144" s="490"/>
      <c r="E144" s="490"/>
      <c r="F144" s="490"/>
    </row>
    <row r="145" spans="2:13" outlineLevel="1">
      <c r="B145" s="496" t="s">
        <v>6</v>
      </c>
      <c r="C145" s="497" t="s">
        <v>784</v>
      </c>
      <c r="E145" s="490"/>
      <c r="F145" s="490"/>
    </row>
    <row r="146" spans="2:13" outlineLevel="1">
      <c r="B146" s="496" t="s">
        <v>59</v>
      </c>
      <c r="C146" s="489" t="s">
        <v>785</v>
      </c>
      <c r="E146" s="490"/>
      <c r="F146" s="490"/>
    </row>
    <row r="147" spans="2:13" outlineLevel="1">
      <c r="B147" s="496" t="s">
        <v>16</v>
      </c>
      <c r="C147" s="489" t="s">
        <v>786</v>
      </c>
      <c r="E147" s="490"/>
      <c r="F147" s="490"/>
    </row>
    <row r="148" spans="2:13" outlineLevel="1">
      <c r="B148" s="496" t="s">
        <v>20</v>
      </c>
      <c r="C148" s="489" t="s">
        <v>787</v>
      </c>
      <c r="E148" s="490"/>
      <c r="F148" s="490"/>
    </row>
    <row r="149" spans="2:13" outlineLevel="1">
      <c r="B149" s="496" t="s">
        <v>76</v>
      </c>
      <c r="C149" s="498" t="s">
        <v>788</v>
      </c>
      <c r="E149" s="490"/>
      <c r="F149" s="490"/>
    </row>
    <row r="150" spans="2:13" outlineLevel="1">
      <c r="B150" s="496" t="s">
        <v>25</v>
      </c>
      <c r="C150" s="489" t="s">
        <v>789</v>
      </c>
      <c r="E150" s="490"/>
      <c r="F150" s="490"/>
    </row>
    <row r="151" spans="2:13" outlineLevel="1"/>
    <row r="152" spans="2:13" outlineLevel="1">
      <c r="M152" s="214"/>
    </row>
    <row r="153" spans="2:13" outlineLevel="1"/>
    <row r="154" spans="2:13" outlineLevel="1"/>
    <row r="155" spans="2:13" outlineLevel="1"/>
    <row r="156" spans="2:13" outlineLevel="1"/>
    <row r="157" spans="2:13" outlineLevel="1"/>
    <row r="158" spans="2:13" outlineLevel="1"/>
    <row r="159" spans="2:13" outlineLevel="1"/>
    <row r="160" spans="2:13" outlineLevel="1"/>
    <row r="161" spans="1:44" outlineLevel="1"/>
    <row r="162" spans="1:44" outlineLevel="1"/>
    <row r="163" spans="1:44" outlineLevel="1"/>
    <row r="166" spans="1:44">
      <c r="A166" s="360" t="s">
        <v>802</v>
      </c>
      <c r="B166" s="1207"/>
      <c r="C166" s="1143"/>
      <c r="D166" s="1143"/>
      <c r="E166" s="1143"/>
      <c r="F166" s="1143"/>
      <c r="G166" s="1143"/>
      <c r="H166" s="1143"/>
      <c r="I166" s="1143"/>
      <c r="J166" s="1143"/>
      <c r="K166" s="1143"/>
      <c r="L166" s="1143"/>
      <c r="M166" s="1143"/>
      <c r="N166" s="361"/>
      <c r="P166" s="1143"/>
      <c r="Q166" s="1143"/>
      <c r="R166" s="1143"/>
      <c r="S166" s="1143"/>
      <c r="T166" s="1143"/>
      <c r="U166" s="1143"/>
    </row>
    <row r="167" spans="1:44" ht="15" outlineLevel="1" thickBot="1">
      <c r="B167" s="1207"/>
      <c r="C167" s="1143"/>
      <c r="D167" s="1143"/>
      <c r="E167" s="1143"/>
      <c r="F167" s="1143"/>
      <c r="G167" s="1143"/>
      <c r="H167" s="1143"/>
      <c r="I167" s="1143"/>
      <c r="J167" s="1143"/>
      <c r="K167" s="1143"/>
      <c r="L167" s="1143"/>
      <c r="M167" s="1143"/>
      <c r="N167" s="361"/>
      <c r="P167" s="692">
        <v>1</v>
      </c>
      <c r="Q167" s="692">
        <v>2</v>
      </c>
      <c r="R167" s="692">
        <v>3</v>
      </c>
      <c r="S167" s="692">
        <v>4</v>
      </c>
      <c r="T167" s="692">
        <v>5</v>
      </c>
      <c r="U167" s="692">
        <v>6</v>
      </c>
      <c r="V167" s="692">
        <v>7</v>
      </c>
      <c r="W167" s="692">
        <v>8</v>
      </c>
      <c r="X167" s="692">
        <v>9</v>
      </c>
      <c r="Y167" s="692">
        <v>10</v>
      </c>
      <c r="Z167" s="692">
        <v>11</v>
      </c>
      <c r="AA167" s="692">
        <v>12</v>
      </c>
      <c r="AB167" s="692">
        <v>13</v>
      </c>
      <c r="AC167" s="692">
        <v>14</v>
      </c>
    </row>
    <row r="168" spans="1:44" ht="20.55" customHeight="1" outlineLevel="1" thickBot="1">
      <c r="B168" s="362" t="s">
        <v>0</v>
      </c>
      <c r="C168" s="1186" t="s">
        <v>803</v>
      </c>
      <c r="D168" s="1205"/>
      <c r="E168" s="1205"/>
      <c r="F168" s="1205"/>
      <c r="G168" s="1205"/>
      <c r="H168" s="1205"/>
      <c r="I168" s="1205"/>
      <c r="J168" s="1205"/>
      <c r="K168" s="1205"/>
      <c r="L168" s="1206"/>
      <c r="M168" s="363"/>
      <c r="N168" s="363"/>
      <c r="P168" s="364" t="s">
        <v>713</v>
      </c>
      <c r="Q168" s="365"/>
      <c r="R168" s="366"/>
      <c r="S168" s="1176" t="s">
        <v>714</v>
      </c>
      <c r="T168" s="1160" t="s">
        <v>715</v>
      </c>
      <c r="U168" s="1161"/>
      <c r="V168" s="1160" t="s">
        <v>716</v>
      </c>
      <c r="W168" s="1161"/>
      <c r="X168" s="1160" t="s">
        <v>717</v>
      </c>
      <c r="Y168" s="1161"/>
      <c r="Z168" s="1160" t="s">
        <v>718</v>
      </c>
      <c r="AA168" s="1161"/>
      <c r="AB168" s="1160" t="s">
        <v>719</v>
      </c>
      <c r="AC168" s="1161"/>
      <c r="AE168" s="364" t="s">
        <v>720</v>
      </c>
      <c r="AF168" s="365"/>
      <c r="AG168" s="366"/>
      <c r="AH168" s="1176" t="s">
        <v>714</v>
      </c>
      <c r="AI168" s="1160" t="s">
        <v>715</v>
      </c>
      <c r="AJ168" s="1161"/>
      <c r="AK168" s="1160" t="s">
        <v>716</v>
      </c>
      <c r="AL168" s="1161"/>
      <c r="AM168" s="1160" t="s">
        <v>717</v>
      </c>
      <c r="AN168" s="1161"/>
      <c r="AO168" s="1160" t="s">
        <v>718</v>
      </c>
      <c r="AP168" s="1161"/>
      <c r="AQ168" s="1160" t="s">
        <v>719</v>
      </c>
      <c r="AR168" s="1161"/>
    </row>
    <row r="169" spans="1:44" ht="15" customHeight="1" outlineLevel="1" thickBot="1">
      <c r="B169" s="1164" t="s">
        <v>4</v>
      </c>
      <c r="C169" s="1166">
        <v>2020</v>
      </c>
      <c r="D169" s="1166">
        <v>2030</v>
      </c>
      <c r="E169" s="1166">
        <v>2040</v>
      </c>
      <c r="F169" s="1166">
        <v>2050</v>
      </c>
      <c r="G169" s="1221" t="s">
        <v>721</v>
      </c>
      <c r="H169" s="1222"/>
      <c r="I169" s="1221" t="s">
        <v>648</v>
      </c>
      <c r="J169" s="1222"/>
      <c r="K169" s="1189" t="s">
        <v>2</v>
      </c>
      <c r="L169" s="1189" t="s">
        <v>3</v>
      </c>
      <c r="M169" s="367"/>
      <c r="N169" s="367"/>
      <c r="P169" s="1180" t="s">
        <v>0</v>
      </c>
      <c r="Q169" s="368"/>
      <c r="R169" s="368"/>
      <c r="S169" s="1177"/>
      <c r="T169" s="1162"/>
      <c r="U169" s="1163"/>
      <c r="V169" s="1162"/>
      <c r="W169" s="1163"/>
      <c r="X169" s="1162"/>
      <c r="Y169" s="1163"/>
      <c r="Z169" s="1162"/>
      <c r="AA169" s="1163"/>
      <c r="AB169" s="1162"/>
      <c r="AC169" s="1163"/>
      <c r="AE169" s="1180" t="s">
        <v>0</v>
      </c>
      <c r="AF169" s="368"/>
      <c r="AG169" s="368"/>
      <c r="AH169" s="1177"/>
      <c r="AI169" s="1162"/>
      <c r="AJ169" s="1163"/>
      <c r="AK169" s="1162"/>
      <c r="AL169" s="1163"/>
      <c r="AM169" s="1162"/>
      <c r="AN169" s="1163"/>
      <c r="AO169" s="1162"/>
      <c r="AP169" s="1163"/>
      <c r="AQ169" s="1162"/>
      <c r="AR169" s="1163"/>
    </row>
    <row r="170" spans="1:44" ht="15" customHeight="1" outlineLevel="1" thickBot="1">
      <c r="B170" s="1165"/>
      <c r="C170" s="1167"/>
      <c r="D170" s="1167"/>
      <c r="E170" s="1167"/>
      <c r="F170" s="1167"/>
      <c r="G170" s="540" t="s">
        <v>649</v>
      </c>
      <c r="H170" s="540" t="s">
        <v>650</v>
      </c>
      <c r="I170" s="540" t="s">
        <v>649</v>
      </c>
      <c r="J170" s="540" t="s">
        <v>650</v>
      </c>
      <c r="K170" s="1190"/>
      <c r="L170" s="1190"/>
      <c r="M170" s="370"/>
      <c r="N170" s="370"/>
      <c r="P170" s="1181"/>
      <c r="Q170" s="1183" t="s">
        <v>722</v>
      </c>
      <c r="R170" s="1184" t="s">
        <v>723</v>
      </c>
      <c r="S170" s="1178"/>
      <c r="T170" s="1162"/>
      <c r="U170" s="1163"/>
      <c r="V170" s="1162"/>
      <c r="W170" s="1163"/>
      <c r="X170" s="1162"/>
      <c r="Y170" s="1163"/>
      <c r="Z170" s="1162"/>
      <c r="AA170" s="1163"/>
      <c r="AB170" s="1162"/>
      <c r="AC170" s="1163"/>
      <c r="AE170" s="1181"/>
      <c r="AF170" s="1197" t="s">
        <v>722</v>
      </c>
      <c r="AG170" s="1184" t="s">
        <v>723</v>
      </c>
      <c r="AH170" s="1178"/>
      <c r="AI170" s="1162"/>
      <c r="AJ170" s="1163"/>
      <c r="AK170" s="1162"/>
      <c r="AL170" s="1163"/>
      <c r="AM170" s="1162"/>
      <c r="AN170" s="1163"/>
      <c r="AO170" s="1162"/>
      <c r="AP170" s="1163"/>
      <c r="AQ170" s="1162"/>
      <c r="AR170" s="1163"/>
    </row>
    <row r="171" spans="1:44" ht="29.4" outlineLevel="1" thickBot="1">
      <c r="B171" s="371" t="s">
        <v>651</v>
      </c>
      <c r="C171" s="372">
        <v>20</v>
      </c>
      <c r="D171" s="372">
        <v>20</v>
      </c>
      <c r="E171" s="372">
        <v>20</v>
      </c>
      <c r="F171" s="372">
        <v>20</v>
      </c>
      <c r="G171" s="372">
        <v>1</v>
      </c>
      <c r="H171" s="372">
        <v>50</v>
      </c>
      <c r="I171" s="372">
        <v>1</v>
      </c>
      <c r="J171" s="372">
        <v>50</v>
      </c>
      <c r="K171" s="372" t="s">
        <v>6</v>
      </c>
      <c r="L171" s="373" t="s">
        <v>725</v>
      </c>
      <c r="M171" s="370"/>
      <c r="N171" s="370"/>
      <c r="O171" s="74"/>
      <c r="P171" s="1182"/>
      <c r="Q171" s="1179"/>
      <c r="R171" s="1185"/>
      <c r="S171" s="1179"/>
      <c r="T171" s="374" t="s">
        <v>726</v>
      </c>
      <c r="U171" s="375" t="s">
        <v>727</v>
      </c>
      <c r="V171" s="374" t="s">
        <v>726</v>
      </c>
      <c r="W171" s="375" t="s">
        <v>727</v>
      </c>
      <c r="X171" s="374" t="s">
        <v>726</v>
      </c>
      <c r="Y171" s="375" t="s">
        <v>727</v>
      </c>
      <c r="Z171" s="374" t="s">
        <v>726</v>
      </c>
      <c r="AA171" s="375" t="s">
        <v>727</v>
      </c>
      <c r="AB171" s="374" t="s">
        <v>726</v>
      </c>
      <c r="AC171" s="375" t="s">
        <v>727</v>
      </c>
      <c r="AE171" s="1182"/>
      <c r="AF171" s="1198"/>
      <c r="AG171" s="1185"/>
      <c r="AH171" s="1179"/>
      <c r="AI171" s="374" t="s">
        <v>726</v>
      </c>
      <c r="AJ171" s="375" t="s">
        <v>727</v>
      </c>
      <c r="AK171" s="374" t="s">
        <v>726</v>
      </c>
      <c r="AL171" s="375" t="s">
        <v>727</v>
      </c>
      <c r="AM171" s="374" t="s">
        <v>726</v>
      </c>
      <c r="AN171" s="375" t="s">
        <v>727</v>
      </c>
      <c r="AO171" s="374" t="s">
        <v>726</v>
      </c>
      <c r="AP171" s="375" t="s">
        <v>727</v>
      </c>
      <c r="AQ171" s="374" t="s">
        <v>726</v>
      </c>
      <c r="AR171" s="375" t="s">
        <v>727</v>
      </c>
    </row>
    <row r="172" spans="1:44" ht="14.55" customHeight="1" outlineLevel="1">
      <c r="B172" s="541" t="s">
        <v>728</v>
      </c>
      <c r="C172" s="542">
        <v>94</v>
      </c>
      <c r="D172" s="542">
        <f>C172+1</f>
        <v>95</v>
      </c>
      <c r="E172" s="543">
        <f>D172</f>
        <v>95</v>
      </c>
      <c r="F172" s="542">
        <f>D172+1</f>
        <v>96</v>
      </c>
      <c r="G172" s="542">
        <v>90</v>
      </c>
      <c r="H172" s="542">
        <v>96</v>
      </c>
      <c r="I172" s="542">
        <v>90</v>
      </c>
      <c r="J172" s="542">
        <v>98</v>
      </c>
      <c r="K172" s="372" t="s">
        <v>59</v>
      </c>
      <c r="L172" s="373" t="s">
        <v>729</v>
      </c>
      <c r="M172" s="370"/>
      <c r="N172" s="370"/>
      <c r="P172" s="1199" t="str">
        <f>C168</f>
        <v>Hot water boiler, Natural gas or biogas</v>
      </c>
      <c r="Q172" s="1154" t="s">
        <v>730</v>
      </c>
      <c r="R172" s="381" t="s">
        <v>731</v>
      </c>
      <c r="S172" s="382"/>
      <c r="T172" s="1137">
        <v>0</v>
      </c>
      <c r="U172" s="1151">
        <v>0</v>
      </c>
      <c r="V172" s="1137">
        <v>0</v>
      </c>
      <c r="W172" s="1151">
        <v>0</v>
      </c>
      <c r="X172" s="1137">
        <v>0</v>
      </c>
      <c r="Y172" s="1151">
        <v>0</v>
      </c>
      <c r="Z172" s="1137">
        <v>0</v>
      </c>
      <c r="AA172" s="1151">
        <v>0</v>
      </c>
      <c r="AB172" s="1137">
        <v>0</v>
      </c>
      <c r="AC172" s="1151">
        <v>0</v>
      </c>
      <c r="AE172" s="1148" t="str">
        <f>P172</f>
        <v>Hot water boiler, Natural gas or biogas</v>
      </c>
      <c r="AF172" s="1154" t="s">
        <v>730</v>
      </c>
      <c r="AG172" s="381" t="s">
        <v>731</v>
      </c>
      <c r="AH172" s="382"/>
      <c r="AI172" s="1137">
        <v>0</v>
      </c>
      <c r="AJ172" s="1151">
        <v>0</v>
      </c>
      <c r="AK172" s="1137">
        <v>0</v>
      </c>
      <c r="AL172" s="1151">
        <v>0</v>
      </c>
      <c r="AM172" s="1137">
        <v>0</v>
      </c>
      <c r="AN172" s="1151">
        <v>0</v>
      </c>
      <c r="AO172" s="1137">
        <v>0</v>
      </c>
      <c r="AP172" s="1151">
        <v>0</v>
      </c>
      <c r="AQ172" s="1137">
        <v>0</v>
      </c>
      <c r="AR172" s="1151">
        <v>0</v>
      </c>
    </row>
    <row r="173" spans="1:44" outlineLevel="1">
      <c r="B173" s="383" t="s">
        <v>732</v>
      </c>
      <c r="C173" s="384">
        <f t="shared" ref="C173:J173" si="9">C172-1</f>
        <v>93</v>
      </c>
      <c r="D173" s="384">
        <f t="shared" si="9"/>
        <v>94</v>
      </c>
      <c r="E173" s="384">
        <f t="shared" si="9"/>
        <v>94</v>
      </c>
      <c r="F173" s="384">
        <f t="shared" si="9"/>
        <v>95</v>
      </c>
      <c r="G173" s="505">
        <f t="shared" si="9"/>
        <v>89</v>
      </c>
      <c r="H173" s="505">
        <f t="shared" si="9"/>
        <v>95</v>
      </c>
      <c r="I173" s="505">
        <f t="shared" si="9"/>
        <v>89</v>
      </c>
      <c r="J173" s="505">
        <f t="shared" si="9"/>
        <v>97</v>
      </c>
      <c r="K173" s="372"/>
      <c r="L173" s="373" t="s">
        <v>729</v>
      </c>
      <c r="M173" s="370"/>
      <c r="N173" s="370"/>
      <c r="O173" s="71"/>
      <c r="P173" s="1195"/>
      <c r="Q173" s="1155"/>
      <c r="R173" s="388" t="s">
        <v>733</v>
      </c>
      <c r="S173" s="389"/>
      <c r="T173" s="1140"/>
      <c r="U173" s="1152"/>
      <c r="V173" s="1140"/>
      <c r="W173" s="1152"/>
      <c r="X173" s="1140"/>
      <c r="Y173" s="1152"/>
      <c r="Z173" s="1140"/>
      <c r="AA173" s="1152"/>
      <c r="AB173" s="1140"/>
      <c r="AC173" s="1152"/>
      <c r="AE173" s="1195"/>
      <c r="AF173" s="1155"/>
      <c r="AG173" s="388" t="s">
        <v>733</v>
      </c>
      <c r="AH173" s="389"/>
      <c r="AI173" s="1140"/>
      <c r="AJ173" s="1152"/>
      <c r="AK173" s="1140"/>
      <c r="AL173" s="1152"/>
      <c r="AM173" s="1140"/>
      <c r="AN173" s="1152"/>
      <c r="AO173" s="1140"/>
      <c r="AP173" s="1152"/>
      <c r="AQ173" s="1140"/>
      <c r="AR173" s="1152"/>
    </row>
    <row r="174" spans="1:44" ht="15" outlineLevel="1" thickBot="1">
      <c r="B174" s="541" t="s">
        <v>734</v>
      </c>
      <c r="C174" s="544">
        <v>0.14000000000000001</v>
      </c>
      <c r="D174" s="545">
        <v>0.12</v>
      </c>
      <c r="E174" s="545">
        <v>0.11</v>
      </c>
      <c r="F174" s="546">
        <v>0.1</v>
      </c>
      <c r="G174" s="545">
        <v>0.1</v>
      </c>
      <c r="H174" s="545">
        <v>0.14000000000000001</v>
      </c>
      <c r="I174" s="545">
        <v>0.08</v>
      </c>
      <c r="J174" s="545">
        <v>0.12</v>
      </c>
      <c r="K174" s="547"/>
      <c r="L174" s="548">
        <v>3</v>
      </c>
      <c r="M174" s="370"/>
      <c r="N174" s="370"/>
      <c r="O174" s="71"/>
      <c r="P174" s="1195"/>
      <c r="Q174" s="1156"/>
      <c r="R174" s="393" t="s">
        <v>735</v>
      </c>
      <c r="S174" s="394"/>
      <c r="T174" s="1141"/>
      <c r="U174" s="1153"/>
      <c r="V174" s="1141"/>
      <c r="W174" s="1153"/>
      <c r="X174" s="1141"/>
      <c r="Y174" s="1153"/>
      <c r="Z174" s="1141"/>
      <c r="AA174" s="1153"/>
      <c r="AB174" s="1141"/>
      <c r="AC174" s="1153"/>
      <c r="AE174" s="1195"/>
      <c r="AF174" s="1156"/>
      <c r="AG174" s="393" t="s">
        <v>735</v>
      </c>
      <c r="AH174" s="394"/>
      <c r="AI174" s="1141"/>
      <c r="AJ174" s="1153"/>
      <c r="AK174" s="1141"/>
      <c r="AL174" s="1153"/>
      <c r="AM174" s="1141"/>
      <c r="AN174" s="1153"/>
      <c r="AO174" s="1141"/>
      <c r="AP174" s="1153"/>
      <c r="AQ174" s="1141"/>
      <c r="AR174" s="1153"/>
    </row>
    <row r="175" spans="1:44" ht="14.55" customHeight="1" outlineLevel="1">
      <c r="B175" s="541" t="s">
        <v>657</v>
      </c>
      <c r="C175" s="544">
        <v>1</v>
      </c>
      <c r="D175" s="544">
        <v>1</v>
      </c>
      <c r="E175" s="544">
        <v>1</v>
      </c>
      <c r="F175" s="544">
        <v>1</v>
      </c>
      <c r="G175" s="544">
        <v>0.08</v>
      </c>
      <c r="H175" s="544">
        <v>2</v>
      </c>
      <c r="I175" s="544">
        <v>0.08</v>
      </c>
      <c r="J175" s="544">
        <v>2</v>
      </c>
      <c r="K175" s="547"/>
      <c r="L175" s="548">
        <v>3</v>
      </c>
      <c r="M175" s="370"/>
      <c r="N175" s="370"/>
      <c r="O175" s="71"/>
      <c r="P175" s="1195"/>
      <c r="Q175" s="1154" t="s">
        <v>736</v>
      </c>
      <c r="R175" s="395" t="s">
        <v>737</v>
      </c>
      <c r="S175" s="396" t="s">
        <v>738</v>
      </c>
      <c r="T175" s="1137">
        <v>0</v>
      </c>
      <c r="U175" s="1137">
        <v>0.67</v>
      </c>
      <c r="V175" s="1137">
        <v>0</v>
      </c>
      <c r="W175" s="1137">
        <v>0.56999999999999995</v>
      </c>
      <c r="X175" s="1137">
        <v>0</v>
      </c>
      <c r="Y175" s="1137">
        <v>0.5</v>
      </c>
      <c r="Z175" s="1137">
        <v>0</v>
      </c>
      <c r="AA175" s="1137">
        <v>0.51</v>
      </c>
      <c r="AB175" s="1137">
        <v>0</v>
      </c>
      <c r="AC175" s="1137">
        <v>0.41</v>
      </c>
      <c r="AE175" s="1195"/>
      <c r="AF175" s="1154" t="s">
        <v>736</v>
      </c>
      <c r="AG175" s="395" t="s">
        <v>737</v>
      </c>
      <c r="AH175" s="396" t="s">
        <v>738</v>
      </c>
      <c r="AI175" s="1137">
        <v>0</v>
      </c>
      <c r="AJ175" s="1137">
        <f>U175/4</f>
        <v>0.16750000000000001</v>
      </c>
      <c r="AK175" s="1137">
        <v>0</v>
      </c>
      <c r="AL175" s="1137">
        <f>W175/4</f>
        <v>0.14249999999999999</v>
      </c>
      <c r="AM175" s="1137">
        <v>0</v>
      </c>
      <c r="AN175" s="1137">
        <f>Y175/4</f>
        <v>0.125</v>
      </c>
      <c r="AO175" s="1137">
        <v>0</v>
      </c>
      <c r="AP175" s="1137">
        <f>AA175/4</f>
        <v>0.1275</v>
      </c>
      <c r="AQ175" s="1137">
        <v>0</v>
      </c>
      <c r="AR175" s="1137">
        <f>AC175/4</f>
        <v>0.10249999999999999</v>
      </c>
    </row>
    <row r="176" spans="1:44" outlineLevel="1">
      <c r="B176" s="541" t="s">
        <v>658</v>
      </c>
      <c r="C176" s="544">
        <v>0.4</v>
      </c>
      <c r="D176" s="544">
        <v>0.4</v>
      </c>
      <c r="E176" s="544">
        <v>0.4</v>
      </c>
      <c r="F176" s="544">
        <v>0.4</v>
      </c>
      <c r="G176" s="544">
        <v>0.3</v>
      </c>
      <c r="H176" s="544">
        <v>0.6</v>
      </c>
      <c r="I176" s="544">
        <v>0.3</v>
      </c>
      <c r="J176" s="544">
        <v>0.6</v>
      </c>
      <c r="K176" s="547"/>
      <c r="L176" s="548">
        <v>3</v>
      </c>
      <c r="M176" s="367"/>
      <c r="N176" s="367"/>
      <c r="O176" s="71"/>
      <c r="P176" s="1195"/>
      <c r="Q176" s="1155"/>
      <c r="R176" s="395" t="s">
        <v>739</v>
      </c>
      <c r="S176" s="396" t="s">
        <v>738</v>
      </c>
      <c r="T176" s="1138"/>
      <c r="U176" s="1138"/>
      <c r="V176" s="1138"/>
      <c r="W176" s="1138"/>
      <c r="X176" s="1138"/>
      <c r="Y176" s="1138"/>
      <c r="Z176" s="1138"/>
      <c r="AA176" s="1138"/>
      <c r="AB176" s="1138"/>
      <c r="AC176" s="1138"/>
      <c r="AE176" s="1195"/>
      <c r="AF176" s="1155"/>
      <c r="AG176" s="395" t="s">
        <v>739</v>
      </c>
      <c r="AH176" s="396" t="s">
        <v>738</v>
      </c>
      <c r="AI176" s="1138"/>
      <c r="AJ176" s="1138"/>
      <c r="AK176" s="1138"/>
      <c r="AL176" s="1138"/>
      <c r="AM176" s="1138"/>
      <c r="AN176" s="1138"/>
      <c r="AO176" s="1138"/>
      <c r="AP176" s="1138"/>
      <c r="AQ176" s="1138"/>
      <c r="AR176" s="1138"/>
    </row>
    <row r="177" spans="1:44" outlineLevel="1">
      <c r="B177" s="383" t="s">
        <v>11</v>
      </c>
      <c r="C177" s="397">
        <v>25</v>
      </c>
      <c r="D177" s="397">
        <v>25</v>
      </c>
      <c r="E177" s="397">
        <v>25</v>
      </c>
      <c r="F177" s="399">
        <v>25</v>
      </c>
      <c r="G177" s="399">
        <v>25</v>
      </c>
      <c r="H177" s="399">
        <v>30</v>
      </c>
      <c r="I177" s="399">
        <v>25</v>
      </c>
      <c r="J177" s="399">
        <v>30</v>
      </c>
      <c r="K177" s="372"/>
      <c r="L177" s="373" t="s">
        <v>740</v>
      </c>
      <c r="M177" s="363"/>
      <c r="N177" s="363"/>
      <c r="P177" s="1195"/>
      <c r="Q177" s="1155"/>
      <c r="R177" s="395" t="s">
        <v>741</v>
      </c>
      <c r="S177" s="396"/>
      <c r="T177" s="1138"/>
      <c r="U177" s="1138"/>
      <c r="V177" s="1138"/>
      <c r="W177" s="1138"/>
      <c r="X177" s="1138"/>
      <c r="Y177" s="1138"/>
      <c r="Z177" s="1138"/>
      <c r="AA177" s="1138"/>
      <c r="AB177" s="1138"/>
      <c r="AC177" s="1138"/>
      <c r="AE177" s="1195"/>
      <c r="AF177" s="1155"/>
      <c r="AG177" s="395" t="s">
        <v>741</v>
      </c>
      <c r="AH177" s="396" t="s">
        <v>738</v>
      </c>
      <c r="AI177" s="1138"/>
      <c r="AJ177" s="1138"/>
      <c r="AK177" s="1138"/>
      <c r="AL177" s="1138"/>
      <c r="AM177" s="1138"/>
      <c r="AN177" s="1138"/>
      <c r="AO177" s="1138"/>
      <c r="AP177" s="1138"/>
      <c r="AQ177" s="1138"/>
      <c r="AR177" s="1138"/>
    </row>
    <row r="178" spans="1:44" ht="15" outlineLevel="1" thickBot="1">
      <c r="B178" s="541" t="s">
        <v>273</v>
      </c>
      <c r="C178" s="544">
        <v>0.5</v>
      </c>
      <c r="D178" s="544">
        <v>0.5</v>
      </c>
      <c r="E178" s="544">
        <v>0.5</v>
      </c>
      <c r="F178" s="544">
        <v>0.5</v>
      </c>
      <c r="G178" s="544">
        <v>0.2</v>
      </c>
      <c r="H178" s="544">
        <v>0.7</v>
      </c>
      <c r="I178" s="544">
        <v>0.2</v>
      </c>
      <c r="J178" s="544">
        <v>0.7</v>
      </c>
      <c r="K178" s="372"/>
      <c r="L178" s="400"/>
      <c r="M178" s="363"/>
      <c r="N178" s="363"/>
      <c r="P178" s="1195"/>
      <c r="Q178" s="1155"/>
      <c r="R178" s="395" t="s">
        <v>742</v>
      </c>
      <c r="S178" s="396" t="s">
        <v>738</v>
      </c>
      <c r="T178" s="1138"/>
      <c r="U178" s="1138"/>
      <c r="V178" s="1138"/>
      <c r="W178" s="1138"/>
      <c r="X178" s="1138"/>
      <c r="Y178" s="1138"/>
      <c r="Z178" s="1138"/>
      <c r="AA178" s="1138"/>
      <c r="AB178" s="1138"/>
      <c r="AC178" s="1138"/>
      <c r="AE178" s="1195"/>
      <c r="AF178" s="1155"/>
      <c r="AG178" s="395" t="s">
        <v>742</v>
      </c>
      <c r="AH178" s="396"/>
      <c r="AI178" s="1138"/>
      <c r="AJ178" s="1138"/>
      <c r="AK178" s="1138"/>
      <c r="AL178" s="1138"/>
      <c r="AM178" s="1138"/>
      <c r="AN178" s="1138"/>
      <c r="AO178" s="1138"/>
      <c r="AP178" s="1138"/>
      <c r="AQ178" s="1138"/>
      <c r="AR178" s="1138"/>
    </row>
    <row r="179" spans="1:44" ht="15" outlineLevel="1" thickBot="1">
      <c r="B179" s="401" t="s">
        <v>743</v>
      </c>
      <c r="C179" s="402"/>
      <c r="D179" s="403"/>
      <c r="E179" s="404"/>
      <c r="F179" s="405"/>
      <c r="G179" s="406"/>
      <c r="H179" s="406"/>
      <c r="I179" s="406"/>
      <c r="J179" s="406"/>
      <c r="K179" s="407"/>
      <c r="L179" s="408"/>
      <c r="M179" s="363"/>
      <c r="N179" s="363"/>
      <c r="P179" s="1195"/>
      <c r="Q179" s="1155"/>
      <c r="R179" s="409" t="s">
        <v>744</v>
      </c>
      <c r="S179" s="410" t="s">
        <v>738</v>
      </c>
      <c r="T179" s="1139"/>
      <c r="U179" s="1139"/>
      <c r="V179" s="1139"/>
      <c r="W179" s="1139"/>
      <c r="X179" s="1139"/>
      <c r="Y179" s="1139"/>
      <c r="Z179" s="1139"/>
      <c r="AA179" s="1139"/>
      <c r="AB179" s="1139"/>
      <c r="AC179" s="1139"/>
      <c r="AE179" s="1195"/>
      <c r="AF179" s="1155"/>
      <c r="AG179" s="409" t="s">
        <v>744</v>
      </c>
      <c r="AH179" s="410" t="s">
        <v>738</v>
      </c>
      <c r="AI179" s="1139"/>
      <c r="AJ179" s="1139"/>
      <c r="AK179" s="1139"/>
      <c r="AL179" s="1139"/>
      <c r="AM179" s="1139"/>
      <c r="AN179" s="1139"/>
      <c r="AO179" s="1139"/>
      <c r="AP179" s="1139"/>
      <c r="AQ179" s="1139"/>
      <c r="AR179" s="1139"/>
    </row>
    <row r="180" spans="1:44" ht="29.4" outlineLevel="1" thickBot="1">
      <c r="B180" s="541" t="s">
        <v>663</v>
      </c>
      <c r="C180" s="544">
        <v>15</v>
      </c>
      <c r="D180" s="544">
        <v>15</v>
      </c>
      <c r="E180" s="544">
        <v>15</v>
      </c>
      <c r="F180" s="544">
        <v>15</v>
      </c>
      <c r="G180" s="545"/>
      <c r="H180" s="545"/>
      <c r="I180" s="545"/>
      <c r="J180" s="545"/>
      <c r="K180" s="547"/>
      <c r="L180" s="548">
        <v>3</v>
      </c>
      <c r="M180" s="363"/>
      <c r="N180" s="363"/>
      <c r="P180" s="1196"/>
      <c r="Q180" s="411" t="s">
        <v>745</v>
      </c>
      <c r="R180" s="412" t="s">
        <v>746</v>
      </c>
      <c r="S180" s="413" t="s">
        <v>738</v>
      </c>
      <c r="T180" s="414">
        <v>1</v>
      </c>
      <c r="U180" s="415">
        <v>1</v>
      </c>
      <c r="V180" s="416">
        <v>1</v>
      </c>
      <c r="W180" s="415">
        <v>1</v>
      </c>
      <c r="X180" s="416">
        <v>1</v>
      </c>
      <c r="Y180" s="415">
        <v>1</v>
      </c>
      <c r="Z180" s="416">
        <v>1</v>
      </c>
      <c r="AA180" s="415">
        <v>1</v>
      </c>
      <c r="AB180" s="416">
        <v>1</v>
      </c>
      <c r="AC180" s="417">
        <v>1</v>
      </c>
      <c r="AE180" s="1196"/>
      <c r="AF180" s="411" t="s">
        <v>745</v>
      </c>
      <c r="AG180" s="412" t="s">
        <v>746</v>
      </c>
      <c r="AH180" s="413" t="s">
        <v>738</v>
      </c>
      <c r="AI180" s="414">
        <v>1</v>
      </c>
      <c r="AJ180" s="415">
        <v>1</v>
      </c>
      <c r="AK180" s="416">
        <v>1</v>
      </c>
      <c r="AL180" s="415">
        <v>1</v>
      </c>
      <c r="AM180" s="416">
        <v>1</v>
      </c>
      <c r="AN180" s="415">
        <v>1</v>
      </c>
      <c r="AO180" s="416">
        <v>1</v>
      </c>
      <c r="AP180" s="415">
        <v>1</v>
      </c>
      <c r="AQ180" s="416">
        <v>1</v>
      </c>
      <c r="AR180" s="417">
        <v>1</v>
      </c>
    </row>
    <row r="181" spans="1:44" outlineLevel="1">
      <c r="B181" s="541" t="s">
        <v>664</v>
      </c>
      <c r="C181" s="544">
        <v>0.1</v>
      </c>
      <c r="D181" s="544">
        <v>0.1</v>
      </c>
      <c r="E181" s="544">
        <v>0.1</v>
      </c>
      <c r="F181" s="544">
        <v>0.1</v>
      </c>
      <c r="G181" s="549"/>
      <c r="H181" s="549"/>
      <c r="I181" s="549"/>
      <c r="J181" s="549"/>
      <c r="K181" s="550"/>
      <c r="L181" s="548">
        <v>3</v>
      </c>
      <c r="M181" s="363"/>
      <c r="N181" s="363"/>
    </row>
    <row r="182" spans="1:44" outlineLevel="1">
      <c r="B182" s="541" t="s">
        <v>666</v>
      </c>
      <c r="C182" s="544">
        <v>0.4</v>
      </c>
      <c r="D182" s="544">
        <v>0.4</v>
      </c>
      <c r="E182" s="544">
        <v>0.4</v>
      </c>
      <c r="F182" s="544">
        <v>0.4</v>
      </c>
      <c r="G182" s="549"/>
      <c r="H182" s="549"/>
      <c r="I182" s="549"/>
      <c r="J182" s="549"/>
      <c r="K182" s="550"/>
      <c r="L182" s="548">
        <v>3</v>
      </c>
      <c r="M182" s="420"/>
      <c r="N182" s="363"/>
    </row>
    <row r="183" spans="1:44" outlineLevel="1">
      <c r="B183" s="421" t="s">
        <v>12</v>
      </c>
      <c r="C183" s="399"/>
      <c r="D183" s="399"/>
      <c r="E183" s="399"/>
      <c r="F183" s="399"/>
      <c r="G183" s="422"/>
      <c r="H183" s="422"/>
      <c r="I183" s="422"/>
      <c r="J183" s="422"/>
      <c r="K183" s="423"/>
      <c r="L183" s="424"/>
      <c r="M183" s="420"/>
      <c r="N183" s="420"/>
    </row>
    <row r="184" spans="1:44" ht="15.6" outlineLevel="1">
      <c r="B184" s="383" t="s">
        <v>747</v>
      </c>
      <c r="C184" s="397">
        <v>0.3</v>
      </c>
      <c r="D184" s="397">
        <v>0.3</v>
      </c>
      <c r="E184" s="397">
        <v>0.3</v>
      </c>
      <c r="F184" s="397">
        <v>0.3</v>
      </c>
      <c r="G184" s="422"/>
      <c r="H184" s="425"/>
      <c r="I184" s="425"/>
      <c r="J184" s="425"/>
      <c r="K184" s="426" t="s">
        <v>16</v>
      </c>
      <c r="L184" s="427" t="s">
        <v>748</v>
      </c>
      <c r="M184" s="428"/>
      <c r="N184" s="428"/>
    </row>
    <row r="185" spans="1:44" outlineLevel="1">
      <c r="B185" s="383" t="s">
        <v>749</v>
      </c>
      <c r="C185" s="397">
        <v>0.1</v>
      </c>
      <c r="D185" s="397">
        <v>0.1</v>
      </c>
      <c r="E185" s="397">
        <v>0.1</v>
      </c>
      <c r="F185" s="397">
        <v>0.1</v>
      </c>
      <c r="G185" s="425"/>
      <c r="H185" s="425"/>
      <c r="I185" s="425"/>
      <c r="J185" s="425"/>
      <c r="K185" s="423"/>
      <c r="L185" s="427">
        <v>9</v>
      </c>
      <c r="M185" s="428"/>
      <c r="N185" s="428"/>
    </row>
    <row r="186" spans="1:44" ht="15.6" outlineLevel="1">
      <c r="B186" s="383" t="s">
        <v>750</v>
      </c>
      <c r="C186" s="397">
        <v>9</v>
      </c>
      <c r="D186" s="397">
        <v>7</v>
      </c>
      <c r="E186" s="397">
        <v>6</v>
      </c>
      <c r="F186" s="397">
        <v>6</v>
      </c>
      <c r="G186" s="425"/>
      <c r="H186" s="425"/>
      <c r="I186" s="425"/>
      <c r="J186" s="425"/>
      <c r="K186" s="423"/>
      <c r="L186" s="427" t="s">
        <v>748</v>
      </c>
      <c r="M186" s="428"/>
      <c r="N186" s="428"/>
      <c r="T186" s="224">
        <f>C$23</f>
        <v>0.3</v>
      </c>
      <c r="U186" s="224">
        <f t="shared" ref="U186:V186" si="10">D$23</f>
        <v>0.3</v>
      </c>
      <c r="V186" s="224">
        <f t="shared" si="10"/>
        <v>0.3</v>
      </c>
    </row>
    <row r="187" spans="1:44" outlineLevel="1">
      <c r="B187" s="383" t="s">
        <v>366</v>
      </c>
      <c r="C187" s="397">
        <v>3</v>
      </c>
      <c r="D187" s="397">
        <v>2</v>
      </c>
      <c r="E187" s="397">
        <v>2</v>
      </c>
      <c r="F187" s="397">
        <v>2</v>
      </c>
      <c r="G187" s="425"/>
      <c r="H187" s="425"/>
      <c r="I187" s="425"/>
      <c r="J187" s="425"/>
      <c r="K187" s="423"/>
      <c r="L187" s="427" t="s">
        <v>748</v>
      </c>
      <c r="M187" s="428"/>
      <c r="N187" s="428"/>
    </row>
    <row r="188" spans="1:44" ht="15" outlineLevel="1" thickBot="1">
      <c r="B188" s="429" t="s">
        <v>367</v>
      </c>
      <c r="C188" s="430">
        <v>1</v>
      </c>
      <c r="D188" s="430">
        <v>1</v>
      </c>
      <c r="E188" s="430">
        <v>1</v>
      </c>
      <c r="F188" s="430">
        <v>1</v>
      </c>
      <c r="G188" s="425"/>
      <c r="H188" s="425"/>
      <c r="I188" s="425"/>
      <c r="J188" s="425"/>
      <c r="K188" s="423"/>
      <c r="L188" s="427" t="s">
        <v>748</v>
      </c>
      <c r="M188" s="428"/>
      <c r="N188" s="428"/>
    </row>
    <row r="189" spans="1:44" ht="15" outlineLevel="1" thickBot="1">
      <c r="B189" s="431" t="s">
        <v>674</v>
      </c>
      <c r="C189" s="432"/>
      <c r="D189" s="403"/>
      <c r="E189" s="403"/>
      <c r="F189" s="433"/>
      <c r="G189" s="434"/>
      <c r="H189" s="406"/>
      <c r="I189" s="406"/>
      <c r="J189" s="406"/>
      <c r="K189" s="407"/>
      <c r="L189" s="408"/>
      <c r="M189" s="428"/>
      <c r="N189" s="428"/>
    </row>
    <row r="190" spans="1:44" ht="43.2" outlineLevel="1">
      <c r="A190" s="435" t="s">
        <v>797</v>
      </c>
      <c r="B190" s="436" t="s">
        <v>792</v>
      </c>
      <c r="C190" s="551">
        <f>0.06/1.1*0.8</f>
        <v>4.3636363636363633E-2</v>
      </c>
      <c r="D190" s="438">
        <f>0.05/1.1*0.8</f>
        <v>3.6363636363636369E-2</v>
      </c>
      <c r="E190" s="438">
        <f>0.05/1.1*0.8</f>
        <v>3.6363636363636369E-2</v>
      </c>
      <c r="F190" s="439">
        <f>0.05/1.1*0.8</f>
        <v>3.6363636363636369E-2</v>
      </c>
      <c r="G190" s="425"/>
      <c r="H190" s="425"/>
      <c r="I190" s="425"/>
      <c r="J190" s="425"/>
      <c r="K190" s="426" t="s">
        <v>20</v>
      </c>
      <c r="L190" s="440" t="s">
        <v>753</v>
      </c>
      <c r="M190" s="420"/>
      <c r="N190" s="420"/>
    </row>
    <row r="191" spans="1:44" outlineLevel="1">
      <c r="B191" s="441" t="s">
        <v>754</v>
      </c>
      <c r="C191" s="442">
        <v>60</v>
      </c>
      <c r="D191" s="443">
        <v>60</v>
      </c>
      <c r="E191" s="443">
        <v>60</v>
      </c>
      <c r="F191" s="443">
        <v>60</v>
      </c>
      <c r="G191" s="425"/>
      <c r="H191" s="425"/>
      <c r="I191" s="425"/>
      <c r="J191" s="425"/>
      <c r="K191" s="444"/>
      <c r="L191" s="373">
        <v>3</v>
      </c>
      <c r="M191" s="71"/>
      <c r="N191" s="420"/>
    </row>
    <row r="192" spans="1:44" outlineLevel="1">
      <c r="B192" s="441" t="s">
        <v>755</v>
      </c>
      <c r="C192" s="442">
        <f>100-C191</f>
        <v>40</v>
      </c>
      <c r="D192" s="442">
        <f>100-D191</f>
        <v>40</v>
      </c>
      <c r="E192" s="442">
        <f>100-E191</f>
        <v>40</v>
      </c>
      <c r="F192" s="442">
        <f>100-F191</f>
        <v>40</v>
      </c>
      <c r="G192" s="425"/>
      <c r="H192" s="425"/>
      <c r="I192" s="425"/>
      <c r="J192" s="425"/>
      <c r="K192" s="444"/>
      <c r="L192" s="373">
        <v>3</v>
      </c>
      <c r="M192" s="420"/>
      <c r="N192" s="420"/>
    </row>
    <row r="193" spans="2:30" outlineLevel="1">
      <c r="B193" s="383" t="s">
        <v>793</v>
      </c>
      <c r="C193" s="445">
        <f>2000/1000</f>
        <v>2</v>
      </c>
      <c r="D193" s="446">
        <f>1900/1000</f>
        <v>1.9</v>
      </c>
      <c r="E193" s="446">
        <f>1800/1000</f>
        <v>1.8</v>
      </c>
      <c r="F193" s="447">
        <f>1700/1000</f>
        <v>1.7</v>
      </c>
      <c r="G193" s="425"/>
      <c r="H193" s="425"/>
      <c r="I193" s="425"/>
      <c r="J193" s="425"/>
      <c r="K193" s="448"/>
      <c r="L193" s="373">
        <v>3</v>
      </c>
      <c r="M193" s="420"/>
      <c r="N193" s="420"/>
    </row>
    <row r="194" spans="2:30" outlineLevel="1">
      <c r="B194" s="383" t="s">
        <v>794</v>
      </c>
      <c r="C194" s="449">
        <f>1.1/3.6</f>
        <v>0.30555555555555558</v>
      </c>
      <c r="D194" s="449">
        <f>1/3.6</f>
        <v>0.27777777777777779</v>
      </c>
      <c r="E194" s="449">
        <f>1/3.6</f>
        <v>0.27777777777777779</v>
      </c>
      <c r="F194" s="449">
        <f>1/3.6</f>
        <v>0.27777777777777779</v>
      </c>
      <c r="G194" s="425"/>
      <c r="H194" s="425"/>
      <c r="I194" s="425"/>
      <c r="J194" s="425"/>
      <c r="K194" s="448"/>
      <c r="L194" s="373">
        <v>3</v>
      </c>
      <c r="M194" s="450"/>
      <c r="N194" s="361"/>
      <c r="P194" s="1142">
        <f>C194</f>
        <v>0.30555555555555558</v>
      </c>
      <c r="Q194" s="1143"/>
      <c r="R194" s="1143"/>
      <c r="S194" s="1143"/>
      <c r="T194" s="1143"/>
      <c r="U194" s="1144"/>
    </row>
    <row r="195" spans="2:30" ht="15" outlineLevel="1" thickBot="1">
      <c r="B195" s="541" t="s">
        <v>758</v>
      </c>
      <c r="C195" s="552">
        <f>C174/100*73</f>
        <v>0.10220000000000001</v>
      </c>
      <c r="D195" s="552">
        <f>D174/100*75</f>
        <v>0.09</v>
      </c>
      <c r="E195" s="552">
        <f>E174/100*76</f>
        <v>8.3600000000000008E-2</v>
      </c>
      <c r="F195" s="552">
        <f>F174/100*76</f>
        <v>7.5999999999999998E-2</v>
      </c>
      <c r="G195" s="553"/>
      <c r="H195" s="553"/>
      <c r="I195" s="553"/>
      <c r="J195" s="553"/>
      <c r="K195" s="547" t="s">
        <v>76</v>
      </c>
      <c r="L195" s="548">
        <v>3</v>
      </c>
      <c r="M195" s="450"/>
      <c r="N195" s="361"/>
      <c r="P195" s="1134">
        <f>C195</f>
        <v>0.10220000000000001</v>
      </c>
      <c r="Q195" s="1135"/>
      <c r="R195" s="1135"/>
      <c r="S195" s="1135"/>
      <c r="T195" s="1135"/>
      <c r="U195" s="1136"/>
    </row>
    <row r="196" spans="2:30" outlineLevel="1">
      <c r="B196" s="541" t="s">
        <v>759</v>
      </c>
      <c r="C196" s="554">
        <f>C194-C195</f>
        <v>0.20335555555555557</v>
      </c>
      <c r="D196" s="554">
        <f>D194-D195</f>
        <v>0.18777777777777779</v>
      </c>
      <c r="E196" s="554">
        <f>E194-E195</f>
        <v>0.19417777777777778</v>
      </c>
      <c r="F196" s="554">
        <f>F194-F195</f>
        <v>0.20177777777777778</v>
      </c>
      <c r="G196" s="553"/>
      <c r="H196" s="553"/>
      <c r="I196" s="553"/>
      <c r="J196" s="553"/>
      <c r="K196" s="555"/>
      <c r="L196" s="548">
        <v>3</v>
      </c>
      <c r="M196" s="363"/>
      <c r="N196" s="363"/>
      <c r="P196" s="53" t="s">
        <v>357</v>
      </c>
    </row>
    <row r="197" spans="2:30" ht="27.6" outlineLevel="1">
      <c r="B197" s="441"/>
      <c r="C197" s="456"/>
      <c r="D197" s="456"/>
      <c r="E197" s="456"/>
      <c r="F197" s="456"/>
      <c r="G197" s="425"/>
      <c r="H197" s="425"/>
      <c r="I197" s="425"/>
      <c r="J197" s="425"/>
      <c r="K197" s="444"/>
      <c r="L197" s="424"/>
      <c r="M197" s="367"/>
      <c r="N197" s="36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4.6" outlineLevel="1" thickBot="1">
      <c r="B198" s="441"/>
      <c r="C198" s="442"/>
      <c r="D198" s="457"/>
      <c r="E198" s="457"/>
      <c r="F198" s="458"/>
      <c r="G198" s="425"/>
      <c r="H198" s="425"/>
      <c r="I198" s="425"/>
      <c r="J198" s="425"/>
      <c r="K198" s="448"/>
      <c r="L198" s="424"/>
      <c r="M198" s="363"/>
      <c r="N198" s="363"/>
      <c r="P198" s="50"/>
      <c r="Q198" s="50"/>
      <c r="R198" s="51"/>
      <c r="S198" s="51"/>
      <c r="T198" s="51"/>
      <c r="U198" s="51" t="s">
        <v>760</v>
      </c>
      <c r="V198" s="50" t="s">
        <v>761</v>
      </c>
      <c r="W198" s="50"/>
      <c r="X198" s="50"/>
      <c r="Y198" s="50"/>
      <c r="Z198" s="50"/>
      <c r="AA198" s="50"/>
      <c r="AB198" s="50"/>
      <c r="AC198" s="50"/>
      <c r="AD198" s="50"/>
    </row>
    <row r="199" spans="2:30" ht="43.8" outlineLevel="1" thickBot="1">
      <c r="B199" s="401" t="s">
        <v>682</v>
      </c>
      <c r="C199" s="402"/>
      <c r="D199" s="403"/>
      <c r="E199" s="404"/>
      <c r="F199" s="405"/>
      <c r="G199" s="406"/>
      <c r="H199" s="406"/>
      <c r="I199" s="406"/>
      <c r="J199" s="406"/>
      <c r="K199" s="459"/>
      <c r="L199" s="460"/>
      <c r="M199" s="363"/>
      <c r="N199" s="363"/>
      <c r="O199" s="461" t="s">
        <v>732</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56" t="s">
        <v>762</v>
      </c>
      <c r="C200" s="557">
        <v>3.5000000000000003E-2</v>
      </c>
      <c r="D200" s="557">
        <v>0.03</v>
      </c>
      <c r="E200" s="557">
        <v>0.03</v>
      </c>
      <c r="F200" s="557">
        <v>0.03</v>
      </c>
      <c r="G200" s="558"/>
      <c r="H200" s="558"/>
      <c r="I200" s="558"/>
      <c r="J200" s="558"/>
      <c r="K200" s="558" t="s">
        <v>25</v>
      </c>
      <c r="L200" s="559"/>
      <c r="M200" s="363"/>
      <c r="N200" s="363"/>
      <c r="O200" s="465">
        <f>C173</f>
        <v>93</v>
      </c>
      <c r="P200" s="466">
        <f>C169</f>
        <v>2020</v>
      </c>
      <c r="Q200" s="58">
        <f>P200</f>
        <v>2020</v>
      </c>
      <c r="R200" s="466">
        <f>O200/100</f>
        <v>0.93</v>
      </c>
      <c r="S200" s="58"/>
      <c r="T200" s="466">
        <f>C177</f>
        <v>25</v>
      </c>
      <c r="U200" s="467">
        <f>C207</f>
        <v>325.09090909090912</v>
      </c>
      <c r="V200" s="467">
        <f>C209</f>
        <v>14.9</v>
      </c>
      <c r="W200" s="467">
        <f>C210</f>
        <v>2.276388888888889</v>
      </c>
      <c r="X200" s="58"/>
      <c r="Y200" s="58"/>
      <c r="Z200" s="466">
        <f>C184</f>
        <v>0.3</v>
      </c>
      <c r="AA200" s="468">
        <f>C186</f>
        <v>9</v>
      </c>
      <c r="AB200" s="468">
        <f>C187</f>
        <v>3</v>
      </c>
      <c r="AC200" s="468">
        <f>C188</f>
        <v>1</v>
      </c>
      <c r="AD200" s="468">
        <f>C185</f>
        <v>0.1</v>
      </c>
    </row>
    <row r="201" spans="2:30" outlineLevel="1">
      <c r="B201" s="541" t="s">
        <v>763</v>
      </c>
      <c r="C201" s="560" t="s">
        <v>36</v>
      </c>
      <c r="D201" s="561" t="s">
        <v>36</v>
      </c>
      <c r="E201" s="561" t="s">
        <v>36</v>
      </c>
      <c r="F201" s="562" t="s">
        <v>36</v>
      </c>
      <c r="G201" s="562"/>
      <c r="H201" s="562"/>
      <c r="I201" s="562"/>
      <c r="J201" s="562"/>
      <c r="K201" s="563" t="s">
        <v>33</v>
      </c>
      <c r="L201" s="559"/>
      <c r="M201" s="363"/>
      <c r="N201" s="363"/>
      <c r="O201" s="465">
        <f>D173</f>
        <v>94</v>
      </c>
      <c r="P201" s="466">
        <f>D169</f>
        <v>2030</v>
      </c>
      <c r="Q201" s="58"/>
      <c r="R201" s="466">
        <f>O201/100</f>
        <v>0.94</v>
      </c>
      <c r="S201" s="58"/>
      <c r="T201" s="466">
        <f>D177</f>
        <v>25</v>
      </c>
      <c r="U201" s="467">
        <f>D207</f>
        <v>270.90909090909093</v>
      </c>
      <c r="V201" s="467">
        <f>D209</f>
        <v>14.154999999999999</v>
      </c>
      <c r="W201" s="467">
        <f>D210</f>
        <v>2.0694444444444446</v>
      </c>
      <c r="X201" s="58"/>
      <c r="Y201" s="58"/>
      <c r="Z201" s="466">
        <f>D184</f>
        <v>0.3</v>
      </c>
      <c r="AA201" s="468">
        <f>D186</f>
        <v>7</v>
      </c>
      <c r="AB201" s="468">
        <f>D187</f>
        <v>2</v>
      </c>
      <c r="AC201" s="468">
        <f>D188</f>
        <v>1</v>
      </c>
      <c r="AD201" s="468">
        <f>D185</f>
        <v>0.1</v>
      </c>
    </row>
    <row r="202" spans="2:30" outlineLevel="1">
      <c r="B202" s="541" t="s">
        <v>764</v>
      </c>
      <c r="C202" s="560" t="s">
        <v>36</v>
      </c>
      <c r="D202" s="561" t="s">
        <v>36</v>
      </c>
      <c r="E202" s="561" t="s">
        <v>36</v>
      </c>
      <c r="F202" s="562" t="s">
        <v>36</v>
      </c>
      <c r="G202" s="562"/>
      <c r="H202" s="562"/>
      <c r="I202" s="562"/>
      <c r="J202" s="562"/>
      <c r="K202" s="563"/>
      <c r="L202" s="559"/>
      <c r="M202" s="363"/>
      <c r="N202" s="363"/>
      <c r="O202" s="465">
        <f>E173</f>
        <v>94</v>
      </c>
      <c r="P202" s="466">
        <f>E169</f>
        <v>2040</v>
      </c>
      <c r="Q202" s="58"/>
      <c r="R202" s="466">
        <f>O202/100</f>
        <v>0.94</v>
      </c>
      <c r="S202" s="58"/>
      <c r="T202" s="466">
        <f>E177</f>
        <v>25</v>
      </c>
      <c r="U202" s="467">
        <f>E207</f>
        <v>270.90909090909093</v>
      </c>
      <c r="V202" s="467">
        <f>E209</f>
        <v>13.41</v>
      </c>
      <c r="W202" s="467">
        <f>E210</f>
        <v>2.0694444444444446</v>
      </c>
      <c r="X202" s="58"/>
      <c r="Y202" s="58"/>
      <c r="Z202" s="466">
        <f>E184</f>
        <v>0.3</v>
      </c>
      <c r="AA202" s="468">
        <f>E186</f>
        <v>6</v>
      </c>
      <c r="AB202" s="468">
        <f>E187</f>
        <v>2</v>
      </c>
      <c r="AC202" s="468">
        <f>E188</f>
        <v>1</v>
      </c>
      <c r="AD202" s="468">
        <f>E185</f>
        <v>0.1</v>
      </c>
    </row>
    <row r="203" spans="2:30" outlineLevel="1">
      <c r="B203" s="541" t="s">
        <v>765</v>
      </c>
      <c r="C203" s="564">
        <v>90</v>
      </c>
      <c r="D203" s="564">
        <v>90</v>
      </c>
      <c r="E203" s="564">
        <v>90</v>
      </c>
      <c r="F203" s="564">
        <v>90</v>
      </c>
      <c r="G203" s="565"/>
      <c r="H203" s="565"/>
      <c r="I203" s="565"/>
      <c r="J203" s="565"/>
      <c r="K203" s="565"/>
      <c r="L203" s="548">
        <v>3</v>
      </c>
      <c r="M203" s="363"/>
      <c r="N203" s="363"/>
      <c r="O203" s="465">
        <f>F173</f>
        <v>95</v>
      </c>
      <c r="P203" s="466">
        <f>F169</f>
        <v>2050</v>
      </c>
      <c r="Q203" s="58"/>
      <c r="R203" s="466">
        <f>O203/100</f>
        <v>0.95</v>
      </c>
      <c r="S203" s="58"/>
      <c r="T203" s="466">
        <f>F177</f>
        <v>25</v>
      </c>
      <c r="U203" s="467">
        <f>F207</f>
        <v>270.90909090909093</v>
      </c>
      <c r="V203" s="467">
        <f>F209</f>
        <v>12.664999999999999</v>
      </c>
      <c r="W203" s="467">
        <f>F210</f>
        <v>2.0694444444444446</v>
      </c>
      <c r="X203" s="58"/>
      <c r="Y203" s="58"/>
      <c r="Z203" s="466">
        <f>F184</f>
        <v>0.3</v>
      </c>
      <c r="AA203" s="468">
        <f>F186</f>
        <v>6</v>
      </c>
      <c r="AB203" s="468">
        <f>F187</f>
        <v>2</v>
      </c>
      <c r="AC203" s="468">
        <f>F188</f>
        <v>1</v>
      </c>
      <c r="AD203" s="468">
        <f>F185</f>
        <v>0.1</v>
      </c>
    </row>
    <row r="204" spans="2:30" outlineLevel="1">
      <c r="B204" s="566" t="s">
        <v>766</v>
      </c>
      <c r="C204" s="560"/>
      <c r="D204" s="561"/>
      <c r="E204" s="561"/>
      <c r="F204" s="562"/>
      <c r="G204" s="562"/>
      <c r="H204" s="562"/>
      <c r="I204" s="562"/>
      <c r="J204" s="562"/>
      <c r="K204" s="563"/>
      <c r="L204" s="559"/>
      <c r="M204" s="367"/>
      <c r="N204" s="367"/>
    </row>
    <row r="205" spans="2:30" outlineLevel="1">
      <c r="B205" s="566" t="s">
        <v>767</v>
      </c>
      <c r="C205" s="560"/>
      <c r="D205" s="561"/>
      <c r="E205" s="561"/>
      <c r="F205" s="562"/>
      <c r="G205" s="562"/>
      <c r="H205" s="562"/>
      <c r="I205" s="562"/>
      <c r="J205" s="562"/>
      <c r="K205" s="563"/>
      <c r="L205" s="559"/>
      <c r="M205" s="363"/>
      <c r="N205" s="363"/>
    </row>
    <row r="206" spans="2:30" ht="15" outlineLevel="1" thickBot="1">
      <c r="B206" s="567" t="s">
        <v>768</v>
      </c>
      <c r="C206" s="568"/>
      <c r="D206" s="568"/>
      <c r="E206" s="568"/>
      <c r="F206" s="568"/>
      <c r="G206" s="568"/>
      <c r="H206" s="568"/>
      <c r="I206" s="568"/>
      <c r="J206" s="568"/>
      <c r="K206" s="568"/>
      <c r="L206" s="569"/>
      <c r="M206" s="363"/>
      <c r="N206" s="363"/>
    </row>
    <row r="207" spans="2:30" ht="57.6" outlineLevel="1">
      <c r="B207" s="461" t="s">
        <v>769</v>
      </c>
      <c r="C207" s="483">
        <f>C190*$F$4*1000</f>
        <v>325.09090909090912</v>
      </c>
      <c r="D207" s="483">
        <f t="shared" ref="D207:F207" si="11">D190*$F$4*1000</f>
        <v>270.90909090909093</v>
      </c>
      <c r="E207" s="483">
        <f t="shared" si="11"/>
        <v>270.90909090909093</v>
      </c>
      <c r="F207" s="483">
        <f t="shared" si="11"/>
        <v>270.90909090909093</v>
      </c>
      <c r="G207" s="483"/>
      <c r="H207" s="484"/>
      <c r="I207" s="420" t="s">
        <v>332</v>
      </c>
      <c r="J207" s="420"/>
      <c r="K207" s="484"/>
      <c r="L207" s="484"/>
      <c r="N207" s="420"/>
    </row>
    <row r="208" spans="2:30" outlineLevel="1">
      <c r="B208" s="485" t="s">
        <v>770</v>
      </c>
      <c r="C208" s="486">
        <f>C207*$I208</f>
        <v>162545.45454545456</v>
      </c>
      <c r="D208" s="486">
        <f>D207*$I208</f>
        <v>135454.54545454547</v>
      </c>
      <c r="E208" s="486">
        <f>E207*$I208</f>
        <v>135454.54545454547</v>
      </c>
      <c r="F208" s="486">
        <f>F207*$I208</f>
        <v>135454.54545454547</v>
      </c>
      <c r="G208" s="486"/>
      <c r="H208" s="484"/>
      <c r="I208" s="71">
        <v>500</v>
      </c>
      <c r="J208" s="420" t="s">
        <v>330</v>
      </c>
      <c r="K208" s="484"/>
      <c r="L208" s="484"/>
      <c r="N208" s="420"/>
    </row>
    <row r="209" spans="1:16" ht="43.2" outlineLevel="1">
      <c r="B209" s="461" t="s">
        <v>771</v>
      </c>
      <c r="C209" s="359">
        <f>C193*$F$4</f>
        <v>14.9</v>
      </c>
      <c r="D209" s="359">
        <f t="shared" ref="D209:F210" si="12">D193*$F$4</f>
        <v>14.154999999999999</v>
      </c>
      <c r="E209" s="359">
        <f t="shared" si="12"/>
        <v>13.41</v>
      </c>
      <c r="F209" s="359">
        <f t="shared" si="12"/>
        <v>12.664999999999999</v>
      </c>
      <c r="G209" s="359"/>
      <c r="I209" s="420" t="s">
        <v>333</v>
      </c>
      <c r="J209" s="420"/>
      <c r="N209" s="420"/>
    </row>
    <row r="210" spans="1:16" ht="43.2" outlineLevel="1">
      <c r="B210" s="461" t="s">
        <v>772</v>
      </c>
      <c r="C210" s="487">
        <f>C194*$F$4</f>
        <v>2.276388888888889</v>
      </c>
      <c r="D210" s="487">
        <f t="shared" si="12"/>
        <v>2.0694444444444446</v>
      </c>
      <c r="E210" s="487">
        <f t="shared" si="12"/>
        <v>2.0694444444444446</v>
      </c>
      <c r="F210" s="487">
        <f t="shared" si="12"/>
        <v>2.0694444444444446</v>
      </c>
      <c r="G210" s="359"/>
      <c r="M210" s="420"/>
      <c r="N210" s="420"/>
    </row>
    <row r="211" spans="1:16" outlineLevel="1"/>
    <row r="212" spans="1:16" outlineLevel="1">
      <c r="A212" s="488" t="s">
        <v>773</v>
      </c>
      <c r="B212" s="489"/>
      <c r="D212" s="490"/>
      <c r="E212" s="490"/>
      <c r="F212" s="490"/>
      <c r="G212" s="358"/>
      <c r="H212" s="358"/>
      <c r="I212" s="358"/>
      <c r="J212" s="358"/>
      <c r="K212" s="358"/>
      <c r="L212" s="358"/>
      <c r="N212" s="570"/>
      <c r="O212" s="489"/>
      <c r="P212" s="490"/>
    </row>
    <row r="213" spans="1:16" outlineLevel="1">
      <c r="A213" s="491">
        <v>1</v>
      </c>
      <c r="B213" s="492" t="s">
        <v>774</v>
      </c>
      <c r="D213" s="490"/>
      <c r="E213" s="490"/>
      <c r="F213" s="490"/>
      <c r="G213" s="358"/>
      <c r="H213" s="358"/>
      <c r="I213" s="358"/>
      <c r="J213" s="358"/>
      <c r="K213" s="358"/>
      <c r="L213" s="358"/>
      <c r="N213" s="570"/>
      <c r="O213" s="489"/>
      <c r="P213" s="490"/>
    </row>
    <row r="214" spans="1:16" outlineLevel="1">
      <c r="A214" s="491">
        <v>2</v>
      </c>
      <c r="B214" s="493" t="s">
        <v>775</v>
      </c>
      <c r="D214" s="490"/>
      <c r="E214" s="490"/>
      <c r="F214" s="490"/>
      <c r="G214" s="358"/>
      <c r="H214" s="358"/>
      <c r="I214" s="358"/>
      <c r="J214" s="358"/>
      <c r="K214" s="358"/>
      <c r="L214" s="358"/>
      <c r="N214" s="570"/>
      <c r="O214" s="489"/>
      <c r="P214" s="490"/>
    </row>
    <row r="215" spans="1:16" outlineLevel="1">
      <c r="A215" s="491">
        <v>3</v>
      </c>
      <c r="B215" s="493" t="s">
        <v>776</v>
      </c>
      <c r="D215" s="490"/>
      <c r="E215" s="490"/>
      <c r="F215" s="490"/>
      <c r="G215" s="358"/>
      <c r="H215" s="358"/>
      <c r="I215" s="358"/>
      <c r="J215" s="358"/>
      <c r="K215" s="358"/>
      <c r="L215" s="358"/>
      <c r="N215" s="570"/>
      <c r="O215" s="489"/>
      <c r="P215" s="490"/>
    </row>
    <row r="216" spans="1:16" outlineLevel="1">
      <c r="A216" s="491">
        <v>4</v>
      </c>
      <c r="B216" s="493" t="s">
        <v>777</v>
      </c>
      <c r="D216" s="490"/>
      <c r="E216" s="490"/>
      <c r="F216" s="490"/>
      <c r="G216" s="358"/>
      <c r="H216" s="358"/>
      <c r="I216" s="358"/>
      <c r="J216" s="358"/>
      <c r="K216" s="358"/>
      <c r="L216" s="358"/>
      <c r="N216" s="570"/>
      <c r="O216" s="489"/>
      <c r="P216" s="490"/>
    </row>
    <row r="217" spans="1:16" outlineLevel="1">
      <c r="A217" s="358">
        <v>5</v>
      </c>
      <c r="B217" s="494" t="s">
        <v>778</v>
      </c>
      <c r="D217" s="490"/>
      <c r="E217" s="490"/>
      <c r="F217" s="490"/>
      <c r="G217" s="358"/>
      <c r="H217" s="358"/>
      <c r="I217" s="358"/>
      <c r="J217" s="358"/>
      <c r="K217" s="358"/>
      <c r="L217" s="358"/>
    </row>
    <row r="218" spans="1:16" outlineLevel="1">
      <c r="A218" s="358">
        <v>6</v>
      </c>
      <c r="B218" s="492" t="s">
        <v>779</v>
      </c>
      <c r="D218" s="490"/>
      <c r="E218" s="490"/>
      <c r="F218" s="490"/>
      <c r="G218" s="358"/>
      <c r="H218" s="358"/>
      <c r="I218" s="358"/>
      <c r="J218" s="358"/>
      <c r="K218" s="358"/>
      <c r="L218" s="358"/>
    </row>
    <row r="219" spans="1:16" outlineLevel="1">
      <c r="A219" s="358">
        <v>7</v>
      </c>
      <c r="B219" s="495" t="s">
        <v>774</v>
      </c>
      <c r="D219" s="490"/>
      <c r="E219" s="490"/>
      <c r="F219" s="490"/>
      <c r="G219" s="358"/>
      <c r="H219" s="358"/>
      <c r="I219" s="358"/>
      <c r="J219" s="358"/>
      <c r="K219" s="358"/>
      <c r="L219" s="358"/>
    </row>
    <row r="220" spans="1:16" outlineLevel="1">
      <c r="A220" s="358">
        <v>8</v>
      </c>
      <c r="B220" s="495" t="s">
        <v>780</v>
      </c>
      <c r="D220" s="490"/>
      <c r="E220" s="490"/>
      <c r="F220" s="490"/>
      <c r="G220" s="358"/>
      <c r="H220" s="358"/>
      <c r="I220" s="358"/>
      <c r="J220" s="358"/>
      <c r="K220" s="358"/>
      <c r="L220" s="358"/>
    </row>
    <row r="221" spans="1:16" outlineLevel="1">
      <c r="A221" s="358">
        <v>9</v>
      </c>
      <c r="B221" s="489" t="s">
        <v>781</v>
      </c>
      <c r="D221" s="490"/>
      <c r="E221" s="490"/>
      <c r="F221" s="490"/>
      <c r="G221" s="358"/>
      <c r="H221" s="358"/>
      <c r="I221" s="358"/>
      <c r="J221" s="358"/>
      <c r="K221" s="358"/>
      <c r="L221" s="358"/>
    </row>
    <row r="222" spans="1:16" outlineLevel="1">
      <c r="A222" s="358">
        <v>10</v>
      </c>
      <c r="B222" s="490" t="s">
        <v>782</v>
      </c>
      <c r="D222" s="490"/>
      <c r="E222" s="490"/>
      <c r="F222" s="490"/>
      <c r="G222" s="358"/>
      <c r="H222" s="358"/>
      <c r="I222" s="358"/>
      <c r="J222" s="358"/>
      <c r="K222" s="358"/>
      <c r="L222" s="358"/>
    </row>
    <row r="223" spans="1:16" outlineLevel="1">
      <c r="A223" s="488" t="s">
        <v>783</v>
      </c>
      <c r="B223" s="489"/>
      <c r="D223" s="490"/>
      <c r="E223" s="490"/>
      <c r="F223" s="490"/>
      <c r="G223" s="358"/>
      <c r="H223" s="358"/>
      <c r="I223" s="358"/>
      <c r="J223" s="358"/>
      <c r="K223" s="358"/>
      <c r="L223" s="358"/>
    </row>
    <row r="224" spans="1:16" outlineLevel="1">
      <c r="A224" s="496" t="s">
        <v>6</v>
      </c>
      <c r="B224" s="497" t="s">
        <v>784</v>
      </c>
      <c r="C224" s="490"/>
      <c r="D224" s="490"/>
      <c r="E224" s="490"/>
      <c r="F224" s="490"/>
      <c r="G224" s="358"/>
      <c r="H224" s="358"/>
      <c r="I224" s="358"/>
      <c r="J224" s="358"/>
      <c r="K224" s="358"/>
      <c r="L224" s="358"/>
      <c r="N224" s="570"/>
      <c r="O224" s="489"/>
      <c r="P224" s="490"/>
    </row>
    <row r="225" spans="1:16" outlineLevel="1">
      <c r="A225" s="496" t="s">
        <v>59</v>
      </c>
      <c r="B225" s="489" t="s">
        <v>785</v>
      </c>
      <c r="C225" s="490"/>
      <c r="D225" s="490"/>
      <c r="E225" s="490"/>
      <c r="F225" s="490"/>
      <c r="G225" s="358"/>
      <c r="H225" s="358"/>
      <c r="I225" s="358"/>
      <c r="J225" s="358"/>
      <c r="K225" s="358"/>
      <c r="L225" s="358"/>
      <c r="N225" s="571"/>
      <c r="O225" s="489"/>
      <c r="P225" s="490"/>
    </row>
    <row r="226" spans="1:16" outlineLevel="1">
      <c r="A226" s="496" t="s">
        <v>16</v>
      </c>
      <c r="B226" s="489" t="s">
        <v>786</v>
      </c>
      <c r="C226" s="490"/>
      <c r="D226" s="490"/>
      <c r="E226" s="490"/>
      <c r="F226" s="490"/>
      <c r="G226" s="358"/>
      <c r="H226" s="358"/>
      <c r="I226" s="358"/>
      <c r="J226" s="358"/>
      <c r="K226" s="358"/>
      <c r="L226" s="358"/>
      <c r="N226" s="572"/>
      <c r="O226" s="489"/>
      <c r="P226" s="490"/>
    </row>
    <row r="227" spans="1:16" outlineLevel="1">
      <c r="A227" s="496" t="s">
        <v>20</v>
      </c>
      <c r="B227" s="489" t="s">
        <v>787</v>
      </c>
      <c r="C227" s="490"/>
      <c r="D227" s="490"/>
      <c r="E227" s="490"/>
      <c r="F227" s="490"/>
      <c r="G227" s="358"/>
      <c r="H227" s="358"/>
      <c r="I227" s="358"/>
      <c r="J227" s="358"/>
      <c r="K227" s="358"/>
      <c r="L227" s="358"/>
      <c r="N227" s="573"/>
      <c r="O227" s="489"/>
      <c r="P227" s="490"/>
    </row>
    <row r="228" spans="1:16" outlineLevel="1">
      <c r="A228" s="496" t="s">
        <v>76</v>
      </c>
      <c r="B228" s="498" t="s">
        <v>788</v>
      </c>
      <c r="C228" s="490"/>
      <c r="D228" s="490"/>
      <c r="E228" s="490"/>
      <c r="F228" s="490"/>
      <c r="G228" s="358"/>
      <c r="H228" s="358"/>
      <c r="I228" s="358"/>
      <c r="J228" s="358"/>
      <c r="K228" s="358"/>
      <c r="L228" s="358"/>
      <c r="N228" s="573"/>
      <c r="O228" s="490"/>
      <c r="P228" s="490"/>
    </row>
    <row r="229" spans="1:16" outlineLevel="1">
      <c r="A229" s="496" t="s">
        <v>25</v>
      </c>
      <c r="B229" s="489" t="s">
        <v>804</v>
      </c>
      <c r="C229" s="490"/>
      <c r="D229" s="490"/>
      <c r="E229" s="490"/>
      <c r="F229" s="490"/>
      <c r="G229" s="358"/>
      <c r="H229" s="358"/>
      <c r="I229" s="358"/>
      <c r="J229" s="358"/>
      <c r="K229" s="358"/>
      <c r="L229" s="358"/>
      <c r="N229" s="489"/>
      <c r="O229" s="490"/>
      <c r="P229" s="490"/>
    </row>
    <row r="230" spans="1:16" outlineLevel="1">
      <c r="A230" s="496" t="s">
        <v>33</v>
      </c>
      <c r="B230" s="489" t="s">
        <v>789</v>
      </c>
      <c r="C230" s="490"/>
      <c r="D230" s="490"/>
      <c r="E230" s="490"/>
      <c r="F230" s="490"/>
      <c r="G230" s="358"/>
      <c r="H230" s="358"/>
      <c r="I230" s="358"/>
      <c r="J230" s="358"/>
      <c r="K230" s="358"/>
      <c r="L230" s="358"/>
      <c r="N230" s="490"/>
      <c r="O230" s="490"/>
      <c r="P230" s="490"/>
    </row>
    <row r="231" spans="1:16" outlineLevel="1"/>
    <row r="232" spans="1:16" outlineLevel="1"/>
    <row r="233" spans="1:16" outlineLevel="1"/>
    <row r="234" spans="1:16" outlineLevel="1"/>
    <row r="235" spans="1:16" outlineLevel="1"/>
    <row r="236" spans="1:16" outlineLevel="1"/>
    <row r="237" spans="1:16" outlineLevel="1"/>
    <row r="238" spans="1:16" outlineLevel="1"/>
    <row r="239" spans="1:16" outlineLevel="1"/>
    <row r="240" spans="1:16" outlineLevel="1"/>
    <row r="241" spans="1:44" outlineLevel="1"/>
    <row r="242" spans="1:44" outlineLevel="1"/>
    <row r="243" spans="1:44" outlineLevel="1"/>
    <row r="244" spans="1:44" outlineLevel="1"/>
    <row r="246" spans="1:44" ht="15" thickBot="1">
      <c r="A246" s="360" t="s">
        <v>805</v>
      </c>
      <c r="P246" s="692">
        <v>1</v>
      </c>
      <c r="Q246" s="692">
        <v>2</v>
      </c>
      <c r="R246" s="692">
        <v>3</v>
      </c>
      <c r="S246" s="692">
        <v>4</v>
      </c>
      <c r="T246" s="692">
        <v>5</v>
      </c>
      <c r="U246" s="692">
        <v>6</v>
      </c>
      <c r="V246" s="692">
        <v>7</v>
      </c>
      <c r="W246" s="692">
        <v>8</v>
      </c>
      <c r="X246" s="692">
        <v>9</v>
      </c>
      <c r="Y246" s="692">
        <v>10</v>
      </c>
      <c r="Z246" s="692">
        <v>11</v>
      </c>
      <c r="AA246" s="692">
        <v>12</v>
      </c>
      <c r="AB246" s="692">
        <v>13</v>
      </c>
      <c r="AC246" s="692">
        <v>14</v>
      </c>
    </row>
    <row r="247" spans="1:44" ht="20.55" customHeight="1" outlineLevel="1" thickBot="1">
      <c r="B247" s="362" t="s">
        <v>0</v>
      </c>
      <c r="C247" s="1186" t="s">
        <v>806</v>
      </c>
      <c r="D247" s="1205"/>
      <c r="E247" s="1205"/>
      <c r="F247" s="1205"/>
      <c r="G247" s="1205"/>
      <c r="H247" s="1205"/>
      <c r="I247" s="1205"/>
      <c r="J247" s="1205"/>
      <c r="K247" s="1205"/>
      <c r="L247" s="1206"/>
      <c r="M247" s="363"/>
      <c r="N247" s="363"/>
      <c r="P247" s="364" t="s">
        <v>713</v>
      </c>
      <c r="Q247" s="365"/>
      <c r="R247" s="366"/>
      <c r="S247" s="1176" t="s">
        <v>714</v>
      </c>
      <c r="T247" s="1160" t="s">
        <v>715</v>
      </c>
      <c r="U247" s="1161"/>
      <c r="V247" s="1160" t="s">
        <v>716</v>
      </c>
      <c r="W247" s="1161"/>
      <c r="X247" s="1160" t="s">
        <v>717</v>
      </c>
      <c r="Y247" s="1161"/>
      <c r="Z247" s="1160" t="s">
        <v>718</v>
      </c>
      <c r="AA247" s="1161"/>
      <c r="AB247" s="1160" t="s">
        <v>719</v>
      </c>
      <c r="AC247" s="1161"/>
      <c r="AE247" s="364" t="s">
        <v>720</v>
      </c>
      <c r="AF247" s="365"/>
      <c r="AG247" s="366"/>
      <c r="AH247" s="1176" t="s">
        <v>714</v>
      </c>
      <c r="AI247" s="1160" t="s">
        <v>715</v>
      </c>
      <c r="AJ247" s="1161"/>
      <c r="AK247" s="1160" t="s">
        <v>716</v>
      </c>
      <c r="AL247" s="1161"/>
      <c r="AM247" s="1160" t="s">
        <v>717</v>
      </c>
      <c r="AN247" s="1161"/>
      <c r="AO247" s="1160" t="s">
        <v>718</v>
      </c>
      <c r="AP247" s="1161"/>
      <c r="AQ247" s="1160" t="s">
        <v>719</v>
      </c>
      <c r="AR247" s="1161"/>
    </row>
    <row r="248" spans="1:44" ht="15" customHeight="1" outlineLevel="1" thickBot="1">
      <c r="B248" s="1164" t="s">
        <v>4</v>
      </c>
      <c r="C248" s="1166">
        <v>2020</v>
      </c>
      <c r="D248" s="1166">
        <v>2030</v>
      </c>
      <c r="E248" s="1166">
        <v>2040</v>
      </c>
      <c r="F248" s="1166">
        <v>2050</v>
      </c>
      <c r="G248" s="1168" t="s">
        <v>721</v>
      </c>
      <c r="H248" s="1169"/>
      <c r="I248" s="1168" t="s">
        <v>648</v>
      </c>
      <c r="J248" s="1169"/>
      <c r="K248" s="1189" t="s">
        <v>2</v>
      </c>
      <c r="L248" s="1189" t="s">
        <v>3</v>
      </c>
      <c r="M248" s="367"/>
      <c r="N248" s="367"/>
      <c r="P248" s="1180" t="s">
        <v>0</v>
      </c>
      <c r="Q248" s="368"/>
      <c r="R248" s="368"/>
      <c r="S248" s="1177"/>
      <c r="T248" s="1162"/>
      <c r="U248" s="1163"/>
      <c r="V248" s="1162"/>
      <c r="W248" s="1163"/>
      <c r="X248" s="1162"/>
      <c r="Y248" s="1163"/>
      <c r="Z248" s="1162"/>
      <c r="AA248" s="1163"/>
      <c r="AB248" s="1162"/>
      <c r="AC248" s="1163"/>
      <c r="AE248" s="1180" t="s">
        <v>0</v>
      </c>
      <c r="AF248" s="368"/>
      <c r="AG248" s="368"/>
      <c r="AH248" s="1177"/>
      <c r="AI248" s="1162"/>
      <c r="AJ248" s="1163"/>
      <c r="AK248" s="1162"/>
      <c r="AL248" s="1163"/>
      <c r="AM248" s="1162"/>
      <c r="AN248" s="1163"/>
      <c r="AO248" s="1162"/>
      <c r="AP248" s="1163"/>
      <c r="AQ248" s="1162"/>
      <c r="AR248" s="1163"/>
    </row>
    <row r="249" spans="1:44" ht="15" customHeight="1" outlineLevel="1" thickBot="1">
      <c r="B249" s="1165"/>
      <c r="C249" s="1167"/>
      <c r="D249" s="1167"/>
      <c r="E249" s="1167"/>
      <c r="F249" s="1167"/>
      <c r="G249" s="406" t="s">
        <v>649</v>
      </c>
      <c r="H249" s="406" t="s">
        <v>650</v>
      </c>
      <c r="I249" s="406" t="s">
        <v>649</v>
      </c>
      <c r="J249" s="406" t="s">
        <v>650</v>
      </c>
      <c r="K249" s="1190"/>
      <c r="L249" s="1190"/>
      <c r="M249" s="370"/>
      <c r="N249" s="370"/>
      <c r="P249" s="1181"/>
      <c r="Q249" s="1183" t="s">
        <v>722</v>
      </c>
      <c r="R249" s="1184" t="s">
        <v>723</v>
      </c>
      <c r="S249" s="1178"/>
      <c r="T249" s="1162"/>
      <c r="U249" s="1163"/>
      <c r="V249" s="1162"/>
      <c r="W249" s="1163"/>
      <c r="X249" s="1162"/>
      <c r="Y249" s="1163"/>
      <c r="Z249" s="1162"/>
      <c r="AA249" s="1163"/>
      <c r="AB249" s="1162"/>
      <c r="AC249" s="1163"/>
      <c r="AE249" s="1181"/>
      <c r="AF249" s="1197" t="s">
        <v>722</v>
      </c>
      <c r="AG249" s="1184" t="s">
        <v>723</v>
      </c>
      <c r="AH249" s="1178"/>
      <c r="AI249" s="1162"/>
      <c r="AJ249" s="1163"/>
      <c r="AK249" s="1162"/>
      <c r="AL249" s="1163"/>
      <c r="AM249" s="1162"/>
      <c r="AN249" s="1163"/>
      <c r="AO249" s="1162"/>
      <c r="AP249" s="1163"/>
      <c r="AQ249" s="1162"/>
      <c r="AR249" s="1163"/>
    </row>
    <row r="250" spans="1:44" ht="29.4" outlineLevel="1" thickBot="1">
      <c r="B250" s="371" t="s">
        <v>651</v>
      </c>
      <c r="C250" s="372">
        <v>20</v>
      </c>
      <c r="D250" s="372">
        <v>20</v>
      </c>
      <c r="E250" s="372">
        <v>20</v>
      </c>
      <c r="F250" s="372">
        <v>20</v>
      </c>
      <c r="G250" s="372">
        <v>1</v>
      </c>
      <c r="H250" s="372">
        <v>50</v>
      </c>
      <c r="I250" s="372">
        <v>1</v>
      </c>
      <c r="J250" s="372">
        <v>50</v>
      </c>
      <c r="K250" s="372" t="s">
        <v>6</v>
      </c>
      <c r="L250" s="373" t="s">
        <v>725</v>
      </c>
      <c r="M250" s="370"/>
      <c r="N250" s="370"/>
      <c r="O250" s="74"/>
      <c r="P250" s="1182"/>
      <c r="Q250" s="1179"/>
      <c r="R250" s="1185"/>
      <c r="S250" s="1179"/>
      <c r="T250" s="374" t="s">
        <v>726</v>
      </c>
      <c r="U250" s="375" t="s">
        <v>727</v>
      </c>
      <c r="V250" s="374" t="s">
        <v>726</v>
      </c>
      <c r="W250" s="375" t="s">
        <v>727</v>
      </c>
      <c r="X250" s="374" t="s">
        <v>726</v>
      </c>
      <c r="Y250" s="375" t="s">
        <v>727</v>
      </c>
      <c r="Z250" s="374" t="s">
        <v>726</v>
      </c>
      <c r="AA250" s="375" t="s">
        <v>727</v>
      </c>
      <c r="AB250" s="374" t="s">
        <v>726</v>
      </c>
      <c r="AC250" s="375" t="s">
        <v>727</v>
      </c>
      <c r="AE250" s="1182"/>
      <c r="AF250" s="1198"/>
      <c r="AG250" s="1185"/>
      <c r="AH250" s="1179"/>
      <c r="AI250" s="374" t="s">
        <v>726</v>
      </c>
      <c r="AJ250" s="375" t="s">
        <v>727</v>
      </c>
      <c r="AK250" s="374" t="s">
        <v>726</v>
      </c>
      <c r="AL250" s="375" t="s">
        <v>727</v>
      </c>
      <c r="AM250" s="374" t="s">
        <v>726</v>
      </c>
      <c r="AN250" s="375" t="s">
        <v>727</v>
      </c>
      <c r="AO250" s="374" t="s">
        <v>726</v>
      </c>
      <c r="AP250" s="375" t="s">
        <v>727</v>
      </c>
      <c r="AQ250" s="374" t="s">
        <v>726</v>
      </c>
      <c r="AR250" s="375" t="s">
        <v>727</v>
      </c>
    </row>
    <row r="251" spans="1:44" ht="14.55" customHeight="1" outlineLevel="1">
      <c r="B251" s="541" t="s">
        <v>728</v>
      </c>
      <c r="C251" s="542">
        <v>103</v>
      </c>
      <c r="D251" s="542">
        <v>104</v>
      </c>
      <c r="E251" s="543">
        <v>104</v>
      </c>
      <c r="F251" s="542">
        <v>104</v>
      </c>
      <c r="G251" s="542">
        <v>95</v>
      </c>
      <c r="H251" s="542">
        <v>106</v>
      </c>
      <c r="I251" s="542">
        <v>96</v>
      </c>
      <c r="J251" s="542">
        <v>107</v>
      </c>
      <c r="K251" s="547"/>
      <c r="L251" s="548" t="s">
        <v>801</v>
      </c>
      <c r="M251" s="370"/>
      <c r="N251" s="370"/>
      <c r="P251" s="1199" t="str">
        <f>C247</f>
        <v>Hot water boiler, Natural gas or biogas (Condensing)</v>
      </c>
      <c r="Q251" s="1154" t="s">
        <v>730</v>
      </c>
      <c r="R251" s="381" t="s">
        <v>731</v>
      </c>
      <c r="S251" s="382"/>
      <c r="T251" s="1137">
        <v>0</v>
      </c>
      <c r="U251" s="1151">
        <v>0</v>
      </c>
      <c r="V251" s="1137">
        <v>0</v>
      </c>
      <c r="W251" s="1151">
        <v>0</v>
      </c>
      <c r="X251" s="1137">
        <v>0</v>
      </c>
      <c r="Y251" s="1151">
        <v>0</v>
      </c>
      <c r="Z251" s="1137">
        <v>0</v>
      </c>
      <c r="AA251" s="1151">
        <v>0</v>
      </c>
      <c r="AB251" s="1137">
        <v>0</v>
      </c>
      <c r="AC251" s="1151">
        <v>0</v>
      </c>
      <c r="AE251" s="1148" t="str">
        <f>P251</f>
        <v>Hot water boiler, Natural gas or biogas (Condensing)</v>
      </c>
      <c r="AF251" s="1154" t="s">
        <v>730</v>
      </c>
      <c r="AG251" s="381" t="s">
        <v>731</v>
      </c>
      <c r="AH251" s="382"/>
      <c r="AI251" s="1137">
        <v>0</v>
      </c>
      <c r="AJ251" s="1151">
        <v>0</v>
      </c>
      <c r="AK251" s="1137">
        <v>0</v>
      </c>
      <c r="AL251" s="1151">
        <v>0</v>
      </c>
      <c r="AM251" s="1137">
        <v>0</v>
      </c>
      <c r="AN251" s="1151">
        <v>0</v>
      </c>
      <c r="AO251" s="1137">
        <v>0</v>
      </c>
      <c r="AP251" s="1151">
        <v>0</v>
      </c>
      <c r="AQ251" s="1137">
        <v>0</v>
      </c>
      <c r="AR251" s="1151">
        <v>0</v>
      </c>
    </row>
    <row r="252" spans="1:44" outlineLevel="1">
      <c r="B252" s="383" t="s">
        <v>732</v>
      </c>
      <c r="C252" s="384">
        <f>C251-2</f>
        <v>101</v>
      </c>
      <c r="D252" s="384">
        <f t="shared" ref="D252:J252" si="13">D251-1</f>
        <v>103</v>
      </c>
      <c r="E252" s="384">
        <f t="shared" si="13"/>
        <v>103</v>
      </c>
      <c r="F252" s="384">
        <f t="shared" si="13"/>
        <v>103</v>
      </c>
      <c r="G252" s="505">
        <f t="shared" si="13"/>
        <v>94</v>
      </c>
      <c r="H252" s="505">
        <f t="shared" si="13"/>
        <v>105</v>
      </c>
      <c r="I252" s="505">
        <f t="shared" si="13"/>
        <v>95</v>
      </c>
      <c r="J252" s="505">
        <f t="shared" si="13"/>
        <v>106</v>
      </c>
      <c r="K252" s="372"/>
      <c r="L252" s="373" t="s">
        <v>729</v>
      </c>
      <c r="M252" s="370"/>
      <c r="N252" s="370"/>
      <c r="O252" s="71"/>
      <c r="P252" s="1195"/>
      <c r="Q252" s="1155"/>
      <c r="R252" s="388" t="s">
        <v>733</v>
      </c>
      <c r="S252" s="389"/>
      <c r="T252" s="1140"/>
      <c r="U252" s="1152"/>
      <c r="V252" s="1140"/>
      <c r="W252" s="1152"/>
      <c r="X252" s="1140"/>
      <c r="Y252" s="1152"/>
      <c r="Z252" s="1140"/>
      <c r="AA252" s="1152"/>
      <c r="AB252" s="1140"/>
      <c r="AC252" s="1152"/>
      <c r="AE252" s="1195"/>
      <c r="AF252" s="1155"/>
      <c r="AG252" s="388" t="s">
        <v>733</v>
      </c>
      <c r="AH252" s="389"/>
      <c r="AI252" s="1140"/>
      <c r="AJ252" s="1152"/>
      <c r="AK252" s="1140"/>
      <c r="AL252" s="1152"/>
      <c r="AM252" s="1140"/>
      <c r="AN252" s="1152"/>
      <c r="AO252" s="1140"/>
      <c r="AP252" s="1152"/>
      <c r="AQ252" s="1140"/>
      <c r="AR252" s="1152"/>
    </row>
    <row r="253" spans="1:44" ht="15" outlineLevel="1" thickBot="1">
      <c r="B253" s="541" t="s">
        <v>734</v>
      </c>
      <c r="C253" s="544">
        <v>0.14000000000000001</v>
      </c>
      <c r="D253" s="545">
        <v>0.12</v>
      </c>
      <c r="E253" s="545">
        <v>0.11</v>
      </c>
      <c r="F253" s="546">
        <v>0.1</v>
      </c>
      <c r="G253" s="545">
        <v>0.1</v>
      </c>
      <c r="H253" s="545">
        <v>0.14000000000000001</v>
      </c>
      <c r="I253" s="545">
        <v>0.08</v>
      </c>
      <c r="J253" s="545">
        <v>0.12</v>
      </c>
      <c r="K253" s="547"/>
      <c r="L253" s="548">
        <v>3</v>
      </c>
      <c r="M253" s="370"/>
      <c r="N253" s="370"/>
      <c r="O253" s="71"/>
      <c r="P253" s="1195"/>
      <c r="Q253" s="1156"/>
      <c r="R253" s="393" t="s">
        <v>735</v>
      </c>
      <c r="S253" s="394"/>
      <c r="T253" s="1141"/>
      <c r="U253" s="1153"/>
      <c r="V253" s="1141"/>
      <c r="W253" s="1153"/>
      <c r="X253" s="1141"/>
      <c r="Y253" s="1153"/>
      <c r="Z253" s="1141"/>
      <c r="AA253" s="1153"/>
      <c r="AB253" s="1141"/>
      <c r="AC253" s="1153"/>
      <c r="AE253" s="1195"/>
      <c r="AF253" s="1156"/>
      <c r="AG253" s="393" t="s">
        <v>735</v>
      </c>
      <c r="AH253" s="394"/>
      <c r="AI253" s="1141"/>
      <c r="AJ253" s="1153"/>
      <c r="AK253" s="1141"/>
      <c r="AL253" s="1153"/>
      <c r="AM253" s="1141"/>
      <c r="AN253" s="1153"/>
      <c r="AO253" s="1141"/>
      <c r="AP253" s="1153"/>
      <c r="AQ253" s="1141"/>
      <c r="AR253" s="1153"/>
    </row>
    <row r="254" spans="1:44" ht="14.55" customHeight="1" outlineLevel="1">
      <c r="B254" s="541" t="s">
        <v>657</v>
      </c>
      <c r="C254" s="544">
        <v>1</v>
      </c>
      <c r="D254" s="544">
        <v>1</v>
      </c>
      <c r="E254" s="544">
        <v>1</v>
      </c>
      <c r="F254" s="544">
        <v>1</v>
      </c>
      <c r="G254" s="544">
        <v>0.08</v>
      </c>
      <c r="H254" s="544">
        <v>2</v>
      </c>
      <c r="I254" s="544">
        <v>0.08</v>
      </c>
      <c r="J254" s="544">
        <v>2</v>
      </c>
      <c r="K254" s="547"/>
      <c r="L254" s="548">
        <v>3</v>
      </c>
      <c r="M254" s="370"/>
      <c r="N254" s="370"/>
      <c r="O254" s="71"/>
      <c r="P254" s="1195"/>
      <c r="Q254" s="1154" t="s">
        <v>736</v>
      </c>
      <c r="R254" s="395" t="s">
        <v>737</v>
      </c>
      <c r="S254" s="396" t="s">
        <v>738</v>
      </c>
      <c r="T254" s="1137">
        <v>0</v>
      </c>
      <c r="U254" s="1137">
        <v>0.17</v>
      </c>
      <c r="V254" s="1137">
        <v>0</v>
      </c>
      <c r="W254" s="1137">
        <v>0</v>
      </c>
      <c r="X254" s="1137">
        <v>0</v>
      </c>
      <c r="Y254" s="1137">
        <v>0</v>
      </c>
      <c r="Z254" s="1137">
        <v>0</v>
      </c>
      <c r="AA254" s="1137">
        <v>0.06</v>
      </c>
      <c r="AB254" s="1137">
        <v>0</v>
      </c>
      <c r="AC254" s="1137">
        <v>0</v>
      </c>
      <c r="AE254" s="1195"/>
      <c r="AF254" s="1154" t="s">
        <v>736</v>
      </c>
      <c r="AG254" s="395" t="s">
        <v>737</v>
      </c>
      <c r="AH254" s="396" t="s">
        <v>738</v>
      </c>
      <c r="AI254" s="1137">
        <v>0</v>
      </c>
      <c r="AJ254" s="1137">
        <f>U254/4</f>
        <v>4.2500000000000003E-2</v>
      </c>
      <c r="AK254" s="1137">
        <v>0</v>
      </c>
      <c r="AL254" s="1137">
        <f>W254/4</f>
        <v>0</v>
      </c>
      <c r="AM254" s="1137">
        <v>0</v>
      </c>
      <c r="AN254" s="1137">
        <f>Y254/4</f>
        <v>0</v>
      </c>
      <c r="AO254" s="1137">
        <v>0</v>
      </c>
      <c r="AP254" s="1137">
        <f>AA254/4</f>
        <v>1.4999999999999999E-2</v>
      </c>
      <c r="AQ254" s="1137">
        <v>0</v>
      </c>
      <c r="AR254" s="1137">
        <f>AC254/4</f>
        <v>0</v>
      </c>
    </row>
    <row r="255" spans="1:44" outlineLevel="1">
      <c r="B255" s="541" t="s">
        <v>658</v>
      </c>
      <c r="C255" s="544">
        <v>0.4</v>
      </c>
      <c r="D255" s="544">
        <v>0.4</v>
      </c>
      <c r="E255" s="544">
        <v>0.4</v>
      </c>
      <c r="F255" s="544">
        <v>0.4</v>
      </c>
      <c r="G255" s="544">
        <v>0.3</v>
      </c>
      <c r="H255" s="544">
        <v>0.6</v>
      </c>
      <c r="I255" s="544">
        <v>0.3</v>
      </c>
      <c r="J255" s="544">
        <v>0.6</v>
      </c>
      <c r="K255" s="547"/>
      <c r="L255" s="548">
        <v>3</v>
      </c>
      <c r="M255" s="367"/>
      <c r="N255" s="367"/>
      <c r="O255" s="71"/>
      <c r="P255" s="1195"/>
      <c r="Q255" s="1155"/>
      <c r="R255" s="395" t="s">
        <v>739</v>
      </c>
      <c r="S255" s="396" t="s">
        <v>738</v>
      </c>
      <c r="T255" s="1138"/>
      <c r="U255" s="1138"/>
      <c r="V255" s="1138"/>
      <c r="W255" s="1138"/>
      <c r="X255" s="1138"/>
      <c r="Y255" s="1138"/>
      <c r="Z255" s="1138"/>
      <c r="AA255" s="1138"/>
      <c r="AB255" s="1138"/>
      <c r="AC255" s="1138"/>
      <c r="AE255" s="1195"/>
      <c r="AF255" s="1155"/>
      <c r="AG255" s="395" t="s">
        <v>739</v>
      </c>
      <c r="AH255" s="396" t="s">
        <v>738</v>
      </c>
      <c r="AI255" s="1138"/>
      <c r="AJ255" s="1138"/>
      <c r="AK255" s="1138"/>
      <c r="AL255" s="1138"/>
      <c r="AM255" s="1138"/>
      <c r="AN255" s="1138"/>
      <c r="AO255" s="1138"/>
      <c r="AP255" s="1138"/>
      <c r="AQ255" s="1138"/>
      <c r="AR255" s="1138"/>
    </row>
    <row r="256" spans="1:44" outlineLevel="1">
      <c r="B256" s="383" t="s">
        <v>11</v>
      </c>
      <c r="C256" s="397">
        <v>25</v>
      </c>
      <c r="D256" s="397">
        <v>25</v>
      </c>
      <c r="E256" s="397">
        <v>25</v>
      </c>
      <c r="F256" s="397">
        <v>25</v>
      </c>
      <c r="G256" s="399">
        <v>20</v>
      </c>
      <c r="H256" s="399">
        <v>30</v>
      </c>
      <c r="I256" s="399">
        <v>20</v>
      </c>
      <c r="J256" s="399">
        <v>30</v>
      </c>
      <c r="K256" s="372"/>
      <c r="L256" s="373" t="s">
        <v>740</v>
      </c>
      <c r="M256" s="363"/>
      <c r="N256" s="363"/>
      <c r="P256" s="1195"/>
      <c r="Q256" s="1155"/>
      <c r="R256" s="395" t="s">
        <v>741</v>
      </c>
      <c r="S256" s="396"/>
      <c r="T256" s="1138"/>
      <c r="U256" s="1138"/>
      <c r="V256" s="1138"/>
      <c r="W256" s="1138"/>
      <c r="X256" s="1138"/>
      <c r="Y256" s="1138"/>
      <c r="Z256" s="1138"/>
      <c r="AA256" s="1138"/>
      <c r="AB256" s="1138"/>
      <c r="AC256" s="1138"/>
      <c r="AE256" s="1195"/>
      <c r="AF256" s="1155"/>
      <c r="AG256" s="395" t="s">
        <v>741</v>
      </c>
      <c r="AH256" s="396" t="s">
        <v>738</v>
      </c>
      <c r="AI256" s="1138"/>
      <c r="AJ256" s="1138"/>
      <c r="AK256" s="1138"/>
      <c r="AL256" s="1138"/>
      <c r="AM256" s="1138"/>
      <c r="AN256" s="1138"/>
      <c r="AO256" s="1138"/>
      <c r="AP256" s="1138"/>
      <c r="AQ256" s="1138"/>
      <c r="AR256" s="1138"/>
    </row>
    <row r="257" spans="1:44" ht="15" outlineLevel="1" thickBot="1">
      <c r="B257" s="541" t="s">
        <v>273</v>
      </c>
      <c r="C257" s="544">
        <v>0.5</v>
      </c>
      <c r="D257" s="544">
        <v>0.5</v>
      </c>
      <c r="E257" s="544">
        <v>0.5</v>
      </c>
      <c r="F257" s="544">
        <v>0.5</v>
      </c>
      <c r="G257" s="544">
        <v>0.2</v>
      </c>
      <c r="H257" s="544">
        <v>0.7</v>
      </c>
      <c r="I257" s="544">
        <v>0.2</v>
      </c>
      <c r="J257" s="544">
        <v>0.7</v>
      </c>
      <c r="K257" s="547"/>
      <c r="L257" s="559"/>
      <c r="M257" s="363"/>
      <c r="N257" s="363"/>
      <c r="P257" s="1195"/>
      <c r="Q257" s="1155"/>
      <c r="R257" s="395" t="s">
        <v>742</v>
      </c>
      <c r="S257" s="396" t="s">
        <v>738</v>
      </c>
      <c r="T257" s="1138"/>
      <c r="U257" s="1138"/>
      <c r="V257" s="1138"/>
      <c r="W257" s="1138"/>
      <c r="X257" s="1138"/>
      <c r="Y257" s="1138"/>
      <c r="Z257" s="1138"/>
      <c r="AA257" s="1138"/>
      <c r="AB257" s="1138"/>
      <c r="AC257" s="1138"/>
      <c r="AE257" s="1195"/>
      <c r="AF257" s="1155"/>
      <c r="AG257" s="395" t="s">
        <v>742</v>
      </c>
      <c r="AH257" s="396"/>
      <c r="AI257" s="1138"/>
      <c r="AJ257" s="1138"/>
      <c r="AK257" s="1138"/>
      <c r="AL257" s="1138"/>
      <c r="AM257" s="1138"/>
      <c r="AN257" s="1138"/>
      <c r="AO257" s="1138"/>
      <c r="AP257" s="1138"/>
      <c r="AQ257" s="1138"/>
      <c r="AR257" s="1138"/>
    </row>
    <row r="258" spans="1:44" ht="15" outlineLevel="1" thickBot="1">
      <c r="B258" s="401" t="s">
        <v>743</v>
      </c>
      <c r="C258" s="402"/>
      <c r="D258" s="403"/>
      <c r="E258" s="404"/>
      <c r="F258" s="405"/>
      <c r="G258" s="406"/>
      <c r="H258" s="406"/>
      <c r="I258" s="406"/>
      <c r="J258" s="406"/>
      <c r="K258" s="407"/>
      <c r="L258" s="408"/>
      <c r="M258" s="363"/>
      <c r="N258" s="363"/>
      <c r="P258" s="1195"/>
      <c r="Q258" s="1155"/>
      <c r="R258" s="409" t="s">
        <v>744</v>
      </c>
      <c r="S258" s="410" t="s">
        <v>738</v>
      </c>
      <c r="T258" s="1139"/>
      <c r="U258" s="1139"/>
      <c r="V258" s="1139"/>
      <c r="W258" s="1139"/>
      <c r="X258" s="1139"/>
      <c r="Y258" s="1139"/>
      <c r="Z258" s="1139"/>
      <c r="AA258" s="1139"/>
      <c r="AB258" s="1139"/>
      <c r="AC258" s="1139"/>
      <c r="AE258" s="1195"/>
      <c r="AF258" s="1155"/>
      <c r="AG258" s="409" t="s">
        <v>744</v>
      </c>
      <c r="AH258" s="410" t="s">
        <v>738</v>
      </c>
      <c r="AI258" s="1139"/>
      <c r="AJ258" s="1139"/>
      <c r="AK258" s="1139"/>
      <c r="AL258" s="1139"/>
      <c r="AM258" s="1139"/>
      <c r="AN258" s="1139"/>
      <c r="AO258" s="1139"/>
      <c r="AP258" s="1139"/>
      <c r="AQ258" s="1139"/>
      <c r="AR258" s="1139"/>
    </row>
    <row r="259" spans="1:44" ht="29.4" outlineLevel="1" thickBot="1">
      <c r="B259" s="541" t="s">
        <v>663</v>
      </c>
      <c r="C259" s="544">
        <v>15</v>
      </c>
      <c r="D259" s="544">
        <v>15</v>
      </c>
      <c r="E259" s="544">
        <v>15</v>
      </c>
      <c r="F259" s="544">
        <v>15</v>
      </c>
      <c r="G259" s="545"/>
      <c r="H259" s="545"/>
      <c r="I259" s="545"/>
      <c r="J259" s="545"/>
      <c r="K259" s="547"/>
      <c r="L259" s="548">
        <v>3</v>
      </c>
      <c r="M259" s="363"/>
      <c r="N259" s="363"/>
      <c r="P259" s="1196"/>
      <c r="Q259" s="411" t="s">
        <v>745</v>
      </c>
      <c r="R259" s="412" t="s">
        <v>746</v>
      </c>
      <c r="S259" s="413" t="s">
        <v>738</v>
      </c>
      <c r="T259" s="414">
        <v>1</v>
      </c>
      <c r="U259" s="415">
        <v>1</v>
      </c>
      <c r="V259" s="414">
        <v>0</v>
      </c>
      <c r="W259" s="415">
        <v>0</v>
      </c>
      <c r="X259" s="414">
        <v>0</v>
      </c>
      <c r="Y259" s="415">
        <v>0</v>
      </c>
      <c r="Z259" s="414">
        <v>1</v>
      </c>
      <c r="AA259" s="415">
        <v>1</v>
      </c>
      <c r="AB259" s="414">
        <v>0</v>
      </c>
      <c r="AC259" s="417">
        <v>0</v>
      </c>
      <c r="AE259" s="1196"/>
      <c r="AF259" s="411" t="s">
        <v>745</v>
      </c>
      <c r="AG259" s="412" t="s">
        <v>746</v>
      </c>
      <c r="AH259" s="413" t="s">
        <v>738</v>
      </c>
      <c r="AI259" s="414">
        <v>1</v>
      </c>
      <c r="AJ259" s="415">
        <v>1</v>
      </c>
      <c r="AK259" s="414">
        <v>0</v>
      </c>
      <c r="AL259" s="415">
        <v>0</v>
      </c>
      <c r="AM259" s="414">
        <v>0</v>
      </c>
      <c r="AN259" s="415">
        <v>0</v>
      </c>
      <c r="AO259" s="414">
        <v>1</v>
      </c>
      <c r="AP259" s="415">
        <v>1</v>
      </c>
      <c r="AQ259" s="414">
        <v>0</v>
      </c>
      <c r="AR259" s="417">
        <v>0</v>
      </c>
    </row>
    <row r="260" spans="1:44" outlineLevel="1">
      <c r="B260" s="541" t="s">
        <v>664</v>
      </c>
      <c r="C260" s="544">
        <v>0.1</v>
      </c>
      <c r="D260" s="544">
        <v>0.1</v>
      </c>
      <c r="E260" s="544">
        <v>0.1</v>
      </c>
      <c r="F260" s="544">
        <v>0.1</v>
      </c>
      <c r="G260" s="549"/>
      <c r="H260" s="549"/>
      <c r="I260" s="549"/>
      <c r="J260" s="549"/>
      <c r="K260" s="550"/>
      <c r="L260" s="548">
        <v>3</v>
      </c>
      <c r="M260" s="363"/>
      <c r="N260" s="363"/>
    </row>
    <row r="261" spans="1:44" outlineLevel="1">
      <c r="B261" s="541" t="s">
        <v>666</v>
      </c>
      <c r="C261" s="544">
        <v>0.4</v>
      </c>
      <c r="D261" s="544">
        <v>0.4</v>
      </c>
      <c r="E261" s="544">
        <v>0.4</v>
      </c>
      <c r="F261" s="544">
        <v>0.4</v>
      </c>
      <c r="G261" s="549"/>
      <c r="H261" s="549"/>
      <c r="I261" s="549"/>
      <c r="J261" s="549"/>
      <c r="K261" s="550"/>
      <c r="L261" s="548">
        <v>3</v>
      </c>
      <c r="M261" s="420"/>
      <c r="N261" s="363"/>
    </row>
    <row r="262" spans="1:44" outlineLevel="1">
      <c r="B262" s="421" t="s">
        <v>12</v>
      </c>
      <c r="C262" s="399"/>
      <c r="D262" s="399"/>
      <c r="E262" s="399"/>
      <c r="F262" s="399"/>
      <c r="G262" s="422"/>
      <c r="H262" s="422"/>
      <c r="I262" s="422"/>
      <c r="J262" s="422"/>
      <c r="K262" s="423"/>
      <c r="L262" s="424"/>
      <c r="M262" s="420"/>
      <c r="N262" s="420"/>
    </row>
    <row r="263" spans="1:44" ht="15.6" outlineLevel="1">
      <c r="B263" s="383" t="s">
        <v>747</v>
      </c>
      <c r="C263" s="397">
        <v>0.3</v>
      </c>
      <c r="D263" s="397">
        <v>0.3</v>
      </c>
      <c r="E263" s="397">
        <v>0.3</v>
      </c>
      <c r="F263" s="397">
        <v>0.3</v>
      </c>
      <c r="G263" s="422"/>
      <c r="H263" s="425"/>
      <c r="I263" s="425"/>
      <c r="J263" s="425"/>
      <c r="K263" s="426" t="s">
        <v>59</v>
      </c>
      <c r="L263" s="427" t="s">
        <v>748</v>
      </c>
      <c r="M263" s="428"/>
      <c r="N263" s="428"/>
    </row>
    <row r="264" spans="1:44" outlineLevel="1">
      <c r="B264" s="383" t="s">
        <v>749</v>
      </c>
      <c r="C264" s="397">
        <v>0.1</v>
      </c>
      <c r="D264" s="397">
        <v>0.1</v>
      </c>
      <c r="E264" s="397">
        <v>0.1</v>
      </c>
      <c r="F264" s="397">
        <v>0.1</v>
      </c>
      <c r="G264" s="425"/>
      <c r="H264" s="425"/>
      <c r="I264" s="425"/>
      <c r="J264" s="425"/>
      <c r="K264" s="423"/>
      <c r="L264" s="427">
        <v>9</v>
      </c>
      <c r="M264" s="428"/>
      <c r="N264" s="428"/>
    </row>
    <row r="265" spans="1:44" ht="15.6" outlineLevel="1">
      <c r="B265" s="383" t="s">
        <v>750</v>
      </c>
      <c r="C265" s="397">
        <v>9</v>
      </c>
      <c r="D265" s="397">
        <v>7</v>
      </c>
      <c r="E265" s="397">
        <v>6</v>
      </c>
      <c r="F265" s="397">
        <v>6</v>
      </c>
      <c r="G265" s="425"/>
      <c r="H265" s="425"/>
      <c r="I265" s="425"/>
      <c r="J265" s="425"/>
      <c r="K265" s="423"/>
      <c r="L265" s="427" t="s">
        <v>748</v>
      </c>
      <c r="M265" s="428"/>
      <c r="N265" s="428"/>
      <c r="T265" s="224">
        <f>C$23</f>
        <v>0.3</v>
      </c>
      <c r="U265" s="224">
        <f t="shared" ref="U265:V265" si="14">D$23</f>
        <v>0.3</v>
      </c>
      <c r="V265" s="224">
        <f t="shared" si="14"/>
        <v>0.3</v>
      </c>
    </row>
    <row r="266" spans="1:44" outlineLevel="1">
      <c r="B266" s="383" t="s">
        <v>366</v>
      </c>
      <c r="C266" s="397">
        <v>3</v>
      </c>
      <c r="D266" s="397">
        <v>2</v>
      </c>
      <c r="E266" s="397">
        <v>2</v>
      </c>
      <c r="F266" s="397">
        <v>2</v>
      </c>
      <c r="G266" s="425"/>
      <c r="H266" s="425"/>
      <c r="I266" s="425"/>
      <c r="J266" s="425"/>
      <c r="K266" s="423"/>
      <c r="L266" s="427" t="s">
        <v>748</v>
      </c>
      <c r="M266" s="428"/>
      <c r="N266" s="428"/>
    </row>
    <row r="267" spans="1:44" ht="15" outlineLevel="1" thickBot="1">
      <c r="B267" s="429" t="s">
        <v>367</v>
      </c>
      <c r="C267" s="430">
        <v>1</v>
      </c>
      <c r="D267" s="430">
        <v>1</v>
      </c>
      <c r="E267" s="430">
        <v>1</v>
      </c>
      <c r="F267" s="430">
        <v>1</v>
      </c>
      <c r="G267" s="425"/>
      <c r="H267" s="425"/>
      <c r="I267" s="425"/>
      <c r="J267" s="425"/>
      <c r="K267" s="423"/>
      <c r="L267" s="427" t="s">
        <v>748</v>
      </c>
      <c r="M267" s="428"/>
      <c r="N267" s="428"/>
    </row>
    <row r="268" spans="1:44" ht="15" outlineLevel="1" thickBot="1">
      <c r="B268" s="431" t="s">
        <v>674</v>
      </c>
      <c r="C268" s="432"/>
      <c r="D268" s="403"/>
      <c r="E268" s="403"/>
      <c r="F268" s="433"/>
      <c r="G268" s="434"/>
      <c r="H268" s="406"/>
      <c r="I268" s="406"/>
      <c r="J268" s="406"/>
      <c r="K268" s="407"/>
      <c r="L268" s="408"/>
      <c r="M268" s="428"/>
      <c r="N268" s="428"/>
    </row>
    <row r="269" spans="1:44" ht="43.2" outlineLevel="1">
      <c r="A269" s="435" t="s">
        <v>797</v>
      </c>
      <c r="B269" s="436" t="s">
        <v>792</v>
      </c>
      <c r="C269" s="551">
        <f>0.8*0.06</f>
        <v>4.8000000000000001E-2</v>
      </c>
      <c r="D269" s="512">
        <f>0.8*0.05</f>
        <v>4.0000000000000008E-2</v>
      </c>
      <c r="E269" s="512">
        <f>0.8*0.05</f>
        <v>4.0000000000000008E-2</v>
      </c>
      <c r="F269" s="513">
        <f>0.8*0.05</f>
        <v>4.0000000000000008E-2</v>
      </c>
      <c r="G269" s="425"/>
      <c r="H269" s="425"/>
      <c r="I269" s="425"/>
      <c r="J269" s="425"/>
      <c r="K269" s="426" t="s">
        <v>16</v>
      </c>
      <c r="L269" s="440" t="s">
        <v>753</v>
      </c>
      <c r="M269" s="420"/>
      <c r="N269" s="420"/>
    </row>
    <row r="270" spans="1:44" outlineLevel="1">
      <c r="B270" s="441" t="s">
        <v>754</v>
      </c>
      <c r="C270" s="443">
        <v>65</v>
      </c>
      <c r="D270" s="442">
        <v>65</v>
      </c>
      <c r="E270" s="442">
        <v>65</v>
      </c>
      <c r="F270" s="442">
        <v>65</v>
      </c>
      <c r="G270" s="425"/>
      <c r="H270" s="425"/>
      <c r="I270" s="425"/>
      <c r="J270" s="425"/>
      <c r="K270" s="444"/>
      <c r="L270" s="373">
        <v>3</v>
      </c>
      <c r="M270" s="71"/>
      <c r="N270" s="420"/>
    </row>
    <row r="271" spans="1:44" outlineLevel="1">
      <c r="B271" s="441" t="s">
        <v>755</v>
      </c>
      <c r="C271" s="443">
        <f>100-C270</f>
        <v>35</v>
      </c>
      <c r="D271" s="443">
        <f>100-D270</f>
        <v>35</v>
      </c>
      <c r="E271" s="443">
        <f>100-E270</f>
        <v>35</v>
      </c>
      <c r="F271" s="443">
        <f>100-F270</f>
        <v>35</v>
      </c>
      <c r="G271" s="425"/>
      <c r="H271" s="425"/>
      <c r="I271" s="425"/>
      <c r="J271" s="425"/>
      <c r="K271" s="444"/>
      <c r="L271" s="373">
        <v>3</v>
      </c>
      <c r="M271" s="420"/>
      <c r="N271" s="420"/>
    </row>
    <row r="272" spans="1:44" outlineLevel="1">
      <c r="B272" s="383" t="s">
        <v>793</v>
      </c>
      <c r="C272" s="445">
        <f>2000/1000</f>
        <v>2</v>
      </c>
      <c r="D272" s="446">
        <f>1900/1000</f>
        <v>1.9</v>
      </c>
      <c r="E272" s="446">
        <f>1800/1000</f>
        <v>1.8</v>
      </c>
      <c r="F272" s="447">
        <f>1700/1000</f>
        <v>1.7</v>
      </c>
      <c r="G272" s="425"/>
      <c r="H272" s="425"/>
      <c r="I272" s="425"/>
      <c r="J272" s="425"/>
      <c r="K272" s="448"/>
      <c r="L272" s="373">
        <v>3</v>
      </c>
      <c r="M272" s="420"/>
      <c r="N272" s="420"/>
    </row>
    <row r="273" spans="2:30" outlineLevel="1">
      <c r="B273" s="383" t="s">
        <v>794</v>
      </c>
      <c r="C273" s="449">
        <f>1.1/3.6</f>
        <v>0.30555555555555558</v>
      </c>
      <c r="D273" s="449">
        <f>1/3.6</f>
        <v>0.27777777777777779</v>
      </c>
      <c r="E273" s="449">
        <f>1/3.6</f>
        <v>0.27777777777777779</v>
      </c>
      <c r="F273" s="449">
        <f>1/3.6</f>
        <v>0.27777777777777779</v>
      </c>
      <c r="G273" s="425"/>
      <c r="H273" s="425"/>
      <c r="I273" s="425"/>
      <c r="J273" s="425"/>
      <c r="K273" s="448"/>
      <c r="L273" s="373">
        <v>3</v>
      </c>
      <c r="M273" s="450"/>
      <c r="N273" s="361"/>
      <c r="P273" s="1142">
        <f>C273</f>
        <v>0.30555555555555558</v>
      </c>
      <c r="Q273" s="1143"/>
      <c r="R273" s="1143"/>
      <c r="S273" s="1143"/>
      <c r="T273" s="1143"/>
      <c r="U273" s="1144"/>
    </row>
    <row r="274" spans="2:30" ht="15" outlineLevel="1" thickBot="1">
      <c r="B274" s="541" t="s">
        <v>758</v>
      </c>
      <c r="C274" s="552">
        <f>C253/100*73</f>
        <v>0.10220000000000001</v>
      </c>
      <c r="D274" s="552">
        <f>D253/100*75</f>
        <v>0.09</v>
      </c>
      <c r="E274" s="552">
        <f>E253/100*76</f>
        <v>8.3600000000000008E-2</v>
      </c>
      <c r="F274" s="552">
        <f>F253/100*76</f>
        <v>7.5999999999999998E-2</v>
      </c>
      <c r="G274" s="425"/>
      <c r="H274" s="425"/>
      <c r="I274" s="425"/>
      <c r="J274" s="425"/>
      <c r="K274" s="444" t="s">
        <v>20</v>
      </c>
      <c r="L274" s="373">
        <v>3</v>
      </c>
      <c r="M274" s="450"/>
      <c r="N274" s="361"/>
      <c r="P274" s="1134">
        <f>C274</f>
        <v>0.10220000000000001</v>
      </c>
      <c r="Q274" s="1135"/>
      <c r="R274" s="1135"/>
      <c r="S274" s="1135"/>
      <c r="T274" s="1135"/>
      <c r="U274" s="1136"/>
    </row>
    <row r="275" spans="2:30" outlineLevel="1">
      <c r="B275" s="541" t="s">
        <v>759</v>
      </c>
      <c r="C275" s="554">
        <f>C273-C274</f>
        <v>0.20335555555555557</v>
      </c>
      <c r="D275" s="554">
        <f>D273-D274</f>
        <v>0.18777777777777779</v>
      </c>
      <c r="E275" s="554">
        <f>E273-E274</f>
        <v>0.19417777777777778</v>
      </c>
      <c r="F275" s="554">
        <f>F273-F274</f>
        <v>0.20177777777777778</v>
      </c>
      <c r="G275" s="425"/>
      <c r="H275" s="425"/>
      <c r="I275" s="425"/>
      <c r="J275" s="425"/>
      <c r="K275" s="448"/>
      <c r="L275" s="373">
        <v>3</v>
      </c>
      <c r="M275" s="363"/>
      <c r="N275" s="363"/>
      <c r="P275" s="53" t="s">
        <v>357</v>
      </c>
    </row>
    <row r="276" spans="2:30" ht="27.6" outlineLevel="1">
      <c r="B276" s="441"/>
      <c r="C276" s="518"/>
      <c r="D276" s="518"/>
      <c r="E276" s="518"/>
      <c r="F276" s="518"/>
      <c r="G276" s="425"/>
      <c r="H276" s="425"/>
      <c r="I276" s="425"/>
      <c r="J276" s="425"/>
      <c r="K276" s="444"/>
      <c r="L276" s="424"/>
      <c r="M276" s="367"/>
      <c r="N276" s="36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4.6" outlineLevel="1" thickBot="1">
      <c r="B277" s="519"/>
      <c r="C277" s="442"/>
      <c r="D277" s="520"/>
      <c r="E277" s="520"/>
      <c r="F277" s="521"/>
      <c r="G277" s="425"/>
      <c r="H277" s="425"/>
      <c r="I277" s="425"/>
      <c r="J277" s="425"/>
      <c r="K277" s="448"/>
      <c r="L277" s="424"/>
      <c r="M277" s="363"/>
      <c r="N277" s="363"/>
      <c r="P277" s="50"/>
      <c r="Q277" s="50"/>
      <c r="R277" s="51"/>
      <c r="S277" s="51"/>
      <c r="T277" s="51"/>
      <c r="U277" s="51" t="s">
        <v>760</v>
      </c>
      <c r="V277" s="50" t="s">
        <v>761</v>
      </c>
      <c r="W277" s="50"/>
      <c r="X277" s="50"/>
      <c r="Y277" s="50"/>
      <c r="Z277" s="50"/>
      <c r="AA277" s="50"/>
      <c r="AB277" s="50"/>
      <c r="AC277" s="50"/>
      <c r="AD277" s="50"/>
    </row>
    <row r="278" spans="2:30" ht="43.8" outlineLevel="1" thickBot="1">
      <c r="B278" s="401" t="s">
        <v>682</v>
      </c>
      <c r="C278" s="402"/>
      <c r="D278" s="403"/>
      <c r="E278" s="404"/>
      <c r="F278" s="405"/>
      <c r="G278" s="406"/>
      <c r="H278" s="406"/>
      <c r="I278" s="406"/>
      <c r="J278" s="406"/>
      <c r="K278" s="459"/>
      <c r="L278" s="460"/>
      <c r="M278" s="363"/>
      <c r="N278" s="363"/>
      <c r="O278" s="461" t="s">
        <v>732</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56" t="s">
        <v>762</v>
      </c>
      <c r="C279" s="557">
        <v>3.5000000000000003E-2</v>
      </c>
      <c r="D279" s="557">
        <v>0.03</v>
      </c>
      <c r="E279" s="557">
        <v>0.03</v>
      </c>
      <c r="F279" s="557">
        <v>0.03</v>
      </c>
      <c r="G279" s="558"/>
      <c r="H279" s="558"/>
      <c r="I279" s="558"/>
      <c r="J279" s="558"/>
      <c r="K279" s="558" t="s">
        <v>76</v>
      </c>
      <c r="L279" s="559"/>
      <c r="M279" s="363"/>
      <c r="N279" s="363"/>
      <c r="O279" s="465">
        <f>C252</f>
        <v>101</v>
      </c>
      <c r="P279" s="466">
        <f>C248</f>
        <v>2020</v>
      </c>
      <c r="Q279" s="58">
        <f>P279</f>
        <v>2020</v>
      </c>
      <c r="R279" s="466">
        <f>O279/100</f>
        <v>1.01</v>
      </c>
      <c r="S279" s="58"/>
      <c r="T279" s="466">
        <f>C256</f>
        <v>25</v>
      </c>
      <c r="U279" s="467">
        <f>C286</f>
        <v>357.6</v>
      </c>
      <c r="V279" s="467">
        <f>C288</f>
        <v>14.9</v>
      </c>
      <c r="W279" s="467">
        <f>C289</f>
        <v>2.276388888888889</v>
      </c>
      <c r="X279" s="58"/>
      <c r="Y279" s="58"/>
      <c r="Z279" s="466">
        <f>C263</f>
        <v>0.3</v>
      </c>
      <c r="AA279" s="468">
        <f>C265</f>
        <v>9</v>
      </c>
      <c r="AB279" s="468">
        <f>C266</f>
        <v>3</v>
      </c>
      <c r="AC279" s="468">
        <f>C267</f>
        <v>1</v>
      </c>
      <c r="AD279" s="468">
        <f>C264</f>
        <v>0.1</v>
      </c>
    </row>
    <row r="280" spans="2:30" outlineLevel="1">
      <c r="B280" s="541" t="s">
        <v>763</v>
      </c>
      <c r="C280" s="560" t="s">
        <v>36</v>
      </c>
      <c r="D280" s="561" t="s">
        <v>36</v>
      </c>
      <c r="E280" s="561" t="s">
        <v>36</v>
      </c>
      <c r="F280" s="562" t="s">
        <v>36</v>
      </c>
      <c r="G280" s="562"/>
      <c r="H280" s="562"/>
      <c r="I280" s="562"/>
      <c r="J280" s="562"/>
      <c r="K280" s="563" t="s">
        <v>25</v>
      </c>
      <c r="L280" s="559"/>
      <c r="M280" s="363"/>
      <c r="N280" s="363"/>
      <c r="O280" s="465">
        <f>D252</f>
        <v>103</v>
      </c>
      <c r="P280" s="466">
        <f>D248</f>
        <v>2030</v>
      </c>
      <c r="Q280" s="58"/>
      <c r="R280" s="466">
        <f>O280/100</f>
        <v>1.03</v>
      </c>
      <c r="S280" s="58"/>
      <c r="T280" s="466">
        <f>D256</f>
        <v>25</v>
      </c>
      <c r="U280" s="467">
        <f>D286</f>
        <v>298.00000000000006</v>
      </c>
      <c r="V280" s="467">
        <f>D288</f>
        <v>14.154999999999999</v>
      </c>
      <c r="W280" s="467">
        <f>D289</f>
        <v>2.0694444444444446</v>
      </c>
      <c r="X280" s="58"/>
      <c r="Y280" s="58"/>
      <c r="Z280" s="466">
        <f>D263</f>
        <v>0.3</v>
      </c>
      <c r="AA280" s="468">
        <f>D265</f>
        <v>7</v>
      </c>
      <c r="AB280" s="468">
        <f>D266</f>
        <v>2</v>
      </c>
      <c r="AC280" s="468">
        <f>D267</f>
        <v>1</v>
      </c>
      <c r="AD280" s="468">
        <f>D264</f>
        <v>0.1</v>
      </c>
    </row>
    <row r="281" spans="2:30" outlineLevel="1">
      <c r="B281" s="541" t="s">
        <v>764</v>
      </c>
      <c r="C281" s="560" t="s">
        <v>36</v>
      </c>
      <c r="D281" s="561" t="s">
        <v>36</v>
      </c>
      <c r="E281" s="561" t="s">
        <v>36</v>
      </c>
      <c r="F281" s="562" t="s">
        <v>36</v>
      </c>
      <c r="G281" s="562"/>
      <c r="H281" s="562"/>
      <c r="I281" s="562"/>
      <c r="J281" s="562"/>
      <c r="K281" s="563"/>
      <c r="L281" s="559"/>
      <c r="M281" s="363"/>
      <c r="N281" s="363"/>
      <c r="O281" s="465">
        <f>E252</f>
        <v>103</v>
      </c>
      <c r="P281" s="466">
        <f>E248</f>
        <v>2040</v>
      </c>
      <c r="Q281" s="58"/>
      <c r="R281" s="466">
        <f>O281/100</f>
        <v>1.03</v>
      </c>
      <c r="S281" s="58"/>
      <c r="T281" s="466">
        <f>E256</f>
        <v>25</v>
      </c>
      <c r="U281" s="467">
        <f>E286</f>
        <v>298.00000000000006</v>
      </c>
      <c r="V281" s="467">
        <f>E288</f>
        <v>13.41</v>
      </c>
      <c r="W281" s="467">
        <f>E289</f>
        <v>2.0694444444444446</v>
      </c>
      <c r="X281" s="58"/>
      <c r="Y281" s="58"/>
      <c r="Z281" s="466">
        <f>E263</f>
        <v>0.3</v>
      </c>
      <c r="AA281" s="468">
        <f>E265</f>
        <v>6</v>
      </c>
      <c r="AB281" s="468">
        <f>E266</f>
        <v>2</v>
      </c>
      <c r="AC281" s="468">
        <f>E267</f>
        <v>1</v>
      </c>
      <c r="AD281" s="468">
        <f>E264</f>
        <v>0.1</v>
      </c>
    </row>
    <row r="282" spans="2:30" outlineLevel="1">
      <c r="B282" s="541" t="s">
        <v>765</v>
      </c>
      <c r="C282" s="564">
        <v>90</v>
      </c>
      <c r="D282" s="564">
        <v>90</v>
      </c>
      <c r="E282" s="564">
        <v>90</v>
      </c>
      <c r="F282" s="564">
        <v>90</v>
      </c>
      <c r="G282" s="565"/>
      <c r="H282" s="565"/>
      <c r="I282" s="565"/>
      <c r="J282" s="565"/>
      <c r="K282" s="565"/>
      <c r="L282" s="548">
        <v>3</v>
      </c>
      <c r="M282" s="363"/>
      <c r="N282" s="363"/>
      <c r="O282" s="465">
        <f>F252</f>
        <v>103</v>
      </c>
      <c r="P282" s="466">
        <f>F248</f>
        <v>2050</v>
      </c>
      <c r="Q282" s="58"/>
      <c r="R282" s="466">
        <f>O282/100</f>
        <v>1.03</v>
      </c>
      <c r="S282" s="58"/>
      <c r="T282" s="466">
        <f>F256</f>
        <v>25</v>
      </c>
      <c r="U282" s="467">
        <f>F286</f>
        <v>298.00000000000006</v>
      </c>
      <c r="V282" s="467">
        <f>F288</f>
        <v>12.664999999999999</v>
      </c>
      <c r="W282" s="467">
        <f>F289</f>
        <v>2.0694444444444446</v>
      </c>
      <c r="X282" s="58"/>
      <c r="Y282" s="58"/>
      <c r="Z282" s="466">
        <f>F263</f>
        <v>0.3</v>
      </c>
      <c r="AA282" s="468">
        <f>F265</f>
        <v>6</v>
      </c>
      <c r="AB282" s="468">
        <f>F266</f>
        <v>2</v>
      </c>
      <c r="AC282" s="468">
        <f>F267</f>
        <v>1</v>
      </c>
      <c r="AD282" s="468">
        <f>F264</f>
        <v>0.1</v>
      </c>
    </row>
    <row r="283" spans="2:30" outlineLevel="1">
      <c r="B283" s="566" t="s">
        <v>766</v>
      </c>
      <c r="C283" s="560"/>
      <c r="D283" s="561"/>
      <c r="E283" s="561"/>
      <c r="F283" s="562"/>
      <c r="G283" s="562"/>
      <c r="H283" s="562"/>
      <c r="I283" s="562"/>
      <c r="J283" s="562"/>
      <c r="K283" s="563"/>
      <c r="L283" s="559"/>
      <c r="M283" s="367"/>
      <c r="N283" s="367"/>
    </row>
    <row r="284" spans="2:30" outlineLevel="1">
      <c r="B284" s="566" t="s">
        <v>767</v>
      </c>
      <c r="C284" s="560"/>
      <c r="D284" s="561"/>
      <c r="E284" s="561"/>
      <c r="F284" s="562"/>
      <c r="G284" s="562"/>
      <c r="H284" s="562"/>
      <c r="I284" s="562"/>
      <c r="J284" s="562"/>
      <c r="K284" s="563"/>
      <c r="L284" s="559"/>
      <c r="M284" s="363"/>
      <c r="N284" s="363"/>
    </row>
    <row r="285" spans="2:30" ht="15" outlineLevel="1" thickBot="1">
      <c r="B285" s="567" t="s">
        <v>768</v>
      </c>
      <c r="C285" s="568"/>
      <c r="D285" s="568"/>
      <c r="E285" s="568"/>
      <c r="F285" s="568"/>
      <c r="G285" s="568"/>
      <c r="H285" s="568"/>
      <c r="I285" s="568"/>
      <c r="J285" s="568"/>
      <c r="K285" s="568"/>
      <c r="L285" s="569"/>
      <c r="M285" s="363"/>
      <c r="N285" s="363"/>
    </row>
    <row r="286" spans="2:30" ht="57.6" outlineLevel="1">
      <c r="B286" s="461" t="s">
        <v>769</v>
      </c>
      <c r="C286" s="483">
        <f>C269*$F$4*1000</f>
        <v>357.6</v>
      </c>
      <c r="D286" s="483">
        <f t="shared" ref="D286:F286" si="15">D269*$F$4*1000</f>
        <v>298.00000000000006</v>
      </c>
      <c r="E286" s="483">
        <f t="shared" si="15"/>
        <v>298.00000000000006</v>
      </c>
      <c r="F286" s="483">
        <f t="shared" si="15"/>
        <v>298.00000000000006</v>
      </c>
      <c r="G286" s="483"/>
      <c r="H286" s="484"/>
      <c r="I286" s="420" t="s">
        <v>332</v>
      </c>
      <c r="J286" s="420"/>
      <c r="K286" s="484"/>
      <c r="L286" s="484"/>
      <c r="N286" s="420"/>
    </row>
    <row r="287" spans="2:30" outlineLevel="1">
      <c r="B287" s="485" t="s">
        <v>770</v>
      </c>
      <c r="C287" s="486">
        <f>C286*$I287</f>
        <v>178800</v>
      </c>
      <c r="D287" s="486">
        <f>D286*$I287</f>
        <v>149000.00000000003</v>
      </c>
      <c r="E287" s="486">
        <f>E286*$I287</f>
        <v>149000.00000000003</v>
      </c>
      <c r="F287" s="486">
        <f>F286*$I287</f>
        <v>149000.00000000003</v>
      </c>
      <c r="G287" s="486"/>
      <c r="H287" s="484"/>
      <c r="I287" s="71">
        <v>500</v>
      </c>
      <c r="J287" s="420" t="s">
        <v>330</v>
      </c>
      <c r="K287" s="484"/>
      <c r="L287" s="484"/>
      <c r="N287" s="420"/>
    </row>
    <row r="288" spans="2:30" ht="43.2" outlineLevel="1">
      <c r="B288" s="461" t="s">
        <v>771</v>
      </c>
      <c r="C288" s="359">
        <f>C272*$F$4</f>
        <v>14.9</v>
      </c>
      <c r="D288" s="359">
        <f t="shared" ref="D288:F289" si="16">D272*$F$4</f>
        <v>14.154999999999999</v>
      </c>
      <c r="E288" s="359">
        <f t="shared" si="16"/>
        <v>13.41</v>
      </c>
      <c r="F288" s="359">
        <f t="shared" si="16"/>
        <v>12.664999999999999</v>
      </c>
      <c r="G288" s="359"/>
      <c r="I288" s="420" t="s">
        <v>333</v>
      </c>
      <c r="J288" s="420"/>
      <c r="N288" s="420"/>
    </row>
    <row r="289" spans="1:15" ht="43.2" outlineLevel="1">
      <c r="B289" s="461" t="s">
        <v>772</v>
      </c>
      <c r="C289" s="487">
        <f>C273*$F$4</f>
        <v>2.276388888888889</v>
      </c>
      <c r="D289" s="487">
        <f t="shared" si="16"/>
        <v>2.0694444444444446</v>
      </c>
      <c r="E289" s="487">
        <f t="shared" si="16"/>
        <v>2.0694444444444446</v>
      </c>
      <c r="F289" s="487">
        <f t="shared" si="16"/>
        <v>2.0694444444444446</v>
      </c>
      <c r="G289" s="359"/>
      <c r="M289" s="420"/>
      <c r="N289" s="420"/>
    </row>
    <row r="290" spans="1:15" outlineLevel="1"/>
    <row r="291" spans="1:15" outlineLevel="1">
      <c r="A291" s="488" t="s">
        <v>773</v>
      </c>
      <c r="B291" s="489"/>
      <c r="D291" s="490"/>
      <c r="E291" s="490"/>
      <c r="F291" s="490"/>
      <c r="G291" s="358"/>
      <c r="H291" s="358"/>
      <c r="I291" s="358"/>
      <c r="J291" s="358"/>
      <c r="K291" s="358"/>
      <c r="L291" s="358"/>
    </row>
    <row r="292" spans="1:15" outlineLevel="1">
      <c r="A292" s="491">
        <v>1</v>
      </c>
      <c r="B292" s="492" t="s">
        <v>774</v>
      </c>
      <c r="D292" s="490"/>
      <c r="E292" s="490"/>
      <c r="F292" s="490"/>
      <c r="G292" s="358"/>
      <c r="H292" s="358"/>
      <c r="I292" s="358"/>
      <c r="J292" s="358"/>
      <c r="K292" s="358"/>
      <c r="L292" s="358"/>
    </row>
    <row r="293" spans="1:15" outlineLevel="1">
      <c r="A293" s="491">
        <v>2</v>
      </c>
      <c r="B293" s="493" t="s">
        <v>775</v>
      </c>
      <c r="D293" s="490"/>
      <c r="E293" s="490"/>
      <c r="F293" s="490"/>
      <c r="G293" s="358"/>
      <c r="H293" s="358"/>
      <c r="I293" s="358"/>
      <c r="J293" s="358"/>
      <c r="K293" s="358"/>
      <c r="L293" s="358"/>
    </row>
    <row r="294" spans="1:15" outlineLevel="1">
      <c r="A294" s="491">
        <v>3</v>
      </c>
      <c r="B294" s="493" t="s">
        <v>776</v>
      </c>
      <c r="D294" s="490"/>
      <c r="E294" s="490"/>
      <c r="F294" s="490"/>
      <c r="G294" s="358"/>
      <c r="H294" s="358"/>
      <c r="I294" s="358"/>
      <c r="J294" s="358"/>
      <c r="K294" s="358"/>
      <c r="L294" s="358"/>
    </row>
    <row r="295" spans="1:15" outlineLevel="1">
      <c r="A295" s="491">
        <v>4</v>
      </c>
      <c r="B295" s="493" t="s">
        <v>777</v>
      </c>
      <c r="D295" s="490"/>
      <c r="E295" s="490"/>
      <c r="F295" s="490"/>
      <c r="G295" s="358"/>
      <c r="H295" s="358"/>
      <c r="I295" s="358"/>
      <c r="J295" s="358"/>
      <c r="K295" s="358"/>
      <c r="L295" s="358"/>
    </row>
    <row r="296" spans="1:15" outlineLevel="1">
      <c r="A296" s="358">
        <v>5</v>
      </c>
      <c r="B296" s="494" t="s">
        <v>778</v>
      </c>
      <c r="D296" s="490"/>
      <c r="E296" s="490"/>
      <c r="F296" s="490"/>
      <c r="G296" s="358"/>
      <c r="H296" s="358"/>
      <c r="I296" s="358"/>
      <c r="J296" s="358"/>
      <c r="K296" s="358"/>
      <c r="L296" s="358"/>
      <c r="M296" s="570"/>
      <c r="N296" s="489"/>
      <c r="O296" s="490"/>
    </row>
    <row r="297" spans="1:15" outlineLevel="1">
      <c r="A297" s="358">
        <v>6</v>
      </c>
      <c r="B297" s="492" t="s">
        <v>779</v>
      </c>
      <c r="D297" s="490"/>
      <c r="E297" s="490"/>
      <c r="F297" s="490"/>
      <c r="G297" s="358"/>
      <c r="H297" s="358"/>
      <c r="I297" s="358"/>
      <c r="J297" s="358"/>
      <c r="K297" s="358"/>
      <c r="L297" s="358"/>
      <c r="O297" s="490"/>
    </row>
    <row r="298" spans="1:15" outlineLevel="1">
      <c r="A298" s="358">
        <v>7</v>
      </c>
      <c r="B298" s="495" t="s">
        <v>774</v>
      </c>
      <c r="D298" s="490"/>
      <c r="E298" s="490"/>
      <c r="F298" s="490"/>
      <c r="G298" s="358"/>
      <c r="H298" s="358"/>
      <c r="I298" s="358"/>
      <c r="J298" s="358"/>
      <c r="K298" s="358"/>
      <c r="L298" s="358"/>
      <c r="O298" s="490"/>
    </row>
    <row r="299" spans="1:15" outlineLevel="1">
      <c r="A299" s="358">
        <v>8</v>
      </c>
      <c r="B299" s="495" t="s">
        <v>780</v>
      </c>
      <c r="D299" s="490"/>
      <c r="E299" s="490"/>
      <c r="F299" s="490"/>
      <c r="G299" s="358"/>
      <c r="H299" s="358"/>
      <c r="I299" s="358"/>
      <c r="J299" s="358"/>
      <c r="K299" s="358"/>
      <c r="L299" s="358"/>
      <c r="O299" s="490"/>
    </row>
    <row r="300" spans="1:15" outlineLevel="1">
      <c r="A300" s="358">
        <v>9</v>
      </c>
      <c r="B300" s="489" t="s">
        <v>781</v>
      </c>
      <c r="D300" s="490"/>
      <c r="E300" s="490"/>
      <c r="F300" s="490"/>
      <c r="G300" s="358"/>
      <c r="H300" s="358"/>
      <c r="I300" s="358"/>
      <c r="J300" s="358"/>
      <c r="K300" s="358"/>
      <c r="L300" s="358"/>
      <c r="O300" s="490"/>
    </row>
    <row r="301" spans="1:15" outlineLevel="1">
      <c r="A301" s="358">
        <v>10</v>
      </c>
      <c r="B301" s="490" t="s">
        <v>782</v>
      </c>
      <c r="D301" s="490"/>
      <c r="E301" s="490"/>
      <c r="F301" s="490"/>
      <c r="G301" s="358"/>
      <c r="H301" s="358"/>
      <c r="I301" s="358"/>
      <c r="J301" s="358"/>
      <c r="K301" s="358"/>
      <c r="L301" s="358"/>
      <c r="O301" s="490"/>
    </row>
    <row r="302" spans="1:15" outlineLevel="1">
      <c r="A302" s="488" t="s">
        <v>783</v>
      </c>
      <c r="B302" s="489"/>
      <c r="D302" s="490"/>
      <c r="E302" s="490"/>
      <c r="F302" s="490"/>
      <c r="G302" s="358"/>
      <c r="H302" s="358"/>
      <c r="I302" s="358"/>
      <c r="J302" s="358"/>
      <c r="K302" s="358"/>
      <c r="L302" s="358"/>
      <c r="O302" s="490"/>
    </row>
    <row r="303" spans="1:15" outlineLevel="1">
      <c r="A303" s="496" t="s">
        <v>6</v>
      </c>
      <c r="B303" s="497" t="s">
        <v>784</v>
      </c>
      <c r="D303" s="490"/>
      <c r="E303" s="490"/>
      <c r="F303" s="490"/>
      <c r="G303" s="358"/>
      <c r="H303" s="358"/>
      <c r="I303" s="358"/>
      <c r="J303" s="358"/>
      <c r="K303" s="358"/>
      <c r="L303" s="358"/>
      <c r="M303" s="570"/>
      <c r="N303" s="489"/>
      <c r="O303" s="490"/>
    </row>
    <row r="304" spans="1:15" outlineLevel="1">
      <c r="A304" s="496" t="s">
        <v>59</v>
      </c>
      <c r="B304" s="489" t="s">
        <v>786</v>
      </c>
      <c r="D304" s="490"/>
      <c r="E304" s="490"/>
      <c r="F304" s="490"/>
      <c r="G304" s="358"/>
      <c r="H304" s="358"/>
      <c r="I304" s="358"/>
      <c r="J304" s="358"/>
      <c r="K304" s="358"/>
      <c r="L304" s="358"/>
      <c r="M304" s="571"/>
      <c r="N304" s="489"/>
      <c r="O304" s="490"/>
    </row>
    <row r="305" spans="1:44" outlineLevel="1">
      <c r="A305" s="496" t="s">
        <v>16</v>
      </c>
      <c r="B305" s="489" t="s">
        <v>787</v>
      </c>
      <c r="D305" s="490"/>
      <c r="E305" s="490"/>
      <c r="F305" s="490"/>
      <c r="G305" s="358"/>
      <c r="H305" s="358"/>
      <c r="I305" s="358"/>
      <c r="J305" s="358"/>
      <c r="K305" s="358"/>
      <c r="L305" s="358"/>
      <c r="M305" s="572"/>
      <c r="N305" s="489"/>
      <c r="O305" s="490"/>
    </row>
    <row r="306" spans="1:44" outlineLevel="1">
      <c r="A306" s="496" t="s">
        <v>20</v>
      </c>
      <c r="B306" s="498" t="s">
        <v>788</v>
      </c>
      <c r="D306" s="490"/>
      <c r="E306" s="490"/>
      <c r="F306" s="490"/>
      <c r="G306" s="358"/>
      <c r="H306" s="358"/>
      <c r="I306" s="358"/>
      <c r="J306" s="358"/>
      <c r="K306" s="358"/>
      <c r="L306" s="358"/>
      <c r="M306" s="573"/>
      <c r="N306" s="489"/>
      <c r="O306" s="490"/>
    </row>
    <row r="307" spans="1:44" outlineLevel="1">
      <c r="A307" s="496" t="s">
        <v>76</v>
      </c>
      <c r="B307" s="489" t="s">
        <v>804</v>
      </c>
      <c r="D307" s="490"/>
      <c r="E307" s="490"/>
      <c r="F307" s="490"/>
      <c r="G307" s="358"/>
      <c r="H307" s="358"/>
      <c r="I307" s="358"/>
      <c r="J307" s="358"/>
      <c r="K307" s="358"/>
      <c r="L307" s="358"/>
      <c r="M307" s="573"/>
      <c r="N307" s="490"/>
      <c r="O307" s="490"/>
    </row>
    <row r="308" spans="1:44" outlineLevel="1">
      <c r="A308" s="496" t="s">
        <v>25</v>
      </c>
      <c r="B308" s="489" t="s">
        <v>789</v>
      </c>
      <c r="D308" s="490"/>
      <c r="E308" s="490"/>
      <c r="F308" s="490"/>
      <c r="G308" s="358"/>
      <c r="H308" s="358"/>
      <c r="I308" s="358"/>
      <c r="J308" s="358"/>
      <c r="K308" s="358"/>
      <c r="L308" s="358"/>
      <c r="M308" s="489"/>
      <c r="N308" s="490"/>
      <c r="O308" s="490"/>
    </row>
    <row r="309" spans="1:44" outlineLevel="1"/>
    <row r="312" spans="1:44" ht="15" thickBot="1">
      <c r="A312" s="360" t="s">
        <v>807</v>
      </c>
      <c r="P312" s="692">
        <v>1</v>
      </c>
      <c r="Q312" s="692">
        <v>2</v>
      </c>
      <c r="R312" s="692">
        <v>3</v>
      </c>
      <c r="S312" s="692">
        <v>4</v>
      </c>
      <c r="T312" s="692">
        <v>5</v>
      </c>
      <c r="U312" s="692">
        <v>6</v>
      </c>
      <c r="V312" s="692">
        <v>7</v>
      </c>
      <c r="W312" s="692">
        <v>8</v>
      </c>
      <c r="X312" s="692">
        <v>9</v>
      </c>
      <c r="Y312" s="692">
        <v>10</v>
      </c>
      <c r="Z312" s="692">
        <v>11</v>
      </c>
      <c r="AA312" s="692">
        <v>12</v>
      </c>
      <c r="AB312" s="692">
        <v>13</v>
      </c>
      <c r="AC312" s="692">
        <v>14</v>
      </c>
    </row>
    <row r="313" spans="1:44" ht="20.55" customHeight="1" thickBot="1">
      <c r="B313" s="362" t="s">
        <v>0</v>
      </c>
      <c r="C313" s="1186" t="s">
        <v>808</v>
      </c>
      <c r="D313" s="1187"/>
      <c r="E313" s="1187"/>
      <c r="F313" s="1187"/>
      <c r="G313" s="1187"/>
      <c r="H313" s="1187"/>
      <c r="I313" s="1187"/>
      <c r="J313" s="1187"/>
      <c r="K313" s="1187"/>
      <c r="L313" s="1188"/>
      <c r="M313" s="363"/>
      <c r="N313" s="363"/>
      <c r="P313" s="364" t="s">
        <v>713</v>
      </c>
      <c r="Q313" s="365"/>
      <c r="R313" s="366"/>
      <c r="S313" s="1176" t="s">
        <v>714</v>
      </c>
      <c r="T313" s="1160" t="s">
        <v>715</v>
      </c>
      <c r="U313" s="1161"/>
      <c r="V313" s="1160" t="s">
        <v>716</v>
      </c>
      <c r="W313" s="1161"/>
      <c r="X313" s="1160" t="s">
        <v>717</v>
      </c>
      <c r="Y313" s="1161"/>
      <c r="Z313" s="1160" t="s">
        <v>718</v>
      </c>
      <c r="AA313" s="1161"/>
      <c r="AB313" s="1160" t="s">
        <v>719</v>
      </c>
      <c r="AC313" s="1161"/>
      <c r="AE313" s="364" t="s">
        <v>720</v>
      </c>
      <c r="AF313" s="365"/>
      <c r="AG313" s="366"/>
      <c r="AH313" s="1176" t="s">
        <v>714</v>
      </c>
      <c r="AI313" s="1160" t="s">
        <v>715</v>
      </c>
      <c r="AJ313" s="1161"/>
      <c r="AK313" s="1160" t="s">
        <v>716</v>
      </c>
      <c r="AL313" s="1161"/>
      <c r="AM313" s="1160" t="s">
        <v>717</v>
      </c>
      <c r="AN313" s="1161"/>
      <c r="AO313" s="1160" t="s">
        <v>718</v>
      </c>
      <c r="AP313" s="1161"/>
      <c r="AQ313" s="1160" t="s">
        <v>719</v>
      </c>
      <c r="AR313" s="1161"/>
    </row>
    <row r="314" spans="1:44" ht="15" customHeight="1" thickBot="1">
      <c r="B314" s="1164" t="s">
        <v>4</v>
      </c>
      <c r="C314" s="1166">
        <v>2020</v>
      </c>
      <c r="D314" s="1166">
        <v>2030</v>
      </c>
      <c r="E314" s="1166">
        <v>2040</v>
      </c>
      <c r="F314" s="1166">
        <v>2050</v>
      </c>
      <c r="G314" s="1168" t="s">
        <v>721</v>
      </c>
      <c r="H314" s="1169"/>
      <c r="I314" s="1168" t="s">
        <v>648</v>
      </c>
      <c r="J314" s="1169"/>
      <c r="K314" s="1189" t="s">
        <v>2</v>
      </c>
      <c r="L314" s="1189" t="s">
        <v>3</v>
      </c>
      <c r="M314" s="367"/>
      <c r="N314" s="367"/>
      <c r="P314" s="1180" t="s">
        <v>0</v>
      </c>
      <c r="Q314" s="368"/>
      <c r="R314" s="368"/>
      <c r="S314" s="1177"/>
      <c r="T314" s="1162"/>
      <c r="U314" s="1163"/>
      <c r="V314" s="1162"/>
      <c r="W314" s="1163"/>
      <c r="X314" s="1162"/>
      <c r="Y314" s="1163"/>
      <c r="Z314" s="1162"/>
      <c r="AA314" s="1163"/>
      <c r="AB314" s="1162"/>
      <c r="AC314" s="1163"/>
      <c r="AE314" s="1180" t="s">
        <v>0</v>
      </c>
      <c r="AF314" s="368"/>
      <c r="AG314" s="368"/>
      <c r="AH314" s="1177"/>
      <c r="AI314" s="1162"/>
      <c r="AJ314" s="1163"/>
      <c r="AK314" s="1162"/>
      <c r="AL314" s="1163"/>
      <c r="AM314" s="1162"/>
      <c r="AN314" s="1163"/>
      <c r="AO314" s="1162"/>
      <c r="AP314" s="1163"/>
      <c r="AQ314" s="1162"/>
      <c r="AR314" s="1163"/>
    </row>
    <row r="315" spans="1:44" ht="15" customHeight="1" thickBot="1">
      <c r="B315" s="1165"/>
      <c r="C315" s="1167"/>
      <c r="D315" s="1167"/>
      <c r="E315" s="1167"/>
      <c r="F315" s="1167"/>
      <c r="G315" s="406" t="s">
        <v>649</v>
      </c>
      <c r="H315" s="406" t="s">
        <v>650</v>
      </c>
      <c r="I315" s="406" t="s">
        <v>649</v>
      </c>
      <c r="J315" s="406" t="s">
        <v>650</v>
      </c>
      <c r="K315" s="1190"/>
      <c r="L315" s="1190"/>
      <c r="M315" s="370"/>
      <c r="N315" s="370"/>
      <c r="P315" s="1181"/>
      <c r="Q315" s="1183" t="s">
        <v>722</v>
      </c>
      <c r="R315" s="1184" t="s">
        <v>723</v>
      </c>
      <c r="S315" s="1178"/>
      <c r="T315" s="1162"/>
      <c r="U315" s="1163"/>
      <c r="V315" s="1162"/>
      <c r="W315" s="1163"/>
      <c r="X315" s="1162"/>
      <c r="Y315" s="1163"/>
      <c r="Z315" s="1162"/>
      <c r="AA315" s="1163"/>
      <c r="AB315" s="1162"/>
      <c r="AC315" s="1163"/>
      <c r="AE315" s="1181"/>
      <c r="AF315" s="1183" t="s">
        <v>722</v>
      </c>
      <c r="AG315" s="1184" t="s">
        <v>723</v>
      </c>
      <c r="AH315" s="1178"/>
      <c r="AI315" s="1162"/>
      <c r="AJ315" s="1163"/>
      <c r="AK315" s="1162"/>
      <c r="AL315" s="1163"/>
      <c r="AM315" s="1162"/>
      <c r="AN315" s="1163"/>
      <c r="AO315" s="1162"/>
      <c r="AP315" s="1163"/>
      <c r="AQ315" s="1162"/>
      <c r="AR315" s="1163"/>
    </row>
    <row r="316" spans="1:44" ht="29.4" thickBot="1">
      <c r="B316" s="371" t="s">
        <v>651</v>
      </c>
      <c r="C316" s="372">
        <v>2.5</v>
      </c>
      <c r="D316" s="372">
        <v>2.5</v>
      </c>
      <c r="E316" s="372">
        <v>2.5</v>
      </c>
      <c r="F316" s="372">
        <v>2.5</v>
      </c>
      <c r="G316" s="372">
        <v>1</v>
      </c>
      <c r="H316" s="372">
        <v>10</v>
      </c>
      <c r="I316" s="372">
        <v>1</v>
      </c>
      <c r="J316" s="372">
        <v>10</v>
      </c>
      <c r="K316" s="372"/>
      <c r="L316" s="373">
        <v>2</v>
      </c>
      <c r="M316" s="370"/>
      <c r="N316" s="370"/>
      <c r="O316" s="74"/>
      <c r="P316" s="1182"/>
      <c r="Q316" s="1179"/>
      <c r="R316" s="1185"/>
      <c r="S316" s="1179"/>
      <c r="T316" s="374" t="s">
        <v>726</v>
      </c>
      <c r="U316" s="375" t="s">
        <v>727</v>
      </c>
      <c r="V316" s="374" t="s">
        <v>726</v>
      </c>
      <c r="W316" s="375" t="s">
        <v>727</v>
      </c>
      <c r="X316" s="374" t="s">
        <v>726</v>
      </c>
      <c r="Y316" s="375" t="s">
        <v>727</v>
      </c>
      <c r="Z316" s="374" t="s">
        <v>726</v>
      </c>
      <c r="AA316" s="375" t="s">
        <v>727</v>
      </c>
      <c r="AB316" s="374" t="s">
        <v>726</v>
      </c>
      <c r="AC316" s="375" t="s">
        <v>727</v>
      </c>
      <c r="AE316" s="1182"/>
      <c r="AF316" s="1179"/>
      <c r="AG316" s="1185"/>
      <c r="AH316" s="1179"/>
      <c r="AI316" s="374" t="s">
        <v>726</v>
      </c>
      <c r="AJ316" s="375" t="s">
        <v>727</v>
      </c>
      <c r="AK316" s="374" t="s">
        <v>726</v>
      </c>
      <c r="AL316" s="375" t="s">
        <v>727</v>
      </c>
      <c r="AM316" s="374" t="s">
        <v>726</v>
      </c>
      <c r="AN316" s="375" t="s">
        <v>727</v>
      </c>
      <c r="AO316" s="374" t="s">
        <v>726</v>
      </c>
      <c r="AP316" s="375" t="s">
        <v>727</v>
      </c>
      <c r="AQ316" s="374" t="s">
        <v>726</v>
      </c>
      <c r="AR316" s="375" t="s">
        <v>727</v>
      </c>
    </row>
    <row r="317" spans="1:44" ht="14.55" customHeight="1">
      <c r="B317" s="574" t="s">
        <v>728</v>
      </c>
      <c r="C317" s="575">
        <v>100</v>
      </c>
      <c r="D317" s="575">
        <v>100</v>
      </c>
      <c r="E317" s="575">
        <v>100</v>
      </c>
      <c r="F317" s="575">
        <v>100</v>
      </c>
      <c r="G317" s="576">
        <v>100</v>
      </c>
      <c r="H317" s="576">
        <v>100</v>
      </c>
      <c r="I317" s="576">
        <v>100</v>
      </c>
      <c r="J317" s="576">
        <v>100</v>
      </c>
      <c r="K317" s="372" t="s">
        <v>6</v>
      </c>
      <c r="L317" s="373">
        <v>2</v>
      </c>
      <c r="M317" s="370"/>
      <c r="N317" s="370"/>
      <c r="P317" s="1148" t="str">
        <f>C313</f>
        <v>Direct Firing, Natural Gas</v>
      </c>
      <c r="Q317" s="1154" t="s">
        <v>730</v>
      </c>
      <c r="R317" s="381" t="s">
        <v>731</v>
      </c>
      <c r="S317" s="382" t="s">
        <v>738</v>
      </c>
      <c r="T317" s="1137">
        <v>1</v>
      </c>
      <c r="U317" s="1151">
        <v>0</v>
      </c>
      <c r="V317" s="1137">
        <v>1</v>
      </c>
      <c r="W317" s="1151">
        <v>0</v>
      </c>
      <c r="X317" s="1137">
        <v>1</v>
      </c>
      <c r="Y317" s="1151">
        <v>0</v>
      </c>
      <c r="Z317" s="1137">
        <v>0.2</v>
      </c>
      <c r="AA317" s="1151">
        <v>0</v>
      </c>
      <c r="AB317" s="1157">
        <v>1</v>
      </c>
      <c r="AC317" s="1151">
        <v>0</v>
      </c>
      <c r="AE317" s="1148" t="str">
        <f>P317</f>
        <v>Direct Firing, Natural Gas</v>
      </c>
      <c r="AF317" s="1154" t="s">
        <v>730</v>
      </c>
      <c r="AG317" s="381" t="s">
        <v>731</v>
      </c>
      <c r="AH317" s="382" t="str">
        <f>S317</f>
        <v>x</v>
      </c>
      <c r="AI317" s="1137">
        <v>0.75</v>
      </c>
      <c r="AJ317" s="1151">
        <v>0</v>
      </c>
      <c r="AK317" s="1137">
        <v>0.75</v>
      </c>
      <c r="AL317" s="1151">
        <v>0</v>
      </c>
      <c r="AM317" s="1137">
        <v>0.4</v>
      </c>
      <c r="AN317" s="1151">
        <v>0</v>
      </c>
      <c r="AO317" s="1137">
        <v>0.2</v>
      </c>
      <c r="AP317" s="1151">
        <v>0</v>
      </c>
      <c r="AQ317" s="1157">
        <v>0.1</v>
      </c>
      <c r="AR317" s="1151">
        <v>0</v>
      </c>
    </row>
    <row r="318" spans="1:44">
      <c r="B318" s="383" t="s">
        <v>732</v>
      </c>
      <c r="C318" s="577">
        <v>100</v>
      </c>
      <c r="D318" s="577">
        <v>100</v>
      </c>
      <c r="E318" s="577">
        <v>100</v>
      </c>
      <c r="F318" s="577">
        <v>100</v>
      </c>
      <c r="G318" s="576">
        <v>100</v>
      </c>
      <c r="H318" s="576">
        <v>100</v>
      </c>
      <c r="I318" s="576">
        <v>100</v>
      </c>
      <c r="J318" s="576">
        <v>100</v>
      </c>
      <c r="K318" s="372" t="s">
        <v>6</v>
      </c>
      <c r="L318" s="373">
        <v>2</v>
      </c>
      <c r="M318" s="370"/>
      <c r="N318" s="370"/>
      <c r="O318" s="71"/>
      <c r="P318" s="1149"/>
      <c r="Q318" s="1155"/>
      <c r="R318" s="388" t="s">
        <v>733</v>
      </c>
      <c r="S318" s="389" t="s">
        <v>738</v>
      </c>
      <c r="T318" s="1140"/>
      <c r="U318" s="1152"/>
      <c r="V318" s="1140"/>
      <c r="W318" s="1152"/>
      <c r="X318" s="1140"/>
      <c r="Y318" s="1152"/>
      <c r="Z318" s="1140"/>
      <c r="AA318" s="1152"/>
      <c r="AB318" s="1158"/>
      <c r="AC318" s="1152"/>
      <c r="AE318" s="1149"/>
      <c r="AF318" s="1155"/>
      <c r="AG318" s="388" t="s">
        <v>733</v>
      </c>
      <c r="AH318" s="389" t="s">
        <v>738</v>
      </c>
      <c r="AI318" s="1140"/>
      <c r="AJ318" s="1152"/>
      <c r="AK318" s="1140"/>
      <c r="AL318" s="1152"/>
      <c r="AM318" s="1140"/>
      <c r="AN318" s="1152"/>
      <c r="AO318" s="1140"/>
      <c r="AP318" s="1152"/>
      <c r="AQ318" s="1158"/>
      <c r="AR318" s="1152"/>
    </row>
    <row r="319" spans="1:44" ht="15" thickBot="1">
      <c r="B319" s="574" t="s">
        <v>734</v>
      </c>
      <c r="C319" s="578">
        <v>0.25</v>
      </c>
      <c r="D319" s="578">
        <v>0.25</v>
      </c>
      <c r="E319" s="578">
        <v>0.25</v>
      </c>
      <c r="F319" s="578">
        <v>0.25</v>
      </c>
      <c r="G319" s="578">
        <v>0.1</v>
      </c>
      <c r="H319" s="578">
        <v>1</v>
      </c>
      <c r="I319" s="578">
        <v>0.1</v>
      </c>
      <c r="J319" s="578">
        <v>1</v>
      </c>
      <c r="K319" s="579"/>
      <c r="L319" s="580" t="s">
        <v>809</v>
      </c>
      <c r="M319" s="370"/>
      <c r="N319" s="370"/>
      <c r="O319" s="71"/>
      <c r="P319" s="1149"/>
      <c r="Q319" s="1156"/>
      <c r="R319" s="393" t="s">
        <v>735</v>
      </c>
      <c r="S319" s="394" t="s">
        <v>738</v>
      </c>
      <c r="T319" s="1141"/>
      <c r="U319" s="1153"/>
      <c r="V319" s="1141"/>
      <c r="W319" s="1153"/>
      <c r="X319" s="1141"/>
      <c r="Y319" s="1153"/>
      <c r="Z319" s="1141"/>
      <c r="AA319" s="1153"/>
      <c r="AB319" s="1159"/>
      <c r="AC319" s="1153"/>
      <c r="AE319" s="1149"/>
      <c r="AF319" s="1156"/>
      <c r="AG319" s="393" t="s">
        <v>735</v>
      </c>
      <c r="AH319" s="394" t="s">
        <v>738</v>
      </c>
      <c r="AI319" s="1141"/>
      <c r="AJ319" s="1153"/>
      <c r="AK319" s="1141"/>
      <c r="AL319" s="1153"/>
      <c r="AM319" s="1141"/>
      <c r="AN319" s="1153"/>
      <c r="AO319" s="1141"/>
      <c r="AP319" s="1153"/>
      <c r="AQ319" s="1159"/>
      <c r="AR319" s="1153"/>
    </row>
    <row r="320" spans="1:44" ht="14.55" customHeight="1">
      <c r="B320" s="574" t="s">
        <v>657</v>
      </c>
      <c r="C320" s="581">
        <v>0.25</v>
      </c>
      <c r="D320" s="581">
        <v>0.25</v>
      </c>
      <c r="E320" s="581">
        <v>0.25</v>
      </c>
      <c r="F320" s="581">
        <v>0.25</v>
      </c>
      <c r="G320" s="581">
        <v>0</v>
      </c>
      <c r="H320" s="581">
        <v>0.5</v>
      </c>
      <c r="I320" s="581">
        <v>0</v>
      </c>
      <c r="J320" s="581">
        <v>0.5</v>
      </c>
      <c r="K320" s="579"/>
      <c r="L320" s="580">
        <v>2</v>
      </c>
      <c r="M320" s="370"/>
      <c r="N320" s="370"/>
      <c r="O320" s="71"/>
      <c r="P320" s="1149"/>
      <c r="Q320" s="1145" t="s">
        <v>736</v>
      </c>
      <c r="R320" s="395" t="s">
        <v>737</v>
      </c>
      <c r="S320" s="396" t="s">
        <v>738</v>
      </c>
      <c r="T320" s="1137">
        <v>1</v>
      </c>
      <c r="U320" s="1137">
        <v>0</v>
      </c>
      <c r="V320" s="1137">
        <v>1</v>
      </c>
      <c r="W320" s="1137">
        <v>0</v>
      </c>
      <c r="X320" s="1137">
        <v>1</v>
      </c>
      <c r="Y320" s="1137">
        <v>0</v>
      </c>
      <c r="Z320" s="1137">
        <v>1</v>
      </c>
      <c r="AA320" s="1137">
        <v>0</v>
      </c>
      <c r="AB320" s="1137">
        <v>0</v>
      </c>
      <c r="AC320" s="1137">
        <v>0</v>
      </c>
      <c r="AE320" s="1149"/>
      <c r="AF320" s="1145" t="s">
        <v>736</v>
      </c>
      <c r="AG320" s="395" t="s">
        <v>737</v>
      </c>
      <c r="AH320" s="396" t="s">
        <v>738</v>
      </c>
      <c r="AI320" s="1137">
        <v>0.75</v>
      </c>
      <c r="AJ320" s="1137">
        <v>0</v>
      </c>
      <c r="AK320" s="1137">
        <v>0.75</v>
      </c>
      <c r="AL320" s="1137">
        <v>0</v>
      </c>
      <c r="AM320" s="1137">
        <v>0.3</v>
      </c>
      <c r="AN320" s="1137">
        <v>0</v>
      </c>
      <c r="AO320" s="1137">
        <v>0.75</v>
      </c>
      <c r="AP320" s="1137">
        <v>0</v>
      </c>
      <c r="AQ320" s="1137">
        <v>0</v>
      </c>
      <c r="AR320" s="1137">
        <v>0</v>
      </c>
    </row>
    <row r="321" spans="1:44">
      <c r="B321" s="574" t="s">
        <v>658</v>
      </c>
      <c r="C321" s="582">
        <v>0.5</v>
      </c>
      <c r="D321" s="582">
        <v>0.5</v>
      </c>
      <c r="E321" s="582">
        <v>0.5</v>
      </c>
      <c r="F321" s="582">
        <v>0.5</v>
      </c>
      <c r="G321" s="582">
        <v>0</v>
      </c>
      <c r="H321" s="582">
        <v>1</v>
      </c>
      <c r="I321" s="582">
        <v>0</v>
      </c>
      <c r="J321" s="582">
        <v>1</v>
      </c>
      <c r="K321" s="579"/>
      <c r="L321" s="580">
        <v>2</v>
      </c>
      <c r="M321" s="367"/>
      <c r="N321" s="367"/>
      <c r="O321" s="71"/>
      <c r="P321" s="1149"/>
      <c r="Q321" s="1146"/>
      <c r="R321" s="395" t="s">
        <v>739</v>
      </c>
      <c r="S321" s="396" t="s">
        <v>738</v>
      </c>
      <c r="T321" s="1138"/>
      <c r="U321" s="1138"/>
      <c r="V321" s="1138"/>
      <c r="W321" s="1138"/>
      <c r="X321" s="1138"/>
      <c r="Y321" s="1138"/>
      <c r="Z321" s="1138"/>
      <c r="AA321" s="1138"/>
      <c r="AB321" s="1140"/>
      <c r="AC321" s="1138"/>
      <c r="AE321" s="1149"/>
      <c r="AF321" s="1146"/>
      <c r="AG321" s="395" t="s">
        <v>739</v>
      </c>
      <c r="AH321" s="396" t="s">
        <v>738</v>
      </c>
      <c r="AI321" s="1138"/>
      <c r="AJ321" s="1138"/>
      <c r="AK321" s="1138"/>
      <c r="AL321" s="1138"/>
      <c r="AM321" s="1138"/>
      <c r="AN321" s="1138"/>
      <c r="AO321" s="1138"/>
      <c r="AP321" s="1138"/>
      <c r="AQ321" s="1140"/>
      <c r="AR321" s="1138"/>
    </row>
    <row r="322" spans="1:44">
      <c r="B322" s="383" t="s">
        <v>11</v>
      </c>
      <c r="C322" s="397">
        <v>15</v>
      </c>
      <c r="D322" s="397">
        <v>15</v>
      </c>
      <c r="E322" s="397">
        <v>15</v>
      </c>
      <c r="F322" s="397">
        <v>15</v>
      </c>
      <c r="G322" s="398">
        <v>10</v>
      </c>
      <c r="H322" s="398">
        <v>20</v>
      </c>
      <c r="I322" s="398">
        <v>10</v>
      </c>
      <c r="J322" s="398">
        <v>20</v>
      </c>
      <c r="K322" s="372"/>
      <c r="L322" s="373">
        <v>4</v>
      </c>
      <c r="M322" s="363"/>
      <c r="N322" s="363"/>
      <c r="P322" s="1149"/>
      <c r="Q322" s="1146"/>
      <c r="R322" s="395" t="s">
        <v>741</v>
      </c>
      <c r="S322" s="396"/>
      <c r="T322" s="1138"/>
      <c r="U322" s="1138"/>
      <c r="V322" s="1138"/>
      <c r="W322" s="1138"/>
      <c r="X322" s="1138"/>
      <c r="Y322" s="1138"/>
      <c r="Z322" s="1138"/>
      <c r="AA322" s="1138"/>
      <c r="AB322" s="1140"/>
      <c r="AC322" s="1138"/>
      <c r="AE322" s="1149"/>
      <c r="AF322" s="1146"/>
      <c r="AG322" s="395" t="s">
        <v>741</v>
      </c>
      <c r="AH322" s="396"/>
      <c r="AI322" s="1138"/>
      <c r="AJ322" s="1138"/>
      <c r="AK322" s="1138"/>
      <c r="AL322" s="1138"/>
      <c r="AM322" s="1138"/>
      <c r="AN322" s="1138"/>
      <c r="AO322" s="1138"/>
      <c r="AP322" s="1138"/>
      <c r="AQ322" s="1140"/>
      <c r="AR322" s="1138"/>
    </row>
    <row r="323" spans="1:44" ht="15" thickBot="1">
      <c r="B323" s="574" t="s">
        <v>273</v>
      </c>
      <c r="C323" s="582">
        <v>0.01</v>
      </c>
      <c r="D323" s="582">
        <v>0.01</v>
      </c>
      <c r="E323" s="582">
        <v>0.01</v>
      </c>
      <c r="F323" s="582">
        <v>0.01</v>
      </c>
      <c r="G323" s="582">
        <v>0.01</v>
      </c>
      <c r="H323" s="582">
        <v>0.04</v>
      </c>
      <c r="I323" s="582">
        <v>0.01</v>
      </c>
      <c r="J323" s="582">
        <v>0.04</v>
      </c>
      <c r="K323" s="372"/>
      <c r="L323" s="373">
        <v>2</v>
      </c>
      <c r="M323" s="363"/>
      <c r="N323" s="363"/>
      <c r="P323" s="1149"/>
      <c r="Q323" s="1146"/>
      <c r="R323" s="395" t="s">
        <v>742</v>
      </c>
      <c r="S323" s="396"/>
      <c r="T323" s="1138"/>
      <c r="U323" s="1138"/>
      <c r="V323" s="1138"/>
      <c r="W323" s="1138"/>
      <c r="X323" s="1138"/>
      <c r="Y323" s="1138"/>
      <c r="Z323" s="1138"/>
      <c r="AA323" s="1138"/>
      <c r="AB323" s="1140"/>
      <c r="AC323" s="1138"/>
      <c r="AE323" s="1149"/>
      <c r="AF323" s="1146"/>
      <c r="AG323" s="395" t="s">
        <v>742</v>
      </c>
      <c r="AH323" s="396"/>
      <c r="AI323" s="1138"/>
      <c r="AJ323" s="1138"/>
      <c r="AK323" s="1138"/>
      <c r="AL323" s="1138"/>
      <c r="AM323" s="1138"/>
      <c r="AN323" s="1138"/>
      <c r="AO323" s="1138"/>
      <c r="AP323" s="1138"/>
      <c r="AQ323" s="1140"/>
      <c r="AR323" s="1138"/>
    </row>
    <row r="324" spans="1:44" ht="15" thickBot="1">
      <c r="B324" s="401" t="s">
        <v>743</v>
      </c>
      <c r="C324" s="583"/>
      <c r="D324" s="584"/>
      <c r="E324" s="585"/>
      <c r="F324" s="586"/>
      <c r="G324" s="406"/>
      <c r="H324" s="406"/>
      <c r="I324" s="406"/>
      <c r="J324" s="406"/>
      <c r="K324" s="407"/>
      <c r="L324" s="587"/>
      <c r="M324" s="363"/>
      <c r="N324" s="363"/>
      <c r="P324" s="1149"/>
      <c r="Q324" s="1147"/>
      <c r="R324" s="409" t="s">
        <v>744</v>
      </c>
      <c r="S324" s="410" t="s">
        <v>738</v>
      </c>
      <c r="T324" s="1139"/>
      <c r="U324" s="1139"/>
      <c r="V324" s="1139"/>
      <c r="W324" s="1139"/>
      <c r="X324" s="1139"/>
      <c r="Y324" s="1139"/>
      <c r="Z324" s="1139"/>
      <c r="AA324" s="1139"/>
      <c r="AB324" s="1141"/>
      <c r="AC324" s="1139"/>
      <c r="AE324" s="1149"/>
      <c r="AF324" s="1147"/>
      <c r="AG324" s="409" t="s">
        <v>744</v>
      </c>
      <c r="AH324" s="410" t="s">
        <v>738</v>
      </c>
      <c r="AI324" s="1139"/>
      <c r="AJ324" s="1139"/>
      <c r="AK324" s="1139"/>
      <c r="AL324" s="1139"/>
      <c r="AM324" s="1139"/>
      <c r="AN324" s="1139"/>
      <c r="AO324" s="1139"/>
      <c r="AP324" s="1139"/>
      <c r="AQ324" s="1141"/>
      <c r="AR324" s="1139"/>
    </row>
    <row r="325" spans="1:44" ht="29.4" thickBot="1">
      <c r="B325" s="574" t="s">
        <v>663</v>
      </c>
      <c r="C325" s="588">
        <v>10</v>
      </c>
      <c r="D325" s="588">
        <v>10</v>
      </c>
      <c r="E325" s="588">
        <v>10</v>
      </c>
      <c r="F325" s="588">
        <v>10</v>
      </c>
      <c r="G325" s="589"/>
      <c r="H325" s="589"/>
      <c r="I325" s="590"/>
      <c r="J325" s="590"/>
      <c r="K325" s="579"/>
      <c r="L325" s="580">
        <v>6</v>
      </c>
      <c r="M325" s="363"/>
      <c r="N325" s="363"/>
      <c r="P325" s="1150"/>
      <c r="Q325" s="411" t="s">
        <v>745</v>
      </c>
      <c r="R325" s="412" t="s">
        <v>746</v>
      </c>
      <c r="S325" s="413"/>
      <c r="T325" s="591">
        <v>0</v>
      </c>
      <c r="U325" s="592">
        <v>0</v>
      </c>
      <c r="V325" s="593">
        <v>0</v>
      </c>
      <c r="W325" s="592">
        <v>0</v>
      </c>
      <c r="X325" s="593">
        <v>0</v>
      </c>
      <c r="Y325" s="592">
        <v>0</v>
      </c>
      <c r="Z325" s="593">
        <v>0</v>
      </c>
      <c r="AA325" s="592">
        <v>0</v>
      </c>
      <c r="AB325" s="593">
        <v>0</v>
      </c>
      <c r="AC325" s="594">
        <v>0</v>
      </c>
      <c r="AE325" s="1150"/>
      <c r="AF325" s="411" t="s">
        <v>745</v>
      </c>
      <c r="AG325" s="412" t="s">
        <v>746</v>
      </c>
      <c r="AH325" s="413"/>
      <c r="AI325" s="591">
        <v>0</v>
      </c>
      <c r="AJ325" s="592">
        <v>0</v>
      </c>
      <c r="AK325" s="593">
        <v>0</v>
      </c>
      <c r="AL325" s="592">
        <v>0</v>
      </c>
      <c r="AM325" s="593">
        <v>0</v>
      </c>
      <c r="AN325" s="592">
        <v>0</v>
      </c>
      <c r="AO325" s="593">
        <v>0</v>
      </c>
      <c r="AP325" s="592">
        <v>0</v>
      </c>
      <c r="AQ325" s="593">
        <v>0</v>
      </c>
      <c r="AR325" s="594">
        <v>0</v>
      </c>
    </row>
    <row r="326" spans="1:44">
      <c r="B326" s="574" t="s">
        <v>664</v>
      </c>
      <c r="C326" s="582">
        <v>0.01</v>
      </c>
      <c r="D326" s="582">
        <v>0.01</v>
      </c>
      <c r="E326" s="582">
        <v>0.01</v>
      </c>
      <c r="F326" s="582">
        <v>0.01</v>
      </c>
      <c r="G326" s="595"/>
      <c r="H326" s="595"/>
      <c r="I326" s="595"/>
      <c r="J326" s="595"/>
      <c r="K326" s="596"/>
      <c r="L326" s="580">
        <v>2</v>
      </c>
      <c r="M326" s="363"/>
      <c r="N326" s="363"/>
    </row>
    <row r="327" spans="1:44">
      <c r="B327" s="574" t="s">
        <v>666</v>
      </c>
      <c r="C327" s="582">
        <v>0.01</v>
      </c>
      <c r="D327" s="582">
        <v>0.01</v>
      </c>
      <c r="E327" s="582">
        <v>0.01</v>
      </c>
      <c r="F327" s="582">
        <v>0.01</v>
      </c>
      <c r="G327" s="595"/>
      <c r="H327" s="595"/>
      <c r="I327" s="595"/>
      <c r="J327" s="595"/>
      <c r="K327" s="596"/>
      <c r="L327" s="580">
        <v>2</v>
      </c>
      <c r="M327" s="420"/>
      <c r="N327" s="363"/>
    </row>
    <row r="328" spans="1:44">
      <c r="B328" s="421" t="s">
        <v>12</v>
      </c>
      <c r="C328" s="399"/>
      <c r="D328" s="399"/>
      <c r="E328" s="399"/>
      <c r="F328" s="399"/>
      <c r="G328" s="422"/>
      <c r="H328" s="422"/>
      <c r="I328" s="422"/>
      <c r="J328" s="422"/>
      <c r="K328" s="423"/>
      <c r="L328" s="597"/>
      <c r="M328" s="420"/>
      <c r="N328" s="420"/>
    </row>
    <row r="329" spans="1:44" ht="15.6">
      <c r="B329" s="383" t="s">
        <v>747</v>
      </c>
      <c r="C329" s="397">
        <v>0.3</v>
      </c>
      <c r="D329" s="397">
        <v>0.3</v>
      </c>
      <c r="E329" s="397">
        <v>0.3</v>
      </c>
      <c r="F329" s="397">
        <v>0.3</v>
      </c>
      <c r="G329" s="422"/>
      <c r="H329" s="425"/>
      <c r="I329" s="425"/>
      <c r="J329" s="425"/>
      <c r="K329" s="426"/>
      <c r="L329" s="427">
        <v>1</v>
      </c>
      <c r="M329" s="428"/>
      <c r="N329" s="428"/>
    </row>
    <row r="330" spans="1:44">
      <c r="B330" s="383" t="s">
        <v>749</v>
      </c>
      <c r="C330" s="397">
        <v>0.1</v>
      </c>
      <c r="D330" s="397">
        <v>0.1</v>
      </c>
      <c r="E330" s="397">
        <v>0.1</v>
      </c>
      <c r="F330" s="397">
        <v>0.1</v>
      </c>
      <c r="G330" s="425"/>
      <c r="H330" s="425"/>
      <c r="I330" s="425"/>
      <c r="J330" s="425"/>
      <c r="K330" s="423"/>
      <c r="L330" s="427">
        <v>1</v>
      </c>
      <c r="M330" s="428"/>
      <c r="N330" s="428"/>
    </row>
    <row r="331" spans="1:44" ht="15.6">
      <c r="B331" s="383" t="s">
        <v>750</v>
      </c>
      <c r="C331" s="397">
        <v>9</v>
      </c>
      <c r="D331" s="397">
        <v>7</v>
      </c>
      <c r="E331" s="397">
        <v>6</v>
      </c>
      <c r="F331" s="397">
        <v>6</v>
      </c>
      <c r="G331" s="425"/>
      <c r="H331" s="425"/>
      <c r="I331" s="425"/>
      <c r="J331" s="425"/>
      <c r="K331" s="423"/>
      <c r="L331" s="427">
        <v>1</v>
      </c>
      <c r="M331" s="428"/>
      <c r="N331" s="428"/>
      <c r="T331" s="224">
        <f>C$23</f>
        <v>0.3</v>
      </c>
      <c r="U331" s="224">
        <f t="shared" ref="U331:V331" si="17">D$23</f>
        <v>0.3</v>
      </c>
      <c r="V331" s="224">
        <f t="shared" si="17"/>
        <v>0.3</v>
      </c>
    </row>
    <row r="332" spans="1:44">
      <c r="B332" s="383" t="s">
        <v>366</v>
      </c>
      <c r="C332" s="397">
        <v>3</v>
      </c>
      <c r="D332" s="397">
        <v>2</v>
      </c>
      <c r="E332" s="397">
        <v>2</v>
      </c>
      <c r="F332" s="397">
        <v>2</v>
      </c>
      <c r="G332" s="425"/>
      <c r="H332" s="425"/>
      <c r="I332" s="425"/>
      <c r="J332" s="425"/>
      <c r="K332" s="423"/>
      <c r="L332" s="427">
        <v>1</v>
      </c>
      <c r="M332" s="428"/>
      <c r="N332" s="428"/>
    </row>
    <row r="333" spans="1:44" ht="15" thickBot="1">
      <c r="B333" s="429" t="s">
        <v>367</v>
      </c>
      <c r="C333" s="397">
        <v>1</v>
      </c>
      <c r="D333" s="397">
        <v>1</v>
      </c>
      <c r="E333" s="397">
        <v>1</v>
      </c>
      <c r="F333" s="397">
        <v>1</v>
      </c>
      <c r="G333" s="425"/>
      <c r="H333" s="425"/>
      <c r="I333" s="425"/>
      <c r="J333" s="425"/>
      <c r="K333" s="423"/>
      <c r="L333" s="427">
        <v>1</v>
      </c>
      <c r="M333" s="428"/>
      <c r="N333" s="428"/>
    </row>
    <row r="334" spans="1:44" ht="15" thickBot="1">
      <c r="B334" s="431" t="s">
        <v>674</v>
      </c>
      <c r="C334" s="598"/>
      <c r="D334" s="584"/>
      <c r="E334" s="584"/>
      <c r="F334" s="599"/>
      <c r="G334" s="434"/>
      <c r="H334" s="406"/>
      <c r="I334" s="406"/>
      <c r="J334" s="406"/>
      <c r="K334" s="407"/>
      <c r="L334" s="587"/>
      <c r="M334" s="428"/>
      <c r="N334" s="428"/>
    </row>
    <row r="335" spans="1:44" ht="43.2">
      <c r="A335" s="435" t="s">
        <v>797</v>
      </c>
      <c r="B335" s="436" t="s">
        <v>792</v>
      </c>
      <c r="C335" s="600">
        <v>1.4999999999999999E-2</v>
      </c>
      <c r="D335" s="600">
        <v>1.4999999999999999E-2</v>
      </c>
      <c r="E335" s="600">
        <v>1.4999999999999999E-2</v>
      </c>
      <c r="F335" s="600">
        <v>1.4999999999999999E-2</v>
      </c>
      <c r="G335" s="425"/>
      <c r="H335" s="425"/>
      <c r="I335" s="425"/>
      <c r="J335" s="425"/>
      <c r="K335" s="426" t="s">
        <v>59</v>
      </c>
      <c r="L335" s="440" t="s">
        <v>810</v>
      </c>
      <c r="M335" s="420"/>
      <c r="N335" s="420"/>
    </row>
    <row r="336" spans="1:44">
      <c r="B336" s="441" t="s">
        <v>754</v>
      </c>
      <c r="C336" s="601">
        <v>66.666666666666657</v>
      </c>
      <c r="D336" s="601">
        <v>66.666666666666657</v>
      </c>
      <c r="E336" s="601">
        <v>66.666666666666657</v>
      </c>
      <c r="F336" s="601">
        <v>66.666666666666657</v>
      </c>
      <c r="G336" s="425"/>
      <c r="H336" s="425"/>
      <c r="I336" s="425"/>
      <c r="J336" s="425"/>
      <c r="K336" s="444"/>
      <c r="L336" s="373">
        <v>7</v>
      </c>
      <c r="M336" s="71"/>
      <c r="N336" s="420"/>
    </row>
    <row r="337" spans="2:30">
      <c r="B337" s="441" t="s">
        <v>755</v>
      </c>
      <c r="C337" s="601">
        <v>33.333333333333343</v>
      </c>
      <c r="D337" s="601">
        <v>33.333333333333343</v>
      </c>
      <c r="E337" s="601">
        <v>33.333333333333343</v>
      </c>
      <c r="F337" s="601">
        <v>33.333333333333343</v>
      </c>
      <c r="G337" s="425"/>
      <c r="H337" s="425"/>
      <c r="I337" s="425"/>
      <c r="J337" s="425"/>
      <c r="K337" s="444"/>
      <c r="L337" s="373">
        <v>7</v>
      </c>
      <c r="M337" s="420"/>
      <c r="N337" s="420"/>
    </row>
    <row r="338" spans="2:30">
      <c r="B338" s="383" t="s">
        <v>793</v>
      </c>
      <c r="C338" s="602">
        <f>181.818181818182/1000</f>
        <v>0.18181818181818202</v>
      </c>
      <c r="D338" s="603">
        <f>177.272727272727/1000</f>
        <v>0.177272727272727</v>
      </c>
      <c r="E338" s="603">
        <f>172.727272727273/1000</f>
        <v>0.17272727272727301</v>
      </c>
      <c r="F338" s="604">
        <f>154.545454545455/1000</f>
        <v>0.15454545454545499</v>
      </c>
      <c r="G338" s="425"/>
      <c r="H338" s="425"/>
      <c r="I338" s="425"/>
      <c r="J338" s="425"/>
      <c r="K338" s="444" t="s">
        <v>16</v>
      </c>
      <c r="L338" s="373" t="s">
        <v>811</v>
      </c>
      <c r="M338" s="420"/>
      <c r="N338" s="420"/>
    </row>
    <row r="339" spans="2:30">
      <c r="B339" s="383" t="s">
        <v>794</v>
      </c>
      <c r="C339" s="605">
        <f>(C340+C341)/3.6</f>
        <v>7.8472222222222207E-2</v>
      </c>
      <c r="D339" s="605">
        <f>(D340+D341)/3.6</f>
        <v>7.7083333333333337E-2</v>
      </c>
      <c r="E339" s="605">
        <f>(E340+E341)/3.6</f>
        <v>7.7777777777777779E-2</v>
      </c>
      <c r="F339" s="605">
        <f>(F340+F341)/3.6</f>
        <v>7.7777777777777779E-2</v>
      </c>
      <c r="G339" s="425"/>
      <c r="H339" s="425"/>
      <c r="I339" s="425"/>
      <c r="J339" s="425"/>
      <c r="K339" s="444"/>
      <c r="L339" s="373">
        <v>1</v>
      </c>
      <c r="M339" s="450"/>
      <c r="N339" s="361"/>
      <c r="P339" s="1142">
        <f>C339</f>
        <v>7.8472222222222207E-2</v>
      </c>
      <c r="Q339" s="1143"/>
      <c r="R339" s="1143"/>
      <c r="S339" s="1143"/>
      <c r="T339" s="1143"/>
      <c r="U339" s="1144"/>
    </row>
    <row r="340" spans="2:30" ht="15" thickBot="1">
      <c r="B340" s="541" t="s">
        <v>758</v>
      </c>
      <c r="C340" s="552">
        <f>C319/100*73</f>
        <v>0.1825</v>
      </c>
      <c r="D340" s="552">
        <f>D319/100*75</f>
        <v>0.1875</v>
      </c>
      <c r="E340" s="552">
        <f>E319/100*76</f>
        <v>0.19</v>
      </c>
      <c r="F340" s="552">
        <f>F319/100*76</f>
        <v>0.19</v>
      </c>
      <c r="G340" s="553"/>
      <c r="H340" s="553"/>
      <c r="I340" s="553"/>
      <c r="J340" s="553"/>
      <c r="K340" s="547" t="s">
        <v>20</v>
      </c>
      <c r="L340" s="548">
        <v>7</v>
      </c>
      <c r="M340" s="450"/>
      <c r="N340" s="361"/>
      <c r="P340" s="1134">
        <f>C340</f>
        <v>0.1825</v>
      </c>
      <c r="Q340" s="1135"/>
      <c r="R340" s="1135"/>
      <c r="S340" s="1135"/>
      <c r="T340" s="1135"/>
      <c r="U340" s="1136"/>
    </row>
    <row r="341" spans="2:30">
      <c r="B341" s="541" t="s">
        <v>759</v>
      </c>
      <c r="C341" s="606">
        <v>0.1</v>
      </c>
      <c r="D341" s="606">
        <v>9.0000000000000011E-2</v>
      </c>
      <c r="E341" s="606">
        <v>9.0000000000000011E-2</v>
      </c>
      <c r="F341" s="606">
        <v>9.0000000000000011E-2</v>
      </c>
      <c r="G341" s="553"/>
      <c r="H341" s="553"/>
      <c r="I341" s="553"/>
      <c r="J341" s="553"/>
      <c r="K341" s="547" t="s">
        <v>16</v>
      </c>
      <c r="L341" s="548">
        <v>1</v>
      </c>
      <c r="M341" s="363"/>
      <c r="N341" s="363"/>
      <c r="P341" s="53" t="s">
        <v>357</v>
      </c>
    </row>
    <row r="342" spans="2:30" ht="27.6">
      <c r="B342" s="541"/>
      <c r="C342" s="607"/>
      <c r="D342" s="547"/>
      <c r="E342" s="547"/>
      <c r="F342" s="563"/>
      <c r="G342" s="550"/>
      <c r="H342" s="550"/>
      <c r="I342" s="550"/>
      <c r="J342" s="550"/>
      <c r="K342" s="547"/>
      <c r="L342" s="608"/>
      <c r="M342" s="367"/>
      <c r="N342" s="367"/>
      <c r="P342" s="46" t="s">
        <v>335</v>
      </c>
      <c r="Q342" s="46" t="s">
        <v>336</v>
      </c>
      <c r="R342" s="47" t="s">
        <v>337</v>
      </c>
      <c r="S342" s="47" t="s">
        <v>338</v>
      </c>
      <c r="T342" s="47" t="s">
        <v>339</v>
      </c>
      <c r="U342" s="48" t="s">
        <v>340</v>
      </c>
      <c r="V342" s="49" t="s">
        <v>341</v>
      </c>
      <c r="W342" s="49" t="s">
        <v>342</v>
      </c>
      <c r="X342" s="49" t="s">
        <v>343</v>
      </c>
      <c r="Y342" s="49" t="s">
        <v>344</v>
      </c>
      <c r="Z342" s="49" t="s">
        <v>345</v>
      </c>
      <c r="AA342" s="49" t="s">
        <v>346</v>
      </c>
      <c r="AB342" s="49" t="s">
        <v>347</v>
      </c>
      <c r="AC342" s="49" t="s">
        <v>348</v>
      </c>
      <c r="AD342" s="49" t="s">
        <v>349</v>
      </c>
    </row>
    <row r="343" spans="2:30" ht="24.6" thickBot="1">
      <c r="B343" s="566"/>
      <c r="C343" s="607"/>
      <c r="D343" s="609"/>
      <c r="E343" s="609"/>
      <c r="F343" s="610"/>
      <c r="G343" s="550"/>
      <c r="H343" s="550"/>
      <c r="I343" s="550"/>
      <c r="J343" s="550"/>
      <c r="K343" s="547"/>
      <c r="L343" s="608"/>
      <c r="M343" s="363"/>
      <c r="N343" s="363"/>
      <c r="O343" s="71" t="s">
        <v>812</v>
      </c>
      <c r="P343" s="50"/>
      <c r="Q343" s="50"/>
      <c r="R343" s="51"/>
      <c r="S343" s="51"/>
      <c r="T343" s="51"/>
      <c r="U343" s="51" t="s">
        <v>760</v>
      </c>
      <c r="V343" s="50" t="s">
        <v>761</v>
      </c>
      <c r="W343" s="50"/>
      <c r="X343" s="50"/>
      <c r="Y343" s="50"/>
      <c r="Z343" s="50"/>
      <c r="AA343" s="50"/>
      <c r="AB343" s="50"/>
      <c r="AC343" s="50"/>
      <c r="AD343" s="50"/>
    </row>
    <row r="344" spans="2:30" ht="43.8" thickBot="1">
      <c r="B344" s="611" t="s">
        <v>682</v>
      </c>
      <c r="C344" s="612"/>
      <c r="D344" s="613"/>
      <c r="E344" s="614"/>
      <c r="F344" s="615"/>
      <c r="G344" s="540"/>
      <c r="H344" s="540"/>
      <c r="I344" s="540"/>
      <c r="J344" s="540"/>
      <c r="K344" s="616"/>
      <c r="L344" s="617"/>
      <c r="M344" s="363"/>
      <c r="N344" s="363"/>
      <c r="O344" s="461" t="s">
        <v>732</v>
      </c>
      <c r="P344" s="56"/>
      <c r="Q344" s="56"/>
      <c r="R344" s="57"/>
      <c r="S344" s="57"/>
      <c r="T344" s="57"/>
      <c r="U344" s="56" t="s">
        <v>350</v>
      </c>
      <c r="V344" s="56" t="s">
        <v>326</v>
      </c>
      <c r="W344" s="56" t="s">
        <v>327</v>
      </c>
      <c r="X344" s="56" t="s">
        <v>351</v>
      </c>
      <c r="Y344" s="56" t="s">
        <v>351</v>
      </c>
      <c r="Z344" s="56" t="s">
        <v>352</v>
      </c>
      <c r="AA344" s="56" t="s">
        <v>352</v>
      </c>
      <c r="AB344" s="56" t="s">
        <v>352</v>
      </c>
      <c r="AC344" s="56" t="s">
        <v>352</v>
      </c>
      <c r="AD344" s="56" t="s">
        <v>352</v>
      </c>
    </row>
    <row r="345" spans="2:30">
      <c r="B345" s="556" t="s">
        <v>762</v>
      </c>
      <c r="C345" s="618" t="s">
        <v>36</v>
      </c>
      <c r="D345" s="618" t="s">
        <v>36</v>
      </c>
      <c r="E345" s="618" t="s">
        <v>36</v>
      </c>
      <c r="F345" s="618" t="s">
        <v>36</v>
      </c>
      <c r="G345" s="618"/>
      <c r="H345" s="618"/>
      <c r="I345" s="618"/>
      <c r="J345" s="618"/>
      <c r="K345" s="618" t="s">
        <v>76</v>
      </c>
      <c r="L345" s="619" t="s">
        <v>36</v>
      </c>
      <c r="M345" s="363"/>
      <c r="N345" s="363"/>
      <c r="O345" s="465">
        <f>C318</f>
        <v>100</v>
      </c>
      <c r="P345" s="466">
        <f>C314</f>
        <v>2020</v>
      </c>
      <c r="Q345" s="58">
        <f>P345</f>
        <v>2020</v>
      </c>
      <c r="R345" s="466">
        <f>O345/100</f>
        <v>1</v>
      </c>
      <c r="S345" s="58"/>
      <c r="T345" s="466">
        <f>C322</f>
        <v>15</v>
      </c>
      <c r="U345" s="467">
        <f>C352</f>
        <v>111.75</v>
      </c>
      <c r="V345" s="690">
        <f>C354</f>
        <v>1.3545454545454561</v>
      </c>
      <c r="W345" s="690">
        <f>C355</f>
        <v>0.58461805555555546</v>
      </c>
      <c r="X345" s="58"/>
      <c r="Y345" s="58"/>
      <c r="Z345" s="466">
        <f>C329</f>
        <v>0.3</v>
      </c>
      <c r="AA345" s="468">
        <f>C331</f>
        <v>9</v>
      </c>
      <c r="AB345" s="468">
        <f>C332</f>
        <v>3</v>
      </c>
      <c r="AC345" s="468">
        <f>C333</f>
        <v>1</v>
      </c>
      <c r="AD345" s="468">
        <f>C330</f>
        <v>0.1</v>
      </c>
    </row>
    <row r="346" spans="2:30">
      <c r="B346" s="541" t="s">
        <v>763</v>
      </c>
      <c r="C346" s="558" t="s">
        <v>36</v>
      </c>
      <c r="D346" s="558" t="s">
        <v>36</v>
      </c>
      <c r="E346" s="558" t="s">
        <v>36</v>
      </c>
      <c r="F346" s="558" t="s">
        <v>36</v>
      </c>
      <c r="G346" s="563"/>
      <c r="H346" s="563"/>
      <c r="I346" s="563"/>
      <c r="J346" s="563"/>
      <c r="K346" s="563"/>
      <c r="L346" s="548" t="s">
        <v>36</v>
      </c>
      <c r="M346" s="363"/>
      <c r="N346" s="363"/>
      <c r="O346" s="465">
        <f>D318</f>
        <v>100</v>
      </c>
      <c r="P346" s="466">
        <f>D314</f>
        <v>2030</v>
      </c>
      <c r="Q346" s="58"/>
      <c r="R346" s="466">
        <f>O346/100</f>
        <v>1</v>
      </c>
      <c r="S346" s="58"/>
      <c r="T346" s="466">
        <f>D322</f>
        <v>15</v>
      </c>
      <c r="U346" s="467">
        <f>D352</f>
        <v>111.75</v>
      </c>
      <c r="V346" s="690">
        <f>D354</f>
        <v>1.3206818181818161</v>
      </c>
      <c r="W346" s="690">
        <f>D355</f>
        <v>0.5742708333333334</v>
      </c>
      <c r="X346" s="58"/>
      <c r="Y346" s="58"/>
      <c r="Z346" s="466">
        <f>D329</f>
        <v>0.3</v>
      </c>
      <c r="AA346" s="468">
        <f>D331</f>
        <v>7</v>
      </c>
      <c r="AB346" s="468">
        <f>D332</f>
        <v>2</v>
      </c>
      <c r="AC346" s="468">
        <f>D333</f>
        <v>1</v>
      </c>
      <c r="AD346" s="468">
        <f>D330</f>
        <v>0.1</v>
      </c>
    </row>
    <row r="347" spans="2:30">
      <c r="B347" s="541" t="s">
        <v>764</v>
      </c>
      <c r="C347" s="558" t="s">
        <v>36</v>
      </c>
      <c r="D347" s="558" t="s">
        <v>36</v>
      </c>
      <c r="E347" s="558" t="s">
        <v>36</v>
      </c>
      <c r="F347" s="558" t="s">
        <v>36</v>
      </c>
      <c r="G347" s="563"/>
      <c r="H347" s="563"/>
      <c r="I347" s="563"/>
      <c r="J347" s="563"/>
      <c r="K347" s="563"/>
      <c r="L347" s="548"/>
      <c r="M347" s="363"/>
      <c r="N347" s="363"/>
      <c r="O347" s="465">
        <f>E318</f>
        <v>100</v>
      </c>
      <c r="P347" s="466">
        <f>E314</f>
        <v>2040</v>
      </c>
      <c r="Q347" s="58"/>
      <c r="R347" s="466">
        <f>O347/100</f>
        <v>1</v>
      </c>
      <c r="S347" s="58"/>
      <c r="T347" s="466">
        <f>E322</f>
        <v>15</v>
      </c>
      <c r="U347" s="467">
        <f>E352</f>
        <v>111.75</v>
      </c>
      <c r="V347" s="690">
        <f>E354</f>
        <v>1.2868181818181839</v>
      </c>
      <c r="W347" s="690">
        <f>E355</f>
        <v>0.57944444444444443</v>
      </c>
      <c r="X347" s="58"/>
      <c r="Y347" s="58"/>
      <c r="Z347" s="466">
        <f>E329</f>
        <v>0.3</v>
      </c>
      <c r="AA347" s="468">
        <f>E331</f>
        <v>6</v>
      </c>
      <c r="AB347" s="468">
        <f>E332</f>
        <v>2</v>
      </c>
      <c r="AC347" s="468">
        <f>E333</f>
        <v>1</v>
      </c>
      <c r="AD347" s="468">
        <f>E330</f>
        <v>0.1</v>
      </c>
    </row>
    <row r="348" spans="2:30">
      <c r="B348" s="541" t="s">
        <v>765</v>
      </c>
      <c r="C348" s="564">
        <v>90</v>
      </c>
      <c r="D348" s="564">
        <v>90</v>
      </c>
      <c r="E348" s="564">
        <v>90</v>
      </c>
      <c r="F348" s="564">
        <v>90</v>
      </c>
      <c r="G348" s="621"/>
      <c r="H348" s="621"/>
      <c r="I348" s="621"/>
      <c r="J348" s="621"/>
      <c r="K348" s="621"/>
      <c r="L348" s="548">
        <v>5</v>
      </c>
      <c r="M348" s="363"/>
      <c r="N348" s="363"/>
      <c r="O348" s="465">
        <f>F318</f>
        <v>100</v>
      </c>
      <c r="P348" s="466">
        <f>F314</f>
        <v>2050</v>
      </c>
      <c r="Q348" s="58"/>
      <c r="R348" s="466">
        <f>O348/100</f>
        <v>1</v>
      </c>
      <c r="S348" s="58"/>
      <c r="T348" s="466">
        <f>F322</f>
        <v>15</v>
      </c>
      <c r="U348" s="467">
        <f>F352</f>
        <v>111.75</v>
      </c>
      <c r="V348" s="690">
        <f>F354</f>
        <v>1.1513636363636397</v>
      </c>
      <c r="W348" s="690">
        <f>F355</f>
        <v>0.57944444444444443</v>
      </c>
      <c r="X348" s="58"/>
      <c r="Y348" s="58"/>
      <c r="Z348" s="466">
        <f>F329</f>
        <v>0.3</v>
      </c>
      <c r="AA348" s="468">
        <f>F331</f>
        <v>6</v>
      </c>
      <c r="AB348" s="468">
        <f>F332</f>
        <v>2</v>
      </c>
      <c r="AC348" s="468">
        <f>F333</f>
        <v>1</v>
      </c>
      <c r="AD348" s="468">
        <f>F330</f>
        <v>0.1</v>
      </c>
    </row>
    <row r="349" spans="2:30">
      <c r="B349" s="566" t="s">
        <v>766</v>
      </c>
      <c r="C349" s="558" t="s">
        <v>36</v>
      </c>
      <c r="D349" s="558" t="s">
        <v>36</v>
      </c>
      <c r="E349" s="558" t="s">
        <v>36</v>
      </c>
      <c r="F349" s="558" t="s">
        <v>36</v>
      </c>
      <c r="G349" s="563"/>
      <c r="H349" s="563"/>
      <c r="I349" s="563"/>
      <c r="J349" s="563"/>
      <c r="K349" s="563"/>
      <c r="L349" s="548"/>
      <c r="M349" s="367"/>
      <c r="N349" s="367"/>
    </row>
    <row r="350" spans="2:30">
      <c r="B350" s="566" t="s">
        <v>767</v>
      </c>
      <c r="C350" s="558" t="s">
        <v>36</v>
      </c>
      <c r="D350" s="558" t="s">
        <v>36</v>
      </c>
      <c r="E350" s="558" t="s">
        <v>36</v>
      </c>
      <c r="F350" s="558" t="s">
        <v>36</v>
      </c>
      <c r="G350" s="563"/>
      <c r="H350" s="563"/>
      <c r="I350" s="563"/>
      <c r="J350" s="563"/>
      <c r="K350" s="563"/>
      <c r="L350" s="548"/>
      <c r="M350" s="363"/>
      <c r="N350" s="363"/>
    </row>
    <row r="351" spans="2:30" ht="15" thickBot="1">
      <c r="B351" s="567" t="s">
        <v>768</v>
      </c>
      <c r="C351" s="622" t="s">
        <v>36</v>
      </c>
      <c r="D351" s="622" t="s">
        <v>36</v>
      </c>
      <c r="E351" s="622" t="s">
        <v>36</v>
      </c>
      <c r="F351" s="622" t="s">
        <v>36</v>
      </c>
      <c r="G351" s="623"/>
      <c r="H351" s="623"/>
      <c r="I351" s="623"/>
      <c r="J351" s="623"/>
      <c r="K351" s="623"/>
      <c r="L351" s="624"/>
      <c r="M351" s="363"/>
      <c r="N351" s="363"/>
    </row>
    <row r="352" spans="2:30" ht="57.6">
      <c r="B352" s="461" t="s">
        <v>769</v>
      </c>
      <c r="C352" s="483">
        <f>C335*$F$4*1000</f>
        <v>111.75</v>
      </c>
      <c r="D352" s="483">
        <f t="shared" ref="D352:F352" si="18">D335*$F$4*1000</f>
        <v>111.75</v>
      </c>
      <c r="E352" s="483">
        <f t="shared" si="18"/>
        <v>111.75</v>
      </c>
      <c r="F352" s="483">
        <f t="shared" si="18"/>
        <v>111.75</v>
      </c>
      <c r="G352" s="483"/>
      <c r="H352" s="484"/>
      <c r="I352" s="420" t="s">
        <v>332</v>
      </c>
      <c r="J352" s="420"/>
      <c r="K352" s="484"/>
      <c r="L352" s="484"/>
      <c r="N352" s="420"/>
    </row>
    <row r="353" spans="1:14">
      <c r="B353" s="485" t="s">
        <v>770</v>
      </c>
      <c r="C353" s="486">
        <f>C352*$I353</f>
        <v>55875</v>
      </c>
      <c r="D353" s="486">
        <f>D352*$I353</f>
        <v>55875</v>
      </c>
      <c r="E353" s="486">
        <f>E352*$I353</f>
        <v>55875</v>
      </c>
      <c r="F353" s="486">
        <f>F352*$I353</f>
        <v>55875</v>
      </c>
      <c r="G353" s="486"/>
      <c r="H353" s="484"/>
      <c r="I353" s="71">
        <v>500</v>
      </c>
      <c r="J353" s="420" t="s">
        <v>330</v>
      </c>
      <c r="K353" s="484"/>
      <c r="L353" s="484"/>
      <c r="N353" s="420"/>
    </row>
    <row r="354" spans="1:14" ht="43.2">
      <c r="B354" s="461" t="s">
        <v>771</v>
      </c>
      <c r="C354" s="359">
        <f>C338*$F$4</f>
        <v>1.3545454545454561</v>
      </c>
      <c r="D354" s="359">
        <f t="shared" ref="D354:F355" si="19">D338*$F$4</f>
        <v>1.3206818181818161</v>
      </c>
      <c r="E354" s="359">
        <f t="shared" si="19"/>
        <v>1.2868181818181839</v>
      </c>
      <c r="F354" s="359">
        <f t="shared" si="19"/>
        <v>1.1513636363636397</v>
      </c>
      <c r="G354" s="359"/>
      <c r="I354" s="420" t="s">
        <v>333</v>
      </c>
      <c r="J354" s="420"/>
      <c r="N354" s="420"/>
    </row>
    <row r="355" spans="1:14" ht="43.2">
      <c r="B355" s="461" t="s">
        <v>772</v>
      </c>
      <c r="C355" s="487">
        <f>C339*$F$4</f>
        <v>0.58461805555555546</v>
      </c>
      <c r="D355" s="487">
        <f t="shared" si="19"/>
        <v>0.5742708333333334</v>
      </c>
      <c r="E355" s="487">
        <f t="shared" si="19"/>
        <v>0.57944444444444443</v>
      </c>
      <c r="F355" s="487">
        <f t="shared" si="19"/>
        <v>0.57944444444444443</v>
      </c>
      <c r="G355" s="359"/>
      <c r="M355" s="420"/>
      <c r="N355" s="420"/>
    </row>
    <row r="358" spans="1:14">
      <c r="A358" s="488" t="s">
        <v>773</v>
      </c>
      <c r="B358" s="489"/>
      <c r="D358" s="358"/>
      <c r="E358" s="358"/>
      <c r="F358" s="358"/>
      <c r="G358" s="358"/>
      <c r="H358" s="358"/>
      <c r="I358" s="358"/>
      <c r="J358" s="358"/>
      <c r="K358" s="358"/>
    </row>
    <row r="359" spans="1:14">
      <c r="A359" s="358">
        <v>1</v>
      </c>
      <c r="B359" s="490" t="s">
        <v>813</v>
      </c>
      <c r="E359" s="358"/>
      <c r="F359" s="358"/>
      <c r="G359" s="358"/>
      <c r="H359" s="358"/>
      <c r="I359" s="358"/>
      <c r="J359" s="358"/>
      <c r="K359" s="358"/>
    </row>
    <row r="360" spans="1:14">
      <c r="A360" s="358">
        <v>2</v>
      </c>
      <c r="B360" s="490" t="s">
        <v>814</v>
      </c>
      <c r="E360" s="358"/>
      <c r="F360" s="358"/>
      <c r="G360" s="358"/>
      <c r="H360" s="358"/>
      <c r="I360" s="358"/>
      <c r="J360" s="358"/>
      <c r="K360" s="358"/>
    </row>
    <row r="361" spans="1:14">
      <c r="A361" s="358">
        <v>3</v>
      </c>
      <c r="B361" s="490" t="s">
        <v>781</v>
      </c>
      <c r="E361" s="358"/>
      <c r="F361" s="358"/>
      <c r="G361" s="358"/>
      <c r="H361" s="358"/>
      <c r="I361" s="358"/>
      <c r="J361" s="358"/>
      <c r="K361" s="358"/>
    </row>
    <row r="362" spans="1:14">
      <c r="A362" s="358">
        <v>4</v>
      </c>
      <c r="B362" s="490" t="s">
        <v>815</v>
      </c>
      <c r="E362" s="358"/>
      <c r="F362" s="358"/>
      <c r="G362" s="358"/>
      <c r="H362" s="358"/>
      <c r="I362" s="358"/>
      <c r="J362" s="358"/>
      <c r="K362" s="358"/>
    </row>
    <row r="363" spans="1:14">
      <c r="A363" s="358">
        <v>5</v>
      </c>
      <c r="B363" s="490" t="s">
        <v>816</v>
      </c>
      <c r="E363" s="358"/>
      <c r="F363" s="358"/>
      <c r="G363" s="358"/>
      <c r="H363" s="358"/>
      <c r="I363" s="358"/>
      <c r="J363" s="358"/>
      <c r="K363" s="358"/>
    </row>
    <row r="364" spans="1:14">
      <c r="A364" s="358">
        <v>6</v>
      </c>
      <c r="B364" s="490" t="s">
        <v>817</v>
      </c>
      <c r="E364" s="358"/>
      <c r="F364" s="358"/>
      <c r="G364" s="358"/>
      <c r="H364" s="358"/>
      <c r="I364" s="358"/>
      <c r="J364" s="358"/>
      <c r="K364" s="358"/>
    </row>
    <row r="365" spans="1:14">
      <c r="A365" s="358">
        <v>7</v>
      </c>
      <c r="B365" s="490" t="s">
        <v>818</v>
      </c>
      <c r="E365" s="358"/>
      <c r="F365" s="358"/>
      <c r="G365" s="358"/>
      <c r="H365" s="358"/>
      <c r="I365" s="358"/>
      <c r="J365" s="358"/>
      <c r="K365" s="358"/>
    </row>
    <row r="366" spans="1:14">
      <c r="A366" s="358">
        <v>8</v>
      </c>
      <c r="B366" s="625" t="s">
        <v>819</v>
      </c>
      <c r="E366" s="358"/>
      <c r="F366" s="358"/>
      <c r="G366" s="358"/>
      <c r="H366" s="358"/>
      <c r="I366" s="358"/>
      <c r="J366" s="358"/>
      <c r="K366" s="358"/>
    </row>
    <row r="367" spans="1:14">
      <c r="A367" s="358">
        <v>9</v>
      </c>
      <c r="B367" s="490" t="s">
        <v>820</v>
      </c>
      <c r="E367" s="358"/>
      <c r="F367" s="358"/>
      <c r="G367" s="358"/>
      <c r="H367" s="358"/>
      <c r="I367" s="358"/>
      <c r="J367" s="358"/>
      <c r="K367" s="358"/>
    </row>
    <row r="368" spans="1:14">
      <c r="A368" s="488" t="s">
        <v>783</v>
      </c>
      <c r="B368" s="489"/>
      <c r="E368" s="358"/>
      <c r="F368" s="358"/>
      <c r="G368" s="358"/>
      <c r="H368" s="358"/>
      <c r="I368" s="358"/>
      <c r="J368" s="358"/>
      <c r="K368" s="358"/>
    </row>
    <row r="369" spans="1:11">
      <c r="A369" s="496" t="s">
        <v>6</v>
      </c>
      <c r="B369" s="490" t="s">
        <v>821</v>
      </c>
      <c r="C369" s="489"/>
      <c r="E369" s="358"/>
      <c r="F369" s="358"/>
      <c r="G369" s="358"/>
      <c r="H369" s="358"/>
      <c r="I369" s="358"/>
      <c r="J369" s="358"/>
      <c r="K369" s="358"/>
    </row>
    <row r="370" spans="1:11">
      <c r="A370" s="496" t="s">
        <v>59</v>
      </c>
      <c r="B370" s="490" t="s">
        <v>822</v>
      </c>
      <c r="C370" s="489"/>
      <c r="E370" s="358"/>
      <c r="F370" s="358"/>
      <c r="G370" s="358"/>
      <c r="H370" s="358"/>
      <c r="I370" s="358"/>
      <c r="J370" s="358"/>
      <c r="K370" s="358"/>
    </row>
    <row r="371" spans="1:11">
      <c r="A371" s="496" t="s">
        <v>16</v>
      </c>
      <c r="B371" s="490" t="s">
        <v>823</v>
      </c>
      <c r="C371" s="489"/>
      <c r="E371" s="358"/>
      <c r="F371" s="358"/>
      <c r="G371" s="358"/>
      <c r="H371" s="358"/>
      <c r="I371" s="358"/>
      <c r="J371" s="358"/>
      <c r="K371" s="358"/>
    </row>
    <row r="372" spans="1:11">
      <c r="A372" s="496" t="s">
        <v>20</v>
      </c>
      <c r="B372" s="490" t="s">
        <v>824</v>
      </c>
      <c r="C372" s="489"/>
      <c r="E372" s="358"/>
      <c r="F372" s="358"/>
      <c r="G372" s="358"/>
      <c r="H372" s="358"/>
      <c r="I372" s="358"/>
      <c r="J372" s="358"/>
      <c r="K372" s="358"/>
    </row>
    <row r="373" spans="1:11" ht="15.75" customHeight="1">
      <c r="A373" s="496" t="s">
        <v>76</v>
      </c>
      <c r="B373" s="490" t="s">
        <v>825</v>
      </c>
      <c r="C373" s="489"/>
      <c r="E373" s="358"/>
      <c r="F373" s="358"/>
      <c r="G373" s="358"/>
      <c r="H373" s="358"/>
      <c r="I373" s="358"/>
      <c r="J373" s="358"/>
      <c r="K373" s="358"/>
    </row>
    <row r="374" spans="1:11" ht="15.75" customHeight="1">
      <c r="A374" s="496"/>
      <c r="B374" s="490"/>
      <c r="C374" s="489"/>
      <c r="E374" s="358"/>
      <c r="F374" s="358"/>
      <c r="G374" s="358"/>
      <c r="H374" s="358"/>
      <c r="I374" s="358"/>
      <c r="J374" s="358"/>
      <c r="K374" s="358"/>
    </row>
  </sheetData>
  <mergeCells count="392">
    <mergeCell ref="P339:U339"/>
    <mergeCell ref="P340:U340"/>
    <mergeCell ref="AM320:AM324"/>
    <mergeCell ref="AN320:AN324"/>
    <mergeCell ref="AO320:AO324"/>
    <mergeCell ref="AP320:AP324"/>
    <mergeCell ref="AQ320:AQ324"/>
    <mergeCell ref="AR320:AR324"/>
    <mergeCell ref="AC320:AC324"/>
    <mergeCell ref="AF320:AF324"/>
    <mergeCell ref="AI320:AI324"/>
    <mergeCell ref="AJ320:AJ324"/>
    <mergeCell ref="AK320:AK324"/>
    <mergeCell ref="AL320:AL324"/>
    <mergeCell ref="W320:W324"/>
    <mergeCell ref="X320:X324"/>
    <mergeCell ref="Y320:Y324"/>
    <mergeCell ref="Z320:Z324"/>
    <mergeCell ref="AA320:AA324"/>
    <mergeCell ref="AB320:AB324"/>
    <mergeCell ref="AM317:AM319"/>
    <mergeCell ref="AN317:AN319"/>
    <mergeCell ref="AO317:AO319"/>
    <mergeCell ref="AP317:AP319"/>
    <mergeCell ref="AQ317:AQ319"/>
    <mergeCell ref="AR317:AR319"/>
    <mergeCell ref="AE317:AE325"/>
    <mergeCell ref="AF317:AF319"/>
    <mergeCell ref="AI317:AI319"/>
    <mergeCell ref="AJ317:AJ319"/>
    <mergeCell ref="AK317:AK319"/>
    <mergeCell ref="AL317:AL319"/>
    <mergeCell ref="X317:X319"/>
    <mergeCell ref="Y317:Y319"/>
    <mergeCell ref="Z317:Z319"/>
    <mergeCell ref="AA317:AA319"/>
    <mergeCell ref="AB317:AB319"/>
    <mergeCell ref="AC317:AC319"/>
    <mergeCell ref="P317:P325"/>
    <mergeCell ref="Q317:Q319"/>
    <mergeCell ref="T317:T319"/>
    <mergeCell ref="U317:U319"/>
    <mergeCell ref="V317:V319"/>
    <mergeCell ref="W317:W319"/>
    <mergeCell ref="Q320:Q324"/>
    <mergeCell ref="T320:T324"/>
    <mergeCell ref="U320:U324"/>
    <mergeCell ref="V320:V324"/>
    <mergeCell ref="AQ313:AR315"/>
    <mergeCell ref="B314:B315"/>
    <mergeCell ref="C314:C315"/>
    <mergeCell ref="D314:D315"/>
    <mergeCell ref="E314:E315"/>
    <mergeCell ref="F314:F315"/>
    <mergeCell ref="G314:H314"/>
    <mergeCell ref="I314:J314"/>
    <mergeCell ref="K314:K315"/>
    <mergeCell ref="Z313:AA315"/>
    <mergeCell ref="AB313:AC315"/>
    <mergeCell ref="AH313:AH316"/>
    <mergeCell ref="AI313:AJ315"/>
    <mergeCell ref="AK313:AL315"/>
    <mergeCell ref="AM313:AN315"/>
    <mergeCell ref="AE314:AE316"/>
    <mergeCell ref="AF315:AF316"/>
    <mergeCell ref="AG315:AG316"/>
    <mergeCell ref="AN251:AN253"/>
    <mergeCell ref="AO251:AO253"/>
    <mergeCell ref="AP251:AP253"/>
    <mergeCell ref="P274:U274"/>
    <mergeCell ref="C313:L313"/>
    <mergeCell ref="S313:S316"/>
    <mergeCell ref="T313:U315"/>
    <mergeCell ref="V313:W315"/>
    <mergeCell ref="X313:Y315"/>
    <mergeCell ref="L314:L315"/>
    <mergeCell ref="P314:P316"/>
    <mergeCell ref="Q315:Q316"/>
    <mergeCell ref="R315:R316"/>
    <mergeCell ref="AO313:AP315"/>
    <mergeCell ref="P273:U273"/>
    <mergeCell ref="AF254:AF258"/>
    <mergeCell ref="AI254:AI258"/>
    <mergeCell ref="AJ254:AJ258"/>
    <mergeCell ref="AK254:AK258"/>
    <mergeCell ref="AL254:AL258"/>
    <mergeCell ref="AM254:AM258"/>
    <mergeCell ref="X254:X258"/>
    <mergeCell ref="Y254:Y258"/>
    <mergeCell ref="Z254:Z258"/>
    <mergeCell ref="AA254:AA258"/>
    <mergeCell ref="AB254:AB258"/>
    <mergeCell ref="AC254:AC258"/>
    <mergeCell ref="P251:P259"/>
    <mergeCell ref="Q251:Q253"/>
    <mergeCell ref="T251:T253"/>
    <mergeCell ref="U251:U253"/>
    <mergeCell ref="V251:V253"/>
    <mergeCell ref="W251:W253"/>
    <mergeCell ref="X251:X253"/>
    <mergeCell ref="AQ251:AQ253"/>
    <mergeCell ref="AR251:AR253"/>
    <mergeCell ref="Q254:Q258"/>
    <mergeCell ref="T254:T258"/>
    <mergeCell ref="U254:U258"/>
    <mergeCell ref="V254:V258"/>
    <mergeCell ref="W254:W258"/>
    <mergeCell ref="AF251:AF253"/>
    <mergeCell ref="AI251:AI253"/>
    <mergeCell ref="AJ251:AJ253"/>
    <mergeCell ref="AK251:AK253"/>
    <mergeCell ref="AL251:AL253"/>
    <mergeCell ref="AM251:AM253"/>
    <mergeCell ref="Y251:Y253"/>
    <mergeCell ref="Z251:Z253"/>
    <mergeCell ref="AA251:AA253"/>
    <mergeCell ref="AB251:AB253"/>
    <mergeCell ref="AC251:AC253"/>
    <mergeCell ref="AE251:AE259"/>
    <mergeCell ref="AN254:AN258"/>
    <mergeCell ref="AO254:AO258"/>
    <mergeCell ref="AP254:AP258"/>
    <mergeCell ref="AQ254:AQ258"/>
    <mergeCell ref="AR254:AR258"/>
    <mergeCell ref="AM247:AN249"/>
    <mergeCell ref="AO247:AP249"/>
    <mergeCell ref="AQ247:AR249"/>
    <mergeCell ref="B248:B249"/>
    <mergeCell ref="C248:C249"/>
    <mergeCell ref="D248:D249"/>
    <mergeCell ref="E248:E249"/>
    <mergeCell ref="F248:F249"/>
    <mergeCell ref="G248:H248"/>
    <mergeCell ref="I248:J248"/>
    <mergeCell ref="X247:Y249"/>
    <mergeCell ref="Z247:AA249"/>
    <mergeCell ref="AB247:AC249"/>
    <mergeCell ref="AH247:AH250"/>
    <mergeCell ref="AI247:AJ249"/>
    <mergeCell ref="AK247:AL249"/>
    <mergeCell ref="AE248:AE250"/>
    <mergeCell ref="R249:R250"/>
    <mergeCell ref="AF249:AF250"/>
    <mergeCell ref="AG249:AG250"/>
    <mergeCell ref="P194:U194"/>
    <mergeCell ref="P195:U195"/>
    <mergeCell ref="C247:L247"/>
    <mergeCell ref="S247:S250"/>
    <mergeCell ref="T247:U249"/>
    <mergeCell ref="V247:W249"/>
    <mergeCell ref="K248:K249"/>
    <mergeCell ref="L248:L249"/>
    <mergeCell ref="P248:P250"/>
    <mergeCell ref="Q249:Q250"/>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P33:U33"/>
    <mergeCell ref="P34:U34"/>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7" location="INDEX" display="Steam boiler, Natural gas or biogas" xr:uid="{13B7478B-8904-4493-ABEB-B7A85DA57BD7}"/>
    <hyperlink ref="C86" location="INDEX" display="Steam boiler, Natural gas or biogas (Condensing)" xr:uid="{9C1F7C85-BDF2-4903-A3B2-CB36E1E23AAC}"/>
    <hyperlink ref="C168" location="INDEX" display="Hot water boiler, Natural gas or biogas" xr:uid="{AC0F03E9-1775-488B-8DB9-3805EE297790}"/>
    <hyperlink ref="C247" location="INDEX" display="Hot water boiler, Natural gas or biogas (Condensing)" xr:uid="{16384D52-15D9-422A-B6D0-0927C488C849}"/>
    <hyperlink ref="C313" location="INDEX" display="Direct Firing, Natural Gas" xr:uid="{08F9F1E3-AB4E-42F1-940A-6D5BA6184B1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1B1D7-0C67-4F3F-9B6D-553C9385AEDD}">
  <sheetPr>
    <tabColor theme="3"/>
  </sheetPr>
  <dimension ref="A2:AR386"/>
  <sheetViews>
    <sheetView topLeftCell="M1" zoomScaleNormal="100" workbookViewId="0">
      <selection activeCell="Y11" sqref="Y11:Y13"/>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Steam boiler, Wood Chips</v>
      </c>
    </row>
    <row r="4" spans="1:44" ht="25.05" customHeight="1">
      <c r="E4" s="224" t="s">
        <v>358</v>
      </c>
      <c r="F4" s="359">
        <v>7.45</v>
      </c>
      <c r="G4" s="359" t="s">
        <v>328</v>
      </c>
    </row>
    <row r="5" spans="1:44" ht="15" customHeight="1">
      <c r="A5" s="360" t="s">
        <v>993</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973</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20</v>
      </c>
      <c r="D10" s="372">
        <v>20</v>
      </c>
      <c r="E10" s="372">
        <v>20</v>
      </c>
      <c r="F10" s="372">
        <v>20</v>
      </c>
      <c r="G10" s="372">
        <v>1</v>
      </c>
      <c r="H10" s="372">
        <v>50</v>
      </c>
      <c r="I10" s="372">
        <v>1</v>
      </c>
      <c r="J10" s="372">
        <v>50</v>
      </c>
      <c r="K10" s="372" t="s">
        <v>6</v>
      </c>
      <c r="L10" s="373" t="s">
        <v>725</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90</v>
      </c>
      <c r="D11" s="377">
        <v>90</v>
      </c>
      <c r="E11" s="378">
        <v>90</v>
      </c>
      <c r="F11" s="377">
        <v>91</v>
      </c>
      <c r="G11" s="377">
        <f>D11-1</f>
        <v>89</v>
      </c>
      <c r="H11" s="377">
        <f>D11+2</f>
        <v>92</v>
      </c>
      <c r="I11" s="377">
        <f>F11-1</f>
        <v>90</v>
      </c>
      <c r="J11" s="377">
        <f>F11+2</f>
        <v>93</v>
      </c>
      <c r="K11" s="379" t="s">
        <v>59</v>
      </c>
      <c r="L11" s="380" t="s">
        <v>729</v>
      </c>
      <c r="M11" s="370"/>
      <c r="N11" s="370"/>
      <c r="P11" s="1199" t="str">
        <f>C7</f>
        <v>Steam boiler, Wood Chips</v>
      </c>
      <c r="Q11" s="1154" t="s">
        <v>730</v>
      </c>
      <c r="R11" s="381" t="s">
        <v>731</v>
      </c>
      <c r="S11" s="382"/>
      <c r="T11" s="1137">
        <v>0</v>
      </c>
      <c r="U11" s="1151">
        <v>1</v>
      </c>
      <c r="V11" s="1157">
        <v>0</v>
      </c>
      <c r="W11" s="1151">
        <v>1</v>
      </c>
      <c r="X11" s="1157">
        <v>0</v>
      </c>
      <c r="Y11" s="1151">
        <v>1</v>
      </c>
      <c r="Z11" s="1157">
        <v>0</v>
      </c>
      <c r="AA11" s="1151">
        <v>1</v>
      </c>
      <c r="AB11" s="1157">
        <v>0</v>
      </c>
      <c r="AC11" s="1151">
        <v>1</v>
      </c>
      <c r="AE11" s="1148" t="str">
        <f>P11</f>
        <v>Steam boiler, Wood Chips</v>
      </c>
      <c r="AF11" s="1154" t="s">
        <v>730</v>
      </c>
      <c r="AG11" s="381" t="s">
        <v>731</v>
      </c>
      <c r="AH11" s="382"/>
      <c r="AI11" s="1137">
        <v>0</v>
      </c>
      <c r="AJ11" s="1151">
        <v>1</v>
      </c>
      <c r="AK11" s="1157">
        <v>0</v>
      </c>
      <c r="AL11" s="1151">
        <v>1</v>
      </c>
      <c r="AM11" s="1157">
        <v>0</v>
      </c>
      <c r="AN11" s="1151">
        <v>1</v>
      </c>
      <c r="AO11" s="1157">
        <v>0</v>
      </c>
      <c r="AP11" s="1151">
        <v>1</v>
      </c>
      <c r="AQ11" s="1157">
        <v>0</v>
      </c>
      <c r="AR11" s="1151">
        <v>1</v>
      </c>
    </row>
    <row r="12" spans="1:44" ht="32.549999999999997" customHeight="1" outlineLevel="1">
      <c r="B12" s="383" t="s">
        <v>732</v>
      </c>
      <c r="C12" s="384">
        <f t="shared" ref="C12:J12" si="0">C11-1</f>
        <v>89</v>
      </c>
      <c r="D12" s="384">
        <f t="shared" si="0"/>
        <v>89</v>
      </c>
      <c r="E12" s="384">
        <f t="shared" si="0"/>
        <v>89</v>
      </c>
      <c r="F12" s="384">
        <f t="shared" si="0"/>
        <v>90</v>
      </c>
      <c r="G12" s="385">
        <f t="shared" si="0"/>
        <v>88</v>
      </c>
      <c r="H12" s="385">
        <f t="shared" si="0"/>
        <v>91</v>
      </c>
      <c r="I12" s="385">
        <f t="shared" si="0"/>
        <v>89</v>
      </c>
      <c r="J12" s="385">
        <f t="shared" si="0"/>
        <v>92</v>
      </c>
      <c r="K12" s="386"/>
      <c r="L12" s="387" t="s">
        <v>729</v>
      </c>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2.2999999999999998</v>
      </c>
      <c r="D13" s="391">
        <v>2.2999999999999998</v>
      </c>
      <c r="E13" s="391">
        <v>2.2999999999999998</v>
      </c>
      <c r="F13" s="392">
        <v>2.2999999999999998</v>
      </c>
      <c r="G13" s="391">
        <v>2.2000000000000002</v>
      </c>
      <c r="H13" s="391">
        <v>2.5</v>
      </c>
      <c r="I13" s="391">
        <v>1.8</v>
      </c>
      <c r="J13" s="391">
        <v>2.5</v>
      </c>
      <c r="K13" s="379" t="s">
        <v>16</v>
      </c>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686">
        <v>3</v>
      </c>
      <c r="D14" s="686">
        <v>3</v>
      </c>
      <c r="E14" s="686">
        <v>3</v>
      </c>
      <c r="F14" s="686">
        <v>3</v>
      </c>
      <c r="G14" s="686">
        <v>3</v>
      </c>
      <c r="H14" s="686">
        <v>3</v>
      </c>
      <c r="I14" s="686">
        <v>3</v>
      </c>
      <c r="J14" s="686">
        <v>3</v>
      </c>
      <c r="K14" s="379" t="s">
        <v>20</v>
      </c>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51">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51">
        <v>1</v>
      </c>
    </row>
    <row r="15" spans="1:44" outlineLevel="1">
      <c r="B15" s="376" t="s">
        <v>658</v>
      </c>
      <c r="C15" s="390">
        <v>3</v>
      </c>
      <c r="D15" s="390">
        <v>3</v>
      </c>
      <c r="E15" s="390">
        <v>3</v>
      </c>
      <c r="F15" s="390">
        <v>3</v>
      </c>
      <c r="G15" s="390">
        <v>2.6</v>
      </c>
      <c r="H15" s="390">
        <v>3.5</v>
      </c>
      <c r="I15" s="390">
        <v>2.2999999999999998</v>
      </c>
      <c r="J15" s="390">
        <v>3.8</v>
      </c>
      <c r="K15" s="379" t="s">
        <v>20</v>
      </c>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25</v>
      </c>
      <c r="D16" s="397">
        <v>25</v>
      </c>
      <c r="E16" s="397">
        <v>25</v>
      </c>
      <c r="F16" s="397">
        <v>25</v>
      </c>
      <c r="G16" s="398">
        <v>20</v>
      </c>
      <c r="H16" s="398">
        <v>35</v>
      </c>
      <c r="I16" s="398">
        <v>20</v>
      </c>
      <c r="J16" s="398">
        <v>35</v>
      </c>
      <c r="K16" s="372"/>
      <c r="L16" s="373" t="s">
        <v>740</v>
      </c>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
        <v>738</v>
      </c>
      <c r="AI16" s="1191"/>
      <c r="AJ16" s="1191"/>
      <c r="AK16" s="1191"/>
      <c r="AL16" s="1191"/>
      <c r="AM16" s="1191"/>
      <c r="AN16" s="1191"/>
      <c r="AO16" s="1191"/>
      <c r="AP16" s="1191"/>
      <c r="AQ16" s="1191"/>
      <c r="AR16" s="1193"/>
    </row>
    <row r="17" spans="1:44" ht="15" outlineLevel="1" thickBot="1">
      <c r="B17" s="376" t="s">
        <v>273</v>
      </c>
      <c r="C17" s="399">
        <v>1</v>
      </c>
      <c r="D17" s="399">
        <v>1</v>
      </c>
      <c r="E17" s="399">
        <v>1</v>
      </c>
      <c r="F17" s="399">
        <v>1</v>
      </c>
      <c r="G17" s="399">
        <v>0.5</v>
      </c>
      <c r="H17" s="399">
        <v>1.5</v>
      </c>
      <c r="I17" s="399">
        <v>0.5</v>
      </c>
      <c r="J17" s="399">
        <v>1.5</v>
      </c>
      <c r="K17" s="372"/>
      <c r="L17" s="400"/>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29.4" outlineLevel="1" thickBot="1">
      <c r="B19" s="376" t="s">
        <v>663</v>
      </c>
      <c r="C19" s="390">
        <v>20</v>
      </c>
      <c r="D19" s="390">
        <v>20</v>
      </c>
      <c r="E19" s="390">
        <v>20</v>
      </c>
      <c r="F19" s="390">
        <v>20</v>
      </c>
      <c r="G19" s="391"/>
      <c r="H19" s="391"/>
      <c r="I19" s="391"/>
      <c r="J19" s="391"/>
      <c r="K19" s="379"/>
      <c r="L19" s="380">
        <v>3</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631" t="s">
        <v>746</v>
      </c>
      <c r="AH19" s="632" t="s">
        <v>738</v>
      </c>
      <c r="AI19" s="416">
        <v>1</v>
      </c>
      <c r="AJ19" s="415">
        <v>1</v>
      </c>
      <c r="AK19" s="416">
        <v>1</v>
      </c>
      <c r="AL19" s="415">
        <v>1</v>
      </c>
      <c r="AM19" s="416">
        <v>1</v>
      </c>
      <c r="AN19" s="415">
        <v>1</v>
      </c>
      <c r="AO19" s="416">
        <v>1</v>
      </c>
      <c r="AP19" s="415">
        <v>1</v>
      </c>
      <c r="AQ19" s="416">
        <v>1</v>
      </c>
      <c r="AR19" s="417">
        <v>1</v>
      </c>
    </row>
    <row r="20" spans="1:44" outlineLevel="1">
      <c r="B20" s="376" t="s">
        <v>664</v>
      </c>
      <c r="C20" s="390">
        <v>0.3</v>
      </c>
      <c r="D20" s="390">
        <v>0.3</v>
      </c>
      <c r="E20" s="390">
        <v>0.3</v>
      </c>
      <c r="F20" s="390">
        <v>0.3</v>
      </c>
      <c r="G20" s="418"/>
      <c r="H20" s="418"/>
      <c r="I20" s="418"/>
      <c r="J20" s="418"/>
      <c r="K20" s="419"/>
      <c r="L20" s="380">
        <v>3</v>
      </c>
      <c r="M20" s="363"/>
      <c r="N20" s="363"/>
    </row>
    <row r="21" spans="1:44" outlineLevel="1">
      <c r="B21" s="376" t="s">
        <v>666</v>
      </c>
      <c r="C21" s="390">
        <v>0.5</v>
      </c>
      <c r="D21" s="390">
        <v>0.5</v>
      </c>
      <c r="E21" s="390">
        <v>0.5</v>
      </c>
      <c r="F21" s="390">
        <v>0.5</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v>11</v>
      </c>
      <c r="D23" s="1232">
        <v>11</v>
      </c>
      <c r="E23" s="1232">
        <v>11</v>
      </c>
      <c r="F23" s="1233">
        <v>11</v>
      </c>
      <c r="G23" s="422"/>
      <c r="H23" s="425"/>
      <c r="I23" s="425"/>
      <c r="J23" s="425"/>
      <c r="K23" s="426" t="s">
        <v>76</v>
      </c>
      <c r="L23" s="427" t="s">
        <v>748</v>
      </c>
      <c r="M23" s="428"/>
      <c r="N23" s="428"/>
    </row>
    <row r="24" spans="1:44" outlineLevel="1">
      <c r="B24" s="383" t="s">
        <v>749</v>
      </c>
      <c r="C24" s="1234">
        <v>10</v>
      </c>
      <c r="D24" s="1235">
        <v>10</v>
      </c>
      <c r="E24" s="1235">
        <v>10</v>
      </c>
      <c r="F24" s="1236">
        <v>10</v>
      </c>
      <c r="G24" s="425"/>
      <c r="H24" s="425"/>
      <c r="I24" s="425"/>
      <c r="J24" s="425"/>
      <c r="K24" s="423"/>
      <c r="L24" s="427">
        <v>9</v>
      </c>
      <c r="M24" s="428"/>
      <c r="N24" s="428"/>
    </row>
    <row r="25" spans="1:44" outlineLevel="1">
      <c r="B25" s="383" t="s">
        <v>844</v>
      </c>
      <c r="C25" s="1234">
        <v>63</v>
      </c>
      <c r="D25" s="1235">
        <v>49</v>
      </c>
      <c r="E25" s="1235">
        <v>46</v>
      </c>
      <c r="F25" s="1236">
        <v>41</v>
      </c>
      <c r="G25" s="425"/>
      <c r="H25" s="425"/>
      <c r="I25" s="425"/>
      <c r="J25" s="425"/>
      <c r="K25" s="423"/>
      <c r="L25" s="427" t="s">
        <v>748</v>
      </c>
      <c r="M25" s="428"/>
      <c r="N25" s="428"/>
    </row>
    <row r="26" spans="1:44" outlineLevel="1">
      <c r="B26" s="383" t="s">
        <v>366</v>
      </c>
      <c r="C26" s="1234">
        <v>11</v>
      </c>
      <c r="D26" s="1235">
        <v>8</v>
      </c>
      <c r="E26" s="1235">
        <v>6</v>
      </c>
      <c r="F26" s="1236">
        <v>4</v>
      </c>
      <c r="G26" s="425"/>
      <c r="H26" s="425"/>
      <c r="I26" s="425"/>
      <c r="J26" s="425"/>
      <c r="K26" s="423"/>
      <c r="L26" s="427" t="s">
        <v>748</v>
      </c>
      <c r="M26" s="428"/>
      <c r="N26" s="428"/>
    </row>
    <row r="27" spans="1:44" ht="15" outlineLevel="1" thickBot="1">
      <c r="B27" s="429" t="s">
        <v>367</v>
      </c>
      <c r="C27" s="1237">
        <v>3</v>
      </c>
      <c r="D27" s="1238">
        <v>3</v>
      </c>
      <c r="E27" s="1238">
        <v>1</v>
      </c>
      <c r="F27" s="1239">
        <v>1</v>
      </c>
      <c r="G27" s="425"/>
      <c r="H27" s="425"/>
      <c r="I27" s="425"/>
      <c r="J27" s="425"/>
      <c r="K27" s="423"/>
      <c r="L27" s="427" t="s">
        <v>748</v>
      </c>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51">
        <v>0.61818181818181817</v>
      </c>
      <c r="D29" s="647">
        <v>0.59090909090909083</v>
      </c>
      <c r="E29" s="647">
        <f>(F29+D29)/2</f>
        <v>0.56363636363636349</v>
      </c>
      <c r="F29" s="648">
        <v>0.53636363636363626</v>
      </c>
      <c r="G29" s="425"/>
      <c r="H29" s="425"/>
      <c r="I29" s="425"/>
      <c r="J29" s="425"/>
      <c r="K29" s="426" t="s">
        <v>974</v>
      </c>
      <c r="L29" s="440" t="s">
        <v>753</v>
      </c>
      <c r="M29" s="420"/>
      <c r="N29" s="420"/>
    </row>
    <row r="30" spans="1:44" outlineLevel="1">
      <c r="B30" s="441" t="s">
        <v>839</v>
      </c>
      <c r="C30" s="442">
        <v>60</v>
      </c>
      <c r="D30" s="442">
        <v>60</v>
      </c>
      <c r="E30" s="442">
        <v>60</v>
      </c>
      <c r="F30" s="442">
        <v>60</v>
      </c>
      <c r="G30" s="425"/>
      <c r="H30" s="425"/>
      <c r="I30" s="425"/>
      <c r="J30" s="425"/>
      <c r="K30" s="444"/>
      <c r="L30" s="373">
        <v>3</v>
      </c>
      <c r="M30" s="71"/>
      <c r="N30" s="420"/>
    </row>
    <row r="31" spans="1:44" outlineLevel="1">
      <c r="B31" s="441" t="s">
        <v>840</v>
      </c>
      <c r="C31" s="442">
        <f>100-C30</f>
        <v>40</v>
      </c>
      <c r="D31" s="442">
        <f>100-D30</f>
        <v>40</v>
      </c>
      <c r="E31" s="442">
        <f>100-E30</f>
        <v>40</v>
      </c>
      <c r="F31" s="442">
        <f>100-F30</f>
        <v>40</v>
      </c>
      <c r="G31" s="425"/>
      <c r="H31" s="425"/>
      <c r="I31" s="425"/>
      <c r="J31" s="425"/>
      <c r="K31" s="444"/>
      <c r="L31" s="373">
        <v>3</v>
      </c>
      <c r="M31" s="420"/>
      <c r="N31" s="420"/>
    </row>
    <row r="32" spans="1:44" outlineLevel="1">
      <c r="B32" s="383" t="s">
        <v>841</v>
      </c>
      <c r="C32" s="602">
        <v>33700</v>
      </c>
      <c r="D32" s="603">
        <v>35900</v>
      </c>
      <c r="E32" s="603">
        <f>(F32+D32)/2</f>
        <v>34800</v>
      </c>
      <c r="F32" s="604">
        <v>33700</v>
      </c>
      <c r="G32" s="425"/>
      <c r="H32" s="425"/>
      <c r="I32" s="425"/>
      <c r="J32" s="425"/>
      <c r="K32" s="448" t="s">
        <v>52</v>
      </c>
      <c r="L32" s="373">
        <v>3</v>
      </c>
      <c r="M32" s="420"/>
      <c r="N32" s="420"/>
    </row>
    <row r="33" spans="2:30" ht="37.049999999999997" customHeight="1" outlineLevel="1" thickBot="1">
      <c r="B33" s="383" t="s">
        <v>679</v>
      </c>
      <c r="C33" s="605">
        <f>C34+C35</f>
        <v>2.7789999999999999</v>
      </c>
      <c r="D33" s="605">
        <f t="shared" ref="D33:F33" si="1">D34+D35</f>
        <v>2.8250000000000002</v>
      </c>
      <c r="E33" s="605">
        <f t="shared" si="1"/>
        <v>2.8479999999999999</v>
      </c>
      <c r="F33" s="605">
        <f t="shared" si="1"/>
        <v>2.8479999999999999</v>
      </c>
      <c r="G33" s="425"/>
      <c r="H33" s="425"/>
      <c r="I33" s="425"/>
      <c r="J33" s="425"/>
      <c r="K33" s="448"/>
      <c r="L33" s="373">
        <v>3</v>
      </c>
      <c r="M33" s="450"/>
      <c r="N33" s="361"/>
      <c r="P33" s="1142">
        <f>C33</f>
        <v>2.7789999999999999</v>
      </c>
      <c r="Q33" s="1143"/>
      <c r="R33" s="1143"/>
      <c r="S33" s="1143"/>
      <c r="T33" s="1143"/>
      <c r="U33" s="1144"/>
    </row>
    <row r="34" spans="2:30" ht="15.75" customHeight="1" outlineLevel="1" thickBot="1">
      <c r="B34" s="451" t="s">
        <v>758</v>
      </c>
      <c r="C34" s="452">
        <f>C13/100*73</f>
        <v>1.679</v>
      </c>
      <c r="D34" s="452">
        <f>D13/100*75</f>
        <v>1.7249999999999999</v>
      </c>
      <c r="E34" s="452">
        <f>E13/100*76</f>
        <v>1.748</v>
      </c>
      <c r="F34" s="452">
        <f>F13/100*76</f>
        <v>1.748</v>
      </c>
      <c r="G34" s="453"/>
      <c r="H34" s="453"/>
      <c r="I34" s="453"/>
      <c r="J34" s="453"/>
      <c r="K34" s="379" t="s">
        <v>55</v>
      </c>
      <c r="L34" s="380">
        <v>3</v>
      </c>
      <c r="M34" s="450"/>
      <c r="N34" s="361"/>
      <c r="P34" s="1134">
        <f>C34</f>
        <v>1.679</v>
      </c>
      <c r="Q34" s="1135"/>
      <c r="R34" s="1135"/>
      <c r="S34" s="1135"/>
      <c r="T34" s="1135"/>
      <c r="U34" s="1136"/>
    </row>
    <row r="35" spans="2:30" outlineLevel="1">
      <c r="B35" s="451" t="s">
        <v>759</v>
      </c>
      <c r="C35" s="454">
        <v>1.1000000000000001</v>
      </c>
      <c r="D35" s="454">
        <v>1.1000000000000001</v>
      </c>
      <c r="E35" s="454">
        <v>1.1000000000000001</v>
      </c>
      <c r="F35" s="454">
        <v>1.1000000000000001</v>
      </c>
      <c r="G35" s="453"/>
      <c r="H35" s="453"/>
      <c r="I35" s="453"/>
      <c r="J35" s="453"/>
      <c r="K35" s="455"/>
      <c r="L35" s="380">
        <v>3</v>
      </c>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49</v>
      </c>
      <c r="L39" s="464"/>
      <c r="M39" s="363"/>
      <c r="N39" s="363"/>
      <c r="O39" s="465">
        <f>C12</f>
        <v>89</v>
      </c>
      <c r="P39" s="466">
        <f>C8</f>
        <v>2020</v>
      </c>
      <c r="Q39" s="58">
        <f>P39</f>
        <v>2020</v>
      </c>
      <c r="R39" s="466">
        <f>O39/100</f>
        <v>0.89</v>
      </c>
      <c r="S39" s="58"/>
      <c r="T39" s="466">
        <f>C16</f>
        <v>25</v>
      </c>
      <c r="U39" s="467">
        <f>C46</f>
        <v>4605.454545454545</v>
      </c>
      <c r="V39" s="467">
        <f>C48</f>
        <v>251.065</v>
      </c>
      <c r="W39" s="467">
        <f>C49</f>
        <v>5.7509861111111107</v>
      </c>
      <c r="X39" s="58"/>
      <c r="Y39" s="58"/>
      <c r="Z39" s="466">
        <f>C23</f>
        <v>11</v>
      </c>
      <c r="AA39" s="468">
        <f>C25</f>
        <v>63</v>
      </c>
      <c r="AB39" s="468">
        <f>C26</f>
        <v>11</v>
      </c>
      <c r="AC39" s="468">
        <f>C27</f>
        <v>3</v>
      </c>
      <c r="AD39" s="468">
        <f>C24</f>
        <v>10</v>
      </c>
    </row>
    <row r="40" spans="2:30" ht="14.55" customHeight="1" outlineLevel="1">
      <c r="B40" s="376" t="s">
        <v>763</v>
      </c>
      <c r="C40" s="469" t="s">
        <v>36</v>
      </c>
      <c r="D40" s="470" t="s">
        <v>36</v>
      </c>
      <c r="E40" s="470" t="s">
        <v>36</v>
      </c>
      <c r="F40" s="471" t="s">
        <v>36</v>
      </c>
      <c r="G40" s="471"/>
      <c r="H40" s="471"/>
      <c r="I40" s="471"/>
      <c r="J40" s="471"/>
      <c r="K40" s="472" t="s">
        <v>49</v>
      </c>
      <c r="L40" s="464"/>
      <c r="M40" s="363"/>
      <c r="N40" s="363"/>
      <c r="O40" s="465">
        <f>D12</f>
        <v>89</v>
      </c>
      <c r="P40" s="466">
        <f>D8</f>
        <v>2030</v>
      </c>
      <c r="Q40" s="58"/>
      <c r="R40" s="466">
        <f>O40/100</f>
        <v>0.89</v>
      </c>
      <c r="S40" s="58"/>
      <c r="T40" s="466">
        <f>D16</f>
        <v>25</v>
      </c>
      <c r="U40" s="467">
        <f>D46</f>
        <v>4402.2727272727261</v>
      </c>
      <c r="V40" s="467">
        <f>D48</f>
        <v>267.45499999999998</v>
      </c>
      <c r="W40" s="467">
        <f>D49</f>
        <v>5.8461805555555557</v>
      </c>
      <c r="X40" s="58"/>
      <c r="Y40" s="58"/>
      <c r="Z40" s="466">
        <f>D23</f>
        <v>11</v>
      </c>
      <c r="AA40" s="468">
        <f>D25</f>
        <v>49</v>
      </c>
      <c r="AB40" s="468">
        <f>D26</f>
        <v>8</v>
      </c>
      <c r="AC40" s="468">
        <f>D27</f>
        <v>3</v>
      </c>
      <c r="AD40" s="468">
        <f>D24</f>
        <v>10</v>
      </c>
    </row>
    <row r="41" spans="2:30" outlineLevel="1">
      <c r="B41" s="376" t="s">
        <v>764</v>
      </c>
      <c r="C41" s="469" t="s">
        <v>36</v>
      </c>
      <c r="D41" s="470" t="s">
        <v>36</v>
      </c>
      <c r="E41" s="470" t="s">
        <v>36</v>
      </c>
      <c r="F41" s="471" t="s">
        <v>36</v>
      </c>
      <c r="G41" s="453"/>
      <c r="H41" s="453"/>
      <c r="I41" s="453"/>
      <c r="J41" s="453"/>
      <c r="K41" s="453"/>
      <c r="L41" s="380"/>
      <c r="M41" s="363"/>
      <c r="N41" s="363"/>
      <c r="O41" s="465">
        <f>E12</f>
        <v>89</v>
      </c>
      <c r="P41" s="466">
        <f>E8</f>
        <v>2040</v>
      </c>
      <c r="Q41" s="58"/>
      <c r="R41" s="466">
        <f>O41/100</f>
        <v>0.89</v>
      </c>
      <c r="S41" s="58"/>
      <c r="T41" s="466">
        <f>E16</f>
        <v>25</v>
      </c>
      <c r="U41" s="467">
        <f>E46</f>
        <v>4199.0909090909081</v>
      </c>
      <c r="V41" s="467">
        <f>E48</f>
        <v>259.26</v>
      </c>
      <c r="W41" s="467">
        <f>E49</f>
        <v>5.8937777777777782</v>
      </c>
      <c r="X41" s="58"/>
      <c r="Y41" s="58"/>
      <c r="Z41" s="466">
        <f>E23</f>
        <v>11</v>
      </c>
      <c r="AA41" s="468">
        <f>E25</f>
        <v>46</v>
      </c>
      <c r="AB41" s="468">
        <f>E26</f>
        <v>6</v>
      </c>
      <c r="AC41" s="468">
        <f>E27</f>
        <v>1</v>
      </c>
      <c r="AD41" s="468">
        <f>E24</f>
        <v>10</v>
      </c>
    </row>
    <row r="42" spans="2:30" ht="14.55" customHeight="1" outlineLevel="1">
      <c r="B42" s="376" t="s">
        <v>765</v>
      </c>
      <c r="C42" s="1240">
        <v>90</v>
      </c>
      <c r="D42" s="1241">
        <v>90</v>
      </c>
      <c r="E42" s="1241">
        <v>90</v>
      </c>
      <c r="F42" s="1242">
        <v>90</v>
      </c>
      <c r="G42" s="474"/>
      <c r="H42" s="474"/>
      <c r="I42" s="474"/>
      <c r="J42" s="474"/>
      <c r="K42" s="474"/>
      <c r="L42" s="380">
        <v>3</v>
      </c>
      <c r="M42" s="363"/>
      <c r="N42" s="363"/>
      <c r="O42" s="465">
        <f>F12</f>
        <v>90</v>
      </c>
      <c r="P42" s="466">
        <f>F8</f>
        <v>2050</v>
      </c>
      <c r="Q42" s="58"/>
      <c r="R42" s="466">
        <f>O42/100</f>
        <v>0.9</v>
      </c>
      <c r="S42" s="58"/>
      <c r="T42" s="466">
        <f>F16</f>
        <v>25</v>
      </c>
      <c r="U42" s="467">
        <f>F46</f>
        <v>3995.9090909090901</v>
      </c>
      <c r="V42" s="467">
        <f>F48</f>
        <v>251.065</v>
      </c>
      <c r="W42" s="467">
        <f>F49</f>
        <v>5.8937777777777782</v>
      </c>
      <c r="X42" s="58"/>
      <c r="Y42" s="58"/>
      <c r="Z42" s="466">
        <f>F23</f>
        <v>11</v>
      </c>
      <c r="AA42" s="468">
        <f>F25</f>
        <v>41</v>
      </c>
      <c r="AB42" s="468">
        <f>F26</f>
        <v>4</v>
      </c>
      <c r="AC42" s="468">
        <f>F27</f>
        <v>1</v>
      </c>
      <c r="AD42" s="468">
        <f>F24</f>
        <v>10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4605.454545454545</v>
      </c>
      <c r="D46" s="483">
        <f t="shared" ref="D46:F46" si="2">D29*$F$4*1000</f>
        <v>4402.2727272727261</v>
      </c>
      <c r="E46" s="483">
        <f t="shared" si="2"/>
        <v>4199.0909090909081</v>
      </c>
      <c r="F46" s="483">
        <f t="shared" si="2"/>
        <v>3995.9090909090901</v>
      </c>
      <c r="G46" s="483"/>
      <c r="H46" s="484"/>
      <c r="I46" s="420" t="s">
        <v>332</v>
      </c>
      <c r="J46" s="420"/>
      <c r="K46" s="484"/>
      <c r="L46" s="484"/>
      <c r="N46" s="420"/>
    </row>
    <row r="47" spans="2:30" outlineLevel="1">
      <c r="B47" s="485" t="s">
        <v>770</v>
      </c>
      <c r="C47" s="486">
        <f>C46*$I47</f>
        <v>2302727.2727272725</v>
      </c>
      <c r="D47" s="486">
        <f>D46*$I47</f>
        <v>2201136.3636363628</v>
      </c>
      <c r="E47" s="486">
        <f>E46*$I47</f>
        <v>2099545.4545454541</v>
      </c>
      <c r="F47" s="486">
        <f>F46*$I47</f>
        <v>1997954.5454545449</v>
      </c>
      <c r="G47" s="486"/>
      <c r="H47" s="484"/>
      <c r="I47" s="71">
        <v>500</v>
      </c>
      <c r="J47" s="420" t="s">
        <v>330</v>
      </c>
      <c r="K47" s="484"/>
      <c r="L47" s="484"/>
      <c r="N47" s="420"/>
    </row>
    <row r="48" spans="2:30" ht="43.2" outlineLevel="1">
      <c r="B48" s="461" t="s">
        <v>845</v>
      </c>
      <c r="C48" s="359">
        <f>C32*$F$4/1000</f>
        <v>251.065</v>
      </c>
      <c r="D48" s="359">
        <f t="shared" ref="D48:F48" si="3">D32*$F$4/1000</f>
        <v>267.45499999999998</v>
      </c>
      <c r="E48" s="359">
        <f t="shared" si="3"/>
        <v>259.26</v>
      </c>
      <c r="F48" s="359">
        <f t="shared" si="3"/>
        <v>251.065</v>
      </c>
      <c r="G48" s="359"/>
      <c r="I48" s="420" t="s">
        <v>333</v>
      </c>
      <c r="J48" s="420"/>
      <c r="N48" s="420"/>
    </row>
    <row r="49" spans="2:14" ht="43.2" outlineLevel="1">
      <c r="B49" s="461" t="s">
        <v>846</v>
      </c>
      <c r="C49" s="487">
        <f>C33*$F$4/3.6</f>
        <v>5.7509861111111107</v>
      </c>
      <c r="D49" s="487">
        <f t="shared" ref="D49:F49" si="4">D33*$F$4/3.6</f>
        <v>5.8461805555555557</v>
      </c>
      <c r="E49" s="487">
        <f t="shared" si="4"/>
        <v>5.8937777777777782</v>
      </c>
      <c r="F49" s="487">
        <f t="shared" si="4"/>
        <v>5.8937777777777782</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D55" s="358"/>
      <c r="E55" s="358"/>
      <c r="F55" s="358"/>
      <c r="G55" s="358"/>
      <c r="H55" s="358"/>
      <c r="I55" s="358"/>
      <c r="J55" s="358"/>
      <c r="K55" s="358"/>
      <c r="L55" s="358"/>
    </row>
    <row r="56" spans="2:14" outlineLevel="1">
      <c r="B56" s="491">
        <v>1</v>
      </c>
      <c r="C56" s="492" t="s">
        <v>774</v>
      </c>
      <c r="D56" s="490"/>
      <c r="F56" s="358"/>
      <c r="G56" s="358"/>
      <c r="H56" s="358"/>
      <c r="I56" s="358"/>
      <c r="J56" s="358"/>
      <c r="K56" s="358"/>
      <c r="L56" s="358"/>
    </row>
    <row r="57" spans="2:14" outlineLevel="1">
      <c r="B57" s="491">
        <v>2</v>
      </c>
      <c r="C57" s="493" t="s">
        <v>775</v>
      </c>
      <c r="D57" s="490"/>
      <c r="F57" s="358"/>
      <c r="G57" s="358"/>
      <c r="H57" s="358"/>
      <c r="I57" s="358"/>
      <c r="J57" s="358"/>
      <c r="K57" s="358"/>
      <c r="L57" s="358"/>
    </row>
    <row r="58" spans="2:14" outlineLevel="1">
      <c r="B58" s="491">
        <v>3</v>
      </c>
      <c r="C58" s="493" t="s">
        <v>776</v>
      </c>
      <c r="D58" s="490"/>
      <c r="F58" s="358"/>
      <c r="G58" s="358"/>
      <c r="H58" s="358"/>
      <c r="I58" s="358"/>
      <c r="J58" s="358"/>
      <c r="K58" s="358"/>
      <c r="L58" s="358"/>
    </row>
    <row r="59" spans="2:14" outlineLevel="1">
      <c r="B59" s="491">
        <v>4</v>
      </c>
      <c r="C59" s="493" t="s">
        <v>777</v>
      </c>
      <c r="D59" s="490"/>
      <c r="F59" s="358"/>
      <c r="G59" s="358"/>
      <c r="H59" s="358"/>
      <c r="I59" s="358"/>
      <c r="J59" s="358"/>
      <c r="K59" s="358"/>
      <c r="L59" s="358"/>
    </row>
    <row r="60" spans="2:14" outlineLevel="1">
      <c r="B60" s="358">
        <v>5</v>
      </c>
      <c r="C60" s="494" t="s">
        <v>778</v>
      </c>
      <c r="D60" s="490"/>
      <c r="F60" s="358"/>
      <c r="G60" s="358"/>
      <c r="H60" s="358"/>
      <c r="I60" s="358"/>
      <c r="J60" s="358"/>
      <c r="K60" s="358"/>
      <c r="L60" s="358"/>
    </row>
    <row r="61" spans="2:14" outlineLevel="1">
      <c r="B61" s="358">
        <v>6</v>
      </c>
      <c r="C61" s="492" t="s">
        <v>779</v>
      </c>
      <c r="D61" s="490"/>
      <c r="F61" s="358"/>
      <c r="G61" s="358"/>
      <c r="H61" s="358"/>
      <c r="I61" s="358"/>
      <c r="J61" s="358"/>
      <c r="K61" s="358"/>
      <c r="L61" s="358"/>
    </row>
    <row r="62" spans="2:14" outlineLevel="1">
      <c r="B62" s="358">
        <v>7</v>
      </c>
      <c r="C62" s="495" t="s">
        <v>774</v>
      </c>
      <c r="D62" s="490"/>
      <c r="F62" s="358"/>
      <c r="G62" s="358"/>
      <c r="H62" s="358"/>
      <c r="I62" s="358"/>
      <c r="J62" s="358"/>
      <c r="K62" s="358"/>
      <c r="L62" s="358"/>
    </row>
    <row r="63" spans="2:14" outlineLevel="1">
      <c r="B63" s="358">
        <v>8</v>
      </c>
      <c r="C63" s="495" t="s">
        <v>780</v>
      </c>
      <c r="D63" s="490"/>
      <c r="F63" s="358"/>
      <c r="G63" s="358"/>
      <c r="H63" s="358"/>
      <c r="I63" s="358"/>
      <c r="J63" s="358"/>
      <c r="K63" s="358"/>
      <c r="L63" s="358"/>
    </row>
    <row r="64" spans="2:14" outlineLevel="1">
      <c r="B64" s="358">
        <v>9</v>
      </c>
      <c r="C64" s="489" t="s">
        <v>781</v>
      </c>
      <c r="D64" s="490"/>
      <c r="F64" s="358"/>
      <c r="G64" s="358"/>
      <c r="H64" s="358"/>
      <c r="I64" s="358"/>
      <c r="J64" s="358"/>
      <c r="K64" s="358"/>
      <c r="L64" s="358"/>
    </row>
    <row r="65" spans="2:12" outlineLevel="1">
      <c r="B65" s="358">
        <v>10</v>
      </c>
      <c r="C65" s="490" t="s">
        <v>782</v>
      </c>
      <c r="D65" s="358"/>
      <c r="F65" s="358"/>
      <c r="G65" s="358"/>
      <c r="H65" s="358"/>
      <c r="I65" s="358"/>
      <c r="J65" s="358"/>
      <c r="K65" s="358"/>
      <c r="L65" s="358"/>
    </row>
    <row r="66" spans="2:12" outlineLevel="1">
      <c r="B66" s="488" t="s">
        <v>783</v>
      </c>
      <c r="C66" s="489"/>
      <c r="F66" s="358"/>
      <c r="G66" s="358"/>
      <c r="H66" s="358"/>
      <c r="I66" s="358"/>
      <c r="J66" s="358"/>
      <c r="K66" s="358"/>
      <c r="L66" s="358"/>
    </row>
    <row r="67" spans="2:12" outlineLevel="1">
      <c r="B67" s="496" t="s">
        <v>6</v>
      </c>
      <c r="C67" s="497" t="s">
        <v>975</v>
      </c>
      <c r="D67" s="358"/>
      <c r="F67" s="358"/>
      <c r="G67" s="358"/>
      <c r="H67" s="358"/>
      <c r="I67" s="358"/>
      <c r="J67" s="358"/>
      <c r="K67" s="358"/>
      <c r="L67" s="358"/>
    </row>
    <row r="68" spans="2:12" outlineLevel="1">
      <c r="B68" s="496" t="s">
        <v>59</v>
      </c>
      <c r="C68" s="489" t="s">
        <v>785</v>
      </c>
      <c r="D68" s="358"/>
      <c r="F68" s="358"/>
      <c r="G68" s="358"/>
      <c r="H68" s="358"/>
      <c r="I68" s="358"/>
      <c r="J68" s="358"/>
      <c r="K68" s="358"/>
      <c r="L68" s="358"/>
    </row>
    <row r="69" spans="2:12" outlineLevel="1">
      <c r="B69" s="496" t="s">
        <v>16</v>
      </c>
      <c r="C69" s="489" t="s">
        <v>976</v>
      </c>
      <c r="F69" s="358"/>
      <c r="G69" s="358"/>
      <c r="H69" s="358"/>
      <c r="I69" s="358"/>
      <c r="J69" s="358"/>
      <c r="K69" s="358"/>
      <c r="L69" s="358"/>
    </row>
    <row r="70" spans="2:12" outlineLevel="1">
      <c r="B70" s="496" t="s">
        <v>20</v>
      </c>
      <c r="C70" s="489" t="s">
        <v>977</v>
      </c>
      <c r="G70" s="358"/>
      <c r="H70" s="358"/>
      <c r="I70" s="358"/>
      <c r="J70" s="358"/>
      <c r="K70" s="358"/>
      <c r="L70" s="358"/>
    </row>
    <row r="71" spans="2:12" outlineLevel="1">
      <c r="B71" s="496" t="s">
        <v>76</v>
      </c>
      <c r="C71" s="489" t="s">
        <v>786</v>
      </c>
      <c r="G71" s="358"/>
      <c r="H71" s="358"/>
      <c r="I71" s="358"/>
      <c r="J71" s="358"/>
      <c r="K71" s="358"/>
      <c r="L71" s="358"/>
    </row>
    <row r="72" spans="2:12" outlineLevel="1">
      <c r="B72" s="496" t="s">
        <v>25</v>
      </c>
      <c r="C72" s="489" t="s">
        <v>978</v>
      </c>
      <c r="G72" s="358"/>
      <c r="H72" s="358"/>
      <c r="I72" s="358"/>
      <c r="J72" s="358"/>
      <c r="K72" s="358"/>
      <c r="L72" s="358"/>
    </row>
    <row r="73" spans="2:12" outlineLevel="1">
      <c r="B73" s="496" t="s">
        <v>33</v>
      </c>
      <c r="C73" s="489" t="s">
        <v>979</v>
      </c>
      <c r="G73" s="358"/>
      <c r="H73" s="358"/>
      <c r="I73" s="358"/>
      <c r="J73" s="358"/>
      <c r="K73" s="358"/>
      <c r="L73" s="358"/>
    </row>
    <row r="74" spans="2:12" outlineLevel="1">
      <c r="B74" s="496" t="s">
        <v>51</v>
      </c>
      <c r="C74" s="489" t="s">
        <v>787</v>
      </c>
      <c r="G74" s="358"/>
      <c r="H74" s="358"/>
      <c r="I74" s="358"/>
      <c r="J74" s="358"/>
      <c r="K74" s="358"/>
      <c r="L74" s="358"/>
    </row>
    <row r="75" spans="2:12" outlineLevel="1">
      <c r="B75" s="496" t="s">
        <v>52</v>
      </c>
      <c r="C75" s="489" t="s">
        <v>980</v>
      </c>
      <c r="G75" s="358"/>
      <c r="H75" s="358"/>
      <c r="I75" s="358"/>
      <c r="J75" s="358"/>
      <c r="K75" s="358"/>
      <c r="L75" s="358"/>
    </row>
    <row r="76" spans="2:12" outlineLevel="1">
      <c r="B76" s="496" t="s">
        <v>55</v>
      </c>
      <c r="C76" s="498" t="s">
        <v>788</v>
      </c>
      <c r="G76" s="358"/>
      <c r="H76" s="358"/>
      <c r="I76" s="358"/>
      <c r="J76" s="358"/>
      <c r="K76" s="358"/>
      <c r="L76" s="358"/>
    </row>
    <row r="77" spans="2:12" outlineLevel="1">
      <c r="B77" s="496" t="s">
        <v>49</v>
      </c>
      <c r="C77" s="489" t="s">
        <v>789</v>
      </c>
      <c r="G77" s="358"/>
      <c r="H77" s="358"/>
      <c r="I77" s="358"/>
      <c r="J77" s="358"/>
      <c r="K77" s="358"/>
      <c r="L77" s="358"/>
    </row>
    <row r="78" spans="2:12" outlineLevel="1">
      <c r="E78" s="490"/>
      <c r="F78" s="490"/>
    </row>
    <row r="79" spans="2:12" outlineLevel="1"/>
    <row r="80" spans="2:12" outlineLevel="1">
      <c r="B80" s="496"/>
      <c r="C80" s="489"/>
      <c r="D80" s="489"/>
    </row>
    <row r="81" spans="1:44" outlineLevel="1">
      <c r="B81" s="638" t="str">
        <f>C86</f>
        <v>Steam boiler, Wood chips (Condensing)</v>
      </c>
    </row>
    <row r="84" spans="1:44">
      <c r="A84" s="360" t="s">
        <v>994</v>
      </c>
      <c r="B84" s="1207"/>
      <c r="C84" s="1143"/>
      <c r="D84" s="1143"/>
      <c r="E84" s="1143"/>
      <c r="F84" s="1143"/>
      <c r="G84" s="1143"/>
      <c r="H84" s="1143"/>
      <c r="I84" s="1143"/>
      <c r="J84" s="1143"/>
      <c r="K84" s="1143"/>
      <c r="L84" s="1143"/>
      <c r="M84" s="1143"/>
      <c r="N84" s="361"/>
      <c r="P84" s="1143"/>
      <c r="Q84" s="1143"/>
      <c r="R84" s="1143"/>
      <c r="S84" s="1143"/>
      <c r="T84" s="1143"/>
      <c r="U84" s="1143"/>
    </row>
    <row r="85" spans="1:44" ht="15"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5" customHeight="1" outlineLevel="1" thickBot="1">
      <c r="B86" s="362" t="s">
        <v>0</v>
      </c>
      <c r="C86" s="1204" t="s">
        <v>981</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29.4" outlineLevel="1" thickBot="1">
      <c r="B89" s="371" t="s">
        <v>651</v>
      </c>
      <c r="C89" s="372">
        <v>20</v>
      </c>
      <c r="D89" s="372">
        <v>20</v>
      </c>
      <c r="E89" s="372">
        <v>20</v>
      </c>
      <c r="F89" s="372">
        <v>20</v>
      </c>
      <c r="G89" s="372">
        <v>1</v>
      </c>
      <c r="H89" s="372">
        <v>50</v>
      </c>
      <c r="I89" s="372">
        <v>1</v>
      </c>
      <c r="J89" s="372">
        <v>50</v>
      </c>
      <c r="K89" s="372" t="s">
        <v>6</v>
      </c>
      <c r="L89" s="373" t="s">
        <v>725</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668">
        <v>116.18960947726835</v>
      </c>
      <c r="D90" s="668">
        <v>116.18960947726835</v>
      </c>
      <c r="E90" s="669">
        <v>116.18960947726835</v>
      </c>
      <c r="F90" s="668">
        <v>116.18960947726835</v>
      </c>
      <c r="G90" s="501">
        <v>88</v>
      </c>
      <c r="H90" s="501">
        <v>117</v>
      </c>
      <c r="I90" s="501">
        <v>88</v>
      </c>
      <c r="J90" s="501">
        <v>117</v>
      </c>
      <c r="K90" s="503" t="s">
        <v>982</v>
      </c>
      <c r="L90" s="504">
        <v>11</v>
      </c>
      <c r="M90" s="370"/>
      <c r="N90" s="370"/>
      <c r="P90" s="1199" t="str">
        <f>C86</f>
        <v>Steam boiler, Wood chips (Condensing)</v>
      </c>
      <c r="Q90" s="1154" t="s">
        <v>730</v>
      </c>
      <c r="R90" s="381" t="s">
        <v>731</v>
      </c>
      <c r="S90" s="382"/>
      <c r="T90" s="1137">
        <v>0</v>
      </c>
      <c r="U90" s="1151">
        <v>0</v>
      </c>
      <c r="V90" s="1157">
        <v>0</v>
      </c>
      <c r="W90" s="1151">
        <v>0</v>
      </c>
      <c r="X90" s="1157">
        <v>0</v>
      </c>
      <c r="Y90" s="1151">
        <v>0</v>
      </c>
      <c r="Z90" s="1157">
        <v>0</v>
      </c>
      <c r="AA90" s="1151">
        <v>0</v>
      </c>
      <c r="AB90" s="1157">
        <v>0</v>
      </c>
      <c r="AC90" s="1151">
        <v>0</v>
      </c>
      <c r="AE90" s="1148" t="str">
        <f>P90</f>
        <v>Steam boiler, Wood chips (Condensing)</v>
      </c>
      <c r="AF90" s="1154" t="s">
        <v>730</v>
      </c>
      <c r="AG90" s="381" t="s">
        <v>731</v>
      </c>
      <c r="AH90" s="382"/>
      <c r="AI90" s="1137">
        <v>0</v>
      </c>
      <c r="AJ90" s="1151">
        <v>0</v>
      </c>
      <c r="AK90" s="1157">
        <v>0</v>
      </c>
      <c r="AL90" s="1151">
        <v>0</v>
      </c>
      <c r="AM90" s="1157">
        <v>0</v>
      </c>
      <c r="AN90" s="1151">
        <v>0</v>
      </c>
      <c r="AO90" s="1157">
        <v>0</v>
      </c>
      <c r="AP90" s="1151">
        <v>0</v>
      </c>
      <c r="AQ90" s="1157">
        <v>0</v>
      </c>
      <c r="AR90" s="1151">
        <v>0</v>
      </c>
    </row>
    <row r="91" spans="1:44" outlineLevel="1">
      <c r="B91" s="383" t="s">
        <v>732</v>
      </c>
      <c r="C91" s="577">
        <v>116.18960947726835</v>
      </c>
      <c r="D91" s="577">
        <v>116.18960947726835</v>
      </c>
      <c r="E91" s="577">
        <v>116.18960947726835</v>
      </c>
      <c r="F91" s="577">
        <v>116.18960947726835</v>
      </c>
      <c r="G91" s="505">
        <v>88</v>
      </c>
      <c r="H91" s="505">
        <v>117</v>
      </c>
      <c r="I91" s="505">
        <v>88</v>
      </c>
      <c r="J91" s="505">
        <v>117</v>
      </c>
      <c r="K91" s="372" t="s">
        <v>982</v>
      </c>
      <c r="L91" s="373">
        <v>11</v>
      </c>
      <c r="M91" s="370"/>
      <c r="N91" s="370"/>
      <c r="O91" s="71"/>
      <c r="P91" s="1195"/>
      <c r="Q91" s="1155"/>
      <c r="R91" s="388" t="s">
        <v>733</v>
      </c>
      <c r="S91" s="389"/>
      <c r="T91" s="1140"/>
      <c r="U91" s="1152"/>
      <c r="V91" s="1158"/>
      <c r="W91" s="1152"/>
      <c r="X91" s="1158"/>
      <c r="Y91" s="1152"/>
      <c r="Z91" s="1158"/>
      <c r="AA91" s="1152"/>
      <c r="AB91" s="1158"/>
      <c r="AC91" s="1152"/>
      <c r="AE91" s="1195"/>
      <c r="AF91" s="1155"/>
      <c r="AG91" s="388" t="s">
        <v>733</v>
      </c>
      <c r="AH91" s="389"/>
      <c r="AI91" s="1140"/>
      <c r="AJ91" s="1152"/>
      <c r="AK91" s="1158"/>
      <c r="AL91" s="1152"/>
      <c r="AM91" s="1158"/>
      <c r="AN91" s="1152"/>
      <c r="AO91" s="1158"/>
      <c r="AP91" s="1152"/>
      <c r="AQ91" s="1158"/>
      <c r="AR91" s="1152"/>
    </row>
    <row r="92" spans="1:44" ht="15" outlineLevel="1" thickBot="1">
      <c r="B92" s="500" t="s">
        <v>734</v>
      </c>
      <c r="C92" s="506">
        <v>2.2999999999999998</v>
      </c>
      <c r="D92" s="507">
        <v>2.2999999999999998</v>
      </c>
      <c r="E92" s="507">
        <v>2.2999999999999998</v>
      </c>
      <c r="F92" s="508">
        <v>2.2999999999999998</v>
      </c>
      <c r="G92" s="507">
        <v>2.2000000000000002</v>
      </c>
      <c r="H92" s="507">
        <v>2.5</v>
      </c>
      <c r="I92" s="507">
        <v>1.8</v>
      </c>
      <c r="J92" s="507">
        <v>2.5</v>
      </c>
      <c r="K92" s="503" t="s">
        <v>59</v>
      </c>
      <c r="L92" s="504">
        <v>3</v>
      </c>
      <c r="M92" s="370"/>
      <c r="N92" s="370"/>
      <c r="O92" s="71"/>
      <c r="P92" s="1195"/>
      <c r="Q92" s="1156"/>
      <c r="R92" s="393" t="s">
        <v>735</v>
      </c>
      <c r="S92" s="394"/>
      <c r="T92" s="1141"/>
      <c r="U92" s="1153"/>
      <c r="V92" s="1159"/>
      <c r="W92" s="1153"/>
      <c r="X92" s="1159"/>
      <c r="Y92" s="1153"/>
      <c r="Z92" s="1159"/>
      <c r="AA92" s="1153"/>
      <c r="AB92" s="1159"/>
      <c r="AC92" s="1153"/>
      <c r="AE92" s="1195"/>
      <c r="AF92" s="1156"/>
      <c r="AG92" s="393" t="s">
        <v>735</v>
      </c>
      <c r="AH92" s="394"/>
      <c r="AI92" s="1141"/>
      <c r="AJ92" s="1153"/>
      <c r="AK92" s="1159"/>
      <c r="AL92" s="1153"/>
      <c r="AM92" s="1159"/>
      <c r="AN92" s="1153"/>
      <c r="AO92" s="1159"/>
      <c r="AP92" s="1153"/>
      <c r="AQ92" s="1159"/>
      <c r="AR92" s="1153"/>
    </row>
    <row r="93" spans="1:44" ht="15" customHeight="1" outlineLevel="1">
      <c r="B93" s="500" t="s">
        <v>657</v>
      </c>
      <c r="C93" s="687">
        <v>3</v>
      </c>
      <c r="D93" s="687">
        <v>3</v>
      </c>
      <c r="E93" s="687">
        <v>3</v>
      </c>
      <c r="F93" s="687">
        <v>3</v>
      </c>
      <c r="G93" s="687">
        <v>3</v>
      </c>
      <c r="H93" s="687">
        <v>3</v>
      </c>
      <c r="I93" s="687">
        <v>3</v>
      </c>
      <c r="J93" s="687">
        <v>3</v>
      </c>
      <c r="K93" s="503" t="s">
        <v>16</v>
      </c>
      <c r="L93" s="504">
        <v>3</v>
      </c>
      <c r="M93" s="370"/>
      <c r="N93" s="370"/>
      <c r="O93" s="71"/>
      <c r="P93" s="1195"/>
      <c r="Q93" s="1154" t="s">
        <v>736</v>
      </c>
      <c r="R93" s="395" t="s">
        <v>737</v>
      </c>
      <c r="S93" s="396" t="s">
        <v>738</v>
      </c>
      <c r="T93" s="1137">
        <v>0</v>
      </c>
      <c r="U93" s="1137">
        <v>0.21</v>
      </c>
      <c r="V93" s="1137">
        <v>0</v>
      </c>
      <c r="W93" s="1137">
        <v>0</v>
      </c>
      <c r="X93" s="1137">
        <v>0</v>
      </c>
      <c r="Y93" s="1137">
        <v>0</v>
      </c>
      <c r="Z93" s="1137">
        <v>0</v>
      </c>
      <c r="AA93" s="1137">
        <v>0.09</v>
      </c>
      <c r="AB93" s="1137">
        <v>0</v>
      </c>
      <c r="AC93" s="1151">
        <v>0</v>
      </c>
      <c r="AE93" s="1195"/>
      <c r="AF93" s="1154" t="s">
        <v>736</v>
      </c>
      <c r="AG93" s="395" t="s">
        <v>737</v>
      </c>
      <c r="AH93" s="396" t="s">
        <v>738</v>
      </c>
      <c r="AI93" s="1137">
        <v>0</v>
      </c>
      <c r="AJ93" s="1137">
        <v>0.21</v>
      </c>
      <c r="AK93" s="1137">
        <v>0</v>
      </c>
      <c r="AL93" s="1137">
        <v>0</v>
      </c>
      <c r="AM93" s="1137">
        <v>0</v>
      </c>
      <c r="AN93" s="1137">
        <v>0</v>
      </c>
      <c r="AO93" s="1137">
        <v>0</v>
      </c>
      <c r="AP93" s="1137">
        <v>0.09</v>
      </c>
      <c r="AQ93" s="1137">
        <v>0</v>
      </c>
      <c r="AR93" s="1151">
        <v>0</v>
      </c>
    </row>
    <row r="94" spans="1:44" outlineLevel="1">
      <c r="B94" s="500" t="s">
        <v>658</v>
      </c>
      <c r="C94" s="506">
        <v>3</v>
      </c>
      <c r="D94" s="506">
        <v>3</v>
      </c>
      <c r="E94" s="506">
        <v>3</v>
      </c>
      <c r="F94" s="506">
        <v>3</v>
      </c>
      <c r="G94" s="506">
        <v>2.6</v>
      </c>
      <c r="H94" s="506">
        <v>3.5</v>
      </c>
      <c r="I94" s="506">
        <v>2.2999999999999998</v>
      </c>
      <c r="J94" s="506">
        <v>3.8</v>
      </c>
      <c r="K94" s="503" t="s">
        <v>16</v>
      </c>
      <c r="L94" s="504">
        <v>3</v>
      </c>
      <c r="M94" s="367"/>
      <c r="N94" s="367"/>
      <c r="O94" s="71"/>
      <c r="P94" s="1195"/>
      <c r="Q94" s="1155"/>
      <c r="R94" s="395" t="s">
        <v>739</v>
      </c>
      <c r="S94" s="396" t="s">
        <v>738</v>
      </c>
      <c r="T94" s="1191"/>
      <c r="U94" s="1191"/>
      <c r="V94" s="1191"/>
      <c r="W94" s="1191"/>
      <c r="X94" s="1191"/>
      <c r="Y94" s="1191"/>
      <c r="Z94" s="1191"/>
      <c r="AA94" s="1191"/>
      <c r="AB94" s="1191"/>
      <c r="AC94" s="1193"/>
      <c r="AE94" s="1195"/>
      <c r="AF94" s="1155"/>
      <c r="AG94" s="395" t="s">
        <v>739</v>
      </c>
      <c r="AH94" s="396" t="s">
        <v>738</v>
      </c>
      <c r="AI94" s="1191"/>
      <c r="AJ94" s="1191"/>
      <c r="AK94" s="1191"/>
      <c r="AL94" s="1191"/>
      <c r="AM94" s="1191"/>
      <c r="AN94" s="1191"/>
      <c r="AO94" s="1191"/>
      <c r="AP94" s="1191"/>
      <c r="AQ94" s="1191"/>
      <c r="AR94" s="1193"/>
    </row>
    <row r="95" spans="1:44" outlineLevel="1">
      <c r="B95" s="383" t="s">
        <v>11</v>
      </c>
      <c r="C95" s="397">
        <v>25</v>
      </c>
      <c r="D95" s="397">
        <v>25</v>
      </c>
      <c r="E95" s="397">
        <v>25</v>
      </c>
      <c r="F95" s="397">
        <v>25</v>
      </c>
      <c r="G95" s="399">
        <v>20</v>
      </c>
      <c r="H95" s="399">
        <v>35</v>
      </c>
      <c r="I95" s="399">
        <v>20</v>
      </c>
      <c r="J95" s="399">
        <v>35</v>
      </c>
      <c r="K95" s="372"/>
      <c r="L95" s="373" t="s">
        <v>740</v>
      </c>
      <c r="M95" s="363"/>
      <c r="N95" s="363"/>
      <c r="P95" s="1195"/>
      <c r="Q95" s="1155"/>
      <c r="R95" s="395" t="s">
        <v>741</v>
      </c>
      <c r="S95" s="396" t="s">
        <v>738</v>
      </c>
      <c r="T95" s="1191"/>
      <c r="U95" s="1191"/>
      <c r="V95" s="1191"/>
      <c r="W95" s="1191"/>
      <c r="X95" s="1191"/>
      <c r="Y95" s="1191"/>
      <c r="Z95" s="1191"/>
      <c r="AA95" s="1191"/>
      <c r="AB95" s="1191"/>
      <c r="AC95" s="1193"/>
      <c r="AE95" s="1195"/>
      <c r="AF95" s="1155"/>
      <c r="AG95" s="395" t="s">
        <v>741</v>
      </c>
      <c r="AH95" s="629" t="s">
        <v>738</v>
      </c>
      <c r="AI95" s="1191"/>
      <c r="AJ95" s="1191"/>
      <c r="AK95" s="1191"/>
      <c r="AL95" s="1191"/>
      <c r="AM95" s="1191"/>
      <c r="AN95" s="1191"/>
      <c r="AO95" s="1191"/>
      <c r="AP95" s="1191"/>
      <c r="AQ95" s="1191"/>
      <c r="AR95" s="1193"/>
    </row>
    <row r="96" spans="1:44" ht="15" outlineLevel="1" thickBot="1">
      <c r="B96" s="500" t="s">
        <v>273</v>
      </c>
      <c r="C96" s="506">
        <v>1</v>
      </c>
      <c r="D96" s="506">
        <v>1</v>
      </c>
      <c r="E96" s="506">
        <v>1</v>
      </c>
      <c r="F96" s="506">
        <v>1</v>
      </c>
      <c r="G96" s="506">
        <v>0.5</v>
      </c>
      <c r="H96" s="506">
        <v>1.5</v>
      </c>
      <c r="I96" s="506">
        <v>0.5</v>
      </c>
      <c r="J96" s="506">
        <v>1.5</v>
      </c>
      <c r="K96" s="372"/>
      <c r="L96" s="400"/>
      <c r="M96" s="363"/>
      <c r="N96" s="363"/>
      <c r="P96" s="1195"/>
      <c r="Q96" s="1155"/>
      <c r="R96" s="395" t="s">
        <v>742</v>
      </c>
      <c r="S96" s="396" t="s">
        <v>738</v>
      </c>
      <c r="T96" s="1191"/>
      <c r="U96" s="1191"/>
      <c r="V96" s="1191"/>
      <c r="W96" s="1191"/>
      <c r="X96" s="1191"/>
      <c r="Y96" s="1191"/>
      <c r="Z96" s="1191"/>
      <c r="AA96" s="1191"/>
      <c r="AB96" s="1191"/>
      <c r="AC96" s="1193"/>
      <c r="AE96" s="1195"/>
      <c r="AF96" s="1155"/>
      <c r="AG96" s="395" t="s">
        <v>742</v>
      </c>
      <c r="AH96" s="396" t="s">
        <v>738</v>
      </c>
      <c r="AI96" s="1191"/>
      <c r="AJ96" s="1191"/>
      <c r="AK96" s="1191"/>
      <c r="AL96" s="1191"/>
      <c r="AM96" s="1191"/>
      <c r="AN96" s="1191"/>
      <c r="AO96" s="1191"/>
      <c r="AP96" s="1191"/>
      <c r="AQ96" s="1191"/>
      <c r="AR96" s="1193"/>
    </row>
    <row r="97" spans="1:44" ht="15" outlineLevel="1" thickBot="1">
      <c r="B97" s="401" t="s">
        <v>743</v>
      </c>
      <c r="C97" s="402"/>
      <c r="D97" s="403"/>
      <c r="E97" s="404"/>
      <c r="F97" s="405"/>
      <c r="G97" s="406"/>
      <c r="H97" s="406"/>
      <c r="I97" s="406"/>
      <c r="J97" s="406"/>
      <c r="K97" s="407"/>
      <c r="L97" s="408"/>
      <c r="M97" s="363"/>
      <c r="N97" s="363"/>
      <c r="P97" s="1195"/>
      <c r="Q97" s="1156"/>
      <c r="R97" s="409" t="s">
        <v>863</v>
      </c>
      <c r="S97" s="410" t="s">
        <v>738</v>
      </c>
      <c r="T97" s="1192"/>
      <c r="U97" s="1192"/>
      <c r="V97" s="1192"/>
      <c r="W97" s="1192"/>
      <c r="X97" s="1192"/>
      <c r="Y97" s="1192"/>
      <c r="Z97" s="1192"/>
      <c r="AA97" s="1192"/>
      <c r="AB97" s="1192"/>
      <c r="AC97" s="1194"/>
      <c r="AE97" s="1195"/>
      <c r="AF97" s="1156"/>
      <c r="AG97" s="409" t="s">
        <v>863</v>
      </c>
      <c r="AH97" s="410" t="s">
        <v>738</v>
      </c>
      <c r="AI97" s="1192"/>
      <c r="AJ97" s="1192"/>
      <c r="AK97" s="1192"/>
      <c r="AL97" s="1192"/>
      <c r="AM97" s="1192"/>
      <c r="AN97" s="1192"/>
      <c r="AO97" s="1192"/>
      <c r="AP97" s="1192"/>
      <c r="AQ97" s="1192"/>
      <c r="AR97" s="1194"/>
    </row>
    <row r="98" spans="1:44" ht="29.4" outlineLevel="1" thickBot="1">
      <c r="B98" s="500" t="s">
        <v>663</v>
      </c>
      <c r="C98" s="506">
        <v>20</v>
      </c>
      <c r="D98" s="506">
        <v>20</v>
      </c>
      <c r="E98" s="506">
        <v>20</v>
      </c>
      <c r="F98" s="506">
        <v>20</v>
      </c>
      <c r="G98" s="507"/>
      <c r="H98" s="507"/>
      <c r="I98" s="507"/>
      <c r="J98" s="507"/>
      <c r="K98" s="503"/>
      <c r="L98" s="504">
        <v>3</v>
      </c>
      <c r="M98" s="363"/>
      <c r="N98" s="363"/>
      <c r="P98" s="1196"/>
      <c r="Q98" s="411" t="s">
        <v>745</v>
      </c>
      <c r="R98" s="412" t="s">
        <v>746</v>
      </c>
      <c r="S98" s="630" t="s">
        <v>738</v>
      </c>
      <c r="T98" s="416">
        <v>1</v>
      </c>
      <c r="U98" s="415">
        <v>1</v>
      </c>
      <c r="V98" s="416">
        <v>0</v>
      </c>
      <c r="W98" s="415">
        <v>0</v>
      </c>
      <c r="X98" s="416">
        <v>0</v>
      </c>
      <c r="Y98" s="415">
        <v>0</v>
      </c>
      <c r="Z98" s="416">
        <v>1</v>
      </c>
      <c r="AA98" s="415">
        <v>1</v>
      </c>
      <c r="AB98" s="416">
        <v>0</v>
      </c>
      <c r="AC98" s="417">
        <v>0</v>
      </c>
      <c r="AE98" s="1196"/>
      <c r="AF98" s="411" t="s">
        <v>745</v>
      </c>
      <c r="AG98" s="631" t="s">
        <v>746</v>
      </c>
      <c r="AH98" s="632" t="s">
        <v>738</v>
      </c>
      <c r="AI98" s="416">
        <v>1</v>
      </c>
      <c r="AJ98" s="415">
        <v>1</v>
      </c>
      <c r="AK98" s="416">
        <v>0</v>
      </c>
      <c r="AL98" s="415">
        <v>0</v>
      </c>
      <c r="AM98" s="416">
        <v>0</v>
      </c>
      <c r="AN98" s="415">
        <v>0</v>
      </c>
      <c r="AO98" s="416">
        <v>1</v>
      </c>
      <c r="AP98" s="415">
        <v>1</v>
      </c>
      <c r="AQ98" s="416">
        <v>0</v>
      </c>
      <c r="AR98" s="417">
        <v>0</v>
      </c>
    </row>
    <row r="99" spans="1:44" outlineLevel="1">
      <c r="B99" s="500" t="s">
        <v>664</v>
      </c>
      <c r="C99" s="506">
        <v>0.3</v>
      </c>
      <c r="D99" s="506">
        <v>0.3</v>
      </c>
      <c r="E99" s="506">
        <v>0.3</v>
      </c>
      <c r="F99" s="506">
        <v>0.3</v>
      </c>
      <c r="G99" s="509"/>
      <c r="H99" s="509"/>
      <c r="I99" s="509"/>
      <c r="J99" s="509"/>
      <c r="K99" s="510"/>
      <c r="L99" s="504">
        <v>3</v>
      </c>
      <c r="M99" s="363"/>
      <c r="N99" s="363"/>
    </row>
    <row r="100" spans="1:44" outlineLevel="1">
      <c r="B100" s="500" t="s">
        <v>666</v>
      </c>
      <c r="C100" s="506">
        <v>0.5</v>
      </c>
      <c r="D100" s="506">
        <v>0.5</v>
      </c>
      <c r="E100" s="506">
        <v>0.5</v>
      </c>
      <c r="F100" s="506">
        <v>0.5</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outlineLevel="1">
      <c r="B102" s="383" t="s">
        <v>843</v>
      </c>
      <c r="C102" s="397">
        <v>11</v>
      </c>
      <c r="D102" s="397">
        <v>11</v>
      </c>
      <c r="E102" s="397">
        <v>11</v>
      </c>
      <c r="F102" s="397">
        <v>11</v>
      </c>
      <c r="G102" s="422"/>
      <c r="H102" s="425"/>
      <c r="I102" s="425"/>
      <c r="J102" s="425"/>
      <c r="K102" s="426" t="s">
        <v>20</v>
      </c>
      <c r="L102" s="427" t="s">
        <v>748</v>
      </c>
      <c r="M102" s="428"/>
      <c r="N102" s="428"/>
    </row>
    <row r="103" spans="1:44" outlineLevel="1">
      <c r="B103" s="383" t="s">
        <v>749</v>
      </c>
      <c r="C103" s="397">
        <v>10</v>
      </c>
      <c r="D103" s="397">
        <v>10</v>
      </c>
      <c r="E103" s="397">
        <v>10</v>
      </c>
      <c r="F103" s="397">
        <v>10</v>
      </c>
      <c r="G103" s="425"/>
      <c r="H103" s="425"/>
      <c r="I103" s="425"/>
      <c r="J103" s="425"/>
      <c r="K103" s="423"/>
      <c r="L103" s="427">
        <v>9</v>
      </c>
      <c r="M103" s="428"/>
      <c r="N103" s="428"/>
    </row>
    <row r="104" spans="1:44" outlineLevel="1">
      <c r="B104" s="383" t="s">
        <v>844</v>
      </c>
      <c r="C104" s="397">
        <v>63</v>
      </c>
      <c r="D104" s="397">
        <v>49</v>
      </c>
      <c r="E104" s="397">
        <v>46</v>
      </c>
      <c r="F104" s="397">
        <v>41</v>
      </c>
      <c r="G104" s="425"/>
      <c r="H104" s="425"/>
      <c r="I104" s="425"/>
      <c r="J104" s="425"/>
      <c r="K104" s="423"/>
      <c r="L104" s="427" t="s">
        <v>748</v>
      </c>
      <c r="M104" s="428"/>
      <c r="N104" s="428"/>
    </row>
    <row r="105" spans="1:44" outlineLevel="1">
      <c r="B105" s="383" t="s">
        <v>366</v>
      </c>
      <c r="C105" s="397">
        <v>11</v>
      </c>
      <c r="D105" s="397">
        <v>8</v>
      </c>
      <c r="E105" s="397">
        <v>6</v>
      </c>
      <c r="F105" s="397">
        <v>4</v>
      </c>
      <c r="G105" s="425"/>
      <c r="H105" s="425"/>
      <c r="I105" s="425"/>
      <c r="J105" s="425"/>
      <c r="K105" s="423"/>
      <c r="L105" s="427" t="s">
        <v>748</v>
      </c>
      <c r="M105" s="428"/>
      <c r="N105" s="428"/>
    </row>
    <row r="106" spans="1:44" ht="15" outlineLevel="1" thickBot="1">
      <c r="B106" s="429" t="s">
        <v>367</v>
      </c>
      <c r="C106" s="430">
        <v>3</v>
      </c>
      <c r="D106" s="430">
        <v>3</v>
      </c>
      <c r="E106" s="430">
        <v>1</v>
      </c>
      <c r="F106" s="430">
        <v>1</v>
      </c>
      <c r="G106" s="425"/>
      <c r="H106" s="425"/>
      <c r="I106" s="425"/>
      <c r="J106" s="425"/>
      <c r="K106" s="423"/>
      <c r="L106" s="427" t="s">
        <v>748</v>
      </c>
      <c r="M106" s="428"/>
      <c r="N106" s="428"/>
    </row>
    <row r="107" spans="1:44" ht="15" outlineLevel="1" thickBot="1">
      <c r="B107" s="431" t="s">
        <v>674</v>
      </c>
      <c r="C107" s="432"/>
      <c r="D107" s="403"/>
      <c r="E107" s="403"/>
      <c r="F107" s="433"/>
      <c r="G107" s="434"/>
      <c r="H107" s="406"/>
      <c r="I107" s="406"/>
      <c r="J107" s="406"/>
      <c r="K107" s="407"/>
      <c r="L107" s="408"/>
      <c r="M107" s="428"/>
      <c r="N107" s="428"/>
    </row>
    <row r="108" spans="1:44" ht="14.55" customHeight="1" outlineLevel="1">
      <c r="A108" s="435"/>
      <c r="B108" s="436" t="s">
        <v>910</v>
      </c>
      <c r="C108" s="551">
        <v>0.68</v>
      </c>
      <c r="D108" s="647">
        <v>0.65</v>
      </c>
      <c r="E108" s="647">
        <v>0.62</v>
      </c>
      <c r="F108" s="648">
        <v>0.59</v>
      </c>
      <c r="G108" s="425"/>
      <c r="H108" s="425"/>
      <c r="I108" s="425"/>
      <c r="J108" s="425"/>
      <c r="K108" s="426" t="s">
        <v>983</v>
      </c>
      <c r="L108" s="440" t="s">
        <v>753</v>
      </c>
      <c r="M108" s="420"/>
      <c r="N108" s="420"/>
    </row>
    <row r="109" spans="1:44" outlineLevel="1">
      <c r="B109" s="441" t="s">
        <v>839</v>
      </c>
      <c r="C109" s="442">
        <v>65</v>
      </c>
      <c r="D109" s="442">
        <v>65</v>
      </c>
      <c r="E109" s="442">
        <v>65</v>
      </c>
      <c r="F109" s="442">
        <v>65</v>
      </c>
      <c r="G109" s="425"/>
      <c r="H109" s="425"/>
      <c r="I109" s="425"/>
      <c r="J109" s="425"/>
      <c r="K109" s="444"/>
      <c r="L109" s="373">
        <v>3</v>
      </c>
      <c r="M109" s="71"/>
      <c r="N109" s="420"/>
    </row>
    <row r="110" spans="1:44" outlineLevel="1">
      <c r="B110" s="441" t="s">
        <v>840</v>
      </c>
      <c r="C110" s="442">
        <f>100-C109</f>
        <v>35</v>
      </c>
      <c r="D110" s="442">
        <f>100-D109</f>
        <v>35</v>
      </c>
      <c r="E110" s="442">
        <f>100-E109</f>
        <v>35</v>
      </c>
      <c r="F110" s="442">
        <f>100-F109</f>
        <v>35</v>
      </c>
      <c r="G110" s="425"/>
      <c r="H110" s="425"/>
      <c r="I110" s="425"/>
      <c r="J110" s="425"/>
      <c r="K110" s="444"/>
      <c r="L110" s="373">
        <v>3</v>
      </c>
      <c r="M110" s="420"/>
      <c r="N110" s="420"/>
    </row>
    <row r="111" spans="1:44" outlineLevel="1">
      <c r="B111" s="383" t="s">
        <v>841</v>
      </c>
      <c r="C111" s="445">
        <v>37000</v>
      </c>
      <c r="D111" s="446">
        <v>35900</v>
      </c>
      <c r="E111" s="446">
        <f>(F111+D111)/2</f>
        <v>34800</v>
      </c>
      <c r="F111" s="447">
        <v>33700</v>
      </c>
      <c r="G111" s="425"/>
      <c r="H111" s="425"/>
      <c r="I111" s="425"/>
      <c r="J111" s="425"/>
      <c r="K111" s="448" t="s">
        <v>51</v>
      </c>
      <c r="L111" s="373">
        <v>3</v>
      </c>
      <c r="M111" s="420"/>
      <c r="N111" s="420"/>
    </row>
    <row r="112" spans="1:44" outlineLevel="1">
      <c r="B112" s="383" t="s">
        <v>679</v>
      </c>
      <c r="C112" s="605">
        <f>C113+C114</f>
        <v>2.7789999999999999</v>
      </c>
      <c r="D112" s="605">
        <f t="shared" ref="D112:F112" si="5">D113+D114</f>
        <v>2.8250000000000002</v>
      </c>
      <c r="E112" s="605">
        <f t="shared" si="5"/>
        <v>2.8479999999999999</v>
      </c>
      <c r="F112" s="605">
        <f t="shared" si="5"/>
        <v>2.8479999999999999</v>
      </c>
      <c r="G112" s="425"/>
      <c r="H112" s="425"/>
      <c r="I112" s="425"/>
      <c r="J112" s="425"/>
      <c r="K112" s="448"/>
      <c r="L112" s="373">
        <v>3</v>
      </c>
      <c r="M112" s="450"/>
      <c r="N112" s="361"/>
      <c r="P112" s="1142">
        <f>C112</f>
        <v>2.7789999999999999</v>
      </c>
      <c r="Q112" s="1143"/>
      <c r="R112" s="1143"/>
      <c r="S112" s="1143"/>
      <c r="T112" s="1143"/>
      <c r="U112" s="1144"/>
    </row>
    <row r="113" spans="2:30" ht="15" outlineLevel="1" thickBot="1">
      <c r="B113" s="500" t="s">
        <v>758</v>
      </c>
      <c r="C113" s="514">
        <f>C92/100*73</f>
        <v>1.679</v>
      </c>
      <c r="D113" s="514">
        <f>D92/100*75</f>
        <v>1.7249999999999999</v>
      </c>
      <c r="E113" s="514">
        <f>E92/100*76</f>
        <v>1.748</v>
      </c>
      <c r="F113" s="514">
        <f>F92/100*76</f>
        <v>1.748</v>
      </c>
      <c r="G113" s="515"/>
      <c r="H113" s="515"/>
      <c r="I113" s="515"/>
      <c r="J113" s="515"/>
      <c r="K113" s="503" t="s">
        <v>52</v>
      </c>
      <c r="L113" s="504">
        <v>3</v>
      </c>
      <c r="M113" s="450"/>
      <c r="N113" s="361"/>
      <c r="P113" s="1134">
        <f>C113</f>
        <v>1.679</v>
      </c>
      <c r="Q113" s="1135"/>
      <c r="R113" s="1135"/>
      <c r="S113" s="1135"/>
      <c r="T113" s="1135"/>
      <c r="U113" s="1136"/>
    </row>
    <row r="114" spans="2:30" outlineLevel="1">
      <c r="B114" s="500" t="s">
        <v>759</v>
      </c>
      <c r="C114" s="516">
        <v>1.1000000000000001</v>
      </c>
      <c r="D114" s="516">
        <v>1.1000000000000001</v>
      </c>
      <c r="E114" s="516">
        <v>1.1000000000000001</v>
      </c>
      <c r="F114" s="516">
        <v>1.1000000000000001</v>
      </c>
      <c r="G114" s="515"/>
      <c r="H114" s="515"/>
      <c r="I114" s="515"/>
      <c r="J114" s="515"/>
      <c r="K114" s="517"/>
      <c r="L114" s="504">
        <v>3</v>
      </c>
      <c r="M114" s="363"/>
      <c r="N114" s="363"/>
      <c r="P114" s="53" t="s">
        <v>357</v>
      </c>
    </row>
    <row r="115" spans="2:30" ht="27.6" outlineLevel="1">
      <c r="B115" s="441"/>
      <c r="C115" s="681"/>
      <c r="D115" s="681"/>
      <c r="E115" s="681"/>
      <c r="F115" s="681"/>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43.8"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523" t="s">
        <v>36</v>
      </c>
      <c r="D118" s="523" t="s">
        <v>36</v>
      </c>
      <c r="E118" s="523" t="s">
        <v>36</v>
      </c>
      <c r="F118" s="523" t="s">
        <v>36</v>
      </c>
      <c r="G118" s="524"/>
      <c r="H118" s="524"/>
      <c r="I118" s="524"/>
      <c r="J118" s="524"/>
      <c r="K118" s="524" t="s">
        <v>55</v>
      </c>
      <c r="L118" s="525"/>
      <c r="M118" s="363"/>
      <c r="N118" s="363"/>
      <c r="O118" s="465">
        <f>C91</f>
        <v>116.18960947726835</v>
      </c>
      <c r="P118" s="466">
        <f>C87</f>
        <v>2020</v>
      </c>
      <c r="Q118" s="58">
        <f>P118</f>
        <v>2020</v>
      </c>
      <c r="R118" s="466">
        <f>O118/100</f>
        <v>1.1618960947726835</v>
      </c>
      <c r="S118" s="58"/>
      <c r="T118" s="466">
        <f>C95</f>
        <v>25</v>
      </c>
      <c r="U118" s="467">
        <f>C125</f>
        <v>5066.0000000000009</v>
      </c>
      <c r="V118" s="467">
        <f>C127</f>
        <v>275.64999999999998</v>
      </c>
      <c r="W118" s="467">
        <f>C128</f>
        <v>5.7509861111111107</v>
      </c>
      <c r="X118" s="58"/>
      <c r="Y118" s="58"/>
      <c r="Z118" s="466">
        <f>C102</f>
        <v>11</v>
      </c>
      <c r="AA118" s="468">
        <f>C104</f>
        <v>63</v>
      </c>
      <c r="AB118" s="468">
        <f>C105</f>
        <v>11</v>
      </c>
      <c r="AC118" s="468">
        <f>C106</f>
        <v>3</v>
      </c>
      <c r="AD118" s="468">
        <f>C103</f>
        <v>10</v>
      </c>
    </row>
    <row r="119" spans="2:30" outlineLevel="1">
      <c r="B119" s="500" t="s">
        <v>763</v>
      </c>
      <c r="C119" s="526" t="s">
        <v>36</v>
      </c>
      <c r="D119" s="527" t="s">
        <v>36</v>
      </c>
      <c r="E119" s="527" t="s">
        <v>36</v>
      </c>
      <c r="F119" s="528" t="s">
        <v>36</v>
      </c>
      <c r="G119" s="528"/>
      <c r="H119" s="528"/>
      <c r="I119" s="528"/>
      <c r="J119" s="528"/>
      <c r="K119" s="529" t="s">
        <v>55</v>
      </c>
      <c r="L119" s="525"/>
      <c r="M119" s="363"/>
      <c r="N119" s="363"/>
      <c r="O119" s="465">
        <f>D91</f>
        <v>116.18960947726835</v>
      </c>
      <c r="P119" s="466">
        <f>D87</f>
        <v>2030</v>
      </c>
      <c r="Q119" s="58"/>
      <c r="R119" s="466">
        <f>O119/100</f>
        <v>1.1618960947726835</v>
      </c>
      <c r="S119" s="58"/>
      <c r="T119" s="466">
        <f>D95</f>
        <v>25</v>
      </c>
      <c r="U119" s="467">
        <f>D125</f>
        <v>4842.5</v>
      </c>
      <c r="V119" s="467">
        <f>D127</f>
        <v>267.45499999999998</v>
      </c>
      <c r="W119" s="467">
        <f>D128</f>
        <v>5.8461805555555557</v>
      </c>
      <c r="X119" s="58"/>
      <c r="Y119" s="58"/>
      <c r="Z119" s="466">
        <f>D102</f>
        <v>11</v>
      </c>
      <c r="AA119" s="468">
        <f>D104</f>
        <v>49</v>
      </c>
      <c r="AB119" s="468">
        <f>D105</f>
        <v>8</v>
      </c>
      <c r="AC119" s="468">
        <f>D106</f>
        <v>3</v>
      </c>
      <c r="AD119" s="468">
        <f>D103</f>
        <v>10</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116.18960947726835</v>
      </c>
      <c r="P120" s="466">
        <f>E87</f>
        <v>2040</v>
      </c>
      <c r="Q120" s="58"/>
      <c r="R120" s="466">
        <f>O120/100</f>
        <v>1.1618960947726835</v>
      </c>
      <c r="S120" s="58"/>
      <c r="T120" s="466">
        <f>E95</f>
        <v>25</v>
      </c>
      <c r="U120" s="467">
        <f>E125</f>
        <v>4619</v>
      </c>
      <c r="V120" s="467">
        <f>E127</f>
        <v>259.26</v>
      </c>
      <c r="W120" s="467">
        <f>E128</f>
        <v>5.8937777777777782</v>
      </c>
      <c r="X120" s="58"/>
      <c r="Y120" s="58"/>
      <c r="Z120" s="466">
        <f>E102</f>
        <v>11</v>
      </c>
      <c r="AA120" s="468">
        <f>E104</f>
        <v>46</v>
      </c>
      <c r="AB120" s="468">
        <f>E105</f>
        <v>6</v>
      </c>
      <c r="AC120" s="468">
        <f>E106</f>
        <v>1</v>
      </c>
      <c r="AD120" s="468">
        <f>E103</f>
        <v>10</v>
      </c>
    </row>
    <row r="121" spans="2:30" outlineLevel="1">
      <c r="B121" s="500" t="s">
        <v>765</v>
      </c>
      <c r="C121" s="685">
        <v>90</v>
      </c>
      <c r="D121" s="530">
        <v>90</v>
      </c>
      <c r="E121" s="530">
        <v>90</v>
      </c>
      <c r="F121" s="530">
        <v>90</v>
      </c>
      <c r="G121" s="531"/>
      <c r="H121" s="531"/>
      <c r="I121" s="531"/>
      <c r="J121" s="531"/>
      <c r="K121" s="531"/>
      <c r="L121" s="504">
        <v>3</v>
      </c>
      <c r="M121" s="363"/>
      <c r="N121" s="363"/>
      <c r="O121" s="465">
        <f>F91</f>
        <v>116.18960947726835</v>
      </c>
      <c r="P121" s="466">
        <f>F87</f>
        <v>2050</v>
      </c>
      <c r="Q121" s="58"/>
      <c r="R121" s="466">
        <f>O121/100</f>
        <v>1.1618960947726835</v>
      </c>
      <c r="S121" s="58"/>
      <c r="T121" s="466">
        <f>F95</f>
        <v>25</v>
      </c>
      <c r="U121" s="467">
        <f>F125</f>
        <v>4395.5</v>
      </c>
      <c r="V121" s="467">
        <f>F127</f>
        <v>251.065</v>
      </c>
      <c r="W121" s="467">
        <f>F128</f>
        <v>5.8937777777777782</v>
      </c>
      <c r="X121" s="58"/>
      <c r="Y121" s="58"/>
      <c r="Z121" s="466">
        <f>F102</f>
        <v>11</v>
      </c>
      <c r="AA121" s="468">
        <f>F104</f>
        <v>41</v>
      </c>
      <c r="AB121" s="468">
        <f>F105</f>
        <v>4</v>
      </c>
      <c r="AC121" s="468">
        <f>F106</f>
        <v>1</v>
      </c>
      <c r="AD121" s="468">
        <f>F103</f>
        <v>10</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5" outlineLevel="1" thickBot="1">
      <c r="B124" s="534" t="s">
        <v>768</v>
      </c>
      <c r="C124" s="535" t="s">
        <v>36</v>
      </c>
      <c r="D124" s="536" t="s">
        <v>36</v>
      </c>
      <c r="E124" s="536" t="s">
        <v>36</v>
      </c>
      <c r="F124" s="537" t="s">
        <v>36</v>
      </c>
      <c r="G124" s="538"/>
      <c r="H124" s="538"/>
      <c r="I124" s="538"/>
      <c r="J124" s="538"/>
      <c r="K124" s="538"/>
      <c r="L124" s="539"/>
      <c r="M124" s="363"/>
      <c r="N124" s="363"/>
    </row>
    <row r="125" spans="2:30" ht="57.6" outlineLevel="1">
      <c r="B125" s="461" t="s">
        <v>769</v>
      </c>
      <c r="C125" s="483">
        <f>C108*$F$4*1000</f>
        <v>5066.0000000000009</v>
      </c>
      <c r="D125" s="483">
        <f t="shared" ref="D125:F125" si="6">D108*$F$4*1000</f>
        <v>4842.5</v>
      </c>
      <c r="E125" s="483">
        <f t="shared" si="6"/>
        <v>4619</v>
      </c>
      <c r="F125" s="483">
        <f t="shared" si="6"/>
        <v>4395.5</v>
      </c>
      <c r="G125" s="483"/>
      <c r="H125" s="484"/>
      <c r="I125" s="420" t="s">
        <v>332</v>
      </c>
      <c r="J125" s="420"/>
      <c r="K125" s="484"/>
      <c r="L125" s="484"/>
      <c r="N125" s="420"/>
    </row>
    <row r="126" spans="2:30" outlineLevel="1">
      <c r="B126" s="485" t="s">
        <v>770</v>
      </c>
      <c r="C126" s="486">
        <f>C125*$I126</f>
        <v>2533000.0000000005</v>
      </c>
      <c r="D126" s="486">
        <f>D125*$I126</f>
        <v>2421250</v>
      </c>
      <c r="E126" s="486">
        <f>E125*$I126</f>
        <v>2309500</v>
      </c>
      <c r="F126" s="486">
        <f>F125*$I126</f>
        <v>2197750</v>
      </c>
      <c r="G126" s="486"/>
      <c r="H126" s="484"/>
      <c r="I126" s="71">
        <v>500</v>
      </c>
      <c r="J126" s="420" t="s">
        <v>330</v>
      </c>
      <c r="K126" s="484"/>
      <c r="L126" s="484"/>
      <c r="N126" s="420"/>
    </row>
    <row r="127" spans="2:30" ht="43.2" outlineLevel="1">
      <c r="B127" s="461" t="s">
        <v>845</v>
      </c>
      <c r="C127" s="359">
        <f>C111*$F$4/1000</f>
        <v>275.64999999999998</v>
      </c>
      <c r="D127" s="359">
        <f t="shared" ref="D127:F127" si="7">D111*$F$4/1000</f>
        <v>267.45499999999998</v>
      </c>
      <c r="E127" s="359">
        <f t="shared" si="7"/>
        <v>259.26</v>
      </c>
      <c r="F127" s="359">
        <f t="shared" si="7"/>
        <v>251.065</v>
      </c>
      <c r="G127" s="359"/>
      <c r="I127" s="420" t="s">
        <v>333</v>
      </c>
      <c r="J127" s="420"/>
      <c r="N127" s="420"/>
    </row>
    <row r="128" spans="2:30" ht="43.2" outlineLevel="1">
      <c r="B128" s="461" t="s">
        <v>846</v>
      </c>
      <c r="C128" s="487">
        <f>C112*$F$4/3.6</f>
        <v>5.7509861111111107</v>
      </c>
      <c r="D128" s="487">
        <f t="shared" ref="D128:F128" si="8">D112*$F$4/3.6</f>
        <v>5.8461805555555557</v>
      </c>
      <c r="E128" s="487">
        <f t="shared" si="8"/>
        <v>5.8937777777777782</v>
      </c>
      <c r="F128" s="487">
        <f t="shared" si="8"/>
        <v>5.8937777777777782</v>
      </c>
      <c r="G128" s="359"/>
      <c r="M128" s="420"/>
      <c r="N128" s="420"/>
    </row>
    <row r="129" spans="2:6" outlineLevel="1"/>
    <row r="130" spans="2:6" outlineLevel="1"/>
    <row r="131" spans="2:6" outlineLevel="1"/>
    <row r="132" spans="2:6" outlineLevel="1">
      <c r="B132" s="488" t="s">
        <v>773</v>
      </c>
      <c r="C132" s="489"/>
    </row>
    <row r="133" spans="2:6" outlineLevel="1">
      <c r="B133" s="491">
        <v>1</v>
      </c>
      <c r="C133" s="492" t="s">
        <v>774</v>
      </c>
      <c r="D133" s="490"/>
      <c r="E133" s="490"/>
      <c r="F133" s="490"/>
    </row>
    <row r="134" spans="2:6" outlineLevel="1">
      <c r="B134" s="491">
        <v>2</v>
      </c>
      <c r="C134" s="493" t="s">
        <v>775</v>
      </c>
      <c r="E134" s="490"/>
      <c r="F134" s="490"/>
    </row>
    <row r="135" spans="2:6" outlineLevel="1">
      <c r="B135" s="491">
        <v>3</v>
      </c>
      <c r="C135" s="493" t="s">
        <v>776</v>
      </c>
      <c r="E135" s="490"/>
      <c r="F135" s="490"/>
    </row>
    <row r="136" spans="2:6" outlineLevel="1">
      <c r="B136" s="491">
        <v>4</v>
      </c>
      <c r="C136" s="493" t="s">
        <v>777</v>
      </c>
      <c r="E136" s="490"/>
      <c r="F136" s="490"/>
    </row>
    <row r="137" spans="2:6" outlineLevel="1">
      <c r="B137" s="358">
        <v>5</v>
      </c>
      <c r="C137" s="494" t="s">
        <v>778</v>
      </c>
      <c r="E137" s="490"/>
      <c r="F137" s="490"/>
    </row>
    <row r="138" spans="2:6" outlineLevel="1">
      <c r="B138" s="358">
        <v>6</v>
      </c>
      <c r="C138" s="492" t="s">
        <v>779</v>
      </c>
      <c r="D138" s="490"/>
      <c r="E138" s="490"/>
      <c r="F138" s="490"/>
    </row>
    <row r="139" spans="2:6" outlineLevel="1">
      <c r="B139" s="358">
        <v>7</v>
      </c>
      <c r="C139" s="495" t="s">
        <v>774</v>
      </c>
      <c r="D139" s="490"/>
      <c r="E139" s="490"/>
      <c r="F139" s="490"/>
    </row>
    <row r="140" spans="2:6" outlineLevel="1">
      <c r="B140" s="358">
        <v>8</v>
      </c>
      <c r="C140" s="495" t="s">
        <v>780</v>
      </c>
      <c r="D140" s="490"/>
      <c r="E140" s="490"/>
      <c r="F140" s="490"/>
    </row>
    <row r="141" spans="2:6" outlineLevel="1">
      <c r="B141" s="358">
        <v>9</v>
      </c>
      <c r="C141" s="489" t="s">
        <v>781</v>
      </c>
      <c r="D141" s="490"/>
      <c r="E141" s="490"/>
      <c r="F141" s="490"/>
    </row>
    <row r="142" spans="2:6" outlineLevel="1">
      <c r="B142" s="358">
        <v>10</v>
      </c>
      <c r="C142" s="490" t="s">
        <v>782</v>
      </c>
      <c r="D142" s="490"/>
      <c r="E142" s="490"/>
      <c r="F142" s="490"/>
    </row>
    <row r="143" spans="2:6" outlineLevel="1">
      <c r="B143" s="358">
        <v>11</v>
      </c>
      <c r="C143" s="490" t="s">
        <v>984</v>
      </c>
      <c r="D143" s="490"/>
      <c r="E143" s="490"/>
      <c r="F143" s="490"/>
    </row>
    <row r="144" spans="2:6" outlineLevel="1">
      <c r="B144" s="488" t="s">
        <v>783</v>
      </c>
      <c r="C144" s="489"/>
      <c r="D144" s="490"/>
      <c r="E144" s="490"/>
      <c r="F144" s="490"/>
    </row>
    <row r="145" spans="2:6" outlineLevel="1">
      <c r="B145" s="496" t="s">
        <v>6</v>
      </c>
      <c r="C145" s="497" t="s">
        <v>975</v>
      </c>
      <c r="E145" s="490"/>
      <c r="F145" s="490"/>
    </row>
    <row r="146" spans="2:6" outlineLevel="1">
      <c r="B146" s="496" t="s">
        <v>59</v>
      </c>
      <c r="C146" s="489" t="s">
        <v>976</v>
      </c>
      <c r="E146" s="490"/>
      <c r="F146" s="490"/>
    </row>
    <row r="147" spans="2:6" outlineLevel="1">
      <c r="B147" s="496" t="s">
        <v>16</v>
      </c>
      <c r="C147" s="489" t="s">
        <v>977</v>
      </c>
      <c r="E147" s="490"/>
      <c r="F147" s="490"/>
    </row>
    <row r="148" spans="2:6" outlineLevel="1">
      <c r="B148" s="496" t="s">
        <v>20</v>
      </c>
      <c r="C148" s="489" t="s">
        <v>786</v>
      </c>
      <c r="E148" s="490"/>
      <c r="F148" s="490"/>
    </row>
    <row r="149" spans="2:6" outlineLevel="1">
      <c r="B149" s="496" t="s">
        <v>76</v>
      </c>
      <c r="C149" s="489" t="s">
        <v>978</v>
      </c>
      <c r="E149" s="490"/>
      <c r="F149" s="490"/>
    </row>
    <row r="150" spans="2:6" outlineLevel="1">
      <c r="B150" s="496" t="s">
        <v>25</v>
      </c>
      <c r="C150" s="489" t="s">
        <v>979</v>
      </c>
      <c r="E150" s="490"/>
      <c r="F150" s="490"/>
    </row>
    <row r="151" spans="2:6" outlineLevel="1">
      <c r="B151" s="496" t="s">
        <v>33</v>
      </c>
      <c r="C151" s="489" t="s">
        <v>787</v>
      </c>
      <c r="E151" s="490"/>
      <c r="F151" s="490"/>
    </row>
    <row r="152" spans="2:6" outlineLevel="1">
      <c r="B152" s="496" t="s">
        <v>51</v>
      </c>
      <c r="C152" s="489" t="s">
        <v>980</v>
      </c>
      <c r="E152" s="490"/>
      <c r="F152" s="490"/>
    </row>
    <row r="153" spans="2:6" outlineLevel="1">
      <c r="B153" s="496" t="s">
        <v>52</v>
      </c>
      <c r="C153" s="498" t="s">
        <v>788</v>
      </c>
      <c r="E153" s="490"/>
      <c r="F153" s="490"/>
    </row>
    <row r="154" spans="2:6" outlineLevel="1">
      <c r="B154" s="496" t="s">
        <v>55</v>
      </c>
      <c r="C154" s="489" t="s">
        <v>789</v>
      </c>
      <c r="E154" s="490"/>
      <c r="F154" s="490"/>
    </row>
    <row r="155" spans="2:6" outlineLevel="1">
      <c r="E155" s="490"/>
      <c r="F155" s="490"/>
    </row>
    <row r="156" spans="2:6" outlineLevel="1">
      <c r="B156" s="496" t="s">
        <v>985</v>
      </c>
      <c r="C156" s="224" t="s">
        <v>986</v>
      </c>
      <c r="E156" s="490"/>
      <c r="F156" s="490"/>
    </row>
    <row r="157" spans="2:6" outlineLevel="1">
      <c r="B157" s="496" t="s">
        <v>987</v>
      </c>
      <c r="C157" s="224" t="s">
        <v>988</v>
      </c>
      <c r="E157" s="490"/>
      <c r="F157" s="490"/>
    </row>
    <row r="158" spans="2:6" outlineLevel="1">
      <c r="B158" s="496"/>
      <c r="C158" s="489"/>
      <c r="E158" s="490"/>
      <c r="F158" s="490"/>
    </row>
    <row r="159" spans="2:6" outlineLevel="1">
      <c r="B159" s="496"/>
      <c r="C159" s="489"/>
      <c r="E159" s="490"/>
      <c r="F159" s="490"/>
    </row>
    <row r="160" spans="2:6" outlineLevel="1">
      <c r="B160" s="496"/>
      <c r="C160" s="489"/>
      <c r="E160" s="490"/>
      <c r="F160" s="490"/>
    </row>
    <row r="161" spans="1:44" outlineLevel="1"/>
    <row r="162" spans="1:44" outlineLevel="1">
      <c r="M162" s="214"/>
    </row>
    <row r="163" spans="1:44" outlineLevel="1"/>
    <row r="166" spans="1:44">
      <c r="A166" s="360" t="s">
        <v>989</v>
      </c>
      <c r="B166" s="1207"/>
      <c r="C166" s="1143"/>
      <c r="D166" s="1143"/>
      <c r="E166" s="1143"/>
      <c r="F166" s="1143"/>
      <c r="G166" s="1143"/>
      <c r="H166" s="1143"/>
      <c r="I166" s="1143"/>
      <c r="J166" s="1143"/>
      <c r="K166" s="1143"/>
      <c r="L166" s="1143"/>
      <c r="M166" s="1143"/>
      <c r="N166" s="361"/>
      <c r="P166" s="1143"/>
      <c r="Q166" s="1143"/>
      <c r="R166" s="1143"/>
      <c r="S166" s="1143"/>
      <c r="T166" s="1143"/>
      <c r="U166" s="1143"/>
    </row>
    <row r="167" spans="1:44" ht="15" outlineLevel="1" thickBot="1">
      <c r="B167" s="1207"/>
      <c r="C167" s="1143"/>
      <c r="D167" s="1143"/>
      <c r="E167" s="1143"/>
      <c r="F167" s="1143"/>
      <c r="G167" s="1143"/>
      <c r="H167" s="1143"/>
      <c r="I167" s="1143"/>
      <c r="J167" s="1143"/>
      <c r="K167" s="1143"/>
      <c r="L167" s="1143"/>
      <c r="M167" s="1143"/>
      <c r="N167" s="361"/>
      <c r="P167" s="692">
        <v>1</v>
      </c>
      <c r="Q167" s="692">
        <v>2</v>
      </c>
      <c r="R167" s="692">
        <v>3</v>
      </c>
      <c r="S167" s="692">
        <v>4</v>
      </c>
      <c r="T167" s="692">
        <v>5</v>
      </c>
      <c r="U167" s="692">
        <v>6</v>
      </c>
      <c r="V167" s="692">
        <v>7</v>
      </c>
      <c r="W167" s="692">
        <v>8</v>
      </c>
      <c r="X167" s="692">
        <v>9</v>
      </c>
      <c r="Y167" s="692">
        <v>10</v>
      </c>
      <c r="Z167" s="692">
        <v>11</v>
      </c>
      <c r="AA167" s="692">
        <v>12</v>
      </c>
      <c r="AB167" s="692">
        <v>13</v>
      </c>
      <c r="AC167" s="692">
        <v>14</v>
      </c>
    </row>
    <row r="168" spans="1:44" ht="20.55" customHeight="1" outlineLevel="1" thickBot="1">
      <c r="B168" s="362" t="s">
        <v>0</v>
      </c>
      <c r="C168" s="1204" t="s">
        <v>990</v>
      </c>
      <c r="D168" s="1205"/>
      <c r="E168" s="1205"/>
      <c r="F168" s="1205"/>
      <c r="G168" s="1205"/>
      <c r="H168" s="1205"/>
      <c r="I168" s="1205"/>
      <c r="J168" s="1205"/>
      <c r="K168" s="1205"/>
      <c r="L168" s="1206"/>
      <c r="M168" s="363"/>
      <c r="N168" s="363"/>
      <c r="P168" s="364" t="s">
        <v>713</v>
      </c>
      <c r="Q168" s="365"/>
      <c r="R168" s="366"/>
      <c r="S168" s="1176" t="s">
        <v>714</v>
      </c>
      <c r="T168" s="1160" t="s">
        <v>715</v>
      </c>
      <c r="U168" s="1161"/>
      <c r="V168" s="1160" t="s">
        <v>716</v>
      </c>
      <c r="W168" s="1161"/>
      <c r="X168" s="1160" t="s">
        <v>717</v>
      </c>
      <c r="Y168" s="1161"/>
      <c r="Z168" s="1160" t="s">
        <v>718</v>
      </c>
      <c r="AA168" s="1161"/>
      <c r="AB168" s="1160" t="s">
        <v>719</v>
      </c>
      <c r="AC168" s="1161"/>
      <c r="AE168" s="364" t="s">
        <v>720</v>
      </c>
      <c r="AF168" s="365"/>
      <c r="AG168" s="366"/>
      <c r="AH168" s="1176" t="s">
        <v>714</v>
      </c>
      <c r="AI168" s="1160" t="s">
        <v>715</v>
      </c>
      <c r="AJ168" s="1161"/>
      <c r="AK168" s="1160" t="s">
        <v>716</v>
      </c>
      <c r="AL168" s="1161"/>
      <c r="AM168" s="1160" t="s">
        <v>717</v>
      </c>
      <c r="AN168" s="1161"/>
      <c r="AO168" s="1160" t="s">
        <v>718</v>
      </c>
      <c r="AP168" s="1161"/>
      <c r="AQ168" s="1160" t="s">
        <v>719</v>
      </c>
      <c r="AR168" s="1161"/>
    </row>
    <row r="169" spans="1:44" ht="15" customHeight="1" outlineLevel="1" thickBot="1">
      <c r="B169" s="1164" t="s">
        <v>4</v>
      </c>
      <c r="C169" s="1166">
        <v>2020</v>
      </c>
      <c r="D169" s="1166">
        <v>2030</v>
      </c>
      <c r="E169" s="1166">
        <v>2040</v>
      </c>
      <c r="F169" s="1166">
        <v>2050</v>
      </c>
      <c r="G169" s="1200" t="s">
        <v>721</v>
      </c>
      <c r="H169" s="1201"/>
      <c r="I169" s="1200" t="s">
        <v>648</v>
      </c>
      <c r="J169" s="1201"/>
      <c r="K169" s="1202" t="s">
        <v>2</v>
      </c>
      <c r="L169" s="1202" t="s">
        <v>3</v>
      </c>
      <c r="M169" s="367"/>
      <c r="N169" s="367"/>
      <c r="P169" s="1180" t="s">
        <v>0</v>
      </c>
      <c r="Q169" s="368"/>
      <c r="R169" s="368"/>
      <c r="S169" s="1177"/>
      <c r="T169" s="1162"/>
      <c r="U169" s="1163"/>
      <c r="V169" s="1162"/>
      <c r="W169" s="1163"/>
      <c r="X169" s="1162"/>
      <c r="Y169" s="1163"/>
      <c r="Z169" s="1162"/>
      <c r="AA169" s="1163"/>
      <c r="AB169" s="1162"/>
      <c r="AC169" s="1163"/>
      <c r="AE169" s="1180" t="s">
        <v>0</v>
      </c>
      <c r="AF169" s="368"/>
      <c r="AG169" s="368"/>
      <c r="AH169" s="1177"/>
      <c r="AI169" s="1162"/>
      <c r="AJ169" s="1163"/>
      <c r="AK169" s="1162"/>
      <c r="AL169" s="1163"/>
      <c r="AM169" s="1162"/>
      <c r="AN169" s="1163"/>
      <c r="AO169" s="1162"/>
      <c r="AP169" s="1163"/>
      <c r="AQ169" s="1162"/>
      <c r="AR169" s="1163"/>
    </row>
    <row r="170" spans="1:44" ht="15" customHeight="1" outlineLevel="1" thickBot="1">
      <c r="B170" s="1165"/>
      <c r="C170" s="1167"/>
      <c r="D170" s="1167"/>
      <c r="E170" s="1167"/>
      <c r="F170" s="1167"/>
      <c r="G170" s="499" t="s">
        <v>649</v>
      </c>
      <c r="H170" s="499" t="s">
        <v>650</v>
      </c>
      <c r="I170" s="499" t="s">
        <v>649</v>
      </c>
      <c r="J170" s="499" t="s">
        <v>650</v>
      </c>
      <c r="K170" s="1203"/>
      <c r="L170" s="1203"/>
      <c r="M170" s="370"/>
      <c r="N170" s="370"/>
      <c r="P170" s="1181"/>
      <c r="Q170" s="1183" t="s">
        <v>722</v>
      </c>
      <c r="R170" s="1184" t="s">
        <v>723</v>
      </c>
      <c r="S170" s="1178"/>
      <c r="T170" s="1162"/>
      <c r="U170" s="1163"/>
      <c r="V170" s="1162"/>
      <c r="W170" s="1163"/>
      <c r="X170" s="1162"/>
      <c r="Y170" s="1163"/>
      <c r="Z170" s="1162"/>
      <c r="AA170" s="1163"/>
      <c r="AB170" s="1162"/>
      <c r="AC170" s="1163"/>
      <c r="AE170" s="1181"/>
      <c r="AF170" s="1197" t="s">
        <v>722</v>
      </c>
      <c r="AG170" s="1184" t="s">
        <v>723</v>
      </c>
      <c r="AH170" s="1178"/>
      <c r="AI170" s="1162"/>
      <c r="AJ170" s="1163"/>
      <c r="AK170" s="1162"/>
      <c r="AL170" s="1163"/>
      <c r="AM170" s="1162"/>
      <c r="AN170" s="1163"/>
      <c r="AO170" s="1162"/>
      <c r="AP170" s="1163"/>
      <c r="AQ170" s="1162"/>
      <c r="AR170" s="1163"/>
    </row>
    <row r="171" spans="1:44" ht="29.4" outlineLevel="1" thickBot="1">
      <c r="B171" s="371" t="s">
        <v>651</v>
      </c>
      <c r="C171" s="372">
        <v>20</v>
      </c>
      <c r="D171" s="372">
        <v>20</v>
      </c>
      <c r="E171" s="372">
        <v>20</v>
      </c>
      <c r="F171" s="372">
        <v>20</v>
      </c>
      <c r="G171" s="372">
        <v>1</v>
      </c>
      <c r="H171" s="372">
        <v>50</v>
      </c>
      <c r="I171" s="372">
        <v>1</v>
      </c>
      <c r="J171" s="372">
        <v>50</v>
      </c>
      <c r="K171" s="372" t="s">
        <v>6</v>
      </c>
      <c r="L171" s="373" t="s">
        <v>725</v>
      </c>
      <c r="M171" s="370"/>
      <c r="N171" s="370"/>
      <c r="O171" s="74"/>
      <c r="P171" s="1182"/>
      <c r="Q171" s="1179"/>
      <c r="R171" s="1185"/>
      <c r="S171" s="1179"/>
      <c r="T171" s="374" t="s">
        <v>726</v>
      </c>
      <c r="U171" s="375" t="s">
        <v>727</v>
      </c>
      <c r="V171" s="374" t="s">
        <v>726</v>
      </c>
      <c r="W171" s="375" t="s">
        <v>727</v>
      </c>
      <c r="X171" s="374" t="s">
        <v>726</v>
      </c>
      <c r="Y171" s="375" t="s">
        <v>727</v>
      </c>
      <c r="Z171" s="374" t="s">
        <v>726</v>
      </c>
      <c r="AA171" s="375" t="s">
        <v>727</v>
      </c>
      <c r="AB171" s="374" t="s">
        <v>726</v>
      </c>
      <c r="AC171" s="375" t="s">
        <v>727</v>
      </c>
      <c r="AE171" s="1182"/>
      <c r="AF171" s="1198"/>
      <c r="AG171" s="1185"/>
      <c r="AH171" s="1179"/>
      <c r="AI171" s="374" t="s">
        <v>726</v>
      </c>
      <c r="AJ171" s="375" t="s">
        <v>727</v>
      </c>
      <c r="AK171" s="374" t="s">
        <v>726</v>
      </c>
      <c r="AL171" s="375" t="s">
        <v>727</v>
      </c>
      <c r="AM171" s="374" t="s">
        <v>726</v>
      </c>
      <c r="AN171" s="375" t="s">
        <v>727</v>
      </c>
      <c r="AO171" s="374" t="s">
        <v>726</v>
      </c>
      <c r="AP171" s="375" t="s">
        <v>727</v>
      </c>
      <c r="AQ171" s="374" t="s">
        <v>726</v>
      </c>
      <c r="AR171" s="375" t="s">
        <v>727</v>
      </c>
    </row>
    <row r="172" spans="1:44" ht="14.55" customHeight="1" outlineLevel="1">
      <c r="B172" s="500" t="s">
        <v>728</v>
      </c>
      <c r="C172" s="501">
        <v>91</v>
      </c>
      <c r="D172" s="501">
        <v>91</v>
      </c>
      <c r="E172" s="502">
        <v>91</v>
      </c>
      <c r="F172" s="501">
        <v>92</v>
      </c>
      <c r="G172" s="501">
        <f>D172-1</f>
        <v>90</v>
      </c>
      <c r="H172" s="501">
        <f>D172+2</f>
        <v>93</v>
      </c>
      <c r="I172" s="501">
        <f>F172-1</f>
        <v>91</v>
      </c>
      <c r="J172" s="501">
        <f>F172+2</f>
        <v>94</v>
      </c>
      <c r="K172" s="503" t="s">
        <v>59</v>
      </c>
      <c r="L172" s="504" t="s">
        <v>729</v>
      </c>
      <c r="M172" s="370"/>
      <c r="N172" s="370"/>
      <c r="P172" s="1199" t="str">
        <f>C168</f>
        <v>Hot water boiler, Wood Chips</v>
      </c>
      <c r="Q172" s="1154" t="s">
        <v>730</v>
      </c>
      <c r="R172" s="381" t="s">
        <v>731</v>
      </c>
      <c r="S172" s="382"/>
      <c r="T172" s="1137">
        <v>0</v>
      </c>
      <c r="U172" s="1151">
        <v>0</v>
      </c>
      <c r="V172" s="1157">
        <v>0</v>
      </c>
      <c r="W172" s="1151">
        <v>0</v>
      </c>
      <c r="X172" s="1157">
        <v>0</v>
      </c>
      <c r="Y172" s="1151">
        <v>0</v>
      </c>
      <c r="Z172" s="1157">
        <v>0</v>
      </c>
      <c r="AA172" s="1151">
        <v>0</v>
      </c>
      <c r="AB172" s="1157">
        <v>0</v>
      </c>
      <c r="AC172" s="1151">
        <v>0</v>
      </c>
      <c r="AE172" s="1148" t="str">
        <f>P172</f>
        <v>Hot water boiler, Wood Chips</v>
      </c>
      <c r="AF172" s="1154" t="s">
        <v>730</v>
      </c>
      <c r="AG172" s="381" t="s">
        <v>731</v>
      </c>
      <c r="AH172" s="382"/>
      <c r="AI172" s="1137">
        <v>0</v>
      </c>
      <c r="AJ172" s="1151">
        <v>0</v>
      </c>
      <c r="AK172" s="1157">
        <v>0</v>
      </c>
      <c r="AL172" s="1151">
        <v>0</v>
      </c>
      <c r="AM172" s="1157">
        <v>0</v>
      </c>
      <c r="AN172" s="1151">
        <v>0</v>
      </c>
      <c r="AO172" s="1157">
        <v>0</v>
      </c>
      <c r="AP172" s="1151">
        <v>0</v>
      </c>
      <c r="AQ172" s="1157">
        <v>0</v>
      </c>
      <c r="AR172" s="1151">
        <v>0</v>
      </c>
    </row>
    <row r="173" spans="1:44" outlineLevel="1">
      <c r="B173" s="383" t="s">
        <v>732</v>
      </c>
      <c r="C173" s="384">
        <f t="shared" ref="C173:J173" si="9">C172-1</f>
        <v>90</v>
      </c>
      <c r="D173" s="384">
        <f t="shared" si="9"/>
        <v>90</v>
      </c>
      <c r="E173" s="384">
        <f t="shared" si="9"/>
        <v>90</v>
      </c>
      <c r="F173" s="384">
        <f t="shared" si="9"/>
        <v>91</v>
      </c>
      <c r="G173" s="505">
        <f t="shared" si="9"/>
        <v>89</v>
      </c>
      <c r="H173" s="505">
        <f t="shared" si="9"/>
        <v>92</v>
      </c>
      <c r="I173" s="505">
        <f t="shared" si="9"/>
        <v>90</v>
      </c>
      <c r="J173" s="505">
        <f t="shared" si="9"/>
        <v>93</v>
      </c>
      <c r="K173" s="372"/>
      <c r="L173" s="373" t="s">
        <v>729</v>
      </c>
      <c r="M173" s="370"/>
      <c r="N173" s="370"/>
      <c r="O173" s="71"/>
      <c r="P173" s="1195"/>
      <c r="Q173" s="1155"/>
      <c r="R173" s="388" t="s">
        <v>733</v>
      </c>
      <c r="S173" s="389"/>
      <c r="T173" s="1140"/>
      <c r="U173" s="1152"/>
      <c r="V173" s="1158"/>
      <c r="W173" s="1152"/>
      <c r="X173" s="1158"/>
      <c r="Y173" s="1152"/>
      <c r="Z173" s="1158"/>
      <c r="AA173" s="1152"/>
      <c r="AB173" s="1158"/>
      <c r="AC173" s="1152"/>
      <c r="AE173" s="1195"/>
      <c r="AF173" s="1155"/>
      <c r="AG173" s="388" t="s">
        <v>733</v>
      </c>
      <c r="AH173" s="389"/>
      <c r="AI173" s="1140"/>
      <c r="AJ173" s="1152"/>
      <c r="AK173" s="1158"/>
      <c r="AL173" s="1152"/>
      <c r="AM173" s="1158"/>
      <c r="AN173" s="1152"/>
      <c r="AO173" s="1158"/>
      <c r="AP173" s="1152"/>
      <c r="AQ173" s="1158"/>
      <c r="AR173" s="1152"/>
    </row>
    <row r="174" spans="1:44" ht="15" outlineLevel="1" thickBot="1">
      <c r="B174" s="500" t="s">
        <v>734</v>
      </c>
      <c r="C174" s="506">
        <v>2.2999999999999998</v>
      </c>
      <c r="D174" s="507">
        <v>2.2999999999999998</v>
      </c>
      <c r="E174" s="507">
        <v>2.2999999999999998</v>
      </c>
      <c r="F174" s="508">
        <v>2.2999999999999998</v>
      </c>
      <c r="G174" s="507">
        <v>2.2000000000000002</v>
      </c>
      <c r="H174" s="507">
        <v>2.5</v>
      </c>
      <c r="I174" s="507">
        <v>1.8</v>
      </c>
      <c r="J174" s="507">
        <v>2.5</v>
      </c>
      <c r="K174" s="503" t="s">
        <v>16</v>
      </c>
      <c r="L174" s="504">
        <v>3</v>
      </c>
      <c r="M174" s="370"/>
      <c r="N174" s="370"/>
      <c r="O174" s="71"/>
      <c r="P174" s="1195"/>
      <c r="Q174" s="1156"/>
      <c r="R174" s="393" t="s">
        <v>735</v>
      </c>
      <c r="S174" s="394"/>
      <c r="T174" s="1141"/>
      <c r="U174" s="1153"/>
      <c r="V174" s="1159"/>
      <c r="W174" s="1153"/>
      <c r="X174" s="1159"/>
      <c r="Y174" s="1153"/>
      <c r="Z174" s="1159"/>
      <c r="AA174" s="1153"/>
      <c r="AB174" s="1159"/>
      <c r="AC174" s="1153"/>
      <c r="AE174" s="1195"/>
      <c r="AF174" s="1156"/>
      <c r="AG174" s="393" t="s">
        <v>735</v>
      </c>
      <c r="AH174" s="394"/>
      <c r="AI174" s="1141"/>
      <c r="AJ174" s="1153"/>
      <c r="AK174" s="1159"/>
      <c r="AL174" s="1153"/>
      <c r="AM174" s="1159"/>
      <c r="AN174" s="1153"/>
      <c r="AO174" s="1159"/>
      <c r="AP174" s="1153"/>
      <c r="AQ174" s="1159"/>
      <c r="AR174" s="1153"/>
    </row>
    <row r="175" spans="1:44" ht="14.55" customHeight="1" outlineLevel="1">
      <c r="B175" s="500" t="s">
        <v>657</v>
      </c>
      <c r="C175" s="687">
        <v>3</v>
      </c>
      <c r="D175" s="687">
        <v>3</v>
      </c>
      <c r="E175" s="687">
        <v>3</v>
      </c>
      <c r="F175" s="687">
        <v>3</v>
      </c>
      <c r="G175" s="687">
        <v>3</v>
      </c>
      <c r="H175" s="687">
        <v>3</v>
      </c>
      <c r="I175" s="687">
        <v>3</v>
      </c>
      <c r="J175" s="687">
        <v>3</v>
      </c>
      <c r="K175" s="503" t="s">
        <v>20</v>
      </c>
      <c r="L175" s="504">
        <v>3</v>
      </c>
      <c r="M175" s="370"/>
      <c r="N175" s="370"/>
      <c r="O175" s="71"/>
      <c r="P175" s="1195"/>
      <c r="Q175" s="1154" t="s">
        <v>736</v>
      </c>
      <c r="R175" s="395" t="s">
        <v>737</v>
      </c>
      <c r="S175" s="396" t="s">
        <v>738</v>
      </c>
      <c r="T175" s="1137">
        <v>0</v>
      </c>
      <c r="U175" s="1137">
        <v>0.67</v>
      </c>
      <c r="V175" s="1137">
        <v>0</v>
      </c>
      <c r="W175" s="1137">
        <v>0.56999999999999995</v>
      </c>
      <c r="X175" s="1137">
        <v>0</v>
      </c>
      <c r="Y175" s="1137">
        <v>0.5</v>
      </c>
      <c r="Z175" s="1137">
        <v>0</v>
      </c>
      <c r="AA175" s="1137">
        <v>0.51</v>
      </c>
      <c r="AB175" s="1137">
        <v>0</v>
      </c>
      <c r="AC175" s="1151">
        <v>0.41</v>
      </c>
      <c r="AE175" s="1195"/>
      <c r="AF175" s="1154" t="s">
        <v>736</v>
      </c>
      <c r="AG175" s="395" t="s">
        <v>737</v>
      </c>
      <c r="AH175" s="396" t="s">
        <v>738</v>
      </c>
      <c r="AI175" s="1137">
        <v>0</v>
      </c>
      <c r="AJ175" s="1137">
        <f>U175/4</f>
        <v>0.16750000000000001</v>
      </c>
      <c r="AK175" s="1137">
        <v>0</v>
      </c>
      <c r="AL175" s="1137">
        <f>W175/4</f>
        <v>0.14249999999999999</v>
      </c>
      <c r="AM175" s="1137">
        <v>0</v>
      </c>
      <c r="AN175" s="1137">
        <f>Y175/4</f>
        <v>0.125</v>
      </c>
      <c r="AO175" s="1137">
        <v>0</v>
      </c>
      <c r="AP175" s="1137">
        <f>AA175/4</f>
        <v>0.1275</v>
      </c>
      <c r="AQ175" s="1137">
        <v>0</v>
      </c>
      <c r="AR175" s="1151">
        <f>AC175/4</f>
        <v>0.10249999999999999</v>
      </c>
    </row>
    <row r="176" spans="1:44" outlineLevel="1">
      <c r="B176" s="500" t="s">
        <v>658</v>
      </c>
      <c r="C176" s="506">
        <v>3</v>
      </c>
      <c r="D176" s="506">
        <v>3</v>
      </c>
      <c r="E176" s="506">
        <v>3</v>
      </c>
      <c r="F176" s="506">
        <v>3</v>
      </c>
      <c r="G176" s="506">
        <v>2.6</v>
      </c>
      <c r="H176" s="506">
        <v>3.5</v>
      </c>
      <c r="I176" s="506">
        <v>2.2999999999999998</v>
      </c>
      <c r="J176" s="506">
        <v>3.8</v>
      </c>
      <c r="K176" s="503" t="s">
        <v>20</v>
      </c>
      <c r="L176" s="504">
        <v>3</v>
      </c>
      <c r="M176" s="367"/>
      <c r="N176" s="367"/>
      <c r="O176" s="71"/>
      <c r="P176" s="1195"/>
      <c r="Q176" s="1155"/>
      <c r="R176" s="395" t="s">
        <v>739</v>
      </c>
      <c r="S176" s="396" t="s">
        <v>738</v>
      </c>
      <c r="T176" s="1191"/>
      <c r="U176" s="1191"/>
      <c r="V176" s="1191"/>
      <c r="W176" s="1191"/>
      <c r="X176" s="1191"/>
      <c r="Y176" s="1191"/>
      <c r="Z176" s="1191"/>
      <c r="AA176" s="1191"/>
      <c r="AB176" s="1191"/>
      <c r="AC176" s="1193"/>
      <c r="AE176" s="1195"/>
      <c r="AF176" s="1155"/>
      <c r="AG176" s="395" t="s">
        <v>739</v>
      </c>
      <c r="AH176" s="396" t="s">
        <v>738</v>
      </c>
      <c r="AI176" s="1191"/>
      <c r="AJ176" s="1191"/>
      <c r="AK176" s="1191"/>
      <c r="AL176" s="1191"/>
      <c r="AM176" s="1191"/>
      <c r="AN176" s="1191"/>
      <c r="AO176" s="1191"/>
      <c r="AP176" s="1191"/>
      <c r="AQ176" s="1191"/>
      <c r="AR176" s="1193"/>
    </row>
    <row r="177" spans="1:44" outlineLevel="1">
      <c r="B177" s="383" t="s">
        <v>11</v>
      </c>
      <c r="C177" s="397">
        <v>25</v>
      </c>
      <c r="D177" s="397">
        <v>25</v>
      </c>
      <c r="E177" s="397">
        <v>25</v>
      </c>
      <c r="F177" s="397">
        <v>25</v>
      </c>
      <c r="G177" s="399">
        <v>20</v>
      </c>
      <c r="H177" s="399">
        <v>35</v>
      </c>
      <c r="I177" s="399">
        <v>20</v>
      </c>
      <c r="J177" s="399">
        <v>35</v>
      </c>
      <c r="K177" s="372"/>
      <c r="L177" s="373" t="s">
        <v>740</v>
      </c>
      <c r="M177" s="363"/>
      <c r="N177" s="363"/>
      <c r="P177" s="1195"/>
      <c r="Q177" s="1155"/>
      <c r="R177" s="395" t="s">
        <v>741</v>
      </c>
      <c r="S177" s="396"/>
      <c r="T177" s="1191"/>
      <c r="U177" s="1191"/>
      <c r="V177" s="1191"/>
      <c r="W177" s="1191"/>
      <c r="X177" s="1191"/>
      <c r="Y177" s="1191"/>
      <c r="Z177" s="1191"/>
      <c r="AA177" s="1191"/>
      <c r="AB177" s="1191"/>
      <c r="AC177" s="1193"/>
      <c r="AE177" s="1195"/>
      <c r="AF177" s="1155"/>
      <c r="AG177" s="395" t="s">
        <v>741</v>
      </c>
      <c r="AH177" s="629" t="s">
        <v>738</v>
      </c>
      <c r="AI177" s="1191"/>
      <c r="AJ177" s="1191"/>
      <c r="AK177" s="1191"/>
      <c r="AL177" s="1191"/>
      <c r="AM177" s="1191"/>
      <c r="AN177" s="1191"/>
      <c r="AO177" s="1191"/>
      <c r="AP177" s="1191"/>
      <c r="AQ177" s="1191"/>
      <c r="AR177" s="1193"/>
    </row>
    <row r="178" spans="1:44" ht="15" outlineLevel="1" thickBot="1">
      <c r="B178" s="500" t="s">
        <v>273</v>
      </c>
      <c r="C178" s="506">
        <v>1</v>
      </c>
      <c r="D178" s="506">
        <v>1</v>
      </c>
      <c r="E178" s="506">
        <v>1</v>
      </c>
      <c r="F178" s="506">
        <v>1</v>
      </c>
      <c r="G178" s="506">
        <v>0.5</v>
      </c>
      <c r="H178" s="506">
        <v>1.5</v>
      </c>
      <c r="I178" s="506">
        <v>0.5</v>
      </c>
      <c r="J178" s="506">
        <v>1.5</v>
      </c>
      <c r="K178" s="372"/>
      <c r="L178" s="400"/>
      <c r="M178" s="363"/>
      <c r="N178" s="363"/>
      <c r="P178" s="1195"/>
      <c r="Q178" s="1155"/>
      <c r="R178" s="395" t="s">
        <v>742</v>
      </c>
      <c r="S178" s="396" t="s">
        <v>738</v>
      </c>
      <c r="T178" s="1191"/>
      <c r="U178" s="1191"/>
      <c r="V178" s="1191"/>
      <c r="W178" s="1191"/>
      <c r="X178" s="1191"/>
      <c r="Y178" s="1191"/>
      <c r="Z178" s="1191"/>
      <c r="AA178" s="1191"/>
      <c r="AB178" s="1191"/>
      <c r="AC178" s="1193"/>
      <c r="AE178" s="1195"/>
      <c r="AF178" s="1155"/>
      <c r="AG178" s="395" t="s">
        <v>742</v>
      </c>
      <c r="AH178" s="396"/>
      <c r="AI178" s="1191"/>
      <c r="AJ178" s="1191"/>
      <c r="AK178" s="1191"/>
      <c r="AL178" s="1191"/>
      <c r="AM178" s="1191"/>
      <c r="AN178" s="1191"/>
      <c r="AO178" s="1191"/>
      <c r="AP178" s="1191"/>
      <c r="AQ178" s="1191"/>
      <c r="AR178" s="1193"/>
    </row>
    <row r="179" spans="1:44" ht="15" outlineLevel="1" thickBot="1">
      <c r="B179" s="401" t="s">
        <v>743</v>
      </c>
      <c r="C179" s="402"/>
      <c r="D179" s="403"/>
      <c r="E179" s="404"/>
      <c r="F179" s="405"/>
      <c r="G179" s="406"/>
      <c r="H179" s="406"/>
      <c r="I179" s="406"/>
      <c r="J179" s="406"/>
      <c r="K179" s="407"/>
      <c r="L179" s="408"/>
      <c r="M179" s="363"/>
      <c r="N179" s="363"/>
      <c r="P179" s="1195"/>
      <c r="Q179" s="1156"/>
      <c r="R179" s="409" t="s">
        <v>863</v>
      </c>
      <c r="S179" s="410" t="s">
        <v>738</v>
      </c>
      <c r="T179" s="1192"/>
      <c r="U179" s="1192"/>
      <c r="V179" s="1192"/>
      <c r="W179" s="1192"/>
      <c r="X179" s="1192"/>
      <c r="Y179" s="1192"/>
      <c r="Z179" s="1192"/>
      <c r="AA179" s="1192"/>
      <c r="AB179" s="1192"/>
      <c r="AC179" s="1194"/>
      <c r="AE179" s="1195"/>
      <c r="AF179" s="1156"/>
      <c r="AG179" s="409" t="s">
        <v>863</v>
      </c>
      <c r="AH179" s="410" t="s">
        <v>738</v>
      </c>
      <c r="AI179" s="1192"/>
      <c r="AJ179" s="1192"/>
      <c r="AK179" s="1192"/>
      <c r="AL179" s="1192"/>
      <c r="AM179" s="1192"/>
      <c r="AN179" s="1192"/>
      <c r="AO179" s="1192"/>
      <c r="AP179" s="1192"/>
      <c r="AQ179" s="1192"/>
      <c r="AR179" s="1194"/>
    </row>
    <row r="180" spans="1:44" ht="29.4" outlineLevel="1" thickBot="1">
      <c r="B180" s="500" t="s">
        <v>663</v>
      </c>
      <c r="C180" s="506">
        <v>20</v>
      </c>
      <c r="D180" s="506">
        <v>20</v>
      </c>
      <c r="E180" s="506">
        <v>20</v>
      </c>
      <c r="F180" s="506">
        <v>20</v>
      </c>
      <c r="G180" s="507"/>
      <c r="H180" s="507"/>
      <c r="I180" s="507"/>
      <c r="J180" s="507"/>
      <c r="K180" s="503"/>
      <c r="L180" s="504">
        <v>3</v>
      </c>
      <c r="M180" s="363"/>
      <c r="N180" s="363"/>
      <c r="P180" s="1196"/>
      <c r="Q180" s="411" t="s">
        <v>745</v>
      </c>
      <c r="R180" s="412" t="s">
        <v>746</v>
      </c>
      <c r="S180" s="630" t="s">
        <v>738</v>
      </c>
      <c r="T180" s="416">
        <v>1</v>
      </c>
      <c r="U180" s="415">
        <v>1</v>
      </c>
      <c r="V180" s="416">
        <v>1</v>
      </c>
      <c r="W180" s="415">
        <v>1</v>
      </c>
      <c r="X180" s="416">
        <v>1</v>
      </c>
      <c r="Y180" s="415">
        <v>1</v>
      </c>
      <c r="Z180" s="416">
        <v>1</v>
      </c>
      <c r="AA180" s="415">
        <v>1</v>
      </c>
      <c r="AB180" s="416">
        <v>1</v>
      </c>
      <c r="AC180" s="417">
        <v>1</v>
      </c>
      <c r="AE180" s="1196"/>
      <c r="AF180" s="411" t="s">
        <v>745</v>
      </c>
      <c r="AG180" s="631" t="s">
        <v>746</v>
      </c>
      <c r="AH180" s="632" t="s">
        <v>738</v>
      </c>
      <c r="AI180" s="416">
        <v>1</v>
      </c>
      <c r="AJ180" s="415">
        <v>1</v>
      </c>
      <c r="AK180" s="416">
        <v>1</v>
      </c>
      <c r="AL180" s="415">
        <v>1</v>
      </c>
      <c r="AM180" s="416">
        <v>1</v>
      </c>
      <c r="AN180" s="415">
        <v>1</v>
      </c>
      <c r="AO180" s="416">
        <v>1</v>
      </c>
      <c r="AP180" s="415">
        <v>1</v>
      </c>
      <c r="AQ180" s="416">
        <v>1</v>
      </c>
      <c r="AR180" s="417">
        <v>1</v>
      </c>
    </row>
    <row r="181" spans="1:44" outlineLevel="1">
      <c r="B181" s="500" t="s">
        <v>664</v>
      </c>
      <c r="C181" s="506">
        <v>0.3</v>
      </c>
      <c r="D181" s="506">
        <v>0.3</v>
      </c>
      <c r="E181" s="506">
        <v>0.3</v>
      </c>
      <c r="F181" s="506">
        <v>0.3</v>
      </c>
      <c r="G181" s="509"/>
      <c r="H181" s="509"/>
      <c r="I181" s="509"/>
      <c r="J181" s="509"/>
      <c r="K181" s="510"/>
      <c r="L181" s="504">
        <v>3</v>
      </c>
      <c r="M181" s="363"/>
      <c r="N181" s="363"/>
    </row>
    <row r="182" spans="1:44" outlineLevel="1">
      <c r="B182" s="500" t="s">
        <v>666</v>
      </c>
      <c r="C182" s="506">
        <v>0.5</v>
      </c>
      <c r="D182" s="506">
        <v>0.5</v>
      </c>
      <c r="E182" s="506">
        <v>0.5</v>
      </c>
      <c r="F182" s="506">
        <v>0.5</v>
      </c>
      <c r="G182" s="509"/>
      <c r="H182" s="509"/>
      <c r="I182" s="509"/>
      <c r="J182" s="509"/>
      <c r="K182" s="510"/>
      <c r="L182" s="504">
        <v>3</v>
      </c>
      <c r="M182" s="420"/>
      <c r="N182" s="363"/>
    </row>
    <row r="183" spans="1:44" outlineLevel="1">
      <c r="B183" s="421" t="s">
        <v>12</v>
      </c>
      <c r="C183" s="399"/>
      <c r="D183" s="399"/>
      <c r="E183" s="399"/>
      <c r="F183" s="399"/>
      <c r="G183" s="422"/>
      <c r="H183" s="422"/>
      <c r="I183" s="422"/>
      <c r="J183" s="422"/>
      <c r="K183" s="423"/>
      <c r="L183" s="424"/>
      <c r="M183" s="420"/>
      <c r="N183" s="420"/>
    </row>
    <row r="184" spans="1:44" outlineLevel="1">
      <c r="B184" s="383" t="s">
        <v>843</v>
      </c>
      <c r="C184" s="397">
        <v>11</v>
      </c>
      <c r="D184" s="397">
        <v>11</v>
      </c>
      <c r="E184" s="397">
        <v>11</v>
      </c>
      <c r="F184" s="397">
        <v>11</v>
      </c>
      <c r="G184" s="422"/>
      <c r="H184" s="425"/>
      <c r="I184" s="425"/>
      <c r="J184" s="425"/>
      <c r="K184" s="426" t="s">
        <v>76</v>
      </c>
      <c r="L184" s="427" t="s">
        <v>748</v>
      </c>
      <c r="M184" s="428"/>
      <c r="N184" s="428"/>
    </row>
    <row r="185" spans="1:44" outlineLevel="1">
      <c r="B185" s="383" t="s">
        <v>749</v>
      </c>
      <c r="C185" s="397">
        <v>10</v>
      </c>
      <c r="D185" s="397">
        <v>10</v>
      </c>
      <c r="E185" s="397">
        <v>10</v>
      </c>
      <c r="F185" s="397">
        <v>10</v>
      </c>
      <c r="G185" s="425"/>
      <c r="H185" s="425"/>
      <c r="I185" s="425"/>
      <c r="J185" s="425"/>
      <c r="K185" s="423"/>
      <c r="L185" s="427">
        <v>9</v>
      </c>
      <c r="M185" s="428"/>
      <c r="N185" s="428"/>
    </row>
    <row r="186" spans="1:44" outlineLevel="1">
      <c r="B186" s="383" t="s">
        <v>844</v>
      </c>
      <c r="C186" s="397">
        <v>63</v>
      </c>
      <c r="D186" s="397">
        <v>49</v>
      </c>
      <c r="E186" s="397">
        <v>46</v>
      </c>
      <c r="F186" s="397">
        <v>41</v>
      </c>
      <c r="G186" s="425"/>
      <c r="H186" s="425"/>
      <c r="I186" s="425"/>
      <c r="J186" s="425"/>
      <c r="K186" s="423"/>
      <c r="L186" s="427" t="s">
        <v>748</v>
      </c>
      <c r="M186" s="428"/>
      <c r="N186" s="428"/>
    </row>
    <row r="187" spans="1:44" outlineLevel="1">
      <c r="B187" s="383" t="s">
        <v>366</v>
      </c>
      <c r="C187" s="397">
        <v>11</v>
      </c>
      <c r="D187" s="397">
        <v>8</v>
      </c>
      <c r="E187" s="397">
        <v>6</v>
      </c>
      <c r="F187" s="397">
        <v>4</v>
      </c>
      <c r="G187" s="425"/>
      <c r="H187" s="425"/>
      <c r="I187" s="425"/>
      <c r="J187" s="425"/>
      <c r="K187" s="423"/>
      <c r="L187" s="427" t="s">
        <v>748</v>
      </c>
      <c r="M187" s="428"/>
      <c r="N187" s="428"/>
    </row>
    <row r="188" spans="1:44" ht="15" outlineLevel="1" thickBot="1">
      <c r="B188" s="429" t="s">
        <v>367</v>
      </c>
      <c r="C188" s="430">
        <v>3</v>
      </c>
      <c r="D188" s="430">
        <v>3</v>
      </c>
      <c r="E188" s="430">
        <v>1</v>
      </c>
      <c r="F188" s="430">
        <v>1</v>
      </c>
      <c r="G188" s="425"/>
      <c r="H188" s="425"/>
      <c r="I188" s="425"/>
      <c r="J188" s="425"/>
      <c r="K188" s="423"/>
      <c r="L188" s="427" t="s">
        <v>748</v>
      </c>
      <c r="M188" s="428"/>
      <c r="N188" s="428"/>
    </row>
    <row r="189" spans="1:44" ht="15" outlineLevel="1" thickBot="1">
      <c r="B189" s="431" t="s">
        <v>674</v>
      </c>
      <c r="C189" s="432"/>
      <c r="D189" s="403"/>
      <c r="E189" s="403"/>
      <c r="F189" s="433"/>
      <c r="G189" s="434"/>
      <c r="H189" s="406"/>
      <c r="I189" s="406"/>
      <c r="J189" s="406"/>
      <c r="K189" s="407"/>
      <c r="L189" s="408"/>
      <c r="M189" s="428"/>
      <c r="N189" s="428"/>
    </row>
    <row r="190" spans="1:44" ht="26.4" outlineLevel="1">
      <c r="A190" s="435"/>
      <c r="B190" s="436" t="s">
        <v>910</v>
      </c>
      <c r="C190" s="551">
        <f>0.618181818181818</f>
        <v>0.61818181818181805</v>
      </c>
      <c r="D190" s="647">
        <f>0.590909090909091</f>
        <v>0.59090909090909105</v>
      </c>
      <c r="E190" s="647">
        <f>(F190+D190)/2</f>
        <v>0.56363636363636349</v>
      </c>
      <c r="F190" s="648">
        <f>0.536363636363636</f>
        <v>0.53636363636363604</v>
      </c>
      <c r="G190" s="425"/>
      <c r="H190" s="425"/>
      <c r="I190" s="425"/>
      <c r="J190" s="425"/>
      <c r="K190" s="426" t="s">
        <v>752</v>
      </c>
      <c r="L190" s="440" t="s">
        <v>753</v>
      </c>
      <c r="M190" s="420"/>
      <c r="N190" s="420"/>
    </row>
    <row r="191" spans="1:44" outlineLevel="1">
      <c r="B191" s="441" t="s">
        <v>839</v>
      </c>
      <c r="C191" s="442">
        <v>60</v>
      </c>
      <c r="D191" s="442">
        <v>60</v>
      </c>
      <c r="E191" s="442">
        <v>60</v>
      </c>
      <c r="F191" s="442">
        <v>60</v>
      </c>
      <c r="G191" s="425"/>
      <c r="H191" s="425"/>
      <c r="I191" s="425"/>
      <c r="J191" s="425"/>
      <c r="K191" s="444"/>
      <c r="L191" s="373">
        <v>3</v>
      </c>
      <c r="M191" s="71"/>
      <c r="N191" s="420"/>
    </row>
    <row r="192" spans="1:44" outlineLevel="1">
      <c r="B192" s="441" t="s">
        <v>840</v>
      </c>
      <c r="C192" s="442">
        <f>100-C191</f>
        <v>40</v>
      </c>
      <c r="D192" s="442">
        <f>100-D191</f>
        <v>40</v>
      </c>
      <c r="E192" s="442">
        <f>100-E191</f>
        <v>40</v>
      </c>
      <c r="F192" s="442">
        <f>100-F191</f>
        <v>40</v>
      </c>
      <c r="G192" s="425"/>
      <c r="H192" s="425"/>
      <c r="I192" s="425"/>
      <c r="J192" s="425"/>
      <c r="K192" s="444"/>
      <c r="L192" s="373">
        <v>3</v>
      </c>
      <c r="M192" s="420"/>
      <c r="N192" s="420"/>
    </row>
    <row r="193" spans="2:30" outlineLevel="1">
      <c r="B193" s="383" t="s">
        <v>841</v>
      </c>
      <c r="C193" s="602">
        <v>33700</v>
      </c>
      <c r="D193" s="603">
        <v>35900</v>
      </c>
      <c r="E193" s="603">
        <f>(F193+D193)/2</f>
        <v>34800</v>
      </c>
      <c r="F193" s="604">
        <v>33700</v>
      </c>
      <c r="G193" s="425"/>
      <c r="H193" s="425"/>
      <c r="I193" s="425"/>
      <c r="J193" s="425"/>
      <c r="K193" s="448" t="s">
        <v>51</v>
      </c>
      <c r="L193" s="373">
        <v>3</v>
      </c>
      <c r="M193" s="420"/>
      <c r="N193" s="420"/>
    </row>
    <row r="194" spans="2:30" outlineLevel="1">
      <c r="B194" s="383" t="s">
        <v>679</v>
      </c>
      <c r="C194" s="449">
        <f>C195+C196</f>
        <v>2.7789999999999999</v>
      </c>
      <c r="D194" s="449">
        <f t="shared" ref="D194:F194" si="10">D195+D196</f>
        <v>2.8250000000000002</v>
      </c>
      <c r="E194" s="449">
        <f t="shared" si="10"/>
        <v>2.8479999999999999</v>
      </c>
      <c r="F194" s="449">
        <f t="shared" si="10"/>
        <v>2.8479999999999999</v>
      </c>
      <c r="G194" s="425"/>
      <c r="H194" s="425"/>
      <c r="I194" s="425"/>
      <c r="J194" s="425"/>
      <c r="K194" s="448"/>
      <c r="L194" s="373">
        <v>3</v>
      </c>
      <c r="M194" s="450"/>
      <c r="N194" s="361"/>
      <c r="P194" s="1142">
        <f>C194</f>
        <v>2.7789999999999999</v>
      </c>
      <c r="Q194" s="1143"/>
      <c r="R194" s="1143"/>
      <c r="S194" s="1143"/>
      <c r="T194" s="1143"/>
      <c r="U194" s="1144"/>
    </row>
    <row r="195" spans="2:30" ht="15" outlineLevel="1" thickBot="1">
      <c r="B195" s="500" t="s">
        <v>758</v>
      </c>
      <c r="C195" s="514">
        <f>C174/100*73</f>
        <v>1.679</v>
      </c>
      <c r="D195" s="514">
        <f>D174/100*75</f>
        <v>1.7249999999999999</v>
      </c>
      <c r="E195" s="514">
        <f>E174/100*76</f>
        <v>1.748</v>
      </c>
      <c r="F195" s="514">
        <f>F174/100*76</f>
        <v>1.748</v>
      </c>
      <c r="G195" s="515"/>
      <c r="H195" s="515"/>
      <c r="I195" s="515"/>
      <c r="J195" s="515"/>
      <c r="K195" s="503" t="s">
        <v>52</v>
      </c>
      <c r="L195" s="504">
        <v>3</v>
      </c>
      <c r="M195" s="450"/>
      <c r="N195" s="361"/>
      <c r="P195" s="1134">
        <f>C195</f>
        <v>1.679</v>
      </c>
      <c r="Q195" s="1135"/>
      <c r="R195" s="1135"/>
      <c r="S195" s="1135"/>
      <c r="T195" s="1135"/>
      <c r="U195" s="1136"/>
    </row>
    <row r="196" spans="2:30" outlineLevel="1">
      <c r="B196" s="500" t="s">
        <v>759</v>
      </c>
      <c r="C196" s="516">
        <v>1.1000000000000001</v>
      </c>
      <c r="D196" s="516">
        <v>1.1000000000000001</v>
      </c>
      <c r="E196" s="516">
        <v>1.1000000000000001</v>
      </c>
      <c r="F196" s="516">
        <v>1.1000000000000001</v>
      </c>
      <c r="G196" s="515"/>
      <c r="H196" s="515"/>
      <c r="I196" s="515"/>
      <c r="J196" s="515"/>
      <c r="K196" s="517"/>
      <c r="L196" s="504">
        <v>3</v>
      </c>
      <c r="M196" s="363"/>
      <c r="N196" s="363"/>
      <c r="P196" s="53" t="s">
        <v>357</v>
      </c>
    </row>
    <row r="197" spans="2:30" ht="27.6" outlineLevel="1">
      <c r="B197" s="441"/>
      <c r="C197" s="681"/>
      <c r="D197" s="681"/>
      <c r="E197" s="681"/>
      <c r="F197" s="681"/>
      <c r="G197" s="425"/>
      <c r="H197" s="425"/>
      <c r="I197" s="425"/>
      <c r="J197" s="425"/>
      <c r="K197" s="444"/>
      <c r="L197" s="424"/>
      <c r="M197" s="367"/>
      <c r="N197" s="367"/>
      <c r="P197" s="46" t="s">
        <v>335</v>
      </c>
      <c r="Q197" s="46" t="s">
        <v>336</v>
      </c>
      <c r="R197" s="47" t="s">
        <v>337</v>
      </c>
      <c r="S197" s="47" t="s">
        <v>338</v>
      </c>
      <c r="T197" s="47" t="s">
        <v>339</v>
      </c>
      <c r="U197" s="48" t="s">
        <v>340</v>
      </c>
      <c r="V197" s="49" t="s">
        <v>341</v>
      </c>
      <c r="W197" s="49" t="s">
        <v>342</v>
      </c>
      <c r="X197" s="49" t="s">
        <v>343</v>
      </c>
      <c r="Y197" s="49" t="s">
        <v>344</v>
      </c>
      <c r="Z197" s="49" t="s">
        <v>345</v>
      </c>
      <c r="AA197" s="49" t="s">
        <v>346</v>
      </c>
      <c r="AB197" s="49" t="s">
        <v>347</v>
      </c>
      <c r="AC197" s="49" t="s">
        <v>348</v>
      </c>
      <c r="AD197" s="49" t="s">
        <v>349</v>
      </c>
    </row>
    <row r="198" spans="2:30" ht="24.6" outlineLevel="1" thickBot="1">
      <c r="B198" s="519"/>
      <c r="C198" s="442"/>
      <c r="D198" s="520"/>
      <c r="E198" s="520"/>
      <c r="F198" s="521"/>
      <c r="G198" s="425"/>
      <c r="H198" s="425"/>
      <c r="I198" s="425"/>
      <c r="J198" s="425"/>
      <c r="K198" s="448"/>
      <c r="L198" s="424"/>
      <c r="M198" s="363"/>
      <c r="N198" s="363"/>
      <c r="P198" s="50"/>
      <c r="Q198" s="50"/>
      <c r="R198" s="51"/>
      <c r="S198" s="51"/>
      <c r="T198" s="51"/>
      <c r="U198" s="51" t="s">
        <v>760</v>
      </c>
      <c r="V198" s="50" t="s">
        <v>761</v>
      </c>
      <c r="W198" s="50"/>
      <c r="X198" s="50"/>
      <c r="Y198" s="50"/>
      <c r="Z198" s="50"/>
      <c r="AA198" s="50"/>
      <c r="AB198" s="50"/>
      <c r="AC198" s="50"/>
      <c r="AD198" s="50"/>
    </row>
    <row r="199" spans="2:30" ht="43.8" outlineLevel="1" thickBot="1">
      <c r="B199" s="401" t="s">
        <v>682</v>
      </c>
      <c r="C199" s="402"/>
      <c r="D199" s="403"/>
      <c r="E199" s="404"/>
      <c r="F199" s="405"/>
      <c r="G199" s="406"/>
      <c r="H199" s="406"/>
      <c r="I199" s="406"/>
      <c r="J199" s="406"/>
      <c r="K199" s="459"/>
      <c r="L199" s="460"/>
      <c r="M199" s="363"/>
      <c r="N199" s="363"/>
      <c r="O199" s="461" t="s">
        <v>732</v>
      </c>
      <c r="P199" s="56"/>
      <c r="Q199" s="56"/>
      <c r="R199" s="57"/>
      <c r="S199" s="57"/>
      <c r="T199" s="57"/>
      <c r="U199" s="56" t="s">
        <v>350</v>
      </c>
      <c r="V199" s="56" t="s">
        <v>326</v>
      </c>
      <c r="W199" s="56" t="s">
        <v>327</v>
      </c>
      <c r="X199" s="56" t="s">
        <v>351</v>
      </c>
      <c r="Y199" s="56" t="s">
        <v>351</v>
      </c>
      <c r="Z199" s="56" t="s">
        <v>352</v>
      </c>
      <c r="AA199" s="56" t="s">
        <v>352</v>
      </c>
      <c r="AB199" s="56" t="s">
        <v>352</v>
      </c>
      <c r="AC199" s="56" t="s">
        <v>352</v>
      </c>
      <c r="AD199" s="56" t="s">
        <v>352</v>
      </c>
    </row>
    <row r="200" spans="2:30" outlineLevel="1">
      <c r="B200" s="522" t="s">
        <v>762</v>
      </c>
      <c r="C200" s="670">
        <v>3.5000000000000003E-2</v>
      </c>
      <c r="D200" s="670">
        <v>0.03</v>
      </c>
      <c r="E200" s="670">
        <v>0.03</v>
      </c>
      <c r="F200" s="670">
        <v>0.03</v>
      </c>
      <c r="G200" s="524"/>
      <c r="H200" s="524"/>
      <c r="I200" s="524"/>
      <c r="J200" s="524"/>
      <c r="K200" s="524" t="s">
        <v>55</v>
      </c>
      <c r="L200" s="525"/>
      <c r="M200" s="363"/>
      <c r="N200" s="363"/>
      <c r="O200" s="465">
        <f>C173</f>
        <v>90</v>
      </c>
      <c r="P200" s="466">
        <f>C169</f>
        <v>2020</v>
      </c>
      <c r="Q200" s="58">
        <f>P200</f>
        <v>2020</v>
      </c>
      <c r="R200" s="466">
        <f>O200/100</f>
        <v>0.9</v>
      </c>
      <c r="S200" s="58"/>
      <c r="T200" s="466">
        <f>C177</f>
        <v>25</v>
      </c>
      <c r="U200" s="467">
        <f>C207</f>
        <v>4605.4545454545441</v>
      </c>
      <c r="V200" s="467">
        <f>C209</f>
        <v>251.065</v>
      </c>
      <c r="W200" s="467">
        <f>C210</f>
        <v>5.7509861111111107</v>
      </c>
      <c r="X200" s="58"/>
      <c r="Y200" s="58"/>
      <c r="Z200" s="466">
        <f>C184</f>
        <v>11</v>
      </c>
      <c r="AA200" s="468">
        <f>C186</f>
        <v>63</v>
      </c>
      <c r="AB200" s="468">
        <f>C187</f>
        <v>11</v>
      </c>
      <c r="AC200" s="468">
        <f>C188</f>
        <v>3</v>
      </c>
      <c r="AD200" s="468">
        <f>C185</f>
        <v>10</v>
      </c>
    </row>
    <row r="201" spans="2:30" outlineLevel="1">
      <c r="B201" s="500" t="s">
        <v>763</v>
      </c>
      <c r="C201" s="526" t="s">
        <v>36</v>
      </c>
      <c r="D201" s="527" t="s">
        <v>36</v>
      </c>
      <c r="E201" s="527" t="s">
        <v>36</v>
      </c>
      <c r="F201" s="528" t="s">
        <v>36</v>
      </c>
      <c r="G201" s="528"/>
      <c r="H201" s="528"/>
      <c r="I201" s="528"/>
      <c r="J201" s="528"/>
      <c r="K201" s="529" t="s">
        <v>49</v>
      </c>
      <c r="L201" s="525"/>
      <c r="M201" s="363"/>
      <c r="N201" s="363"/>
      <c r="O201" s="465">
        <f>D173</f>
        <v>90</v>
      </c>
      <c r="P201" s="466">
        <f>D169</f>
        <v>2030</v>
      </c>
      <c r="Q201" s="58"/>
      <c r="R201" s="466">
        <f>O201/100</f>
        <v>0.9</v>
      </c>
      <c r="S201" s="58"/>
      <c r="T201" s="466">
        <f>D177</f>
        <v>25</v>
      </c>
      <c r="U201" s="467">
        <f>D207</f>
        <v>4402.2727272727279</v>
      </c>
      <c r="V201" s="467">
        <f>D209</f>
        <v>267.45499999999998</v>
      </c>
      <c r="W201" s="467">
        <f>D210</f>
        <v>5.8461805555555557</v>
      </c>
      <c r="X201" s="58"/>
      <c r="Y201" s="58"/>
      <c r="Z201" s="466">
        <f>D184</f>
        <v>11</v>
      </c>
      <c r="AA201" s="468">
        <f>D186</f>
        <v>49</v>
      </c>
      <c r="AB201" s="468">
        <f>D187</f>
        <v>8</v>
      </c>
      <c r="AC201" s="468">
        <f>D188</f>
        <v>3</v>
      </c>
      <c r="AD201" s="468">
        <f>D185</f>
        <v>10</v>
      </c>
    </row>
    <row r="202" spans="2:30" outlineLevel="1">
      <c r="B202" s="500" t="s">
        <v>764</v>
      </c>
      <c r="C202" s="526" t="s">
        <v>36</v>
      </c>
      <c r="D202" s="527" t="s">
        <v>36</v>
      </c>
      <c r="E202" s="527" t="s">
        <v>36</v>
      </c>
      <c r="F202" s="528" t="s">
        <v>36</v>
      </c>
      <c r="G202" s="515"/>
      <c r="H202" s="515"/>
      <c r="I202" s="515"/>
      <c r="J202" s="515"/>
      <c r="K202" s="515"/>
      <c r="L202" s="504"/>
      <c r="M202" s="363"/>
      <c r="N202" s="363"/>
      <c r="O202" s="465">
        <f>E173</f>
        <v>90</v>
      </c>
      <c r="P202" s="466">
        <f>E169</f>
        <v>2040</v>
      </c>
      <c r="Q202" s="58"/>
      <c r="R202" s="466">
        <f>O202/100</f>
        <v>0.9</v>
      </c>
      <c r="S202" s="58"/>
      <c r="T202" s="466">
        <f>E177</f>
        <v>25</v>
      </c>
      <c r="U202" s="467">
        <f>E207</f>
        <v>4199.0909090909081</v>
      </c>
      <c r="V202" s="467">
        <f>E209</f>
        <v>259.26</v>
      </c>
      <c r="W202" s="467">
        <f>E210</f>
        <v>5.8937777777777782</v>
      </c>
      <c r="X202" s="58"/>
      <c r="Y202" s="58"/>
      <c r="Z202" s="466">
        <f>E184</f>
        <v>11</v>
      </c>
      <c r="AA202" s="468">
        <f>E186</f>
        <v>46</v>
      </c>
      <c r="AB202" s="468">
        <f>E187</f>
        <v>6</v>
      </c>
      <c r="AC202" s="468">
        <f>E188</f>
        <v>1</v>
      </c>
      <c r="AD202" s="468">
        <f>E185</f>
        <v>10</v>
      </c>
    </row>
    <row r="203" spans="2:30" outlineLevel="1">
      <c r="B203" s="500" t="s">
        <v>765</v>
      </c>
      <c r="C203" s="685">
        <v>90</v>
      </c>
      <c r="D203" s="530">
        <v>90</v>
      </c>
      <c r="E203" s="530">
        <v>90</v>
      </c>
      <c r="F203" s="530">
        <v>90</v>
      </c>
      <c r="G203" s="531"/>
      <c r="H203" s="531"/>
      <c r="I203" s="531"/>
      <c r="J203" s="531"/>
      <c r="K203" s="531"/>
      <c r="L203" s="504">
        <v>3</v>
      </c>
      <c r="M203" s="363"/>
      <c r="N203" s="363"/>
      <c r="O203" s="465">
        <f>F173</f>
        <v>91</v>
      </c>
      <c r="P203" s="466">
        <f>F169</f>
        <v>2050</v>
      </c>
      <c r="Q203" s="58"/>
      <c r="R203" s="466">
        <f>O203/100</f>
        <v>0.91</v>
      </c>
      <c r="S203" s="58"/>
      <c r="T203" s="466">
        <f>F177</f>
        <v>25</v>
      </c>
      <c r="U203" s="467">
        <f>F207</f>
        <v>3995.9090909090883</v>
      </c>
      <c r="V203" s="467">
        <f>F209</f>
        <v>251.065</v>
      </c>
      <c r="W203" s="467">
        <f>F210</f>
        <v>5.8937777777777782</v>
      </c>
      <c r="X203" s="58"/>
      <c r="Y203" s="58"/>
      <c r="Z203" s="466">
        <f>F184</f>
        <v>11</v>
      </c>
      <c r="AA203" s="468">
        <f>F186</f>
        <v>41</v>
      </c>
      <c r="AB203" s="468">
        <f>F187</f>
        <v>4</v>
      </c>
      <c r="AC203" s="468">
        <f>F188</f>
        <v>1</v>
      </c>
      <c r="AD203" s="468">
        <f>F185</f>
        <v>10</v>
      </c>
    </row>
    <row r="204" spans="2:30" outlineLevel="1">
      <c r="B204" s="532" t="s">
        <v>766</v>
      </c>
      <c r="C204" s="526"/>
      <c r="D204" s="527"/>
      <c r="E204" s="527"/>
      <c r="F204" s="528"/>
      <c r="G204" s="531"/>
      <c r="H204" s="531"/>
      <c r="I204" s="531"/>
      <c r="J204" s="531"/>
      <c r="K204" s="531"/>
      <c r="L204" s="533"/>
      <c r="M204" s="367"/>
      <c r="N204" s="367"/>
    </row>
    <row r="205" spans="2:30" outlineLevel="1">
      <c r="B205" s="532" t="s">
        <v>767</v>
      </c>
      <c r="C205" s="526"/>
      <c r="D205" s="527"/>
      <c r="E205" s="527"/>
      <c r="F205" s="528"/>
      <c r="G205" s="531"/>
      <c r="H205" s="531"/>
      <c r="I205" s="531"/>
      <c r="J205" s="531"/>
      <c r="K205" s="531"/>
      <c r="L205" s="533"/>
      <c r="M205" s="363"/>
      <c r="N205" s="363"/>
    </row>
    <row r="206" spans="2:30" ht="15" outlineLevel="1" thickBot="1">
      <c r="B206" s="534" t="s">
        <v>768</v>
      </c>
      <c r="C206" s="535"/>
      <c r="D206" s="536"/>
      <c r="E206" s="536"/>
      <c r="F206" s="537"/>
      <c r="G206" s="538"/>
      <c r="H206" s="538"/>
      <c r="I206" s="538"/>
      <c r="J206" s="538"/>
      <c r="K206" s="538"/>
      <c r="L206" s="539"/>
      <c r="M206" s="363"/>
      <c r="N206" s="363"/>
    </row>
    <row r="207" spans="2:30" ht="57.6" outlineLevel="1">
      <c r="B207" s="461" t="s">
        <v>769</v>
      </c>
      <c r="C207" s="483">
        <f>C190*$F$4*1000</f>
        <v>4605.4545454545441</v>
      </c>
      <c r="D207" s="483">
        <f t="shared" ref="D207:F207" si="11">D190*$F$4*1000</f>
        <v>4402.2727272727279</v>
      </c>
      <c r="E207" s="483">
        <f t="shared" si="11"/>
        <v>4199.0909090909081</v>
      </c>
      <c r="F207" s="483">
        <f t="shared" si="11"/>
        <v>3995.9090909090883</v>
      </c>
      <c r="G207" s="483"/>
      <c r="H207" s="484"/>
      <c r="I207" s="420" t="s">
        <v>332</v>
      </c>
      <c r="J207" s="420"/>
      <c r="K207" s="484"/>
      <c r="L207" s="484"/>
      <c r="N207" s="420"/>
    </row>
    <row r="208" spans="2:30" outlineLevel="1">
      <c r="B208" s="485" t="s">
        <v>770</v>
      </c>
      <c r="C208" s="486">
        <f>C207*$I208</f>
        <v>2302727.272727272</v>
      </c>
      <c r="D208" s="486">
        <f>D207*$I208</f>
        <v>2201136.3636363638</v>
      </c>
      <c r="E208" s="486">
        <f>E207*$I208</f>
        <v>2099545.4545454541</v>
      </c>
      <c r="F208" s="486">
        <f>F207*$I208</f>
        <v>1997954.545454544</v>
      </c>
      <c r="G208" s="486"/>
      <c r="H208" s="484"/>
      <c r="I208" s="71">
        <v>500</v>
      </c>
      <c r="J208" s="420" t="s">
        <v>330</v>
      </c>
      <c r="K208" s="484"/>
      <c r="L208" s="484"/>
      <c r="N208" s="420"/>
    </row>
    <row r="209" spans="1:16" ht="43.2" outlineLevel="1">
      <c r="B209" s="461" t="s">
        <v>845</v>
      </c>
      <c r="C209" s="359">
        <f>C193*$F$4/1000</f>
        <v>251.065</v>
      </c>
      <c r="D209" s="359">
        <f t="shared" ref="D209:F209" si="12">D193*$F$4/1000</f>
        <v>267.45499999999998</v>
      </c>
      <c r="E209" s="359">
        <f t="shared" si="12"/>
        <v>259.26</v>
      </c>
      <c r="F209" s="359">
        <f t="shared" si="12"/>
        <v>251.065</v>
      </c>
      <c r="G209" s="359"/>
      <c r="I209" s="420" t="s">
        <v>333</v>
      </c>
      <c r="J209" s="420"/>
      <c r="N209" s="420"/>
    </row>
    <row r="210" spans="1:16" ht="43.2" outlineLevel="1">
      <c r="B210" s="461" t="s">
        <v>846</v>
      </c>
      <c r="C210" s="487">
        <f>C194*$F$4/3.6</f>
        <v>5.7509861111111107</v>
      </c>
      <c r="D210" s="487">
        <f t="shared" ref="D210:F210" si="13">D194*$F$4/3.6</f>
        <v>5.8461805555555557</v>
      </c>
      <c r="E210" s="487">
        <f t="shared" si="13"/>
        <v>5.8937777777777782</v>
      </c>
      <c r="F210" s="487">
        <f t="shared" si="13"/>
        <v>5.8937777777777782</v>
      </c>
      <c r="G210" s="359"/>
      <c r="M210" s="420"/>
      <c r="N210" s="420"/>
    </row>
    <row r="211" spans="1:16" outlineLevel="1"/>
    <row r="212" spans="1:16" outlineLevel="1">
      <c r="A212" s="488"/>
      <c r="B212" s="489"/>
      <c r="D212" s="490"/>
      <c r="E212" s="490"/>
      <c r="F212" s="490"/>
      <c r="G212" s="358"/>
      <c r="H212" s="358"/>
      <c r="I212" s="358"/>
      <c r="J212" s="358"/>
      <c r="K212" s="358"/>
      <c r="L212" s="358"/>
      <c r="N212" s="570"/>
      <c r="O212" s="489"/>
      <c r="P212" s="490"/>
    </row>
    <row r="213" spans="1:16" outlineLevel="1">
      <c r="A213" s="491"/>
      <c r="B213" s="492"/>
      <c r="D213" s="490"/>
      <c r="E213" s="490"/>
      <c r="F213" s="490"/>
      <c r="G213" s="358"/>
      <c r="H213" s="358"/>
      <c r="I213" s="358"/>
      <c r="J213" s="358"/>
      <c r="K213" s="358"/>
      <c r="L213" s="358"/>
      <c r="N213" s="570"/>
      <c r="O213" s="489"/>
      <c r="P213" s="490"/>
    </row>
    <row r="214" spans="1:16" outlineLevel="1">
      <c r="A214" s="491"/>
      <c r="B214" s="493"/>
      <c r="D214" s="490"/>
      <c r="E214" s="490"/>
      <c r="F214" s="490"/>
      <c r="G214" s="358"/>
      <c r="H214" s="358"/>
      <c r="I214" s="358"/>
      <c r="J214" s="358"/>
      <c r="K214" s="358"/>
      <c r="L214" s="358"/>
      <c r="N214" s="570"/>
      <c r="O214" s="489"/>
      <c r="P214" s="490"/>
    </row>
    <row r="215" spans="1:16" outlineLevel="1">
      <c r="A215" s="491"/>
      <c r="B215" s="488" t="s">
        <v>773</v>
      </c>
      <c r="C215" s="489"/>
      <c r="E215" s="358"/>
      <c r="F215" s="490"/>
      <c r="G215" s="358"/>
      <c r="H215" s="358"/>
      <c r="I215" s="358"/>
      <c r="J215" s="358"/>
      <c r="K215" s="358"/>
      <c r="L215" s="358"/>
      <c r="N215" s="570"/>
      <c r="O215" s="489"/>
      <c r="P215" s="490"/>
    </row>
    <row r="216" spans="1:16" outlineLevel="1">
      <c r="A216" s="491"/>
      <c r="B216" s="491">
        <v>1</v>
      </c>
      <c r="C216" s="492" t="s">
        <v>774</v>
      </c>
      <c r="E216" s="358"/>
      <c r="F216" s="490"/>
      <c r="G216" s="358"/>
      <c r="H216" s="358"/>
      <c r="I216" s="358"/>
      <c r="J216" s="358"/>
      <c r="K216" s="358"/>
      <c r="L216" s="358"/>
      <c r="N216" s="570"/>
      <c r="O216" s="489"/>
      <c r="P216" s="490"/>
    </row>
    <row r="217" spans="1:16" outlineLevel="1">
      <c r="A217" s="358"/>
      <c r="B217" s="491">
        <v>2</v>
      </c>
      <c r="C217" s="493" t="s">
        <v>775</v>
      </c>
      <c r="E217" s="358"/>
      <c r="F217" s="490"/>
      <c r="G217" s="358"/>
      <c r="H217" s="358"/>
      <c r="I217" s="358"/>
      <c r="J217" s="358"/>
      <c r="K217" s="358"/>
      <c r="L217" s="358"/>
    </row>
    <row r="218" spans="1:16" outlineLevel="1">
      <c r="A218" s="358"/>
      <c r="B218" s="491">
        <v>3</v>
      </c>
      <c r="C218" s="493" t="s">
        <v>776</v>
      </c>
      <c r="E218" s="358"/>
      <c r="F218" s="490"/>
      <c r="G218" s="358"/>
      <c r="H218" s="358"/>
      <c r="I218" s="358"/>
      <c r="J218" s="358"/>
      <c r="K218" s="358"/>
      <c r="L218" s="358"/>
    </row>
    <row r="219" spans="1:16" outlineLevel="1">
      <c r="A219" s="358"/>
      <c r="B219" s="491">
        <v>4</v>
      </c>
      <c r="C219" s="493" t="s">
        <v>777</v>
      </c>
      <c r="E219" s="358"/>
      <c r="F219" s="490"/>
      <c r="G219" s="358"/>
      <c r="H219" s="358"/>
      <c r="I219" s="358"/>
      <c r="J219" s="358"/>
      <c r="K219" s="358"/>
      <c r="L219" s="358"/>
    </row>
    <row r="220" spans="1:16" outlineLevel="1">
      <c r="A220" s="358"/>
      <c r="B220" s="358">
        <v>5</v>
      </c>
      <c r="C220" s="494" t="s">
        <v>778</v>
      </c>
      <c r="F220" s="490"/>
      <c r="G220" s="358"/>
      <c r="H220" s="358"/>
      <c r="I220" s="358"/>
      <c r="J220" s="358"/>
      <c r="K220" s="358"/>
      <c r="L220" s="358"/>
    </row>
    <row r="221" spans="1:16" outlineLevel="1">
      <c r="A221" s="358"/>
      <c r="B221" s="358">
        <v>6</v>
      </c>
      <c r="C221" s="492" t="s">
        <v>779</v>
      </c>
      <c r="F221" s="490"/>
      <c r="G221" s="358"/>
      <c r="H221" s="358"/>
      <c r="I221" s="358"/>
      <c r="J221" s="358"/>
      <c r="K221" s="358"/>
      <c r="L221" s="358"/>
    </row>
    <row r="222" spans="1:16" outlineLevel="1">
      <c r="A222" s="358"/>
      <c r="B222" s="358">
        <v>7</v>
      </c>
      <c r="C222" s="495" t="s">
        <v>774</v>
      </c>
      <c r="F222" s="490"/>
      <c r="G222" s="358"/>
      <c r="H222" s="358"/>
      <c r="I222" s="358"/>
      <c r="J222" s="358"/>
      <c r="K222" s="358"/>
      <c r="L222" s="358"/>
    </row>
    <row r="223" spans="1:16" outlineLevel="1">
      <c r="A223" s="488"/>
      <c r="B223" s="358">
        <v>8</v>
      </c>
      <c r="C223" s="495" t="s">
        <v>780</v>
      </c>
      <c r="F223" s="490"/>
      <c r="G223" s="358"/>
      <c r="H223" s="358"/>
      <c r="I223" s="358"/>
      <c r="J223" s="358"/>
      <c r="K223" s="358"/>
      <c r="L223" s="358"/>
    </row>
    <row r="224" spans="1:16" outlineLevel="1">
      <c r="A224" s="496"/>
      <c r="B224" s="358">
        <v>9</v>
      </c>
      <c r="C224" s="489" t="s">
        <v>781</v>
      </c>
      <c r="F224" s="490"/>
      <c r="G224" s="358"/>
      <c r="H224" s="358"/>
      <c r="I224" s="358"/>
      <c r="J224" s="358"/>
      <c r="K224" s="358"/>
      <c r="L224" s="358"/>
      <c r="N224" s="570"/>
      <c r="O224" s="489"/>
      <c r="P224" s="490"/>
    </row>
    <row r="225" spans="1:16" outlineLevel="1">
      <c r="A225" s="496"/>
      <c r="B225" s="358">
        <v>10</v>
      </c>
      <c r="C225" s="490" t="s">
        <v>782</v>
      </c>
      <c r="F225" s="490"/>
      <c r="G225" s="358"/>
      <c r="H225" s="358"/>
      <c r="I225" s="358"/>
      <c r="J225" s="358"/>
      <c r="K225" s="358"/>
      <c r="L225" s="358"/>
      <c r="N225" s="570"/>
      <c r="O225" s="489"/>
      <c r="P225" s="490"/>
    </row>
    <row r="226" spans="1:16" outlineLevel="1">
      <c r="A226" s="496"/>
      <c r="B226" s="488" t="s">
        <v>783</v>
      </c>
      <c r="C226" s="489"/>
      <c r="F226" s="490"/>
      <c r="G226" s="358"/>
      <c r="H226" s="358"/>
      <c r="I226" s="358"/>
      <c r="J226" s="358"/>
      <c r="K226" s="358"/>
      <c r="L226" s="358"/>
      <c r="N226" s="570"/>
      <c r="O226" s="489"/>
      <c r="P226" s="490"/>
    </row>
    <row r="227" spans="1:16" outlineLevel="1">
      <c r="A227" s="496"/>
      <c r="B227" s="496" t="s">
        <v>6</v>
      </c>
      <c r="C227" s="497" t="s">
        <v>975</v>
      </c>
      <c r="D227" s="489"/>
      <c r="F227" s="490"/>
      <c r="G227" s="358"/>
      <c r="H227" s="358"/>
      <c r="I227" s="358"/>
      <c r="J227" s="358"/>
      <c r="K227" s="358"/>
      <c r="L227" s="358"/>
      <c r="N227" s="570"/>
      <c r="O227" s="489"/>
      <c r="P227" s="490"/>
    </row>
    <row r="228" spans="1:16" outlineLevel="1">
      <c r="A228" s="496"/>
      <c r="B228" s="496" t="s">
        <v>59</v>
      </c>
      <c r="C228" s="489" t="s">
        <v>785</v>
      </c>
      <c r="D228" s="489"/>
      <c r="F228" s="490"/>
      <c r="G228" s="358"/>
      <c r="H228" s="358"/>
      <c r="I228" s="358"/>
      <c r="J228" s="358"/>
      <c r="K228" s="358"/>
      <c r="L228" s="358"/>
      <c r="N228" s="570"/>
      <c r="O228" s="489"/>
      <c r="P228" s="490"/>
    </row>
    <row r="229" spans="1:16" outlineLevel="1">
      <c r="A229" s="496"/>
      <c r="B229" s="496" t="s">
        <v>16</v>
      </c>
      <c r="C229" s="489" t="s">
        <v>976</v>
      </c>
      <c r="D229" s="489"/>
      <c r="F229" s="490"/>
      <c r="G229" s="358"/>
      <c r="H229" s="358"/>
      <c r="I229" s="358"/>
      <c r="J229" s="358"/>
      <c r="K229" s="358"/>
      <c r="L229" s="358"/>
      <c r="N229" s="570"/>
      <c r="O229" s="489"/>
      <c r="P229" s="490"/>
    </row>
    <row r="230" spans="1:16" outlineLevel="1">
      <c r="A230" s="496"/>
      <c r="B230" s="496" t="s">
        <v>20</v>
      </c>
      <c r="C230" s="489" t="s">
        <v>977</v>
      </c>
      <c r="D230" s="489"/>
      <c r="F230" s="490"/>
      <c r="G230" s="358"/>
      <c r="H230" s="358"/>
      <c r="I230" s="358"/>
      <c r="J230" s="358"/>
      <c r="K230" s="358"/>
      <c r="L230" s="358"/>
      <c r="N230" s="570"/>
      <c r="O230" s="489"/>
      <c r="P230" s="490"/>
    </row>
    <row r="231" spans="1:16" outlineLevel="1">
      <c r="A231" s="496"/>
      <c r="B231" s="496" t="s">
        <v>76</v>
      </c>
      <c r="C231" s="489" t="s">
        <v>786</v>
      </c>
      <c r="D231" s="489"/>
      <c r="F231" s="490"/>
      <c r="G231" s="358"/>
      <c r="H231" s="358"/>
      <c r="I231" s="358"/>
      <c r="J231" s="358"/>
      <c r="K231" s="358"/>
      <c r="L231" s="358"/>
      <c r="N231" s="570"/>
      <c r="O231" s="489"/>
      <c r="P231" s="490"/>
    </row>
    <row r="232" spans="1:16" outlineLevel="1">
      <c r="A232" s="496"/>
      <c r="B232" s="496" t="s">
        <v>25</v>
      </c>
      <c r="C232" s="489" t="s">
        <v>978</v>
      </c>
      <c r="D232" s="489"/>
      <c r="F232" s="490"/>
      <c r="G232" s="358"/>
      <c r="H232" s="358"/>
      <c r="I232" s="358"/>
      <c r="J232" s="358"/>
      <c r="K232" s="358"/>
      <c r="L232" s="358"/>
      <c r="N232" s="570"/>
      <c r="O232" s="489"/>
      <c r="P232" s="490"/>
    </row>
    <row r="233" spans="1:16" outlineLevel="1">
      <c r="A233" s="496"/>
      <c r="B233" s="496" t="s">
        <v>33</v>
      </c>
      <c r="C233" s="489" t="s">
        <v>979</v>
      </c>
      <c r="D233" s="489"/>
      <c r="F233" s="490"/>
      <c r="G233" s="358"/>
      <c r="H233" s="358"/>
      <c r="I233" s="358"/>
      <c r="J233" s="358"/>
      <c r="K233" s="358"/>
      <c r="L233" s="358"/>
      <c r="N233" s="570"/>
      <c r="O233" s="489"/>
      <c r="P233" s="490"/>
    </row>
    <row r="234" spans="1:16" outlineLevel="1">
      <c r="A234" s="496"/>
      <c r="B234" s="496" t="s">
        <v>51</v>
      </c>
      <c r="C234" s="489" t="s">
        <v>980</v>
      </c>
      <c r="D234" s="489"/>
      <c r="F234" s="490"/>
      <c r="G234" s="358"/>
      <c r="H234" s="358"/>
      <c r="I234" s="358"/>
      <c r="J234" s="358"/>
      <c r="K234" s="358"/>
      <c r="L234" s="358"/>
      <c r="N234" s="570"/>
      <c r="O234" s="489"/>
      <c r="P234" s="490"/>
    </row>
    <row r="235" spans="1:16" outlineLevel="1">
      <c r="A235" s="496"/>
      <c r="B235" s="496" t="s">
        <v>52</v>
      </c>
      <c r="C235" s="498" t="s">
        <v>788</v>
      </c>
      <c r="D235" s="489"/>
      <c r="F235" s="490"/>
      <c r="G235" s="358"/>
      <c r="H235" s="358"/>
      <c r="I235" s="358"/>
      <c r="J235" s="358"/>
      <c r="K235" s="358"/>
      <c r="L235" s="358"/>
      <c r="N235" s="570"/>
      <c r="O235" s="489"/>
      <c r="P235" s="490"/>
    </row>
    <row r="236" spans="1:16" outlineLevel="1">
      <c r="A236" s="496"/>
      <c r="B236" s="496" t="s">
        <v>55</v>
      </c>
      <c r="C236" s="489" t="s">
        <v>804</v>
      </c>
      <c r="D236" s="489"/>
      <c r="F236" s="490"/>
      <c r="G236" s="358"/>
      <c r="H236" s="358"/>
      <c r="I236" s="358"/>
      <c r="J236" s="358"/>
      <c r="K236" s="358"/>
      <c r="L236" s="358"/>
      <c r="N236" s="571"/>
      <c r="O236" s="489"/>
      <c r="P236" s="490"/>
    </row>
    <row r="237" spans="1:16" outlineLevel="1">
      <c r="A237" s="496"/>
      <c r="B237" s="496" t="s">
        <v>49</v>
      </c>
      <c r="C237" s="489" t="s">
        <v>789</v>
      </c>
      <c r="D237" s="489"/>
      <c r="F237" s="490"/>
      <c r="G237" s="358"/>
      <c r="H237" s="358"/>
      <c r="I237" s="358"/>
      <c r="J237" s="358"/>
      <c r="K237" s="358"/>
      <c r="L237" s="358"/>
      <c r="N237" s="572"/>
      <c r="O237" s="489"/>
      <c r="P237" s="490"/>
    </row>
    <row r="238" spans="1:16" outlineLevel="1">
      <c r="A238" s="496"/>
      <c r="F238" s="490"/>
      <c r="G238" s="358"/>
      <c r="H238" s="358"/>
      <c r="I238" s="358"/>
      <c r="J238" s="358"/>
      <c r="K238" s="358"/>
      <c r="L238" s="358"/>
      <c r="N238" s="573"/>
      <c r="O238" s="489"/>
      <c r="P238" s="490"/>
    </row>
    <row r="239" spans="1:16" outlineLevel="1">
      <c r="A239" s="496"/>
      <c r="B239" s="498"/>
      <c r="C239" s="490"/>
      <c r="D239" s="490"/>
      <c r="E239" s="490"/>
      <c r="F239" s="490"/>
      <c r="G239" s="358"/>
      <c r="H239" s="358"/>
      <c r="I239" s="358"/>
      <c r="J239" s="358"/>
      <c r="K239" s="358"/>
      <c r="L239" s="358"/>
      <c r="N239" s="573"/>
      <c r="O239" s="490"/>
      <c r="P239" s="490"/>
    </row>
    <row r="240" spans="1:16" outlineLevel="1">
      <c r="A240" s="496"/>
      <c r="B240" s="489"/>
      <c r="C240" s="490"/>
      <c r="D240" s="490"/>
      <c r="E240" s="490"/>
      <c r="F240" s="490"/>
      <c r="G240" s="358"/>
      <c r="H240" s="358"/>
      <c r="I240" s="358"/>
      <c r="J240" s="358"/>
      <c r="K240" s="358"/>
      <c r="L240" s="358"/>
      <c r="N240" s="489"/>
      <c r="O240" s="490"/>
      <c r="P240" s="490"/>
    </row>
    <row r="241" spans="1:44" outlineLevel="1">
      <c r="A241" s="496"/>
      <c r="B241" s="489"/>
      <c r="C241" s="490"/>
      <c r="D241" s="490"/>
      <c r="E241" s="490"/>
      <c r="F241" s="490"/>
      <c r="G241" s="358"/>
      <c r="H241" s="358"/>
      <c r="I241" s="358"/>
      <c r="J241" s="358"/>
      <c r="K241" s="358"/>
      <c r="L241" s="358"/>
      <c r="N241" s="490"/>
      <c r="O241" s="490"/>
      <c r="P241" s="490"/>
    </row>
    <row r="242" spans="1:44" outlineLevel="1"/>
    <row r="243" spans="1:44" outlineLevel="1"/>
    <row r="245" spans="1:44">
      <c r="A245" s="360" t="s">
        <v>995</v>
      </c>
      <c r="B245" s="1207"/>
      <c r="C245" s="1143"/>
      <c r="D245" s="1143"/>
      <c r="E245" s="1143"/>
      <c r="F245" s="1143"/>
      <c r="G245" s="1143"/>
      <c r="H245" s="1143"/>
      <c r="I245" s="1143"/>
      <c r="J245" s="1143"/>
      <c r="K245" s="1143"/>
      <c r="L245" s="1143"/>
      <c r="M245" s="1143"/>
      <c r="N245" s="361"/>
      <c r="P245" s="1143"/>
      <c r="Q245" s="1143"/>
      <c r="R245" s="1143"/>
      <c r="S245" s="1143"/>
      <c r="T245" s="1143"/>
      <c r="U245" s="1143"/>
    </row>
    <row r="246" spans="1:44" ht="20.55" customHeight="1" outlineLevel="1" thickBot="1">
      <c r="B246" s="1207"/>
      <c r="C246" s="1143"/>
      <c r="D246" s="1143"/>
      <c r="E246" s="1143"/>
      <c r="F246" s="1143"/>
      <c r="G246" s="1143"/>
      <c r="H246" s="1143"/>
      <c r="I246" s="1143"/>
      <c r="J246" s="1143"/>
      <c r="K246" s="1143"/>
      <c r="L246" s="1143"/>
      <c r="M246" s="1143"/>
      <c r="N246" s="361"/>
      <c r="P246" s="692">
        <v>1</v>
      </c>
      <c r="Q246" s="692">
        <v>2</v>
      </c>
      <c r="R246" s="692">
        <v>3</v>
      </c>
      <c r="S246" s="692">
        <v>4</v>
      </c>
      <c r="T246" s="692">
        <v>5</v>
      </c>
      <c r="U246" s="692">
        <v>6</v>
      </c>
      <c r="V246" s="692">
        <v>7</v>
      </c>
      <c r="W246" s="692">
        <v>8</v>
      </c>
      <c r="X246" s="692">
        <v>9</v>
      </c>
      <c r="Y246" s="692">
        <v>10</v>
      </c>
      <c r="Z246" s="692">
        <v>11</v>
      </c>
      <c r="AA246" s="692">
        <v>12</v>
      </c>
      <c r="AB246" s="692">
        <v>13</v>
      </c>
      <c r="AC246" s="692">
        <v>14</v>
      </c>
    </row>
    <row r="247" spans="1:44" ht="15" customHeight="1" outlineLevel="1" thickBot="1">
      <c r="B247" s="362" t="s">
        <v>0</v>
      </c>
      <c r="C247" s="1204" t="s">
        <v>991</v>
      </c>
      <c r="D247" s="1205"/>
      <c r="E247" s="1205"/>
      <c r="F247" s="1205"/>
      <c r="G247" s="1205"/>
      <c r="H247" s="1205"/>
      <c r="I247" s="1205"/>
      <c r="J247" s="1205"/>
      <c r="K247" s="1205"/>
      <c r="L247" s="1206"/>
      <c r="M247" s="363"/>
      <c r="N247" s="363"/>
      <c r="P247" s="364" t="s">
        <v>713</v>
      </c>
      <c r="Q247" s="365"/>
      <c r="R247" s="366"/>
      <c r="S247" s="1176" t="s">
        <v>714</v>
      </c>
      <c r="T247" s="1160" t="s">
        <v>715</v>
      </c>
      <c r="U247" s="1161"/>
      <c r="V247" s="1160" t="s">
        <v>716</v>
      </c>
      <c r="W247" s="1161"/>
      <c r="X247" s="1160" t="s">
        <v>717</v>
      </c>
      <c r="Y247" s="1161"/>
      <c r="Z247" s="1160" t="s">
        <v>718</v>
      </c>
      <c r="AA247" s="1161"/>
      <c r="AB247" s="1160" t="s">
        <v>719</v>
      </c>
      <c r="AC247" s="1161"/>
      <c r="AE247" s="364" t="s">
        <v>720</v>
      </c>
      <c r="AF247" s="365"/>
      <c r="AG247" s="366"/>
      <c r="AH247" s="1176" t="s">
        <v>714</v>
      </c>
      <c r="AI247" s="1160" t="s">
        <v>715</v>
      </c>
      <c r="AJ247" s="1161"/>
      <c r="AK247" s="1160" t="s">
        <v>716</v>
      </c>
      <c r="AL247" s="1161"/>
      <c r="AM247" s="1160" t="s">
        <v>717</v>
      </c>
      <c r="AN247" s="1161"/>
      <c r="AO247" s="1160" t="s">
        <v>718</v>
      </c>
      <c r="AP247" s="1161"/>
      <c r="AQ247" s="1160" t="s">
        <v>719</v>
      </c>
      <c r="AR247" s="1161"/>
    </row>
    <row r="248" spans="1:44" ht="15" customHeight="1" outlineLevel="1" thickBot="1">
      <c r="B248" s="1164" t="s">
        <v>4</v>
      </c>
      <c r="C248" s="1166">
        <v>2020</v>
      </c>
      <c r="D248" s="1166">
        <v>2030</v>
      </c>
      <c r="E248" s="1166">
        <v>2040</v>
      </c>
      <c r="F248" s="1166">
        <v>2050</v>
      </c>
      <c r="G248" s="1200" t="s">
        <v>721</v>
      </c>
      <c r="H248" s="1201"/>
      <c r="I248" s="1200" t="s">
        <v>648</v>
      </c>
      <c r="J248" s="1201"/>
      <c r="K248" s="1202" t="s">
        <v>2</v>
      </c>
      <c r="L248" s="1202" t="s">
        <v>3</v>
      </c>
      <c r="M248" s="367"/>
      <c r="N248" s="367"/>
      <c r="P248" s="1180" t="s">
        <v>0</v>
      </c>
      <c r="Q248" s="368"/>
      <c r="R248" s="368"/>
      <c r="S248" s="1177"/>
      <c r="T248" s="1162"/>
      <c r="U248" s="1163"/>
      <c r="V248" s="1162"/>
      <c r="W248" s="1163"/>
      <c r="X248" s="1162"/>
      <c r="Y248" s="1163"/>
      <c r="Z248" s="1162"/>
      <c r="AA248" s="1163"/>
      <c r="AB248" s="1162"/>
      <c r="AC248" s="1163"/>
      <c r="AE248" s="1180" t="s">
        <v>0</v>
      </c>
      <c r="AF248" s="368"/>
      <c r="AG248" s="368"/>
      <c r="AH248" s="1177"/>
      <c r="AI248" s="1162"/>
      <c r="AJ248" s="1163"/>
      <c r="AK248" s="1162"/>
      <c r="AL248" s="1163"/>
      <c r="AM248" s="1162"/>
      <c r="AN248" s="1163"/>
      <c r="AO248" s="1162"/>
      <c r="AP248" s="1163"/>
      <c r="AQ248" s="1162"/>
      <c r="AR248" s="1163"/>
    </row>
    <row r="249" spans="1:44" ht="15" outlineLevel="1" thickBot="1">
      <c r="B249" s="1165"/>
      <c r="C249" s="1167"/>
      <c r="D249" s="1167"/>
      <c r="E249" s="1167"/>
      <c r="F249" s="1167"/>
      <c r="G249" s="499" t="s">
        <v>649</v>
      </c>
      <c r="H249" s="499" t="s">
        <v>650</v>
      </c>
      <c r="I249" s="499" t="s">
        <v>649</v>
      </c>
      <c r="J249" s="499" t="s">
        <v>650</v>
      </c>
      <c r="K249" s="1203"/>
      <c r="L249" s="1203"/>
      <c r="M249" s="370"/>
      <c r="N249" s="370"/>
      <c r="P249" s="1181"/>
      <c r="Q249" s="1183" t="s">
        <v>722</v>
      </c>
      <c r="R249" s="1184" t="s">
        <v>723</v>
      </c>
      <c r="S249" s="1178"/>
      <c r="T249" s="1162"/>
      <c r="U249" s="1163"/>
      <c r="V249" s="1162"/>
      <c r="W249" s="1163"/>
      <c r="X249" s="1162"/>
      <c r="Y249" s="1163"/>
      <c r="Z249" s="1162"/>
      <c r="AA249" s="1163"/>
      <c r="AB249" s="1162"/>
      <c r="AC249" s="1163"/>
      <c r="AE249" s="1181"/>
      <c r="AF249" s="1197" t="s">
        <v>722</v>
      </c>
      <c r="AG249" s="1184" t="s">
        <v>723</v>
      </c>
      <c r="AH249" s="1178"/>
      <c r="AI249" s="1162"/>
      <c r="AJ249" s="1163"/>
      <c r="AK249" s="1162"/>
      <c r="AL249" s="1163"/>
      <c r="AM249" s="1162"/>
      <c r="AN249" s="1163"/>
      <c r="AO249" s="1162"/>
      <c r="AP249" s="1163"/>
      <c r="AQ249" s="1162"/>
      <c r="AR249" s="1163"/>
    </row>
    <row r="250" spans="1:44" ht="14.55" customHeight="1" outlineLevel="1" thickBot="1">
      <c r="B250" s="371" t="s">
        <v>651</v>
      </c>
      <c r="C250" s="372">
        <v>20</v>
      </c>
      <c r="D250" s="372">
        <v>20</v>
      </c>
      <c r="E250" s="372">
        <v>20</v>
      </c>
      <c r="F250" s="372">
        <v>20</v>
      </c>
      <c r="G250" s="372">
        <v>1</v>
      </c>
      <c r="H250" s="372">
        <v>50</v>
      </c>
      <c r="I250" s="372">
        <v>1</v>
      </c>
      <c r="J250" s="372">
        <v>50</v>
      </c>
      <c r="K250" s="372" t="s">
        <v>6</v>
      </c>
      <c r="L250" s="373" t="s">
        <v>725</v>
      </c>
      <c r="M250" s="370"/>
      <c r="N250" s="370"/>
      <c r="O250" s="74"/>
      <c r="P250" s="1182"/>
      <c r="Q250" s="1179"/>
      <c r="R250" s="1185"/>
      <c r="S250" s="1179"/>
      <c r="T250" s="374" t="s">
        <v>726</v>
      </c>
      <c r="U250" s="375" t="s">
        <v>727</v>
      </c>
      <c r="V250" s="374" t="s">
        <v>726</v>
      </c>
      <c r="W250" s="375" t="s">
        <v>727</v>
      </c>
      <c r="X250" s="374" t="s">
        <v>726</v>
      </c>
      <c r="Y250" s="375" t="s">
        <v>727</v>
      </c>
      <c r="Z250" s="374" t="s">
        <v>726</v>
      </c>
      <c r="AA250" s="375" t="s">
        <v>727</v>
      </c>
      <c r="AB250" s="374" t="s">
        <v>726</v>
      </c>
      <c r="AC250" s="375" t="s">
        <v>727</v>
      </c>
      <c r="AE250" s="1182"/>
      <c r="AF250" s="1198"/>
      <c r="AG250" s="1185"/>
      <c r="AH250" s="1179"/>
      <c r="AI250" s="374" t="s">
        <v>726</v>
      </c>
      <c r="AJ250" s="375" t="s">
        <v>727</v>
      </c>
      <c r="AK250" s="374" t="s">
        <v>726</v>
      </c>
      <c r="AL250" s="375" t="s">
        <v>727</v>
      </c>
      <c r="AM250" s="374" t="s">
        <v>726</v>
      </c>
      <c r="AN250" s="375" t="s">
        <v>727</v>
      </c>
      <c r="AO250" s="374" t="s">
        <v>726</v>
      </c>
      <c r="AP250" s="375" t="s">
        <v>727</v>
      </c>
      <c r="AQ250" s="374" t="s">
        <v>726</v>
      </c>
      <c r="AR250" s="375" t="s">
        <v>727</v>
      </c>
    </row>
    <row r="251" spans="1:44" outlineLevel="1">
      <c r="B251" s="500" t="s">
        <v>728</v>
      </c>
      <c r="C251" s="668">
        <v>116.18960947726835</v>
      </c>
      <c r="D251" s="668">
        <v>116.18960947726835</v>
      </c>
      <c r="E251" s="669">
        <v>116.18960947726835</v>
      </c>
      <c r="F251" s="668">
        <v>116.18960947726835</v>
      </c>
      <c r="G251" s="501">
        <v>88</v>
      </c>
      <c r="H251" s="501">
        <v>117</v>
      </c>
      <c r="I251" s="501">
        <v>88</v>
      </c>
      <c r="J251" s="501">
        <v>117</v>
      </c>
      <c r="K251" s="503" t="s">
        <v>982</v>
      </c>
      <c r="L251" s="504">
        <v>11</v>
      </c>
      <c r="M251" s="370"/>
      <c r="N251" s="370"/>
      <c r="P251" s="1199" t="str">
        <f>C247</f>
        <v>Hot water boiler, Wood chips (Condensing)</v>
      </c>
      <c r="Q251" s="1154" t="s">
        <v>730</v>
      </c>
      <c r="R251" s="381" t="s">
        <v>731</v>
      </c>
      <c r="S251" s="382"/>
      <c r="T251" s="1137">
        <v>0</v>
      </c>
      <c r="U251" s="1151">
        <v>0</v>
      </c>
      <c r="V251" s="1157">
        <v>0</v>
      </c>
      <c r="W251" s="1151">
        <v>0</v>
      </c>
      <c r="X251" s="1157">
        <v>0</v>
      </c>
      <c r="Y251" s="1151">
        <v>0</v>
      </c>
      <c r="Z251" s="1157">
        <v>0</v>
      </c>
      <c r="AA251" s="1151">
        <v>0</v>
      </c>
      <c r="AB251" s="1157">
        <v>0</v>
      </c>
      <c r="AC251" s="1151">
        <v>0</v>
      </c>
      <c r="AE251" s="1148" t="str">
        <f>P251</f>
        <v>Hot water boiler, Wood chips (Condensing)</v>
      </c>
      <c r="AF251" s="1154" t="s">
        <v>730</v>
      </c>
      <c r="AG251" s="381" t="s">
        <v>731</v>
      </c>
      <c r="AH251" s="382"/>
      <c r="AI251" s="1137">
        <v>0</v>
      </c>
      <c r="AJ251" s="1151">
        <v>0</v>
      </c>
      <c r="AK251" s="1157">
        <v>0</v>
      </c>
      <c r="AL251" s="1151">
        <v>0</v>
      </c>
      <c r="AM251" s="1157">
        <v>0</v>
      </c>
      <c r="AN251" s="1151">
        <v>0</v>
      </c>
      <c r="AO251" s="1157">
        <v>0</v>
      </c>
      <c r="AP251" s="1151">
        <v>0</v>
      </c>
      <c r="AQ251" s="1157">
        <v>0</v>
      </c>
      <c r="AR251" s="1151">
        <v>0</v>
      </c>
    </row>
    <row r="252" spans="1:44" outlineLevel="1">
      <c r="B252" s="383" t="s">
        <v>732</v>
      </c>
      <c r="C252" s="577">
        <v>116.18960947726835</v>
      </c>
      <c r="D252" s="577">
        <v>116.18960947726835</v>
      </c>
      <c r="E252" s="577">
        <v>116.18960947726835</v>
      </c>
      <c r="F252" s="577">
        <v>116.18960947726835</v>
      </c>
      <c r="G252" s="505">
        <v>88</v>
      </c>
      <c r="H252" s="505">
        <v>117</v>
      </c>
      <c r="I252" s="505">
        <v>88</v>
      </c>
      <c r="J252" s="505">
        <v>117</v>
      </c>
      <c r="K252" s="372" t="s">
        <v>982</v>
      </c>
      <c r="L252" s="373">
        <v>11</v>
      </c>
      <c r="M252" s="370"/>
      <c r="N252" s="370"/>
      <c r="O252" s="71"/>
      <c r="P252" s="1195"/>
      <c r="Q252" s="1155"/>
      <c r="R252" s="388" t="s">
        <v>733</v>
      </c>
      <c r="S252" s="389"/>
      <c r="T252" s="1140"/>
      <c r="U252" s="1152"/>
      <c r="V252" s="1158"/>
      <c r="W252" s="1152"/>
      <c r="X252" s="1158"/>
      <c r="Y252" s="1152"/>
      <c r="Z252" s="1158"/>
      <c r="AA252" s="1152"/>
      <c r="AB252" s="1158"/>
      <c r="AC252" s="1152"/>
      <c r="AE252" s="1195"/>
      <c r="AF252" s="1155"/>
      <c r="AG252" s="388" t="s">
        <v>733</v>
      </c>
      <c r="AH252" s="389"/>
      <c r="AI252" s="1140"/>
      <c r="AJ252" s="1152"/>
      <c r="AK252" s="1158"/>
      <c r="AL252" s="1152"/>
      <c r="AM252" s="1158"/>
      <c r="AN252" s="1152"/>
      <c r="AO252" s="1158"/>
      <c r="AP252" s="1152"/>
      <c r="AQ252" s="1158"/>
      <c r="AR252" s="1152"/>
    </row>
    <row r="253" spans="1:44" ht="14.55" customHeight="1" outlineLevel="1" thickBot="1">
      <c r="B253" s="500" t="s">
        <v>734</v>
      </c>
      <c r="C253" s="506">
        <v>2.2999999999999998</v>
      </c>
      <c r="D253" s="507">
        <v>2.2999999999999998</v>
      </c>
      <c r="E253" s="507">
        <v>2.2999999999999998</v>
      </c>
      <c r="F253" s="508">
        <v>2.2999999999999998</v>
      </c>
      <c r="G253" s="507">
        <v>2.2000000000000002</v>
      </c>
      <c r="H253" s="507">
        <v>2.5</v>
      </c>
      <c r="I253" s="507">
        <v>1.8</v>
      </c>
      <c r="J253" s="507">
        <v>2.5</v>
      </c>
      <c r="K253" s="503" t="s">
        <v>59</v>
      </c>
      <c r="L253" s="504">
        <v>3</v>
      </c>
      <c r="M253" s="370"/>
      <c r="N253" s="370"/>
      <c r="O253" s="71"/>
      <c r="P253" s="1195"/>
      <c r="Q253" s="1156"/>
      <c r="R253" s="393" t="s">
        <v>735</v>
      </c>
      <c r="S253" s="394"/>
      <c r="T253" s="1141"/>
      <c r="U253" s="1153"/>
      <c r="V253" s="1159"/>
      <c r="W253" s="1153"/>
      <c r="X253" s="1159"/>
      <c r="Y253" s="1153"/>
      <c r="Z253" s="1159"/>
      <c r="AA253" s="1153"/>
      <c r="AB253" s="1159"/>
      <c r="AC253" s="1153"/>
      <c r="AE253" s="1195"/>
      <c r="AF253" s="1156"/>
      <c r="AG253" s="393" t="s">
        <v>735</v>
      </c>
      <c r="AH253" s="394"/>
      <c r="AI253" s="1141"/>
      <c r="AJ253" s="1153"/>
      <c r="AK253" s="1159"/>
      <c r="AL253" s="1153"/>
      <c r="AM253" s="1159"/>
      <c r="AN253" s="1153"/>
      <c r="AO253" s="1159"/>
      <c r="AP253" s="1153"/>
      <c r="AQ253" s="1159"/>
      <c r="AR253" s="1153"/>
    </row>
    <row r="254" spans="1:44" outlineLevel="1">
      <c r="B254" s="500" t="s">
        <v>657</v>
      </c>
      <c r="C254" s="687">
        <v>3</v>
      </c>
      <c r="D254" s="687">
        <v>3</v>
      </c>
      <c r="E254" s="687">
        <v>3</v>
      </c>
      <c r="F254" s="687">
        <v>3</v>
      </c>
      <c r="G254" s="687">
        <v>3</v>
      </c>
      <c r="H254" s="687">
        <v>3</v>
      </c>
      <c r="I254" s="687">
        <v>3</v>
      </c>
      <c r="J254" s="687">
        <v>3</v>
      </c>
      <c r="K254" s="503" t="s">
        <v>16</v>
      </c>
      <c r="L254" s="504">
        <v>3</v>
      </c>
      <c r="M254" s="370"/>
      <c r="N254" s="370"/>
      <c r="O254" s="71"/>
      <c r="P254" s="1195"/>
      <c r="Q254" s="1154" t="s">
        <v>736</v>
      </c>
      <c r="R254" s="395" t="s">
        <v>737</v>
      </c>
      <c r="S254" s="396" t="s">
        <v>738</v>
      </c>
      <c r="T254" s="1137">
        <v>0</v>
      </c>
      <c r="U254" s="1137">
        <v>0.17</v>
      </c>
      <c r="V254" s="1137">
        <v>0</v>
      </c>
      <c r="W254" s="1137">
        <v>0</v>
      </c>
      <c r="X254" s="1137">
        <v>0</v>
      </c>
      <c r="Y254" s="1137">
        <v>0</v>
      </c>
      <c r="Z254" s="1137">
        <v>0</v>
      </c>
      <c r="AA254" s="1137">
        <v>0.06</v>
      </c>
      <c r="AB254" s="1137">
        <v>0</v>
      </c>
      <c r="AC254" s="1151">
        <v>0</v>
      </c>
      <c r="AE254" s="1195"/>
      <c r="AF254" s="1154" t="s">
        <v>736</v>
      </c>
      <c r="AG254" s="395" t="s">
        <v>737</v>
      </c>
      <c r="AH254" s="396" t="s">
        <v>738</v>
      </c>
      <c r="AI254" s="1137">
        <v>0</v>
      </c>
      <c r="AJ254" s="1137">
        <f>U254/4</f>
        <v>4.2500000000000003E-2</v>
      </c>
      <c r="AK254" s="1137">
        <v>0</v>
      </c>
      <c r="AL254" s="1137">
        <f>W254/4</f>
        <v>0</v>
      </c>
      <c r="AM254" s="1137">
        <v>0</v>
      </c>
      <c r="AN254" s="1137">
        <f>Y254/4</f>
        <v>0</v>
      </c>
      <c r="AO254" s="1137">
        <v>0</v>
      </c>
      <c r="AP254" s="1137">
        <f>AA254/4</f>
        <v>1.4999999999999999E-2</v>
      </c>
      <c r="AQ254" s="1137">
        <v>0</v>
      </c>
      <c r="AR254" s="1151">
        <f>AC254/4</f>
        <v>0</v>
      </c>
    </row>
    <row r="255" spans="1:44" outlineLevel="1">
      <c r="B255" s="500" t="s">
        <v>658</v>
      </c>
      <c r="C255" s="506">
        <v>3</v>
      </c>
      <c r="D255" s="506">
        <v>3</v>
      </c>
      <c r="E255" s="506">
        <v>3</v>
      </c>
      <c r="F255" s="506">
        <v>3</v>
      </c>
      <c r="G255" s="506">
        <v>2.6</v>
      </c>
      <c r="H255" s="506">
        <v>3.5</v>
      </c>
      <c r="I255" s="506">
        <v>2.2999999999999998</v>
      </c>
      <c r="J255" s="506">
        <v>3.8</v>
      </c>
      <c r="K255" s="503" t="s">
        <v>16</v>
      </c>
      <c r="L255" s="504">
        <v>3</v>
      </c>
      <c r="M255" s="367"/>
      <c r="N255" s="367"/>
      <c r="O255" s="71"/>
      <c r="P255" s="1195"/>
      <c r="Q255" s="1155"/>
      <c r="R255" s="395" t="s">
        <v>739</v>
      </c>
      <c r="S255" s="396" t="s">
        <v>738</v>
      </c>
      <c r="T255" s="1191"/>
      <c r="U255" s="1191"/>
      <c r="V255" s="1191"/>
      <c r="W255" s="1191"/>
      <c r="X255" s="1191"/>
      <c r="Y255" s="1191"/>
      <c r="Z255" s="1191"/>
      <c r="AA255" s="1191"/>
      <c r="AB255" s="1191"/>
      <c r="AC255" s="1193"/>
      <c r="AE255" s="1195"/>
      <c r="AF255" s="1155"/>
      <c r="AG255" s="395" t="s">
        <v>739</v>
      </c>
      <c r="AH255" s="396" t="s">
        <v>738</v>
      </c>
      <c r="AI255" s="1191"/>
      <c r="AJ255" s="1191"/>
      <c r="AK255" s="1191"/>
      <c r="AL255" s="1191"/>
      <c r="AM255" s="1191"/>
      <c r="AN255" s="1191"/>
      <c r="AO255" s="1191"/>
      <c r="AP255" s="1191"/>
      <c r="AQ255" s="1191"/>
      <c r="AR255" s="1193"/>
    </row>
    <row r="256" spans="1:44" outlineLevel="1">
      <c r="B256" s="383" t="s">
        <v>11</v>
      </c>
      <c r="C256" s="397">
        <v>25</v>
      </c>
      <c r="D256" s="397">
        <v>25</v>
      </c>
      <c r="E256" s="397">
        <v>25</v>
      </c>
      <c r="F256" s="397">
        <v>25</v>
      </c>
      <c r="G256" s="399">
        <v>20</v>
      </c>
      <c r="H256" s="399">
        <v>35</v>
      </c>
      <c r="I256" s="399">
        <v>20</v>
      </c>
      <c r="J256" s="399">
        <v>35</v>
      </c>
      <c r="K256" s="372"/>
      <c r="L256" s="373" t="s">
        <v>740</v>
      </c>
      <c r="M256" s="363"/>
      <c r="N256" s="363"/>
      <c r="P256" s="1195"/>
      <c r="Q256" s="1155"/>
      <c r="R256" s="395" t="s">
        <v>741</v>
      </c>
      <c r="S256" s="396"/>
      <c r="T256" s="1191"/>
      <c r="U256" s="1191"/>
      <c r="V256" s="1191"/>
      <c r="W256" s="1191"/>
      <c r="X256" s="1191"/>
      <c r="Y256" s="1191"/>
      <c r="Z256" s="1191"/>
      <c r="AA256" s="1191"/>
      <c r="AB256" s="1191"/>
      <c r="AC256" s="1193"/>
      <c r="AE256" s="1195"/>
      <c r="AF256" s="1155"/>
      <c r="AG256" s="395" t="s">
        <v>741</v>
      </c>
      <c r="AH256" s="629" t="s">
        <v>738</v>
      </c>
      <c r="AI256" s="1191"/>
      <c r="AJ256" s="1191"/>
      <c r="AK256" s="1191"/>
      <c r="AL256" s="1191"/>
      <c r="AM256" s="1191"/>
      <c r="AN256" s="1191"/>
      <c r="AO256" s="1191"/>
      <c r="AP256" s="1191"/>
      <c r="AQ256" s="1191"/>
      <c r="AR256" s="1193"/>
    </row>
    <row r="257" spans="1:44" ht="15" outlineLevel="1" thickBot="1">
      <c r="B257" s="500" t="s">
        <v>273</v>
      </c>
      <c r="C257" s="506">
        <v>1</v>
      </c>
      <c r="D257" s="506">
        <v>1</v>
      </c>
      <c r="E257" s="506">
        <v>1</v>
      </c>
      <c r="F257" s="506">
        <v>1</v>
      </c>
      <c r="G257" s="506">
        <v>0.5</v>
      </c>
      <c r="H257" s="506">
        <v>1.5</v>
      </c>
      <c r="I257" s="506">
        <v>0.5</v>
      </c>
      <c r="J257" s="506">
        <v>1.5</v>
      </c>
      <c r="K257" s="372"/>
      <c r="L257" s="400"/>
      <c r="M257" s="363"/>
      <c r="N257" s="363"/>
      <c r="P257" s="1195"/>
      <c r="Q257" s="1155"/>
      <c r="R257" s="395" t="s">
        <v>742</v>
      </c>
      <c r="S257" s="396" t="s">
        <v>738</v>
      </c>
      <c r="T257" s="1191"/>
      <c r="U257" s="1191"/>
      <c r="V257" s="1191"/>
      <c r="W257" s="1191"/>
      <c r="X257" s="1191"/>
      <c r="Y257" s="1191"/>
      <c r="Z257" s="1191"/>
      <c r="AA257" s="1191"/>
      <c r="AB257" s="1191"/>
      <c r="AC257" s="1193"/>
      <c r="AE257" s="1195"/>
      <c r="AF257" s="1155"/>
      <c r="AG257" s="395" t="s">
        <v>742</v>
      </c>
      <c r="AH257" s="396"/>
      <c r="AI257" s="1191"/>
      <c r="AJ257" s="1191"/>
      <c r="AK257" s="1191"/>
      <c r="AL257" s="1191"/>
      <c r="AM257" s="1191"/>
      <c r="AN257" s="1191"/>
      <c r="AO257" s="1191"/>
      <c r="AP257" s="1191"/>
      <c r="AQ257" s="1191"/>
      <c r="AR257" s="1193"/>
    </row>
    <row r="258" spans="1:44" ht="15" outlineLevel="1" thickBot="1">
      <c r="B258" s="401" t="s">
        <v>743</v>
      </c>
      <c r="C258" s="402"/>
      <c r="D258" s="403"/>
      <c r="E258" s="404"/>
      <c r="F258" s="405"/>
      <c r="G258" s="406"/>
      <c r="H258" s="406"/>
      <c r="I258" s="406"/>
      <c r="J258" s="406"/>
      <c r="K258" s="407"/>
      <c r="L258" s="408"/>
      <c r="M258" s="363"/>
      <c r="N258" s="363"/>
      <c r="P258" s="1195"/>
      <c r="Q258" s="1156"/>
      <c r="R258" s="409" t="s">
        <v>863</v>
      </c>
      <c r="S258" s="410" t="s">
        <v>738</v>
      </c>
      <c r="T258" s="1192"/>
      <c r="U258" s="1192"/>
      <c r="V258" s="1192"/>
      <c r="W258" s="1192"/>
      <c r="X258" s="1192"/>
      <c r="Y258" s="1192"/>
      <c r="Z258" s="1192"/>
      <c r="AA258" s="1192"/>
      <c r="AB258" s="1192"/>
      <c r="AC258" s="1194"/>
      <c r="AE258" s="1195"/>
      <c r="AF258" s="1156"/>
      <c r="AG258" s="409" t="s">
        <v>863</v>
      </c>
      <c r="AH258" s="410" t="s">
        <v>738</v>
      </c>
      <c r="AI258" s="1192"/>
      <c r="AJ258" s="1192"/>
      <c r="AK258" s="1192"/>
      <c r="AL258" s="1192"/>
      <c r="AM258" s="1192"/>
      <c r="AN258" s="1192"/>
      <c r="AO258" s="1192"/>
      <c r="AP258" s="1192"/>
      <c r="AQ258" s="1192"/>
      <c r="AR258" s="1194"/>
    </row>
    <row r="259" spans="1:44" ht="29.4" outlineLevel="1" thickBot="1">
      <c r="B259" s="500" t="s">
        <v>663</v>
      </c>
      <c r="C259" s="506">
        <v>20</v>
      </c>
      <c r="D259" s="506">
        <v>20</v>
      </c>
      <c r="E259" s="506">
        <v>20</v>
      </c>
      <c r="F259" s="506">
        <v>20</v>
      </c>
      <c r="G259" s="507"/>
      <c r="H259" s="507"/>
      <c r="I259" s="507"/>
      <c r="J259" s="507"/>
      <c r="K259" s="503"/>
      <c r="L259" s="504">
        <v>3</v>
      </c>
      <c r="M259" s="363"/>
      <c r="N259" s="363"/>
      <c r="P259" s="1196"/>
      <c r="Q259" s="411" t="s">
        <v>745</v>
      </c>
      <c r="R259" s="412" t="s">
        <v>746</v>
      </c>
      <c r="S259" s="630" t="s">
        <v>738</v>
      </c>
      <c r="T259" s="416">
        <v>1</v>
      </c>
      <c r="U259" s="415">
        <v>1</v>
      </c>
      <c r="V259" s="416">
        <v>0</v>
      </c>
      <c r="W259" s="415">
        <v>0</v>
      </c>
      <c r="X259" s="416">
        <v>0</v>
      </c>
      <c r="Y259" s="415">
        <v>0</v>
      </c>
      <c r="Z259" s="416">
        <v>1</v>
      </c>
      <c r="AA259" s="415">
        <v>1</v>
      </c>
      <c r="AB259" s="416">
        <v>0</v>
      </c>
      <c r="AC259" s="417">
        <v>0</v>
      </c>
      <c r="AE259" s="1196"/>
      <c r="AF259" s="411" t="s">
        <v>745</v>
      </c>
      <c r="AG259" s="631" t="s">
        <v>746</v>
      </c>
      <c r="AH259" s="632" t="s">
        <v>738</v>
      </c>
      <c r="AI259" s="416">
        <v>1</v>
      </c>
      <c r="AJ259" s="415">
        <v>1</v>
      </c>
      <c r="AK259" s="416">
        <v>0</v>
      </c>
      <c r="AL259" s="415">
        <v>0</v>
      </c>
      <c r="AM259" s="416">
        <v>0</v>
      </c>
      <c r="AN259" s="415">
        <v>0</v>
      </c>
      <c r="AO259" s="416">
        <v>1</v>
      </c>
      <c r="AP259" s="415">
        <v>1</v>
      </c>
      <c r="AQ259" s="416">
        <v>0</v>
      </c>
      <c r="AR259" s="417">
        <v>0</v>
      </c>
    </row>
    <row r="260" spans="1:44" outlineLevel="1">
      <c r="B260" s="500" t="s">
        <v>664</v>
      </c>
      <c r="C260" s="506">
        <v>0.3</v>
      </c>
      <c r="D260" s="506">
        <v>0.3</v>
      </c>
      <c r="E260" s="506">
        <v>0.3</v>
      </c>
      <c r="F260" s="506">
        <v>0.3</v>
      </c>
      <c r="G260" s="509"/>
      <c r="H260" s="509"/>
      <c r="I260" s="509"/>
      <c r="J260" s="509"/>
      <c r="K260" s="510"/>
      <c r="L260" s="504">
        <v>3</v>
      </c>
      <c r="M260" s="363"/>
      <c r="N260" s="363"/>
    </row>
    <row r="261" spans="1:44" outlineLevel="1">
      <c r="B261" s="500" t="s">
        <v>666</v>
      </c>
      <c r="C261" s="506">
        <v>0.5</v>
      </c>
      <c r="D261" s="506">
        <v>0.5</v>
      </c>
      <c r="E261" s="506">
        <v>0.5</v>
      </c>
      <c r="F261" s="506">
        <v>0.5</v>
      </c>
      <c r="G261" s="509"/>
      <c r="H261" s="509"/>
      <c r="I261" s="509"/>
      <c r="J261" s="509"/>
      <c r="K261" s="510"/>
      <c r="L261" s="504">
        <v>3</v>
      </c>
      <c r="M261" s="420"/>
      <c r="N261" s="363"/>
    </row>
    <row r="262" spans="1:44" outlineLevel="1">
      <c r="B262" s="421" t="s">
        <v>12</v>
      </c>
      <c r="C262" s="399"/>
      <c r="D262" s="399"/>
      <c r="E262" s="399"/>
      <c r="F262" s="399"/>
      <c r="G262" s="422"/>
      <c r="H262" s="422"/>
      <c r="I262" s="422"/>
      <c r="J262" s="422"/>
      <c r="K262" s="423"/>
      <c r="L262" s="424"/>
      <c r="M262" s="420"/>
      <c r="N262" s="420"/>
    </row>
    <row r="263" spans="1:44" outlineLevel="1">
      <c r="B263" s="383" t="s">
        <v>843</v>
      </c>
      <c r="C263" s="397">
        <v>11</v>
      </c>
      <c r="D263" s="397">
        <v>11</v>
      </c>
      <c r="E263" s="397">
        <v>11</v>
      </c>
      <c r="F263" s="397">
        <v>11</v>
      </c>
      <c r="G263" s="422"/>
      <c r="H263" s="425"/>
      <c r="I263" s="425"/>
      <c r="J263" s="425"/>
      <c r="K263" s="426" t="s">
        <v>20</v>
      </c>
      <c r="L263" s="427" t="s">
        <v>748</v>
      </c>
      <c r="M263" s="428"/>
      <c r="N263" s="428"/>
    </row>
    <row r="264" spans="1:44" outlineLevel="1">
      <c r="B264" s="383" t="s">
        <v>749</v>
      </c>
      <c r="C264" s="397">
        <v>10</v>
      </c>
      <c r="D264" s="397">
        <v>10</v>
      </c>
      <c r="E264" s="397">
        <v>10</v>
      </c>
      <c r="F264" s="397">
        <v>10</v>
      </c>
      <c r="G264" s="425"/>
      <c r="H264" s="425"/>
      <c r="I264" s="425"/>
      <c r="J264" s="425"/>
      <c r="K264" s="423"/>
      <c r="L264" s="427">
        <v>9</v>
      </c>
      <c r="M264" s="428"/>
      <c r="N264" s="428"/>
    </row>
    <row r="265" spans="1:44" outlineLevel="1">
      <c r="B265" s="383" t="s">
        <v>844</v>
      </c>
      <c r="C265" s="397">
        <v>63</v>
      </c>
      <c r="D265" s="397">
        <v>49</v>
      </c>
      <c r="E265" s="397">
        <v>46</v>
      </c>
      <c r="F265" s="397">
        <v>41</v>
      </c>
      <c r="G265" s="425"/>
      <c r="H265" s="425"/>
      <c r="I265" s="425"/>
      <c r="J265" s="425"/>
      <c r="K265" s="423"/>
      <c r="L265" s="427" t="s">
        <v>748</v>
      </c>
      <c r="M265" s="428"/>
      <c r="N265" s="428"/>
    </row>
    <row r="266" spans="1:44" outlineLevel="1">
      <c r="B266" s="383" t="s">
        <v>366</v>
      </c>
      <c r="C266" s="397">
        <v>11</v>
      </c>
      <c r="D266" s="397">
        <v>8</v>
      </c>
      <c r="E266" s="397">
        <v>6</v>
      </c>
      <c r="F266" s="397">
        <v>4</v>
      </c>
      <c r="G266" s="425"/>
      <c r="H266" s="425"/>
      <c r="I266" s="425"/>
      <c r="J266" s="425"/>
      <c r="K266" s="423"/>
      <c r="L266" s="427" t="s">
        <v>748</v>
      </c>
      <c r="M266" s="428"/>
      <c r="N266" s="428"/>
    </row>
    <row r="267" spans="1:44" ht="15" outlineLevel="1" thickBot="1">
      <c r="B267" s="429" t="s">
        <v>367</v>
      </c>
      <c r="C267" s="430">
        <v>3</v>
      </c>
      <c r="D267" s="430">
        <v>3</v>
      </c>
      <c r="E267" s="430">
        <v>1</v>
      </c>
      <c r="F267" s="430">
        <v>1</v>
      </c>
      <c r="G267" s="425"/>
      <c r="H267" s="425"/>
      <c r="I267" s="425"/>
      <c r="J267" s="425"/>
      <c r="K267" s="423"/>
      <c r="L267" s="427" t="s">
        <v>748</v>
      </c>
      <c r="M267" s="428"/>
      <c r="N267" s="428"/>
    </row>
    <row r="268" spans="1:44" ht="15" outlineLevel="1" thickBot="1">
      <c r="B268" s="431" t="s">
        <v>674</v>
      </c>
      <c r="C268" s="432"/>
      <c r="D268" s="403"/>
      <c r="E268" s="403"/>
      <c r="F268" s="433"/>
      <c r="G268" s="434"/>
      <c r="H268" s="406"/>
      <c r="I268" s="406"/>
      <c r="J268" s="406"/>
      <c r="K268" s="407"/>
      <c r="L268" s="408"/>
      <c r="M268" s="428"/>
      <c r="N268" s="428"/>
    </row>
    <row r="269" spans="1:44" ht="26.4" outlineLevel="1">
      <c r="A269" s="435"/>
      <c r="B269" s="436" t="s">
        <v>910</v>
      </c>
      <c r="C269" s="551">
        <f>0.68</f>
        <v>0.68</v>
      </c>
      <c r="D269" s="647">
        <f>0.65</f>
        <v>0.65</v>
      </c>
      <c r="E269" s="647">
        <f>0.62</f>
        <v>0.62</v>
      </c>
      <c r="F269" s="648">
        <f>0.59</f>
        <v>0.59</v>
      </c>
      <c r="G269" s="425"/>
      <c r="H269" s="425"/>
      <c r="I269" s="425"/>
      <c r="J269" s="425"/>
      <c r="K269" s="426" t="s">
        <v>992</v>
      </c>
      <c r="L269" s="440" t="s">
        <v>753</v>
      </c>
      <c r="M269" s="420"/>
      <c r="N269" s="420"/>
    </row>
    <row r="270" spans="1:44" outlineLevel="1">
      <c r="B270" s="441" t="s">
        <v>839</v>
      </c>
      <c r="C270" s="442">
        <v>65</v>
      </c>
      <c r="D270" s="442">
        <v>65</v>
      </c>
      <c r="E270" s="442">
        <v>65</v>
      </c>
      <c r="F270" s="442">
        <v>65</v>
      </c>
      <c r="G270" s="425"/>
      <c r="H270" s="425"/>
      <c r="I270" s="425"/>
      <c r="J270" s="425"/>
      <c r="K270" s="444"/>
      <c r="L270" s="373">
        <v>3</v>
      </c>
      <c r="M270" s="71"/>
      <c r="N270" s="420"/>
    </row>
    <row r="271" spans="1:44" outlineLevel="1">
      <c r="B271" s="441" t="s">
        <v>840</v>
      </c>
      <c r="C271" s="442">
        <f>100-C270</f>
        <v>35</v>
      </c>
      <c r="D271" s="442">
        <f>100-D270</f>
        <v>35</v>
      </c>
      <c r="E271" s="442">
        <f>100-E270</f>
        <v>35</v>
      </c>
      <c r="F271" s="442">
        <f>100-F270</f>
        <v>35</v>
      </c>
      <c r="G271" s="425"/>
      <c r="H271" s="425"/>
      <c r="I271" s="425"/>
      <c r="J271" s="425"/>
      <c r="K271" s="444"/>
      <c r="L271" s="373">
        <v>3</v>
      </c>
      <c r="M271" s="420"/>
      <c r="N271" s="420"/>
    </row>
    <row r="272" spans="1:44" outlineLevel="1">
      <c r="B272" s="383" t="s">
        <v>841</v>
      </c>
      <c r="C272" s="445">
        <v>37000</v>
      </c>
      <c r="D272" s="446">
        <v>35900</v>
      </c>
      <c r="E272" s="446">
        <f>(F272+D272)/2</f>
        <v>34800</v>
      </c>
      <c r="F272" s="447">
        <v>33700</v>
      </c>
      <c r="G272" s="425"/>
      <c r="H272" s="425"/>
      <c r="I272" s="425"/>
      <c r="J272" s="425"/>
      <c r="K272" s="448" t="s">
        <v>33</v>
      </c>
      <c r="L272" s="373">
        <v>3</v>
      </c>
      <c r="M272" s="420"/>
      <c r="N272" s="420"/>
    </row>
    <row r="273" spans="2:30" outlineLevel="1">
      <c r="B273" s="383" t="s">
        <v>679</v>
      </c>
      <c r="C273" s="449">
        <f>C274+C275</f>
        <v>2.7789999999999999</v>
      </c>
      <c r="D273" s="449">
        <f t="shared" ref="D273:F273" si="14">D274+D275</f>
        <v>2.8250000000000002</v>
      </c>
      <c r="E273" s="449">
        <f t="shared" si="14"/>
        <v>2.8479999999999999</v>
      </c>
      <c r="F273" s="449">
        <f t="shared" si="14"/>
        <v>2.8479999999999999</v>
      </c>
      <c r="G273" s="425"/>
      <c r="H273" s="425"/>
      <c r="I273" s="425"/>
      <c r="J273" s="425"/>
      <c r="K273" s="448"/>
      <c r="L273" s="373">
        <v>3</v>
      </c>
      <c r="M273" s="450"/>
      <c r="N273" s="361"/>
      <c r="P273" s="1142">
        <f>C273</f>
        <v>2.7789999999999999</v>
      </c>
      <c r="Q273" s="1143"/>
      <c r="R273" s="1143"/>
      <c r="S273" s="1143"/>
      <c r="T273" s="1143"/>
      <c r="U273" s="1144"/>
    </row>
    <row r="274" spans="2:30" ht="15" outlineLevel="1" thickBot="1">
      <c r="B274" s="500" t="s">
        <v>758</v>
      </c>
      <c r="C274" s="514">
        <f>C253/100*73</f>
        <v>1.679</v>
      </c>
      <c r="D274" s="514">
        <f>D253/100*75</f>
        <v>1.7249999999999999</v>
      </c>
      <c r="E274" s="514">
        <f>E253/100*76</f>
        <v>1.748</v>
      </c>
      <c r="F274" s="514">
        <f>F253/100*76</f>
        <v>1.748</v>
      </c>
      <c r="G274" s="515"/>
      <c r="H274" s="515"/>
      <c r="I274" s="515"/>
      <c r="J274" s="515"/>
      <c r="K274" s="503" t="s">
        <v>51</v>
      </c>
      <c r="L274" s="504">
        <v>3</v>
      </c>
      <c r="M274" s="450"/>
      <c r="N274" s="361"/>
      <c r="P274" s="1134">
        <f>C274</f>
        <v>1.679</v>
      </c>
      <c r="Q274" s="1135"/>
      <c r="R274" s="1135"/>
      <c r="S274" s="1135"/>
      <c r="T274" s="1135"/>
      <c r="U274" s="1136"/>
    </row>
    <row r="275" spans="2:30" outlineLevel="1">
      <c r="B275" s="500" t="s">
        <v>759</v>
      </c>
      <c r="C275" s="516">
        <v>1.1000000000000001</v>
      </c>
      <c r="D275" s="516">
        <v>1.1000000000000001</v>
      </c>
      <c r="E275" s="516">
        <v>1.1000000000000001</v>
      </c>
      <c r="F275" s="516">
        <v>1.1000000000000001</v>
      </c>
      <c r="G275" s="515"/>
      <c r="H275" s="515"/>
      <c r="I275" s="515"/>
      <c r="J275" s="515"/>
      <c r="K275" s="517"/>
      <c r="L275" s="504">
        <v>3</v>
      </c>
      <c r="M275" s="363"/>
      <c r="N275" s="363"/>
      <c r="P275" s="53" t="s">
        <v>357</v>
      </c>
    </row>
    <row r="276" spans="2:30" ht="27.6" outlineLevel="1">
      <c r="B276" s="441"/>
      <c r="C276" s="681"/>
      <c r="D276" s="681"/>
      <c r="E276" s="681"/>
      <c r="F276" s="681"/>
      <c r="G276" s="425"/>
      <c r="H276" s="425"/>
      <c r="I276" s="425"/>
      <c r="J276" s="425"/>
      <c r="K276" s="444"/>
      <c r="L276" s="424"/>
      <c r="M276" s="367"/>
      <c r="N276" s="367"/>
      <c r="P276" s="46" t="s">
        <v>335</v>
      </c>
      <c r="Q276" s="46" t="s">
        <v>336</v>
      </c>
      <c r="R276" s="47" t="s">
        <v>337</v>
      </c>
      <c r="S276" s="47" t="s">
        <v>338</v>
      </c>
      <c r="T276" s="47" t="s">
        <v>339</v>
      </c>
      <c r="U276" s="48" t="s">
        <v>340</v>
      </c>
      <c r="V276" s="49" t="s">
        <v>341</v>
      </c>
      <c r="W276" s="49" t="s">
        <v>342</v>
      </c>
      <c r="X276" s="49" t="s">
        <v>343</v>
      </c>
      <c r="Y276" s="49" t="s">
        <v>344</v>
      </c>
      <c r="Z276" s="49" t="s">
        <v>345</v>
      </c>
      <c r="AA276" s="49" t="s">
        <v>346</v>
      </c>
      <c r="AB276" s="49" t="s">
        <v>347</v>
      </c>
      <c r="AC276" s="49" t="s">
        <v>348</v>
      </c>
      <c r="AD276" s="49" t="s">
        <v>349</v>
      </c>
    </row>
    <row r="277" spans="2:30" ht="24.6" outlineLevel="1" thickBot="1">
      <c r="B277" s="519"/>
      <c r="C277" s="442"/>
      <c r="D277" s="520"/>
      <c r="E277" s="520"/>
      <c r="F277" s="521"/>
      <c r="G277" s="425"/>
      <c r="H277" s="425"/>
      <c r="I277" s="425"/>
      <c r="J277" s="425"/>
      <c r="K277" s="448"/>
      <c r="L277" s="424"/>
      <c r="M277" s="363"/>
      <c r="N277" s="363"/>
      <c r="P277" s="50"/>
      <c r="Q277" s="50"/>
      <c r="R277" s="51"/>
      <c r="S277" s="51"/>
      <c r="T277" s="51"/>
      <c r="U277" s="51" t="s">
        <v>760</v>
      </c>
      <c r="V277" s="50" t="s">
        <v>761</v>
      </c>
      <c r="W277" s="50"/>
      <c r="X277" s="50"/>
      <c r="Y277" s="50"/>
      <c r="Z277" s="50"/>
      <c r="AA277" s="50"/>
      <c r="AB277" s="50"/>
      <c r="AC277" s="50"/>
      <c r="AD277" s="50"/>
    </row>
    <row r="278" spans="2:30" ht="43.8" outlineLevel="1" thickBot="1">
      <c r="B278" s="401" t="s">
        <v>682</v>
      </c>
      <c r="C278" s="402"/>
      <c r="D278" s="403"/>
      <c r="E278" s="404"/>
      <c r="F278" s="405"/>
      <c r="G278" s="406"/>
      <c r="H278" s="406"/>
      <c r="I278" s="406"/>
      <c r="J278" s="406"/>
      <c r="K278" s="459"/>
      <c r="L278" s="460"/>
      <c r="M278" s="363"/>
      <c r="N278" s="363"/>
      <c r="O278" s="461" t="s">
        <v>732</v>
      </c>
      <c r="P278" s="56"/>
      <c r="Q278" s="56"/>
      <c r="R278" s="57"/>
      <c r="S278" s="57"/>
      <c r="T278" s="57"/>
      <c r="U278" s="56" t="s">
        <v>350</v>
      </c>
      <c r="V278" s="56" t="s">
        <v>326</v>
      </c>
      <c r="W278" s="56" t="s">
        <v>327</v>
      </c>
      <c r="X278" s="56" t="s">
        <v>351</v>
      </c>
      <c r="Y278" s="56" t="s">
        <v>351</v>
      </c>
      <c r="Z278" s="56" t="s">
        <v>352</v>
      </c>
      <c r="AA278" s="56" t="s">
        <v>352</v>
      </c>
      <c r="AB278" s="56" t="s">
        <v>352</v>
      </c>
      <c r="AC278" s="56" t="s">
        <v>352</v>
      </c>
      <c r="AD278" s="56" t="s">
        <v>352</v>
      </c>
    </row>
    <row r="279" spans="2:30" outlineLevel="1">
      <c r="B279" s="522" t="s">
        <v>762</v>
      </c>
      <c r="C279" s="670">
        <v>3.5000000000000003E-2</v>
      </c>
      <c r="D279" s="670">
        <v>0.03</v>
      </c>
      <c r="E279" s="670">
        <v>0.03</v>
      </c>
      <c r="F279" s="670">
        <v>0.03</v>
      </c>
      <c r="G279" s="524"/>
      <c r="H279" s="524"/>
      <c r="I279" s="524"/>
      <c r="J279" s="524"/>
      <c r="K279" s="524" t="s">
        <v>52</v>
      </c>
      <c r="L279" s="525"/>
      <c r="M279" s="363"/>
      <c r="N279" s="363"/>
      <c r="O279" s="465">
        <f>C252</f>
        <v>116.18960947726835</v>
      </c>
      <c r="P279" s="466">
        <f>C248</f>
        <v>2020</v>
      </c>
      <c r="Q279" s="58">
        <f>P279</f>
        <v>2020</v>
      </c>
      <c r="R279" s="466">
        <f>O279/100</f>
        <v>1.1618960947726835</v>
      </c>
      <c r="S279" s="58"/>
      <c r="T279" s="466">
        <f>C256</f>
        <v>25</v>
      </c>
      <c r="U279" s="467">
        <f>C286</f>
        <v>5066.0000000000009</v>
      </c>
      <c r="V279" s="467">
        <f>C288</f>
        <v>275.64999999999998</v>
      </c>
      <c r="W279" s="467">
        <f>C289</f>
        <v>5.7509861111111107</v>
      </c>
      <c r="X279" s="58"/>
      <c r="Y279" s="58"/>
      <c r="Z279" s="466">
        <f>C263</f>
        <v>11</v>
      </c>
      <c r="AA279" s="468">
        <f>C265</f>
        <v>63</v>
      </c>
      <c r="AB279" s="468">
        <f>C266</f>
        <v>11</v>
      </c>
      <c r="AC279" s="468">
        <f>C267</f>
        <v>3</v>
      </c>
      <c r="AD279" s="468">
        <f>C264</f>
        <v>10</v>
      </c>
    </row>
    <row r="280" spans="2:30" outlineLevel="1">
      <c r="B280" s="500" t="s">
        <v>763</v>
      </c>
      <c r="C280" s="526" t="s">
        <v>36</v>
      </c>
      <c r="D280" s="527" t="s">
        <v>36</v>
      </c>
      <c r="E280" s="527" t="s">
        <v>36</v>
      </c>
      <c r="F280" s="528" t="s">
        <v>36</v>
      </c>
      <c r="G280" s="528"/>
      <c r="H280" s="528"/>
      <c r="I280" s="528"/>
      <c r="J280" s="528"/>
      <c r="K280" s="529" t="s">
        <v>55</v>
      </c>
      <c r="L280" s="525"/>
      <c r="M280" s="363"/>
      <c r="N280" s="363"/>
      <c r="O280" s="465">
        <f>D252</f>
        <v>116.18960947726835</v>
      </c>
      <c r="P280" s="466">
        <f>D248</f>
        <v>2030</v>
      </c>
      <c r="Q280" s="58"/>
      <c r="R280" s="466">
        <f>O280/100</f>
        <v>1.1618960947726835</v>
      </c>
      <c r="S280" s="58"/>
      <c r="T280" s="466">
        <f>D256</f>
        <v>25</v>
      </c>
      <c r="U280" s="467">
        <f>D286</f>
        <v>4842.5</v>
      </c>
      <c r="V280" s="467">
        <f>D288</f>
        <v>267.45499999999998</v>
      </c>
      <c r="W280" s="467">
        <f>D289</f>
        <v>5.8461805555555557</v>
      </c>
      <c r="X280" s="58"/>
      <c r="Y280" s="58"/>
      <c r="Z280" s="466">
        <f>D263</f>
        <v>11</v>
      </c>
      <c r="AA280" s="468">
        <f>D265</f>
        <v>49</v>
      </c>
      <c r="AB280" s="468">
        <f>D266</f>
        <v>8</v>
      </c>
      <c r="AC280" s="468">
        <f>D267</f>
        <v>3</v>
      </c>
      <c r="AD280" s="468">
        <f>D264</f>
        <v>10</v>
      </c>
    </row>
    <row r="281" spans="2:30" outlineLevel="1">
      <c r="B281" s="500" t="s">
        <v>764</v>
      </c>
      <c r="C281" s="526" t="s">
        <v>36</v>
      </c>
      <c r="D281" s="527" t="s">
        <v>36</v>
      </c>
      <c r="E281" s="527" t="s">
        <v>36</v>
      </c>
      <c r="F281" s="528" t="s">
        <v>36</v>
      </c>
      <c r="G281" s="515"/>
      <c r="H281" s="515"/>
      <c r="I281" s="515"/>
      <c r="J281" s="515"/>
      <c r="K281" s="515"/>
      <c r="L281" s="504"/>
      <c r="M281" s="363"/>
      <c r="N281" s="363"/>
      <c r="O281" s="465">
        <f>E252</f>
        <v>116.18960947726835</v>
      </c>
      <c r="P281" s="466">
        <f>E248</f>
        <v>2040</v>
      </c>
      <c r="Q281" s="58"/>
      <c r="R281" s="466">
        <f>O281/100</f>
        <v>1.1618960947726835</v>
      </c>
      <c r="S281" s="58"/>
      <c r="T281" s="466">
        <f>E256</f>
        <v>25</v>
      </c>
      <c r="U281" s="467">
        <f>E286</f>
        <v>4619</v>
      </c>
      <c r="V281" s="467">
        <f>E288</f>
        <v>259.26</v>
      </c>
      <c r="W281" s="467">
        <f>E289</f>
        <v>5.8937777777777782</v>
      </c>
      <c r="X281" s="58"/>
      <c r="Y281" s="58"/>
      <c r="Z281" s="466">
        <f>E263</f>
        <v>11</v>
      </c>
      <c r="AA281" s="468">
        <f>E265</f>
        <v>46</v>
      </c>
      <c r="AB281" s="468">
        <f>E266</f>
        <v>6</v>
      </c>
      <c r="AC281" s="468">
        <f>E267</f>
        <v>1</v>
      </c>
      <c r="AD281" s="468">
        <f>E264</f>
        <v>10</v>
      </c>
    </row>
    <row r="282" spans="2:30" outlineLevel="1">
      <c r="B282" s="500" t="s">
        <v>765</v>
      </c>
      <c r="C282" s="685">
        <v>90</v>
      </c>
      <c r="D282" s="530">
        <v>90</v>
      </c>
      <c r="E282" s="530">
        <v>90</v>
      </c>
      <c r="F282" s="530">
        <v>90</v>
      </c>
      <c r="G282" s="531"/>
      <c r="H282" s="531"/>
      <c r="I282" s="531"/>
      <c r="J282" s="531"/>
      <c r="K282" s="531"/>
      <c r="L282" s="504">
        <v>3</v>
      </c>
      <c r="M282" s="363"/>
      <c r="N282" s="363"/>
      <c r="O282" s="465">
        <f>F252</f>
        <v>116.18960947726835</v>
      </c>
      <c r="P282" s="466">
        <f>F248</f>
        <v>2050</v>
      </c>
      <c r="Q282" s="58"/>
      <c r="R282" s="466">
        <f>O282/100</f>
        <v>1.1618960947726835</v>
      </c>
      <c r="S282" s="58"/>
      <c r="T282" s="466">
        <f>F256</f>
        <v>25</v>
      </c>
      <c r="U282" s="467">
        <f>F286</f>
        <v>4395.5</v>
      </c>
      <c r="V282" s="467">
        <f>F288</f>
        <v>251.065</v>
      </c>
      <c r="W282" s="467">
        <f>F289</f>
        <v>5.8937777777777782</v>
      </c>
      <c r="X282" s="58"/>
      <c r="Y282" s="58"/>
      <c r="Z282" s="466">
        <f>F263</f>
        <v>11</v>
      </c>
      <c r="AA282" s="468">
        <f>F265</f>
        <v>41</v>
      </c>
      <c r="AB282" s="468">
        <f>F266</f>
        <v>4</v>
      </c>
      <c r="AC282" s="468">
        <f>F267</f>
        <v>1</v>
      </c>
      <c r="AD282" s="468">
        <f>F264</f>
        <v>10</v>
      </c>
    </row>
    <row r="283" spans="2:30" outlineLevel="1">
      <c r="B283" s="532" t="s">
        <v>766</v>
      </c>
      <c r="C283" s="526"/>
      <c r="D283" s="527"/>
      <c r="E283" s="527"/>
      <c r="F283" s="528"/>
      <c r="G283" s="531"/>
      <c r="H283" s="531"/>
      <c r="I283" s="531"/>
      <c r="J283" s="531"/>
      <c r="K283" s="531"/>
      <c r="L283" s="533"/>
      <c r="M283" s="367"/>
      <c r="N283" s="367"/>
    </row>
    <row r="284" spans="2:30" outlineLevel="1">
      <c r="B284" s="532" t="s">
        <v>767</v>
      </c>
      <c r="C284" s="526"/>
      <c r="D284" s="527"/>
      <c r="E284" s="527"/>
      <c r="F284" s="528"/>
      <c r="G284" s="531"/>
      <c r="H284" s="531"/>
      <c r="I284" s="531"/>
      <c r="J284" s="531"/>
      <c r="K284" s="531"/>
      <c r="L284" s="533"/>
      <c r="M284" s="363"/>
      <c r="N284" s="363"/>
    </row>
    <row r="285" spans="2:30" ht="15" outlineLevel="1" thickBot="1">
      <c r="B285" s="534" t="s">
        <v>768</v>
      </c>
      <c r="C285" s="535"/>
      <c r="D285" s="536"/>
      <c r="E285" s="536"/>
      <c r="F285" s="537"/>
      <c r="G285" s="538"/>
      <c r="H285" s="538"/>
      <c r="I285" s="538"/>
      <c r="J285" s="538"/>
      <c r="K285" s="538"/>
      <c r="L285" s="539"/>
      <c r="M285" s="363"/>
      <c r="N285" s="363"/>
    </row>
    <row r="286" spans="2:30" ht="57.6" outlineLevel="1">
      <c r="B286" s="461" t="s">
        <v>769</v>
      </c>
      <c r="C286" s="483">
        <f>C269*$F$4*1000</f>
        <v>5066.0000000000009</v>
      </c>
      <c r="D286" s="483">
        <f t="shared" ref="D286:F286" si="15">D269*$F$4*1000</f>
        <v>4842.5</v>
      </c>
      <c r="E286" s="483">
        <f t="shared" si="15"/>
        <v>4619</v>
      </c>
      <c r="F286" s="483">
        <f t="shared" si="15"/>
        <v>4395.5</v>
      </c>
      <c r="G286" s="483"/>
      <c r="H286" s="484"/>
      <c r="I286" s="420" t="s">
        <v>332</v>
      </c>
      <c r="J286" s="420"/>
      <c r="K286" s="484"/>
      <c r="L286" s="484"/>
      <c r="N286" s="420"/>
    </row>
    <row r="287" spans="2:30" outlineLevel="1">
      <c r="B287" s="485" t="s">
        <v>770</v>
      </c>
      <c r="C287" s="486">
        <f>C286*$I287</f>
        <v>2533000.0000000005</v>
      </c>
      <c r="D287" s="486">
        <f>D286*$I287</f>
        <v>2421250</v>
      </c>
      <c r="E287" s="486">
        <f>E286*$I287</f>
        <v>2309500</v>
      </c>
      <c r="F287" s="486">
        <f>F286*$I287</f>
        <v>2197750</v>
      </c>
      <c r="G287" s="486"/>
      <c r="H287" s="484"/>
      <c r="I287" s="71">
        <v>500</v>
      </c>
      <c r="J287" s="420" t="s">
        <v>330</v>
      </c>
      <c r="K287" s="484"/>
      <c r="L287" s="484"/>
      <c r="N287" s="420"/>
    </row>
    <row r="288" spans="2:30" ht="43.2" outlineLevel="1">
      <c r="B288" s="461" t="s">
        <v>845</v>
      </c>
      <c r="C288" s="359">
        <f>C272*$F$4/1000</f>
        <v>275.64999999999998</v>
      </c>
      <c r="D288" s="359">
        <f t="shared" ref="D288:F288" si="16">D272*$F$4/1000</f>
        <v>267.45499999999998</v>
      </c>
      <c r="E288" s="359">
        <f t="shared" si="16"/>
        <v>259.26</v>
      </c>
      <c r="F288" s="359">
        <f t="shared" si="16"/>
        <v>251.065</v>
      </c>
      <c r="G288" s="359"/>
      <c r="I288" s="420" t="s">
        <v>333</v>
      </c>
      <c r="J288" s="420"/>
      <c r="N288" s="420"/>
    </row>
    <row r="289" spans="1:15" ht="43.2" outlineLevel="1">
      <c r="B289" s="461" t="s">
        <v>846</v>
      </c>
      <c r="C289" s="487">
        <f>C273*$F$4/3.6</f>
        <v>5.7509861111111107</v>
      </c>
      <c r="D289" s="487">
        <f t="shared" ref="D289:F289" si="17">D273*$F$4/3.6</f>
        <v>5.8461805555555557</v>
      </c>
      <c r="E289" s="487">
        <f t="shared" si="17"/>
        <v>5.8937777777777782</v>
      </c>
      <c r="F289" s="487">
        <f t="shared" si="17"/>
        <v>5.8937777777777782</v>
      </c>
      <c r="G289" s="359"/>
      <c r="M289" s="420"/>
      <c r="N289" s="420"/>
    </row>
    <row r="290" spans="1:15" outlineLevel="1">
      <c r="A290" s="488"/>
      <c r="B290" s="489"/>
      <c r="D290" s="490"/>
      <c r="E290" s="490"/>
      <c r="F290" s="490"/>
      <c r="G290" s="358"/>
      <c r="H290" s="358"/>
      <c r="I290" s="358"/>
      <c r="J290" s="358"/>
      <c r="K290" s="358"/>
      <c r="L290" s="358"/>
    </row>
    <row r="291" spans="1:15" outlineLevel="1">
      <c r="A291" s="491"/>
      <c r="B291" s="492"/>
      <c r="D291" s="490"/>
      <c r="E291" s="490"/>
      <c r="F291" s="490"/>
      <c r="G291" s="358"/>
      <c r="H291" s="358"/>
      <c r="I291" s="358"/>
      <c r="J291" s="358"/>
      <c r="K291" s="358"/>
      <c r="L291" s="358"/>
    </row>
    <row r="292" spans="1:15" outlineLevel="1">
      <c r="A292" s="491"/>
      <c r="B292" s="493"/>
      <c r="D292" s="490"/>
      <c r="E292" s="490"/>
      <c r="F292" s="490"/>
      <c r="G292" s="358"/>
      <c r="H292" s="358"/>
      <c r="I292" s="358"/>
      <c r="J292" s="358"/>
      <c r="K292" s="358"/>
      <c r="L292" s="358"/>
    </row>
    <row r="293" spans="1:15" outlineLevel="1">
      <c r="A293" s="491"/>
      <c r="B293" s="488" t="s">
        <v>773</v>
      </c>
      <c r="C293" s="489"/>
      <c r="E293" s="358"/>
      <c r="F293" s="490"/>
      <c r="G293" s="358"/>
      <c r="H293" s="358"/>
      <c r="I293" s="358"/>
      <c r="J293" s="358"/>
      <c r="K293" s="358"/>
      <c r="L293" s="358"/>
    </row>
    <row r="294" spans="1:15" outlineLevel="1">
      <c r="A294" s="491"/>
      <c r="B294" s="491">
        <v>1</v>
      </c>
      <c r="C294" s="492" t="s">
        <v>774</v>
      </c>
      <c r="E294" s="358"/>
      <c r="F294" s="490"/>
      <c r="G294" s="358"/>
      <c r="H294" s="358"/>
      <c r="I294" s="358"/>
      <c r="J294" s="358"/>
      <c r="K294" s="358"/>
      <c r="L294" s="358"/>
    </row>
    <row r="295" spans="1:15" outlineLevel="1">
      <c r="A295" s="358"/>
      <c r="B295" s="491">
        <v>2</v>
      </c>
      <c r="C295" s="493" t="s">
        <v>775</v>
      </c>
      <c r="E295" s="358"/>
      <c r="F295" s="490"/>
      <c r="G295" s="358"/>
      <c r="H295" s="358"/>
      <c r="I295" s="358"/>
      <c r="J295" s="358"/>
      <c r="K295" s="358"/>
      <c r="L295" s="358"/>
      <c r="M295" s="570"/>
      <c r="N295" s="489"/>
      <c r="O295" s="490"/>
    </row>
    <row r="296" spans="1:15" outlineLevel="1">
      <c r="A296" s="358"/>
      <c r="B296" s="491">
        <v>3</v>
      </c>
      <c r="C296" s="493" t="s">
        <v>776</v>
      </c>
      <c r="E296" s="358"/>
      <c r="F296" s="490"/>
      <c r="G296" s="358"/>
      <c r="H296" s="358"/>
      <c r="I296" s="358"/>
      <c r="J296" s="358"/>
      <c r="K296" s="358"/>
      <c r="L296" s="358"/>
      <c r="O296" s="490"/>
    </row>
    <row r="297" spans="1:15" outlineLevel="1">
      <c r="A297" s="358"/>
      <c r="B297" s="491">
        <v>4</v>
      </c>
      <c r="C297" s="493" t="s">
        <v>777</v>
      </c>
      <c r="E297" s="358"/>
      <c r="F297" s="490"/>
      <c r="G297" s="358"/>
      <c r="H297" s="358"/>
      <c r="I297" s="358"/>
      <c r="J297" s="358"/>
      <c r="K297" s="358"/>
      <c r="L297" s="358"/>
      <c r="O297" s="490"/>
    </row>
    <row r="298" spans="1:15" outlineLevel="1">
      <c r="A298" s="358"/>
      <c r="B298" s="358">
        <v>5</v>
      </c>
      <c r="C298" s="494" t="s">
        <v>778</v>
      </c>
      <c r="F298" s="490"/>
      <c r="G298" s="358"/>
      <c r="H298" s="358"/>
      <c r="I298" s="358"/>
      <c r="J298" s="358"/>
      <c r="K298" s="358"/>
      <c r="L298" s="358"/>
      <c r="O298" s="490"/>
    </row>
    <row r="299" spans="1:15" outlineLevel="1">
      <c r="A299" s="358"/>
      <c r="B299" s="358">
        <v>6</v>
      </c>
      <c r="C299" s="492" t="s">
        <v>779</v>
      </c>
      <c r="F299" s="490"/>
      <c r="G299" s="358"/>
      <c r="H299" s="358"/>
      <c r="I299" s="358"/>
      <c r="J299" s="358"/>
      <c r="K299" s="358"/>
      <c r="L299" s="358"/>
      <c r="O299" s="490"/>
    </row>
    <row r="300" spans="1:15" outlineLevel="1">
      <c r="A300" s="358"/>
      <c r="B300" s="358">
        <v>7</v>
      </c>
      <c r="C300" s="495" t="s">
        <v>774</v>
      </c>
      <c r="F300" s="490"/>
      <c r="G300" s="358"/>
      <c r="H300" s="358"/>
      <c r="I300" s="358"/>
      <c r="J300" s="358"/>
      <c r="K300" s="358"/>
      <c r="L300" s="358"/>
      <c r="O300" s="490"/>
    </row>
    <row r="301" spans="1:15" outlineLevel="1">
      <c r="A301" s="488"/>
      <c r="B301" s="358">
        <v>8</v>
      </c>
      <c r="C301" s="495" t="s">
        <v>780</v>
      </c>
      <c r="F301" s="490"/>
      <c r="G301" s="358"/>
      <c r="H301" s="358"/>
      <c r="I301" s="358"/>
      <c r="J301" s="358"/>
      <c r="K301" s="358"/>
      <c r="L301" s="358"/>
      <c r="O301" s="490"/>
    </row>
    <row r="302" spans="1:15" outlineLevel="1">
      <c r="A302" s="488"/>
      <c r="B302" s="358">
        <v>9</v>
      </c>
      <c r="C302" s="489" t="s">
        <v>781</v>
      </c>
      <c r="F302" s="490"/>
      <c r="G302" s="358"/>
      <c r="H302" s="358"/>
      <c r="I302" s="358"/>
      <c r="J302" s="358"/>
      <c r="K302" s="358"/>
      <c r="L302" s="358"/>
      <c r="O302" s="490"/>
    </row>
    <row r="303" spans="1:15" outlineLevel="1">
      <c r="A303" s="488"/>
      <c r="B303" s="358">
        <v>10</v>
      </c>
      <c r="C303" s="490" t="s">
        <v>782</v>
      </c>
      <c r="F303" s="490"/>
      <c r="G303" s="358"/>
      <c r="H303" s="358"/>
      <c r="I303" s="358"/>
      <c r="J303" s="358"/>
      <c r="K303" s="358"/>
      <c r="L303" s="358"/>
      <c r="O303" s="490"/>
    </row>
    <row r="304" spans="1:15" outlineLevel="1">
      <c r="A304" s="488"/>
      <c r="B304" s="488" t="s">
        <v>783</v>
      </c>
      <c r="C304" s="489"/>
      <c r="F304" s="490"/>
      <c r="G304" s="358"/>
      <c r="H304" s="358"/>
      <c r="I304" s="358"/>
      <c r="J304" s="358"/>
      <c r="K304" s="358"/>
      <c r="L304" s="358"/>
      <c r="O304" s="490"/>
    </row>
    <row r="305" spans="1:15" outlineLevel="1">
      <c r="A305" s="488"/>
      <c r="B305" s="496" t="s">
        <v>6</v>
      </c>
      <c r="C305" s="497" t="s">
        <v>975</v>
      </c>
      <c r="D305" s="489"/>
      <c r="F305" s="490"/>
      <c r="G305" s="358"/>
      <c r="H305" s="358"/>
      <c r="I305" s="358"/>
      <c r="J305" s="358"/>
      <c r="K305" s="358"/>
      <c r="L305" s="358"/>
      <c r="O305" s="490"/>
    </row>
    <row r="306" spans="1:15" outlineLevel="1">
      <c r="A306" s="488"/>
      <c r="B306" s="496" t="s">
        <v>59</v>
      </c>
      <c r="C306" s="489" t="s">
        <v>785</v>
      </c>
      <c r="D306" s="489"/>
      <c r="F306" s="490"/>
      <c r="G306" s="358"/>
      <c r="H306" s="358"/>
      <c r="I306" s="358"/>
      <c r="J306" s="358"/>
      <c r="K306" s="358"/>
      <c r="L306" s="358"/>
      <c r="O306" s="490"/>
    </row>
    <row r="307" spans="1:15" outlineLevel="1">
      <c r="A307" s="488"/>
      <c r="B307" s="496" t="s">
        <v>16</v>
      </c>
      <c r="C307" s="489" t="s">
        <v>976</v>
      </c>
      <c r="D307" s="489"/>
      <c r="F307" s="490"/>
      <c r="G307" s="358"/>
      <c r="H307" s="358"/>
      <c r="I307" s="358"/>
      <c r="J307" s="358"/>
      <c r="K307" s="358"/>
      <c r="L307" s="358"/>
      <c r="O307" s="490"/>
    </row>
    <row r="308" spans="1:15" outlineLevel="1">
      <c r="A308" s="488"/>
      <c r="B308" s="496" t="s">
        <v>20</v>
      </c>
      <c r="C308" s="489" t="s">
        <v>977</v>
      </c>
      <c r="D308" s="489"/>
      <c r="F308" s="490"/>
      <c r="G308" s="358"/>
      <c r="H308" s="358"/>
      <c r="I308" s="358"/>
      <c r="J308" s="358"/>
      <c r="K308" s="358"/>
      <c r="L308" s="358"/>
      <c r="O308" s="490"/>
    </row>
    <row r="309" spans="1:15" outlineLevel="1">
      <c r="A309" s="488"/>
      <c r="B309" s="496" t="s">
        <v>76</v>
      </c>
      <c r="C309" s="489" t="s">
        <v>786</v>
      </c>
      <c r="D309" s="489"/>
      <c r="F309" s="490"/>
      <c r="G309" s="358"/>
      <c r="H309" s="358"/>
      <c r="I309" s="358"/>
      <c r="J309" s="358"/>
      <c r="K309" s="358"/>
      <c r="L309" s="358"/>
      <c r="O309" s="490"/>
    </row>
    <row r="310" spans="1:15" outlineLevel="1">
      <c r="A310" s="488"/>
      <c r="B310" s="496" t="s">
        <v>25</v>
      </c>
      <c r="C310" s="489" t="s">
        <v>978</v>
      </c>
      <c r="D310" s="489"/>
      <c r="F310" s="490"/>
      <c r="G310" s="358"/>
      <c r="H310" s="358"/>
      <c r="I310" s="358"/>
      <c r="J310" s="358"/>
      <c r="K310" s="358"/>
      <c r="L310" s="358"/>
      <c r="O310" s="490"/>
    </row>
    <row r="311" spans="1:15" outlineLevel="1">
      <c r="A311" s="488"/>
      <c r="B311" s="496" t="s">
        <v>33</v>
      </c>
      <c r="C311" s="489" t="s">
        <v>979</v>
      </c>
      <c r="D311" s="489"/>
      <c r="F311" s="490"/>
      <c r="G311" s="358"/>
      <c r="H311" s="358"/>
      <c r="I311" s="358"/>
      <c r="J311" s="358"/>
      <c r="K311" s="358"/>
      <c r="L311" s="358"/>
      <c r="O311" s="490"/>
    </row>
    <row r="312" spans="1:15" outlineLevel="1">
      <c r="A312" s="488"/>
      <c r="B312" s="496" t="s">
        <v>51</v>
      </c>
      <c r="C312" s="489" t="s">
        <v>980</v>
      </c>
      <c r="D312" s="489"/>
      <c r="F312" s="490"/>
      <c r="G312" s="358"/>
      <c r="H312" s="358"/>
      <c r="I312" s="358"/>
      <c r="J312" s="358"/>
      <c r="K312" s="358"/>
      <c r="L312" s="358"/>
      <c r="O312" s="490"/>
    </row>
    <row r="313" spans="1:15" outlineLevel="1">
      <c r="A313" s="488"/>
      <c r="B313" s="496" t="s">
        <v>52</v>
      </c>
      <c r="C313" s="498" t="s">
        <v>788</v>
      </c>
      <c r="D313" s="489"/>
      <c r="F313" s="490"/>
      <c r="G313" s="358"/>
      <c r="H313" s="358"/>
      <c r="I313" s="358"/>
      <c r="J313" s="358"/>
      <c r="K313" s="358"/>
      <c r="L313" s="358"/>
      <c r="O313" s="490"/>
    </row>
    <row r="314" spans="1:15" outlineLevel="1">
      <c r="A314" s="488"/>
      <c r="B314" s="496" t="s">
        <v>55</v>
      </c>
      <c r="C314" s="489" t="s">
        <v>804</v>
      </c>
      <c r="D314" s="489"/>
      <c r="F314" s="490"/>
      <c r="G314" s="358"/>
      <c r="H314" s="358"/>
      <c r="I314" s="358"/>
      <c r="J314" s="358"/>
      <c r="K314" s="358"/>
      <c r="L314" s="358"/>
      <c r="O314" s="490"/>
    </row>
    <row r="315" spans="1:15" outlineLevel="1">
      <c r="A315" s="496"/>
      <c r="B315" s="496" t="s">
        <v>49</v>
      </c>
      <c r="C315" s="489" t="s">
        <v>789</v>
      </c>
      <c r="D315" s="489"/>
      <c r="F315" s="490"/>
      <c r="G315" s="358"/>
      <c r="H315" s="358"/>
      <c r="I315" s="358"/>
      <c r="J315" s="358"/>
      <c r="K315" s="358"/>
      <c r="L315" s="358"/>
      <c r="M315" s="570"/>
      <c r="N315" s="489"/>
      <c r="O315" s="490"/>
    </row>
    <row r="316" spans="1:15" outlineLevel="1">
      <c r="A316" s="496"/>
      <c r="F316" s="490"/>
      <c r="G316" s="358"/>
      <c r="H316" s="358"/>
      <c r="I316" s="358"/>
      <c r="J316" s="358"/>
      <c r="K316" s="358"/>
      <c r="L316" s="358"/>
      <c r="M316" s="571"/>
      <c r="N316" s="489"/>
      <c r="O316" s="490"/>
    </row>
    <row r="317" spans="1:15" outlineLevel="1">
      <c r="A317" s="496"/>
      <c r="B317" s="489"/>
      <c r="D317" s="490"/>
      <c r="E317" s="490"/>
      <c r="F317" s="490"/>
      <c r="G317" s="358"/>
      <c r="H317" s="358"/>
      <c r="I317" s="358"/>
      <c r="J317" s="358"/>
      <c r="K317" s="358"/>
      <c r="L317" s="358"/>
      <c r="M317" s="572"/>
      <c r="N317" s="489"/>
      <c r="O317" s="490"/>
    </row>
    <row r="318" spans="1:15" outlineLevel="1">
      <c r="A318" s="496"/>
      <c r="B318" s="498"/>
      <c r="D318" s="490"/>
      <c r="E318" s="490"/>
      <c r="F318" s="490"/>
      <c r="G318" s="358"/>
      <c r="H318" s="358"/>
      <c r="I318" s="358"/>
      <c r="J318" s="358"/>
      <c r="K318" s="358"/>
      <c r="L318" s="358"/>
      <c r="M318" s="573"/>
      <c r="N318" s="489"/>
      <c r="O318" s="490"/>
    </row>
    <row r="319" spans="1:15" outlineLevel="1">
      <c r="A319" s="496"/>
      <c r="B319" s="489"/>
      <c r="D319" s="490"/>
      <c r="E319" s="490"/>
      <c r="F319" s="490"/>
      <c r="G319" s="358"/>
      <c r="H319" s="358"/>
      <c r="I319" s="358"/>
      <c r="J319" s="358"/>
      <c r="K319" s="358"/>
      <c r="L319" s="358"/>
      <c r="M319" s="573"/>
      <c r="N319" s="490"/>
      <c r="O319" s="490"/>
    </row>
    <row r="320" spans="1:15" outlineLevel="1">
      <c r="A320" s="496"/>
      <c r="B320" s="489"/>
      <c r="D320" s="490"/>
      <c r="E320" s="490"/>
      <c r="F320" s="490"/>
      <c r="G320" s="358"/>
      <c r="H320" s="358"/>
      <c r="I320" s="358"/>
      <c r="J320" s="358"/>
      <c r="K320" s="358"/>
      <c r="L320" s="358"/>
      <c r="M320" s="489"/>
      <c r="N320" s="490"/>
      <c r="O320" s="490"/>
    </row>
    <row r="321" spans="1:44" outlineLevel="1"/>
    <row r="324" spans="1:44" ht="15" thickBot="1">
      <c r="A324" s="360"/>
    </row>
    <row r="325" spans="1:44" ht="20.55" customHeight="1" thickBot="1">
      <c r="B325" s="362"/>
      <c r="C325" s="1186"/>
      <c r="D325" s="1187"/>
      <c r="E325" s="1187"/>
      <c r="F325" s="1187"/>
      <c r="G325" s="1187"/>
      <c r="H325" s="1187"/>
      <c r="I325" s="1187"/>
      <c r="J325" s="1187"/>
      <c r="K325" s="1187"/>
      <c r="L325" s="1188"/>
      <c r="M325" s="363"/>
      <c r="N325" s="363"/>
      <c r="P325" s="364"/>
      <c r="Q325" s="365"/>
      <c r="R325" s="366"/>
      <c r="S325" s="1176"/>
      <c r="T325" s="1160"/>
      <c r="U325" s="1161"/>
      <c r="V325" s="1160"/>
      <c r="W325" s="1161"/>
      <c r="X325" s="1160"/>
      <c r="Y325" s="1161"/>
      <c r="Z325" s="1160"/>
      <c r="AA325" s="1161"/>
      <c r="AB325" s="1160"/>
      <c r="AC325" s="1161"/>
      <c r="AE325" s="364"/>
      <c r="AF325" s="365"/>
      <c r="AG325" s="366"/>
      <c r="AH325" s="1176"/>
      <c r="AI325" s="1160"/>
      <c r="AJ325" s="1161"/>
      <c r="AK325" s="1160"/>
      <c r="AL325" s="1161"/>
      <c r="AM325" s="1160"/>
      <c r="AN325" s="1161"/>
      <c r="AO325" s="1160"/>
      <c r="AP325" s="1161"/>
      <c r="AQ325" s="1160"/>
      <c r="AR325" s="1161"/>
    </row>
    <row r="326" spans="1:44" ht="15" customHeight="1" thickBot="1">
      <c r="B326" s="1164"/>
      <c r="C326" s="1166"/>
      <c r="D326" s="1166"/>
      <c r="E326" s="1166"/>
      <c r="F326" s="1166"/>
      <c r="G326" s="1168"/>
      <c r="H326" s="1169"/>
      <c r="I326" s="1168"/>
      <c r="J326" s="1169"/>
      <c r="K326" s="1189"/>
      <c r="L326" s="1189"/>
      <c r="M326" s="367"/>
      <c r="N326" s="367"/>
      <c r="P326" s="1180"/>
      <c r="Q326" s="368"/>
      <c r="R326" s="368"/>
      <c r="S326" s="1177"/>
      <c r="T326" s="1162"/>
      <c r="U326" s="1163"/>
      <c r="V326" s="1162"/>
      <c r="W326" s="1163"/>
      <c r="X326" s="1162"/>
      <c r="Y326" s="1163"/>
      <c r="Z326" s="1162"/>
      <c r="AA326" s="1163"/>
      <c r="AB326" s="1162"/>
      <c r="AC326" s="1163"/>
      <c r="AE326" s="1180"/>
      <c r="AF326" s="368"/>
      <c r="AG326" s="368"/>
      <c r="AH326" s="1177"/>
      <c r="AI326" s="1162"/>
      <c r="AJ326" s="1163"/>
      <c r="AK326" s="1162"/>
      <c r="AL326" s="1163"/>
      <c r="AM326" s="1162"/>
      <c r="AN326" s="1163"/>
      <c r="AO326" s="1162"/>
      <c r="AP326" s="1163"/>
      <c r="AQ326" s="1162"/>
      <c r="AR326" s="1163"/>
    </row>
    <row r="327" spans="1:44" ht="15" customHeight="1" thickBot="1">
      <c r="B327" s="1165"/>
      <c r="C327" s="1167"/>
      <c r="D327" s="1167"/>
      <c r="E327" s="1167"/>
      <c r="F327" s="1167"/>
      <c r="G327" s="406"/>
      <c r="H327" s="406"/>
      <c r="I327" s="406"/>
      <c r="J327" s="406"/>
      <c r="K327" s="1190"/>
      <c r="L327" s="1190"/>
      <c r="M327" s="370"/>
      <c r="N327" s="370"/>
      <c r="P327" s="1181"/>
      <c r="Q327" s="1183"/>
      <c r="R327" s="1184"/>
      <c r="S327" s="1178"/>
      <c r="T327" s="1162"/>
      <c r="U327" s="1163"/>
      <c r="V327" s="1162"/>
      <c r="W327" s="1163"/>
      <c r="X327" s="1162"/>
      <c r="Y327" s="1163"/>
      <c r="Z327" s="1162"/>
      <c r="AA327" s="1163"/>
      <c r="AB327" s="1162"/>
      <c r="AC327" s="1163"/>
      <c r="AE327" s="1181"/>
      <c r="AF327" s="1183"/>
      <c r="AG327" s="1184"/>
      <c r="AH327" s="1178"/>
      <c r="AI327" s="1162"/>
      <c r="AJ327" s="1163"/>
      <c r="AK327" s="1162"/>
      <c r="AL327" s="1163"/>
      <c r="AM327" s="1162"/>
      <c r="AN327" s="1163"/>
      <c r="AO327" s="1162"/>
      <c r="AP327" s="1163"/>
      <c r="AQ327" s="1162"/>
      <c r="AR327" s="1163"/>
    </row>
    <row r="328" spans="1:44" ht="15" thickBot="1">
      <c r="B328" s="371"/>
      <c r="C328" s="372"/>
      <c r="D328" s="372"/>
      <c r="E328" s="372"/>
      <c r="F328" s="372"/>
      <c r="G328" s="372"/>
      <c r="H328" s="372"/>
      <c r="I328" s="372"/>
      <c r="J328" s="372"/>
      <c r="K328" s="372"/>
      <c r="L328" s="373"/>
      <c r="M328" s="370"/>
      <c r="N328" s="370"/>
      <c r="O328" s="74"/>
      <c r="P328" s="1182"/>
      <c r="Q328" s="1179"/>
      <c r="R328" s="1185"/>
      <c r="S328" s="1179"/>
      <c r="T328" s="374"/>
      <c r="U328" s="375"/>
      <c r="V328" s="374"/>
      <c r="W328" s="375"/>
      <c r="X328" s="374"/>
      <c r="Y328" s="375"/>
      <c r="Z328" s="374"/>
      <c r="AA328" s="375"/>
      <c r="AB328" s="374"/>
      <c r="AC328" s="375"/>
      <c r="AE328" s="1182"/>
      <c r="AF328" s="1179"/>
      <c r="AG328" s="1185"/>
      <c r="AH328" s="1179"/>
      <c r="AI328" s="374"/>
      <c r="AJ328" s="375"/>
      <c r="AK328" s="374"/>
      <c r="AL328" s="375"/>
      <c r="AM328" s="374"/>
      <c r="AN328" s="375"/>
      <c r="AO328" s="374"/>
      <c r="AP328" s="375"/>
      <c r="AQ328" s="374"/>
      <c r="AR328" s="375"/>
    </row>
    <row r="329" spans="1:44" ht="14.55" customHeight="1">
      <c r="B329" s="574"/>
      <c r="C329" s="575"/>
      <c r="D329" s="575"/>
      <c r="E329" s="575"/>
      <c r="F329" s="575"/>
      <c r="G329" s="576"/>
      <c r="H329" s="576"/>
      <c r="I329" s="576"/>
      <c r="J329" s="576"/>
      <c r="K329" s="372"/>
      <c r="L329" s="373"/>
      <c r="M329" s="370"/>
      <c r="N329" s="370"/>
      <c r="P329" s="1148"/>
      <c r="Q329" s="1154"/>
      <c r="R329" s="381"/>
      <c r="S329" s="382"/>
      <c r="T329" s="1137"/>
      <c r="U329" s="1151"/>
      <c r="V329" s="1137"/>
      <c r="W329" s="1151"/>
      <c r="X329" s="1137"/>
      <c r="Y329" s="1151"/>
      <c r="Z329" s="1137"/>
      <c r="AA329" s="1151"/>
      <c r="AB329" s="1157"/>
      <c r="AC329" s="1151"/>
      <c r="AE329" s="1148"/>
      <c r="AF329" s="1154"/>
      <c r="AG329" s="381"/>
      <c r="AH329" s="382"/>
      <c r="AI329" s="1137"/>
      <c r="AJ329" s="1151"/>
      <c r="AK329" s="1137"/>
      <c r="AL329" s="1151"/>
      <c r="AM329" s="1137"/>
      <c r="AN329" s="1151"/>
      <c r="AO329" s="1137"/>
      <c r="AP329" s="1151"/>
      <c r="AQ329" s="1157"/>
      <c r="AR329" s="1151"/>
    </row>
    <row r="330" spans="1:44">
      <c r="B330" s="383"/>
      <c r="C330" s="577"/>
      <c r="D330" s="577"/>
      <c r="E330" s="577"/>
      <c r="F330" s="577"/>
      <c r="G330" s="576"/>
      <c r="H330" s="576"/>
      <c r="I330" s="576"/>
      <c r="J330" s="576"/>
      <c r="K330" s="372"/>
      <c r="L330" s="373"/>
      <c r="M330" s="370"/>
      <c r="N330" s="370"/>
      <c r="O330" s="71"/>
      <c r="P330" s="1149"/>
      <c r="Q330" s="1155"/>
      <c r="R330" s="388"/>
      <c r="S330" s="389"/>
      <c r="T330" s="1140"/>
      <c r="U330" s="1152"/>
      <c r="V330" s="1140"/>
      <c r="W330" s="1152"/>
      <c r="X330" s="1140"/>
      <c r="Y330" s="1152"/>
      <c r="Z330" s="1140"/>
      <c r="AA330" s="1152"/>
      <c r="AB330" s="1158"/>
      <c r="AC330" s="1152"/>
      <c r="AE330" s="1149"/>
      <c r="AF330" s="1155"/>
      <c r="AG330" s="388"/>
      <c r="AH330" s="389"/>
      <c r="AI330" s="1140"/>
      <c r="AJ330" s="1152"/>
      <c r="AK330" s="1140"/>
      <c r="AL330" s="1152"/>
      <c r="AM330" s="1140"/>
      <c r="AN330" s="1152"/>
      <c r="AO330" s="1140"/>
      <c r="AP330" s="1152"/>
      <c r="AQ330" s="1158"/>
      <c r="AR330" s="1152"/>
    </row>
    <row r="331" spans="1:44" ht="15" thickBot="1">
      <c r="B331" s="574"/>
      <c r="C331" s="578"/>
      <c r="D331" s="578"/>
      <c r="E331" s="578"/>
      <c r="F331" s="578"/>
      <c r="G331" s="578"/>
      <c r="H331" s="578"/>
      <c r="I331" s="578"/>
      <c r="J331" s="578"/>
      <c r="K331" s="579"/>
      <c r="L331" s="580"/>
      <c r="M331" s="370"/>
      <c r="N331" s="370"/>
      <c r="O331" s="71"/>
      <c r="P331" s="1149"/>
      <c r="Q331" s="1156"/>
      <c r="R331" s="393"/>
      <c r="S331" s="394"/>
      <c r="T331" s="1141"/>
      <c r="U331" s="1153"/>
      <c r="V331" s="1141"/>
      <c r="W331" s="1153"/>
      <c r="X331" s="1141"/>
      <c r="Y331" s="1153"/>
      <c r="Z331" s="1141"/>
      <c r="AA331" s="1153"/>
      <c r="AB331" s="1159"/>
      <c r="AC331" s="1153"/>
      <c r="AE331" s="1149"/>
      <c r="AF331" s="1156"/>
      <c r="AG331" s="393"/>
      <c r="AH331" s="394"/>
      <c r="AI331" s="1141"/>
      <c r="AJ331" s="1153"/>
      <c r="AK331" s="1141"/>
      <c r="AL331" s="1153"/>
      <c r="AM331" s="1141"/>
      <c r="AN331" s="1153"/>
      <c r="AO331" s="1141"/>
      <c r="AP331" s="1153"/>
      <c r="AQ331" s="1159"/>
      <c r="AR331" s="1153"/>
    </row>
    <row r="332" spans="1:44" ht="14.55" customHeight="1">
      <c r="B332" s="574"/>
      <c r="C332" s="581"/>
      <c r="D332" s="581"/>
      <c r="E332" s="581"/>
      <c r="F332" s="581"/>
      <c r="G332" s="581"/>
      <c r="H332" s="581"/>
      <c r="I332" s="581"/>
      <c r="J332" s="581"/>
      <c r="K332" s="579"/>
      <c r="L332" s="580"/>
      <c r="M332" s="370"/>
      <c r="N332" s="370"/>
      <c r="O332" s="71"/>
      <c r="P332" s="1149"/>
      <c r="Q332" s="1145"/>
      <c r="R332" s="395"/>
      <c r="S332" s="396"/>
      <c r="T332" s="1137"/>
      <c r="U332" s="1137"/>
      <c r="V332" s="1137"/>
      <c r="W332" s="1137"/>
      <c r="X332" s="1137"/>
      <c r="Y332" s="1137"/>
      <c r="Z332" s="1137"/>
      <c r="AA332" s="1137"/>
      <c r="AB332" s="1137"/>
      <c r="AC332" s="1137"/>
      <c r="AE332" s="1149"/>
      <c r="AF332" s="1145"/>
      <c r="AG332" s="395"/>
      <c r="AH332" s="396"/>
      <c r="AI332" s="1137"/>
      <c r="AJ332" s="1137"/>
      <c r="AK332" s="1137"/>
      <c r="AL332" s="1137"/>
      <c r="AM332" s="1137"/>
      <c r="AN332" s="1137"/>
      <c r="AO332" s="1137"/>
      <c r="AP332" s="1137"/>
      <c r="AQ332" s="1137"/>
      <c r="AR332" s="1137"/>
    </row>
    <row r="333" spans="1:44">
      <c r="B333" s="574"/>
      <c r="C333" s="582"/>
      <c r="D333" s="582"/>
      <c r="E333" s="582"/>
      <c r="F333" s="582"/>
      <c r="G333" s="582"/>
      <c r="H333" s="582"/>
      <c r="I333" s="582"/>
      <c r="J333" s="582"/>
      <c r="K333" s="579"/>
      <c r="L333" s="580"/>
      <c r="M333" s="367"/>
      <c r="N333" s="367"/>
      <c r="O333" s="71"/>
      <c r="P333" s="1149"/>
      <c r="Q333" s="1146"/>
      <c r="R333" s="395"/>
      <c r="S333" s="396"/>
      <c r="T333" s="1138"/>
      <c r="U333" s="1138"/>
      <c r="V333" s="1138"/>
      <c r="W333" s="1138"/>
      <c r="X333" s="1138"/>
      <c r="Y333" s="1138"/>
      <c r="Z333" s="1138"/>
      <c r="AA333" s="1138"/>
      <c r="AB333" s="1140"/>
      <c r="AC333" s="1138"/>
      <c r="AE333" s="1149"/>
      <c r="AF333" s="1146"/>
      <c r="AG333" s="395"/>
      <c r="AH333" s="396"/>
      <c r="AI333" s="1138"/>
      <c r="AJ333" s="1138"/>
      <c r="AK333" s="1138"/>
      <c r="AL333" s="1138"/>
      <c r="AM333" s="1138"/>
      <c r="AN333" s="1138"/>
      <c r="AO333" s="1138"/>
      <c r="AP333" s="1138"/>
      <c r="AQ333" s="1140"/>
      <c r="AR333" s="1138"/>
    </row>
    <row r="334" spans="1:44">
      <c r="B334" s="383"/>
      <c r="C334" s="397"/>
      <c r="D334" s="397"/>
      <c r="E334" s="397"/>
      <c r="F334" s="397"/>
      <c r="G334" s="398"/>
      <c r="H334" s="398"/>
      <c r="I334" s="398"/>
      <c r="J334" s="398"/>
      <c r="K334" s="372"/>
      <c r="L334" s="373"/>
      <c r="M334" s="363"/>
      <c r="N334" s="363"/>
      <c r="P334" s="1149"/>
      <c r="Q334" s="1146"/>
      <c r="R334" s="395"/>
      <c r="S334" s="396"/>
      <c r="T334" s="1138"/>
      <c r="U334" s="1138"/>
      <c r="V334" s="1138"/>
      <c r="W334" s="1138"/>
      <c r="X334" s="1138"/>
      <c r="Y334" s="1138"/>
      <c r="Z334" s="1138"/>
      <c r="AA334" s="1138"/>
      <c r="AB334" s="1140"/>
      <c r="AC334" s="1138"/>
      <c r="AE334" s="1149"/>
      <c r="AF334" s="1146"/>
      <c r="AG334" s="395"/>
      <c r="AH334" s="396"/>
      <c r="AI334" s="1138"/>
      <c r="AJ334" s="1138"/>
      <c r="AK334" s="1138"/>
      <c r="AL334" s="1138"/>
      <c r="AM334" s="1138"/>
      <c r="AN334" s="1138"/>
      <c r="AO334" s="1138"/>
      <c r="AP334" s="1138"/>
      <c r="AQ334" s="1140"/>
      <c r="AR334" s="1138"/>
    </row>
    <row r="335" spans="1:44" ht="15" thickBot="1">
      <c r="B335" s="574"/>
      <c r="C335" s="582"/>
      <c r="D335" s="582"/>
      <c r="E335" s="582"/>
      <c r="F335" s="582"/>
      <c r="G335" s="582"/>
      <c r="H335" s="582"/>
      <c r="I335" s="582"/>
      <c r="J335" s="582"/>
      <c r="K335" s="372"/>
      <c r="L335" s="373"/>
      <c r="M335" s="363"/>
      <c r="N335" s="363"/>
      <c r="P335" s="1149"/>
      <c r="Q335" s="1146"/>
      <c r="R335" s="395"/>
      <c r="S335" s="396"/>
      <c r="T335" s="1138"/>
      <c r="U335" s="1138"/>
      <c r="V335" s="1138"/>
      <c r="W335" s="1138"/>
      <c r="X335" s="1138"/>
      <c r="Y335" s="1138"/>
      <c r="Z335" s="1138"/>
      <c r="AA335" s="1138"/>
      <c r="AB335" s="1140"/>
      <c r="AC335" s="1138"/>
      <c r="AE335" s="1149"/>
      <c r="AF335" s="1146"/>
      <c r="AG335" s="395"/>
      <c r="AH335" s="396"/>
      <c r="AI335" s="1138"/>
      <c r="AJ335" s="1138"/>
      <c r="AK335" s="1138"/>
      <c r="AL335" s="1138"/>
      <c r="AM335" s="1138"/>
      <c r="AN335" s="1138"/>
      <c r="AO335" s="1138"/>
      <c r="AP335" s="1138"/>
      <c r="AQ335" s="1140"/>
      <c r="AR335" s="1138"/>
    </row>
    <row r="336" spans="1:44" ht="15" thickBot="1">
      <c r="B336" s="401"/>
      <c r="C336" s="583"/>
      <c r="D336" s="584"/>
      <c r="E336" s="585"/>
      <c r="F336" s="586"/>
      <c r="G336" s="406"/>
      <c r="H336" s="406"/>
      <c r="I336" s="406"/>
      <c r="J336" s="406"/>
      <c r="K336" s="407"/>
      <c r="L336" s="587"/>
      <c r="M336" s="363"/>
      <c r="N336" s="363"/>
      <c r="P336" s="1149"/>
      <c r="Q336" s="1147"/>
      <c r="R336" s="409"/>
      <c r="S336" s="410"/>
      <c r="T336" s="1139"/>
      <c r="U336" s="1139"/>
      <c r="V336" s="1139"/>
      <c r="W336" s="1139"/>
      <c r="X336" s="1139"/>
      <c r="Y336" s="1139"/>
      <c r="Z336" s="1139"/>
      <c r="AA336" s="1139"/>
      <c r="AB336" s="1141"/>
      <c r="AC336" s="1139"/>
      <c r="AE336" s="1149"/>
      <c r="AF336" s="1147"/>
      <c r="AG336" s="409"/>
      <c r="AH336" s="410"/>
      <c r="AI336" s="1139"/>
      <c r="AJ336" s="1139"/>
      <c r="AK336" s="1139"/>
      <c r="AL336" s="1139"/>
      <c r="AM336" s="1139"/>
      <c r="AN336" s="1139"/>
      <c r="AO336" s="1139"/>
      <c r="AP336" s="1139"/>
      <c r="AQ336" s="1141"/>
      <c r="AR336" s="1139"/>
    </row>
    <row r="337" spans="1:44" ht="15" thickBot="1">
      <c r="B337" s="574"/>
      <c r="C337" s="588"/>
      <c r="D337" s="588"/>
      <c r="E337" s="588"/>
      <c r="F337" s="588"/>
      <c r="G337" s="589"/>
      <c r="H337" s="589"/>
      <c r="I337" s="590"/>
      <c r="J337" s="590"/>
      <c r="K337" s="579"/>
      <c r="L337" s="580"/>
      <c r="M337" s="363"/>
      <c r="N337" s="363"/>
      <c r="P337" s="1150"/>
      <c r="Q337" s="411"/>
      <c r="R337" s="412"/>
      <c r="S337" s="413"/>
      <c r="T337" s="591"/>
      <c r="U337" s="592"/>
      <c r="V337" s="593"/>
      <c r="W337" s="592"/>
      <c r="X337" s="593"/>
      <c r="Y337" s="592"/>
      <c r="Z337" s="593"/>
      <c r="AA337" s="592"/>
      <c r="AB337" s="593"/>
      <c r="AC337" s="594"/>
      <c r="AE337" s="1150"/>
      <c r="AF337" s="411"/>
      <c r="AG337" s="412"/>
      <c r="AH337" s="413"/>
      <c r="AI337" s="591"/>
      <c r="AJ337" s="592"/>
      <c r="AK337" s="593"/>
      <c r="AL337" s="592"/>
      <c r="AM337" s="593"/>
      <c r="AN337" s="592"/>
      <c r="AO337" s="593"/>
      <c r="AP337" s="592"/>
      <c r="AQ337" s="593"/>
      <c r="AR337" s="594"/>
    </row>
    <row r="338" spans="1:44">
      <c r="B338" s="574"/>
      <c r="C338" s="582"/>
      <c r="D338" s="582"/>
      <c r="E338" s="582"/>
      <c r="F338" s="582"/>
      <c r="G338" s="595"/>
      <c r="H338" s="595"/>
      <c r="I338" s="595"/>
      <c r="J338" s="595"/>
      <c r="K338" s="596"/>
      <c r="L338" s="580"/>
      <c r="M338" s="363"/>
      <c r="N338" s="363"/>
    </row>
    <row r="339" spans="1:44">
      <c r="B339" s="574"/>
      <c r="C339" s="582"/>
      <c r="D339" s="582"/>
      <c r="E339" s="582"/>
      <c r="F339" s="582"/>
      <c r="G339" s="595"/>
      <c r="H339" s="595"/>
      <c r="I339" s="595"/>
      <c r="J339" s="595"/>
      <c r="K339" s="596"/>
      <c r="L339" s="580"/>
      <c r="M339" s="420"/>
      <c r="N339" s="363"/>
    </row>
    <row r="340" spans="1:44">
      <c r="B340" s="421"/>
      <c r="C340" s="399"/>
      <c r="D340" s="399"/>
      <c r="E340" s="399"/>
      <c r="F340" s="399"/>
      <c r="G340" s="422"/>
      <c r="H340" s="422"/>
      <c r="I340" s="422"/>
      <c r="J340" s="422"/>
      <c r="K340" s="423"/>
      <c r="L340" s="597"/>
      <c r="M340" s="420"/>
      <c r="N340" s="420"/>
    </row>
    <row r="341" spans="1:44">
      <c r="B341" s="383"/>
      <c r="C341" s="397"/>
      <c r="D341" s="397"/>
      <c r="E341" s="397"/>
      <c r="F341" s="397"/>
      <c r="G341" s="422"/>
      <c r="H341" s="425"/>
      <c r="I341" s="425"/>
      <c r="J341" s="425"/>
      <c r="K341" s="426"/>
      <c r="L341" s="427"/>
      <c r="M341" s="428"/>
      <c r="N341" s="428"/>
    </row>
    <row r="342" spans="1:44">
      <c r="B342" s="383"/>
      <c r="C342" s="397"/>
      <c r="D342" s="397"/>
      <c r="E342" s="397"/>
      <c r="F342" s="397"/>
      <c r="G342" s="425"/>
      <c r="H342" s="425"/>
      <c r="I342" s="425"/>
      <c r="J342" s="425"/>
      <c r="K342" s="423"/>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ht="15" thickBot="1">
      <c r="B345" s="429"/>
      <c r="C345" s="397"/>
      <c r="D345" s="397"/>
      <c r="E345" s="397"/>
      <c r="F345" s="397"/>
      <c r="G345" s="425"/>
      <c r="H345" s="425"/>
      <c r="I345" s="425"/>
      <c r="J345" s="425"/>
      <c r="K345" s="423"/>
      <c r="L345" s="427"/>
      <c r="M345" s="428"/>
      <c r="N345" s="428"/>
    </row>
    <row r="346" spans="1:44" ht="15" thickBot="1">
      <c r="B346" s="431"/>
      <c r="C346" s="598"/>
      <c r="D346" s="584"/>
      <c r="E346" s="584"/>
      <c r="F346" s="599"/>
      <c r="G346" s="434"/>
      <c r="H346" s="406"/>
      <c r="I346" s="406"/>
      <c r="J346" s="406"/>
      <c r="K346" s="407"/>
      <c r="L346" s="587"/>
      <c r="M346" s="428"/>
      <c r="N346" s="428"/>
    </row>
    <row r="347" spans="1:44">
      <c r="A347" s="435"/>
      <c r="B347" s="436"/>
      <c r="C347" s="600"/>
      <c r="D347" s="600"/>
      <c r="E347" s="600"/>
      <c r="F347" s="600"/>
      <c r="G347" s="425"/>
      <c r="H347" s="425"/>
      <c r="I347" s="425"/>
      <c r="J347" s="425"/>
      <c r="K347" s="426"/>
      <c r="L347" s="440"/>
      <c r="M347" s="420"/>
      <c r="N347" s="420"/>
    </row>
    <row r="348" spans="1:44">
      <c r="B348" s="441"/>
      <c r="C348" s="601"/>
      <c r="D348" s="601"/>
      <c r="E348" s="601"/>
      <c r="F348" s="601"/>
      <c r="G348" s="425"/>
      <c r="H348" s="425"/>
      <c r="I348" s="425"/>
      <c r="J348" s="425"/>
      <c r="K348" s="444"/>
      <c r="L348" s="373"/>
      <c r="M348" s="71"/>
      <c r="N348" s="420"/>
    </row>
    <row r="349" spans="1:44">
      <c r="B349" s="441"/>
      <c r="C349" s="601"/>
      <c r="D349" s="601"/>
      <c r="E349" s="601"/>
      <c r="F349" s="601"/>
      <c r="G349" s="425"/>
      <c r="H349" s="425"/>
      <c r="I349" s="425"/>
      <c r="J349" s="425"/>
      <c r="K349" s="444"/>
      <c r="L349" s="373"/>
      <c r="M349" s="420"/>
      <c r="N349" s="420"/>
    </row>
    <row r="350" spans="1:44">
      <c r="B350" s="383"/>
      <c r="C350" s="602"/>
      <c r="D350" s="603"/>
      <c r="E350" s="603"/>
      <c r="F350" s="604"/>
      <c r="G350" s="425"/>
      <c r="H350" s="425"/>
      <c r="I350" s="425"/>
      <c r="J350" s="425"/>
      <c r="K350" s="444"/>
      <c r="L350" s="373"/>
      <c r="M350" s="420"/>
      <c r="N350" s="420"/>
    </row>
    <row r="351" spans="1:44">
      <c r="B351" s="383"/>
      <c r="C351" s="605"/>
      <c r="D351" s="605"/>
      <c r="E351" s="605"/>
      <c r="F351" s="605"/>
      <c r="G351" s="425"/>
      <c r="H351" s="425"/>
      <c r="I351" s="425"/>
      <c r="J351" s="425"/>
      <c r="K351" s="444"/>
      <c r="L351" s="373"/>
      <c r="M351" s="450"/>
      <c r="N351" s="361"/>
      <c r="P351" s="1142"/>
      <c r="Q351" s="1143"/>
      <c r="R351" s="1143"/>
      <c r="S351" s="1143"/>
      <c r="T351" s="1143"/>
      <c r="U351" s="1144"/>
    </row>
    <row r="352" spans="1:44" ht="15" thickBot="1">
      <c r="B352" s="541"/>
      <c r="C352" s="552"/>
      <c r="D352" s="552"/>
      <c r="E352" s="552"/>
      <c r="F352" s="552"/>
      <c r="G352" s="553"/>
      <c r="H352" s="553"/>
      <c r="I352" s="553"/>
      <c r="J352" s="553"/>
      <c r="K352" s="547"/>
      <c r="L352" s="548"/>
      <c r="M352" s="450"/>
      <c r="N352" s="361"/>
      <c r="P352" s="1134"/>
      <c r="Q352" s="1135"/>
      <c r="R352" s="1135"/>
      <c r="S352" s="1135"/>
      <c r="T352" s="1135"/>
      <c r="U352" s="1136"/>
    </row>
    <row r="353" spans="2:30">
      <c r="B353" s="541"/>
      <c r="C353" s="606"/>
      <c r="D353" s="606"/>
      <c r="E353" s="606"/>
      <c r="F353" s="606"/>
      <c r="G353" s="553"/>
      <c r="H353" s="553"/>
      <c r="I353" s="553"/>
      <c r="J353" s="553"/>
      <c r="K353" s="547"/>
      <c r="L353" s="548"/>
      <c r="M353" s="363"/>
      <c r="N353" s="363"/>
      <c r="P353" s="53"/>
    </row>
    <row r="354" spans="2:30">
      <c r="B354" s="541"/>
      <c r="C354" s="607"/>
      <c r="D354" s="547"/>
      <c r="E354" s="547"/>
      <c r="F354" s="563"/>
      <c r="G354" s="550"/>
      <c r="H354" s="550"/>
      <c r="I354" s="550"/>
      <c r="J354" s="550"/>
      <c r="K354" s="547"/>
      <c r="L354" s="608"/>
      <c r="M354" s="367"/>
      <c r="N354" s="367"/>
      <c r="P354" s="46"/>
      <c r="Q354" s="46"/>
      <c r="R354" s="47"/>
      <c r="S354" s="47"/>
      <c r="T354" s="47"/>
      <c r="U354" s="48"/>
      <c r="V354" s="49"/>
      <c r="W354" s="49"/>
      <c r="X354" s="49"/>
      <c r="Y354" s="49"/>
      <c r="Z354" s="49"/>
      <c r="AA354" s="49"/>
      <c r="AB354" s="49"/>
      <c r="AC354" s="49"/>
      <c r="AD354" s="49"/>
    </row>
    <row r="355" spans="2:30" ht="15" thickBot="1">
      <c r="B355" s="566"/>
      <c r="C355" s="607"/>
      <c r="D355" s="609"/>
      <c r="E355" s="609"/>
      <c r="F355" s="610"/>
      <c r="G355" s="550"/>
      <c r="H355" s="550"/>
      <c r="I355" s="550"/>
      <c r="J355" s="550"/>
      <c r="K355" s="547"/>
      <c r="L355" s="608"/>
      <c r="M355" s="363"/>
      <c r="N355" s="363"/>
      <c r="O355" s="71"/>
      <c r="P355" s="50"/>
      <c r="Q355" s="50"/>
      <c r="R355" s="51"/>
      <c r="S355" s="51"/>
      <c r="T355" s="51"/>
      <c r="U355" s="51"/>
      <c r="V355" s="50"/>
      <c r="W355" s="50"/>
      <c r="X355" s="50"/>
      <c r="Y355" s="50"/>
      <c r="Z355" s="50"/>
      <c r="AA355" s="50"/>
      <c r="AB355" s="50"/>
      <c r="AC355" s="50"/>
      <c r="AD355" s="50"/>
    </row>
    <row r="356" spans="2:30" ht="15" thickBot="1">
      <c r="B356" s="611"/>
      <c r="C356" s="612"/>
      <c r="D356" s="613"/>
      <c r="E356" s="614"/>
      <c r="F356" s="615"/>
      <c r="G356" s="540"/>
      <c r="H356" s="540"/>
      <c r="I356" s="540"/>
      <c r="J356" s="540"/>
      <c r="K356" s="616"/>
      <c r="L356" s="617"/>
      <c r="M356" s="363"/>
      <c r="N356" s="363"/>
      <c r="O356" s="461"/>
      <c r="P356" s="56"/>
      <c r="Q356" s="56"/>
      <c r="R356" s="57"/>
      <c r="S356" s="57"/>
      <c r="T356" s="57"/>
      <c r="U356" s="56"/>
      <c r="V356" s="56"/>
      <c r="W356" s="56"/>
      <c r="X356" s="56"/>
      <c r="Y356" s="56"/>
      <c r="Z356" s="56"/>
      <c r="AA356" s="56"/>
      <c r="AB356" s="56"/>
      <c r="AC356" s="56"/>
      <c r="AD356" s="56"/>
    </row>
    <row r="357" spans="2:30">
      <c r="B357" s="556"/>
      <c r="C357" s="618"/>
      <c r="D357" s="618"/>
      <c r="E357" s="618"/>
      <c r="F357" s="618"/>
      <c r="G357" s="618"/>
      <c r="H357" s="618"/>
      <c r="I357" s="618"/>
      <c r="J357" s="618"/>
      <c r="K357" s="618"/>
      <c r="L357" s="619"/>
      <c r="M357" s="363"/>
      <c r="N357" s="363"/>
      <c r="O357" s="620"/>
      <c r="P357" s="466"/>
      <c r="Q357" s="58"/>
      <c r="R357" s="466"/>
      <c r="S357" s="58"/>
      <c r="T357" s="466"/>
      <c r="U357" s="467"/>
      <c r="V357" s="467"/>
      <c r="W357" s="467"/>
      <c r="X357" s="58"/>
      <c r="Y357" s="58"/>
      <c r="Z357" s="466"/>
      <c r="AA357" s="468"/>
      <c r="AB357" s="468"/>
      <c r="AC357" s="468"/>
      <c r="AD357" s="468"/>
    </row>
    <row r="358" spans="2:30">
      <c r="B358" s="541"/>
      <c r="C358" s="558"/>
      <c r="D358" s="558"/>
      <c r="E358" s="558"/>
      <c r="F358" s="558"/>
      <c r="G358" s="563"/>
      <c r="H358" s="563"/>
      <c r="I358" s="563"/>
      <c r="J358" s="563"/>
      <c r="K358" s="563"/>
      <c r="L358" s="548"/>
      <c r="M358" s="363"/>
      <c r="N358" s="363"/>
      <c r="O358" s="620"/>
      <c r="P358" s="466"/>
      <c r="Q358" s="58"/>
      <c r="R358" s="466"/>
      <c r="S358" s="58"/>
      <c r="T358" s="466"/>
      <c r="U358" s="467"/>
      <c r="V358" s="467"/>
      <c r="W358" s="467"/>
      <c r="X358" s="58"/>
      <c r="Y358" s="58"/>
      <c r="Z358" s="466"/>
      <c r="AA358" s="468"/>
      <c r="AB358" s="468"/>
      <c r="AC358" s="468"/>
      <c r="AD358" s="468"/>
    </row>
    <row r="359" spans="2:30">
      <c r="B359" s="541"/>
      <c r="C359" s="558"/>
      <c r="D359" s="558"/>
      <c r="E359" s="558"/>
      <c r="F359" s="558"/>
      <c r="G359" s="563"/>
      <c r="H359" s="563"/>
      <c r="I359" s="563"/>
      <c r="J359" s="563"/>
      <c r="K359" s="563"/>
      <c r="L359" s="548"/>
      <c r="M359" s="363"/>
      <c r="N359" s="363"/>
      <c r="O359" s="620"/>
      <c r="P359" s="466"/>
      <c r="Q359" s="58"/>
      <c r="R359" s="466"/>
      <c r="S359" s="58"/>
      <c r="T359" s="466"/>
      <c r="U359" s="467"/>
      <c r="V359" s="467"/>
      <c r="W359" s="467"/>
      <c r="X359" s="58"/>
      <c r="Y359" s="58"/>
      <c r="Z359" s="466"/>
      <c r="AA359" s="468"/>
      <c r="AB359" s="468"/>
      <c r="AC359" s="468"/>
      <c r="AD359" s="468"/>
    </row>
    <row r="360" spans="2:30">
      <c r="B360" s="541"/>
      <c r="C360" s="564"/>
      <c r="D360" s="564"/>
      <c r="E360" s="564"/>
      <c r="F360" s="564"/>
      <c r="G360" s="621"/>
      <c r="H360" s="621"/>
      <c r="I360" s="621"/>
      <c r="J360" s="621"/>
      <c r="K360" s="621"/>
      <c r="L360" s="548"/>
      <c r="M360" s="363"/>
      <c r="N360" s="363"/>
      <c r="O360" s="620"/>
      <c r="P360" s="466"/>
      <c r="Q360" s="58"/>
      <c r="R360" s="466"/>
      <c r="S360" s="58"/>
      <c r="T360" s="466"/>
      <c r="U360" s="467"/>
      <c r="V360" s="467"/>
      <c r="W360" s="467"/>
      <c r="X360" s="58"/>
      <c r="Y360" s="58"/>
      <c r="Z360" s="466"/>
      <c r="AA360" s="468"/>
      <c r="AB360" s="468"/>
      <c r="AC360" s="468"/>
      <c r="AD360" s="468"/>
    </row>
    <row r="361" spans="2:30">
      <c r="B361" s="566"/>
      <c r="C361" s="558"/>
      <c r="D361" s="558"/>
      <c r="E361" s="558"/>
      <c r="F361" s="558"/>
      <c r="G361" s="563"/>
      <c r="H361" s="563"/>
      <c r="I361" s="563"/>
      <c r="J361" s="563"/>
      <c r="K361" s="563"/>
      <c r="L361" s="548"/>
      <c r="M361" s="367"/>
      <c r="N361" s="367"/>
    </row>
    <row r="362" spans="2:30">
      <c r="B362" s="566"/>
      <c r="C362" s="558"/>
      <c r="D362" s="558"/>
      <c r="E362" s="558"/>
      <c r="F362" s="558"/>
      <c r="G362" s="563"/>
      <c r="H362" s="563"/>
      <c r="I362" s="563"/>
      <c r="J362" s="563"/>
      <c r="K362" s="563"/>
      <c r="L362" s="548"/>
      <c r="M362" s="363"/>
      <c r="N362" s="363"/>
    </row>
    <row r="363" spans="2:30" ht="15" thickBot="1">
      <c r="B363" s="567"/>
      <c r="C363" s="622"/>
      <c r="D363" s="622"/>
      <c r="E363" s="622"/>
      <c r="F363" s="622"/>
      <c r="G363" s="623"/>
      <c r="H363" s="623"/>
      <c r="I363" s="623"/>
      <c r="J363" s="623"/>
      <c r="K363" s="623"/>
      <c r="L363" s="624"/>
      <c r="M363" s="363"/>
      <c r="N363" s="363"/>
    </row>
    <row r="364" spans="2:30">
      <c r="B364" s="461"/>
      <c r="C364" s="483"/>
      <c r="D364" s="483"/>
      <c r="E364" s="483"/>
      <c r="F364" s="483"/>
      <c r="G364" s="483"/>
      <c r="H364" s="484"/>
      <c r="I364" s="420"/>
      <c r="J364" s="420"/>
      <c r="K364" s="484"/>
      <c r="L364" s="484"/>
      <c r="N364" s="420"/>
    </row>
    <row r="365" spans="2:30">
      <c r="B365" s="485"/>
      <c r="C365" s="486"/>
      <c r="D365" s="486"/>
      <c r="E365" s="486"/>
      <c r="F365" s="486"/>
      <c r="G365" s="486"/>
      <c r="H365" s="484"/>
      <c r="I365" s="71"/>
      <c r="J365" s="420"/>
      <c r="K365" s="484"/>
      <c r="L365" s="484"/>
      <c r="N365" s="420"/>
    </row>
    <row r="366" spans="2:30">
      <c r="B366" s="461"/>
      <c r="C366" s="359"/>
      <c r="D366" s="359"/>
      <c r="E366" s="359"/>
      <c r="F366" s="359"/>
      <c r="G366" s="359"/>
      <c r="I366" s="420"/>
      <c r="J366" s="420"/>
      <c r="N366" s="420"/>
    </row>
    <row r="367" spans="2:30">
      <c r="B367" s="461"/>
      <c r="C367" s="487"/>
      <c r="D367" s="487"/>
      <c r="E367" s="487"/>
      <c r="F367" s="487"/>
      <c r="G367" s="359"/>
      <c r="M367" s="420"/>
      <c r="N367" s="420"/>
    </row>
    <row r="370" spans="1:11">
      <c r="A370" s="488"/>
      <c r="B370" s="489"/>
      <c r="D370" s="358"/>
      <c r="E370" s="358"/>
      <c r="F370" s="358"/>
      <c r="G370" s="358"/>
      <c r="H370" s="358"/>
      <c r="I370" s="358"/>
      <c r="J370" s="358"/>
      <c r="K370" s="358"/>
    </row>
    <row r="371" spans="1:11">
      <c r="A371" s="358"/>
      <c r="B371" s="490"/>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625"/>
      <c r="E378" s="358"/>
      <c r="F378" s="358"/>
      <c r="G378" s="358"/>
      <c r="H378" s="358"/>
      <c r="I378" s="358"/>
      <c r="J378" s="358"/>
      <c r="K378" s="358"/>
    </row>
    <row r="379" spans="1:11">
      <c r="A379" s="358"/>
      <c r="B379" s="490"/>
      <c r="E379" s="358"/>
      <c r="F379" s="358"/>
      <c r="G379" s="358"/>
      <c r="H379" s="358"/>
      <c r="I379" s="358"/>
      <c r="J379" s="358"/>
      <c r="K379" s="358"/>
    </row>
    <row r="380" spans="1:11">
      <c r="A380" s="488"/>
      <c r="B380" s="489"/>
      <c r="E380" s="358"/>
      <c r="F380" s="358"/>
      <c r="G380" s="358"/>
      <c r="H380" s="358"/>
      <c r="I380" s="358"/>
      <c r="J380" s="358"/>
      <c r="K380" s="358"/>
    </row>
    <row r="381" spans="1:11">
      <c r="A381" s="496"/>
      <c r="B381" s="490"/>
      <c r="C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ht="15.75" customHeight="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sheetData>
  <mergeCells count="398">
    <mergeCell ref="AO251:AO253"/>
    <mergeCell ref="AP251:AP253"/>
    <mergeCell ref="AQ251:AQ253"/>
    <mergeCell ref="AR251:AR253"/>
    <mergeCell ref="Z251:Z253"/>
    <mergeCell ref="AA251:AA253"/>
    <mergeCell ref="AF251:AF253"/>
    <mergeCell ref="AI251:AI253"/>
    <mergeCell ref="AJ251:AJ253"/>
    <mergeCell ref="AK251:AK253"/>
    <mergeCell ref="AB251:AB253"/>
    <mergeCell ref="AC251:AC253"/>
    <mergeCell ref="AL251:AL253"/>
    <mergeCell ref="AM251:AM253"/>
    <mergeCell ref="AE251:AE259"/>
    <mergeCell ref="AO254:AO258"/>
    <mergeCell ref="AP254:AP258"/>
    <mergeCell ref="AQ254:AQ258"/>
    <mergeCell ref="AR254:AR258"/>
    <mergeCell ref="AC254:AC258"/>
    <mergeCell ref="AF254:AF258"/>
    <mergeCell ref="AI254:AI258"/>
    <mergeCell ref="AJ254:AJ258"/>
    <mergeCell ref="AK254:AK258"/>
    <mergeCell ref="K248:K249"/>
    <mergeCell ref="L248:L249"/>
    <mergeCell ref="P248:P250"/>
    <mergeCell ref="AE248:AE250"/>
    <mergeCell ref="Q249:Q250"/>
    <mergeCell ref="R249:R250"/>
    <mergeCell ref="AO247:AP249"/>
    <mergeCell ref="AQ247:AR249"/>
    <mergeCell ref="Z247:AA249"/>
    <mergeCell ref="AB247:AC249"/>
    <mergeCell ref="AH247:AH250"/>
    <mergeCell ref="AI247:AJ249"/>
    <mergeCell ref="AF249:AF250"/>
    <mergeCell ref="AG249:AG250"/>
    <mergeCell ref="P351:U351"/>
    <mergeCell ref="P352:U352"/>
    <mergeCell ref="B245:B246"/>
    <mergeCell ref="C245:M245"/>
    <mergeCell ref="P245:U245"/>
    <mergeCell ref="C246:M246"/>
    <mergeCell ref="C247:L247"/>
    <mergeCell ref="S247:S250"/>
    <mergeCell ref="T247:U249"/>
    <mergeCell ref="P329:P337"/>
    <mergeCell ref="Q329:Q331"/>
    <mergeCell ref="T329:T331"/>
    <mergeCell ref="U329:U331"/>
    <mergeCell ref="P251:P259"/>
    <mergeCell ref="Q251:Q253"/>
    <mergeCell ref="T251:T253"/>
    <mergeCell ref="U251:U253"/>
    <mergeCell ref="B248:B249"/>
    <mergeCell ref="C248:C249"/>
    <mergeCell ref="D248:D249"/>
    <mergeCell ref="E248:E249"/>
    <mergeCell ref="F248:F249"/>
    <mergeCell ref="G248:H248"/>
    <mergeCell ref="I248:J248"/>
    <mergeCell ref="W332:W336"/>
    <mergeCell ref="X332:X336"/>
    <mergeCell ref="Y332:Y336"/>
    <mergeCell ref="Z332:Z336"/>
    <mergeCell ref="AA332:AA336"/>
    <mergeCell ref="AB332:AB336"/>
    <mergeCell ref="AM329:AM331"/>
    <mergeCell ref="AN329:AN331"/>
    <mergeCell ref="AO329:AO331"/>
    <mergeCell ref="X329:X331"/>
    <mergeCell ref="Y329:Y331"/>
    <mergeCell ref="Z329:Z331"/>
    <mergeCell ref="AA329:AA331"/>
    <mergeCell ref="AB329:AB331"/>
    <mergeCell ref="AC329:AC331"/>
    <mergeCell ref="AM332:AM336"/>
    <mergeCell ref="AN332:AN336"/>
    <mergeCell ref="AO332:AO336"/>
    <mergeCell ref="AC332:AC336"/>
    <mergeCell ref="AF332:AF336"/>
    <mergeCell ref="AI332:AI336"/>
    <mergeCell ref="AJ332:AJ336"/>
    <mergeCell ref="AK332:AK336"/>
    <mergeCell ref="AL332:AL336"/>
    <mergeCell ref="AP329:AP331"/>
    <mergeCell ref="AQ329:AQ331"/>
    <mergeCell ref="AR329:AR331"/>
    <mergeCell ref="AE329:AE337"/>
    <mergeCell ref="AF329:AF331"/>
    <mergeCell ref="AI329:AI331"/>
    <mergeCell ref="AJ329:AJ331"/>
    <mergeCell ref="AK329:AK331"/>
    <mergeCell ref="AL329:AL331"/>
    <mergeCell ref="AP332:AP336"/>
    <mergeCell ref="AQ332:AQ336"/>
    <mergeCell ref="AR332:AR336"/>
    <mergeCell ref="V329:V331"/>
    <mergeCell ref="W329:W331"/>
    <mergeCell ref="Q332:Q336"/>
    <mergeCell ref="T332:T336"/>
    <mergeCell ref="U332:U336"/>
    <mergeCell ref="V332:V336"/>
    <mergeCell ref="AO325:AP327"/>
    <mergeCell ref="AQ325:AR327"/>
    <mergeCell ref="B326:B327"/>
    <mergeCell ref="C326:C327"/>
    <mergeCell ref="D326:D327"/>
    <mergeCell ref="E326:E327"/>
    <mergeCell ref="F326:F327"/>
    <mergeCell ref="G326:H326"/>
    <mergeCell ref="I326:J326"/>
    <mergeCell ref="K326:K327"/>
    <mergeCell ref="Z325:AA327"/>
    <mergeCell ref="AB325:AC327"/>
    <mergeCell ref="AH325:AH328"/>
    <mergeCell ref="AI325:AJ327"/>
    <mergeCell ref="AK325:AL327"/>
    <mergeCell ref="AM325:AN327"/>
    <mergeCell ref="AE326:AE328"/>
    <mergeCell ref="AF327:AF328"/>
    <mergeCell ref="AG327:AG328"/>
    <mergeCell ref="P273:U273"/>
    <mergeCell ref="C325:L325"/>
    <mergeCell ref="S325:S328"/>
    <mergeCell ref="T325:U327"/>
    <mergeCell ref="V325:W327"/>
    <mergeCell ref="X325:Y327"/>
    <mergeCell ref="L326:L327"/>
    <mergeCell ref="P326:P328"/>
    <mergeCell ref="Q327:Q328"/>
    <mergeCell ref="R327:R328"/>
    <mergeCell ref="P274:U274"/>
    <mergeCell ref="Z254:Z258"/>
    <mergeCell ref="AA254:AA258"/>
    <mergeCell ref="AB254:AB258"/>
    <mergeCell ref="AK247:AL249"/>
    <mergeCell ref="P194:U194"/>
    <mergeCell ref="P195:U195"/>
    <mergeCell ref="AM247:AN249"/>
    <mergeCell ref="Q254:Q258"/>
    <mergeCell ref="T254:T258"/>
    <mergeCell ref="U254:U258"/>
    <mergeCell ref="V254:V258"/>
    <mergeCell ref="W254:W258"/>
    <mergeCell ref="V251:V253"/>
    <mergeCell ref="W251:W253"/>
    <mergeCell ref="X251:X253"/>
    <mergeCell ref="Y251:Y253"/>
    <mergeCell ref="X254:X258"/>
    <mergeCell ref="Y254:Y258"/>
    <mergeCell ref="AM254:AM258"/>
    <mergeCell ref="AN254:AN258"/>
    <mergeCell ref="V247:W249"/>
    <mergeCell ref="X247:Y249"/>
    <mergeCell ref="AN251:AN253"/>
    <mergeCell ref="AL254:AL258"/>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A8F4-4B49-41CE-96AA-26D664121508}">
  <sheetPr>
    <tabColor theme="3"/>
  </sheetPr>
  <dimension ref="A2:AR386"/>
  <sheetViews>
    <sheetView topLeftCell="N82" zoomScale="115" zoomScaleNormal="115" workbookViewId="0">
      <selection activeCell="P99" sqref="P99"/>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Steam boiler, Coal</v>
      </c>
    </row>
    <row r="4" spans="1:44" ht="25.05" customHeight="1">
      <c r="E4" s="224" t="s">
        <v>358</v>
      </c>
      <c r="F4" s="359">
        <v>7.45</v>
      </c>
      <c r="G4" s="359" t="s">
        <v>328</v>
      </c>
    </row>
    <row r="5" spans="1:44" ht="15" customHeight="1">
      <c r="A5" s="360" t="s">
        <v>1095</v>
      </c>
      <c r="B5" s="1207"/>
      <c r="C5" s="1143"/>
      <c r="D5" s="1143"/>
      <c r="E5" s="1143"/>
      <c r="F5" s="1143"/>
      <c r="G5" s="1143"/>
      <c r="H5" s="1143"/>
      <c r="I5" s="1143"/>
      <c r="J5" s="1143"/>
      <c r="K5" s="1143"/>
      <c r="L5" s="1143"/>
      <c r="M5" s="1143"/>
      <c r="N5" s="693"/>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693"/>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1091</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20</v>
      </c>
      <c r="D10" s="372">
        <v>20</v>
      </c>
      <c r="E10" s="372">
        <v>20</v>
      </c>
      <c r="F10" s="372">
        <v>20</v>
      </c>
      <c r="G10" s="372">
        <v>1</v>
      </c>
      <c r="H10" s="372">
        <v>50</v>
      </c>
      <c r="I10" s="372">
        <v>1</v>
      </c>
      <c r="J10" s="372">
        <v>50</v>
      </c>
      <c r="K10" s="372" t="s">
        <v>6</v>
      </c>
      <c r="L10" s="373">
        <v>3</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639">
        <v>90</v>
      </c>
      <c r="D11" s="639">
        <v>90</v>
      </c>
      <c r="E11" s="640">
        <v>91</v>
      </c>
      <c r="F11" s="639">
        <v>92</v>
      </c>
      <c r="G11" s="639">
        <v>88</v>
      </c>
      <c r="H11" s="639">
        <f>(D11*1.02)</f>
        <v>91.8</v>
      </c>
      <c r="I11" s="639">
        <v>88</v>
      </c>
      <c r="J11" s="639">
        <f>(F11*1.02)</f>
        <v>93.84</v>
      </c>
      <c r="K11" s="379" t="s">
        <v>59</v>
      </c>
      <c r="L11" s="380" t="s">
        <v>729</v>
      </c>
      <c r="M11" s="370"/>
      <c r="N11" s="370"/>
      <c r="P11" s="1148" t="str">
        <f>C7</f>
        <v>Steam boiler, Coal</v>
      </c>
      <c r="Q11" s="1154" t="s">
        <v>730</v>
      </c>
      <c r="R11" s="381" t="s">
        <v>731</v>
      </c>
      <c r="S11" s="382"/>
      <c r="T11" s="1137">
        <v>0</v>
      </c>
      <c r="U11" s="1151">
        <v>1</v>
      </c>
      <c r="V11" s="1157">
        <v>0</v>
      </c>
      <c r="W11" s="1151">
        <v>1</v>
      </c>
      <c r="X11" s="1157">
        <v>0</v>
      </c>
      <c r="Y11" s="1151">
        <v>1</v>
      </c>
      <c r="Z11" s="1157">
        <v>0</v>
      </c>
      <c r="AA11" s="1151">
        <v>1</v>
      </c>
      <c r="AB11" s="1157">
        <v>0</v>
      </c>
      <c r="AC11" s="1151">
        <v>1</v>
      </c>
      <c r="AE11" s="1148" t="str">
        <f>P11</f>
        <v>Steam boiler, Coal</v>
      </c>
      <c r="AF11" s="1154" t="s">
        <v>730</v>
      </c>
      <c r="AG11" s="381" t="s">
        <v>731</v>
      </c>
      <c r="AH11" s="382"/>
      <c r="AI11" s="1137">
        <v>0</v>
      </c>
      <c r="AJ11" s="1151">
        <v>1</v>
      </c>
      <c r="AK11" s="1157">
        <v>0</v>
      </c>
      <c r="AL11" s="1151">
        <v>1</v>
      </c>
      <c r="AM11" s="1157">
        <v>0</v>
      </c>
      <c r="AN11" s="1151">
        <v>1</v>
      </c>
      <c r="AO11" s="1157">
        <v>0</v>
      </c>
      <c r="AP11" s="1151">
        <v>1</v>
      </c>
      <c r="AQ11" s="1157">
        <v>0</v>
      </c>
      <c r="AR11" s="1151">
        <v>1</v>
      </c>
    </row>
    <row r="12" spans="1:44" ht="32.549999999999997" customHeight="1" outlineLevel="1">
      <c r="B12" s="383" t="s">
        <v>732</v>
      </c>
      <c r="C12" s="577">
        <f t="shared" ref="C12:J12" si="0">(C11-1)</f>
        <v>89</v>
      </c>
      <c r="D12" s="577">
        <f t="shared" si="0"/>
        <v>89</v>
      </c>
      <c r="E12" s="577">
        <f t="shared" si="0"/>
        <v>90</v>
      </c>
      <c r="F12" s="577">
        <f t="shared" si="0"/>
        <v>91</v>
      </c>
      <c r="G12" s="641">
        <f t="shared" si="0"/>
        <v>87</v>
      </c>
      <c r="H12" s="641">
        <f t="shared" si="0"/>
        <v>90.8</v>
      </c>
      <c r="I12" s="641">
        <f t="shared" si="0"/>
        <v>87</v>
      </c>
      <c r="J12" s="641">
        <f t="shared" si="0"/>
        <v>92.84</v>
      </c>
      <c r="K12" s="386"/>
      <c r="L12" s="387" t="s">
        <v>729</v>
      </c>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1.1000000000000001</v>
      </c>
      <c r="D13" s="391">
        <v>1.1000000000000001</v>
      </c>
      <c r="E13" s="391">
        <v>1.1000000000000001</v>
      </c>
      <c r="F13" s="392">
        <v>1.1000000000000001</v>
      </c>
      <c r="G13" s="391">
        <v>1</v>
      </c>
      <c r="H13" s="391">
        <v>1.5</v>
      </c>
      <c r="I13" s="391">
        <v>1</v>
      </c>
      <c r="J13" s="391">
        <v>1.5</v>
      </c>
      <c r="K13" s="379" t="s">
        <v>16</v>
      </c>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675">
        <f>0.2+1</f>
        <v>1.2</v>
      </c>
      <c r="D14" s="675">
        <f>0.2+1</f>
        <v>1.2</v>
      </c>
      <c r="E14" s="675">
        <f>0.2+1</f>
        <v>1.2</v>
      </c>
      <c r="F14" s="675">
        <f>0.2+1</f>
        <v>1.2</v>
      </c>
      <c r="G14" s="674">
        <v>0.1</v>
      </c>
      <c r="H14" s="675">
        <f>0.2+2</f>
        <v>2.2000000000000002</v>
      </c>
      <c r="I14" s="674">
        <v>0.1</v>
      </c>
      <c r="J14" s="675">
        <f>0.2+2</f>
        <v>2.2000000000000002</v>
      </c>
      <c r="K14" s="379" t="s">
        <v>20</v>
      </c>
      <c r="L14" s="380">
        <v>3</v>
      </c>
      <c r="M14" s="370"/>
      <c r="N14" s="370"/>
      <c r="O14" s="71"/>
      <c r="P14" s="1195"/>
      <c r="Q14" s="1154" t="s">
        <v>736</v>
      </c>
      <c r="R14" s="395" t="s">
        <v>737</v>
      </c>
      <c r="S14" s="396" t="s">
        <v>738</v>
      </c>
      <c r="T14" s="1137">
        <v>0</v>
      </c>
      <c r="U14" s="1137">
        <v>1</v>
      </c>
      <c r="V14" s="1137">
        <v>0</v>
      </c>
      <c r="W14" s="1137">
        <v>1</v>
      </c>
      <c r="X14" s="1137">
        <v>0</v>
      </c>
      <c r="Y14" s="1137">
        <v>0.97</v>
      </c>
      <c r="Z14" s="1137">
        <v>0</v>
      </c>
      <c r="AA14" s="1137">
        <v>1</v>
      </c>
      <c r="AB14" s="1137">
        <v>0</v>
      </c>
      <c r="AC14" s="1151">
        <v>1</v>
      </c>
      <c r="AE14" s="1195"/>
      <c r="AF14" s="1154" t="s">
        <v>736</v>
      </c>
      <c r="AG14" s="395" t="s">
        <v>737</v>
      </c>
      <c r="AH14" s="396" t="s">
        <v>738</v>
      </c>
      <c r="AI14" s="1137">
        <v>0</v>
      </c>
      <c r="AJ14" s="1137">
        <v>1</v>
      </c>
      <c r="AK14" s="1137">
        <v>0</v>
      </c>
      <c r="AL14" s="1137">
        <v>1</v>
      </c>
      <c r="AM14" s="1137">
        <v>0</v>
      </c>
      <c r="AN14" s="1137">
        <v>0.97</v>
      </c>
      <c r="AO14" s="1137">
        <v>0</v>
      </c>
      <c r="AP14" s="1137">
        <v>1</v>
      </c>
      <c r="AQ14" s="1137">
        <v>0</v>
      </c>
      <c r="AR14" s="1151">
        <v>1</v>
      </c>
    </row>
    <row r="15" spans="1:44" outlineLevel="1">
      <c r="B15" s="376" t="s">
        <v>658</v>
      </c>
      <c r="C15" s="390">
        <f>0.5+0.4</f>
        <v>0.9</v>
      </c>
      <c r="D15" s="390">
        <f>0.5+0.4</f>
        <v>0.9</v>
      </c>
      <c r="E15" s="390">
        <f>0.5+0.4</f>
        <v>0.9</v>
      </c>
      <c r="F15" s="390">
        <f>0.5+0.4</f>
        <v>0.9</v>
      </c>
      <c r="G15" s="390">
        <f>0.5+0.3</f>
        <v>0.8</v>
      </c>
      <c r="H15" s="390">
        <f>0.5+0.6</f>
        <v>1.1000000000000001</v>
      </c>
      <c r="I15" s="390">
        <f>0.5+0.3</f>
        <v>0.8</v>
      </c>
      <c r="J15" s="390">
        <f>0.5+0.6</f>
        <v>1.1000000000000001</v>
      </c>
      <c r="K15" s="379" t="s">
        <v>20</v>
      </c>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25</v>
      </c>
      <c r="D16" s="397">
        <v>25</v>
      </c>
      <c r="E16" s="397">
        <v>25</v>
      </c>
      <c r="F16" s="397">
        <v>25</v>
      </c>
      <c r="G16" s="398">
        <v>20</v>
      </c>
      <c r="H16" s="398">
        <v>30</v>
      </c>
      <c r="I16" s="398">
        <v>20</v>
      </c>
      <c r="J16" s="398">
        <v>30</v>
      </c>
      <c r="K16" s="372"/>
      <c r="L16" s="373" t="s">
        <v>740</v>
      </c>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
        <v>738</v>
      </c>
      <c r="AI16" s="1191"/>
      <c r="AJ16" s="1191"/>
      <c r="AK16" s="1191"/>
      <c r="AL16" s="1191"/>
      <c r="AM16" s="1191"/>
      <c r="AN16" s="1191"/>
      <c r="AO16" s="1191"/>
      <c r="AP16" s="1191"/>
      <c r="AQ16" s="1191"/>
      <c r="AR16" s="1193"/>
    </row>
    <row r="17" spans="1:44" ht="15" outlineLevel="1" thickBot="1">
      <c r="B17" s="376" t="s">
        <v>273</v>
      </c>
      <c r="C17" s="399">
        <v>0.5</v>
      </c>
      <c r="D17" s="399">
        <v>0.5</v>
      </c>
      <c r="E17" s="399">
        <v>0.5</v>
      </c>
      <c r="F17" s="399">
        <v>0.5</v>
      </c>
      <c r="G17" s="399">
        <v>0.2</v>
      </c>
      <c r="H17" s="399">
        <v>0.7</v>
      </c>
      <c r="I17" s="399">
        <v>0.2</v>
      </c>
      <c r="J17" s="399">
        <v>0.7</v>
      </c>
      <c r="K17" s="372"/>
      <c r="L17" s="400"/>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29.4" outlineLevel="1" thickBot="1">
      <c r="B19" s="376" t="s">
        <v>663</v>
      </c>
      <c r="C19" s="390">
        <v>15</v>
      </c>
      <c r="D19" s="390">
        <v>15</v>
      </c>
      <c r="E19" s="390">
        <v>15</v>
      </c>
      <c r="F19" s="390">
        <v>15</v>
      </c>
      <c r="G19" s="391"/>
      <c r="H19" s="391"/>
      <c r="I19" s="391"/>
      <c r="J19" s="391"/>
      <c r="K19" s="379"/>
      <c r="L19" s="380">
        <v>3</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811" t="s">
        <v>746</v>
      </c>
      <c r="AH19" s="812" t="s">
        <v>738</v>
      </c>
      <c r="AI19" s="416">
        <v>1</v>
      </c>
      <c r="AJ19" s="415">
        <v>1</v>
      </c>
      <c r="AK19" s="416">
        <v>1</v>
      </c>
      <c r="AL19" s="415">
        <v>1</v>
      </c>
      <c r="AM19" s="416">
        <v>1</v>
      </c>
      <c r="AN19" s="415">
        <v>1</v>
      </c>
      <c r="AO19" s="416">
        <v>1</v>
      </c>
      <c r="AP19" s="415">
        <v>1</v>
      </c>
      <c r="AQ19" s="416">
        <v>1</v>
      </c>
      <c r="AR19" s="417">
        <v>1</v>
      </c>
    </row>
    <row r="20" spans="1:44" outlineLevel="1">
      <c r="B20" s="376" t="s">
        <v>664</v>
      </c>
      <c r="C20" s="390">
        <v>0.1</v>
      </c>
      <c r="D20" s="390">
        <v>0.1</v>
      </c>
      <c r="E20" s="390">
        <v>0.1</v>
      </c>
      <c r="F20" s="390">
        <v>0.1</v>
      </c>
      <c r="G20" s="418"/>
      <c r="H20" s="418"/>
      <c r="I20" s="418"/>
      <c r="J20" s="418"/>
      <c r="K20" s="419"/>
      <c r="L20" s="380">
        <v>3</v>
      </c>
      <c r="M20" s="363"/>
      <c r="N20" s="363"/>
    </row>
    <row r="21" spans="1:44" outlineLevel="1">
      <c r="B21" s="376" t="s">
        <v>666</v>
      </c>
      <c r="C21" s="390">
        <v>0.4</v>
      </c>
      <c r="D21" s="390">
        <v>0.4</v>
      </c>
      <c r="E21" s="390">
        <v>0.4</v>
      </c>
      <c r="F21" s="390">
        <v>0.4</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43">
        <v>8</v>
      </c>
      <c r="D23" s="1244">
        <v>8</v>
      </c>
      <c r="E23" s="1244">
        <v>8</v>
      </c>
      <c r="F23" s="1245">
        <v>8</v>
      </c>
      <c r="G23" s="422"/>
      <c r="H23" s="425"/>
      <c r="I23" s="425"/>
      <c r="J23" s="425"/>
      <c r="K23" s="426" t="s">
        <v>76</v>
      </c>
      <c r="L23" s="427" t="s">
        <v>748</v>
      </c>
      <c r="M23" s="428"/>
      <c r="N23" s="428"/>
    </row>
    <row r="24" spans="1:44" outlineLevel="1">
      <c r="B24" s="383" t="s">
        <v>749</v>
      </c>
      <c r="C24" s="1246">
        <v>2.1</v>
      </c>
      <c r="D24" s="1247">
        <v>2.1</v>
      </c>
      <c r="E24" s="1247">
        <v>2.1</v>
      </c>
      <c r="F24" s="1248">
        <v>2.1</v>
      </c>
      <c r="G24" s="425"/>
      <c r="H24" s="425"/>
      <c r="I24" s="425"/>
      <c r="J24" s="425"/>
      <c r="K24" s="423"/>
      <c r="L24" s="427">
        <v>9</v>
      </c>
      <c r="M24" s="428"/>
      <c r="N24" s="428"/>
    </row>
    <row r="25" spans="1:44" outlineLevel="1">
      <c r="B25" s="383" t="s">
        <v>844</v>
      </c>
      <c r="C25" s="1234">
        <v>35</v>
      </c>
      <c r="D25" s="1235">
        <v>35</v>
      </c>
      <c r="E25" s="1235">
        <v>35</v>
      </c>
      <c r="F25" s="1236">
        <v>35</v>
      </c>
      <c r="G25" s="425"/>
      <c r="H25" s="425"/>
      <c r="I25" s="425"/>
      <c r="J25" s="425"/>
      <c r="K25" s="423"/>
      <c r="L25" s="427" t="s">
        <v>748</v>
      </c>
      <c r="M25" s="428"/>
      <c r="N25" s="428"/>
    </row>
    <row r="26" spans="1:44" outlineLevel="1">
      <c r="B26" s="383" t="s">
        <v>366</v>
      </c>
      <c r="C26" s="1246">
        <v>1.5</v>
      </c>
      <c r="D26" s="1247">
        <v>1.5</v>
      </c>
      <c r="E26" s="1247">
        <v>1.5</v>
      </c>
      <c r="F26" s="1248">
        <v>1.5</v>
      </c>
      <c r="G26" s="425"/>
      <c r="H26" s="425"/>
      <c r="I26" s="425"/>
      <c r="J26" s="425"/>
      <c r="K26" s="423"/>
      <c r="L26" s="427" t="s">
        <v>748</v>
      </c>
      <c r="M26" s="428"/>
      <c r="N26" s="428"/>
    </row>
    <row r="27" spans="1:44" ht="15" outlineLevel="1" thickBot="1">
      <c r="B27" s="429" t="s">
        <v>367</v>
      </c>
      <c r="C27" s="1237">
        <v>0.8</v>
      </c>
      <c r="D27" s="1238">
        <v>0.8</v>
      </c>
      <c r="E27" s="1238">
        <v>0.8</v>
      </c>
      <c r="F27" s="1239">
        <v>0.8</v>
      </c>
      <c r="G27" s="425"/>
      <c r="H27" s="425"/>
      <c r="I27" s="425"/>
      <c r="J27" s="425"/>
      <c r="K27" s="423"/>
      <c r="L27" s="427" t="s">
        <v>748</v>
      </c>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1092</v>
      </c>
      <c r="C29" s="551">
        <v>0.5</v>
      </c>
      <c r="D29" s="647">
        <v>0.46576380486506985</v>
      </c>
      <c r="E29" s="647">
        <v>0.44600000000000001</v>
      </c>
      <c r="F29" s="648">
        <v>0.44045618468049191</v>
      </c>
      <c r="G29" s="425"/>
      <c r="H29" s="425"/>
      <c r="I29" s="425"/>
      <c r="J29" s="425"/>
      <c r="K29" s="426" t="s">
        <v>752</v>
      </c>
      <c r="L29" s="440" t="s">
        <v>753</v>
      </c>
      <c r="M29" s="420"/>
      <c r="N29" s="420"/>
    </row>
    <row r="30" spans="1:44" outlineLevel="1">
      <c r="B30" s="441" t="s">
        <v>754</v>
      </c>
      <c r="C30" s="442">
        <v>60</v>
      </c>
      <c r="D30" s="443">
        <v>60</v>
      </c>
      <c r="E30" s="443">
        <v>60</v>
      </c>
      <c r="F30" s="443">
        <v>60</v>
      </c>
      <c r="G30" s="425"/>
      <c r="H30" s="425"/>
      <c r="I30" s="425"/>
      <c r="J30" s="425"/>
      <c r="K30" s="444"/>
      <c r="L30" s="373">
        <v>3</v>
      </c>
      <c r="M30" s="71"/>
      <c r="N30" s="420"/>
    </row>
    <row r="31" spans="1:44" outlineLevel="1">
      <c r="B31" s="441" t="s">
        <v>755</v>
      </c>
      <c r="C31" s="442">
        <f>100-C30</f>
        <v>40</v>
      </c>
      <c r="D31" s="442">
        <f>100-D30</f>
        <v>40</v>
      </c>
      <c r="E31" s="442">
        <f>100-E30</f>
        <v>40</v>
      </c>
      <c r="F31" s="442">
        <f>100-F30</f>
        <v>40</v>
      </c>
      <c r="G31" s="425"/>
      <c r="H31" s="425"/>
      <c r="I31" s="425"/>
      <c r="J31" s="425"/>
      <c r="K31" s="444"/>
      <c r="L31" s="373">
        <v>3</v>
      </c>
      <c r="M31" s="420"/>
      <c r="N31" s="420"/>
    </row>
    <row r="32" spans="1:44" outlineLevel="1">
      <c r="B32" s="383" t="s">
        <v>841</v>
      </c>
      <c r="C32" s="602">
        <v>33700</v>
      </c>
      <c r="D32" s="603">
        <v>32600</v>
      </c>
      <c r="E32" s="603">
        <f>(D32+F32)/2</f>
        <v>31600</v>
      </c>
      <c r="F32" s="604">
        <v>30600</v>
      </c>
      <c r="G32" s="425"/>
      <c r="H32" s="425"/>
      <c r="I32" s="425"/>
      <c r="J32" s="425"/>
      <c r="K32" s="448"/>
      <c r="L32" s="373">
        <v>3</v>
      </c>
      <c r="M32" s="420"/>
      <c r="N32" s="420"/>
    </row>
    <row r="33" spans="2:30" ht="37.049999999999997" customHeight="1" outlineLevel="1" thickBot="1">
      <c r="B33" s="383" t="s">
        <v>679</v>
      </c>
      <c r="C33" s="449">
        <f>C34+C35</f>
        <v>1.903</v>
      </c>
      <c r="D33" s="449">
        <f t="shared" ref="D33:F33" si="1">D34+D35</f>
        <v>1.9250000000000003</v>
      </c>
      <c r="E33" s="449">
        <f t="shared" si="1"/>
        <v>1.9360000000000002</v>
      </c>
      <c r="F33" s="449">
        <f t="shared" si="1"/>
        <v>1.9360000000000002</v>
      </c>
      <c r="G33" s="425"/>
      <c r="H33" s="425"/>
      <c r="I33" s="425"/>
      <c r="J33" s="425"/>
      <c r="K33" s="448"/>
      <c r="L33" s="373">
        <v>3</v>
      </c>
      <c r="M33" s="694"/>
      <c r="N33" s="693"/>
      <c r="P33" s="1142">
        <f>C33</f>
        <v>1.903</v>
      </c>
      <c r="Q33" s="1143"/>
      <c r="R33" s="1143"/>
      <c r="S33" s="1143"/>
      <c r="T33" s="1143"/>
      <c r="U33" s="1144"/>
    </row>
    <row r="34" spans="2:30" ht="15.75" customHeight="1" outlineLevel="1" thickBot="1">
      <c r="B34" s="451" t="s">
        <v>758</v>
      </c>
      <c r="C34" s="452">
        <f>C13/100*73</f>
        <v>0.80300000000000005</v>
      </c>
      <c r="D34" s="452">
        <f>D13/100*75</f>
        <v>0.82500000000000007</v>
      </c>
      <c r="E34" s="452">
        <f>E13/100*76</f>
        <v>0.83600000000000008</v>
      </c>
      <c r="F34" s="452">
        <f>F13/100*76</f>
        <v>0.83600000000000008</v>
      </c>
      <c r="G34" s="453"/>
      <c r="H34" s="453"/>
      <c r="I34" s="453"/>
      <c r="J34" s="453"/>
      <c r="K34" s="379" t="s">
        <v>52</v>
      </c>
      <c r="L34" s="380">
        <v>3</v>
      </c>
      <c r="M34" s="694"/>
      <c r="N34" s="693"/>
      <c r="P34" s="1134">
        <f>C34</f>
        <v>0.80300000000000005</v>
      </c>
      <c r="Q34" s="1135"/>
      <c r="R34" s="1135"/>
      <c r="S34" s="1135"/>
      <c r="T34" s="1135"/>
      <c r="U34" s="1136"/>
    </row>
    <row r="35" spans="2:30" outlineLevel="1">
      <c r="B35" s="451" t="s">
        <v>759</v>
      </c>
      <c r="C35" s="454">
        <v>1.1000000000000001</v>
      </c>
      <c r="D35" s="454">
        <v>1.1000000000000001</v>
      </c>
      <c r="E35" s="454">
        <v>1.1000000000000001</v>
      </c>
      <c r="F35" s="454">
        <v>1.1000000000000001</v>
      </c>
      <c r="G35" s="453"/>
      <c r="H35" s="453"/>
      <c r="I35" s="453"/>
      <c r="J35" s="453"/>
      <c r="K35" s="455"/>
      <c r="L35" s="380">
        <v>3</v>
      </c>
      <c r="M35" s="363"/>
      <c r="N35" s="363"/>
      <c r="P35" s="53" t="s">
        <v>357</v>
      </c>
    </row>
    <row r="36" spans="2:30" ht="27.6"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627"/>
      <c r="D37" s="814"/>
      <c r="E37" s="814"/>
      <c r="F37" s="815"/>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55</v>
      </c>
      <c r="L39" s="464"/>
      <c r="M39" s="363"/>
      <c r="N39" s="363"/>
      <c r="O39" s="465">
        <f>C12</f>
        <v>89</v>
      </c>
      <c r="P39" s="466">
        <f>C8</f>
        <v>2020</v>
      </c>
      <c r="Q39" s="58">
        <f>P39</f>
        <v>2020</v>
      </c>
      <c r="R39" s="466">
        <f>O39/100</f>
        <v>0.89</v>
      </c>
      <c r="S39" s="58"/>
      <c r="T39" s="466">
        <f>C16</f>
        <v>25</v>
      </c>
      <c r="U39" s="467">
        <f>C46</f>
        <v>3725</v>
      </c>
      <c r="V39" s="467">
        <f>C48</f>
        <v>251.065</v>
      </c>
      <c r="W39" s="467">
        <f>C49</f>
        <v>3.9381527777777778</v>
      </c>
      <c r="X39" s="58"/>
      <c r="Y39" s="58"/>
      <c r="Z39" s="466">
        <f>C23</f>
        <v>8</v>
      </c>
      <c r="AA39" s="468">
        <f>C25</f>
        <v>35</v>
      </c>
      <c r="AB39" s="468">
        <f>C26</f>
        <v>1.5</v>
      </c>
      <c r="AC39" s="468">
        <f>C27</f>
        <v>0.8</v>
      </c>
      <c r="AD39" s="468">
        <f>C24</f>
        <v>2.1</v>
      </c>
    </row>
    <row r="40" spans="2:30" ht="14.55" customHeight="1" outlineLevel="1">
      <c r="B40" s="376" t="s">
        <v>763</v>
      </c>
      <c r="C40" s="469" t="s">
        <v>36</v>
      </c>
      <c r="D40" s="470" t="s">
        <v>36</v>
      </c>
      <c r="E40" s="470" t="s">
        <v>36</v>
      </c>
      <c r="F40" s="471" t="s">
        <v>36</v>
      </c>
      <c r="G40" s="471"/>
      <c r="H40" s="471"/>
      <c r="I40" s="471"/>
      <c r="J40" s="471"/>
      <c r="K40" s="472" t="s">
        <v>55</v>
      </c>
      <c r="L40" s="464"/>
      <c r="M40" s="363"/>
      <c r="N40" s="363"/>
      <c r="O40" s="465">
        <f>D12</f>
        <v>89</v>
      </c>
      <c r="P40" s="466">
        <f>D8</f>
        <v>2030</v>
      </c>
      <c r="Q40" s="58"/>
      <c r="R40" s="466">
        <f>O40/100</f>
        <v>0.89</v>
      </c>
      <c r="S40" s="58"/>
      <c r="T40" s="466">
        <f>D16</f>
        <v>25</v>
      </c>
      <c r="U40" s="467">
        <f>D46</f>
        <v>3469.9403462447704</v>
      </c>
      <c r="V40" s="467">
        <f>D48</f>
        <v>242.87</v>
      </c>
      <c r="W40" s="467">
        <f>D49</f>
        <v>3.9836805555555559</v>
      </c>
      <c r="X40" s="58"/>
      <c r="Y40" s="58"/>
      <c r="Z40" s="466">
        <f>D23</f>
        <v>8</v>
      </c>
      <c r="AA40" s="468">
        <f>D25</f>
        <v>35</v>
      </c>
      <c r="AB40" s="468">
        <f>D26</f>
        <v>1.5</v>
      </c>
      <c r="AC40" s="468">
        <f>D27</f>
        <v>0.8</v>
      </c>
      <c r="AD40" s="468">
        <f>D24</f>
        <v>2.1</v>
      </c>
    </row>
    <row r="41" spans="2:30" outlineLevel="1">
      <c r="B41" s="376" t="s">
        <v>764</v>
      </c>
      <c r="C41" s="469" t="s">
        <v>36</v>
      </c>
      <c r="D41" s="470" t="s">
        <v>36</v>
      </c>
      <c r="E41" s="470" t="s">
        <v>36</v>
      </c>
      <c r="F41" s="471" t="s">
        <v>36</v>
      </c>
      <c r="G41" s="453"/>
      <c r="H41" s="453"/>
      <c r="I41" s="453"/>
      <c r="J41" s="453"/>
      <c r="K41" s="453"/>
      <c r="L41" s="380"/>
      <c r="M41" s="363"/>
      <c r="N41" s="363"/>
      <c r="O41" s="465">
        <f>E12</f>
        <v>90</v>
      </c>
      <c r="P41" s="466">
        <f>E8</f>
        <v>2040</v>
      </c>
      <c r="Q41" s="58"/>
      <c r="R41" s="466">
        <f>O41/100</f>
        <v>0.9</v>
      </c>
      <c r="S41" s="58"/>
      <c r="T41" s="466">
        <f>E16</f>
        <v>25</v>
      </c>
      <c r="U41" s="467">
        <f>E46</f>
        <v>3322.7000000000003</v>
      </c>
      <c r="V41" s="467">
        <f>E48</f>
        <v>235.42</v>
      </c>
      <c r="W41" s="467">
        <f>E49</f>
        <v>4.0064444444444449</v>
      </c>
      <c r="X41" s="58"/>
      <c r="Y41" s="58"/>
      <c r="Z41" s="466">
        <f>E23</f>
        <v>8</v>
      </c>
      <c r="AA41" s="468">
        <f>E25</f>
        <v>35</v>
      </c>
      <c r="AB41" s="468">
        <f>E26</f>
        <v>1.5</v>
      </c>
      <c r="AC41" s="468">
        <f>E27</f>
        <v>0.8</v>
      </c>
      <c r="AD41" s="468">
        <f>E24</f>
        <v>2.1</v>
      </c>
    </row>
    <row r="42" spans="2:30" ht="14.55" customHeight="1" outlineLevel="1">
      <c r="B42" s="376" t="s">
        <v>765</v>
      </c>
      <c r="C42" s="1240">
        <v>90</v>
      </c>
      <c r="D42" s="1241">
        <v>90</v>
      </c>
      <c r="E42" s="1241">
        <v>90</v>
      </c>
      <c r="F42" s="1242">
        <v>90</v>
      </c>
      <c r="G42" s="474"/>
      <c r="H42" s="474"/>
      <c r="I42" s="474"/>
      <c r="J42" s="474"/>
      <c r="K42" s="474"/>
      <c r="L42" s="380">
        <v>3</v>
      </c>
      <c r="M42" s="363"/>
      <c r="N42" s="363"/>
      <c r="O42" s="465">
        <f>F12</f>
        <v>91</v>
      </c>
      <c r="P42" s="466">
        <f>F8</f>
        <v>2050</v>
      </c>
      <c r="Q42" s="58"/>
      <c r="R42" s="466">
        <f>O42/100</f>
        <v>0.91</v>
      </c>
      <c r="S42" s="58"/>
      <c r="T42" s="466">
        <f>F16</f>
        <v>25</v>
      </c>
      <c r="U42" s="467">
        <f>F46</f>
        <v>3281.3985758696645</v>
      </c>
      <c r="V42" s="467">
        <f>F48</f>
        <v>227.97</v>
      </c>
      <c r="W42" s="467">
        <f>F49</f>
        <v>4.0064444444444449</v>
      </c>
      <c r="X42" s="58"/>
      <c r="Y42" s="58"/>
      <c r="Z42" s="466">
        <f>F23</f>
        <v>8</v>
      </c>
      <c r="AA42" s="468">
        <f>F25</f>
        <v>35</v>
      </c>
      <c r="AB42" s="468">
        <f>F26</f>
        <v>1.5</v>
      </c>
      <c r="AC42" s="468">
        <f>F27</f>
        <v>0.8</v>
      </c>
      <c r="AD42" s="468">
        <f>F24</f>
        <v>2.1</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3725</v>
      </c>
      <c r="D46" s="483">
        <f t="shared" ref="D46:F46" si="2">D29*$F$4*1000</f>
        <v>3469.9403462447704</v>
      </c>
      <c r="E46" s="483">
        <f t="shared" si="2"/>
        <v>3322.7000000000003</v>
      </c>
      <c r="F46" s="483">
        <f t="shared" si="2"/>
        <v>3281.3985758696645</v>
      </c>
      <c r="G46" s="483"/>
      <c r="H46" s="484"/>
      <c r="I46" s="420" t="s">
        <v>332</v>
      </c>
      <c r="J46" s="420"/>
      <c r="K46" s="484"/>
      <c r="L46" s="484"/>
      <c r="N46" s="420"/>
    </row>
    <row r="47" spans="2:30" outlineLevel="1">
      <c r="B47" s="485" t="s">
        <v>770</v>
      </c>
      <c r="C47" s="486">
        <f>C46*$I47</f>
        <v>1862500</v>
      </c>
      <c r="D47" s="486">
        <f>D46*$I47</f>
        <v>1734970.1731223853</v>
      </c>
      <c r="E47" s="486">
        <f>E46*$I47</f>
        <v>1661350.0000000002</v>
      </c>
      <c r="F47" s="486">
        <f>F46*$I47</f>
        <v>1640699.2879348323</v>
      </c>
      <c r="G47" s="486"/>
      <c r="H47" s="484"/>
      <c r="I47" s="71">
        <v>500</v>
      </c>
      <c r="J47" s="420" t="s">
        <v>330</v>
      </c>
      <c r="K47" s="484"/>
      <c r="L47" s="484"/>
      <c r="N47" s="420"/>
    </row>
    <row r="48" spans="2:30" ht="43.2" outlineLevel="1">
      <c r="B48" s="461" t="s">
        <v>845</v>
      </c>
      <c r="C48" s="359">
        <f>C32*$F$4/1000</f>
        <v>251.065</v>
      </c>
      <c r="D48" s="359">
        <f t="shared" ref="D48:F48" si="3">D32*$F$4/1000</f>
        <v>242.87</v>
      </c>
      <c r="E48" s="359">
        <f t="shared" si="3"/>
        <v>235.42</v>
      </c>
      <c r="F48" s="359">
        <f t="shared" si="3"/>
        <v>227.97</v>
      </c>
      <c r="G48" s="359"/>
      <c r="I48" s="420" t="s">
        <v>333</v>
      </c>
      <c r="J48" s="420"/>
      <c r="N48" s="420"/>
    </row>
    <row r="49" spans="2:14" ht="43.2" outlineLevel="1">
      <c r="B49" s="461" t="s">
        <v>846</v>
      </c>
      <c r="C49" s="487">
        <f>C33*$F$4/3.6</f>
        <v>3.9381527777777778</v>
      </c>
      <c r="D49" s="487">
        <f t="shared" ref="D49:F49" si="4">D33*$F$4/3.6</f>
        <v>3.9836805555555559</v>
      </c>
      <c r="E49" s="487">
        <f t="shared" si="4"/>
        <v>4.0064444444444449</v>
      </c>
      <c r="F49" s="487">
        <f t="shared" si="4"/>
        <v>4.0064444444444449</v>
      </c>
      <c r="G49" s="359"/>
      <c r="M49" s="420"/>
      <c r="N49" s="420"/>
    </row>
    <row r="50" spans="2:14" outlineLevel="1"/>
    <row r="51" spans="2:14" outlineLevel="1"/>
    <row r="52" spans="2:14" outlineLevel="1"/>
    <row r="53" spans="2:14" outlineLevel="1"/>
    <row r="54" spans="2:14" outlineLevel="1">
      <c r="B54" s="488" t="s">
        <v>773</v>
      </c>
      <c r="C54" s="489"/>
      <c r="D54" s="489"/>
      <c r="E54" s="489"/>
      <c r="F54" s="358"/>
      <c r="G54" s="358"/>
      <c r="H54" s="358"/>
      <c r="I54" s="358"/>
      <c r="J54" s="358"/>
      <c r="K54" s="358"/>
      <c r="L54" s="358"/>
    </row>
    <row r="55" spans="2:14" outlineLevel="1">
      <c r="B55" s="491">
        <v>1</v>
      </c>
      <c r="C55" s="492" t="s">
        <v>774</v>
      </c>
      <c r="D55" s="489"/>
      <c r="E55" s="489"/>
      <c r="F55" s="358"/>
      <c r="G55" s="358"/>
      <c r="H55" s="358"/>
      <c r="I55" s="358"/>
      <c r="J55" s="358"/>
      <c r="K55" s="358"/>
      <c r="L55" s="358"/>
    </row>
    <row r="56" spans="2:14" outlineLevel="1">
      <c r="B56" s="491">
        <v>2</v>
      </c>
      <c r="C56" s="493" t="s">
        <v>775</v>
      </c>
      <c r="D56" s="489"/>
      <c r="E56" s="489"/>
      <c r="F56" s="358"/>
      <c r="G56" s="358"/>
      <c r="H56" s="358"/>
      <c r="I56" s="358"/>
      <c r="J56" s="358"/>
      <c r="K56" s="358"/>
      <c r="L56" s="358"/>
    </row>
    <row r="57" spans="2:14" outlineLevel="1">
      <c r="B57" s="491">
        <v>3</v>
      </c>
      <c r="C57" s="493" t="s">
        <v>776</v>
      </c>
      <c r="D57" s="489"/>
      <c r="E57" s="489"/>
      <c r="F57" s="358"/>
      <c r="G57" s="358"/>
      <c r="H57" s="358"/>
      <c r="I57" s="358"/>
      <c r="J57" s="358"/>
      <c r="K57" s="358"/>
      <c r="L57" s="358"/>
    </row>
    <row r="58" spans="2:14" outlineLevel="1">
      <c r="B58" s="491">
        <v>4</v>
      </c>
      <c r="C58" s="493" t="s">
        <v>777</v>
      </c>
      <c r="D58" s="489"/>
      <c r="E58" s="489"/>
      <c r="F58" s="358"/>
      <c r="G58" s="358"/>
      <c r="H58" s="358"/>
      <c r="I58" s="358"/>
      <c r="J58" s="358"/>
      <c r="K58" s="358"/>
      <c r="L58" s="358"/>
    </row>
    <row r="59" spans="2:14" outlineLevel="1">
      <c r="B59" s="489">
        <v>5</v>
      </c>
      <c r="C59" s="494" t="s">
        <v>778</v>
      </c>
      <c r="D59" s="489"/>
      <c r="E59" s="489"/>
      <c r="F59" s="358"/>
      <c r="G59" s="358"/>
      <c r="H59" s="358"/>
      <c r="I59" s="358"/>
      <c r="J59" s="358"/>
      <c r="K59" s="358"/>
      <c r="L59" s="358"/>
    </row>
    <row r="60" spans="2:14" outlineLevel="1">
      <c r="B60" s="489">
        <v>6</v>
      </c>
      <c r="C60" s="492" t="s">
        <v>779</v>
      </c>
      <c r="D60" s="489"/>
      <c r="E60" s="489"/>
      <c r="F60" s="358"/>
      <c r="G60" s="358"/>
      <c r="H60" s="358"/>
      <c r="I60" s="358"/>
      <c r="J60" s="358"/>
      <c r="K60" s="358"/>
      <c r="L60" s="358"/>
    </row>
    <row r="61" spans="2:14" outlineLevel="1">
      <c r="B61" s="489">
        <v>7</v>
      </c>
      <c r="C61" s="495" t="s">
        <v>774</v>
      </c>
      <c r="D61" s="489"/>
      <c r="E61" s="489"/>
      <c r="F61" s="358"/>
      <c r="G61" s="358"/>
      <c r="H61" s="358"/>
      <c r="I61" s="358"/>
      <c r="J61" s="358"/>
      <c r="K61" s="358"/>
      <c r="L61" s="358"/>
    </row>
    <row r="62" spans="2:14" outlineLevel="1">
      <c r="B62" s="489">
        <v>8</v>
      </c>
      <c r="C62" s="495" t="s">
        <v>780</v>
      </c>
      <c r="D62" s="490"/>
      <c r="E62" s="489"/>
      <c r="F62" s="358"/>
      <c r="G62" s="358"/>
      <c r="H62" s="358"/>
      <c r="I62" s="358"/>
      <c r="J62" s="358"/>
      <c r="K62" s="358"/>
      <c r="L62" s="358"/>
    </row>
    <row r="63" spans="2:14" outlineLevel="1">
      <c r="B63" s="489">
        <v>9</v>
      </c>
      <c r="C63" s="489" t="s">
        <v>781</v>
      </c>
      <c r="D63" s="490"/>
      <c r="E63" s="489"/>
      <c r="F63" s="358"/>
      <c r="G63" s="358"/>
      <c r="H63" s="358"/>
      <c r="I63" s="358"/>
      <c r="J63" s="358"/>
      <c r="K63" s="358"/>
      <c r="L63" s="358"/>
    </row>
    <row r="64" spans="2:14" outlineLevel="1">
      <c r="B64" s="489">
        <v>10</v>
      </c>
      <c r="C64" s="490" t="s">
        <v>782</v>
      </c>
      <c r="D64" s="490"/>
      <c r="E64" s="489"/>
      <c r="F64" s="358"/>
      <c r="G64" s="358"/>
      <c r="H64" s="358"/>
      <c r="I64" s="358"/>
      <c r="J64" s="358"/>
      <c r="K64" s="358"/>
      <c r="L64" s="358"/>
    </row>
    <row r="65" spans="2:12" outlineLevel="1">
      <c r="B65" s="488" t="s">
        <v>783</v>
      </c>
      <c r="C65" s="489"/>
      <c r="D65" s="358"/>
      <c r="E65" s="489"/>
      <c r="F65" s="358"/>
      <c r="G65" s="358"/>
      <c r="H65" s="358"/>
      <c r="I65" s="358"/>
      <c r="J65" s="358"/>
      <c r="K65" s="358"/>
      <c r="L65" s="358"/>
    </row>
    <row r="66" spans="2:12" outlineLevel="1">
      <c r="B66" s="496" t="s">
        <v>6</v>
      </c>
      <c r="C66" s="489" t="s">
        <v>1093</v>
      </c>
      <c r="D66" s="358"/>
      <c r="E66" s="489"/>
      <c r="F66" s="358"/>
      <c r="G66" s="358"/>
      <c r="H66" s="358"/>
      <c r="I66" s="358"/>
      <c r="J66" s="358"/>
      <c r="K66" s="358"/>
      <c r="L66" s="358"/>
    </row>
    <row r="67" spans="2:12" outlineLevel="1">
      <c r="B67" s="496" t="s">
        <v>59</v>
      </c>
      <c r="C67" s="489" t="s">
        <v>785</v>
      </c>
      <c r="D67" s="358"/>
      <c r="E67" s="489"/>
      <c r="F67" s="358"/>
      <c r="G67" s="358"/>
      <c r="H67" s="358"/>
      <c r="I67" s="358"/>
      <c r="J67" s="358"/>
      <c r="K67" s="358"/>
      <c r="L67" s="358"/>
    </row>
    <row r="68" spans="2:12" outlineLevel="1">
      <c r="B68" s="496" t="s">
        <v>16</v>
      </c>
      <c r="C68" s="489" t="s">
        <v>976</v>
      </c>
      <c r="D68" s="358"/>
      <c r="E68" s="489"/>
      <c r="F68" s="358"/>
      <c r="G68" s="358"/>
      <c r="H68" s="358"/>
      <c r="I68" s="358"/>
      <c r="J68" s="358"/>
      <c r="K68" s="358"/>
      <c r="L68" s="358"/>
    </row>
    <row r="69" spans="2:12" outlineLevel="1">
      <c r="B69" s="496" t="s">
        <v>20</v>
      </c>
      <c r="C69" s="489" t="s">
        <v>1094</v>
      </c>
      <c r="D69" s="358"/>
      <c r="E69" s="489"/>
      <c r="F69" s="358"/>
      <c r="G69" s="358"/>
      <c r="H69" s="358"/>
      <c r="I69" s="358"/>
      <c r="J69" s="358"/>
      <c r="K69" s="358"/>
      <c r="L69" s="358"/>
    </row>
    <row r="70" spans="2:12" outlineLevel="1">
      <c r="B70" s="496" t="s">
        <v>76</v>
      </c>
      <c r="C70" s="489" t="s">
        <v>786</v>
      </c>
      <c r="D70" s="358"/>
      <c r="E70" s="489"/>
      <c r="G70" s="358"/>
      <c r="H70" s="358"/>
      <c r="I70" s="358"/>
      <c r="J70" s="358"/>
      <c r="K70" s="358"/>
      <c r="L70" s="358"/>
    </row>
    <row r="71" spans="2:12" outlineLevel="1">
      <c r="B71" s="496" t="s">
        <v>25</v>
      </c>
      <c r="C71" s="489" t="s">
        <v>978</v>
      </c>
      <c r="D71" s="358"/>
      <c r="E71" s="489"/>
      <c r="G71" s="358"/>
      <c r="H71" s="358"/>
      <c r="I71" s="358"/>
      <c r="J71" s="358"/>
      <c r="K71" s="358"/>
      <c r="L71" s="358"/>
    </row>
    <row r="72" spans="2:12" outlineLevel="1">
      <c r="B72" s="496" t="s">
        <v>33</v>
      </c>
      <c r="C72" s="489" t="s">
        <v>979</v>
      </c>
      <c r="D72" s="358"/>
      <c r="E72" s="489"/>
      <c r="G72" s="358"/>
      <c r="H72" s="358"/>
      <c r="I72" s="358"/>
      <c r="J72" s="358"/>
      <c r="K72" s="358"/>
      <c r="L72" s="358"/>
    </row>
    <row r="73" spans="2:12" outlineLevel="1">
      <c r="B73" s="496" t="s">
        <v>51</v>
      </c>
      <c r="C73" s="489" t="s">
        <v>787</v>
      </c>
      <c r="D73" s="358"/>
      <c r="E73" s="489"/>
      <c r="G73" s="358"/>
      <c r="H73" s="358"/>
      <c r="I73" s="358"/>
      <c r="J73" s="358"/>
      <c r="K73" s="358"/>
      <c r="L73" s="358"/>
    </row>
    <row r="74" spans="2:12" outlineLevel="1">
      <c r="B74" s="496" t="s">
        <v>52</v>
      </c>
      <c r="C74" s="489" t="s">
        <v>788</v>
      </c>
      <c r="D74" s="358"/>
      <c r="E74" s="490"/>
      <c r="G74" s="358"/>
      <c r="H74" s="358"/>
      <c r="I74" s="358"/>
      <c r="J74" s="358"/>
      <c r="K74" s="358"/>
      <c r="L74" s="358"/>
    </row>
    <row r="75" spans="2:12" outlineLevel="1">
      <c r="B75" s="496" t="s">
        <v>55</v>
      </c>
      <c r="C75" s="489" t="s">
        <v>789</v>
      </c>
      <c r="D75" s="358"/>
      <c r="E75" s="490"/>
      <c r="G75" s="358"/>
      <c r="H75" s="358"/>
      <c r="I75" s="358"/>
      <c r="J75" s="358"/>
      <c r="K75" s="358"/>
      <c r="L75" s="358"/>
    </row>
    <row r="76" spans="2:12" outlineLevel="1">
      <c r="E76" s="490"/>
      <c r="G76" s="358"/>
      <c r="H76" s="358"/>
      <c r="I76" s="358"/>
      <c r="J76" s="358"/>
      <c r="K76" s="358"/>
      <c r="L76" s="358"/>
    </row>
    <row r="77" spans="2:12" outlineLevel="1">
      <c r="B77" s="496"/>
      <c r="C77" s="489"/>
      <c r="G77" s="358"/>
      <c r="H77" s="358"/>
      <c r="I77" s="358"/>
      <c r="J77" s="358"/>
      <c r="K77" s="358"/>
      <c r="L77" s="358"/>
    </row>
    <row r="78" spans="2:12" outlineLevel="1">
      <c r="E78" s="490"/>
      <c r="F78" s="490"/>
    </row>
    <row r="79" spans="2:12" outlineLevel="1"/>
    <row r="80" spans="2:12" outlineLevel="1">
      <c r="B80" s="496"/>
      <c r="C80" s="489"/>
      <c r="D80" s="489"/>
    </row>
    <row r="81" spans="1:44" outlineLevel="1">
      <c r="B81" s="638" t="str">
        <f>C86</f>
        <v>Hot water boiler, Coal</v>
      </c>
    </row>
    <row r="84" spans="1:44">
      <c r="A84" s="360" t="s">
        <v>1098</v>
      </c>
      <c r="B84" s="1207"/>
      <c r="C84" s="1143"/>
      <c r="D84" s="1143"/>
      <c r="E84" s="1143"/>
      <c r="F84" s="1143"/>
      <c r="G84" s="1143"/>
      <c r="H84" s="1143"/>
      <c r="I84" s="1143"/>
      <c r="J84" s="1143"/>
      <c r="K84" s="1143"/>
      <c r="L84" s="1143"/>
      <c r="M84" s="1143"/>
      <c r="N84" s="693"/>
      <c r="P84" s="1143"/>
      <c r="Q84" s="1143"/>
      <c r="R84" s="1143"/>
      <c r="S84" s="1143"/>
      <c r="T84" s="1143"/>
      <c r="U84" s="1143"/>
    </row>
    <row r="85" spans="1:44" ht="15" outlineLevel="1" thickBot="1">
      <c r="B85" s="1207"/>
      <c r="C85" s="1143"/>
      <c r="D85" s="1143"/>
      <c r="E85" s="1143"/>
      <c r="F85" s="1143"/>
      <c r="G85" s="1143"/>
      <c r="H85" s="1143"/>
      <c r="I85" s="1143"/>
      <c r="J85" s="1143"/>
      <c r="K85" s="1143"/>
      <c r="L85" s="1143"/>
      <c r="M85" s="1143"/>
      <c r="N85" s="693"/>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5" customHeight="1" outlineLevel="1" thickBot="1">
      <c r="B86" s="362" t="s">
        <v>0</v>
      </c>
      <c r="C86" s="1204" t="s">
        <v>1096</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29.4" outlineLevel="1" thickBot="1">
      <c r="B89" s="371" t="s">
        <v>651</v>
      </c>
      <c r="C89" s="372">
        <v>20</v>
      </c>
      <c r="D89" s="372">
        <v>20</v>
      </c>
      <c r="E89" s="372">
        <v>20</v>
      </c>
      <c r="F89" s="372">
        <v>20</v>
      </c>
      <c r="G89" s="372">
        <v>1</v>
      </c>
      <c r="H89" s="372">
        <v>50</v>
      </c>
      <c r="I89" s="372">
        <v>1</v>
      </c>
      <c r="J89" s="372">
        <v>50</v>
      </c>
      <c r="K89" s="372" t="s">
        <v>6</v>
      </c>
      <c r="L89" s="373">
        <v>3</v>
      </c>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668">
        <v>90</v>
      </c>
      <c r="D90" s="668">
        <v>90</v>
      </c>
      <c r="E90" s="669">
        <v>91</v>
      </c>
      <c r="F90" s="668">
        <v>92</v>
      </c>
      <c r="G90" s="668">
        <v>88</v>
      </c>
      <c r="H90" s="668">
        <f>(D90*1.02)</f>
        <v>91.8</v>
      </c>
      <c r="I90" s="668">
        <v>88</v>
      </c>
      <c r="J90" s="668">
        <f>(F90*1.01)</f>
        <v>92.92</v>
      </c>
      <c r="K90" s="503"/>
      <c r="L90" s="504" t="s">
        <v>729</v>
      </c>
      <c r="M90" s="370"/>
      <c r="N90" s="370"/>
      <c r="P90" s="1148" t="str">
        <f>C86</f>
        <v>Hot water boiler, Coal</v>
      </c>
      <c r="Q90" s="1154" t="s">
        <v>730</v>
      </c>
      <c r="R90" s="381" t="s">
        <v>731</v>
      </c>
      <c r="S90" s="382"/>
      <c r="T90" s="1137">
        <v>0</v>
      </c>
      <c r="U90" s="1151">
        <v>0</v>
      </c>
      <c r="V90" s="1157">
        <v>0</v>
      </c>
      <c r="W90" s="1151">
        <v>0</v>
      </c>
      <c r="X90" s="1157">
        <v>0</v>
      </c>
      <c r="Y90" s="1151">
        <v>0</v>
      </c>
      <c r="Z90" s="1157">
        <v>0</v>
      </c>
      <c r="AA90" s="1151">
        <v>0</v>
      </c>
      <c r="AB90" s="1157">
        <v>0</v>
      </c>
      <c r="AC90" s="1151">
        <v>0</v>
      </c>
      <c r="AE90" s="1148" t="str">
        <f>P90</f>
        <v>Hot water boiler, Coal</v>
      </c>
      <c r="AF90" s="1154" t="s">
        <v>730</v>
      </c>
      <c r="AG90" s="381" t="s">
        <v>731</v>
      </c>
      <c r="AH90" s="382"/>
      <c r="AI90" s="1137">
        <v>0</v>
      </c>
      <c r="AJ90" s="1151">
        <v>0</v>
      </c>
      <c r="AK90" s="1157">
        <v>0</v>
      </c>
      <c r="AL90" s="1151">
        <v>0</v>
      </c>
      <c r="AM90" s="1157">
        <v>0</v>
      </c>
      <c r="AN90" s="1151">
        <v>0</v>
      </c>
      <c r="AO90" s="1157">
        <v>0</v>
      </c>
      <c r="AP90" s="1151">
        <v>0</v>
      </c>
      <c r="AQ90" s="1157">
        <v>0</v>
      </c>
      <c r="AR90" s="1151">
        <v>0</v>
      </c>
    </row>
    <row r="91" spans="1:44" outlineLevel="1">
      <c r="B91" s="383" t="s">
        <v>732</v>
      </c>
      <c r="C91" s="577">
        <f t="shared" ref="C91:J91" si="5">(C90-1)</f>
        <v>89</v>
      </c>
      <c r="D91" s="577">
        <f t="shared" si="5"/>
        <v>89</v>
      </c>
      <c r="E91" s="577">
        <f t="shared" si="5"/>
        <v>90</v>
      </c>
      <c r="F91" s="577">
        <f t="shared" si="5"/>
        <v>91</v>
      </c>
      <c r="G91" s="576">
        <f t="shared" si="5"/>
        <v>87</v>
      </c>
      <c r="H91" s="576">
        <f t="shared" si="5"/>
        <v>90.8</v>
      </c>
      <c r="I91" s="576">
        <f t="shared" si="5"/>
        <v>87</v>
      </c>
      <c r="J91" s="576">
        <f t="shared" si="5"/>
        <v>91.92</v>
      </c>
      <c r="K91" s="372"/>
      <c r="L91" s="373" t="s">
        <v>729</v>
      </c>
      <c r="M91" s="370"/>
      <c r="N91" s="370"/>
      <c r="O91" s="71"/>
      <c r="P91" s="1195"/>
      <c r="Q91" s="1155"/>
      <c r="R91" s="388" t="s">
        <v>733</v>
      </c>
      <c r="S91" s="389"/>
      <c r="T91" s="1140"/>
      <c r="U91" s="1152"/>
      <c r="V91" s="1158"/>
      <c r="W91" s="1152"/>
      <c r="X91" s="1158"/>
      <c r="Y91" s="1152"/>
      <c r="Z91" s="1158"/>
      <c r="AA91" s="1152"/>
      <c r="AB91" s="1158"/>
      <c r="AC91" s="1152"/>
      <c r="AE91" s="1195"/>
      <c r="AF91" s="1155"/>
      <c r="AG91" s="388" t="s">
        <v>733</v>
      </c>
      <c r="AH91" s="389"/>
      <c r="AI91" s="1140"/>
      <c r="AJ91" s="1152"/>
      <c r="AK91" s="1158"/>
      <c r="AL91" s="1152"/>
      <c r="AM91" s="1158"/>
      <c r="AN91" s="1152"/>
      <c r="AO91" s="1158"/>
      <c r="AP91" s="1152"/>
      <c r="AQ91" s="1158"/>
      <c r="AR91" s="1152"/>
    </row>
    <row r="92" spans="1:44" ht="15" outlineLevel="1" thickBot="1">
      <c r="B92" s="500" t="s">
        <v>734</v>
      </c>
      <c r="C92" s="506">
        <v>1.1000000000000001</v>
      </c>
      <c r="D92" s="507">
        <v>1.1000000000000001</v>
      </c>
      <c r="E92" s="507">
        <v>1.1000000000000001</v>
      </c>
      <c r="F92" s="508">
        <v>1.1000000000000001</v>
      </c>
      <c r="G92" s="507">
        <v>1</v>
      </c>
      <c r="H92" s="507">
        <v>1.5</v>
      </c>
      <c r="I92" s="507">
        <v>1</v>
      </c>
      <c r="J92" s="507">
        <v>1.5</v>
      </c>
      <c r="K92" s="503" t="s">
        <v>59</v>
      </c>
      <c r="L92" s="504">
        <v>3</v>
      </c>
      <c r="M92" s="370"/>
      <c r="N92" s="370"/>
      <c r="O92" s="71"/>
      <c r="P92" s="1195"/>
      <c r="Q92" s="1156"/>
      <c r="R92" s="393" t="s">
        <v>735</v>
      </c>
      <c r="S92" s="394"/>
      <c r="T92" s="1141"/>
      <c r="U92" s="1153"/>
      <c r="V92" s="1159"/>
      <c r="W92" s="1153"/>
      <c r="X92" s="1159"/>
      <c r="Y92" s="1153"/>
      <c r="Z92" s="1159"/>
      <c r="AA92" s="1153"/>
      <c r="AB92" s="1159"/>
      <c r="AC92" s="1153"/>
      <c r="AE92" s="1195"/>
      <c r="AF92" s="1156"/>
      <c r="AG92" s="393" t="s">
        <v>735</v>
      </c>
      <c r="AH92" s="394"/>
      <c r="AI92" s="1141"/>
      <c r="AJ92" s="1153"/>
      <c r="AK92" s="1159"/>
      <c r="AL92" s="1153"/>
      <c r="AM92" s="1159"/>
      <c r="AN92" s="1153"/>
      <c r="AO92" s="1159"/>
      <c r="AP92" s="1153"/>
      <c r="AQ92" s="1159"/>
      <c r="AR92" s="1153"/>
    </row>
    <row r="93" spans="1:44" ht="15" customHeight="1" outlineLevel="1">
      <c r="B93" s="500" t="s">
        <v>657</v>
      </c>
      <c r="C93" s="816">
        <f>0.2+1</f>
        <v>1.2</v>
      </c>
      <c r="D93" s="816">
        <f>0.2+1</f>
        <v>1.2</v>
      </c>
      <c r="E93" s="816">
        <f>0.2+1</f>
        <v>1.2</v>
      </c>
      <c r="F93" s="816">
        <f>0.2+1</f>
        <v>1.2</v>
      </c>
      <c r="G93" s="817">
        <v>0.1</v>
      </c>
      <c r="H93" s="816">
        <f>0.2+2</f>
        <v>2.2000000000000002</v>
      </c>
      <c r="I93" s="817">
        <v>0.1</v>
      </c>
      <c r="J93" s="816">
        <f>0.2+2</f>
        <v>2.2000000000000002</v>
      </c>
      <c r="K93" s="503" t="s">
        <v>16</v>
      </c>
      <c r="L93" s="504">
        <v>3</v>
      </c>
      <c r="M93" s="370"/>
      <c r="N93" s="370"/>
      <c r="O93" s="71"/>
      <c r="P93" s="1195"/>
      <c r="Q93" s="1154" t="s">
        <v>736</v>
      </c>
      <c r="R93" s="395" t="s">
        <v>737</v>
      </c>
      <c r="S93" s="396" t="s">
        <v>738</v>
      </c>
      <c r="T93" s="1137">
        <v>0</v>
      </c>
      <c r="U93" s="1137">
        <v>0.67</v>
      </c>
      <c r="V93" s="1137">
        <v>0</v>
      </c>
      <c r="W93" s="1137">
        <v>0.56999999999999995</v>
      </c>
      <c r="X93" s="1137">
        <v>0</v>
      </c>
      <c r="Y93" s="1137">
        <v>0.5</v>
      </c>
      <c r="Z93" s="1137">
        <v>0</v>
      </c>
      <c r="AA93" s="1137">
        <v>0.51</v>
      </c>
      <c r="AB93" s="1137">
        <v>0</v>
      </c>
      <c r="AC93" s="1151">
        <v>0.41</v>
      </c>
      <c r="AE93" s="1195"/>
      <c r="AF93" s="1154" t="s">
        <v>736</v>
      </c>
      <c r="AG93" s="395" t="s">
        <v>737</v>
      </c>
      <c r="AH93" s="396" t="s">
        <v>738</v>
      </c>
      <c r="AI93" s="1137">
        <v>0</v>
      </c>
      <c r="AJ93" s="1137">
        <f>U93/4</f>
        <v>0.16750000000000001</v>
      </c>
      <c r="AK93" s="1137">
        <v>0</v>
      </c>
      <c r="AL93" s="1137">
        <f>W93/4</f>
        <v>0.14249999999999999</v>
      </c>
      <c r="AM93" s="1137">
        <v>0</v>
      </c>
      <c r="AN93" s="1137">
        <f>Y93/4</f>
        <v>0.125</v>
      </c>
      <c r="AO93" s="1137">
        <v>0</v>
      </c>
      <c r="AP93" s="1137">
        <f>AA93/4</f>
        <v>0.1275</v>
      </c>
      <c r="AQ93" s="1137">
        <v>0</v>
      </c>
      <c r="AR93" s="1151">
        <f>AC93/4</f>
        <v>0.10249999999999999</v>
      </c>
    </row>
    <row r="94" spans="1:44" outlineLevel="1">
      <c r="B94" s="500" t="s">
        <v>658</v>
      </c>
      <c r="C94" s="506">
        <f>0.5+0.4</f>
        <v>0.9</v>
      </c>
      <c r="D94" s="506">
        <f>0.5+0.4</f>
        <v>0.9</v>
      </c>
      <c r="E94" s="506">
        <f>0.5+0.4</f>
        <v>0.9</v>
      </c>
      <c r="F94" s="506">
        <f>0.5+0.4</f>
        <v>0.9</v>
      </c>
      <c r="G94" s="506">
        <f>0.5+0.3</f>
        <v>0.8</v>
      </c>
      <c r="H94" s="506">
        <f>0.5+0.6</f>
        <v>1.1000000000000001</v>
      </c>
      <c r="I94" s="506">
        <f>0.5+0.3</f>
        <v>0.8</v>
      </c>
      <c r="J94" s="506">
        <f>0.5+0.6</f>
        <v>1.1000000000000001</v>
      </c>
      <c r="K94" s="503" t="s">
        <v>16</v>
      </c>
      <c r="L94" s="504">
        <v>3</v>
      </c>
      <c r="M94" s="367"/>
      <c r="N94" s="367"/>
      <c r="O94" s="71"/>
      <c r="P94" s="1195"/>
      <c r="Q94" s="1155"/>
      <c r="R94" s="395" t="s">
        <v>739</v>
      </c>
      <c r="S94" s="396" t="s">
        <v>738</v>
      </c>
      <c r="T94" s="1191"/>
      <c r="U94" s="1191"/>
      <c r="V94" s="1191"/>
      <c r="W94" s="1191"/>
      <c r="X94" s="1191"/>
      <c r="Y94" s="1191"/>
      <c r="Z94" s="1191"/>
      <c r="AA94" s="1191"/>
      <c r="AB94" s="1191"/>
      <c r="AC94" s="1193"/>
      <c r="AE94" s="1195"/>
      <c r="AF94" s="1155"/>
      <c r="AG94" s="395" t="s">
        <v>739</v>
      </c>
      <c r="AH94" s="396" t="s">
        <v>738</v>
      </c>
      <c r="AI94" s="1191"/>
      <c r="AJ94" s="1191"/>
      <c r="AK94" s="1191"/>
      <c r="AL94" s="1191"/>
      <c r="AM94" s="1191"/>
      <c r="AN94" s="1191"/>
      <c r="AO94" s="1191"/>
      <c r="AP94" s="1191"/>
      <c r="AQ94" s="1191"/>
      <c r="AR94" s="1193"/>
    </row>
    <row r="95" spans="1:44" outlineLevel="1">
      <c r="B95" s="383" t="s">
        <v>11</v>
      </c>
      <c r="C95" s="397">
        <v>25</v>
      </c>
      <c r="D95" s="397">
        <v>25</v>
      </c>
      <c r="E95" s="397">
        <v>25</v>
      </c>
      <c r="F95" s="397">
        <v>25</v>
      </c>
      <c r="G95" s="399">
        <v>20</v>
      </c>
      <c r="H95" s="399">
        <v>30</v>
      </c>
      <c r="I95" s="399">
        <v>20</v>
      </c>
      <c r="J95" s="399">
        <v>30</v>
      </c>
      <c r="K95" s="372"/>
      <c r="L95" s="373" t="s">
        <v>740</v>
      </c>
      <c r="M95" s="363"/>
      <c r="N95" s="363"/>
      <c r="P95" s="1195"/>
      <c r="Q95" s="1155"/>
      <c r="R95" s="395" t="s">
        <v>741</v>
      </c>
      <c r="S95" s="396"/>
      <c r="T95" s="1191"/>
      <c r="U95" s="1191"/>
      <c r="V95" s="1191"/>
      <c r="W95" s="1191"/>
      <c r="X95" s="1191"/>
      <c r="Y95" s="1191"/>
      <c r="Z95" s="1191"/>
      <c r="AA95" s="1191"/>
      <c r="AB95" s="1191"/>
      <c r="AC95" s="1193"/>
      <c r="AE95" s="1195"/>
      <c r="AF95" s="1155"/>
      <c r="AG95" s="395" t="s">
        <v>741</v>
      </c>
      <c r="AH95" s="629" t="s">
        <v>738</v>
      </c>
      <c r="AI95" s="1191"/>
      <c r="AJ95" s="1191"/>
      <c r="AK95" s="1191"/>
      <c r="AL95" s="1191"/>
      <c r="AM95" s="1191"/>
      <c r="AN95" s="1191"/>
      <c r="AO95" s="1191"/>
      <c r="AP95" s="1191"/>
      <c r="AQ95" s="1191"/>
      <c r="AR95" s="1193"/>
    </row>
    <row r="96" spans="1:44" ht="15" outlineLevel="1" thickBot="1">
      <c r="B96" s="500" t="s">
        <v>273</v>
      </c>
      <c r="C96" s="506">
        <v>0.5</v>
      </c>
      <c r="D96" s="506">
        <v>0.5</v>
      </c>
      <c r="E96" s="506">
        <v>0.5</v>
      </c>
      <c r="F96" s="506">
        <v>0.5</v>
      </c>
      <c r="G96" s="506">
        <v>0.2</v>
      </c>
      <c r="H96" s="506">
        <v>0.7</v>
      </c>
      <c r="I96" s="506">
        <v>0.2</v>
      </c>
      <c r="J96" s="506">
        <v>0.7</v>
      </c>
      <c r="K96" s="372"/>
      <c r="L96" s="400"/>
      <c r="M96" s="363"/>
      <c r="N96" s="363"/>
      <c r="P96" s="1195"/>
      <c r="Q96" s="1155"/>
      <c r="R96" s="395" t="s">
        <v>742</v>
      </c>
      <c r="S96" s="396" t="s">
        <v>738</v>
      </c>
      <c r="T96" s="1191"/>
      <c r="U96" s="1191"/>
      <c r="V96" s="1191"/>
      <c r="W96" s="1191"/>
      <c r="X96" s="1191"/>
      <c r="Y96" s="1191"/>
      <c r="Z96" s="1191"/>
      <c r="AA96" s="1191"/>
      <c r="AB96" s="1191"/>
      <c r="AC96" s="1193"/>
      <c r="AE96" s="1195"/>
      <c r="AF96" s="1155"/>
      <c r="AG96" s="395" t="s">
        <v>742</v>
      </c>
      <c r="AH96" s="396"/>
      <c r="AI96" s="1191"/>
      <c r="AJ96" s="1191"/>
      <c r="AK96" s="1191"/>
      <c r="AL96" s="1191"/>
      <c r="AM96" s="1191"/>
      <c r="AN96" s="1191"/>
      <c r="AO96" s="1191"/>
      <c r="AP96" s="1191"/>
      <c r="AQ96" s="1191"/>
      <c r="AR96" s="1193"/>
    </row>
    <row r="97" spans="1:44" ht="15" outlineLevel="1" thickBot="1">
      <c r="B97" s="401" t="s">
        <v>743</v>
      </c>
      <c r="C97" s="402"/>
      <c r="D97" s="403"/>
      <c r="E97" s="404"/>
      <c r="F97" s="405"/>
      <c r="G97" s="406"/>
      <c r="H97" s="406"/>
      <c r="I97" s="406"/>
      <c r="J97" s="406"/>
      <c r="K97" s="407"/>
      <c r="L97" s="408"/>
      <c r="M97" s="363"/>
      <c r="N97" s="363"/>
      <c r="P97" s="1195"/>
      <c r="Q97" s="1156"/>
      <c r="R97" s="409" t="s">
        <v>863</v>
      </c>
      <c r="S97" s="410" t="s">
        <v>738</v>
      </c>
      <c r="T97" s="1192"/>
      <c r="U97" s="1192"/>
      <c r="V97" s="1192"/>
      <c r="W97" s="1192"/>
      <c r="X97" s="1192"/>
      <c r="Y97" s="1192"/>
      <c r="Z97" s="1192"/>
      <c r="AA97" s="1192"/>
      <c r="AB97" s="1192"/>
      <c r="AC97" s="1194"/>
      <c r="AE97" s="1195"/>
      <c r="AF97" s="1156"/>
      <c r="AG97" s="409" t="s">
        <v>863</v>
      </c>
      <c r="AH97" s="410" t="s">
        <v>738</v>
      </c>
      <c r="AI97" s="1192"/>
      <c r="AJ97" s="1192"/>
      <c r="AK97" s="1192"/>
      <c r="AL97" s="1192"/>
      <c r="AM97" s="1192"/>
      <c r="AN97" s="1192"/>
      <c r="AO97" s="1192"/>
      <c r="AP97" s="1192"/>
      <c r="AQ97" s="1192"/>
      <c r="AR97" s="1194"/>
    </row>
    <row r="98" spans="1:44" ht="29.4" outlineLevel="1" thickBot="1">
      <c r="B98" s="500" t="s">
        <v>663</v>
      </c>
      <c r="C98" s="506">
        <v>15</v>
      </c>
      <c r="D98" s="506">
        <v>15</v>
      </c>
      <c r="E98" s="506">
        <v>15</v>
      </c>
      <c r="F98" s="506">
        <v>15</v>
      </c>
      <c r="G98" s="507"/>
      <c r="H98" s="507"/>
      <c r="I98" s="507"/>
      <c r="J98" s="507"/>
      <c r="K98" s="503"/>
      <c r="L98" s="504">
        <v>3</v>
      </c>
      <c r="M98" s="363"/>
      <c r="N98" s="363"/>
      <c r="P98" s="1196"/>
      <c r="Q98" s="411" t="s">
        <v>745</v>
      </c>
      <c r="R98" s="412" t="s">
        <v>746</v>
      </c>
      <c r="S98" s="630" t="s">
        <v>738</v>
      </c>
      <c r="T98" s="416">
        <v>1</v>
      </c>
      <c r="U98" s="415">
        <v>1</v>
      </c>
      <c r="V98" s="416">
        <v>1</v>
      </c>
      <c r="W98" s="415">
        <v>1</v>
      </c>
      <c r="X98" s="416">
        <v>1</v>
      </c>
      <c r="Y98" s="415">
        <v>1</v>
      </c>
      <c r="Z98" s="416">
        <v>1</v>
      </c>
      <c r="AA98" s="415">
        <v>1</v>
      </c>
      <c r="AB98" s="416">
        <v>1</v>
      </c>
      <c r="AC98" s="417">
        <v>1</v>
      </c>
      <c r="AE98" s="1196"/>
      <c r="AF98" s="411" t="s">
        <v>745</v>
      </c>
      <c r="AG98" s="811" t="s">
        <v>746</v>
      </c>
      <c r="AH98" s="812" t="s">
        <v>738</v>
      </c>
      <c r="AI98" s="416">
        <v>1</v>
      </c>
      <c r="AJ98" s="415">
        <v>1</v>
      </c>
      <c r="AK98" s="416">
        <v>1</v>
      </c>
      <c r="AL98" s="415">
        <v>1</v>
      </c>
      <c r="AM98" s="416">
        <v>1</v>
      </c>
      <c r="AN98" s="415">
        <v>1</v>
      </c>
      <c r="AO98" s="416">
        <v>1</v>
      </c>
      <c r="AP98" s="415">
        <v>1</v>
      </c>
      <c r="AQ98" s="416">
        <v>1</v>
      </c>
      <c r="AR98" s="417">
        <v>1</v>
      </c>
    </row>
    <row r="99" spans="1:44" outlineLevel="1">
      <c r="B99" s="500" t="s">
        <v>664</v>
      </c>
      <c r="C99" s="506">
        <v>0.1</v>
      </c>
      <c r="D99" s="506">
        <v>0.1</v>
      </c>
      <c r="E99" s="506">
        <v>0.1</v>
      </c>
      <c r="F99" s="506">
        <v>0.1</v>
      </c>
      <c r="G99" s="509"/>
      <c r="H99" s="509"/>
      <c r="I99" s="509"/>
      <c r="J99" s="509"/>
      <c r="K99" s="510"/>
      <c r="L99" s="504">
        <v>3</v>
      </c>
      <c r="M99" s="363"/>
      <c r="N99" s="363"/>
    </row>
    <row r="100" spans="1:44" outlineLevel="1">
      <c r="B100" s="500" t="s">
        <v>666</v>
      </c>
      <c r="C100" s="506">
        <v>0.4</v>
      </c>
      <c r="D100" s="506">
        <v>0.4</v>
      </c>
      <c r="E100" s="506">
        <v>0.4</v>
      </c>
      <c r="F100" s="506">
        <v>0.4</v>
      </c>
      <c r="G100" s="509"/>
      <c r="H100" s="509"/>
      <c r="I100" s="509"/>
      <c r="J100" s="509"/>
      <c r="K100" s="510"/>
      <c r="L100" s="504">
        <v>3</v>
      </c>
      <c r="M100" s="420"/>
      <c r="N100" s="363"/>
    </row>
    <row r="101" spans="1:44" outlineLevel="1">
      <c r="B101" s="421" t="s">
        <v>12</v>
      </c>
      <c r="C101" s="399"/>
      <c r="D101" s="399"/>
      <c r="E101" s="399"/>
      <c r="F101" s="399"/>
      <c r="G101" s="422"/>
      <c r="H101" s="422"/>
      <c r="I101" s="422"/>
      <c r="J101" s="422"/>
      <c r="K101" s="423"/>
      <c r="L101" s="424"/>
      <c r="M101" s="420"/>
      <c r="N101" s="420"/>
    </row>
    <row r="102" spans="1:44" outlineLevel="1">
      <c r="B102" s="383" t="s">
        <v>843</v>
      </c>
      <c r="C102" s="818">
        <v>8</v>
      </c>
      <c r="D102" s="818">
        <v>8</v>
      </c>
      <c r="E102" s="818">
        <v>8</v>
      </c>
      <c r="F102" s="818">
        <v>8</v>
      </c>
      <c r="G102" s="422"/>
      <c r="H102" s="425"/>
      <c r="I102" s="425"/>
      <c r="J102" s="425"/>
      <c r="K102" s="426" t="s">
        <v>20</v>
      </c>
      <c r="L102" s="427" t="s">
        <v>748</v>
      </c>
      <c r="M102" s="428"/>
      <c r="N102" s="428"/>
    </row>
    <row r="103" spans="1:44" outlineLevel="1">
      <c r="B103" s="383" t="s">
        <v>749</v>
      </c>
      <c r="C103" s="818">
        <v>2.1</v>
      </c>
      <c r="D103" s="818">
        <v>2.1</v>
      </c>
      <c r="E103" s="818">
        <v>2.1</v>
      </c>
      <c r="F103" s="818">
        <v>2.1</v>
      </c>
      <c r="G103" s="425"/>
      <c r="H103" s="425"/>
      <c r="I103" s="425"/>
      <c r="J103" s="425"/>
      <c r="K103" s="423"/>
      <c r="L103" s="427">
        <v>9</v>
      </c>
      <c r="M103" s="428"/>
      <c r="N103" s="428"/>
    </row>
    <row r="104" spans="1:44" outlineLevel="1">
      <c r="B104" s="383" t="s">
        <v>844</v>
      </c>
      <c r="C104" s="397">
        <v>35</v>
      </c>
      <c r="D104" s="397">
        <v>35</v>
      </c>
      <c r="E104" s="397">
        <v>35</v>
      </c>
      <c r="F104" s="397">
        <v>35</v>
      </c>
      <c r="G104" s="425"/>
      <c r="H104" s="425"/>
      <c r="I104" s="425"/>
      <c r="J104" s="425"/>
      <c r="K104" s="423"/>
      <c r="L104" s="427" t="s">
        <v>748</v>
      </c>
      <c r="M104" s="428"/>
      <c r="N104" s="428"/>
    </row>
    <row r="105" spans="1:44" outlineLevel="1">
      <c r="B105" s="383" t="s">
        <v>366</v>
      </c>
      <c r="C105" s="818">
        <v>1.5</v>
      </c>
      <c r="D105" s="818">
        <v>1.5</v>
      </c>
      <c r="E105" s="818">
        <v>1.5</v>
      </c>
      <c r="F105" s="818">
        <v>1.5</v>
      </c>
      <c r="G105" s="425"/>
      <c r="H105" s="425"/>
      <c r="I105" s="425"/>
      <c r="J105" s="425"/>
      <c r="K105" s="423"/>
      <c r="L105" s="427" t="s">
        <v>748</v>
      </c>
      <c r="M105" s="428"/>
      <c r="N105" s="428"/>
    </row>
    <row r="106" spans="1:44" ht="15" outlineLevel="1" thickBot="1">
      <c r="B106" s="429" t="s">
        <v>367</v>
      </c>
      <c r="C106" s="810">
        <v>0.8</v>
      </c>
      <c r="D106" s="810">
        <v>0.8</v>
      </c>
      <c r="E106" s="810">
        <v>0.8</v>
      </c>
      <c r="F106" s="810">
        <v>0.8</v>
      </c>
      <c r="G106" s="425"/>
      <c r="H106" s="425"/>
      <c r="I106" s="425"/>
      <c r="J106" s="425"/>
      <c r="K106" s="423"/>
      <c r="L106" s="427" t="s">
        <v>748</v>
      </c>
      <c r="M106" s="428"/>
      <c r="N106" s="428"/>
    </row>
    <row r="107" spans="1:44" ht="15" outlineLevel="1" thickBot="1">
      <c r="B107" s="431" t="s">
        <v>674</v>
      </c>
      <c r="C107" s="432"/>
      <c r="D107" s="403"/>
      <c r="E107" s="403"/>
      <c r="F107" s="433"/>
      <c r="G107" s="434"/>
      <c r="H107" s="406"/>
      <c r="I107" s="406"/>
      <c r="J107" s="406"/>
      <c r="K107" s="407"/>
      <c r="L107" s="408"/>
      <c r="M107" s="428"/>
      <c r="N107" s="428"/>
    </row>
    <row r="108" spans="1:44" ht="14.55" customHeight="1" outlineLevel="1">
      <c r="A108" s="435"/>
      <c r="B108" s="436" t="s">
        <v>1092</v>
      </c>
      <c r="C108" s="551">
        <f>0.5</f>
        <v>0.5</v>
      </c>
      <c r="D108" s="647">
        <f t="shared" ref="D108:F108" si="6">0.5</f>
        <v>0.5</v>
      </c>
      <c r="E108" s="647">
        <f t="shared" si="6"/>
        <v>0.5</v>
      </c>
      <c r="F108" s="648">
        <f t="shared" si="6"/>
        <v>0.5</v>
      </c>
      <c r="G108" s="425"/>
      <c r="H108" s="425"/>
      <c r="I108" s="425"/>
      <c r="J108" s="425"/>
      <c r="K108" s="426" t="s">
        <v>1097</v>
      </c>
      <c r="L108" s="440" t="s">
        <v>753</v>
      </c>
      <c r="M108" s="420"/>
      <c r="N108" s="420"/>
    </row>
    <row r="109" spans="1:44" outlineLevel="1">
      <c r="B109" s="441" t="s">
        <v>754</v>
      </c>
      <c r="C109" s="442">
        <v>60</v>
      </c>
      <c r="D109" s="443">
        <v>60</v>
      </c>
      <c r="E109" s="443">
        <v>60</v>
      </c>
      <c r="F109" s="443">
        <v>60</v>
      </c>
      <c r="G109" s="425"/>
      <c r="H109" s="425"/>
      <c r="I109" s="425"/>
      <c r="J109" s="425"/>
      <c r="K109" s="444"/>
      <c r="L109" s="373">
        <v>3</v>
      </c>
      <c r="M109" s="71"/>
      <c r="N109" s="420"/>
    </row>
    <row r="110" spans="1:44" outlineLevel="1">
      <c r="B110" s="441" t="s">
        <v>755</v>
      </c>
      <c r="C110" s="442">
        <f>100-C109</f>
        <v>40</v>
      </c>
      <c r="D110" s="442">
        <f>100-D109</f>
        <v>40</v>
      </c>
      <c r="E110" s="442">
        <f>100-E109</f>
        <v>40</v>
      </c>
      <c r="F110" s="442">
        <f>100-F109</f>
        <v>40</v>
      </c>
      <c r="G110" s="425"/>
      <c r="H110" s="425"/>
      <c r="I110" s="425"/>
      <c r="J110" s="425"/>
      <c r="K110" s="444"/>
      <c r="L110" s="373">
        <v>3</v>
      </c>
      <c r="M110" s="420"/>
      <c r="N110" s="420"/>
    </row>
    <row r="111" spans="1:44" outlineLevel="1">
      <c r="B111" s="383" t="s">
        <v>841</v>
      </c>
      <c r="C111" s="602">
        <v>33700</v>
      </c>
      <c r="D111" s="603">
        <v>32600</v>
      </c>
      <c r="E111" s="603">
        <f>(D111+F111)/2</f>
        <v>31600</v>
      </c>
      <c r="F111" s="604">
        <v>30600</v>
      </c>
      <c r="G111" s="425"/>
      <c r="H111" s="425"/>
      <c r="I111" s="425"/>
      <c r="J111" s="425"/>
      <c r="K111" s="448"/>
      <c r="L111" s="373">
        <v>3</v>
      </c>
      <c r="M111" s="420"/>
      <c r="N111" s="420"/>
    </row>
    <row r="112" spans="1:44" outlineLevel="1">
      <c r="B112" s="383" t="s">
        <v>679</v>
      </c>
      <c r="C112" s="449">
        <f>C113+C114</f>
        <v>1.903</v>
      </c>
      <c r="D112" s="449">
        <f t="shared" ref="D112:F112" si="7">D113+D114</f>
        <v>1.9250000000000003</v>
      </c>
      <c r="E112" s="449">
        <f t="shared" si="7"/>
        <v>1.9360000000000002</v>
      </c>
      <c r="F112" s="449">
        <f t="shared" si="7"/>
        <v>1.9360000000000002</v>
      </c>
      <c r="G112" s="425"/>
      <c r="H112" s="425"/>
      <c r="I112" s="425"/>
      <c r="J112" s="425"/>
      <c r="K112" s="448"/>
      <c r="L112" s="373">
        <v>3</v>
      </c>
      <c r="M112" s="694"/>
      <c r="N112" s="693"/>
      <c r="P112" s="1142">
        <f>C112</f>
        <v>1.903</v>
      </c>
      <c r="Q112" s="1143"/>
      <c r="R112" s="1143"/>
      <c r="S112" s="1143"/>
      <c r="T112" s="1143"/>
      <c r="U112" s="1144"/>
    </row>
    <row r="113" spans="2:30" ht="15" outlineLevel="1" thickBot="1">
      <c r="B113" s="500" t="s">
        <v>758</v>
      </c>
      <c r="C113" s="514">
        <f>C92/100*73</f>
        <v>0.80300000000000005</v>
      </c>
      <c r="D113" s="514">
        <f>D92/100*75</f>
        <v>0.82500000000000007</v>
      </c>
      <c r="E113" s="514">
        <f>E92/100*76</f>
        <v>0.83600000000000008</v>
      </c>
      <c r="F113" s="514">
        <f>F92/100*76</f>
        <v>0.83600000000000008</v>
      </c>
      <c r="G113" s="515"/>
      <c r="H113" s="515"/>
      <c r="I113" s="515"/>
      <c r="J113" s="515"/>
      <c r="K113" s="503" t="s">
        <v>33</v>
      </c>
      <c r="L113" s="504">
        <v>3</v>
      </c>
      <c r="M113" s="694"/>
      <c r="N113" s="693"/>
      <c r="P113" s="1134">
        <f>C113</f>
        <v>0.80300000000000005</v>
      </c>
      <c r="Q113" s="1135"/>
      <c r="R113" s="1135"/>
      <c r="S113" s="1135"/>
      <c r="T113" s="1135"/>
      <c r="U113" s="1136"/>
    </row>
    <row r="114" spans="2:30" outlineLevel="1">
      <c r="B114" s="500" t="s">
        <v>759</v>
      </c>
      <c r="C114" s="516">
        <v>1.1000000000000001</v>
      </c>
      <c r="D114" s="516">
        <v>1.1000000000000001</v>
      </c>
      <c r="E114" s="516">
        <v>1.1000000000000001</v>
      </c>
      <c r="F114" s="516">
        <v>1.1000000000000001</v>
      </c>
      <c r="G114" s="515"/>
      <c r="H114" s="515"/>
      <c r="I114" s="515"/>
      <c r="J114" s="515"/>
      <c r="K114" s="517"/>
      <c r="L114" s="504">
        <v>3</v>
      </c>
      <c r="M114" s="363"/>
      <c r="N114" s="363"/>
      <c r="P114" s="53" t="s">
        <v>357</v>
      </c>
    </row>
    <row r="115" spans="2:30" ht="27.6" outlineLevel="1">
      <c r="B115" s="441"/>
      <c r="C115" s="518"/>
      <c r="D115" s="518"/>
      <c r="E115" s="518"/>
      <c r="F115" s="518"/>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9"/>
      <c r="C116" s="627"/>
      <c r="D116" s="819"/>
      <c r="E116" s="819"/>
      <c r="F116" s="820"/>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43.8"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670">
        <v>3.5000000000000003E-2</v>
      </c>
      <c r="D118" s="670">
        <v>0.03</v>
      </c>
      <c r="E118" s="670">
        <v>0.03</v>
      </c>
      <c r="F118" s="670">
        <v>0.03</v>
      </c>
      <c r="G118" s="524"/>
      <c r="H118" s="524"/>
      <c r="I118" s="524"/>
      <c r="J118" s="524"/>
      <c r="K118" s="524" t="s">
        <v>51</v>
      </c>
      <c r="L118" s="525"/>
      <c r="M118" s="363"/>
      <c r="N118" s="363"/>
      <c r="O118" s="465">
        <f>C91</f>
        <v>89</v>
      </c>
      <c r="P118" s="466">
        <f>C87</f>
        <v>2020</v>
      </c>
      <c r="Q118" s="58">
        <f>P118</f>
        <v>2020</v>
      </c>
      <c r="R118" s="466">
        <f>O118/100</f>
        <v>0.89</v>
      </c>
      <c r="S118" s="58"/>
      <c r="T118" s="466">
        <f>C95</f>
        <v>25</v>
      </c>
      <c r="U118" s="467">
        <f>C125</f>
        <v>3725</v>
      </c>
      <c r="V118" s="467">
        <f>C127</f>
        <v>251.065</v>
      </c>
      <c r="W118" s="467">
        <f>C128</f>
        <v>3.9381527777777778</v>
      </c>
      <c r="X118" s="58"/>
      <c r="Y118" s="58"/>
      <c r="Z118" s="466">
        <f>C102</f>
        <v>8</v>
      </c>
      <c r="AA118" s="468">
        <f>C104</f>
        <v>35</v>
      </c>
      <c r="AB118" s="468">
        <f>C105</f>
        <v>1.5</v>
      </c>
      <c r="AC118" s="468">
        <f>C106</f>
        <v>0.8</v>
      </c>
      <c r="AD118" s="468">
        <f>C103</f>
        <v>2.1</v>
      </c>
    </row>
    <row r="119" spans="2:30" outlineLevel="1">
      <c r="B119" s="500" t="s">
        <v>763</v>
      </c>
      <c r="C119" s="526" t="s">
        <v>36</v>
      </c>
      <c r="D119" s="527" t="s">
        <v>36</v>
      </c>
      <c r="E119" s="527" t="s">
        <v>36</v>
      </c>
      <c r="F119" s="528" t="s">
        <v>36</v>
      </c>
      <c r="G119" s="528"/>
      <c r="H119" s="528"/>
      <c r="I119" s="528"/>
      <c r="J119" s="528"/>
      <c r="K119" s="529" t="s">
        <v>52</v>
      </c>
      <c r="L119" s="525"/>
      <c r="M119" s="363"/>
      <c r="N119" s="363"/>
      <c r="O119" s="465">
        <f>D91</f>
        <v>89</v>
      </c>
      <c r="P119" s="466">
        <f>D87</f>
        <v>2030</v>
      </c>
      <c r="Q119" s="58"/>
      <c r="R119" s="466">
        <f>O119/100</f>
        <v>0.89</v>
      </c>
      <c r="S119" s="58"/>
      <c r="T119" s="466">
        <f>D95</f>
        <v>25</v>
      </c>
      <c r="U119" s="467">
        <f>D125</f>
        <v>3725</v>
      </c>
      <c r="V119" s="467">
        <f>D127</f>
        <v>242.87</v>
      </c>
      <c r="W119" s="467">
        <f>D128</f>
        <v>3.9836805555555559</v>
      </c>
      <c r="X119" s="58"/>
      <c r="Y119" s="58"/>
      <c r="Z119" s="466">
        <f>D102</f>
        <v>8</v>
      </c>
      <c r="AA119" s="468">
        <f>D104</f>
        <v>35</v>
      </c>
      <c r="AB119" s="468">
        <f>D105</f>
        <v>1.5</v>
      </c>
      <c r="AC119" s="468">
        <f>D106</f>
        <v>0.8</v>
      </c>
      <c r="AD119" s="468">
        <f>D103</f>
        <v>2.1</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90</v>
      </c>
      <c r="P120" s="466">
        <f>E87</f>
        <v>2040</v>
      </c>
      <c r="Q120" s="58"/>
      <c r="R120" s="466">
        <f>O120/100</f>
        <v>0.9</v>
      </c>
      <c r="S120" s="58"/>
      <c r="T120" s="466">
        <f>E95</f>
        <v>25</v>
      </c>
      <c r="U120" s="467">
        <f>E125</f>
        <v>3725</v>
      </c>
      <c r="V120" s="467">
        <f>E127</f>
        <v>235.42</v>
      </c>
      <c r="W120" s="467">
        <f>E128</f>
        <v>4.0064444444444449</v>
      </c>
      <c r="X120" s="58"/>
      <c r="Y120" s="58"/>
      <c r="Z120" s="466">
        <f>E102</f>
        <v>8</v>
      </c>
      <c r="AA120" s="468">
        <f>E104</f>
        <v>35</v>
      </c>
      <c r="AB120" s="468">
        <f>E105</f>
        <v>1.5</v>
      </c>
      <c r="AC120" s="468">
        <f>E106</f>
        <v>0.8</v>
      </c>
      <c r="AD120" s="468">
        <f>E103</f>
        <v>2.1</v>
      </c>
    </row>
    <row r="121" spans="2:30" outlineLevel="1">
      <c r="B121" s="500" t="s">
        <v>765</v>
      </c>
      <c r="C121" s="685">
        <v>90</v>
      </c>
      <c r="D121" s="530">
        <v>90</v>
      </c>
      <c r="E121" s="530">
        <v>90</v>
      </c>
      <c r="F121" s="530">
        <v>90</v>
      </c>
      <c r="G121" s="531"/>
      <c r="H121" s="531"/>
      <c r="I121" s="531"/>
      <c r="J121" s="531"/>
      <c r="K121" s="531"/>
      <c r="L121" s="504">
        <v>3</v>
      </c>
      <c r="M121" s="363"/>
      <c r="N121" s="363"/>
      <c r="O121" s="465">
        <f>F91</f>
        <v>91</v>
      </c>
      <c r="P121" s="466">
        <f>F87</f>
        <v>2050</v>
      </c>
      <c r="Q121" s="58"/>
      <c r="R121" s="466">
        <f>O121/100</f>
        <v>0.91</v>
      </c>
      <c r="S121" s="58"/>
      <c r="T121" s="466">
        <f>F95</f>
        <v>25</v>
      </c>
      <c r="U121" s="467">
        <f>F125</f>
        <v>3725</v>
      </c>
      <c r="V121" s="467">
        <f>F127</f>
        <v>227.97</v>
      </c>
      <c r="W121" s="467">
        <f>F128</f>
        <v>4.0064444444444449</v>
      </c>
      <c r="X121" s="58"/>
      <c r="Y121" s="58"/>
      <c r="Z121" s="466">
        <f>F102</f>
        <v>8</v>
      </c>
      <c r="AA121" s="468">
        <f>F104</f>
        <v>35</v>
      </c>
      <c r="AB121" s="468">
        <f>F105</f>
        <v>1.5</v>
      </c>
      <c r="AC121" s="468">
        <f>F106</f>
        <v>0.8</v>
      </c>
      <c r="AD121" s="468">
        <f>F103</f>
        <v>2.1</v>
      </c>
    </row>
    <row r="122" spans="2:30" outlineLevel="1">
      <c r="B122" s="532" t="s">
        <v>766</v>
      </c>
      <c r="C122" s="526"/>
      <c r="D122" s="527"/>
      <c r="E122" s="527"/>
      <c r="F122" s="528"/>
      <c r="G122" s="531"/>
      <c r="H122" s="531"/>
      <c r="I122" s="531"/>
      <c r="J122" s="531"/>
      <c r="K122" s="531"/>
      <c r="L122" s="533"/>
      <c r="M122" s="367"/>
      <c r="N122" s="367"/>
    </row>
    <row r="123" spans="2:30" outlineLevel="1">
      <c r="B123" s="532" t="s">
        <v>767</v>
      </c>
      <c r="C123" s="526"/>
      <c r="D123" s="527"/>
      <c r="E123" s="527"/>
      <c r="F123" s="528"/>
      <c r="G123" s="531"/>
      <c r="H123" s="531"/>
      <c r="I123" s="531"/>
      <c r="J123" s="531"/>
      <c r="K123" s="531"/>
      <c r="L123" s="533"/>
      <c r="M123" s="363"/>
      <c r="N123" s="363"/>
    </row>
    <row r="124" spans="2:30" ht="15" outlineLevel="1" thickBot="1">
      <c r="B124" s="534" t="s">
        <v>768</v>
      </c>
      <c r="C124" s="535"/>
      <c r="D124" s="536"/>
      <c r="E124" s="536"/>
      <c r="F124" s="537"/>
      <c r="G124" s="538"/>
      <c r="H124" s="538"/>
      <c r="I124" s="538"/>
      <c r="J124" s="538"/>
      <c r="K124" s="538"/>
      <c r="L124" s="539"/>
      <c r="M124" s="363"/>
      <c r="N124" s="363"/>
    </row>
    <row r="125" spans="2:30" ht="57.6" outlineLevel="1">
      <c r="B125" s="461" t="s">
        <v>769</v>
      </c>
      <c r="C125" s="483">
        <f>C108*$F$4*1000</f>
        <v>3725</v>
      </c>
      <c r="D125" s="483">
        <f t="shared" ref="D125:F125" si="8">D108*$F$4*1000</f>
        <v>3725</v>
      </c>
      <c r="E125" s="483">
        <f t="shared" si="8"/>
        <v>3725</v>
      </c>
      <c r="F125" s="483">
        <f t="shared" si="8"/>
        <v>3725</v>
      </c>
      <c r="G125" s="483"/>
      <c r="H125" s="484"/>
      <c r="I125" s="420" t="s">
        <v>332</v>
      </c>
      <c r="J125" s="420"/>
      <c r="K125" s="484"/>
      <c r="L125" s="484"/>
      <c r="N125" s="420"/>
    </row>
    <row r="126" spans="2:30" outlineLevel="1">
      <c r="B126" s="485" t="s">
        <v>770</v>
      </c>
      <c r="C126" s="486">
        <f>C125*$I126</f>
        <v>1862500</v>
      </c>
      <c r="D126" s="486">
        <f>D125*$I126</f>
        <v>1862500</v>
      </c>
      <c r="E126" s="486">
        <f>E125*$I126</f>
        <v>1862500</v>
      </c>
      <c r="F126" s="486">
        <f>F125*$I126</f>
        <v>1862500</v>
      </c>
      <c r="G126" s="486"/>
      <c r="H126" s="484"/>
      <c r="I126" s="71">
        <v>500</v>
      </c>
      <c r="J126" s="420" t="s">
        <v>330</v>
      </c>
      <c r="K126" s="484"/>
      <c r="L126" s="484"/>
      <c r="N126" s="420"/>
    </row>
    <row r="127" spans="2:30" ht="43.2" outlineLevel="1">
      <c r="B127" s="461" t="s">
        <v>845</v>
      </c>
      <c r="C127" s="359">
        <f>C111*$F$4/1000</f>
        <v>251.065</v>
      </c>
      <c r="D127" s="359">
        <f t="shared" ref="D127:F127" si="9">D111*$F$4/1000</f>
        <v>242.87</v>
      </c>
      <c r="E127" s="359">
        <f t="shared" si="9"/>
        <v>235.42</v>
      </c>
      <c r="F127" s="359">
        <f t="shared" si="9"/>
        <v>227.97</v>
      </c>
      <c r="G127" s="359"/>
      <c r="I127" s="420" t="s">
        <v>333</v>
      </c>
      <c r="J127" s="420"/>
      <c r="N127" s="420"/>
    </row>
    <row r="128" spans="2:30" ht="43.2" outlineLevel="1">
      <c r="B128" s="461" t="s">
        <v>846</v>
      </c>
      <c r="C128" s="487">
        <f>C112*$F$4/3.6</f>
        <v>3.9381527777777778</v>
      </c>
      <c r="D128" s="487">
        <f t="shared" ref="D128:F128" si="10">D112*$F$4/3.6</f>
        <v>3.9836805555555559</v>
      </c>
      <c r="E128" s="487">
        <f t="shared" si="10"/>
        <v>4.0064444444444449</v>
      </c>
      <c r="F128" s="487">
        <f t="shared" si="10"/>
        <v>4.0064444444444449</v>
      </c>
      <c r="G128" s="359"/>
      <c r="M128" s="420"/>
      <c r="N128" s="420"/>
    </row>
    <row r="129" spans="2:6" outlineLevel="1"/>
    <row r="130" spans="2:6" outlineLevel="1"/>
    <row r="131" spans="2:6" outlineLevel="1"/>
    <row r="132" spans="2:6" outlineLevel="1">
      <c r="B132" s="488" t="s">
        <v>773</v>
      </c>
      <c r="C132" s="489"/>
      <c r="E132" s="489"/>
      <c r="F132" s="489"/>
    </row>
    <row r="133" spans="2:6" outlineLevel="1">
      <c r="B133" s="491">
        <v>1</v>
      </c>
      <c r="C133" s="492" t="s">
        <v>774</v>
      </c>
      <c r="E133" s="489"/>
      <c r="F133" s="489"/>
    </row>
    <row r="134" spans="2:6" outlineLevel="1">
      <c r="B134" s="491">
        <v>2</v>
      </c>
      <c r="C134" s="493" t="s">
        <v>775</v>
      </c>
      <c r="E134" s="489"/>
      <c r="F134" s="489"/>
    </row>
    <row r="135" spans="2:6" outlineLevel="1">
      <c r="B135" s="491">
        <v>3</v>
      </c>
      <c r="C135" s="493" t="s">
        <v>776</v>
      </c>
      <c r="E135" s="489"/>
      <c r="F135" s="489"/>
    </row>
    <row r="136" spans="2:6" outlineLevel="1">
      <c r="B136" s="491">
        <v>4</v>
      </c>
      <c r="C136" s="493" t="s">
        <v>777</v>
      </c>
      <c r="E136" s="489"/>
      <c r="F136" s="489"/>
    </row>
    <row r="137" spans="2:6" outlineLevel="1">
      <c r="B137" s="358">
        <v>5</v>
      </c>
      <c r="C137" s="494" t="s">
        <v>778</v>
      </c>
      <c r="E137" s="489"/>
      <c r="F137" s="489"/>
    </row>
    <row r="138" spans="2:6" outlineLevel="1">
      <c r="B138" s="358">
        <v>6</v>
      </c>
      <c r="C138" s="492" t="s">
        <v>779</v>
      </c>
      <c r="E138" s="489"/>
      <c r="F138" s="489"/>
    </row>
    <row r="139" spans="2:6" outlineLevel="1">
      <c r="B139" s="358">
        <v>7</v>
      </c>
      <c r="C139" s="495" t="s">
        <v>774</v>
      </c>
      <c r="E139" s="489"/>
      <c r="F139" s="489"/>
    </row>
    <row r="140" spans="2:6" outlineLevel="1">
      <c r="B140" s="358">
        <v>8</v>
      </c>
      <c r="C140" s="495" t="s">
        <v>780</v>
      </c>
      <c r="E140" s="489"/>
      <c r="F140" s="489"/>
    </row>
    <row r="141" spans="2:6" outlineLevel="1">
      <c r="B141" s="358">
        <v>9</v>
      </c>
      <c r="C141" s="489" t="s">
        <v>781</v>
      </c>
      <c r="E141" s="489"/>
      <c r="F141" s="489"/>
    </row>
    <row r="142" spans="2:6" outlineLevel="1">
      <c r="B142" s="358">
        <v>10</v>
      </c>
      <c r="C142" s="490" t="s">
        <v>782</v>
      </c>
      <c r="E142" s="489"/>
      <c r="F142" s="489"/>
    </row>
    <row r="143" spans="2:6" outlineLevel="1">
      <c r="B143" s="488" t="s">
        <v>783</v>
      </c>
      <c r="C143" s="489"/>
      <c r="E143" s="489"/>
      <c r="F143" s="489"/>
    </row>
    <row r="144" spans="2:6" outlineLevel="1">
      <c r="B144" s="496" t="s">
        <v>6</v>
      </c>
      <c r="C144" s="489" t="s">
        <v>1093</v>
      </c>
      <c r="D144" s="489"/>
      <c r="F144" s="489"/>
    </row>
    <row r="145" spans="2:6" outlineLevel="1">
      <c r="B145" s="496" t="s">
        <v>59</v>
      </c>
      <c r="C145" s="489" t="s">
        <v>976</v>
      </c>
      <c r="D145" s="489"/>
      <c r="F145" s="489"/>
    </row>
    <row r="146" spans="2:6" outlineLevel="1">
      <c r="B146" s="496" t="s">
        <v>16</v>
      </c>
      <c r="C146" s="489" t="s">
        <v>1094</v>
      </c>
      <c r="D146" s="489"/>
      <c r="F146" s="489"/>
    </row>
    <row r="147" spans="2:6" outlineLevel="1">
      <c r="B147" s="496" t="s">
        <v>20</v>
      </c>
      <c r="C147" s="489" t="s">
        <v>786</v>
      </c>
      <c r="D147" s="489"/>
      <c r="F147" s="489"/>
    </row>
    <row r="148" spans="2:6" outlineLevel="1">
      <c r="B148" s="496" t="s">
        <v>76</v>
      </c>
      <c r="C148" s="489" t="s">
        <v>978</v>
      </c>
      <c r="D148" s="489"/>
      <c r="F148" s="489"/>
    </row>
    <row r="149" spans="2:6" outlineLevel="1">
      <c r="B149" s="496" t="s">
        <v>25</v>
      </c>
      <c r="C149" s="489" t="s">
        <v>979</v>
      </c>
      <c r="D149" s="489"/>
      <c r="F149" s="490"/>
    </row>
    <row r="150" spans="2:6" outlineLevel="1">
      <c r="B150" s="496" t="s">
        <v>33</v>
      </c>
      <c r="C150" s="498" t="s">
        <v>788</v>
      </c>
      <c r="D150" s="489"/>
      <c r="F150" s="821"/>
    </row>
    <row r="151" spans="2:6" outlineLevel="1">
      <c r="B151" s="496" t="s">
        <v>51</v>
      </c>
      <c r="C151" s="489" t="s">
        <v>804</v>
      </c>
      <c r="D151" s="489"/>
      <c r="F151" s="822"/>
    </row>
    <row r="152" spans="2:6" outlineLevel="1">
      <c r="B152" s="496" t="s">
        <v>52</v>
      </c>
      <c r="C152" s="489" t="s">
        <v>789</v>
      </c>
      <c r="D152" s="489"/>
    </row>
    <row r="153" spans="2:6" outlineLevel="1">
      <c r="B153" s="496"/>
      <c r="C153" s="498"/>
      <c r="E153" s="490"/>
      <c r="F153" s="490"/>
    </row>
    <row r="154" spans="2:6" outlineLevel="1">
      <c r="B154" s="496"/>
      <c r="C154" s="489"/>
      <c r="E154" s="490"/>
      <c r="F154" s="490"/>
    </row>
    <row r="155" spans="2:6" outlineLevel="1">
      <c r="E155" s="490"/>
      <c r="F155" s="490"/>
    </row>
    <row r="156" spans="2:6" outlineLevel="1">
      <c r="B156" s="496"/>
      <c r="E156" s="490"/>
      <c r="F156" s="490"/>
    </row>
    <row r="157" spans="2:6" outlineLevel="1">
      <c r="B157" s="496"/>
      <c r="E157" s="490"/>
      <c r="F157" s="490"/>
    </row>
    <row r="158" spans="2:6" outlineLevel="1">
      <c r="B158" s="496"/>
      <c r="C158" s="489"/>
      <c r="E158" s="490"/>
      <c r="F158" s="490"/>
    </row>
    <row r="159" spans="2:6" outlineLevel="1">
      <c r="B159" s="496"/>
      <c r="C159" s="489"/>
      <c r="E159" s="490"/>
      <c r="F159" s="490"/>
    </row>
    <row r="160" spans="2:6" outlineLevel="1">
      <c r="B160" s="496"/>
      <c r="C160" s="489"/>
      <c r="E160" s="490"/>
      <c r="F160" s="490"/>
    </row>
    <row r="161" spans="1:44" outlineLevel="1"/>
    <row r="162" spans="1:44" outlineLevel="1">
      <c r="M162" s="214"/>
    </row>
    <row r="163" spans="1:44" outlineLevel="1"/>
    <row r="166" spans="1:44">
      <c r="A166" s="360"/>
      <c r="B166" s="1207"/>
      <c r="C166" s="1143"/>
      <c r="D166" s="1143"/>
      <c r="E166" s="1143"/>
      <c r="F166" s="1143"/>
      <c r="G166" s="1143"/>
      <c r="H166" s="1143"/>
      <c r="I166" s="1143"/>
      <c r="J166" s="1143"/>
      <c r="K166" s="1143"/>
      <c r="L166" s="1143"/>
      <c r="M166" s="1143"/>
      <c r="N166" s="693"/>
      <c r="P166" s="1143"/>
      <c r="Q166" s="1143"/>
      <c r="R166" s="1143"/>
      <c r="S166" s="1143"/>
      <c r="T166" s="1143"/>
      <c r="U166" s="1143"/>
    </row>
    <row r="167" spans="1:44" ht="15" outlineLevel="1" thickBot="1">
      <c r="B167" s="1207"/>
      <c r="C167" s="1143"/>
      <c r="D167" s="1143"/>
      <c r="E167" s="1143"/>
      <c r="F167" s="1143"/>
      <c r="G167" s="1143"/>
      <c r="H167" s="1143"/>
      <c r="I167" s="1143"/>
      <c r="J167" s="1143"/>
      <c r="K167" s="1143"/>
      <c r="L167" s="1143"/>
      <c r="M167" s="1143"/>
      <c r="N167" s="693"/>
      <c r="P167" s="692"/>
      <c r="Q167" s="692"/>
      <c r="R167" s="692"/>
      <c r="S167" s="692"/>
      <c r="T167" s="692"/>
      <c r="U167" s="692"/>
      <c r="V167" s="692"/>
      <c r="W167" s="692"/>
      <c r="X167" s="692"/>
      <c r="Y167" s="692"/>
      <c r="Z167" s="692"/>
      <c r="AA167" s="692"/>
      <c r="AB167" s="692"/>
      <c r="AC167" s="692"/>
    </row>
    <row r="168" spans="1:44" ht="20.55" customHeight="1" outlineLevel="1" thickBot="1">
      <c r="B168" s="362"/>
      <c r="C168" s="1204"/>
      <c r="D168" s="1205"/>
      <c r="E168" s="1205"/>
      <c r="F168" s="1205"/>
      <c r="G168" s="1205"/>
      <c r="H168" s="1205"/>
      <c r="I168" s="1205"/>
      <c r="J168" s="1205"/>
      <c r="K168" s="1205"/>
      <c r="L168" s="1206"/>
      <c r="M168" s="363"/>
      <c r="N168" s="363"/>
      <c r="P168" s="364"/>
      <c r="Q168" s="365"/>
      <c r="R168" s="366"/>
      <c r="S168" s="1176"/>
      <c r="T168" s="1160"/>
      <c r="U168" s="1161"/>
      <c r="V168" s="1160"/>
      <c r="W168" s="1161"/>
      <c r="X168" s="1160"/>
      <c r="Y168" s="1161"/>
      <c r="Z168" s="1160"/>
      <c r="AA168" s="1161"/>
      <c r="AB168" s="1160"/>
      <c r="AC168" s="1161"/>
      <c r="AE168" s="364"/>
      <c r="AF168" s="365"/>
      <c r="AG168" s="366"/>
      <c r="AH168" s="1176"/>
      <c r="AI168" s="1160"/>
      <c r="AJ168" s="1161"/>
      <c r="AK168" s="1160"/>
      <c r="AL168" s="1161"/>
      <c r="AM168" s="1160"/>
      <c r="AN168" s="1161"/>
      <c r="AO168" s="1160"/>
      <c r="AP168" s="1161"/>
      <c r="AQ168" s="1160"/>
      <c r="AR168" s="1161"/>
    </row>
    <row r="169" spans="1:44" ht="15" customHeight="1" outlineLevel="1" thickBot="1">
      <c r="B169" s="1164"/>
      <c r="C169" s="1166"/>
      <c r="D169" s="1166"/>
      <c r="E169" s="1166"/>
      <c r="F169" s="1166"/>
      <c r="G169" s="1200"/>
      <c r="H169" s="1201"/>
      <c r="I169" s="1200"/>
      <c r="J169" s="1201"/>
      <c r="K169" s="1202"/>
      <c r="L169" s="1202"/>
      <c r="M169" s="367"/>
      <c r="N169" s="367"/>
      <c r="P169" s="1180"/>
      <c r="Q169" s="368"/>
      <c r="R169" s="368"/>
      <c r="S169" s="1177"/>
      <c r="T169" s="1162"/>
      <c r="U169" s="1163"/>
      <c r="V169" s="1162"/>
      <c r="W169" s="1163"/>
      <c r="X169" s="1162"/>
      <c r="Y169" s="1163"/>
      <c r="Z169" s="1162"/>
      <c r="AA169" s="1163"/>
      <c r="AB169" s="1162"/>
      <c r="AC169" s="1163"/>
      <c r="AE169" s="1180"/>
      <c r="AF169" s="368"/>
      <c r="AG169" s="368"/>
      <c r="AH169" s="1177"/>
      <c r="AI169" s="1162"/>
      <c r="AJ169" s="1163"/>
      <c r="AK169" s="1162"/>
      <c r="AL169" s="1163"/>
      <c r="AM169" s="1162"/>
      <c r="AN169" s="1163"/>
      <c r="AO169" s="1162"/>
      <c r="AP169" s="1163"/>
      <c r="AQ169" s="1162"/>
      <c r="AR169" s="1163"/>
    </row>
    <row r="170" spans="1:44" ht="15" customHeight="1" outlineLevel="1" thickBot="1">
      <c r="B170" s="1165"/>
      <c r="C170" s="1167"/>
      <c r="D170" s="1167"/>
      <c r="E170" s="1167"/>
      <c r="F170" s="1167"/>
      <c r="G170" s="499"/>
      <c r="H170" s="499"/>
      <c r="I170" s="499"/>
      <c r="J170" s="499"/>
      <c r="K170" s="1203"/>
      <c r="L170" s="1203"/>
      <c r="M170" s="370"/>
      <c r="N170" s="370"/>
      <c r="P170" s="1181"/>
      <c r="Q170" s="1183"/>
      <c r="R170" s="1184"/>
      <c r="S170" s="1178"/>
      <c r="T170" s="1162"/>
      <c r="U170" s="1163"/>
      <c r="V170" s="1162"/>
      <c r="W170" s="1163"/>
      <c r="X170" s="1162"/>
      <c r="Y170" s="1163"/>
      <c r="Z170" s="1162"/>
      <c r="AA170" s="1163"/>
      <c r="AB170" s="1162"/>
      <c r="AC170" s="1163"/>
      <c r="AE170" s="1181"/>
      <c r="AF170" s="1197"/>
      <c r="AG170" s="1184"/>
      <c r="AH170" s="1178"/>
      <c r="AI170" s="1162"/>
      <c r="AJ170" s="1163"/>
      <c r="AK170" s="1162"/>
      <c r="AL170" s="1163"/>
      <c r="AM170" s="1162"/>
      <c r="AN170" s="1163"/>
      <c r="AO170" s="1162"/>
      <c r="AP170" s="1163"/>
      <c r="AQ170" s="1162"/>
      <c r="AR170" s="1163"/>
    </row>
    <row r="171" spans="1:44" ht="15" outlineLevel="1" thickBot="1">
      <c r="B171" s="371"/>
      <c r="C171" s="372"/>
      <c r="D171" s="372"/>
      <c r="E171" s="372"/>
      <c r="F171" s="372"/>
      <c r="G171" s="372"/>
      <c r="H171" s="372"/>
      <c r="I171" s="372"/>
      <c r="J171" s="372"/>
      <c r="K171" s="372"/>
      <c r="L171" s="373"/>
      <c r="M171" s="370"/>
      <c r="N171" s="370"/>
      <c r="O171" s="74"/>
      <c r="P171" s="1182"/>
      <c r="Q171" s="1179"/>
      <c r="R171" s="1185"/>
      <c r="S171" s="1179"/>
      <c r="T171" s="374"/>
      <c r="U171" s="375"/>
      <c r="V171" s="374"/>
      <c r="W171" s="375"/>
      <c r="X171" s="374"/>
      <c r="Y171" s="375"/>
      <c r="Z171" s="374"/>
      <c r="AA171" s="375"/>
      <c r="AB171" s="374"/>
      <c r="AC171" s="375"/>
      <c r="AE171" s="1182"/>
      <c r="AF171" s="1198"/>
      <c r="AG171" s="1185"/>
      <c r="AH171" s="1179"/>
      <c r="AI171" s="374"/>
      <c r="AJ171" s="375"/>
      <c r="AK171" s="374"/>
      <c r="AL171" s="375"/>
      <c r="AM171" s="374"/>
      <c r="AN171" s="375"/>
      <c r="AO171" s="374"/>
      <c r="AP171" s="375"/>
      <c r="AQ171" s="374"/>
      <c r="AR171" s="375"/>
    </row>
    <row r="172" spans="1:44" ht="14.55" customHeight="1" outlineLevel="1">
      <c r="B172" s="500"/>
      <c r="C172" s="501"/>
      <c r="D172" s="501"/>
      <c r="E172" s="502"/>
      <c r="F172" s="501"/>
      <c r="G172" s="501"/>
      <c r="H172" s="501"/>
      <c r="I172" s="501"/>
      <c r="J172" s="501"/>
      <c r="K172" s="503"/>
      <c r="L172" s="504"/>
      <c r="M172" s="370"/>
      <c r="N172" s="370"/>
      <c r="P172" s="1199"/>
      <c r="Q172" s="1154"/>
      <c r="R172" s="381"/>
      <c r="S172" s="382"/>
      <c r="T172" s="1137"/>
      <c r="U172" s="1151"/>
      <c r="V172" s="1157"/>
      <c r="W172" s="1151"/>
      <c r="X172" s="1157"/>
      <c r="Y172" s="1151"/>
      <c r="Z172" s="1157"/>
      <c r="AA172" s="1151"/>
      <c r="AB172" s="1157"/>
      <c r="AC172" s="1151"/>
      <c r="AE172" s="1148"/>
      <c r="AF172" s="1154"/>
      <c r="AG172" s="381"/>
      <c r="AH172" s="382"/>
      <c r="AI172" s="1137"/>
      <c r="AJ172" s="1151"/>
      <c r="AK172" s="1157"/>
      <c r="AL172" s="1151"/>
      <c r="AM172" s="1157"/>
      <c r="AN172" s="1151"/>
      <c r="AO172" s="1157"/>
      <c r="AP172" s="1151"/>
      <c r="AQ172" s="1157"/>
      <c r="AR172" s="1151"/>
    </row>
    <row r="173" spans="1:44" outlineLevel="1">
      <c r="B173" s="383"/>
      <c r="C173" s="384"/>
      <c r="D173" s="384"/>
      <c r="E173" s="384"/>
      <c r="F173" s="384"/>
      <c r="G173" s="505"/>
      <c r="H173" s="505"/>
      <c r="I173" s="505"/>
      <c r="J173" s="505"/>
      <c r="K173" s="372"/>
      <c r="L173" s="373"/>
      <c r="M173" s="370"/>
      <c r="N173" s="370"/>
      <c r="O173" s="71"/>
      <c r="P173" s="1195"/>
      <c r="Q173" s="1155"/>
      <c r="R173" s="388"/>
      <c r="S173" s="389"/>
      <c r="T173" s="1140"/>
      <c r="U173" s="1152"/>
      <c r="V173" s="1158"/>
      <c r="W173" s="1152"/>
      <c r="X173" s="1158"/>
      <c r="Y173" s="1152"/>
      <c r="Z173" s="1158"/>
      <c r="AA173" s="1152"/>
      <c r="AB173" s="1158"/>
      <c r="AC173" s="1152"/>
      <c r="AE173" s="1195"/>
      <c r="AF173" s="1155"/>
      <c r="AG173" s="388"/>
      <c r="AH173" s="389"/>
      <c r="AI173" s="1140"/>
      <c r="AJ173" s="1152"/>
      <c r="AK173" s="1158"/>
      <c r="AL173" s="1152"/>
      <c r="AM173" s="1158"/>
      <c r="AN173" s="1152"/>
      <c r="AO173" s="1158"/>
      <c r="AP173" s="1152"/>
      <c r="AQ173" s="1158"/>
      <c r="AR173" s="1152"/>
    </row>
    <row r="174" spans="1:44" ht="15" outlineLevel="1" thickBot="1">
      <c r="B174" s="500"/>
      <c r="C174" s="506"/>
      <c r="D174" s="507"/>
      <c r="E174" s="507"/>
      <c r="F174" s="508"/>
      <c r="G174" s="507"/>
      <c r="H174" s="507"/>
      <c r="I174" s="507"/>
      <c r="J174" s="507"/>
      <c r="K174" s="503"/>
      <c r="L174" s="504"/>
      <c r="M174" s="370"/>
      <c r="N174" s="370"/>
      <c r="O174" s="71"/>
      <c r="P174" s="1195"/>
      <c r="Q174" s="1156"/>
      <c r="R174" s="393"/>
      <c r="S174" s="394"/>
      <c r="T174" s="1141"/>
      <c r="U174" s="1153"/>
      <c r="V174" s="1159"/>
      <c r="W174" s="1153"/>
      <c r="X174" s="1159"/>
      <c r="Y174" s="1153"/>
      <c r="Z174" s="1159"/>
      <c r="AA174" s="1153"/>
      <c r="AB174" s="1159"/>
      <c r="AC174" s="1153"/>
      <c r="AE174" s="1195"/>
      <c r="AF174" s="1156"/>
      <c r="AG174" s="393"/>
      <c r="AH174" s="394"/>
      <c r="AI174" s="1141"/>
      <c r="AJ174" s="1153"/>
      <c r="AK174" s="1159"/>
      <c r="AL174" s="1153"/>
      <c r="AM174" s="1159"/>
      <c r="AN174" s="1153"/>
      <c r="AO174" s="1159"/>
      <c r="AP174" s="1153"/>
      <c r="AQ174" s="1159"/>
      <c r="AR174" s="1153"/>
    </row>
    <row r="175" spans="1:44" ht="14.55" customHeight="1" outlineLevel="1">
      <c r="B175" s="500"/>
      <c r="C175" s="687"/>
      <c r="D175" s="687"/>
      <c r="E175" s="687"/>
      <c r="F175" s="687"/>
      <c r="G175" s="687"/>
      <c r="H175" s="687"/>
      <c r="I175" s="687"/>
      <c r="J175" s="687"/>
      <c r="K175" s="503"/>
      <c r="L175" s="504"/>
      <c r="M175" s="370"/>
      <c r="N175" s="370"/>
      <c r="O175" s="71"/>
      <c r="P175" s="1195"/>
      <c r="Q175" s="1154"/>
      <c r="R175" s="395"/>
      <c r="S175" s="396"/>
      <c r="T175" s="1137"/>
      <c r="U175" s="1137"/>
      <c r="V175" s="1137"/>
      <c r="W175" s="1137"/>
      <c r="X175" s="1137"/>
      <c r="Y175" s="1137"/>
      <c r="Z175" s="1137"/>
      <c r="AA175" s="1137"/>
      <c r="AB175" s="1137"/>
      <c r="AC175" s="1151"/>
      <c r="AE175" s="1195"/>
      <c r="AF175" s="1154"/>
      <c r="AG175" s="395"/>
      <c r="AH175" s="396"/>
      <c r="AI175" s="1137"/>
      <c r="AJ175" s="1137"/>
      <c r="AK175" s="1137"/>
      <c r="AL175" s="1137"/>
      <c r="AM175" s="1137"/>
      <c r="AN175" s="1137"/>
      <c r="AO175" s="1137"/>
      <c r="AP175" s="1137"/>
      <c r="AQ175" s="1137"/>
      <c r="AR175" s="1151"/>
    </row>
    <row r="176" spans="1:44" outlineLevel="1">
      <c r="B176" s="500"/>
      <c r="C176" s="506"/>
      <c r="D176" s="506"/>
      <c r="E176" s="506"/>
      <c r="F176" s="506"/>
      <c r="G176" s="506"/>
      <c r="H176" s="506"/>
      <c r="I176" s="506"/>
      <c r="J176" s="506"/>
      <c r="K176" s="503"/>
      <c r="L176" s="504"/>
      <c r="M176" s="367"/>
      <c r="N176" s="367"/>
      <c r="O176" s="71"/>
      <c r="P176" s="1195"/>
      <c r="Q176" s="1155"/>
      <c r="R176" s="395"/>
      <c r="S176" s="396"/>
      <c r="T176" s="1191"/>
      <c r="U176" s="1191"/>
      <c r="V176" s="1191"/>
      <c r="W176" s="1191"/>
      <c r="X176" s="1191"/>
      <c r="Y176" s="1191"/>
      <c r="Z176" s="1191"/>
      <c r="AA176" s="1191"/>
      <c r="AB176" s="1191"/>
      <c r="AC176" s="1193"/>
      <c r="AE176" s="1195"/>
      <c r="AF176" s="1155"/>
      <c r="AG176" s="395"/>
      <c r="AH176" s="396"/>
      <c r="AI176" s="1191"/>
      <c r="AJ176" s="1191"/>
      <c r="AK176" s="1191"/>
      <c r="AL176" s="1191"/>
      <c r="AM176" s="1191"/>
      <c r="AN176" s="1191"/>
      <c r="AO176" s="1191"/>
      <c r="AP176" s="1191"/>
      <c r="AQ176" s="1191"/>
      <c r="AR176" s="1193"/>
    </row>
    <row r="177" spans="1:44" outlineLevel="1">
      <c r="B177" s="383"/>
      <c r="C177" s="397"/>
      <c r="D177" s="397"/>
      <c r="E177" s="397"/>
      <c r="F177" s="397"/>
      <c r="G177" s="399"/>
      <c r="H177" s="399"/>
      <c r="I177" s="399"/>
      <c r="J177" s="399"/>
      <c r="K177" s="372"/>
      <c r="L177" s="373"/>
      <c r="M177" s="363"/>
      <c r="N177" s="363"/>
      <c r="P177" s="1195"/>
      <c r="Q177" s="1155"/>
      <c r="R177" s="395"/>
      <c r="S177" s="396"/>
      <c r="T177" s="1191"/>
      <c r="U177" s="1191"/>
      <c r="V177" s="1191"/>
      <c r="W177" s="1191"/>
      <c r="X177" s="1191"/>
      <c r="Y177" s="1191"/>
      <c r="Z177" s="1191"/>
      <c r="AA177" s="1191"/>
      <c r="AB177" s="1191"/>
      <c r="AC177" s="1193"/>
      <c r="AE177" s="1195"/>
      <c r="AF177" s="1155"/>
      <c r="AG177" s="395"/>
      <c r="AH177" s="629"/>
      <c r="AI177" s="1191"/>
      <c r="AJ177" s="1191"/>
      <c r="AK177" s="1191"/>
      <c r="AL177" s="1191"/>
      <c r="AM177" s="1191"/>
      <c r="AN177" s="1191"/>
      <c r="AO177" s="1191"/>
      <c r="AP177" s="1191"/>
      <c r="AQ177" s="1191"/>
      <c r="AR177" s="1193"/>
    </row>
    <row r="178" spans="1:44" ht="15" outlineLevel="1" thickBot="1">
      <c r="B178" s="500"/>
      <c r="C178" s="506"/>
      <c r="D178" s="506"/>
      <c r="E178" s="506"/>
      <c r="F178" s="506"/>
      <c r="G178" s="506"/>
      <c r="H178" s="506"/>
      <c r="I178" s="506"/>
      <c r="J178" s="506"/>
      <c r="K178" s="372"/>
      <c r="L178" s="400"/>
      <c r="M178" s="363"/>
      <c r="N178" s="363"/>
      <c r="P178" s="1195"/>
      <c r="Q178" s="1155"/>
      <c r="R178" s="395"/>
      <c r="S178" s="396"/>
      <c r="T178" s="1191"/>
      <c r="U178" s="1191"/>
      <c r="V178" s="1191"/>
      <c r="W178" s="1191"/>
      <c r="X178" s="1191"/>
      <c r="Y178" s="1191"/>
      <c r="Z178" s="1191"/>
      <c r="AA178" s="1191"/>
      <c r="AB178" s="1191"/>
      <c r="AC178" s="1193"/>
      <c r="AE178" s="1195"/>
      <c r="AF178" s="1155"/>
      <c r="AG178" s="395"/>
      <c r="AH178" s="396"/>
      <c r="AI178" s="1191"/>
      <c r="AJ178" s="1191"/>
      <c r="AK178" s="1191"/>
      <c r="AL178" s="1191"/>
      <c r="AM178" s="1191"/>
      <c r="AN178" s="1191"/>
      <c r="AO178" s="1191"/>
      <c r="AP178" s="1191"/>
      <c r="AQ178" s="1191"/>
      <c r="AR178" s="1193"/>
    </row>
    <row r="179" spans="1:44" ht="15" outlineLevel="1" thickBot="1">
      <c r="B179" s="401"/>
      <c r="C179" s="402"/>
      <c r="D179" s="403"/>
      <c r="E179" s="404"/>
      <c r="F179" s="405"/>
      <c r="G179" s="406"/>
      <c r="H179" s="406"/>
      <c r="I179" s="406"/>
      <c r="J179" s="406"/>
      <c r="K179" s="407"/>
      <c r="L179" s="408"/>
      <c r="M179" s="363"/>
      <c r="N179" s="363"/>
      <c r="P179" s="1195"/>
      <c r="Q179" s="1156"/>
      <c r="R179" s="409"/>
      <c r="S179" s="410"/>
      <c r="T179" s="1192"/>
      <c r="U179" s="1192"/>
      <c r="V179" s="1192"/>
      <c r="W179" s="1192"/>
      <c r="X179" s="1192"/>
      <c r="Y179" s="1192"/>
      <c r="Z179" s="1192"/>
      <c r="AA179" s="1192"/>
      <c r="AB179" s="1192"/>
      <c r="AC179" s="1194"/>
      <c r="AE179" s="1195"/>
      <c r="AF179" s="1156"/>
      <c r="AG179" s="409"/>
      <c r="AH179" s="410"/>
      <c r="AI179" s="1192"/>
      <c r="AJ179" s="1192"/>
      <c r="AK179" s="1192"/>
      <c r="AL179" s="1192"/>
      <c r="AM179" s="1192"/>
      <c r="AN179" s="1192"/>
      <c r="AO179" s="1192"/>
      <c r="AP179" s="1192"/>
      <c r="AQ179" s="1192"/>
      <c r="AR179" s="1194"/>
    </row>
    <row r="180" spans="1:44" ht="15" outlineLevel="1" thickBot="1">
      <c r="B180" s="500"/>
      <c r="C180" s="506"/>
      <c r="D180" s="506"/>
      <c r="E180" s="506"/>
      <c r="F180" s="506"/>
      <c r="G180" s="507"/>
      <c r="H180" s="507"/>
      <c r="I180" s="507"/>
      <c r="J180" s="507"/>
      <c r="K180" s="503"/>
      <c r="L180" s="504"/>
      <c r="M180" s="363"/>
      <c r="N180" s="363"/>
      <c r="P180" s="1196"/>
      <c r="Q180" s="411"/>
      <c r="R180" s="412"/>
      <c r="S180" s="630"/>
      <c r="T180" s="416"/>
      <c r="U180" s="415"/>
      <c r="V180" s="416"/>
      <c r="W180" s="415"/>
      <c r="X180" s="416"/>
      <c r="Y180" s="415"/>
      <c r="Z180" s="416"/>
      <c r="AA180" s="415"/>
      <c r="AB180" s="416"/>
      <c r="AC180" s="417"/>
      <c r="AE180" s="1196"/>
      <c r="AF180" s="411"/>
      <c r="AG180" s="695"/>
      <c r="AH180" s="696"/>
      <c r="AI180" s="416"/>
      <c r="AJ180" s="415"/>
      <c r="AK180" s="416"/>
      <c r="AL180" s="415"/>
      <c r="AM180" s="416"/>
      <c r="AN180" s="415"/>
      <c r="AO180" s="416"/>
      <c r="AP180" s="415"/>
      <c r="AQ180" s="416"/>
      <c r="AR180" s="417"/>
    </row>
    <row r="181" spans="1:44" outlineLevel="1">
      <c r="B181" s="500"/>
      <c r="C181" s="506"/>
      <c r="D181" s="506"/>
      <c r="E181" s="506"/>
      <c r="F181" s="506"/>
      <c r="G181" s="509"/>
      <c r="H181" s="509"/>
      <c r="I181" s="509"/>
      <c r="J181" s="509"/>
      <c r="K181" s="510"/>
      <c r="L181" s="504"/>
      <c r="M181" s="363"/>
      <c r="N181" s="363"/>
    </row>
    <row r="182" spans="1:44" outlineLevel="1">
      <c r="B182" s="500"/>
      <c r="C182" s="506"/>
      <c r="D182" s="506"/>
      <c r="E182" s="506"/>
      <c r="F182" s="506"/>
      <c r="G182" s="509"/>
      <c r="H182" s="509"/>
      <c r="I182" s="509"/>
      <c r="J182" s="509"/>
      <c r="K182" s="510"/>
      <c r="L182" s="504"/>
      <c r="M182" s="420"/>
      <c r="N182" s="363"/>
    </row>
    <row r="183" spans="1:44" outlineLevel="1">
      <c r="B183" s="421"/>
      <c r="C183" s="399"/>
      <c r="D183" s="399"/>
      <c r="E183" s="399"/>
      <c r="F183" s="399"/>
      <c r="G183" s="422"/>
      <c r="H183" s="422"/>
      <c r="I183" s="422"/>
      <c r="J183" s="422"/>
      <c r="K183" s="423"/>
      <c r="L183" s="424"/>
      <c r="M183" s="420"/>
      <c r="N183" s="420"/>
    </row>
    <row r="184" spans="1:44" outlineLevel="1">
      <c r="B184" s="383"/>
      <c r="C184" s="397"/>
      <c r="D184" s="397"/>
      <c r="E184" s="397"/>
      <c r="F184" s="397"/>
      <c r="G184" s="422"/>
      <c r="H184" s="425"/>
      <c r="I184" s="425"/>
      <c r="J184" s="425"/>
      <c r="K184" s="426"/>
      <c r="L184" s="427"/>
      <c r="M184" s="428"/>
      <c r="N184" s="428"/>
    </row>
    <row r="185" spans="1:44" outlineLevel="1">
      <c r="B185" s="383"/>
      <c r="C185" s="397"/>
      <c r="D185" s="397"/>
      <c r="E185" s="397"/>
      <c r="F185" s="397"/>
      <c r="G185" s="425"/>
      <c r="H185" s="425"/>
      <c r="I185" s="425"/>
      <c r="J185" s="425"/>
      <c r="K185" s="423"/>
      <c r="L185" s="427"/>
      <c r="M185" s="428"/>
      <c r="N185" s="428"/>
    </row>
    <row r="186" spans="1:44" outlineLevel="1">
      <c r="B186" s="383"/>
      <c r="C186" s="397"/>
      <c r="D186" s="397"/>
      <c r="E186" s="397"/>
      <c r="F186" s="397"/>
      <c r="G186" s="425"/>
      <c r="H186" s="425"/>
      <c r="I186" s="425"/>
      <c r="J186" s="425"/>
      <c r="K186" s="423"/>
      <c r="L186" s="427"/>
      <c r="M186" s="428"/>
      <c r="N186" s="428"/>
    </row>
    <row r="187" spans="1:44" outlineLevel="1">
      <c r="B187" s="383"/>
      <c r="C187" s="397"/>
      <c r="D187" s="397"/>
      <c r="E187" s="397"/>
      <c r="F187" s="397"/>
      <c r="G187" s="425"/>
      <c r="H187" s="425"/>
      <c r="I187" s="425"/>
      <c r="J187" s="425"/>
      <c r="K187" s="423"/>
      <c r="L187" s="427"/>
      <c r="M187" s="428"/>
      <c r="N187" s="428"/>
    </row>
    <row r="188" spans="1:44" ht="15" outlineLevel="1" thickBot="1">
      <c r="B188" s="429"/>
      <c r="C188" s="697"/>
      <c r="D188" s="697"/>
      <c r="E188" s="697"/>
      <c r="F188" s="697"/>
      <c r="G188" s="425"/>
      <c r="H188" s="425"/>
      <c r="I188" s="425"/>
      <c r="J188" s="425"/>
      <c r="K188" s="423"/>
      <c r="L188" s="427"/>
      <c r="M188" s="428"/>
      <c r="N188" s="428"/>
    </row>
    <row r="189" spans="1:44" ht="15" outlineLevel="1" thickBot="1">
      <c r="B189" s="431"/>
      <c r="C189" s="432"/>
      <c r="D189" s="403"/>
      <c r="E189" s="403"/>
      <c r="F189" s="433"/>
      <c r="G189" s="434"/>
      <c r="H189" s="406"/>
      <c r="I189" s="406"/>
      <c r="J189" s="406"/>
      <c r="K189" s="407"/>
      <c r="L189" s="408"/>
      <c r="M189" s="428"/>
      <c r="N189" s="428"/>
    </row>
    <row r="190" spans="1:44" outlineLevel="1">
      <c r="A190" s="435"/>
      <c r="B190" s="436"/>
      <c r="C190" s="551"/>
      <c r="D190" s="647"/>
      <c r="E190" s="647"/>
      <c r="F190" s="648"/>
      <c r="G190" s="425"/>
      <c r="H190" s="425"/>
      <c r="I190" s="425"/>
      <c r="J190" s="425"/>
      <c r="K190" s="426"/>
      <c r="L190" s="440"/>
      <c r="M190" s="420"/>
      <c r="N190" s="420"/>
    </row>
    <row r="191" spans="1:44" outlineLevel="1">
      <c r="B191" s="441"/>
      <c r="C191" s="442"/>
      <c r="D191" s="442"/>
      <c r="E191" s="442"/>
      <c r="F191" s="442"/>
      <c r="G191" s="425"/>
      <c r="H191" s="425"/>
      <c r="I191" s="425"/>
      <c r="J191" s="425"/>
      <c r="K191" s="444"/>
      <c r="L191" s="373"/>
      <c r="M191" s="71"/>
      <c r="N191" s="420"/>
    </row>
    <row r="192" spans="1:44" outlineLevel="1">
      <c r="B192" s="441"/>
      <c r="C192" s="442"/>
      <c r="D192" s="442"/>
      <c r="E192" s="442"/>
      <c r="F192" s="442"/>
      <c r="G192" s="425"/>
      <c r="H192" s="425"/>
      <c r="I192" s="425"/>
      <c r="J192" s="425"/>
      <c r="K192" s="444"/>
      <c r="L192" s="373"/>
      <c r="M192" s="420"/>
      <c r="N192" s="420"/>
    </row>
    <row r="193" spans="2:30" outlineLevel="1">
      <c r="B193" s="383"/>
      <c r="C193" s="602"/>
      <c r="D193" s="603"/>
      <c r="E193" s="603"/>
      <c r="F193" s="604"/>
      <c r="G193" s="425"/>
      <c r="H193" s="425"/>
      <c r="I193" s="425"/>
      <c r="J193" s="425"/>
      <c r="K193" s="448"/>
      <c r="L193" s="373"/>
      <c r="M193" s="420"/>
      <c r="N193" s="420"/>
    </row>
    <row r="194" spans="2:30" outlineLevel="1">
      <c r="B194" s="383"/>
      <c r="C194" s="449"/>
      <c r="D194" s="449"/>
      <c r="E194" s="449"/>
      <c r="F194" s="449"/>
      <c r="G194" s="425"/>
      <c r="H194" s="425"/>
      <c r="I194" s="425"/>
      <c r="J194" s="425"/>
      <c r="K194" s="448"/>
      <c r="L194" s="373"/>
      <c r="M194" s="694"/>
      <c r="N194" s="693"/>
      <c r="P194" s="1142"/>
      <c r="Q194" s="1143"/>
      <c r="R194" s="1143"/>
      <c r="S194" s="1143"/>
      <c r="T194" s="1143"/>
      <c r="U194" s="1144"/>
    </row>
    <row r="195" spans="2:30" ht="15" outlineLevel="1" thickBot="1">
      <c r="B195" s="500"/>
      <c r="C195" s="514"/>
      <c r="D195" s="514"/>
      <c r="E195" s="514"/>
      <c r="F195" s="514"/>
      <c r="G195" s="515"/>
      <c r="H195" s="515"/>
      <c r="I195" s="515"/>
      <c r="J195" s="515"/>
      <c r="K195" s="503"/>
      <c r="L195" s="504"/>
      <c r="M195" s="694"/>
      <c r="N195" s="693"/>
      <c r="P195" s="1134"/>
      <c r="Q195" s="1135"/>
      <c r="R195" s="1135"/>
      <c r="S195" s="1135"/>
      <c r="T195" s="1135"/>
      <c r="U195" s="1136"/>
    </row>
    <row r="196" spans="2:30" outlineLevel="1">
      <c r="B196" s="500"/>
      <c r="C196" s="516"/>
      <c r="D196" s="516"/>
      <c r="E196" s="516"/>
      <c r="F196" s="516"/>
      <c r="G196" s="515"/>
      <c r="H196" s="515"/>
      <c r="I196" s="515"/>
      <c r="J196" s="515"/>
      <c r="K196" s="517"/>
      <c r="L196" s="504"/>
      <c r="M196" s="363"/>
      <c r="N196" s="363"/>
      <c r="P196" s="53"/>
    </row>
    <row r="197" spans="2:30" outlineLevel="1">
      <c r="B197" s="441"/>
      <c r="C197" s="681"/>
      <c r="D197" s="681"/>
      <c r="E197" s="681"/>
      <c r="F197" s="681"/>
      <c r="G197" s="425"/>
      <c r="H197" s="425"/>
      <c r="I197" s="425"/>
      <c r="J197" s="425"/>
      <c r="K197" s="444"/>
      <c r="L197" s="424"/>
      <c r="M197" s="367"/>
      <c r="N197" s="367"/>
      <c r="P197" s="46"/>
      <c r="Q197" s="46"/>
      <c r="R197" s="47"/>
      <c r="S197" s="47"/>
      <c r="T197" s="47"/>
      <c r="U197" s="48"/>
      <c r="V197" s="49"/>
      <c r="W197" s="49"/>
      <c r="X197" s="49"/>
      <c r="Y197" s="49"/>
      <c r="Z197" s="49"/>
      <c r="AA197" s="49"/>
      <c r="AB197" s="49"/>
      <c r="AC197" s="49"/>
      <c r="AD197" s="49"/>
    </row>
    <row r="198" spans="2:30" ht="15" outlineLevel="1" thickBot="1">
      <c r="B198" s="519"/>
      <c r="C198" s="442"/>
      <c r="D198" s="520"/>
      <c r="E198" s="520"/>
      <c r="F198" s="521"/>
      <c r="G198" s="425"/>
      <c r="H198" s="425"/>
      <c r="I198" s="425"/>
      <c r="J198" s="425"/>
      <c r="K198" s="448"/>
      <c r="L198" s="424"/>
      <c r="M198" s="363"/>
      <c r="N198" s="363"/>
      <c r="P198" s="50"/>
      <c r="Q198" s="50"/>
      <c r="R198" s="51"/>
      <c r="S198" s="51"/>
      <c r="T198" s="51"/>
      <c r="U198" s="51"/>
      <c r="V198" s="50"/>
      <c r="W198" s="50"/>
      <c r="X198" s="50"/>
      <c r="Y198" s="50"/>
      <c r="Z198" s="50"/>
      <c r="AA198" s="50"/>
      <c r="AB198" s="50"/>
      <c r="AC198" s="50"/>
      <c r="AD198" s="50"/>
    </row>
    <row r="199" spans="2:30" ht="15" outlineLevel="1" thickBot="1">
      <c r="B199" s="401"/>
      <c r="C199" s="402"/>
      <c r="D199" s="403"/>
      <c r="E199" s="404"/>
      <c r="F199" s="405"/>
      <c r="G199" s="406"/>
      <c r="H199" s="406"/>
      <c r="I199" s="406"/>
      <c r="J199" s="406"/>
      <c r="K199" s="459"/>
      <c r="L199" s="460"/>
      <c r="M199" s="363"/>
      <c r="N199" s="363"/>
      <c r="O199" s="461"/>
      <c r="P199" s="56"/>
      <c r="Q199" s="56"/>
      <c r="R199" s="57"/>
      <c r="S199" s="57"/>
      <c r="T199" s="57"/>
      <c r="U199" s="56"/>
      <c r="V199" s="56"/>
      <c r="W199" s="56"/>
      <c r="X199" s="56"/>
      <c r="Y199" s="56"/>
      <c r="Z199" s="56"/>
      <c r="AA199" s="56"/>
      <c r="AB199" s="56"/>
      <c r="AC199" s="56"/>
      <c r="AD199" s="56"/>
    </row>
    <row r="200" spans="2:30" outlineLevel="1">
      <c r="B200" s="522"/>
      <c r="C200" s="670"/>
      <c r="D200" s="670"/>
      <c r="E200" s="670"/>
      <c r="F200" s="670"/>
      <c r="G200" s="524"/>
      <c r="H200" s="524"/>
      <c r="I200" s="524"/>
      <c r="J200" s="524"/>
      <c r="K200" s="524"/>
      <c r="L200" s="525"/>
      <c r="M200" s="363"/>
      <c r="N200" s="363"/>
      <c r="O200" s="465"/>
      <c r="P200" s="466"/>
      <c r="Q200" s="58"/>
      <c r="R200" s="466"/>
      <c r="S200" s="58"/>
      <c r="T200" s="466"/>
      <c r="U200" s="467"/>
      <c r="V200" s="467"/>
      <c r="W200" s="467"/>
      <c r="X200" s="58"/>
      <c r="Y200" s="58"/>
      <c r="Z200" s="466"/>
      <c r="AA200" s="468"/>
      <c r="AB200" s="468"/>
      <c r="AC200" s="468"/>
      <c r="AD200" s="468"/>
    </row>
    <row r="201" spans="2:30" outlineLevel="1">
      <c r="B201" s="500"/>
      <c r="C201" s="526"/>
      <c r="D201" s="527"/>
      <c r="E201" s="527"/>
      <c r="F201" s="528"/>
      <c r="G201" s="528"/>
      <c r="H201" s="528"/>
      <c r="I201" s="528"/>
      <c r="J201" s="528"/>
      <c r="K201" s="529"/>
      <c r="L201" s="525"/>
      <c r="M201" s="363"/>
      <c r="N201" s="363"/>
      <c r="O201" s="465"/>
      <c r="P201" s="466"/>
      <c r="Q201" s="58"/>
      <c r="R201" s="466"/>
      <c r="S201" s="58"/>
      <c r="T201" s="466"/>
      <c r="U201" s="467"/>
      <c r="V201" s="467"/>
      <c r="W201" s="467"/>
      <c r="X201" s="58"/>
      <c r="Y201" s="58"/>
      <c r="Z201" s="466"/>
      <c r="AA201" s="468"/>
      <c r="AB201" s="468"/>
      <c r="AC201" s="468"/>
      <c r="AD201" s="468"/>
    </row>
    <row r="202" spans="2:30" outlineLevel="1">
      <c r="B202" s="500"/>
      <c r="C202" s="526"/>
      <c r="D202" s="527"/>
      <c r="E202" s="527"/>
      <c r="F202" s="528"/>
      <c r="G202" s="515"/>
      <c r="H202" s="515"/>
      <c r="I202" s="515"/>
      <c r="J202" s="515"/>
      <c r="K202" s="515"/>
      <c r="L202" s="504"/>
      <c r="M202" s="363"/>
      <c r="N202" s="363"/>
      <c r="O202" s="465"/>
      <c r="P202" s="466"/>
      <c r="Q202" s="58"/>
      <c r="R202" s="466"/>
      <c r="S202" s="58"/>
      <c r="T202" s="466"/>
      <c r="U202" s="467"/>
      <c r="V202" s="467"/>
      <c r="W202" s="467"/>
      <c r="X202" s="58"/>
      <c r="Y202" s="58"/>
      <c r="Z202" s="466"/>
      <c r="AA202" s="468"/>
      <c r="AB202" s="468"/>
      <c r="AC202" s="468"/>
      <c r="AD202" s="468"/>
    </row>
    <row r="203" spans="2:30" outlineLevel="1">
      <c r="B203" s="500"/>
      <c r="C203" s="685"/>
      <c r="D203" s="530"/>
      <c r="E203" s="530"/>
      <c r="F203" s="530"/>
      <c r="G203" s="531"/>
      <c r="H203" s="531"/>
      <c r="I203" s="531"/>
      <c r="J203" s="531"/>
      <c r="K203" s="531"/>
      <c r="L203" s="504"/>
      <c r="M203" s="363"/>
      <c r="N203" s="363"/>
      <c r="O203" s="465"/>
      <c r="P203" s="466"/>
      <c r="Q203" s="58"/>
      <c r="R203" s="466"/>
      <c r="S203" s="58"/>
      <c r="T203" s="466"/>
      <c r="U203" s="467"/>
      <c r="V203" s="467"/>
      <c r="W203" s="467"/>
      <c r="X203" s="58"/>
      <c r="Y203" s="58"/>
      <c r="Z203" s="466"/>
      <c r="AA203" s="468"/>
      <c r="AB203" s="468"/>
      <c r="AC203" s="468"/>
      <c r="AD203" s="468"/>
    </row>
    <row r="204" spans="2:30" outlineLevel="1">
      <c r="B204" s="532"/>
      <c r="C204" s="526"/>
      <c r="D204" s="527"/>
      <c r="E204" s="527"/>
      <c r="F204" s="528"/>
      <c r="G204" s="531"/>
      <c r="H204" s="531"/>
      <c r="I204" s="531"/>
      <c r="J204" s="531"/>
      <c r="K204" s="531"/>
      <c r="L204" s="533"/>
      <c r="M204" s="367"/>
      <c r="N204" s="367"/>
    </row>
    <row r="205" spans="2:30" outlineLevel="1">
      <c r="B205" s="532"/>
      <c r="C205" s="526"/>
      <c r="D205" s="527"/>
      <c r="E205" s="527"/>
      <c r="F205" s="528"/>
      <c r="G205" s="531"/>
      <c r="H205" s="531"/>
      <c r="I205" s="531"/>
      <c r="J205" s="531"/>
      <c r="K205" s="531"/>
      <c r="L205" s="533"/>
      <c r="M205" s="363"/>
      <c r="N205" s="363"/>
    </row>
    <row r="206" spans="2:30" ht="15" outlineLevel="1" thickBot="1">
      <c r="B206" s="534"/>
      <c r="C206" s="535"/>
      <c r="D206" s="536"/>
      <c r="E206" s="536"/>
      <c r="F206" s="537"/>
      <c r="G206" s="538"/>
      <c r="H206" s="538"/>
      <c r="I206" s="538"/>
      <c r="J206" s="538"/>
      <c r="K206" s="538"/>
      <c r="L206" s="539"/>
      <c r="M206" s="363"/>
      <c r="N206" s="363"/>
    </row>
    <row r="207" spans="2:30" outlineLevel="1">
      <c r="B207" s="461"/>
      <c r="C207" s="483"/>
      <c r="D207" s="483"/>
      <c r="E207" s="483"/>
      <c r="F207" s="483"/>
      <c r="G207" s="483"/>
      <c r="H207" s="484"/>
      <c r="I207" s="420"/>
      <c r="J207" s="420"/>
      <c r="K207" s="484"/>
      <c r="L207" s="484"/>
      <c r="N207" s="420"/>
    </row>
    <row r="208" spans="2:30" outlineLevel="1">
      <c r="B208" s="485"/>
      <c r="C208" s="486"/>
      <c r="D208" s="486"/>
      <c r="E208" s="486"/>
      <c r="F208" s="486"/>
      <c r="G208" s="486"/>
      <c r="H208" s="484"/>
      <c r="I208" s="71"/>
      <c r="J208" s="420"/>
      <c r="K208" s="484"/>
      <c r="L208" s="484"/>
      <c r="N208" s="420"/>
    </row>
    <row r="209" spans="1:16" outlineLevel="1">
      <c r="B209" s="461"/>
      <c r="C209" s="359"/>
      <c r="D209" s="359"/>
      <c r="E209" s="359"/>
      <c r="F209" s="359"/>
      <c r="G209" s="359"/>
      <c r="I209" s="420"/>
      <c r="J209" s="420"/>
      <c r="N209" s="420"/>
    </row>
    <row r="210" spans="1:16" outlineLevel="1">
      <c r="B210" s="461"/>
      <c r="C210" s="487"/>
      <c r="D210" s="487"/>
      <c r="E210" s="487"/>
      <c r="F210" s="487"/>
      <c r="G210" s="359"/>
      <c r="M210" s="420"/>
      <c r="N210" s="420"/>
    </row>
    <row r="211" spans="1:16" outlineLevel="1"/>
    <row r="212" spans="1:16" outlineLevel="1">
      <c r="A212" s="488"/>
      <c r="B212" s="489"/>
      <c r="D212" s="490"/>
      <c r="E212" s="490"/>
      <c r="F212" s="490"/>
      <c r="G212" s="358"/>
      <c r="H212" s="358"/>
      <c r="I212" s="358"/>
      <c r="J212" s="358"/>
      <c r="K212" s="358"/>
      <c r="L212" s="358"/>
      <c r="N212" s="570"/>
      <c r="O212" s="489"/>
      <c r="P212" s="490"/>
    </row>
    <row r="213" spans="1:16" outlineLevel="1">
      <c r="A213" s="491"/>
      <c r="B213" s="492"/>
      <c r="D213" s="490"/>
      <c r="E213" s="490"/>
      <c r="F213" s="490"/>
      <c r="G213" s="358"/>
      <c r="H213" s="358"/>
      <c r="I213" s="358"/>
      <c r="J213" s="358"/>
      <c r="K213" s="358"/>
      <c r="L213" s="358"/>
      <c r="N213" s="570"/>
      <c r="O213" s="489"/>
      <c r="P213" s="490"/>
    </row>
    <row r="214" spans="1:16" outlineLevel="1">
      <c r="A214" s="491"/>
      <c r="B214" s="493"/>
      <c r="D214" s="490"/>
      <c r="E214" s="490"/>
      <c r="F214" s="490"/>
      <c r="G214" s="358"/>
      <c r="H214" s="358"/>
      <c r="I214" s="358"/>
      <c r="J214" s="358"/>
      <c r="K214" s="358"/>
      <c r="L214" s="358"/>
      <c r="N214" s="570"/>
      <c r="O214" s="489"/>
      <c r="P214" s="490"/>
    </row>
    <row r="215" spans="1:16" outlineLevel="1">
      <c r="A215" s="491"/>
      <c r="B215" s="488"/>
      <c r="C215" s="489"/>
      <c r="E215" s="358"/>
      <c r="F215" s="490"/>
      <c r="G215" s="358"/>
      <c r="H215" s="358"/>
      <c r="I215" s="358"/>
      <c r="J215" s="358"/>
      <c r="K215" s="358"/>
      <c r="L215" s="358"/>
      <c r="N215" s="570"/>
      <c r="O215" s="489"/>
      <c r="P215" s="490"/>
    </row>
    <row r="216" spans="1:16" outlineLevel="1">
      <c r="A216" s="491"/>
      <c r="B216" s="491"/>
      <c r="C216" s="492"/>
      <c r="E216" s="358"/>
      <c r="F216" s="490"/>
      <c r="G216" s="358"/>
      <c r="H216" s="358"/>
      <c r="I216" s="358"/>
      <c r="J216" s="358"/>
      <c r="K216" s="358"/>
      <c r="L216" s="358"/>
      <c r="N216" s="570"/>
      <c r="O216" s="489"/>
      <c r="P216" s="490"/>
    </row>
    <row r="217" spans="1:16" outlineLevel="1">
      <c r="A217" s="358"/>
      <c r="B217" s="491"/>
      <c r="C217" s="493"/>
      <c r="E217" s="358"/>
      <c r="F217" s="490"/>
      <c r="G217" s="358"/>
      <c r="H217" s="358"/>
      <c r="I217" s="358"/>
      <c r="J217" s="358"/>
      <c r="K217" s="358"/>
      <c r="L217" s="358"/>
    </row>
    <row r="218" spans="1:16" outlineLevel="1">
      <c r="A218" s="358"/>
      <c r="B218" s="491"/>
      <c r="C218" s="493"/>
      <c r="E218" s="358"/>
      <c r="F218" s="490"/>
      <c r="G218" s="358"/>
      <c r="H218" s="358"/>
      <c r="I218" s="358"/>
      <c r="J218" s="358"/>
      <c r="K218" s="358"/>
      <c r="L218" s="358"/>
    </row>
    <row r="219" spans="1:16" outlineLevel="1">
      <c r="A219" s="358"/>
      <c r="B219" s="491"/>
      <c r="C219" s="493"/>
      <c r="E219" s="358"/>
      <c r="F219" s="490"/>
      <c r="G219" s="358"/>
      <c r="H219" s="358"/>
      <c r="I219" s="358"/>
      <c r="J219" s="358"/>
      <c r="K219" s="358"/>
      <c r="L219" s="358"/>
    </row>
    <row r="220" spans="1:16" outlineLevel="1">
      <c r="A220" s="358"/>
      <c r="B220" s="358"/>
      <c r="C220" s="494"/>
      <c r="F220" s="490"/>
      <c r="G220" s="358"/>
      <c r="H220" s="358"/>
      <c r="I220" s="358"/>
      <c r="J220" s="358"/>
      <c r="K220" s="358"/>
      <c r="L220" s="358"/>
    </row>
    <row r="221" spans="1:16" outlineLevel="1">
      <c r="A221" s="358"/>
      <c r="B221" s="358"/>
      <c r="C221" s="492"/>
      <c r="F221" s="490"/>
      <c r="G221" s="358"/>
      <c r="H221" s="358"/>
      <c r="I221" s="358"/>
      <c r="J221" s="358"/>
      <c r="K221" s="358"/>
      <c r="L221" s="358"/>
    </row>
    <row r="222" spans="1:16" outlineLevel="1">
      <c r="A222" s="358"/>
      <c r="B222" s="358"/>
      <c r="C222" s="495"/>
      <c r="F222" s="490"/>
      <c r="G222" s="358"/>
      <c r="H222" s="358"/>
      <c r="I222" s="358"/>
      <c r="J222" s="358"/>
      <c r="K222" s="358"/>
      <c r="L222" s="358"/>
    </row>
    <row r="223" spans="1:16" outlineLevel="1">
      <c r="A223" s="488"/>
      <c r="B223" s="358"/>
      <c r="C223" s="495"/>
      <c r="F223" s="490"/>
      <c r="G223" s="358"/>
      <c r="H223" s="358"/>
      <c r="I223" s="358"/>
      <c r="J223" s="358"/>
      <c r="K223" s="358"/>
      <c r="L223" s="358"/>
    </row>
    <row r="224" spans="1:16" outlineLevel="1">
      <c r="A224" s="496"/>
      <c r="B224" s="358"/>
      <c r="C224" s="489"/>
      <c r="F224" s="490"/>
      <c r="G224" s="358"/>
      <c r="H224" s="358"/>
      <c r="I224" s="358"/>
      <c r="J224" s="358"/>
      <c r="K224" s="358"/>
      <c r="L224" s="358"/>
      <c r="N224" s="570"/>
      <c r="O224" s="489"/>
      <c r="P224" s="490"/>
    </row>
    <row r="225" spans="1:16" outlineLevel="1">
      <c r="A225" s="496"/>
      <c r="B225" s="358"/>
      <c r="C225" s="490"/>
      <c r="F225" s="490"/>
      <c r="G225" s="358"/>
      <c r="H225" s="358"/>
      <c r="I225" s="358"/>
      <c r="J225" s="358"/>
      <c r="K225" s="358"/>
      <c r="L225" s="358"/>
      <c r="N225" s="570"/>
      <c r="O225" s="489"/>
      <c r="P225" s="490"/>
    </row>
    <row r="226" spans="1:16" outlineLevel="1">
      <c r="A226" s="496"/>
      <c r="B226" s="488"/>
      <c r="C226" s="489"/>
      <c r="F226" s="490"/>
      <c r="G226" s="358"/>
      <c r="H226" s="358"/>
      <c r="I226" s="358"/>
      <c r="J226" s="358"/>
      <c r="K226" s="358"/>
      <c r="L226" s="358"/>
      <c r="N226" s="570"/>
      <c r="O226" s="489"/>
      <c r="P226" s="490"/>
    </row>
    <row r="227" spans="1:16" outlineLevel="1">
      <c r="A227" s="496"/>
      <c r="B227" s="496"/>
      <c r="C227" s="497"/>
      <c r="D227" s="489"/>
      <c r="F227" s="490"/>
      <c r="G227" s="358"/>
      <c r="H227" s="358"/>
      <c r="I227" s="358"/>
      <c r="J227" s="358"/>
      <c r="K227" s="358"/>
      <c r="L227" s="358"/>
      <c r="N227" s="570"/>
      <c r="O227" s="489"/>
      <c r="P227" s="490"/>
    </row>
    <row r="228" spans="1:16" outlineLevel="1">
      <c r="A228" s="496"/>
      <c r="B228" s="496"/>
      <c r="C228" s="489"/>
      <c r="D228" s="489"/>
      <c r="F228" s="490"/>
      <c r="G228" s="358"/>
      <c r="H228" s="358"/>
      <c r="I228" s="358"/>
      <c r="J228" s="358"/>
      <c r="K228" s="358"/>
      <c r="L228" s="358"/>
      <c r="N228" s="570"/>
      <c r="O228" s="489"/>
      <c r="P228" s="490"/>
    </row>
    <row r="229" spans="1:16" outlineLevel="1">
      <c r="A229" s="496"/>
      <c r="B229" s="496"/>
      <c r="C229" s="489"/>
      <c r="D229" s="489"/>
      <c r="F229" s="490"/>
      <c r="G229" s="358"/>
      <c r="H229" s="358"/>
      <c r="I229" s="358"/>
      <c r="J229" s="358"/>
      <c r="K229" s="358"/>
      <c r="L229" s="358"/>
      <c r="N229" s="570"/>
      <c r="O229" s="489"/>
      <c r="P229" s="490"/>
    </row>
    <row r="230" spans="1:16" outlineLevel="1">
      <c r="A230" s="496"/>
      <c r="B230" s="496"/>
      <c r="C230" s="489"/>
      <c r="D230" s="489"/>
      <c r="F230" s="490"/>
      <c r="G230" s="358"/>
      <c r="H230" s="358"/>
      <c r="I230" s="358"/>
      <c r="J230" s="358"/>
      <c r="K230" s="358"/>
      <c r="L230" s="358"/>
      <c r="N230" s="570"/>
      <c r="O230" s="489"/>
      <c r="P230" s="490"/>
    </row>
    <row r="231" spans="1:16" outlineLevel="1">
      <c r="A231" s="496"/>
      <c r="B231" s="496"/>
      <c r="C231" s="489"/>
      <c r="D231" s="489"/>
      <c r="F231" s="490"/>
      <c r="G231" s="358"/>
      <c r="H231" s="358"/>
      <c r="I231" s="358"/>
      <c r="J231" s="358"/>
      <c r="K231" s="358"/>
      <c r="L231" s="358"/>
      <c r="N231" s="570"/>
      <c r="O231" s="489"/>
      <c r="P231" s="490"/>
    </row>
    <row r="232" spans="1:16" outlineLevel="1">
      <c r="A232" s="496"/>
      <c r="B232" s="496"/>
      <c r="C232" s="489"/>
      <c r="D232" s="489"/>
      <c r="F232" s="490"/>
      <c r="G232" s="358"/>
      <c r="H232" s="358"/>
      <c r="I232" s="358"/>
      <c r="J232" s="358"/>
      <c r="K232" s="358"/>
      <c r="L232" s="358"/>
      <c r="N232" s="570"/>
      <c r="O232" s="489"/>
      <c r="P232" s="490"/>
    </row>
    <row r="233" spans="1:16" outlineLevel="1">
      <c r="A233" s="496"/>
      <c r="B233" s="496"/>
      <c r="C233" s="489"/>
      <c r="D233" s="489"/>
      <c r="F233" s="490"/>
      <c r="G233" s="358"/>
      <c r="H233" s="358"/>
      <c r="I233" s="358"/>
      <c r="J233" s="358"/>
      <c r="K233" s="358"/>
      <c r="L233" s="358"/>
      <c r="N233" s="570"/>
      <c r="O233" s="489"/>
      <c r="P233" s="490"/>
    </row>
    <row r="234" spans="1:16" outlineLevel="1">
      <c r="A234" s="496"/>
      <c r="B234" s="496"/>
      <c r="C234" s="489"/>
      <c r="D234" s="489"/>
      <c r="F234" s="490"/>
      <c r="G234" s="358"/>
      <c r="H234" s="358"/>
      <c r="I234" s="358"/>
      <c r="J234" s="358"/>
      <c r="K234" s="358"/>
      <c r="L234" s="358"/>
      <c r="N234" s="570"/>
      <c r="O234" s="489"/>
      <c r="P234" s="490"/>
    </row>
    <row r="235" spans="1:16" outlineLevel="1">
      <c r="A235" s="496"/>
      <c r="B235" s="496"/>
      <c r="C235" s="498"/>
      <c r="D235" s="489"/>
      <c r="F235" s="490"/>
      <c r="G235" s="358"/>
      <c r="H235" s="358"/>
      <c r="I235" s="358"/>
      <c r="J235" s="358"/>
      <c r="K235" s="358"/>
      <c r="L235" s="358"/>
      <c r="N235" s="570"/>
      <c r="O235" s="489"/>
      <c r="P235" s="490"/>
    </row>
    <row r="236" spans="1:16" outlineLevel="1">
      <c r="A236" s="496"/>
      <c r="B236" s="496"/>
      <c r="C236" s="489"/>
      <c r="D236" s="489"/>
      <c r="F236" s="490"/>
      <c r="G236" s="358"/>
      <c r="H236" s="358"/>
      <c r="I236" s="358"/>
      <c r="J236" s="358"/>
      <c r="K236" s="358"/>
      <c r="L236" s="358"/>
      <c r="N236" s="571"/>
      <c r="O236" s="489"/>
      <c r="P236" s="490"/>
    </row>
    <row r="237" spans="1:16" outlineLevel="1">
      <c r="A237" s="496"/>
      <c r="B237" s="496"/>
      <c r="C237" s="489"/>
      <c r="D237" s="489"/>
      <c r="F237" s="490"/>
      <c r="G237" s="358"/>
      <c r="H237" s="358"/>
      <c r="I237" s="358"/>
      <c r="J237" s="358"/>
      <c r="K237" s="358"/>
      <c r="L237" s="358"/>
      <c r="N237" s="572"/>
      <c r="O237" s="489"/>
      <c r="P237" s="490"/>
    </row>
    <row r="238" spans="1:16" outlineLevel="1">
      <c r="A238" s="496"/>
      <c r="F238" s="490"/>
      <c r="G238" s="358"/>
      <c r="H238" s="358"/>
      <c r="I238" s="358"/>
      <c r="J238" s="358"/>
      <c r="K238" s="358"/>
      <c r="L238" s="358"/>
      <c r="N238" s="573"/>
      <c r="O238" s="489"/>
      <c r="P238" s="490"/>
    </row>
    <row r="239" spans="1:16" outlineLevel="1">
      <c r="A239" s="496"/>
      <c r="B239" s="498"/>
      <c r="C239" s="490"/>
      <c r="D239" s="490"/>
      <c r="E239" s="490"/>
      <c r="F239" s="490"/>
      <c r="G239" s="358"/>
      <c r="H239" s="358"/>
      <c r="I239" s="358"/>
      <c r="J239" s="358"/>
      <c r="K239" s="358"/>
      <c r="L239" s="358"/>
      <c r="N239" s="573"/>
      <c r="O239" s="490"/>
      <c r="P239" s="490"/>
    </row>
    <row r="240" spans="1:16" outlineLevel="1">
      <c r="A240" s="496"/>
      <c r="B240" s="489"/>
      <c r="C240" s="490"/>
      <c r="D240" s="490"/>
      <c r="E240" s="490"/>
      <c r="F240" s="490"/>
      <c r="G240" s="358"/>
      <c r="H240" s="358"/>
      <c r="I240" s="358"/>
      <c r="J240" s="358"/>
      <c r="K240" s="358"/>
      <c r="L240" s="358"/>
      <c r="N240" s="489"/>
      <c r="O240" s="490"/>
      <c r="P240" s="490"/>
    </row>
    <row r="241" spans="1:44" outlineLevel="1">
      <c r="A241" s="496"/>
      <c r="B241" s="489"/>
      <c r="C241" s="490"/>
      <c r="D241" s="490"/>
      <c r="E241" s="490"/>
      <c r="F241" s="490"/>
      <c r="G241" s="358"/>
      <c r="H241" s="358"/>
      <c r="I241" s="358"/>
      <c r="J241" s="358"/>
      <c r="K241" s="358"/>
      <c r="L241" s="358"/>
      <c r="N241" s="490"/>
      <c r="O241" s="490"/>
      <c r="P241" s="490"/>
    </row>
    <row r="242" spans="1:44" outlineLevel="1"/>
    <row r="243" spans="1:44" outlineLevel="1"/>
    <row r="245" spans="1:44">
      <c r="A245" s="360"/>
      <c r="B245" s="1207"/>
      <c r="C245" s="1143"/>
      <c r="D245" s="1143"/>
      <c r="E245" s="1143"/>
      <c r="F245" s="1143"/>
      <c r="G245" s="1143"/>
      <c r="H245" s="1143"/>
      <c r="I245" s="1143"/>
      <c r="J245" s="1143"/>
      <c r="K245" s="1143"/>
      <c r="L245" s="1143"/>
      <c r="M245" s="1143"/>
      <c r="N245" s="693"/>
      <c r="P245" s="1143"/>
      <c r="Q245" s="1143"/>
      <c r="R245" s="1143"/>
      <c r="S245" s="1143"/>
      <c r="T245" s="1143"/>
      <c r="U245" s="1143"/>
    </row>
    <row r="246" spans="1:44" ht="20.55" customHeight="1" outlineLevel="1" thickBot="1">
      <c r="B246" s="1207"/>
      <c r="C246" s="1143"/>
      <c r="D246" s="1143"/>
      <c r="E246" s="1143"/>
      <c r="F246" s="1143"/>
      <c r="G246" s="1143"/>
      <c r="H246" s="1143"/>
      <c r="I246" s="1143"/>
      <c r="J246" s="1143"/>
      <c r="K246" s="1143"/>
      <c r="L246" s="1143"/>
      <c r="M246" s="1143"/>
      <c r="N246" s="693"/>
      <c r="P246" s="692"/>
      <c r="Q246" s="692"/>
      <c r="R246" s="692"/>
      <c r="S246" s="692"/>
      <c r="T246" s="692"/>
      <c r="U246" s="692"/>
      <c r="V246" s="692"/>
      <c r="W246" s="692"/>
      <c r="X246" s="692"/>
      <c r="Y246" s="692"/>
      <c r="Z246" s="692"/>
      <c r="AA246" s="692"/>
      <c r="AB246" s="692"/>
      <c r="AC246" s="692"/>
    </row>
    <row r="247" spans="1:44" ht="15" customHeight="1" outlineLevel="1" thickBot="1">
      <c r="B247" s="362"/>
      <c r="C247" s="1204"/>
      <c r="D247" s="1205"/>
      <c r="E247" s="1205"/>
      <c r="F247" s="1205"/>
      <c r="G247" s="1205"/>
      <c r="H247" s="1205"/>
      <c r="I247" s="1205"/>
      <c r="J247" s="1205"/>
      <c r="K247" s="1205"/>
      <c r="L247" s="1206"/>
      <c r="M247" s="363"/>
      <c r="N247" s="363"/>
      <c r="P247" s="364"/>
      <c r="Q247" s="365"/>
      <c r="R247" s="366"/>
      <c r="S247" s="1176"/>
      <c r="T247" s="1160"/>
      <c r="U247" s="1161"/>
      <c r="V247" s="1160"/>
      <c r="W247" s="1161"/>
      <c r="X247" s="1160"/>
      <c r="Y247" s="1161"/>
      <c r="Z247" s="1160"/>
      <c r="AA247" s="1161"/>
      <c r="AB247" s="1160"/>
      <c r="AC247" s="1161"/>
      <c r="AE247" s="364"/>
      <c r="AF247" s="365"/>
      <c r="AG247" s="366"/>
      <c r="AH247" s="1176"/>
      <c r="AI247" s="1160"/>
      <c r="AJ247" s="1161"/>
      <c r="AK247" s="1160"/>
      <c r="AL247" s="1161"/>
      <c r="AM247" s="1160"/>
      <c r="AN247" s="1161"/>
      <c r="AO247" s="1160"/>
      <c r="AP247" s="1161"/>
      <c r="AQ247" s="1160"/>
      <c r="AR247" s="1161"/>
    </row>
    <row r="248" spans="1:44" ht="15" customHeight="1" outlineLevel="1" thickBot="1">
      <c r="B248" s="1164"/>
      <c r="C248" s="1166"/>
      <c r="D248" s="1166"/>
      <c r="E248" s="1166"/>
      <c r="F248" s="1166"/>
      <c r="G248" s="1200"/>
      <c r="H248" s="1201"/>
      <c r="I248" s="1200"/>
      <c r="J248" s="1201"/>
      <c r="K248" s="1202"/>
      <c r="L248" s="1202"/>
      <c r="M248" s="367"/>
      <c r="N248" s="367"/>
      <c r="P248" s="1180"/>
      <c r="Q248" s="368"/>
      <c r="R248" s="368"/>
      <c r="S248" s="1177"/>
      <c r="T248" s="1162"/>
      <c r="U248" s="1163"/>
      <c r="V248" s="1162"/>
      <c r="W248" s="1163"/>
      <c r="X248" s="1162"/>
      <c r="Y248" s="1163"/>
      <c r="Z248" s="1162"/>
      <c r="AA248" s="1163"/>
      <c r="AB248" s="1162"/>
      <c r="AC248" s="1163"/>
      <c r="AE248" s="1180"/>
      <c r="AF248" s="368"/>
      <c r="AG248" s="368"/>
      <c r="AH248" s="1177"/>
      <c r="AI248" s="1162"/>
      <c r="AJ248" s="1163"/>
      <c r="AK248" s="1162"/>
      <c r="AL248" s="1163"/>
      <c r="AM248" s="1162"/>
      <c r="AN248" s="1163"/>
      <c r="AO248" s="1162"/>
      <c r="AP248" s="1163"/>
      <c r="AQ248" s="1162"/>
      <c r="AR248" s="1163"/>
    </row>
    <row r="249" spans="1:44" ht="15" outlineLevel="1" thickBot="1">
      <c r="B249" s="1165"/>
      <c r="C249" s="1167"/>
      <c r="D249" s="1167"/>
      <c r="E249" s="1167"/>
      <c r="F249" s="1167"/>
      <c r="G249" s="499"/>
      <c r="H249" s="499"/>
      <c r="I249" s="499"/>
      <c r="J249" s="499"/>
      <c r="K249" s="1203"/>
      <c r="L249" s="1203"/>
      <c r="M249" s="370"/>
      <c r="N249" s="370"/>
      <c r="P249" s="1181"/>
      <c r="Q249" s="1183"/>
      <c r="R249" s="1184"/>
      <c r="S249" s="1178"/>
      <c r="T249" s="1162"/>
      <c r="U249" s="1163"/>
      <c r="V249" s="1162"/>
      <c r="W249" s="1163"/>
      <c r="X249" s="1162"/>
      <c r="Y249" s="1163"/>
      <c r="Z249" s="1162"/>
      <c r="AA249" s="1163"/>
      <c r="AB249" s="1162"/>
      <c r="AC249" s="1163"/>
      <c r="AE249" s="1181"/>
      <c r="AF249" s="1197"/>
      <c r="AG249" s="1184"/>
      <c r="AH249" s="1178"/>
      <c r="AI249" s="1162"/>
      <c r="AJ249" s="1163"/>
      <c r="AK249" s="1162"/>
      <c r="AL249" s="1163"/>
      <c r="AM249" s="1162"/>
      <c r="AN249" s="1163"/>
      <c r="AO249" s="1162"/>
      <c r="AP249" s="1163"/>
      <c r="AQ249" s="1162"/>
      <c r="AR249" s="1163"/>
    </row>
    <row r="250" spans="1:44" ht="14.55" customHeight="1" outlineLevel="1" thickBot="1">
      <c r="B250" s="371"/>
      <c r="C250" s="372"/>
      <c r="D250" s="372"/>
      <c r="E250" s="372"/>
      <c r="F250" s="372"/>
      <c r="G250" s="372"/>
      <c r="H250" s="372"/>
      <c r="I250" s="372"/>
      <c r="J250" s="372"/>
      <c r="K250" s="372"/>
      <c r="L250" s="373"/>
      <c r="M250" s="370"/>
      <c r="N250" s="370"/>
      <c r="O250" s="74"/>
      <c r="P250" s="1182"/>
      <c r="Q250" s="1179"/>
      <c r="R250" s="1185"/>
      <c r="S250" s="1179"/>
      <c r="T250" s="374"/>
      <c r="U250" s="375"/>
      <c r="V250" s="374"/>
      <c r="W250" s="375"/>
      <c r="X250" s="374"/>
      <c r="Y250" s="375"/>
      <c r="Z250" s="374"/>
      <c r="AA250" s="375"/>
      <c r="AB250" s="374"/>
      <c r="AC250" s="375"/>
      <c r="AE250" s="1182"/>
      <c r="AF250" s="1198"/>
      <c r="AG250" s="1185"/>
      <c r="AH250" s="1179"/>
      <c r="AI250" s="374"/>
      <c r="AJ250" s="375"/>
      <c r="AK250" s="374"/>
      <c r="AL250" s="375"/>
      <c r="AM250" s="374"/>
      <c r="AN250" s="375"/>
      <c r="AO250" s="374"/>
      <c r="AP250" s="375"/>
      <c r="AQ250" s="374"/>
      <c r="AR250" s="375"/>
    </row>
    <row r="251" spans="1:44" outlineLevel="1">
      <c r="B251" s="500"/>
      <c r="C251" s="668"/>
      <c r="D251" s="668"/>
      <c r="E251" s="669"/>
      <c r="F251" s="668"/>
      <c r="G251" s="501"/>
      <c r="H251" s="501"/>
      <c r="I251" s="501"/>
      <c r="J251" s="501"/>
      <c r="K251" s="503"/>
      <c r="L251" s="504"/>
      <c r="M251" s="370"/>
      <c r="N251" s="370"/>
      <c r="P251" s="1199"/>
      <c r="Q251" s="1154"/>
      <c r="R251" s="381"/>
      <c r="S251" s="382"/>
      <c r="T251" s="1137"/>
      <c r="U251" s="1151"/>
      <c r="V251" s="1157"/>
      <c r="W251" s="1151"/>
      <c r="X251" s="1157"/>
      <c r="Y251" s="1151"/>
      <c r="Z251" s="1157"/>
      <c r="AA251" s="1151"/>
      <c r="AB251" s="1157"/>
      <c r="AC251" s="1151"/>
      <c r="AE251" s="1148"/>
      <c r="AF251" s="1154"/>
      <c r="AG251" s="381"/>
      <c r="AH251" s="382"/>
      <c r="AI251" s="1137"/>
      <c r="AJ251" s="1151"/>
      <c r="AK251" s="1157"/>
      <c r="AL251" s="1151"/>
      <c r="AM251" s="1157"/>
      <c r="AN251" s="1151"/>
      <c r="AO251" s="1157"/>
      <c r="AP251" s="1151"/>
      <c r="AQ251" s="1157"/>
      <c r="AR251" s="1151"/>
    </row>
    <row r="252" spans="1:44" outlineLevel="1">
      <c r="B252" s="383"/>
      <c r="C252" s="577"/>
      <c r="D252" s="577"/>
      <c r="E252" s="577"/>
      <c r="F252" s="577"/>
      <c r="G252" s="505"/>
      <c r="H252" s="505"/>
      <c r="I252" s="505"/>
      <c r="J252" s="505"/>
      <c r="K252" s="372"/>
      <c r="L252" s="373"/>
      <c r="M252" s="370"/>
      <c r="N252" s="370"/>
      <c r="O252" s="71"/>
      <c r="P252" s="1195"/>
      <c r="Q252" s="1155"/>
      <c r="R252" s="388"/>
      <c r="S252" s="389"/>
      <c r="T252" s="1140"/>
      <c r="U252" s="1152"/>
      <c r="V252" s="1158"/>
      <c r="W252" s="1152"/>
      <c r="X252" s="1158"/>
      <c r="Y252" s="1152"/>
      <c r="Z252" s="1158"/>
      <c r="AA252" s="1152"/>
      <c r="AB252" s="1158"/>
      <c r="AC252" s="1152"/>
      <c r="AE252" s="1195"/>
      <c r="AF252" s="1155"/>
      <c r="AG252" s="388"/>
      <c r="AH252" s="389"/>
      <c r="AI252" s="1140"/>
      <c r="AJ252" s="1152"/>
      <c r="AK252" s="1158"/>
      <c r="AL252" s="1152"/>
      <c r="AM252" s="1158"/>
      <c r="AN252" s="1152"/>
      <c r="AO252" s="1158"/>
      <c r="AP252" s="1152"/>
      <c r="AQ252" s="1158"/>
      <c r="AR252" s="1152"/>
    </row>
    <row r="253" spans="1:44" ht="14.55" customHeight="1" outlineLevel="1" thickBot="1">
      <c r="B253" s="500"/>
      <c r="C253" s="506"/>
      <c r="D253" s="507"/>
      <c r="E253" s="507"/>
      <c r="F253" s="508"/>
      <c r="G253" s="507"/>
      <c r="H253" s="507"/>
      <c r="I253" s="507"/>
      <c r="J253" s="507"/>
      <c r="K253" s="503"/>
      <c r="L253" s="504"/>
      <c r="M253" s="370"/>
      <c r="N253" s="370"/>
      <c r="O253" s="71"/>
      <c r="P253" s="1195"/>
      <c r="Q253" s="1156"/>
      <c r="R253" s="393"/>
      <c r="S253" s="394"/>
      <c r="T253" s="1141"/>
      <c r="U253" s="1153"/>
      <c r="V253" s="1159"/>
      <c r="W253" s="1153"/>
      <c r="X253" s="1159"/>
      <c r="Y253" s="1153"/>
      <c r="Z253" s="1159"/>
      <c r="AA253" s="1153"/>
      <c r="AB253" s="1159"/>
      <c r="AC253" s="1153"/>
      <c r="AE253" s="1195"/>
      <c r="AF253" s="1156"/>
      <c r="AG253" s="393"/>
      <c r="AH253" s="394"/>
      <c r="AI253" s="1141"/>
      <c r="AJ253" s="1153"/>
      <c r="AK253" s="1159"/>
      <c r="AL253" s="1153"/>
      <c r="AM253" s="1159"/>
      <c r="AN253" s="1153"/>
      <c r="AO253" s="1159"/>
      <c r="AP253" s="1153"/>
      <c r="AQ253" s="1159"/>
      <c r="AR253" s="1153"/>
    </row>
    <row r="254" spans="1:44" outlineLevel="1">
      <c r="B254" s="500"/>
      <c r="C254" s="687"/>
      <c r="D254" s="687"/>
      <c r="E254" s="687"/>
      <c r="F254" s="687"/>
      <c r="G254" s="687"/>
      <c r="H254" s="687"/>
      <c r="I254" s="687"/>
      <c r="J254" s="687"/>
      <c r="K254" s="503"/>
      <c r="L254" s="504"/>
      <c r="M254" s="370"/>
      <c r="N254" s="370"/>
      <c r="O254" s="71"/>
      <c r="P254" s="1195"/>
      <c r="Q254" s="1154"/>
      <c r="R254" s="395"/>
      <c r="S254" s="396"/>
      <c r="T254" s="1137"/>
      <c r="U254" s="1137"/>
      <c r="V254" s="1137"/>
      <c r="W254" s="1137"/>
      <c r="X254" s="1137"/>
      <c r="Y254" s="1137"/>
      <c r="Z254" s="1137"/>
      <c r="AA254" s="1137"/>
      <c r="AB254" s="1137"/>
      <c r="AC254" s="1151"/>
      <c r="AE254" s="1195"/>
      <c r="AF254" s="1154"/>
      <c r="AG254" s="395"/>
      <c r="AH254" s="396"/>
      <c r="AI254" s="1137"/>
      <c r="AJ254" s="1137"/>
      <c r="AK254" s="1137"/>
      <c r="AL254" s="1137"/>
      <c r="AM254" s="1137"/>
      <c r="AN254" s="1137"/>
      <c r="AO254" s="1137"/>
      <c r="AP254" s="1137"/>
      <c r="AQ254" s="1137"/>
      <c r="AR254" s="1151"/>
    </row>
    <row r="255" spans="1:44" outlineLevel="1">
      <c r="B255" s="500"/>
      <c r="C255" s="506"/>
      <c r="D255" s="506"/>
      <c r="E255" s="506"/>
      <c r="F255" s="506"/>
      <c r="G255" s="506"/>
      <c r="H255" s="506"/>
      <c r="I255" s="506"/>
      <c r="J255" s="506"/>
      <c r="K255" s="503"/>
      <c r="L255" s="504"/>
      <c r="M255" s="367"/>
      <c r="N255" s="367"/>
      <c r="O255" s="71"/>
      <c r="P255" s="1195"/>
      <c r="Q255" s="1155"/>
      <c r="R255" s="395"/>
      <c r="S255" s="396"/>
      <c r="T255" s="1191"/>
      <c r="U255" s="1191"/>
      <c r="V255" s="1191"/>
      <c r="W255" s="1191"/>
      <c r="X255" s="1191"/>
      <c r="Y255" s="1191"/>
      <c r="Z255" s="1191"/>
      <c r="AA255" s="1191"/>
      <c r="AB255" s="1191"/>
      <c r="AC255" s="1193"/>
      <c r="AE255" s="1195"/>
      <c r="AF255" s="1155"/>
      <c r="AG255" s="395"/>
      <c r="AH255" s="396"/>
      <c r="AI255" s="1191"/>
      <c r="AJ255" s="1191"/>
      <c r="AK255" s="1191"/>
      <c r="AL255" s="1191"/>
      <c r="AM255" s="1191"/>
      <c r="AN255" s="1191"/>
      <c r="AO255" s="1191"/>
      <c r="AP255" s="1191"/>
      <c r="AQ255" s="1191"/>
      <c r="AR255" s="1193"/>
    </row>
    <row r="256" spans="1:44" outlineLevel="1">
      <c r="B256" s="383"/>
      <c r="C256" s="397"/>
      <c r="D256" s="397"/>
      <c r="E256" s="397"/>
      <c r="F256" s="397"/>
      <c r="G256" s="399"/>
      <c r="H256" s="399"/>
      <c r="I256" s="399"/>
      <c r="J256" s="399"/>
      <c r="K256" s="372"/>
      <c r="L256" s="373"/>
      <c r="M256" s="363"/>
      <c r="N256" s="363"/>
      <c r="P256" s="1195"/>
      <c r="Q256" s="1155"/>
      <c r="R256" s="395"/>
      <c r="S256" s="396"/>
      <c r="T256" s="1191"/>
      <c r="U256" s="1191"/>
      <c r="V256" s="1191"/>
      <c r="W256" s="1191"/>
      <c r="X256" s="1191"/>
      <c r="Y256" s="1191"/>
      <c r="Z256" s="1191"/>
      <c r="AA256" s="1191"/>
      <c r="AB256" s="1191"/>
      <c r="AC256" s="1193"/>
      <c r="AE256" s="1195"/>
      <c r="AF256" s="1155"/>
      <c r="AG256" s="395"/>
      <c r="AH256" s="629"/>
      <c r="AI256" s="1191"/>
      <c r="AJ256" s="1191"/>
      <c r="AK256" s="1191"/>
      <c r="AL256" s="1191"/>
      <c r="AM256" s="1191"/>
      <c r="AN256" s="1191"/>
      <c r="AO256" s="1191"/>
      <c r="AP256" s="1191"/>
      <c r="AQ256" s="1191"/>
      <c r="AR256" s="1193"/>
    </row>
    <row r="257" spans="1:44" ht="15" outlineLevel="1" thickBot="1">
      <c r="B257" s="500"/>
      <c r="C257" s="506"/>
      <c r="D257" s="506"/>
      <c r="E257" s="506"/>
      <c r="F257" s="506"/>
      <c r="G257" s="506"/>
      <c r="H257" s="506"/>
      <c r="I257" s="506"/>
      <c r="J257" s="506"/>
      <c r="K257" s="372"/>
      <c r="L257" s="400"/>
      <c r="M257" s="363"/>
      <c r="N257" s="363"/>
      <c r="P257" s="1195"/>
      <c r="Q257" s="1155"/>
      <c r="R257" s="395"/>
      <c r="S257" s="396"/>
      <c r="T257" s="1191"/>
      <c r="U257" s="1191"/>
      <c r="V257" s="1191"/>
      <c r="W257" s="1191"/>
      <c r="X257" s="1191"/>
      <c r="Y257" s="1191"/>
      <c r="Z257" s="1191"/>
      <c r="AA257" s="1191"/>
      <c r="AB257" s="1191"/>
      <c r="AC257" s="1193"/>
      <c r="AE257" s="1195"/>
      <c r="AF257" s="1155"/>
      <c r="AG257" s="395"/>
      <c r="AH257" s="396"/>
      <c r="AI257" s="1191"/>
      <c r="AJ257" s="1191"/>
      <c r="AK257" s="1191"/>
      <c r="AL257" s="1191"/>
      <c r="AM257" s="1191"/>
      <c r="AN257" s="1191"/>
      <c r="AO257" s="1191"/>
      <c r="AP257" s="1191"/>
      <c r="AQ257" s="1191"/>
      <c r="AR257" s="1193"/>
    </row>
    <row r="258" spans="1:44" ht="15" outlineLevel="1" thickBot="1">
      <c r="B258" s="401"/>
      <c r="C258" s="402"/>
      <c r="D258" s="403"/>
      <c r="E258" s="404"/>
      <c r="F258" s="405"/>
      <c r="G258" s="406"/>
      <c r="H258" s="406"/>
      <c r="I258" s="406"/>
      <c r="J258" s="406"/>
      <c r="K258" s="407"/>
      <c r="L258" s="408"/>
      <c r="M258" s="363"/>
      <c r="N258" s="363"/>
      <c r="P258" s="1195"/>
      <c r="Q258" s="1156"/>
      <c r="R258" s="409"/>
      <c r="S258" s="410"/>
      <c r="T258" s="1192"/>
      <c r="U258" s="1192"/>
      <c r="V258" s="1192"/>
      <c r="W258" s="1192"/>
      <c r="X258" s="1192"/>
      <c r="Y258" s="1192"/>
      <c r="Z258" s="1192"/>
      <c r="AA258" s="1192"/>
      <c r="AB258" s="1192"/>
      <c r="AC258" s="1194"/>
      <c r="AE258" s="1195"/>
      <c r="AF258" s="1156"/>
      <c r="AG258" s="409"/>
      <c r="AH258" s="410"/>
      <c r="AI258" s="1192"/>
      <c r="AJ258" s="1192"/>
      <c r="AK258" s="1192"/>
      <c r="AL258" s="1192"/>
      <c r="AM258" s="1192"/>
      <c r="AN258" s="1192"/>
      <c r="AO258" s="1192"/>
      <c r="AP258" s="1192"/>
      <c r="AQ258" s="1192"/>
      <c r="AR258" s="1194"/>
    </row>
    <row r="259" spans="1:44" ht="15" outlineLevel="1" thickBot="1">
      <c r="B259" s="500"/>
      <c r="C259" s="506"/>
      <c r="D259" s="506"/>
      <c r="E259" s="506"/>
      <c r="F259" s="506"/>
      <c r="G259" s="507"/>
      <c r="H259" s="507"/>
      <c r="I259" s="507"/>
      <c r="J259" s="507"/>
      <c r="K259" s="503"/>
      <c r="L259" s="504"/>
      <c r="M259" s="363"/>
      <c r="N259" s="363"/>
      <c r="P259" s="1196"/>
      <c r="Q259" s="411"/>
      <c r="R259" s="412"/>
      <c r="S259" s="630"/>
      <c r="T259" s="416"/>
      <c r="U259" s="415"/>
      <c r="V259" s="416"/>
      <c r="W259" s="415"/>
      <c r="X259" s="416"/>
      <c r="Y259" s="415"/>
      <c r="Z259" s="416"/>
      <c r="AA259" s="415"/>
      <c r="AB259" s="416"/>
      <c r="AC259" s="417"/>
      <c r="AE259" s="1196"/>
      <c r="AF259" s="411"/>
      <c r="AG259" s="695"/>
      <c r="AH259" s="696"/>
      <c r="AI259" s="416"/>
      <c r="AJ259" s="415"/>
      <c r="AK259" s="416"/>
      <c r="AL259" s="415"/>
      <c r="AM259" s="416"/>
      <c r="AN259" s="415"/>
      <c r="AO259" s="416"/>
      <c r="AP259" s="415"/>
      <c r="AQ259" s="416"/>
      <c r="AR259" s="417"/>
    </row>
    <row r="260" spans="1:44" outlineLevel="1">
      <c r="B260" s="500"/>
      <c r="C260" s="506"/>
      <c r="D260" s="506"/>
      <c r="E260" s="506"/>
      <c r="F260" s="506"/>
      <c r="G260" s="509"/>
      <c r="H260" s="509"/>
      <c r="I260" s="509"/>
      <c r="J260" s="509"/>
      <c r="K260" s="510"/>
      <c r="L260" s="504"/>
      <c r="M260" s="363"/>
      <c r="N260" s="363"/>
    </row>
    <row r="261" spans="1:44" outlineLevel="1">
      <c r="B261" s="500"/>
      <c r="C261" s="506"/>
      <c r="D261" s="506"/>
      <c r="E261" s="506"/>
      <c r="F261" s="506"/>
      <c r="G261" s="509"/>
      <c r="H261" s="509"/>
      <c r="I261" s="509"/>
      <c r="J261" s="509"/>
      <c r="K261" s="510"/>
      <c r="L261" s="504"/>
      <c r="M261" s="420"/>
      <c r="N261" s="363"/>
    </row>
    <row r="262" spans="1:44" outlineLevel="1">
      <c r="B262" s="421"/>
      <c r="C262" s="399"/>
      <c r="D262" s="399"/>
      <c r="E262" s="399"/>
      <c r="F262" s="399"/>
      <c r="G262" s="422"/>
      <c r="H262" s="422"/>
      <c r="I262" s="422"/>
      <c r="J262" s="422"/>
      <c r="K262" s="423"/>
      <c r="L262" s="424"/>
      <c r="M262" s="420"/>
      <c r="N262" s="420"/>
    </row>
    <row r="263" spans="1:44" outlineLevel="1">
      <c r="B263" s="383"/>
      <c r="C263" s="397"/>
      <c r="D263" s="397"/>
      <c r="E263" s="397"/>
      <c r="F263" s="397"/>
      <c r="G263" s="422"/>
      <c r="H263" s="425"/>
      <c r="I263" s="425"/>
      <c r="J263" s="425"/>
      <c r="K263" s="426"/>
      <c r="L263" s="427"/>
      <c r="M263" s="428"/>
      <c r="N263" s="428"/>
    </row>
    <row r="264" spans="1:44" outlineLevel="1">
      <c r="B264" s="383"/>
      <c r="C264" s="397"/>
      <c r="D264" s="397"/>
      <c r="E264" s="397"/>
      <c r="F264" s="397"/>
      <c r="G264" s="425"/>
      <c r="H264" s="425"/>
      <c r="I264" s="425"/>
      <c r="J264" s="425"/>
      <c r="K264" s="423"/>
      <c r="L264" s="427"/>
      <c r="M264" s="428"/>
      <c r="N264" s="428"/>
    </row>
    <row r="265" spans="1:44" outlineLevel="1">
      <c r="B265" s="383"/>
      <c r="C265" s="397"/>
      <c r="D265" s="397"/>
      <c r="E265" s="397"/>
      <c r="F265" s="397"/>
      <c r="G265" s="425"/>
      <c r="H265" s="425"/>
      <c r="I265" s="425"/>
      <c r="J265" s="425"/>
      <c r="K265" s="423"/>
      <c r="L265" s="427"/>
      <c r="M265" s="428"/>
      <c r="N265" s="428"/>
    </row>
    <row r="266" spans="1:44" outlineLevel="1">
      <c r="B266" s="383"/>
      <c r="C266" s="397"/>
      <c r="D266" s="397"/>
      <c r="E266" s="397"/>
      <c r="F266" s="397"/>
      <c r="G266" s="425"/>
      <c r="H266" s="425"/>
      <c r="I266" s="425"/>
      <c r="J266" s="425"/>
      <c r="K266" s="423"/>
      <c r="L266" s="427"/>
      <c r="M266" s="428"/>
      <c r="N266" s="428"/>
    </row>
    <row r="267" spans="1:44" ht="15" outlineLevel="1" thickBot="1">
      <c r="B267" s="429"/>
      <c r="C267" s="697"/>
      <c r="D267" s="697"/>
      <c r="E267" s="697"/>
      <c r="F267" s="697"/>
      <c r="G267" s="425"/>
      <c r="H267" s="425"/>
      <c r="I267" s="425"/>
      <c r="J267" s="425"/>
      <c r="K267" s="423"/>
      <c r="L267" s="427"/>
      <c r="M267" s="428"/>
      <c r="N267" s="428"/>
    </row>
    <row r="268" spans="1:44" ht="15" outlineLevel="1" thickBot="1">
      <c r="B268" s="431"/>
      <c r="C268" s="432"/>
      <c r="D268" s="403"/>
      <c r="E268" s="403"/>
      <c r="F268" s="433"/>
      <c r="G268" s="434"/>
      <c r="H268" s="406"/>
      <c r="I268" s="406"/>
      <c r="J268" s="406"/>
      <c r="K268" s="407"/>
      <c r="L268" s="408"/>
      <c r="M268" s="428"/>
      <c r="N268" s="428"/>
    </row>
    <row r="269" spans="1:44" outlineLevel="1">
      <c r="A269" s="435"/>
      <c r="B269" s="436"/>
      <c r="C269" s="551"/>
      <c r="D269" s="647"/>
      <c r="E269" s="647"/>
      <c r="F269" s="648"/>
      <c r="G269" s="425"/>
      <c r="H269" s="425"/>
      <c r="I269" s="425"/>
      <c r="J269" s="425"/>
      <c r="K269" s="426"/>
      <c r="L269" s="440"/>
      <c r="M269" s="420"/>
      <c r="N269" s="420"/>
    </row>
    <row r="270" spans="1:44" outlineLevel="1">
      <c r="B270" s="441"/>
      <c r="C270" s="442"/>
      <c r="D270" s="442"/>
      <c r="E270" s="442"/>
      <c r="F270" s="442"/>
      <c r="G270" s="425"/>
      <c r="H270" s="425"/>
      <c r="I270" s="425"/>
      <c r="J270" s="425"/>
      <c r="K270" s="444"/>
      <c r="L270" s="373"/>
      <c r="M270" s="71"/>
      <c r="N270" s="420"/>
    </row>
    <row r="271" spans="1:44" outlineLevel="1">
      <c r="B271" s="441"/>
      <c r="C271" s="442"/>
      <c r="D271" s="442"/>
      <c r="E271" s="442"/>
      <c r="F271" s="442"/>
      <c r="G271" s="425"/>
      <c r="H271" s="425"/>
      <c r="I271" s="425"/>
      <c r="J271" s="425"/>
      <c r="K271" s="444"/>
      <c r="L271" s="373"/>
      <c r="M271" s="420"/>
      <c r="N271" s="420"/>
    </row>
    <row r="272" spans="1:44" outlineLevel="1">
      <c r="B272" s="383"/>
      <c r="C272" s="445"/>
      <c r="D272" s="446"/>
      <c r="E272" s="446"/>
      <c r="F272" s="447"/>
      <c r="G272" s="425"/>
      <c r="H272" s="425"/>
      <c r="I272" s="425"/>
      <c r="J272" s="425"/>
      <c r="K272" s="448"/>
      <c r="L272" s="373"/>
      <c r="M272" s="420"/>
      <c r="N272" s="420"/>
    </row>
    <row r="273" spans="2:30" outlineLevel="1">
      <c r="B273" s="383"/>
      <c r="C273" s="449"/>
      <c r="D273" s="449"/>
      <c r="E273" s="449"/>
      <c r="F273" s="449"/>
      <c r="G273" s="425"/>
      <c r="H273" s="425"/>
      <c r="I273" s="425"/>
      <c r="J273" s="425"/>
      <c r="K273" s="448"/>
      <c r="L273" s="373"/>
      <c r="M273" s="694"/>
      <c r="N273" s="693"/>
      <c r="P273" s="1142"/>
      <c r="Q273" s="1143"/>
      <c r="R273" s="1143"/>
      <c r="S273" s="1143"/>
      <c r="T273" s="1143"/>
      <c r="U273" s="1144"/>
    </row>
    <row r="274" spans="2:30" ht="15" outlineLevel="1" thickBot="1">
      <c r="B274" s="500"/>
      <c r="C274" s="514"/>
      <c r="D274" s="514"/>
      <c r="E274" s="514"/>
      <c r="F274" s="514"/>
      <c r="G274" s="515"/>
      <c r="H274" s="515"/>
      <c r="I274" s="515"/>
      <c r="J274" s="515"/>
      <c r="K274" s="503"/>
      <c r="L274" s="504"/>
      <c r="M274" s="694"/>
      <c r="N274" s="693"/>
      <c r="P274" s="1134"/>
      <c r="Q274" s="1135"/>
      <c r="R274" s="1135"/>
      <c r="S274" s="1135"/>
      <c r="T274" s="1135"/>
      <c r="U274" s="1136"/>
    </row>
    <row r="275" spans="2:30" outlineLevel="1">
      <c r="B275" s="500"/>
      <c r="C275" s="516"/>
      <c r="D275" s="516"/>
      <c r="E275" s="516"/>
      <c r="F275" s="516"/>
      <c r="G275" s="515"/>
      <c r="H275" s="515"/>
      <c r="I275" s="515"/>
      <c r="J275" s="515"/>
      <c r="K275" s="517"/>
      <c r="L275" s="504"/>
      <c r="M275" s="363"/>
      <c r="N275" s="363"/>
      <c r="P275" s="53"/>
    </row>
    <row r="276" spans="2:30" outlineLevel="1">
      <c r="B276" s="441"/>
      <c r="C276" s="681"/>
      <c r="D276" s="681"/>
      <c r="E276" s="681"/>
      <c r="F276" s="681"/>
      <c r="G276" s="425"/>
      <c r="H276" s="425"/>
      <c r="I276" s="425"/>
      <c r="J276" s="425"/>
      <c r="K276" s="444"/>
      <c r="L276" s="424"/>
      <c r="M276" s="367"/>
      <c r="N276" s="367"/>
      <c r="P276" s="46"/>
      <c r="Q276" s="46"/>
      <c r="R276" s="47"/>
      <c r="S276" s="47"/>
      <c r="T276" s="47"/>
      <c r="U276" s="48"/>
      <c r="V276" s="49"/>
      <c r="W276" s="49"/>
      <c r="X276" s="49"/>
      <c r="Y276" s="49"/>
      <c r="Z276" s="49"/>
      <c r="AA276" s="49"/>
      <c r="AB276" s="49"/>
      <c r="AC276" s="49"/>
      <c r="AD276" s="49"/>
    </row>
    <row r="277" spans="2:30" ht="15" outlineLevel="1" thickBot="1">
      <c r="B277" s="519"/>
      <c r="C277" s="442"/>
      <c r="D277" s="520"/>
      <c r="E277" s="520"/>
      <c r="F277" s="521"/>
      <c r="G277" s="425"/>
      <c r="H277" s="425"/>
      <c r="I277" s="425"/>
      <c r="J277" s="425"/>
      <c r="K277" s="448"/>
      <c r="L277" s="424"/>
      <c r="M277" s="363"/>
      <c r="N277" s="363"/>
      <c r="P277" s="50"/>
      <c r="Q277" s="50"/>
      <c r="R277" s="51"/>
      <c r="S277" s="51"/>
      <c r="T277" s="51"/>
      <c r="U277" s="51"/>
      <c r="V277" s="50"/>
      <c r="W277" s="50"/>
      <c r="X277" s="50"/>
      <c r="Y277" s="50"/>
      <c r="Z277" s="50"/>
      <c r="AA277" s="50"/>
      <c r="AB277" s="50"/>
      <c r="AC277" s="50"/>
      <c r="AD277" s="50"/>
    </row>
    <row r="278" spans="2:30" ht="15" outlineLevel="1" thickBot="1">
      <c r="B278" s="401"/>
      <c r="C278" s="402"/>
      <c r="D278" s="403"/>
      <c r="E278" s="404"/>
      <c r="F278" s="405"/>
      <c r="G278" s="406"/>
      <c r="H278" s="406"/>
      <c r="I278" s="406"/>
      <c r="J278" s="406"/>
      <c r="K278" s="459"/>
      <c r="L278" s="460"/>
      <c r="M278" s="363"/>
      <c r="N278" s="363"/>
      <c r="O278" s="461"/>
      <c r="P278" s="56"/>
      <c r="Q278" s="56"/>
      <c r="R278" s="57"/>
      <c r="S278" s="57"/>
      <c r="T278" s="57"/>
      <c r="U278" s="56"/>
      <c r="V278" s="56"/>
      <c r="W278" s="56"/>
      <c r="X278" s="56"/>
      <c r="Y278" s="56"/>
      <c r="Z278" s="56"/>
      <c r="AA278" s="56"/>
      <c r="AB278" s="56"/>
      <c r="AC278" s="56"/>
      <c r="AD278" s="56"/>
    </row>
    <row r="279" spans="2:30" outlineLevel="1">
      <c r="B279" s="522"/>
      <c r="C279" s="670"/>
      <c r="D279" s="670"/>
      <c r="E279" s="670"/>
      <c r="F279" s="670"/>
      <c r="G279" s="524"/>
      <c r="H279" s="524"/>
      <c r="I279" s="524"/>
      <c r="J279" s="524"/>
      <c r="K279" s="524"/>
      <c r="L279" s="525"/>
      <c r="M279" s="363"/>
      <c r="N279" s="363"/>
      <c r="O279" s="465"/>
      <c r="P279" s="466"/>
      <c r="Q279" s="58"/>
      <c r="R279" s="466"/>
      <c r="S279" s="58"/>
      <c r="T279" s="466"/>
      <c r="U279" s="467"/>
      <c r="V279" s="467"/>
      <c r="W279" s="467"/>
      <c r="X279" s="58"/>
      <c r="Y279" s="58"/>
      <c r="Z279" s="466"/>
      <c r="AA279" s="468"/>
      <c r="AB279" s="468"/>
      <c r="AC279" s="468"/>
      <c r="AD279" s="468"/>
    </row>
    <row r="280" spans="2:30" outlineLevel="1">
      <c r="B280" s="500"/>
      <c r="C280" s="526"/>
      <c r="D280" s="527"/>
      <c r="E280" s="527"/>
      <c r="F280" s="528"/>
      <c r="G280" s="528"/>
      <c r="H280" s="528"/>
      <c r="I280" s="528"/>
      <c r="J280" s="528"/>
      <c r="K280" s="529"/>
      <c r="L280" s="525"/>
      <c r="M280" s="363"/>
      <c r="N280" s="363"/>
      <c r="O280" s="465"/>
      <c r="P280" s="466"/>
      <c r="Q280" s="58"/>
      <c r="R280" s="466"/>
      <c r="S280" s="58"/>
      <c r="T280" s="466"/>
      <c r="U280" s="467"/>
      <c r="V280" s="467"/>
      <c r="W280" s="467"/>
      <c r="X280" s="58"/>
      <c r="Y280" s="58"/>
      <c r="Z280" s="466"/>
      <c r="AA280" s="468"/>
      <c r="AB280" s="468"/>
      <c r="AC280" s="468"/>
      <c r="AD280" s="468"/>
    </row>
    <row r="281" spans="2:30" outlineLevel="1">
      <c r="B281" s="500"/>
      <c r="C281" s="526"/>
      <c r="D281" s="527"/>
      <c r="E281" s="527"/>
      <c r="F281" s="528"/>
      <c r="G281" s="515"/>
      <c r="H281" s="515"/>
      <c r="I281" s="515"/>
      <c r="J281" s="515"/>
      <c r="K281" s="515"/>
      <c r="L281" s="504"/>
      <c r="M281" s="363"/>
      <c r="N281" s="363"/>
      <c r="O281" s="465"/>
      <c r="P281" s="466"/>
      <c r="Q281" s="58"/>
      <c r="R281" s="466"/>
      <c r="S281" s="58"/>
      <c r="T281" s="466"/>
      <c r="U281" s="467"/>
      <c r="V281" s="467"/>
      <c r="W281" s="467"/>
      <c r="X281" s="58"/>
      <c r="Y281" s="58"/>
      <c r="Z281" s="466"/>
      <c r="AA281" s="468"/>
      <c r="AB281" s="468"/>
      <c r="AC281" s="468"/>
      <c r="AD281" s="468"/>
    </row>
    <row r="282" spans="2:30" outlineLevel="1">
      <c r="B282" s="500"/>
      <c r="C282" s="685"/>
      <c r="D282" s="530"/>
      <c r="E282" s="530"/>
      <c r="F282" s="530"/>
      <c r="G282" s="531"/>
      <c r="H282" s="531"/>
      <c r="I282" s="531"/>
      <c r="J282" s="531"/>
      <c r="K282" s="531"/>
      <c r="L282" s="504"/>
      <c r="M282" s="363"/>
      <c r="N282" s="363"/>
      <c r="O282" s="465"/>
      <c r="P282" s="466"/>
      <c r="Q282" s="58"/>
      <c r="R282" s="466"/>
      <c r="S282" s="58"/>
      <c r="T282" s="466"/>
      <c r="U282" s="467"/>
      <c r="V282" s="467"/>
      <c r="W282" s="467"/>
      <c r="X282" s="58"/>
      <c r="Y282" s="58"/>
      <c r="Z282" s="466"/>
      <c r="AA282" s="468"/>
      <c r="AB282" s="468"/>
      <c r="AC282" s="468"/>
      <c r="AD282" s="468"/>
    </row>
    <row r="283" spans="2:30" outlineLevel="1">
      <c r="B283" s="532"/>
      <c r="C283" s="526"/>
      <c r="D283" s="527"/>
      <c r="E283" s="527"/>
      <c r="F283" s="528"/>
      <c r="G283" s="531"/>
      <c r="H283" s="531"/>
      <c r="I283" s="531"/>
      <c r="J283" s="531"/>
      <c r="K283" s="531"/>
      <c r="L283" s="533"/>
      <c r="M283" s="367"/>
      <c r="N283" s="367"/>
    </row>
    <row r="284" spans="2:30" outlineLevel="1">
      <c r="B284" s="532"/>
      <c r="C284" s="526"/>
      <c r="D284" s="527"/>
      <c r="E284" s="527"/>
      <c r="F284" s="528"/>
      <c r="G284" s="531"/>
      <c r="H284" s="531"/>
      <c r="I284" s="531"/>
      <c r="J284" s="531"/>
      <c r="K284" s="531"/>
      <c r="L284" s="533"/>
      <c r="M284" s="363"/>
      <c r="N284" s="363"/>
    </row>
    <row r="285" spans="2:30" ht="15" outlineLevel="1" thickBot="1">
      <c r="B285" s="534"/>
      <c r="C285" s="535"/>
      <c r="D285" s="536"/>
      <c r="E285" s="536"/>
      <c r="F285" s="537"/>
      <c r="G285" s="538"/>
      <c r="H285" s="538"/>
      <c r="I285" s="538"/>
      <c r="J285" s="538"/>
      <c r="K285" s="538"/>
      <c r="L285" s="539"/>
      <c r="M285" s="363"/>
      <c r="N285" s="363"/>
    </row>
    <row r="286" spans="2:30" outlineLevel="1">
      <c r="B286" s="461"/>
      <c r="C286" s="483"/>
      <c r="D286" s="483"/>
      <c r="E286" s="483"/>
      <c r="F286" s="483"/>
      <c r="G286" s="483"/>
      <c r="H286" s="484"/>
      <c r="I286" s="420"/>
      <c r="J286" s="420"/>
      <c r="K286" s="484"/>
      <c r="L286" s="484"/>
      <c r="N286" s="420"/>
    </row>
    <row r="287" spans="2:30" outlineLevel="1">
      <c r="B287" s="485"/>
      <c r="C287" s="486"/>
      <c r="D287" s="486"/>
      <c r="E287" s="486"/>
      <c r="F287" s="486"/>
      <c r="G287" s="486"/>
      <c r="H287" s="484"/>
      <c r="I287" s="71"/>
      <c r="J287" s="420"/>
      <c r="K287" s="484"/>
      <c r="L287" s="484"/>
      <c r="N287" s="420"/>
    </row>
    <row r="288" spans="2:30" outlineLevel="1">
      <c r="B288" s="461"/>
      <c r="C288" s="359"/>
      <c r="D288" s="359"/>
      <c r="E288" s="359"/>
      <c r="F288" s="359"/>
      <c r="G288" s="359"/>
      <c r="I288" s="420"/>
      <c r="J288" s="420"/>
      <c r="N288" s="420"/>
    </row>
    <row r="289" spans="1:15" outlineLevel="1">
      <c r="B289" s="461"/>
      <c r="C289" s="487"/>
      <c r="D289" s="487"/>
      <c r="E289" s="487"/>
      <c r="F289" s="487"/>
      <c r="G289" s="359"/>
      <c r="M289" s="420"/>
      <c r="N289" s="420"/>
    </row>
    <row r="290" spans="1:15" outlineLevel="1">
      <c r="A290" s="488"/>
      <c r="B290" s="489"/>
      <c r="D290" s="490"/>
      <c r="E290" s="490"/>
      <c r="F290" s="490"/>
      <c r="G290" s="358"/>
      <c r="H290" s="358"/>
      <c r="I290" s="358"/>
      <c r="J290" s="358"/>
      <c r="K290" s="358"/>
      <c r="L290" s="358"/>
    </row>
    <row r="291" spans="1:15" outlineLevel="1">
      <c r="A291" s="491"/>
      <c r="B291" s="492"/>
      <c r="D291" s="490"/>
      <c r="E291" s="490"/>
      <c r="F291" s="490"/>
      <c r="G291" s="358"/>
      <c r="H291" s="358"/>
      <c r="I291" s="358"/>
      <c r="J291" s="358"/>
      <c r="K291" s="358"/>
      <c r="L291" s="358"/>
    </row>
    <row r="292" spans="1:15" outlineLevel="1">
      <c r="A292" s="491"/>
      <c r="B292" s="493"/>
      <c r="D292" s="490"/>
      <c r="E292" s="490"/>
      <c r="F292" s="490"/>
      <c r="G292" s="358"/>
      <c r="H292" s="358"/>
      <c r="I292" s="358"/>
      <c r="J292" s="358"/>
      <c r="K292" s="358"/>
      <c r="L292" s="358"/>
    </row>
    <row r="293" spans="1:15" outlineLevel="1">
      <c r="A293" s="491"/>
      <c r="B293" s="488"/>
      <c r="C293" s="489"/>
      <c r="E293" s="358"/>
      <c r="F293" s="490"/>
      <c r="G293" s="358"/>
      <c r="H293" s="358"/>
      <c r="I293" s="358"/>
      <c r="J293" s="358"/>
      <c r="K293" s="358"/>
      <c r="L293" s="358"/>
    </row>
    <row r="294" spans="1:15" outlineLevel="1">
      <c r="A294" s="491"/>
      <c r="B294" s="491"/>
      <c r="C294" s="492"/>
      <c r="E294" s="358"/>
      <c r="F294" s="490"/>
      <c r="G294" s="358"/>
      <c r="H294" s="358"/>
      <c r="I294" s="358"/>
      <c r="J294" s="358"/>
      <c r="K294" s="358"/>
      <c r="L294" s="358"/>
    </row>
    <row r="295" spans="1:15" outlineLevel="1">
      <c r="A295" s="358"/>
      <c r="B295" s="491"/>
      <c r="C295" s="493"/>
      <c r="E295" s="358"/>
      <c r="F295" s="490"/>
      <c r="G295" s="358"/>
      <c r="H295" s="358"/>
      <c r="I295" s="358"/>
      <c r="J295" s="358"/>
      <c r="K295" s="358"/>
      <c r="L295" s="358"/>
      <c r="M295" s="570"/>
      <c r="N295" s="489"/>
      <c r="O295" s="490"/>
    </row>
    <row r="296" spans="1:15" outlineLevel="1">
      <c r="A296" s="358"/>
      <c r="B296" s="491"/>
      <c r="C296" s="493"/>
      <c r="E296" s="358"/>
      <c r="F296" s="490"/>
      <c r="G296" s="358"/>
      <c r="H296" s="358"/>
      <c r="I296" s="358"/>
      <c r="J296" s="358"/>
      <c r="K296" s="358"/>
      <c r="L296" s="358"/>
      <c r="O296" s="490"/>
    </row>
    <row r="297" spans="1:15" outlineLevel="1">
      <c r="A297" s="358"/>
      <c r="B297" s="491"/>
      <c r="C297" s="493"/>
      <c r="E297" s="358"/>
      <c r="F297" s="490"/>
      <c r="G297" s="358"/>
      <c r="H297" s="358"/>
      <c r="I297" s="358"/>
      <c r="J297" s="358"/>
      <c r="K297" s="358"/>
      <c r="L297" s="358"/>
      <c r="O297" s="490"/>
    </row>
    <row r="298" spans="1:15" outlineLevel="1">
      <c r="A298" s="358"/>
      <c r="B298" s="358"/>
      <c r="C298" s="494"/>
      <c r="F298" s="490"/>
      <c r="G298" s="358"/>
      <c r="H298" s="358"/>
      <c r="I298" s="358"/>
      <c r="J298" s="358"/>
      <c r="K298" s="358"/>
      <c r="L298" s="358"/>
      <c r="O298" s="490"/>
    </row>
    <row r="299" spans="1:15" outlineLevel="1">
      <c r="A299" s="358"/>
      <c r="B299" s="358"/>
      <c r="C299" s="492"/>
      <c r="F299" s="490"/>
      <c r="G299" s="358"/>
      <c r="H299" s="358"/>
      <c r="I299" s="358"/>
      <c r="J299" s="358"/>
      <c r="K299" s="358"/>
      <c r="L299" s="358"/>
      <c r="O299" s="490"/>
    </row>
    <row r="300" spans="1:15" outlineLevel="1">
      <c r="A300" s="358"/>
      <c r="B300" s="358"/>
      <c r="C300" s="495"/>
      <c r="F300" s="490"/>
      <c r="G300" s="358"/>
      <c r="H300" s="358"/>
      <c r="I300" s="358"/>
      <c r="J300" s="358"/>
      <c r="K300" s="358"/>
      <c r="L300" s="358"/>
      <c r="O300" s="490"/>
    </row>
    <row r="301" spans="1:15" outlineLevel="1">
      <c r="A301" s="488"/>
      <c r="B301" s="358"/>
      <c r="C301" s="495"/>
      <c r="F301" s="490"/>
      <c r="G301" s="358"/>
      <c r="H301" s="358"/>
      <c r="I301" s="358"/>
      <c r="J301" s="358"/>
      <c r="K301" s="358"/>
      <c r="L301" s="358"/>
      <c r="O301" s="490"/>
    </row>
    <row r="302" spans="1:15" outlineLevel="1">
      <c r="A302" s="488"/>
      <c r="B302" s="358"/>
      <c r="C302" s="489"/>
      <c r="F302" s="490"/>
      <c r="G302" s="358"/>
      <c r="H302" s="358"/>
      <c r="I302" s="358"/>
      <c r="J302" s="358"/>
      <c r="K302" s="358"/>
      <c r="L302" s="358"/>
      <c r="O302" s="490"/>
    </row>
    <row r="303" spans="1:15" outlineLevel="1">
      <c r="A303" s="488"/>
      <c r="B303" s="358"/>
      <c r="C303" s="490"/>
      <c r="F303" s="490"/>
      <c r="G303" s="358"/>
      <c r="H303" s="358"/>
      <c r="I303" s="358"/>
      <c r="J303" s="358"/>
      <c r="K303" s="358"/>
      <c r="L303" s="358"/>
      <c r="O303" s="490"/>
    </row>
    <row r="304" spans="1:15" outlineLevel="1">
      <c r="A304" s="488"/>
      <c r="B304" s="488"/>
      <c r="C304" s="489"/>
      <c r="F304" s="490"/>
      <c r="G304" s="358"/>
      <c r="H304" s="358"/>
      <c r="I304" s="358"/>
      <c r="J304" s="358"/>
      <c r="K304" s="358"/>
      <c r="L304" s="358"/>
      <c r="O304" s="490"/>
    </row>
    <row r="305" spans="1:15" outlineLevel="1">
      <c r="A305" s="488"/>
      <c r="B305" s="496"/>
      <c r="C305" s="497"/>
      <c r="D305" s="489"/>
      <c r="F305" s="490"/>
      <c r="G305" s="358"/>
      <c r="H305" s="358"/>
      <c r="I305" s="358"/>
      <c r="J305" s="358"/>
      <c r="K305" s="358"/>
      <c r="L305" s="358"/>
      <c r="O305" s="490"/>
    </row>
    <row r="306" spans="1:15" outlineLevel="1">
      <c r="A306" s="488"/>
      <c r="B306" s="496"/>
      <c r="C306" s="489"/>
      <c r="D306" s="489"/>
      <c r="F306" s="490"/>
      <c r="G306" s="358"/>
      <c r="H306" s="358"/>
      <c r="I306" s="358"/>
      <c r="J306" s="358"/>
      <c r="K306" s="358"/>
      <c r="L306" s="358"/>
      <c r="O306" s="490"/>
    </row>
    <row r="307" spans="1:15" outlineLevel="1">
      <c r="A307" s="488"/>
      <c r="B307" s="496"/>
      <c r="C307" s="489"/>
      <c r="D307" s="489"/>
      <c r="F307" s="490"/>
      <c r="G307" s="358"/>
      <c r="H307" s="358"/>
      <c r="I307" s="358"/>
      <c r="J307" s="358"/>
      <c r="K307" s="358"/>
      <c r="L307" s="358"/>
      <c r="O307" s="490"/>
    </row>
    <row r="308" spans="1:15" outlineLevel="1">
      <c r="A308" s="488"/>
      <c r="B308" s="496"/>
      <c r="C308" s="489"/>
      <c r="D308" s="489"/>
      <c r="F308" s="490"/>
      <c r="G308" s="358"/>
      <c r="H308" s="358"/>
      <c r="I308" s="358"/>
      <c r="J308" s="358"/>
      <c r="K308" s="358"/>
      <c r="L308" s="358"/>
      <c r="O308" s="490"/>
    </row>
    <row r="309" spans="1:15" outlineLevel="1">
      <c r="A309" s="488"/>
      <c r="B309" s="496"/>
      <c r="C309" s="489"/>
      <c r="D309" s="489"/>
      <c r="F309" s="490"/>
      <c r="G309" s="358"/>
      <c r="H309" s="358"/>
      <c r="I309" s="358"/>
      <c r="J309" s="358"/>
      <c r="K309" s="358"/>
      <c r="L309" s="358"/>
      <c r="O309" s="490"/>
    </row>
    <row r="310" spans="1:15" outlineLevel="1">
      <c r="A310" s="488"/>
      <c r="B310" s="496"/>
      <c r="C310" s="489"/>
      <c r="D310" s="489"/>
      <c r="F310" s="490"/>
      <c r="G310" s="358"/>
      <c r="H310" s="358"/>
      <c r="I310" s="358"/>
      <c r="J310" s="358"/>
      <c r="K310" s="358"/>
      <c r="L310" s="358"/>
      <c r="O310" s="490"/>
    </row>
    <row r="311" spans="1:15" outlineLevel="1">
      <c r="A311" s="488"/>
      <c r="B311" s="496"/>
      <c r="C311" s="489"/>
      <c r="D311" s="489"/>
      <c r="F311" s="490"/>
      <c r="G311" s="358"/>
      <c r="H311" s="358"/>
      <c r="I311" s="358"/>
      <c r="J311" s="358"/>
      <c r="K311" s="358"/>
      <c r="L311" s="358"/>
      <c r="O311" s="490"/>
    </row>
    <row r="312" spans="1:15" outlineLevel="1">
      <c r="A312" s="488"/>
      <c r="B312" s="496"/>
      <c r="C312" s="489"/>
      <c r="D312" s="489"/>
      <c r="F312" s="490"/>
      <c r="G312" s="358"/>
      <c r="H312" s="358"/>
      <c r="I312" s="358"/>
      <c r="J312" s="358"/>
      <c r="K312" s="358"/>
      <c r="L312" s="358"/>
      <c r="O312" s="490"/>
    </row>
    <row r="313" spans="1:15" outlineLevel="1">
      <c r="A313" s="488"/>
      <c r="B313" s="496"/>
      <c r="C313" s="498"/>
      <c r="D313" s="489"/>
      <c r="F313" s="490"/>
      <c r="G313" s="358"/>
      <c r="H313" s="358"/>
      <c r="I313" s="358"/>
      <c r="J313" s="358"/>
      <c r="K313" s="358"/>
      <c r="L313" s="358"/>
      <c r="O313" s="490"/>
    </row>
    <row r="314" spans="1:15" outlineLevel="1">
      <c r="A314" s="488"/>
      <c r="B314" s="496"/>
      <c r="C314" s="489"/>
      <c r="D314" s="489"/>
      <c r="F314" s="490"/>
      <c r="G314" s="358"/>
      <c r="H314" s="358"/>
      <c r="I314" s="358"/>
      <c r="J314" s="358"/>
      <c r="K314" s="358"/>
      <c r="L314" s="358"/>
      <c r="O314" s="490"/>
    </row>
    <row r="315" spans="1:15" outlineLevel="1">
      <c r="A315" s="496"/>
      <c r="B315" s="496"/>
      <c r="C315" s="489"/>
      <c r="D315" s="489"/>
      <c r="F315" s="490"/>
      <c r="G315" s="358"/>
      <c r="H315" s="358"/>
      <c r="I315" s="358"/>
      <c r="J315" s="358"/>
      <c r="K315" s="358"/>
      <c r="L315" s="358"/>
      <c r="M315" s="570"/>
      <c r="N315" s="489"/>
      <c r="O315" s="490"/>
    </row>
    <row r="316" spans="1:15" outlineLevel="1">
      <c r="A316" s="496"/>
      <c r="F316" s="490"/>
      <c r="G316" s="358"/>
      <c r="H316" s="358"/>
      <c r="I316" s="358"/>
      <c r="J316" s="358"/>
      <c r="K316" s="358"/>
      <c r="L316" s="358"/>
      <c r="M316" s="571"/>
      <c r="N316" s="489"/>
      <c r="O316" s="490"/>
    </row>
    <row r="317" spans="1:15" outlineLevel="1">
      <c r="A317" s="496"/>
      <c r="B317" s="489"/>
      <c r="D317" s="490"/>
      <c r="E317" s="490"/>
      <c r="F317" s="490"/>
      <c r="G317" s="358"/>
      <c r="H317" s="358"/>
      <c r="I317" s="358"/>
      <c r="J317" s="358"/>
      <c r="K317" s="358"/>
      <c r="L317" s="358"/>
      <c r="M317" s="572"/>
      <c r="N317" s="489"/>
      <c r="O317" s="490"/>
    </row>
    <row r="318" spans="1:15" outlineLevel="1">
      <c r="A318" s="496"/>
      <c r="B318" s="498"/>
      <c r="D318" s="490"/>
      <c r="E318" s="490"/>
      <c r="F318" s="490"/>
      <c r="G318" s="358"/>
      <c r="H318" s="358"/>
      <c r="I318" s="358"/>
      <c r="J318" s="358"/>
      <c r="K318" s="358"/>
      <c r="L318" s="358"/>
      <c r="M318" s="573"/>
      <c r="N318" s="489"/>
      <c r="O318" s="490"/>
    </row>
    <row r="319" spans="1:15" outlineLevel="1">
      <c r="A319" s="496"/>
      <c r="B319" s="489"/>
      <c r="D319" s="490"/>
      <c r="E319" s="490"/>
      <c r="F319" s="490"/>
      <c r="G319" s="358"/>
      <c r="H319" s="358"/>
      <c r="I319" s="358"/>
      <c r="J319" s="358"/>
      <c r="K319" s="358"/>
      <c r="L319" s="358"/>
      <c r="M319" s="573"/>
      <c r="N319" s="490"/>
      <c r="O319" s="490"/>
    </row>
    <row r="320" spans="1:15" outlineLevel="1">
      <c r="A320" s="496"/>
      <c r="B320" s="489"/>
      <c r="D320" s="490"/>
      <c r="E320" s="490"/>
      <c r="F320" s="490"/>
      <c r="G320" s="358"/>
      <c r="H320" s="358"/>
      <c r="I320" s="358"/>
      <c r="J320" s="358"/>
      <c r="K320" s="358"/>
      <c r="L320" s="358"/>
      <c r="M320" s="489"/>
      <c r="N320" s="490"/>
      <c r="O320" s="490"/>
    </row>
    <row r="321" spans="1:44" outlineLevel="1"/>
    <row r="324" spans="1:44" ht="15" thickBot="1">
      <c r="A324" s="360"/>
    </row>
    <row r="325" spans="1:44" ht="20.55" customHeight="1" thickBot="1">
      <c r="B325" s="362"/>
      <c r="C325" s="1186"/>
      <c r="D325" s="1187"/>
      <c r="E325" s="1187"/>
      <c r="F325" s="1187"/>
      <c r="G325" s="1187"/>
      <c r="H325" s="1187"/>
      <c r="I325" s="1187"/>
      <c r="J325" s="1187"/>
      <c r="K325" s="1187"/>
      <c r="L325" s="1188"/>
      <c r="M325" s="363"/>
      <c r="N325" s="363"/>
      <c r="P325" s="364"/>
      <c r="Q325" s="365"/>
      <c r="R325" s="366"/>
      <c r="S325" s="1176"/>
      <c r="T325" s="1160"/>
      <c r="U325" s="1161"/>
      <c r="V325" s="1160"/>
      <c r="W325" s="1161"/>
      <c r="X325" s="1160"/>
      <c r="Y325" s="1161"/>
      <c r="Z325" s="1160"/>
      <c r="AA325" s="1161"/>
      <c r="AB325" s="1160"/>
      <c r="AC325" s="1161"/>
      <c r="AE325" s="364"/>
      <c r="AF325" s="365"/>
      <c r="AG325" s="366"/>
      <c r="AH325" s="1176"/>
      <c r="AI325" s="1160"/>
      <c r="AJ325" s="1161"/>
      <c r="AK325" s="1160"/>
      <c r="AL325" s="1161"/>
      <c r="AM325" s="1160"/>
      <c r="AN325" s="1161"/>
      <c r="AO325" s="1160"/>
      <c r="AP325" s="1161"/>
      <c r="AQ325" s="1160"/>
      <c r="AR325" s="1161"/>
    </row>
    <row r="326" spans="1:44" ht="15" customHeight="1" thickBot="1">
      <c r="B326" s="1164"/>
      <c r="C326" s="1166"/>
      <c r="D326" s="1166"/>
      <c r="E326" s="1166"/>
      <c r="F326" s="1166"/>
      <c r="G326" s="1168"/>
      <c r="H326" s="1169"/>
      <c r="I326" s="1168"/>
      <c r="J326" s="1169"/>
      <c r="K326" s="1189"/>
      <c r="L326" s="1189"/>
      <c r="M326" s="367"/>
      <c r="N326" s="367"/>
      <c r="P326" s="1180"/>
      <c r="Q326" s="368"/>
      <c r="R326" s="368"/>
      <c r="S326" s="1177"/>
      <c r="T326" s="1162"/>
      <c r="U326" s="1163"/>
      <c r="V326" s="1162"/>
      <c r="W326" s="1163"/>
      <c r="X326" s="1162"/>
      <c r="Y326" s="1163"/>
      <c r="Z326" s="1162"/>
      <c r="AA326" s="1163"/>
      <c r="AB326" s="1162"/>
      <c r="AC326" s="1163"/>
      <c r="AE326" s="1180"/>
      <c r="AF326" s="368"/>
      <c r="AG326" s="368"/>
      <c r="AH326" s="1177"/>
      <c r="AI326" s="1162"/>
      <c r="AJ326" s="1163"/>
      <c r="AK326" s="1162"/>
      <c r="AL326" s="1163"/>
      <c r="AM326" s="1162"/>
      <c r="AN326" s="1163"/>
      <c r="AO326" s="1162"/>
      <c r="AP326" s="1163"/>
      <c r="AQ326" s="1162"/>
      <c r="AR326" s="1163"/>
    </row>
    <row r="327" spans="1:44" ht="15" customHeight="1" thickBot="1">
      <c r="B327" s="1165"/>
      <c r="C327" s="1167"/>
      <c r="D327" s="1167"/>
      <c r="E327" s="1167"/>
      <c r="F327" s="1167"/>
      <c r="G327" s="406"/>
      <c r="H327" s="406"/>
      <c r="I327" s="406"/>
      <c r="J327" s="406"/>
      <c r="K327" s="1190"/>
      <c r="L327" s="1190"/>
      <c r="M327" s="370"/>
      <c r="N327" s="370"/>
      <c r="P327" s="1181"/>
      <c r="Q327" s="1183"/>
      <c r="R327" s="1184"/>
      <c r="S327" s="1178"/>
      <c r="T327" s="1162"/>
      <c r="U327" s="1163"/>
      <c r="V327" s="1162"/>
      <c r="W327" s="1163"/>
      <c r="X327" s="1162"/>
      <c r="Y327" s="1163"/>
      <c r="Z327" s="1162"/>
      <c r="AA327" s="1163"/>
      <c r="AB327" s="1162"/>
      <c r="AC327" s="1163"/>
      <c r="AE327" s="1181"/>
      <c r="AF327" s="1183"/>
      <c r="AG327" s="1184"/>
      <c r="AH327" s="1178"/>
      <c r="AI327" s="1162"/>
      <c r="AJ327" s="1163"/>
      <c r="AK327" s="1162"/>
      <c r="AL327" s="1163"/>
      <c r="AM327" s="1162"/>
      <c r="AN327" s="1163"/>
      <c r="AO327" s="1162"/>
      <c r="AP327" s="1163"/>
      <c r="AQ327" s="1162"/>
      <c r="AR327" s="1163"/>
    </row>
    <row r="328" spans="1:44" ht="15" thickBot="1">
      <c r="B328" s="371"/>
      <c r="C328" s="372"/>
      <c r="D328" s="372"/>
      <c r="E328" s="372"/>
      <c r="F328" s="372"/>
      <c r="G328" s="372"/>
      <c r="H328" s="372"/>
      <c r="I328" s="372"/>
      <c r="J328" s="372"/>
      <c r="K328" s="372"/>
      <c r="L328" s="373"/>
      <c r="M328" s="370"/>
      <c r="N328" s="370"/>
      <c r="O328" s="74"/>
      <c r="P328" s="1182"/>
      <c r="Q328" s="1179"/>
      <c r="R328" s="1185"/>
      <c r="S328" s="1179"/>
      <c r="T328" s="374"/>
      <c r="U328" s="375"/>
      <c r="V328" s="374"/>
      <c r="W328" s="375"/>
      <c r="X328" s="374"/>
      <c r="Y328" s="375"/>
      <c r="Z328" s="374"/>
      <c r="AA328" s="375"/>
      <c r="AB328" s="374"/>
      <c r="AC328" s="375"/>
      <c r="AE328" s="1182"/>
      <c r="AF328" s="1179"/>
      <c r="AG328" s="1185"/>
      <c r="AH328" s="1179"/>
      <c r="AI328" s="374"/>
      <c r="AJ328" s="375"/>
      <c r="AK328" s="374"/>
      <c r="AL328" s="375"/>
      <c r="AM328" s="374"/>
      <c r="AN328" s="375"/>
      <c r="AO328" s="374"/>
      <c r="AP328" s="375"/>
      <c r="AQ328" s="374"/>
      <c r="AR328" s="375"/>
    </row>
    <row r="329" spans="1:44" ht="14.55" customHeight="1">
      <c r="B329" s="574"/>
      <c r="C329" s="575"/>
      <c r="D329" s="575"/>
      <c r="E329" s="575"/>
      <c r="F329" s="575"/>
      <c r="G329" s="576"/>
      <c r="H329" s="576"/>
      <c r="I329" s="576"/>
      <c r="J329" s="576"/>
      <c r="K329" s="372"/>
      <c r="L329" s="373"/>
      <c r="M329" s="370"/>
      <c r="N329" s="370"/>
      <c r="P329" s="1148"/>
      <c r="Q329" s="1154"/>
      <c r="R329" s="381"/>
      <c r="S329" s="382"/>
      <c r="T329" s="1137"/>
      <c r="U329" s="1151"/>
      <c r="V329" s="1137"/>
      <c r="W329" s="1151"/>
      <c r="X329" s="1137"/>
      <c r="Y329" s="1151"/>
      <c r="Z329" s="1137"/>
      <c r="AA329" s="1151"/>
      <c r="AB329" s="1157"/>
      <c r="AC329" s="1151"/>
      <c r="AE329" s="1148"/>
      <c r="AF329" s="1154"/>
      <c r="AG329" s="381"/>
      <c r="AH329" s="382"/>
      <c r="AI329" s="1137"/>
      <c r="AJ329" s="1151"/>
      <c r="AK329" s="1137"/>
      <c r="AL329" s="1151"/>
      <c r="AM329" s="1137"/>
      <c r="AN329" s="1151"/>
      <c r="AO329" s="1137"/>
      <c r="AP329" s="1151"/>
      <c r="AQ329" s="1157"/>
      <c r="AR329" s="1151"/>
    </row>
    <row r="330" spans="1:44">
      <c r="B330" s="383"/>
      <c r="C330" s="577"/>
      <c r="D330" s="577"/>
      <c r="E330" s="577"/>
      <c r="F330" s="577"/>
      <c r="G330" s="576"/>
      <c r="H330" s="576"/>
      <c r="I330" s="576"/>
      <c r="J330" s="576"/>
      <c r="K330" s="372"/>
      <c r="L330" s="373"/>
      <c r="M330" s="370"/>
      <c r="N330" s="370"/>
      <c r="O330" s="71"/>
      <c r="P330" s="1149"/>
      <c r="Q330" s="1155"/>
      <c r="R330" s="388"/>
      <c r="S330" s="389"/>
      <c r="T330" s="1140"/>
      <c r="U330" s="1152"/>
      <c r="V330" s="1140"/>
      <c r="W330" s="1152"/>
      <c r="X330" s="1140"/>
      <c r="Y330" s="1152"/>
      <c r="Z330" s="1140"/>
      <c r="AA330" s="1152"/>
      <c r="AB330" s="1158"/>
      <c r="AC330" s="1152"/>
      <c r="AE330" s="1149"/>
      <c r="AF330" s="1155"/>
      <c r="AG330" s="388"/>
      <c r="AH330" s="389"/>
      <c r="AI330" s="1140"/>
      <c r="AJ330" s="1152"/>
      <c r="AK330" s="1140"/>
      <c r="AL330" s="1152"/>
      <c r="AM330" s="1140"/>
      <c r="AN330" s="1152"/>
      <c r="AO330" s="1140"/>
      <c r="AP330" s="1152"/>
      <c r="AQ330" s="1158"/>
      <c r="AR330" s="1152"/>
    </row>
    <row r="331" spans="1:44" ht="15" thickBot="1">
      <c r="B331" s="574"/>
      <c r="C331" s="578"/>
      <c r="D331" s="578"/>
      <c r="E331" s="578"/>
      <c r="F331" s="578"/>
      <c r="G331" s="578"/>
      <c r="H331" s="578"/>
      <c r="I331" s="578"/>
      <c r="J331" s="578"/>
      <c r="K331" s="579"/>
      <c r="L331" s="580"/>
      <c r="M331" s="370"/>
      <c r="N331" s="370"/>
      <c r="O331" s="71"/>
      <c r="P331" s="1149"/>
      <c r="Q331" s="1156"/>
      <c r="R331" s="393"/>
      <c r="S331" s="394"/>
      <c r="T331" s="1141"/>
      <c r="U331" s="1153"/>
      <c r="V331" s="1141"/>
      <c r="W331" s="1153"/>
      <c r="X331" s="1141"/>
      <c r="Y331" s="1153"/>
      <c r="Z331" s="1141"/>
      <c r="AA331" s="1153"/>
      <c r="AB331" s="1159"/>
      <c r="AC331" s="1153"/>
      <c r="AE331" s="1149"/>
      <c r="AF331" s="1156"/>
      <c r="AG331" s="393"/>
      <c r="AH331" s="394"/>
      <c r="AI331" s="1141"/>
      <c r="AJ331" s="1153"/>
      <c r="AK331" s="1141"/>
      <c r="AL331" s="1153"/>
      <c r="AM331" s="1141"/>
      <c r="AN331" s="1153"/>
      <c r="AO331" s="1141"/>
      <c r="AP331" s="1153"/>
      <c r="AQ331" s="1159"/>
      <c r="AR331" s="1153"/>
    </row>
    <row r="332" spans="1:44" ht="14.55" customHeight="1">
      <c r="B332" s="574"/>
      <c r="C332" s="581"/>
      <c r="D332" s="581"/>
      <c r="E332" s="581"/>
      <c r="F332" s="581"/>
      <c r="G332" s="581"/>
      <c r="H332" s="581"/>
      <c r="I332" s="581"/>
      <c r="J332" s="581"/>
      <c r="K332" s="579"/>
      <c r="L332" s="580"/>
      <c r="M332" s="370"/>
      <c r="N332" s="370"/>
      <c r="O332" s="71"/>
      <c r="P332" s="1149"/>
      <c r="Q332" s="1145"/>
      <c r="R332" s="395"/>
      <c r="S332" s="396"/>
      <c r="T332" s="1137"/>
      <c r="U332" s="1137"/>
      <c r="V332" s="1137"/>
      <c r="W332" s="1137"/>
      <c r="X332" s="1137"/>
      <c r="Y332" s="1137"/>
      <c r="Z332" s="1137"/>
      <c r="AA332" s="1137"/>
      <c r="AB332" s="1137"/>
      <c r="AC332" s="1137"/>
      <c r="AE332" s="1149"/>
      <c r="AF332" s="1145"/>
      <c r="AG332" s="395"/>
      <c r="AH332" s="396"/>
      <c r="AI332" s="1137"/>
      <c r="AJ332" s="1137"/>
      <c r="AK332" s="1137"/>
      <c r="AL332" s="1137"/>
      <c r="AM332" s="1137"/>
      <c r="AN332" s="1137"/>
      <c r="AO332" s="1137"/>
      <c r="AP332" s="1137"/>
      <c r="AQ332" s="1137"/>
      <c r="AR332" s="1137"/>
    </row>
    <row r="333" spans="1:44">
      <c r="B333" s="574"/>
      <c r="C333" s="582"/>
      <c r="D333" s="582"/>
      <c r="E333" s="582"/>
      <c r="F333" s="582"/>
      <c r="G333" s="582"/>
      <c r="H333" s="582"/>
      <c r="I333" s="582"/>
      <c r="J333" s="582"/>
      <c r="K333" s="579"/>
      <c r="L333" s="580"/>
      <c r="M333" s="367"/>
      <c r="N333" s="367"/>
      <c r="O333" s="71"/>
      <c r="P333" s="1149"/>
      <c r="Q333" s="1146"/>
      <c r="R333" s="395"/>
      <c r="S333" s="396"/>
      <c r="T333" s="1138"/>
      <c r="U333" s="1138"/>
      <c r="V333" s="1138"/>
      <c r="W333" s="1138"/>
      <c r="X333" s="1138"/>
      <c r="Y333" s="1138"/>
      <c r="Z333" s="1138"/>
      <c r="AA333" s="1138"/>
      <c r="AB333" s="1140"/>
      <c r="AC333" s="1138"/>
      <c r="AE333" s="1149"/>
      <c r="AF333" s="1146"/>
      <c r="AG333" s="395"/>
      <c r="AH333" s="396"/>
      <c r="AI333" s="1138"/>
      <c r="AJ333" s="1138"/>
      <c r="AK333" s="1138"/>
      <c r="AL333" s="1138"/>
      <c r="AM333" s="1138"/>
      <c r="AN333" s="1138"/>
      <c r="AO333" s="1138"/>
      <c r="AP333" s="1138"/>
      <c r="AQ333" s="1140"/>
      <c r="AR333" s="1138"/>
    </row>
    <row r="334" spans="1:44">
      <c r="B334" s="383"/>
      <c r="C334" s="397"/>
      <c r="D334" s="397"/>
      <c r="E334" s="397"/>
      <c r="F334" s="397"/>
      <c r="G334" s="398"/>
      <c r="H334" s="398"/>
      <c r="I334" s="398"/>
      <c r="J334" s="398"/>
      <c r="K334" s="372"/>
      <c r="L334" s="373"/>
      <c r="M334" s="363"/>
      <c r="N334" s="363"/>
      <c r="P334" s="1149"/>
      <c r="Q334" s="1146"/>
      <c r="R334" s="395"/>
      <c r="S334" s="396"/>
      <c r="T334" s="1138"/>
      <c r="U334" s="1138"/>
      <c r="V334" s="1138"/>
      <c r="W334" s="1138"/>
      <c r="X334" s="1138"/>
      <c r="Y334" s="1138"/>
      <c r="Z334" s="1138"/>
      <c r="AA334" s="1138"/>
      <c r="AB334" s="1140"/>
      <c r="AC334" s="1138"/>
      <c r="AE334" s="1149"/>
      <c r="AF334" s="1146"/>
      <c r="AG334" s="395"/>
      <c r="AH334" s="396"/>
      <c r="AI334" s="1138"/>
      <c r="AJ334" s="1138"/>
      <c r="AK334" s="1138"/>
      <c r="AL334" s="1138"/>
      <c r="AM334" s="1138"/>
      <c r="AN334" s="1138"/>
      <c r="AO334" s="1138"/>
      <c r="AP334" s="1138"/>
      <c r="AQ334" s="1140"/>
      <c r="AR334" s="1138"/>
    </row>
    <row r="335" spans="1:44" ht="15" thickBot="1">
      <c r="B335" s="574"/>
      <c r="C335" s="582"/>
      <c r="D335" s="582"/>
      <c r="E335" s="582"/>
      <c r="F335" s="582"/>
      <c r="G335" s="582"/>
      <c r="H335" s="582"/>
      <c r="I335" s="582"/>
      <c r="J335" s="582"/>
      <c r="K335" s="372"/>
      <c r="L335" s="373"/>
      <c r="M335" s="363"/>
      <c r="N335" s="363"/>
      <c r="P335" s="1149"/>
      <c r="Q335" s="1146"/>
      <c r="R335" s="395"/>
      <c r="S335" s="396"/>
      <c r="T335" s="1138"/>
      <c r="U335" s="1138"/>
      <c r="V335" s="1138"/>
      <c r="W335" s="1138"/>
      <c r="X335" s="1138"/>
      <c r="Y335" s="1138"/>
      <c r="Z335" s="1138"/>
      <c r="AA335" s="1138"/>
      <c r="AB335" s="1140"/>
      <c r="AC335" s="1138"/>
      <c r="AE335" s="1149"/>
      <c r="AF335" s="1146"/>
      <c r="AG335" s="395"/>
      <c r="AH335" s="396"/>
      <c r="AI335" s="1138"/>
      <c r="AJ335" s="1138"/>
      <c r="AK335" s="1138"/>
      <c r="AL335" s="1138"/>
      <c r="AM335" s="1138"/>
      <c r="AN335" s="1138"/>
      <c r="AO335" s="1138"/>
      <c r="AP335" s="1138"/>
      <c r="AQ335" s="1140"/>
      <c r="AR335" s="1138"/>
    </row>
    <row r="336" spans="1:44" ht="15" thickBot="1">
      <c r="B336" s="401"/>
      <c r="C336" s="583"/>
      <c r="D336" s="584"/>
      <c r="E336" s="585"/>
      <c r="F336" s="586"/>
      <c r="G336" s="406"/>
      <c r="H336" s="406"/>
      <c r="I336" s="406"/>
      <c r="J336" s="406"/>
      <c r="K336" s="407"/>
      <c r="L336" s="587"/>
      <c r="M336" s="363"/>
      <c r="N336" s="363"/>
      <c r="P336" s="1149"/>
      <c r="Q336" s="1147"/>
      <c r="R336" s="409"/>
      <c r="S336" s="410"/>
      <c r="T336" s="1139"/>
      <c r="U336" s="1139"/>
      <c r="V336" s="1139"/>
      <c r="W336" s="1139"/>
      <c r="X336" s="1139"/>
      <c r="Y336" s="1139"/>
      <c r="Z336" s="1139"/>
      <c r="AA336" s="1139"/>
      <c r="AB336" s="1141"/>
      <c r="AC336" s="1139"/>
      <c r="AE336" s="1149"/>
      <c r="AF336" s="1147"/>
      <c r="AG336" s="409"/>
      <c r="AH336" s="410"/>
      <c r="AI336" s="1139"/>
      <c r="AJ336" s="1139"/>
      <c r="AK336" s="1139"/>
      <c r="AL336" s="1139"/>
      <c r="AM336" s="1139"/>
      <c r="AN336" s="1139"/>
      <c r="AO336" s="1139"/>
      <c r="AP336" s="1139"/>
      <c r="AQ336" s="1141"/>
      <c r="AR336" s="1139"/>
    </row>
    <row r="337" spans="1:44" ht="15" thickBot="1">
      <c r="B337" s="574"/>
      <c r="C337" s="588"/>
      <c r="D337" s="588"/>
      <c r="E337" s="588"/>
      <c r="F337" s="588"/>
      <c r="G337" s="589"/>
      <c r="H337" s="589"/>
      <c r="I337" s="590"/>
      <c r="J337" s="590"/>
      <c r="K337" s="579"/>
      <c r="L337" s="580"/>
      <c r="M337" s="363"/>
      <c r="N337" s="363"/>
      <c r="P337" s="1150"/>
      <c r="Q337" s="411"/>
      <c r="R337" s="412"/>
      <c r="S337" s="413"/>
      <c r="T337" s="591"/>
      <c r="U337" s="592"/>
      <c r="V337" s="593"/>
      <c r="W337" s="592"/>
      <c r="X337" s="593"/>
      <c r="Y337" s="592"/>
      <c r="Z337" s="593"/>
      <c r="AA337" s="592"/>
      <c r="AB337" s="593"/>
      <c r="AC337" s="594"/>
      <c r="AE337" s="1150"/>
      <c r="AF337" s="411"/>
      <c r="AG337" s="412"/>
      <c r="AH337" s="413"/>
      <c r="AI337" s="591"/>
      <c r="AJ337" s="592"/>
      <c r="AK337" s="593"/>
      <c r="AL337" s="592"/>
      <c r="AM337" s="593"/>
      <c r="AN337" s="592"/>
      <c r="AO337" s="593"/>
      <c r="AP337" s="592"/>
      <c r="AQ337" s="593"/>
      <c r="AR337" s="594"/>
    </row>
    <row r="338" spans="1:44">
      <c r="B338" s="574"/>
      <c r="C338" s="582"/>
      <c r="D338" s="582"/>
      <c r="E338" s="582"/>
      <c r="F338" s="582"/>
      <c r="G338" s="595"/>
      <c r="H338" s="595"/>
      <c r="I338" s="595"/>
      <c r="J338" s="595"/>
      <c r="K338" s="596"/>
      <c r="L338" s="580"/>
      <c r="M338" s="363"/>
      <c r="N338" s="363"/>
    </row>
    <row r="339" spans="1:44">
      <c r="B339" s="574"/>
      <c r="C339" s="582"/>
      <c r="D339" s="582"/>
      <c r="E339" s="582"/>
      <c r="F339" s="582"/>
      <c r="G339" s="595"/>
      <c r="H339" s="595"/>
      <c r="I339" s="595"/>
      <c r="J339" s="595"/>
      <c r="K339" s="596"/>
      <c r="L339" s="580"/>
      <c r="M339" s="420"/>
      <c r="N339" s="363"/>
    </row>
    <row r="340" spans="1:44">
      <c r="B340" s="421"/>
      <c r="C340" s="399"/>
      <c r="D340" s="399"/>
      <c r="E340" s="399"/>
      <c r="F340" s="399"/>
      <c r="G340" s="422"/>
      <c r="H340" s="422"/>
      <c r="I340" s="422"/>
      <c r="J340" s="422"/>
      <c r="K340" s="423"/>
      <c r="L340" s="597"/>
      <c r="M340" s="420"/>
      <c r="N340" s="420"/>
    </row>
    <row r="341" spans="1:44">
      <c r="B341" s="383"/>
      <c r="C341" s="397"/>
      <c r="D341" s="397"/>
      <c r="E341" s="397"/>
      <c r="F341" s="397"/>
      <c r="G341" s="422"/>
      <c r="H341" s="425"/>
      <c r="I341" s="425"/>
      <c r="J341" s="425"/>
      <c r="K341" s="426"/>
      <c r="L341" s="427"/>
      <c r="M341" s="428"/>
      <c r="N341" s="428"/>
    </row>
    <row r="342" spans="1:44">
      <c r="B342" s="383"/>
      <c r="C342" s="397"/>
      <c r="D342" s="397"/>
      <c r="E342" s="397"/>
      <c r="F342" s="397"/>
      <c r="G342" s="425"/>
      <c r="H342" s="425"/>
      <c r="I342" s="425"/>
      <c r="J342" s="425"/>
      <c r="K342" s="423"/>
      <c r="L342" s="427"/>
      <c r="M342" s="428"/>
      <c r="N342" s="428"/>
    </row>
    <row r="343" spans="1:44">
      <c r="B343" s="383"/>
      <c r="C343" s="397"/>
      <c r="D343" s="397"/>
      <c r="E343" s="397"/>
      <c r="F343" s="397"/>
      <c r="G343" s="425"/>
      <c r="H343" s="425"/>
      <c r="I343" s="425"/>
      <c r="J343" s="425"/>
      <c r="K343" s="423"/>
      <c r="L343" s="427"/>
      <c r="M343" s="428"/>
      <c r="N343" s="428"/>
    </row>
    <row r="344" spans="1:44">
      <c r="B344" s="383"/>
      <c r="C344" s="397"/>
      <c r="D344" s="397"/>
      <c r="E344" s="397"/>
      <c r="F344" s="397"/>
      <c r="G344" s="425"/>
      <c r="H344" s="425"/>
      <c r="I344" s="425"/>
      <c r="J344" s="425"/>
      <c r="K344" s="423"/>
      <c r="L344" s="427"/>
      <c r="M344" s="428"/>
      <c r="N344" s="428"/>
    </row>
    <row r="345" spans="1:44" ht="15" thickBot="1">
      <c r="B345" s="429"/>
      <c r="C345" s="397"/>
      <c r="D345" s="397"/>
      <c r="E345" s="397"/>
      <c r="F345" s="397"/>
      <c r="G345" s="425"/>
      <c r="H345" s="425"/>
      <c r="I345" s="425"/>
      <c r="J345" s="425"/>
      <c r="K345" s="423"/>
      <c r="L345" s="427"/>
      <c r="M345" s="428"/>
      <c r="N345" s="428"/>
    </row>
    <row r="346" spans="1:44" ht="15" thickBot="1">
      <c r="B346" s="431"/>
      <c r="C346" s="598"/>
      <c r="D346" s="584"/>
      <c r="E346" s="584"/>
      <c r="F346" s="599"/>
      <c r="G346" s="434"/>
      <c r="H346" s="406"/>
      <c r="I346" s="406"/>
      <c r="J346" s="406"/>
      <c r="K346" s="407"/>
      <c r="L346" s="587"/>
      <c r="M346" s="428"/>
      <c r="N346" s="428"/>
    </row>
    <row r="347" spans="1:44">
      <c r="A347" s="435"/>
      <c r="B347" s="436"/>
      <c r="C347" s="600"/>
      <c r="D347" s="600"/>
      <c r="E347" s="600"/>
      <c r="F347" s="600"/>
      <c r="G347" s="425"/>
      <c r="H347" s="425"/>
      <c r="I347" s="425"/>
      <c r="J347" s="425"/>
      <c r="K347" s="426"/>
      <c r="L347" s="440"/>
      <c r="M347" s="420"/>
      <c r="N347" s="420"/>
    </row>
    <row r="348" spans="1:44">
      <c r="B348" s="441"/>
      <c r="C348" s="601"/>
      <c r="D348" s="601"/>
      <c r="E348" s="601"/>
      <c r="F348" s="601"/>
      <c r="G348" s="425"/>
      <c r="H348" s="425"/>
      <c r="I348" s="425"/>
      <c r="J348" s="425"/>
      <c r="K348" s="444"/>
      <c r="L348" s="373"/>
      <c r="M348" s="71"/>
      <c r="N348" s="420"/>
    </row>
    <row r="349" spans="1:44">
      <c r="B349" s="441"/>
      <c r="C349" s="601"/>
      <c r="D349" s="601"/>
      <c r="E349" s="601"/>
      <c r="F349" s="601"/>
      <c r="G349" s="425"/>
      <c r="H349" s="425"/>
      <c r="I349" s="425"/>
      <c r="J349" s="425"/>
      <c r="K349" s="444"/>
      <c r="L349" s="373"/>
      <c r="M349" s="420"/>
      <c r="N349" s="420"/>
    </row>
    <row r="350" spans="1:44">
      <c r="B350" s="383"/>
      <c r="C350" s="602"/>
      <c r="D350" s="603"/>
      <c r="E350" s="603"/>
      <c r="F350" s="604"/>
      <c r="G350" s="425"/>
      <c r="H350" s="425"/>
      <c r="I350" s="425"/>
      <c r="J350" s="425"/>
      <c r="K350" s="444"/>
      <c r="L350" s="373"/>
      <c r="M350" s="420"/>
      <c r="N350" s="420"/>
    </row>
    <row r="351" spans="1:44">
      <c r="B351" s="383"/>
      <c r="C351" s="605"/>
      <c r="D351" s="605"/>
      <c r="E351" s="605"/>
      <c r="F351" s="605"/>
      <c r="G351" s="425"/>
      <c r="H351" s="425"/>
      <c r="I351" s="425"/>
      <c r="J351" s="425"/>
      <c r="K351" s="444"/>
      <c r="L351" s="373"/>
      <c r="M351" s="694"/>
      <c r="N351" s="693"/>
      <c r="P351" s="1142"/>
      <c r="Q351" s="1143"/>
      <c r="R351" s="1143"/>
      <c r="S351" s="1143"/>
      <c r="T351" s="1143"/>
      <c r="U351" s="1144"/>
    </row>
    <row r="352" spans="1:44" ht="15" thickBot="1">
      <c r="B352" s="541"/>
      <c r="C352" s="552"/>
      <c r="D352" s="552"/>
      <c r="E352" s="552"/>
      <c r="F352" s="552"/>
      <c r="G352" s="553"/>
      <c r="H352" s="553"/>
      <c r="I352" s="553"/>
      <c r="J352" s="553"/>
      <c r="K352" s="547"/>
      <c r="L352" s="548"/>
      <c r="M352" s="694"/>
      <c r="N352" s="693"/>
      <c r="P352" s="1134"/>
      <c r="Q352" s="1135"/>
      <c r="R352" s="1135"/>
      <c r="S352" s="1135"/>
      <c r="T352" s="1135"/>
      <c r="U352" s="1136"/>
    </row>
    <row r="353" spans="2:30">
      <c r="B353" s="541"/>
      <c r="C353" s="606"/>
      <c r="D353" s="606"/>
      <c r="E353" s="606"/>
      <c r="F353" s="606"/>
      <c r="G353" s="553"/>
      <c r="H353" s="553"/>
      <c r="I353" s="553"/>
      <c r="J353" s="553"/>
      <c r="K353" s="547"/>
      <c r="L353" s="548"/>
      <c r="M353" s="363"/>
      <c r="N353" s="363"/>
      <c r="P353" s="53"/>
    </row>
    <row r="354" spans="2:30">
      <c r="B354" s="541"/>
      <c r="C354" s="607"/>
      <c r="D354" s="547"/>
      <c r="E354" s="547"/>
      <c r="F354" s="563"/>
      <c r="G354" s="550"/>
      <c r="H354" s="550"/>
      <c r="I354" s="550"/>
      <c r="J354" s="550"/>
      <c r="K354" s="547"/>
      <c r="L354" s="608"/>
      <c r="M354" s="367"/>
      <c r="N354" s="367"/>
      <c r="P354" s="46"/>
      <c r="Q354" s="46"/>
      <c r="R354" s="47"/>
      <c r="S354" s="47"/>
      <c r="T354" s="47"/>
      <c r="U354" s="48"/>
      <c r="V354" s="49"/>
      <c r="W354" s="49"/>
      <c r="X354" s="49"/>
      <c r="Y354" s="49"/>
      <c r="Z354" s="49"/>
      <c r="AA354" s="49"/>
      <c r="AB354" s="49"/>
      <c r="AC354" s="49"/>
      <c r="AD354" s="49"/>
    </row>
    <row r="355" spans="2:30" ht="15" thickBot="1">
      <c r="B355" s="566"/>
      <c r="C355" s="607"/>
      <c r="D355" s="609"/>
      <c r="E355" s="609"/>
      <c r="F355" s="610"/>
      <c r="G355" s="550"/>
      <c r="H355" s="550"/>
      <c r="I355" s="550"/>
      <c r="J355" s="550"/>
      <c r="K355" s="547"/>
      <c r="L355" s="608"/>
      <c r="M355" s="363"/>
      <c r="N355" s="363"/>
      <c r="O355" s="71"/>
      <c r="P355" s="50"/>
      <c r="Q355" s="50"/>
      <c r="R355" s="51"/>
      <c r="S355" s="51"/>
      <c r="T355" s="51"/>
      <c r="U355" s="51"/>
      <c r="V355" s="50"/>
      <c r="W355" s="50"/>
      <c r="X355" s="50"/>
      <c r="Y355" s="50"/>
      <c r="Z355" s="50"/>
      <c r="AA355" s="50"/>
      <c r="AB355" s="50"/>
      <c r="AC355" s="50"/>
      <c r="AD355" s="50"/>
    </row>
    <row r="356" spans="2:30" ht="15" thickBot="1">
      <c r="B356" s="611"/>
      <c r="C356" s="612"/>
      <c r="D356" s="613"/>
      <c r="E356" s="614"/>
      <c r="F356" s="615"/>
      <c r="G356" s="540"/>
      <c r="H356" s="540"/>
      <c r="I356" s="540"/>
      <c r="J356" s="540"/>
      <c r="K356" s="616"/>
      <c r="L356" s="617"/>
      <c r="M356" s="363"/>
      <c r="N356" s="363"/>
      <c r="O356" s="461"/>
      <c r="P356" s="56"/>
      <c r="Q356" s="56"/>
      <c r="R356" s="57"/>
      <c r="S356" s="57"/>
      <c r="T356" s="57"/>
      <c r="U356" s="56"/>
      <c r="V356" s="56"/>
      <c r="W356" s="56"/>
      <c r="X356" s="56"/>
      <c r="Y356" s="56"/>
      <c r="Z356" s="56"/>
      <c r="AA356" s="56"/>
      <c r="AB356" s="56"/>
      <c r="AC356" s="56"/>
      <c r="AD356" s="56"/>
    </row>
    <row r="357" spans="2:30">
      <c r="B357" s="556"/>
      <c r="C357" s="618"/>
      <c r="D357" s="618"/>
      <c r="E357" s="618"/>
      <c r="F357" s="618"/>
      <c r="G357" s="618"/>
      <c r="H357" s="618"/>
      <c r="I357" s="618"/>
      <c r="J357" s="618"/>
      <c r="K357" s="618"/>
      <c r="L357" s="619"/>
      <c r="M357" s="363"/>
      <c r="N357" s="363"/>
      <c r="O357" s="620"/>
      <c r="P357" s="466"/>
      <c r="Q357" s="58"/>
      <c r="R357" s="466"/>
      <c r="S357" s="58"/>
      <c r="T357" s="466"/>
      <c r="U357" s="467"/>
      <c r="V357" s="467"/>
      <c r="W357" s="467"/>
      <c r="X357" s="58"/>
      <c r="Y357" s="58"/>
      <c r="Z357" s="466"/>
      <c r="AA357" s="468"/>
      <c r="AB357" s="468"/>
      <c r="AC357" s="468"/>
      <c r="AD357" s="468"/>
    </row>
    <row r="358" spans="2:30">
      <c r="B358" s="541"/>
      <c r="C358" s="558"/>
      <c r="D358" s="558"/>
      <c r="E358" s="558"/>
      <c r="F358" s="558"/>
      <c r="G358" s="563"/>
      <c r="H358" s="563"/>
      <c r="I358" s="563"/>
      <c r="J358" s="563"/>
      <c r="K358" s="563"/>
      <c r="L358" s="548"/>
      <c r="M358" s="363"/>
      <c r="N358" s="363"/>
      <c r="O358" s="620"/>
      <c r="P358" s="466"/>
      <c r="Q358" s="58"/>
      <c r="R358" s="466"/>
      <c r="S358" s="58"/>
      <c r="T358" s="466"/>
      <c r="U358" s="467"/>
      <c r="V358" s="467"/>
      <c r="W358" s="467"/>
      <c r="X358" s="58"/>
      <c r="Y358" s="58"/>
      <c r="Z358" s="466"/>
      <c r="AA358" s="468"/>
      <c r="AB358" s="468"/>
      <c r="AC358" s="468"/>
      <c r="AD358" s="468"/>
    </row>
    <row r="359" spans="2:30">
      <c r="B359" s="541"/>
      <c r="C359" s="558"/>
      <c r="D359" s="558"/>
      <c r="E359" s="558"/>
      <c r="F359" s="558"/>
      <c r="G359" s="563"/>
      <c r="H359" s="563"/>
      <c r="I359" s="563"/>
      <c r="J359" s="563"/>
      <c r="K359" s="563"/>
      <c r="L359" s="548"/>
      <c r="M359" s="363"/>
      <c r="N359" s="363"/>
      <c r="O359" s="620"/>
      <c r="P359" s="466"/>
      <c r="Q359" s="58"/>
      <c r="R359" s="466"/>
      <c r="S359" s="58"/>
      <c r="T359" s="466"/>
      <c r="U359" s="467"/>
      <c r="V359" s="467"/>
      <c r="W359" s="467"/>
      <c r="X359" s="58"/>
      <c r="Y359" s="58"/>
      <c r="Z359" s="466"/>
      <c r="AA359" s="468"/>
      <c r="AB359" s="468"/>
      <c r="AC359" s="468"/>
      <c r="AD359" s="468"/>
    </row>
    <row r="360" spans="2:30">
      <c r="B360" s="541"/>
      <c r="C360" s="564"/>
      <c r="D360" s="564"/>
      <c r="E360" s="564"/>
      <c r="F360" s="564"/>
      <c r="G360" s="621"/>
      <c r="H360" s="621"/>
      <c r="I360" s="621"/>
      <c r="J360" s="621"/>
      <c r="K360" s="621"/>
      <c r="L360" s="548"/>
      <c r="M360" s="363"/>
      <c r="N360" s="363"/>
      <c r="O360" s="620"/>
      <c r="P360" s="466"/>
      <c r="Q360" s="58"/>
      <c r="R360" s="466"/>
      <c r="S360" s="58"/>
      <c r="T360" s="466"/>
      <c r="U360" s="467"/>
      <c r="V360" s="467"/>
      <c r="W360" s="467"/>
      <c r="X360" s="58"/>
      <c r="Y360" s="58"/>
      <c r="Z360" s="466"/>
      <c r="AA360" s="468"/>
      <c r="AB360" s="468"/>
      <c r="AC360" s="468"/>
      <c r="AD360" s="468"/>
    </row>
    <row r="361" spans="2:30">
      <c r="B361" s="566"/>
      <c r="C361" s="558"/>
      <c r="D361" s="558"/>
      <c r="E361" s="558"/>
      <c r="F361" s="558"/>
      <c r="G361" s="563"/>
      <c r="H361" s="563"/>
      <c r="I361" s="563"/>
      <c r="J361" s="563"/>
      <c r="K361" s="563"/>
      <c r="L361" s="548"/>
      <c r="M361" s="367"/>
      <c r="N361" s="367"/>
    </row>
    <row r="362" spans="2:30">
      <c r="B362" s="566"/>
      <c r="C362" s="558"/>
      <c r="D362" s="558"/>
      <c r="E362" s="558"/>
      <c r="F362" s="558"/>
      <c r="G362" s="563"/>
      <c r="H362" s="563"/>
      <c r="I362" s="563"/>
      <c r="J362" s="563"/>
      <c r="K362" s="563"/>
      <c r="L362" s="548"/>
      <c r="M362" s="363"/>
      <c r="N362" s="363"/>
    </row>
    <row r="363" spans="2:30" ht="15" thickBot="1">
      <c r="B363" s="567"/>
      <c r="C363" s="622"/>
      <c r="D363" s="622"/>
      <c r="E363" s="622"/>
      <c r="F363" s="622"/>
      <c r="G363" s="623"/>
      <c r="H363" s="623"/>
      <c r="I363" s="623"/>
      <c r="J363" s="623"/>
      <c r="K363" s="623"/>
      <c r="L363" s="624"/>
      <c r="M363" s="363"/>
      <c r="N363" s="363"/>
    </row>
    <row r="364" spans="2:30">
      <c r="B364" s="461"/>
      <c r="C364" s="483"/>
      <c r="D364" s="483"/>
      <c r="E364" s="483"/>
      <c r="F364" s="483"/>
      <c r="G364" s="483"/>
      <c r="H364" s="484"/>
      <c r="I364" s="420"/>
      <c r="J364" s="420"/>
      <c r="K364" s="484"/>
      <c r="L364" s="484"/>
      <c r="N364" s="420"/>
    </row>
    <row r="365" spans="2:30">
      <c r="B365" s="485"/>
      <c r="C365" s="486"/>
      <c r="D365" s="486"/>
      <c r="E365" s="486"/>
      <c r="F365" s="486"/>
      <c r="G365" s="486"/>
      <c r="H365" s="484"/>
      <c r="I365" s="71"/>
      <c r="J365" s="420"/>
      <c r="K365" s="484"/>
      <c r="L365" s="484"/>
      <c r="N365" s="420"/>
    </row>
    <row r="366" spans="2:30">
      <c r="B366" s="461"/>
      <c r="C366" s="359"/>
      <c r="D366" s="359"/>
      <c r="E366" s="359"/>
      <c r="F366" s="359"/>
      <c r="G366" s="359"/>
      <c r="I366" s="420"/>
      <c r="J366" s="420"/>
      <c r="N366" s="420"/>
    </row>
    <row r="367" spans="2:30">
      <c r="B367" s="461"/>
      <c r="C367" s="487"/>
      <c r="D367" s="487"/>
      <c r="E367" s="487"/>
      <c r="F367" s="487"/>
      <c r="G367" s="359"/>
      <c r="M367" s="420"/>
      <c r="N367" s="420"/>
    </row>
    <row r="370" spans="1:11">
      <c r="A370" s="488"/>
      <c r="B370" s="489"/>
      <c r="D370" s="358"/>
      <c r="E370" s="358"/>
      <c r="F370" s="358"/>
      <c r="G370" s="358"/>
      <c r="H370" s="358"/>
      <c r="I370" s="358"/>
      <c r="J370" s="358"/>
      <c r="K370" s="358"/>
    </row>
    <row r="371" spans="1:11">
      <c r="A371" s="358"/>
      <c r="B371" s="490"/>
      <c r="E371" s="358"/>
      <c r="F371" s="358"/>
      <c r="G371" s="358"/>
      <c r="H371" s="358"/>
      <c r="I371" s="358"/>
      <c r="J371" s="358"/>
      <c r="K371" s="358"/>
    </row>
    <row r="372" spans="1:11">
      <c r="A372" s="358"/>
      <c r="B372" s="490"/>
      <c r="E372" s="358"/>
      <c r="F372" s="358"/>
      <c r="G372" s="358"/>
      <c r="H372" s="358"/>
      <c r="I372" s="358"/>
      <c r="J372" s="358"/>
      <c r="K372" s="358"/>
    </row>
    <row r="373" spans="1:11">
      <c r="A373" s="358"/>
      <c r="B373" s="490"/>
      <c r="E373" s="358"/>
      <c r="F373" s="358"/>
      <c r="G373" s="358"/>
      <c r="H373" s="358"/>
      <c r="I373" s="358"/>
      <c r="J373" s="358"/>
      <c r="K373" s="358"/>
    </row>
    <row r="374" spans="1:11">
      <c r="A374" s="358"/>
      <c r="B374" s="490"/>
      <c r="E374" s="358"/>
      <c r="F374" s="358"/>
      <c r="G374" s="358"/>
      <c r="H374" s="358"/>
      <c r="I374" s="358"/>
      <c r="J374" s="358"/>
      <c r="K374" s="358"/>
    </row>
    <row r="375" spans="1:11">
      <c r="A375" s="358"/>
      <c r="B375" s="490"/>
      <c r="E375" s="358"/>
      <c r="F375" s="358"/>
      <c r="G375" s="358"/>
      <c r="H375" s="358"/>
      <c r="I375" s="358"/>
      <c r="J375" s="358"/>
      <c r="K375" s="358"/>
    </row>
    <row r="376" spans="1:11">
      <c r="A376" s="358"/>
      <c r="B376" s="490"/>
      <c r="E376" s="358"/>
      <c r="F376" s="358"/>
      <c r="G376" s="358"/>
      <c r="H376" s="358"/>
      <c r="I376" s="358"/>
      <c r="J376" s="358"/>
      <c r="K376" s="358"/>
    </row>
    <row r="377" spans="1:11">
      <c r="A377" s="358"/>
      <c r="B377" s="490"/>
      <c r="E377" s="358"/>
      <c r="F377" s="358"/>
      <c r="G377" s="358"/>
      <c r="H377" s="358"/>
      <c r="I377" s="358"/>
      <c r="J377" s="358"/>
      <c r="K377" s="358"/>
    </row>
    <row r="378" spans="1:11">
      <c r="A378" s="358"/>
      <c r="B378" s="625"/>
      <c r="E378" s="358"/>
      <c r="F378" s="358"/>
      <c r="G378" s="358"/>
      <c r="H378" s="358"/>
      <c r="I378" s="358"/>
      <c r="J378" s="358"/>
      <c r="K378" s="358"/>
    </row>
    <row r="379" spans="1:11">
      <c r="A379" s="358"/>
      <c r="B379" s="490"/>
      <c r="E379" s="358"/>
      <c r="F379" s="358"/>
      <c r="G379" s="358"/>
      <c r="H379" s="358"/>
      <c r="I379" s="358"/>
      <c r="J379" s="358"/>
      <c r="K379" s="358"/>
    </row>
    <row r="380" spans="1:11">
      <c r="A380" s="488"/>
      <c r="B380" s="489"/>
      <c r="E380" s="358"/>
      <c r="F380" s="358"/>
      <c r="G380" s="358"/>
      <c r="H380" s="358"/>
      <c r="I380" s="358"/>
      <c r="J380" s="358"/>
      <c r="K380" s="358"/>
    </row>
    <row r="381" spans="1:11">
      <c r="A381" s="496"/>
      <c r="B381" s="490"/>
      <c r="C381" s="489"/>
      <c r="E381" s="358"/>
      <c r="F381" s="358"/>
      <c r="G381" s="358"/>
      <c r="H381" s="358"/>
      <c r="I381" s="358"/>
      <c r="J381" s="358"/>
      <c r="K381" s="358"/>
    </row>
    <row r="382" spans="1:11">
      <c r="A382" s="496"/>
      <c r="B382" s="490"/>
      <c r="C382" s="489"/>
      <c r="E382" s="358"/>
      <c r="F382" s="358"/>
      <c r="G382" s="358"/>
      <c r="H382" s="358"/>
      <c r="I382" s="358"/>
      <c r="J382" s="358"/>
      <c r="K382" s="358"/>
    </row>
    <row r="383" spans="1:11">
      <c r="A383" s="496"/>
      <c r="B383" s="490"/>
      <c r="C383" s="489"/>
      <c r="E383" s="358"/>
      <c r="F383" s="358"/>
      <c r="G383" s="358"/>
      <c r="H383" s="358"/>
      <c r="I383" s="358"/>
      <c r="J383" s="358"/>
      <c r="K383" s="358"/>
    </row>
    <row r="384" spans="1:11">
      <c r="A384" s="496"/>
      <c r="B384" s="490"/>
      <c r="C384" s="489"/>
      <c r="E384" s="358"/>
      <c r="F384" s="358"/>
      <c r="G384" s="358"/>
      <c r="H384" s="358"/>
      <c r="I384" s="358"/>
      <c r="J384" s="358"/>
      <c r="K384" s="358"/>
    </row>
    <row r="385" spans="1:11" ht="15.75" customHeight="1">
      <c r="A385" s="496"/>
      <c r="B385" s="490"/>
      <c r="C385" s="489"/>
      <c r="E385" s="358"/>
      <c r="F385" s="358"/>
      <c r="G385" s="358"/>
      <c r="H385" s="358"/>
      <c r="I385" s="358"/>
      <c r="J385" s="358"/>
      <c r="K385" s="358"/>
    </row>
    <row r="386" spans="1:11" ht="15.75" customHeight="1">
      <c r="A386" s="496"/>
      <c r="B386" s="490"/>
      <c r="C386" s="489"/>
      <c r="E386" s="358"/>
      <c r="F386" s="358"/>
      <c r="G386" s="358"/>
      <c r="H386" s="358"/>
      <c r="I386" s="358"/>
      <c r="J386" s="358"/>
      <c r="K386" s="358"/>
    </row>
  </sheetData>
  <mergeCells count="398">
    <mergeCell ref="P352:U352"/>
    <mergeCell ref="AN332:AN336"/>
    <mergeCell ref="AO332:AO336"/>
    <mergeCell ref="AP332:AP336"/>
    <mergeCell ref="AQ332:AQ336"/>
    <mergeCell ref="AR332:AR336"/>
    <mergeCell ref="P351:U351"/>
    <mergeCell ref="AF332:AF336"/>
    <mergeCell ref="AI332:AI336"/>
    <mergeCell ref="AJ332:AJ336"/>
    <mergeCell ref="AK332:AK336"/>
    <mergeCell ref="AL332:AL336"/>
    <mergeCell ref="AM332:AM336"/>
    <mergeCell ref="X332:X336"/>
    <mergeCell ref="Y332:Y336"/>
    <mergeCell ref="Z332:Z336"/>
    <mergeCell ref="AA332:AA336"/>
    <mergeCell ref="AB332:AB336"/>
    <mergeCell ref="AC332:AC336"/>
    <mergeCell ref="P329:P337"/>
    <mergeCell ref="W329:W331"/>
    <mergeCell ref="X329:X331"/>
    <mergeCell ref="AN329:AN331"/>
    <mergeCell ref="AO329:AO331"/>
    <mergeCell ref="AP329:AP331"/>
    <mergeCell ref="AQ329:AQ331"/>
    <mergeCell ref="AR329:AR331"/>
    <mergeCell ref="Q332:Q336"/>
    <mergeCell ref="T332:T336"/>
    <mergeCell ref="U332:U336"/>
    <mergeCell ref="V332:V336"/>
    <mergeCell ref="W332:W336"/>
    <mergeCell ref="AF329:AF331"/>
    <mergeCell ref="AI329:AI331"/>
    <mergeCell ref="AJ329:AJ331"/>
    <mergeCell ref="AK329:AK331"/>
    <mergeCell ref="AL329:AL331"/>
    <mergeCell ref="AM329:AM331"/>
    <mergeCell ref="Y329:Y331"/>
    <mergeCell ref="Z329:Z331"/>
    <mergeCell ref="AA329:AA331"/>
    <mergeCell ref="AB329:AB331"/>
    <mergeCell ref="AC329:AC331"/>
    <mergeCell ref="AE329:AE337"/>
    <mergeCell ref="Q329:Q331"/>
    <mergeCell ref="T329:T331"/>
    <mergeCell ref="U329:U331"/>
    <mergeCell ref="V329:V331"/>
    <mergeCell ref="AM325:AN327"/>
    <mergeCell ref="AO325:AP327"/>
    <mergeCell ref="AQ325:AR327"/>
    <mergeCell ref="B326:B327"/>
    <mergeCell ref="C326:C327"/>
    <mergeCell ref="D326:D327"/>
    <mergeCell ref="E326:E327"/>
    <mergeCell ref="F326:F327"/>
    <mergeCell ref="G326:H326"/>
    <mergeCell ref="I326:J326"/>
    <mergeCell ref="X325:Y327"/>
    <mergeCell ref="Z325:AA327"/>
    <mergeCell ref="AB325:AC327"/>
    <mergeCell ref="AH325:AH328"/>
    <mergeCell ref="AI325:AJ327"/>
    <mergeCell ref="AK325:AL327"/>
    <mergeCell ref="AE326:AE328"/>
    <mergeCell ref="R327:R328"/>
    <mergeCell ref="AF327:AF328"/>
    <mergeCell ref="AG327:AG328"/>
    <mergeCell ref="P273:U273"/>
    <mergeCell ref="P274:U274"/>
    <mergeCell ref="C325:L325"/>
    <mergeCell ref="S325:S328"/>
    <mergeCell ref="T325:U327"/>
    <mergeCell ref="V325:W327"/>
    <mergeCell ref="K326:K327"/>
    <mergeCell ref="L326:L327"/>
    <mergeCell ref="P326:P328"/>
    <mergeCell ref="Q327:Q328"/>
    <mergeCell ref="X254:X258"/>
    <mergeCell ref="Y254:Y258"/>
    <mergeCell ref="Z254:Z258"/>
    <mergeCell ref="AA254:AA258"/>
    <mergeCell ref="AB254:AB258"/>
    <mergeCell ref="AM251:AM253"/>
    <mergeCell ref="AN251:AN253"/>
    <mergeCell ref="AO251:AO253"/>
    <mergeCell ref="X251:X253"/>
    <mergeCell ref="Y251:Y253"/>
    <mergeCell ref="Z251:Z253"/>
    <mergeCell ref="AA251:AA253"/>
    <mergeCell ref="AB251:AB253"/>
    <mergeCell ref="AC251:AC253"/>
    <mergeCell ref="AM254:AM258"/>
    <mergeCell ref="AN254:AN258"/>
    <mergeCell ref="AO254:AO258"/>
    <mergeCell ref="AC254:AC258"/>
    <mergeCell ref="AF254:AF258"/>
    <mergeCell ref="AI254:AI258"/>
    <mergeCell ref="AJ254:AJ258"/>
    <mergeCell ref="AK254:AK258"/>
    <mergeCell ref="AL254:AL258"/>
    <mergeCell ref="AP251:AP253"/>
    <mergeCell ref="AQ251:AQ253"/>
    <mergeCell ref="AR251:AR253"/>
    <mergeCell ref="AE251:AE259"/>
    <mergeCell ref="AF251:AF253"/>
    <mergeCell ref="AI251:AI253"/>
    <mergeCell ref="AJ251:AJ253"/>
    <mergeCell ref="AK251:AK253"/>
    <mergeCell ref="AL251:AL253"/>
    <mergeCell ref="AP254:AP258"/>
    <mergeCell ref="AQ254:AQ258"/>
    <mergeCell ref="AR254:AR258"/>
    <mergeCell ref="P251:P259"/>
    <mergeCell ref="Q251:Q253"/>
    <mergeCell ref="T251:T253"/>
    <mergeCell ref="U251:U253"/>
    <mergeCell ref="V251:V253"/>
    <mergeCell ref="W251:W253"/>
    <mergeCell ref="Q254:Q258"/>
    <mergeCell ref="T254:T258"/>
    <mergeCell ref="U254:U258"/>
    <mergeCell ref="V254:V258"/>
    <mergeCell ref="W254:W258"/>
    <mergeCell ref="AQ247:AR249"/>
    <mergeCell ref="B248:B249"/>
    <mergeCell ref="C248:C249"/>
    <mergeCell ref="D248:D249"/>
    <mergeCell ref="E248:E249"/>
    <mergeCell ref="F248:F249"/>
    <mergeCell ref="G248:H248"/>
    <mergeCell ref="I248:J248"/>
    <mergeCell ref="K248:K249"/>
    <mergeCell ref="L248:L249"/>
    <mergeCell ref="AB247:AC249"/>
    <mergeCell ref="AH247:AH250"/>
    <mergeCell ref="AI247:AJ249"/>
    <mergeCell ref="AK247:AL249"/>
    <mergeCell ref="AM247:AN249"/>
    <mergeCell ref="AO247:AP249"/>
    <mergeCell ref="AE248:AE250"/>
    <mergeCell ref="AF249:AF250"/>
    <mergeCell ref="AG249:AG250"/>
    <mergeCell ref="C247:L247"/>
    <mergeCell ref="S247:S250"/>
    <mergeCell ref="T247:U249"/>
    <mergeCell ref="V247:W249"/>
    <mergeCell ref="X247:Y249"/>
    <mergeCell ref="Z247:AA249"/>
    <mergeCell ref="P248:P250"/>
    <mergeCell ref="Q249:Q250"/>
    <mergeCell ref="R249:R250"/>
    <mergeCell ref="P194:U194"/>
    <mergeCell ref="P195:U195"/>
    <mergeCell ref="B245:B246"/>
    <mergeCell ref="C245:M245"/>
    <mergeCell ref="P245:U245"/>
    <mergeCell ref="C246:M246"/>
    <mergeCell ref="X175:X179"/>
    <mergeCell ref="Y175:Y179"/>
    <mergeCell ref="Z175:Z179"/>
    <mergeCell ref="AA175:AA179"/>
    <mergeCell ref="AB175:AB179"/>
    <mergeCell ref="AM172:AM174"/>
    <mergeCell ref="AN172:AN174"/>
    <mergeCell ref="AO172:AO174"/>
    <mergeCell ref="X172:X174"/>
    <mergeCell ref="Y172:Y174"/>
    <mergeCell ref="Z172:Z174"/>
    <mergeCell ref="AA172:AA174"/>
    <mergeCell ref="AB172:AB174"/>
    <mergeCell ref="AC172:AC174"/>
    <mergeCell ref="AM175:AM179"/>
    <mergeCell ref="AN175:AN179"/>
    <mergeCell ref="AO175:AO179"/>
    <mergeCell ref="AC175:AC179"/>
    <mergeCell ref="AF175:AF179"/>
    <mergeCell ref="AI175:AI179"/>
    <mergeCell ref="AJ175:AJ179"/>
    <mergeCell ref="AK175:AK179"/>
    <mergeCell ref="AL175:AL179"/>
    <mergeCell ref="AP172:AP174"/>
    <mergeCell ref="AQ172:AQ174"/>
    <mergeCell ref="AR172:AR174"/>
    <mergeCell ref="AE172:AE180"/>
    <mergeCell ref="AF172:AF174"/>
    <mergeCell ref="AI172:AI174"/>
    <mergeCell ref="AJ172:AJ174"/>
    <mergeCell ref="AK172:AK174"/>
    <mergeCell ref="AL172:AL174"/>
    <mergeCell ref="AP175:AP179"/>
    <mergeCell ref="AQ175:AQ179"/>
    <mergeCell ref="AR175:AR179"/>
    <mergeCell ref="P172:P180"/>
    <mergeCell ref="Q172:Q174"/>
    <mergeCell ref="T172:T174"/>
    <mergeCell ref="U172:U174"/>
    <mergeCell ref="V172:V174"/>
    <mergeCell ref="W172:W174"/>
    <mergeCell ref="Q175:Q179"/>
    <mergeCell ref="T175:T179"/>
    <mergeCell ref="U175:U179"/>
    <mergeCell ref="V175:V179"/>
    <mergeCell ref="W175:W179"/>
    <mergeCell ref="AQ168:AR170"/>
    <mergeCell ref="B169:B170"/>
    <mergeCell ref="C169:C170"/>
    <mergeCell ref="D169:D170"/>
    <mergeCell ref="E169:E170"/>
    <mergeCell ref="F169:F170"/>
    <mergeCell ref="G169:H169"/>
    <mergeCell ref="I169:J169"/>
    <mergeCell ref="K169:K170"/>
    <mergeCell ref="L169:L170"/>
    <mergeCell ref="AB168:AC170"/>
    <mergeCell ref="AH168:AH171"/>
    <mergeCell ref="AI168:AJ170"/>
    <mergeCell ref="AK168:AL170"/>
    <mergeCell ref="AM168:AN170"/>
    <mergeCell ref="AO168:AP170"/>
    <mergeCell ref="AE169:AE171"/>
    <mergeCell ref="AF170:AF171"/>
    <mergeCell ref="AG170:AG171"/>
    <mergeCell ref="C168:L168"/>
    <mergeCell ref="S168:S171"/>
    <mergeCell ref="T168:U170"/>
    <mergeCell ref="V168:W170"/>
    <mergeCell ref="X168:Y170"/>
    <mergeCell ref="Z168:AA170"/>
    <mergeCell ref="P169:P171"/>
    <mergeCell ref="Q170:Q171"/>
    <mergeCell ref="R170:R171"/>
    <mergeCell ref="P112:U112"/>
    <mergeCell ref="P113:U113"/>
    <mergeCell ref="B166:B167"/>
    <mergeCell ref="C166:M166"/>
    <mergeCell ref="P166:U166"/>
    <mergeCell ref="C167:M16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P8:P10"/>
    <mergeCell ref="AE8:AE10"/>
    <mergeCell ref="Q9:Q10"/>
    <mergeCell ref="R9:R10"/>
    <mergeCell ref="AF9:AF10"/>
    <mergeCell ref="AG9:AG10"/>
    <mergeCell ref="AK7:AL9"/>
    <mergeCell ref="AM7:AN9"/>
    <mergeCell ref="AO7:AP9"/>
    <mergeCell ref="B5:B6"/>
    <mergeCell ref="C5:M5"/>
    <mergeCell ref="P5:U5"/>
    <mergeCell ref="C6:M6"/>
    <mergeCell ref="C7:L7"/>
    <mergeCell ref="S7:S10"/>
    <mergeCell ref="T7:U9"/>
    <mergeCell ref="I8:J8"/>
    <mergeCell ref="K8:K9"/>
    <mergeCell ref="L8:L9"/>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9154-C5F0-4CA0-8BB8-ADC6D7396513}">
  <sheetPr>
    <tabColor theme="3"/>
  </sheetPr>
  <dimension ref="A2:AR345"/>
  <sheetViews>
    <sheetView topLeftCell="G1" zoomScale="70" zoomScaleNormal="70" workbookViewId="0">
      <selection activeCell="AB26" sqref="AB26"/>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Heat pump, up to 80 °C, Temp lift = 60 K</v>
      </c>
    </row>
    <row r="4" spans="1:44" ht="25.05" customHeight="1">
      <c r="E4" s="224" t="s">
        <v>358</v>
      </c>
      <c r="F4" s="359">
        <v>7.45</v>
      </c>
      <c r="G4" s="359" t="s">
        <v>328</v>
      </c>
      <c r="R4" s="224">
        <f>MATCH(W4,P7:AC7)</f>
        <v>9</v>
      </c>
      <c r="W4" s="224" t="s">
        <v>717</v>
      </c>
      <c r="X4" s="224" cm="1">
        <f t="array" ref="X4">INDEX(X6:Y19,MATCH(W4,X6:X19)-1,2)</f>
        <v>10</v>
      </c>
    </row>
    <row r="5" spans="1:44" ht="15" customHeight="1">
      <c r="A5" s="360" t="s">
        <v>866</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865</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3</v>
      </c>
      <c r="D10" s="372">
        <v>3</v>
      </c>
      <c r="E10" s="372">
        <v>3</v>
      </c>
      <c r="F10" s="372">
        <v>3</v>
      </c>
      <c r="G10" s="372">
        <v>0.5</v>
      </c>
      <c r="H10" s="372">
        <v>5</v>
      </c>
      <c r="I10" s="372">
        <v>0.5</v>
      </c>
      <c r="J10" s="372">
        <v>5</v>
      </c>
      <c r="K10" s="372" t="s">
        <v>6</v>
      </c>
      <c r="L10" s="373" t="s">
        <v>837</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639">
        <v>388</v>
      </c>
      <c r="D11" s="639">
        <v>399.64</v>
      </c>
      <c r="E11" s="640">
        <v>407.63279999999997</v>
      </c>
      <c r="F11" s="639">
        <v>411.70912799999996</v>
      </c>
      <c r="G11" s="377">
        <f>C11</f>
        <v>388</v>
      </c>
      <c r="H11" s="639">
        <f>C11*1.05</f>
        <v>407.40000000000003</v>
      </c>
      <c r="I11" s="639">
        <f>F11*0.97</f>
        <v>399.35785415999993</v>
      </c>
      <c r="J11" s="639">
        <f>F11*1.02</f>
        <v>419.94331055999999</v>
      </c>
      <c r="K11" s="379" t="s">
        <v>59</v>
      </c>
      <c r="L11" s="380" t="s">
        <v>837</v>
      </c>
      <c r="M11" s="370"/>
      <c r="N11" s="370"/>
      <c r="P11" s="1199" t="str">
        <f>C7</f>
        <v>Heat pump, up to 80 °C, Temp lift = 60 K</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Heat pump, up to 80 °C, Temp lift = 60 K</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577">
        <f>C11-5</f>
        <v>383</v>
      </c>
      <c r="D12" s="577">
        <f t="shared" ref="D12:J12" si="0">D11-5</f>
        <v>394.64</v>
      </c>
      <c r="E12" s="577">
        <f t="shared" si="0"/>
        <v>402.63279999999997</v>
      </c>
      <c r="F12" s="577">
        <f t="shared" si="0"/>
        <v>406.70912799999996</v>
      </c>
      <c r="G12" s="641">
        <f t="shared" si="0"/>
        <v>383</v>
      </c>
      <c r="H12" s="641">
        <f t="shared" si="0"/>
        <v>402.40000000000003</v>
      </c>
      <c r="I12" s="641">
        <f t="shared" si="0"/>
        <v>394.35785415999993</v>
      </c>
      <c r="J12" s="641">
        <f t="shared" si="0"/>
        <v>414.94331055999999</v>
      </c>
      <c r="K12" s="386" t="s">
        <v>838</v>
      </c>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2</v>
      </c>
      <c r="D13" s="391">
        <v>2</v>
      </c>
      <c r="E13" s="391">
        <v>2</v>
      </c>
      <c r="F13" s="392">
        <v>2</v>
      </c>
      <c r="G13" s="391">
        <v>1</v>
      </c>
      <c r="H13" s="391">
        <v>4</v>
      </c>
      <c r="I13" s="391">
        <v>1</v>
      </c>
      <c r="J13" s="391">
        <v>4</v>
      </c>
      <c r="K13" s="379"/>
      <c r="L13" s="380">
        <v>1.4</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t="s">
        <v>20</v>
      </c>
      <c r="L14" s="380"/>
      <c r="M14" s="370"/>
      <c r="N14" s="370"/>
      <c r="O14" s="71"/>
      <c r="P14" s="1195"/>
      <c r="Q14" s="1154" t="s">
        <v>736</v>
      </c>
      <c r="R14" s="395" t="s">
        <v>737</v>
      </c>
      <c r="S14" s="396" t="s">
        <v>738</v>
      </c>
      <c r="T14" s="1137">
        <v>0</v>
      </c>
      <c r="U14" s="1137">
        <f>21%</f>
        <v>0.21</v>
      </c>
      <c r="V14" s="1137">
        <v>0</v>
      </c>
      <c r="W14" s="1137">
        <f>22%</f>
        <v>0.22</v>
      </c>
      <c r="X14" s="1137">
        <v>0</v>
      </c>
      <c r="Y14" s="1137">
        <f>15%</f>
        <v>0.15</v>
      </c>
      <c r="Z14" s="1137">
        <v>0</v>
      </c>
      <c r="AA14" s="1137">
        <f>14%</f>
        <v>0.14000000000000001</v>
      </c>
      <c r="AB14" s="1137">
        <v>0</v>
      </c>
      <c r="AC14" s="1151">
        <f>14%</f>
        <v>0.14000000000000001</v>
      </c>
      <c r="AE14" s="1195"/>
      <c r="AF14" s="1154" t="s">
        <v>736</v>
      </c>
      <c r="AG14" s="395" t="s">
        <v>737</v>
      </c>
      <c r="AH14" s="396" t="s">
        <v>738</v>
      </c>
      <c r="AI14" s="1137">
        <v>0</v>
      </c>
      <c r="AJ14" s="1137">
        <f>U14/4</f>
        <v>5.2499999999999998E-2</v>
      </c>
      <c r="AK14" s="1137">
        <v>0</v>
      </c>
      <c r="AL14" s="1137">
        <f>W14/4</f>
        <v>5.5E-2</v>
      </c>
      <c r="AM14" s="1137">
        <v>0</v>
      </c>
      <c r="AN14" s="1137">
        <f>Y14/4</f>
        <v>3.7499999999999999E-2</v>
      </c>
      <c r="AO14" s="1137">
        <v>0</v>
      </c>
      <c r="AP14" s="1137">
        <f>AA14/4</f>
        <v>3.5000000000000003E-2</v>
      </c>
      <c r="AQ14" s="1137">
        <v>0</v>
      </c>
      <c r="AR14" s="1151">
        <f>AC14/4</f>
        <v>3.5000000000000003E-2</v>
      </c>
    </row>
    <row r="15" spans="1:44" outlineLevel="1">
      <c r="B15" s="376" t="s">
        <v>658</v>
      </c>
      <c r="C15" s="390">
        <v>1</v>
      </c>
      <c r="D15" s="390">
        <v>1</v>
      </c>
      <c r="E15" s="390">
        <v>1</v>
      </c>
      <c r="F15" s="390">
        <v>1</v>
      </c>
      <c r="G15" s="390">
        <v>0.5</v>
      </c>
      <c r="H15" s="390">
        <v>2</v>
      </c>
      <c r="I15" s="390">
        <v>0.5</v>
      </c>
      <c r="J15" s="390">
        <v>2</v>
      </c>
      <c r="K15" s="379"/>
      <c r="L15" s="380">
        <v>1.4</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15</v>
      </c>
      <c r="H16" s="398">
        <v>30</v>
      </c>
      <c r="I16" s="398">
        <v>15</v>
      </c>
      <c r="J16" s="398">
        <v>30</v>
      </c>
      <c r="K16" s="372"/>
      <c r="L16" s="373">
        <v>4</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5" outlineLevel="1" thickBot="1">
      <c r="B17" s="376" t="s">
        <v>273</v>
      </c>
      <c r="C17" s="399">
        <v>0.5</v>
      </c>
      <c r="D17" s="399">
        <v>0.5</v>
      </c>
      <c r="E17" s="399">
        <v>0.5</v>
      </c>
      <c r="F17" s="399">
        <v>0.5</v>
      </c>
      <c r="G17" s="399">
        <v>0.3</v>
      </c>
      <c r="H17" s="399">
        <v>0.7</v>
      </c>
      <c r="I17" s="399">
        <v>0.3</v>
      </c>
      <c r="J17" s="399">
        <v>0.7</v>
      </c>
      <c r="K17" s="372"/>
      <c r="L17" s="400">
        <v>4</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29.4" outlineLevel="1" thickBot="1">
      <c r="B19" s="376" t="s">
        <v>663</v>
      </c>
      <c r="C19" s="390">
        <v>10</v>
      </c>
      <c r="D19" s="390">
        <v>10</v>
      </c>
      <c r="E19" s="390">
        <v>10</v>
      </c>
      <c r="F19" s="390">
        <v>10</v>
      </c>
      <c r="G19" s="391"/>
      <c r="H19" s="391"/>
      <c r="I19" s="391"/>
      <c r="J19" s="391"/>
      <c r="K19" s="379"/>
      <c r="L19" s="380">
        <v>4</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0.25</v>
      </c>
      <c r="D20" s="390">
        <v>0.25</v>
      </c>
      <c r="E20" s="390">
        <v>0.25</v>
      </c>
      <c r="F20" s="390">
        <v>0.25</v>
      </c>
      <c r="G20" s="418"/>
      <c r="H20" s="418"/>
      <c r="I20" s="418"/>
      <c r="J20" s="418"/>
      <c r="K20" s="419"/>
      <c r="L20" s="380">
        <v>4</v>
      </c>
      <c r="M20" s="363"/>
      <c r="N20" s="363"/>
    </row>
    <row r="21" spans="1:44" outlineLevel="1">
      <c r="B21" s="376" t="s">
        <v>666</v>
      </c>
      <c r="C21" s="390">
        <v>1</v>
      </c>
      <c r="D21" s="390">
        <v>1</v>
      </c>
      <c r="E21" s="390">
        <v>1</v>
      </c>
      <c r="F21" s="390">
        <v>1</v>
      </c>
      <c r="G21" s="418"/>
      <c r="H21" s="418"/>
      <c r="I21" s="418"/>
      <c r="J21" s="418"/>
      <c r="K21" s="419"/>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c r="AF28" s="691"/>
    </row>
    <row r="29" spans="1:44" ht="52.05" customHeight="1" outlineLevel="1">
      <c r="A29" s="435"/>
      <c r="B29" s="436" t="s">
        <v>751</v>
      </c>
      <c r="C29" s="511">
        <v>0.73</v>
      </c>
      <c r="D29" s="512">
        <v>0.65</v>
      </c>
      <c r="E29" s="512">
        <v>0.6</v>
      </c>
      <c r="F29" s="513">
        <v>0.57999999999999996</v>
      </c>
      <c r="G29" s="425"/>
      <c r="H29" s="425"/>
      <c r="I29" s="425"/>
      <c r="J29" s="425"/>
      <c r="K29" s="426"/>
      <c r="L29" s="440">
        <v>1</v>
      </c>
      <c r="M29" s="420"/>
      <c r="N29" s="420"/>
    </row>
    <row r="30" spans="1:44" outlineLevel="1">
      <c r="B30" s="441" t="s">
        <v>839</v>
      </c>
      <c r="C30" s="442">
        <v>60</v>
      </c>
      <c r="D30" s="442">
        <v>60</v>
      </c>
      <c r="E30" s="442">
        <v>60</v>
      </c>
      <c r="F30" s="442">
        <v>60</v>
      </c>
      <c r="G30" s="425"/>
      <c r="H30" s="425"/>
      <c r="I30" s="425"/>
      <c r="J30" s="425"/>
      <c r="K30" s="444" t="s">
        <v>76</v>
      </c>
      <c r="L30" s="373">
        <v>6</v>
      </c>
      <c r="M30" s="71"/>
      <c r="N30" s="420"/>
    </row>
    <row r="31" spans="1:44" outlineLevel="1">
      <c r="B31" s="441" t="s">
        <v>840</v>
      </c>
      <c r="C31" s="442">
        <v>40</v>
      </c>
      <c r="D31" s="442">
        <v>40</v>
      </c>
      <c r="E31" s="442">
        <v>40</v>
      </c>
      <c r="F31" s="442">
        <v>40</v>
      </c>
      <c r="G31" s="425"/>
      <c r="H31" s="425"/>
      <c r="I31" s="425"/>
      <c r="J31" s="425"/>
      <c r="K31" s="444" t="s">
        <v>25</v>
      </c>
      <c r="L31" s="373">
        <v>6</v>
      </c>
      <c r="M31" s="420"/>
      <c r="N31" s="420"/>
    </row>
    <row r="32" spans="1:44" outlineLevel="1">
      <c r="B32" s="383" t="s">
        <v>841</v>
      </c>
      <c r="C32" s="445">
        <v>2000</v>
      </c>
      <c r="D32" s="446">
        <v>2000</v>
      </c>
      <c r="E32" s="446">
        <v>2000</v>
      </c>
      <c r="F32" s="447">
        <v>2000</v>
      </c>
      <c r="G32" s="425"/>
      <c r="H32" s="425"/>
      <c r="I32" s="425"/>
      <c r="J32" s="425"/>
      <c r="K32" s="448"/>
      <c r="L32" s="373">
        <v>4.5</v>
      </c>
      <c r="M32" s="420"/>
      <c r="N32" s="420"/>
    </row>
    <row r="33" spans="2:30" ht="37.049999999999997" customHeight="1" outlineLevel="1" thickBot="1">
      <c r="B33" s="383" t="s">
        <v>679</v>
      </c>
      <c r="C33" s="449">
        <f>SUM(C34:C35)</f>
        <v>3.26</v>
      </c>
      <c r="D33" s="449">
        <f>SUM(D34:D35)</f>
        <v>3.2</v>
      </c>
      <c r="E33" s="449">
        <f>(D33+F33)/2</f>
        <v>3.16</v>
      </c>
      <c r="F33" s="449">
        <f>SUM(F34:F35)</f>
        <v>3.12</v>
      </c>
      <c r="G33" s="425"/>
      <c r="H33" s="425"/>
      <c r="I33" s="425"/>
      <c r="J33" s="425"/>
      <c r="K33" s="448"/>
      <c r="L33" s="373">
        <v>4</v>
      </c>
      <c r="M33" s="450"/>
      <c r="N33" s="361"/>
      <c r="P33" s="1142">
        <f>C33</f>
        <v>3.26</v>
      </c>
      <c r="Q33" s="1143"/>
      <c r="R33" s="1143"/>
      <c r="S33" s="1143"/>
      <c r="T33" s="1143"/>
      <c r="U33" s="1144"/>
    </row>
    <row r="34" spans="2:30" ht="15.75" customHeight="1" outlineLevel="1" thickBot="1">
      <c r="B34" s="451" t="s">
        <v>758</v>
      </c>
      <c r="C34" s="452">
        <f>C13/100*73</f>
        <v>1.46</v>
      </c>
      <c r="D34" s="452">
        <f>D13/100*75</f>
        <v>1.5</v>
      </c>
      <c r="E34" s="452">
        <f>E13/100*76</f>
        <v>1.52</v>
      </c>
      <c r="F34" s="452">
        <f>F13/100*76</f>
        <v>1.52</v>
      </c>
      <c r="G34" s="453"/>
      <c r="H34" s="453"/>
      <c r="I34" s="453"/>
      <c r="J34" s="453"/>
      <c r="K34" s="379" t="s">
        <v>33</v>
      </c>
      <c r="L34" s="380">
        <v>4</v>
      </c>
      <c r="M34" s="450"/>
      <c r="N34" s="361"/>
      <c r="P34" s="1134">
        <f>C34</f>
        <v>1.46</v>
      </c>
      <c r="Q34" s="1135"/>
      <c r="R34" s="1135"/>
      <c r="S34" s="1135"/>
      <c r="T34" s="1135"/>
      <c r="U34" s="1136"/>
    </row>
    <row r="35" spans="2:30" outlineLevel="1">
      <c r="B35" s="451" t="s">
        <v>759</v>
      </c>
      <c r="C35" s="454">
        <v>1.8</v>
      </c>
      <c r="D35" s="454">
        <v>1.7</v>
      </c>
      <c r="E35" s="454">
        <f>(D35+F35)/2</f>
        <v>1.65</v>
      </c>
      <c r="F35" s="454">
        <v>1.6</v>
      </c>
      <c r="G35" s="453"/>
      <c r="H35" s="453"/>
      <c r="I35" s="453"/>
      <c r="J35" s="453"/>
      <c r="K35" s="455"/>
      <c r="L35" s="380">
        <v>4</v>
      </c>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f>C29*0.2</f>
        <v>0.14599999999999999</v>
      </c>
      <c r="D39" s="633">
        <f>D29*0.2</f>
        <v>0.13</v>
      </c>
      <c r="E39" s="633">
        <f>E29*0.2</f>
        <v>0.12</v>
      </c>
      <c r="F39" s="633">
        <f>F29*0.2</f>
        <v>0.11599999999999999</v>
      </c>
      <c r="G39" s="643"/>
      <c r="H39" s="643"/>
      <c r="I39" s="643"/>
      <c r="J39" s="643"/>
      <c r="K39" s="643" t="s">
        <v>51</v>
      </c>
      <c r="L39" s="464"/>
      <c r="M39" s="363"/>
      <c r="N39" s="363"/>
      <c r="O39" s="465">
        <f>($C$12*$Y$14+O111*Y$86+O183*$Y$158)/(SUM($Y$14,$Y$86,$Y$158))</f>
        <v>447.54761904761898</v>
      </c>
      <c r="P39" s="466">
        <f>C8</f>
        <v>2020</v>
      </c>
      <c r="Q39" s="58">
        <f>P39</f>
        <v>2020</v>
      </c>
      <c r="R39" s="466">
        <f>O39/100</f>
        <v>4.4754761904761899</v>
      </c>
      <c r="S39" s="58"/>
      <c r="T39" s="466">
        <f>C16</f>
        <v>20</v>
      </c>
      <c r="U39" s="467">
        <f>C46</f>
        <v>5438.5</v>
      </c>
      <c r="V39" s="467">
        <f>C48</f>
        <v>14.9</v>
      </c>
      <c r="W39" s="690">
        <f>C49</f>
        <v>6.7463888888888883</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c r="L40" s="464"/>
      <c r="M40" s="363"/>
      <c r="N40" s="363"/>
      <c r="O40" s="465">
        <f>($D$12*$U$14+O112*U$86+O184*$U$158)/(SUM($U$14,$U$86,$U$158))</f>
        <v>457.92982142857136</v>
      </c>
      <c r="P40" s="466">
        <f>D8</f>
        <v>2030</v>
      </c>
      <c r="Q40" s="58"/>
      <c r="R40" s="466">
        <f>O40/100</f>
        <v>4.5792982142857133</v>
      </c>
      <c r="S40" s="58"/>
      <c r="T40" s="466">
        <f>D16</f>
        <v>20</v>
      </c>
      <c r="U40" s="467">
        <f>D46</f>
        <v>4842.5</v>
      </c>
      <c r="V40" s="467">
        <f>D48</f>
        <v>14.9</v>
      </c>
      <c r="W40" s="690">
        <f>D49</f>
        <v>6.6222222222222227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($E$12*$U$14+O113*U$86+O185*$U$158)/(SUM($U$14,$U$86,$U$158))</f>
        <v>467.18841785714284</v>
      </c>
      <c r="P41" s="466">
        <f>E8</f>
        <v>2040</v>
      </c>
      <c r="Q41" s="58"/>
      <c r="R41" s="466">
        <f>O41/100</f>
        <v>4.6718841785714282</v>
      </c>
      <c r="S41" s="58"/>
      <c r="T41" s="466">
        <f>E16</f>
        <v>20</v>
      </c>
      <c r="U41" s="467">
        <f>E46</f>
        <v>4470</v>
      </c>
      <c r="V41" s="467">
        <f>E48</f>
        <v>14.9</v>
      </c>
      <c r="W41" s="690">
        <f>E49</f>
        <v>6.5394444444444444</v>
      </c>
      <c r="X41" s="58"/>
      <c r="Y41" s="58"/>
      <c r="Z41" s="466">
        <f>E23</f>
        <v>0</v>
      </c>
      <c r="AA41" s="468">
        <f>E25</f>
        <v>0</v>
      </c>
      <c r="AB41" s="468">
        <f>E26</f>
        <v>0</v>
      </c>
      <c r="AC41" s="468">
        <f>E27</f>
        <v>0</v>
      </c>
      <c r="AD41" s="468">
        <f>E24</f>
        <v>0</v>
      </c>
    </row>
    <row r="42" spans="2:30" ht="14.55" customHeight="1" outlineLevel="1">
      <c r="B42" s="376" t="s">
        <v>765</v>
      </c>
      <c r="C42" s="1240" t="s">
        <v>669</v>
      </c>
      <c r="D42" s="1241"/>
      <c r="E42" s="1241"/>
      <c r="F42" s="1242"/>
      <c r="G42" s="474"/>
      <c r="H42" s="474"/>
      <c r="I42" s="474"/>
      <c r="J42" s="474"/>
      <c r="K42" s="474"/>
      <c r="L42" s="380"/>
      <c r="M42" s="363"/>
      <c r="N42" s="363"/>
      <c r="O42" s="465">
        <f>($F$12*$U$14+O114*U$86+O186*$U$158)/(SUM($U$14,$U$86,$U$158))</f>
        <v>471.91030203571421</v>
      </c>
      <c r="P42" s="466">
        <f>F8</f>
        <v>2050</v>
      </c>
      <c r="Q42" s="58"/>
      <c r="R42" s="466">
        <f>O42/100</f>
        <v>4.7191030203571422</v>
      </c>
      <c r="S42" s="58"/>
      <c r="T42" s="466">
        <f>F16</f>
        <v>20</v>
      </c>
      <c r="U42" s="467">
        <f>F46</f>
        <v>4321</v>
      </c>
      <c r="V42" s="467">
        <f>F48</f>
        <v>14.9</v>
      </c>
      <c r="W42" s="690">
        <f>F49</f>
        <v>6.4566666666666661</v>
      </c>
      <c r="X42" s="58"/>
      <c r="Y42" s="58"/>
      <c r="Z42" s="466">
        <f>F23</f>
        <v>0</v>
      </c>
      <c r="AA42" s="468">
        <f>F25</f>
        <v>0</v>
      </c>
      <c r="AB42" s="468">
        <f>F26</f>
        <v>0</v>
      </c>
      <c r="AC42" s="468">
        <f>F27</f>
        <v>0</v>
      </c>
      <c r="AD42" s="468">
        <f>F24</f>
        <v>0</v>
      </c>
    </row>
    <row r="43" spans="2:30" outlineLevel="1">
      <c r="B43" s="475" t="s">
        <v>766</v>
      </c>
      <c r="C43" s="469">
        <v>30</v>
      </c>
      <c r="D43" s="470">
        <v>30</v>
      </c>
      <c r="E43" s="470">
        <v>30</v>
      </c>
      <c r="F43" s="471">
        <v>30</v>
      </c>
      <c r="G43" s="474"/>
      <c r="H43" s="474"/>
      <c r="I43" s="474"/>
      <c r="J43" s="474"/>
      <c r="K43" s="474" t="s">
        <v>52</v>
      </c>
      <c r="L43" s="476"/>
      <c r="M43" s="367"/>
      <c r="N43" s="367"/>
    </row>
    <row r="44" spans="2:30" outlineLevel="1">
      <c r="B44" s="475" t="s">
        <v>767</v>
      </c>
      <c r="C44" s="469">
        <v>20</v>
      </c>
      <c r="D44" s="470">
        <v>20</v>
      </c>
      <c r="E44" s="470">
        <v>20</v>
      </c>
      <c r="F44" s="471">
        <v>20</v>
      </c>
      <c r="G44" s="474"/>
      <c r="H44" s="474"/>
      <c r="I44" s="474"/>
      <c r="J44" s="474"/>
      <c r="K44" s="474" t="s">
        <v>52</v>
      </c>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5438.5</v>
      </c>
      <c r="D46" s="483">
        <f t="shared" ref="D46:F46" si="1">D29*$F$4*1000</f>
        <v>4842.5</v>
      </c>
      <c r="E46" s="483">
        <f t="shared" si="1"/>
        <v>4470</v>
      </c>
      <c r="F46" s="483">
        <f t="shared" si="1"/>
        <v>4321</v>
      </c>
      <c r="G46" s="483"/>
      <c r="H46" s="484"/>
      <c r="I46" s="420" t="s">
        <v>332</v>
      </c>
      <c r="J46" s="420"/>
      <c r="K46" s="484"/>
      <c r="L46" s="484"/>
      <c r="N46" s="420"/>
    </row>
    <row r="47" spans="2:30" outlineLevel="1">
      <c r="B47" s="485" t="s">
        <v>770</v>
      </c>
      <c r="C47" s="486">
        <f>C46*$I47</f>
        <v>2719250</v>
      </c>
      <c r="D47" s="486">
        <f>D46*$I47</f>
        <v>2421250</v>
      </c>
      <c r="E47" s="486">
        <f>E46*$I47</f>
        <v>2235000</v>
      </c>
      <c r="F47" s="486">
        <f>F46*$I47</f>
        <v>2160500</v>
      </c>
      <c r="G47" s="486"/>
      <c r="H47" s="484"/>
      <c r="I47" s="71">
        <v>500</v>
      </c>
      <c r="J47" s="420" t="s">
        <v>330</v>
      </c>
      <c r="K47" s="484"/>
      <c r="L47" s="484"/>
      <c r="N47" s="420"/>
    </row>
    <row r="48" spans="2:30" ht="43.2" outlineLevel="1">
      <c r="B48" s="461" t="s">
        <v>845</v>
      </c>
      <c r="C48" s="359">
        <f>C32*$F$4/1000</f>
        <v>14.9</v>
      </c>
      <c r="D48" s="359">
        <f t="shared" ref="D48:F48" si="2">D32*$F$4/1000</f>
        <v>14.9</v>
      </c>
      <c r="E48" s="359">
        <f t="shared" si="2"/>
        <v>14.9</v>
      </c>
      <c r="F48" s="359">
        <f t="shared" si="2"/>
        <v>14.9</v>
      </c>
      <c r="G48" s="359"/>
      <c r="I48" s="420" t="s">
        <v>333</v>
      </c>
      <c r="J48" s="420"/>
      <c r="N48" s="420"/>
    </row>
    <row r="49" spans="2:14" ht="43.2" outlineLevel="1">
      <c r="B49" s="461" t="s">
        <v>846</v>
      </c>
      <c r="C49" s="487">
        <f>C33*$F$4/3.6</f>
        <v>6.7463888888888883</v>
      </c>
      <c r="D49" s="487">
        <f t="shared" ref="D49:F49" si="3">D33*$F$4/3.6</f>
        <v>6.6222222222222227</v>
      </c>
      <c r="E49" s="487">
        <f t="shared" si="3"/>
        <v>6.5394444444444444</v>
      </c>
      <c r="F49" s="487">
        <f t="shared" si="3"/>
        <v>6.4566666666666661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34" t="s">
        <v>773</v>
      </c>
      <c r="C55" s="490"/>
      <c r="D55" s="490"/>
      <c r="E55" s="358"/>
      <c r="F55" s="358"/>
      <c r="G55" s="358"/>
      <c r="H55" s="358"/>
      <c r="I55" s="358"/>
      <c r="J55" s="358"/>
      <c r="K55" s="358"/>
      <c r="L55" s="358"/>
    </row>
    <row r="56" spans="2:14" outlineLevel="1">
      <c r="B56" s="358">
        <v>1</v>
      </c>
      <c r="C56" s="635" t="s">
        <v>847</v>
      </c>
      <c r="D56" s="490"/>
      <c r="F56" s="358"/>
      <c r="G56" s="358"/>
      <c r="H56" s="358"/>
      <c r="I56" s="358"/>
      <c r="J56" s="358"/>
      <c r="K56" s="358"/>
      <c r="L56" s="358"/>
    </row>
    <row r="57" spans="2:14" outlineLevel="1">
      <c r="B57" s="358">
        <v>2</v>
      </c>
      <c r="C57" s="635" t="s">
        <v>848</v>
      </c>
      <c r="D57" s="490"/>
      <c r="F57" s="358"/>
      <c r="G57" s="358"/>
      <c r="H57" s="358"/>
      <c r="I57" s="358"/>
      <c r="J57" s="358"/>
      <c r="K57" s="358"/>
      <c r="L57" s="358"/>
    </row>
    <row r="58" spans="2:14" outlineLevel="1">
      <c r="B58" s="358">
        <v>3</v>
      </c>
      <c r="C58" s="490" t="s">
        <v>849</v>
      </c>
      <c r="D58" s="490"/>
      <c r="F58" s="358"/>
      <c r="G58" s="358"/>
      <c r="H58" s="358"/>
      <c r="I58" s="358"/>
      <c r="J58" s="358"/>
      <c r="K58" s="358"/>
      <c r="L58" s="358"/>
    </row>
    <row r="59" spans="2:14" outlineLevel="1">
      <c r="B59" s="358">
        <v>4</v>
      </c>
      <c r="C59" s="490" t="s">
        <v>850</v>
      </c>
      <c r="D59" s="490"/>
      <c r="F59" s="358"/>
      <c r="G59" s="358"/>
      <c r="H59" s="358"/>
      <c r="I59" s="358"/>
      <c r="J59" s="358"/>
      <c r="K59" s="358"/>
      <c r="L59" s="358"/>
    </row>
    <row r="60" spans="2:14" outlineLevel="1">
      <c r="B60" s="358">
        <v>5</v>
      </c>
      <c r="C60" s="636" t="s">
        <v>851</v>
      </c>
      <c r="D60" s="490"/>
      <c r="F60" s="358"/>
      <c r="G60" s="358"/>
      <c r="H60" s="358"/>
      <c r="I60" s="358"/>
      <c r="J60" s="358"/>
      <c r="K60" s="358"/>
      <c r="L60" s="358"/>
    </row>
    <row r="61" spans="2:14" outlineLevel="1">
      <c r="B61" s="358">
        <v>6</v>
      </c>
      <c r="C61" s="490" t="s">
        <v>852</v>
      </c>
      <c r="D61" s="490"/>
      <c r="F61" s="358"/>
      <c r="G61" s="358"/>
      <c r="H61" s="358"/>
      <c r="I61" s="358"/>
      <c r="J61" s="358"/>
      <c r="K61" s="358"/>
      <c r="L61" s="358"/>
    </row>
    <row r="62" spans="2:14" outlineLevel="1">
      <c r="B62" s="634" t="s">
        <v>783</v>
      </c>
      <c r="C62" s="358"/>
      <c r="D62" s="490"/>
      <c r="F62" s="358"/>
      <c r="G62" s="358"/>
      <c r="H62" s="358"/>
      <c r="I62" s="358"/>
      <c r="J62" s="358"/>
      <c r="K62" s="358"/>
      <c r="L62" s="358"/>
    </row>
    <row r="63" spans="2:14" outlineLevel="1">
      <c r="B63" s="637" t="s">
        <v>6</v>
      </c>
      <c r="C63" s="490" t="s">
        <v>853</v>
      </c>
      <c r="D63" s="490"/>
      <c r="F63" s="358"/>
      <c r="G63" s="358"/>
      <c r="H63" s="358"/>
      <c r="I63" s="358"/>
      <c r="J63" s="358"/>
      <c r="K63" s="358"/>
      <c r="L63" s="358"/>
    </row>
    <row r="64" spans="2:14" outlineLevel="1">
      <c r="B64" s="637" t="s">
        <v>59</v>
      </c>
      <c r="C64" s="490" t="s">
        <v>854</v>
      </c>
      <c r="D64" s="490"/>
      <c r="F64" s="358"/>
      <c r="G64" s="358"/>
      <c r="H64" s="358"/>
      <c r="I64" s="358"/>
      <c r="J64" s="358"/>
      <c r="K64" s="358"/>
      <c r="L64" s="358"/>
    </row>
    <row r="65" spans="1:44" outlineLevel="1">
      <c r="B65" s="637" t="s">
        <v>16</v>
      </c>
      <c r="C65" s="490" t="s">
        <v>855</v>
      </c>
      <c r="D65" s="490"/>
      <c r="F65" s="358"/>
      <c r="G65" s="358"/>
      <c r="H65" s="358"/>
      <c r="I65" s="358"/>
      <c r="J65" s="358"/>
      <c r="K65" s="358"/>
      <c r="L65" s="358"/>
    </row>
    <row r="66" spans="1:44" outlineLevel="1">
      <c r="B66" s="637" t="s">
        <v>20</v>
      </c>
      <c r="C66" s="490" t="s">
        <v>856</v>
      </c>
      <c r="D66" s="490"/>
      <c r="F66" s="358"/>
      <c r="G66" s="358"/>
      <c r="H66" s="358"/>
      <c r="I66" s="358"/>
      <c r="J66" s="358"/>
      <c r="K66" s="358"/>
      <c r="L66" s="358"/>
    </row>
    <row r="67" spans="1:44" outlineLevel="1">
      <c r="B67" s="637" t="s">
        <v>76</v>
      </c>
      <c r="C67" s="490" t="s">
        <v>857</v>
      </c>
      <c r="D67" s="490"/>
      <c r="F67" s="358"/>
      <c r="G67" s="358"/>
      <c r="H67" s="358"/>
      <c r="I67" s="358"/>
      <c r="J67" s="358"/>
      <c r="K67" s="358"/>
      <c r="L67" s="358"/>
    </row>
    <row r="68" spans="1:44" outlineLevel="1">
      <c r="B68" s="637" t="s">
        <v>25</v>
      </c>
      <c r="C68" s="490" t="s">
        <v>858</v>
      </c>
      <c r="D68" s="358"/>
      <c r="F68" s="358"/>
      <c r="G68" s="358"/>
      <c r="H68" s="358"/>
      <c r="I68" s="358"/>
      <c r="J68" s="358"/>
      <c r="K68" s="358"/>
      <c r="L68" s="358"/>
    </row>
    <row r="69" spans="1:44" outlineLevel="1">
      <c r="B69" s="637" t="s">
        <v>33</v>
      </c>
      <c r="C69" s="489" t="s">
        <v>788</v>
      </c>
      <c r="D69" s="358"/>
      <c r="F69" s="358"/>
      <c r="G69" s="358"/>
      <c r="H69" s="358"/>
      <c r="I69" s="358"/>
      <c r="J69" s="358"/>
      <c r="K69" s="358"/>
      <c r="L69" s="358"/>
    </row>
    <row r="70" spans="1:44" outlineLevel="1">
      <c r="B70" s="637" t="s">
        <v>51</v>
      </c>
      <c r="C70" s="490" t="s">
        <v>859</v>
      </c>
      <c r="D70" s="358"/>
      <c r="G70" s="358"/>
      <c r="H70" s="358"/>
      <c r="I70" s="358"/>
      <c r="J70" s="358"/>
      <c r="K70" s="358"/>
      <c r="L70" s="358"/>
    </row>
    <row r="71" spans="1:44" outlineLevel="1">
      <c r="B71" s="637" t="s">
        <v>52</v>
      </c>
      <c r="C71" s="490" t="s">
        <v>860</v>
      </c>
      <c r="E71" s="490"/>
      <c r="F71" s="490"/>
    </row>
    <row r="72" spans="1:44" outlineLevel="1"/>
    <row r="73" spans="1:44" outlineLevel="1"/>
    <row r="74" spans="1:44" outlineLevel="1"/>
    <row r="77" spans="1:44">
      <c r="A77" s="360" t="s">
        <v>864</v>
      </c>
      <c r="B77" s="1207"/>
      <c r="C77" s="1143"/>
      <c r="D77" s="1143"/>
      <c r="E77" s="1143"/>
      <c r="F77" s="1143"/>
      <c r="G77" s="1143"/>
      <c r="H77" s="1143"/>
      <c r="I77" s="1143"/>
      <c r="J77" s="1143"/>
      <c r="K77" s="1143"/>
      <c r="L77" s="1143"/>
      <c r="M77" s="1143"/>
      <c r="N77" s="689"/>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689"/>
      <c r="P78" s="1143"/>
      <c r="Q78" s="1143"/>
      <c r="R78" s="1143"/>
      <c r="S78" s="1143"/>
      <c r="T78" s="1143"/>
      <c r="U78" s="1143"/>
    </row>
    <row r="79" spans="1:44" ht="20.55" customHeight="1" outlineLevel="1" thickBot="1">
      <c r="B79" s="362" t="s">
        <v>0</v>
      </c>
      <c r="C79" s="1223" t="s">
        <v>862</v>
      </c>
      <c r="D79" s="1224"/>
      <c r="E79" s="1224"/>
      <c r="F79" s="1224"/>
      <c r="G79" s="1224"/>
      <c r="H79" s="1224"/>
      <c r="I79" s="1224"/>
      <c r="J79" s="1224"/>
      <c r="K79" s="1224"/>
      <c r="L79" s="1225"/>
      <c r="M79" s="363"/>
      <c r="N79" s="363"/>
      <c r="P79" s="364" t="s">
        <v>713</v>
      </c>
      <c r="Q79" s="365"/>
      <c r="R79" s="366"/>
      <c r="S79" s="1176" t="s">
        <v>714</v>
      </c>
      <c r="T79" s="1160" t="s">
        <v>715</v>
      </c>
      <c r="U79" s="1161"/>
      <c r="V79" s="1160" t="s">
        <v>716</v>
      </c>
      <c r="W79" s="1161"/>
      <c r="X79" s="1160" t="s">
        <v>717</v>
      </c>
      <c r="Y79" s="1161"/>
      <c r="Z79" s="1160" t="s">
        <v>718</v>
      </c>
      <c r="AA79" s="1161"/>
      <c r="AB79" s="1160" t="s">
        <v>719</v>
      </c>
      <c r="AC79" s="1161"/>
      <c r="AE79" s="364" t="s">
        <v>720</v>
      </c>
      <c r="AF79" s="365"/>
      <c r="AG79" s="366"/>
      <c r="AH79" s="1176" t="s">
        <v>714</v>
      </c>
      <c r="AI79" s="1160" t="s">
        <v>715</v>
      </c>
      <c r="AJ79" s="1161"/>
      <c r="AK79" s="1160" t="s">
        <v>716</v>
      </c>
      <c r="AL79" s="1161"/>
      <c r="AM79" s="1160" t="s">
        <v>717</v>
      </c>
      <c r="AN79" s="1161"/>
      <c r="AO79" s="1160" t="s">
        <v>718</v>
      </c>
      <c r="AP79" s="1161"/>
      <c r="AQ79" s="1160" t="s">
        <v>719</v>
      </c>
      <c r="AR79" s="1161"/>
    </row>
    <row r="80" spans="1:44" ht="15" customHeight="1" outlineLevel="1" thickBot="1">
      <c r="B80" s="1164" t="s">
        <v>4</v>
      </c>
      <c r="C80" s="1166">
        <v>2020</v>
      </c>
      <c r="D80" s="1166">
        <v>2030</v>
      </c>
      <c r="E80" s="1166">
        <v>2040</v>
      </c>
      <c r="F80" s="1166">
        <v>2050</v>
      </c>
      <c r="G80" s="1230" t="s">
        <v>721</v>
      </c>
      <c r="H80" s="1218"/>
      <c r="I80" s="1217" t="s">
        <v>648</v>
      </c>
      <c r="J80" s="1226"/>
      <c r="K80" s="1219" t="s">
        <v>2</v>
      </c>
      <c r="L80" s="1219" t="s">
        <v>3</v>
      </c>
      <c r="M80" s="367"/>
      <c r="N80" s="367"/>
      <c r="P80" s="1180" t="s">
        <v>0</v>
      </c>
      <c r="Q80" s="368"/>
      <c r="R80" s="368"/>
      <c r="S80" s="1177"/>
      <c r="T80" s="1162"/>
      <c r="U80" s="1163"/>
      <c r="V80" s="1162"/>
      <c r="W80" s="1163"/>
      <c r="X80" s="1162"/>
      <c r="Y80" s="1163"/>
      <c r="Z80" s="1162"/>
      <c r="AA80" s="1163"/>
      <c r="AB80" s="1162"/>
      <c r="AC80" s="1163"/>
      <c r="AE80" s="1180" t="s">
        <v>0</v>
      </c>
      <c r="AF80" s="368"/>
      <c r="AG80" s="368"/>
      <c r="AH80" s="1177"/>
      <c r="AI80" s="1162"/>
      <c r="AJ80" s="1163"/>
      <c r="AK80" s="1162"/>
      <c r="AL80" s="1163"/>
      <c r="AM80" s="1162"/>
      <c r="AN80" s="1163"/>
      <c r="AO80" s="1162"/>
      <c r="AP80" s="1163"/>
      <c r="AQ80" s="1162"/>
      <c r="AR80" s="1163"/>
    </row>
    <row r="81" spans="2:44" ht="15" customHeight="1" outlineLevel="1" thickBot="1">
      <c r="B81" s="1228"/>
      <c r="C81" s="1229"/>
      <c r="D81" s="1229"/>
      <c r="E81" s="1229"/>
      <c r="F81" s="1229"/>
      <c r="G81" s="369" t="s">
        <v>649</v>
      </c>
      <c r="H81" s="369" t="s">
        <v>650</v>
      </c>
      <c r="I81" s="369" t="s">
        <v>649</v>
      </c>
      <c r="J81" s="369" t="s">
        <v>650</v>
      </c>
      <c r="K81" s="1227"/>
      <c r="L81" s="1227"/>
      <c r="M81" s="370"/>
      <c r="N81" s="370"/>
      <c r="P81" s="1181"/>
      <c r="Q81" s="1183" t="s">
        <v>722</v>
      </c>
      <c r="R81" s="1184" t="s">
        <v>723</v>
      </c>
      <c r="S81" s="1178"/>
      <c r="T81" s="1162"/>
      <c r="U81" s="1163"/>
      <c r="V81" s="1162"/>
      <c r="W81" s="1163"/>
      <c r="X81" s="1162"/>
      <c r="Y81" s="1163"/>
      <c r="Z81" s="1162"/>
      <c r="AA81" s="1163"/>
      <c r="AB81" s="1162"/>
      <c r="AC81" s="1163"/>
      <c r="AE81" s="1181"/>
      <c r="AF81" s="1197" t="s">
        <v>722</v>
      </c>
      <c r="AG81" s="1184" t="s">
        <v>723</v>
      </c>
      <c r="AH81" s="1178"/>
      <c r="AI81" s="1162"/>
      <c r="AJ81" s="1163"/>
      <c r="AK81" s="1162"/>
      <c r="AL81" s="1163"/>
      <c r="AM81" s="1162"/>
      <c r="AN81" s="1163"/>
      <c r="AO81" s="1162"/>
      <c r="AP81" s="1163"/>
      <c r="AQ81" s="1162"/>
      <c r="AR81" s="1163"/>
    </row>
    <row r="82" spans="2:44" ht="29.4" outlineLevel="1" thickBot="1">
      <c r="B82" s="371" t="s">
        <v>651</v>
      </c>
      <c r="C82" s="372">
        <v>3</v>
      </c>
      <c r="D82" s="372">
        <v>3</v>
      </c>
      <c r="E82" s="372">
        <v>3</v>
      </c>
      <c r="F82" s="372">
        <v>3</v>
      </c>
      <c r="G82" s="372">
        <v>0.5</v>
      </c>
      <c r="H82" s="372">
        <v>5</v>
      </c>
      <c r="I82" s="372">
        <v>0.5</v>
      </c>
      <c r="J82" s="372">
        <v>5</v>
      </c>
      <c r="K82" s="372" t="s">
        <v>6</v>
      </c>
      <c r="L82" s="373" t="s">
        <v>837</v>
      </c>
      <c r="M82" s="370"/>
      <c r="N82" s="370"/>
      <c r="O82" s="74"/>
      <c r="P82" s="1182"/>
      <c r="Q82" s="1179"/>
      <c r="R82" s="1185"/>
      <c r="S82" s="1179"/>
      <c r="T82" s="374" t="s">
        <v>726</v>
      </c>
      <c r="U82" s="375" t="s">
        <v>727</v>
      </c>
      <c r="V82" s="374" t="s">
        <v>726</v>
      </c>
      <c r="W82" s="375" t="s">
        <v>727</v>
      </c>
      <c r="X82" s="374" t="s">
        <v>726</v>
      </c>
      <c r="Y82" s="375" t="s">
        <v>727</v>
      </c>
      <c r="Z82" s="374" t="s">
        <v>726</v>
      </c>
      <c r="AA82" s="375" t="s">
        <v>727</v>
      </c>
      <c r="AB82" s="374" t="s">
        <v>726</v>
      </c>
      <c r="AC82" s="375" t="s">
        <v>727</v>
      </c>
      <c r="AE82" s="1182"/>
      <c r="AF82" s="1198"/>
      <c r="AG82" s="1185"/>
      <c r="AH82" s="1179"/>
      <c r="AI82" s="374" t="s">
        <v>726</v>
      </c>
      <c r="AJ82" s="375" t="s">
        <v>727</v>
      </c>
      <c r="AK82" s="374" t="s">
        <v>726</v>
      </c>
      <c r="AL82" s="375" t="s">
        <v>727</v>
      </c>
      <c r="AM82" s="374" t="s">
        <v>726</v>
      </c>
      <c r="AN82" s="375" t="s">
        <v>727</v>
      </c>
      <c r="AO82" s="374" t="s">
        <v>726</v>
      </c>
      <c r="AP82" s="375" t="s">
        <v>727</v>
      </c>
      <c r="AQ82" s="374" t="s">
        <v>726</v>
      </c>
      <c r="AR82" s="375" t="s">
        <v>727</v>
      </c>
    </row>
    <row r="83" spans="2:44" ht="15" customHeight="1" outlineLevel="1">
      <c r="B83" s="376" t="s">
        <v>728</v>
      </c>
      <c r="C83" s="639">
        <v>447</v>
      </c>
      <c r="D83" s="639">
        <v>460.41</v>
      </c>
      <c r="E83" s="640">
        <v>469.61820000000006</v>
      </c>
      <c r="F83" s="639">
        <v>474.31438200000008</v>
      </c>
      <c r="G83" s="377">
        <f>C83</f>
        <v>447</v>
      </c>
      <c r="H83" s="639">
        <f>C83*1.05</f>
        <v>469.35</v>
      </c>
      <c r="I83" s="639">
        <f>F83*0.97</f>
        <v>460.08495054000008</v>
      </c>
      <c r="J83" s="639">
        <f>F83*1.02</f>
        <v>483.80066964000008</v>
      </c>
      <c r="K83" s="379" t="s">
        <v>59</v>
      </c>
      <c r="L83" s="380" t="s">
        <v>837</v>
      </c>
      <c r="M83" s="370"/>
      <c r="N83" s="370"/>
      <c r="P83" s="1199" t="str">
        <f>C79</f>
        <v>Heat pump, up to 70 °C, Temp lift = 50 K</v>
      </c>
      <c r="Q83" s="1154" t="s">
        <v>730</v>
      </c>
      <c r="R83" s="381" t="s">
        <v>731</v>
      </c>
      <c r="S83" s="382"/>
      <c r="T83" s="1137">
        <v>0</v>
      </c>
      <c r="U83" s="1151">
        <v>0</v>
      </c>
      <c r="V83" s="1157">
        <v>0</v>
      </c>
      <c r="W83" s="1151">
        <v>0</v>
      </c>
      <c r="X83" s="1157">
        <v>0</v>
      </c>
      <c r="Y83" s="1151">
        <v>0</v>
      </c>
      <c r="Z83" s="1157">
        <v>0</v>
      </c>
      <c r="AA83" s="1151">
        <v>0</v>
      </c>
      <c r="AB83" s="1157">
        <v>0</v>
      </c>
      <c r="AC83" s="1151">
        <v>0</v>
      </c>
      <c r="AE83" s="1148" t="str">
        <f>P83</f>
        <v>Heat pump, up to 70 °C, Temp lift = 50 K</v>
      </c>
      <c r="AF83" s="1154" t="s">
        <v>730</v>
      </c>
      <c r="AG83" s="381" t="s">
        <v>731</v>
      </c>
      <c r="AH83" s="382"/>
      <c r="AI83" s="1137">
        <v>0</v>
      </c>
      <c r="AJ83" s="1151">
        <v>0</v>
      </c>
      <c r="AK83" s="1157">
        <v>0</v>
      </c>
      <c r="AL83" s="1151">
        <v>0</v>
      </c>
      <c r="AM83" s="1157">
        <v>0</v>
      </c>
      <c r="AN83" s="1151">
        <v>0</v>
      </c>
      <c r="AO83" s="1157">
        <v>0</v>
      </c>
      <c r="AP83" s="1151">
        <v>0</v>
      </c>
      <c r="AQ83" s="1157">
        <v>0</v>
      </c>
      <c r="AR83" s="1151">
        <v>0</v>
      </c>
    </row>
    <row r="84" spans="2:44" outlineLevel="1">
      <c r="B84" s="383" t="s">
        <v>732</v>
      </c>
      <c r="C84" s="577">
        <f>C83-5</f>
        <v>442</v>
      </c>
      <c r="D84" s="577">
        <f t="shared" ref="D84:J84" si="4">D83-5</f>
        <v>455.41</v>
      </c>
      <c r="E84" s="577">
        <f t="shared" si="4"/>
        <v>464.61820000000006</v>
      </c>
      <c r="F84" s="577">
        <f t="shared" si="4"/>
        <v>469.31438200000008</v>
      </c>
      <c r="G84" s="641">
        <f t="shared" si="4"/>
        <v>442</v>
      </c>
      <c r="H84" s="641">
        <f t="shared" si="4"/>
        <v>464.35</v>
      </c>
      <c r="I84" s="641">
        <f t="shared" si="4"/>
        <v>455.08495054000008</v>
      </c>
      <c r="J84" s="641">
        <f t="shared" si="4"/>
        <v>478.80066964000008</v>
      </c>
      <c r="K84" s="386" t="s">
        <v>838</v>
      </c>
      <c r="L84" s="387"/>
      <c r="M84" s="370"/>
      <c r="N84" s="370"/>
      <c r="O84" s="71"/>
      <c r="P84" s="1195"/>
      <c r="Q84" s="1155"/>
      <c r="R84" s="388" t="s">
        <v>733</v>
      </c>
      <c r="S84" s="389"/>
      <c r="T84" s="1140"/>
      <c r="U84" s="1152"/>
      <c r="V84" s="1158"/>
      <c r="W84" s="1152"/>
      <c r="X84" s="1158"/>
      <c r="Y84" s="1152"/>
      <c r="Z84" s="1158"/>
      <c r="AA84" s="1152"/>
      <c r="AB84" s="1158"/>
      <c r="AC84" s="1152"/>
      <c r="AE84" s="1195"/>
      <c r="AF84" s="1155"/>
      <c r="AG84" s="388" t="s">
        <v>733</v>
      </c>
      <c r="AH84" s="389"/>
      <c r="AI84" s="1140"/>
      <c r="AJ84" s="1152"/>
      <c r="AK84" s="1158"/>
      <c r="AL84" s="1152"/>
      <c r="AM84" s="1158"/>
      <c r="AN84" s="1152"/>
      <c r="AO84" s="1158"/>
      <c r="AP84" s="1152"/>
      <c r="AQ84" s="1158"/>
      <c r="AR84" s="1152"/>
    </row>
    <row r="85" spans="2:44" ht="15" outlineLevel="1" thickBot="1">
      <c r="B85" s="376" t="s">
        <v>734</v>
      </c>
      <c r="C85" s="390">
        <v>2</v>
      </c>
      <c r="D85" s="391">
        <v>2</v>
      </c>
      <c r="E85" s="391">
        <v>2</v>
      </c>
      <c r="F85" s="392">
        <v>2</v>
      </c>
      <c r="G85" s="391">
        <v>1</v>
      </c>
      <c r="H85" s="391">
        <v>4</v>
      </c>
      <c r="I85" s="391">
        <v>1</v>
      </c>
      <c r="J85" s="391">
        <v>4</v>
      </c>
      <c r="K85" s="379"/>
      <c r="L85" s="380">
        <v>1.4</v>
      </c>
      <c r="M85" s="370"/>
      <c r="N85" s="370"/>
      <c r="O85" s="71"/>
      <c r="P85" s="1195"/>
      <c r="Q85" s="1156"/>
      <c r="R85" s="393" t="s">
        <v>735</v>
      </c>
      <c r="S85" s="394"/>
      <c r="T85" s="1141"/>
      <c r="U85" s="1153"/>
      <c r="V85" s="1159"/>
      <c r="W85" s="1153"/>
      <c r="X85" s="1159"/>
      <c r="Y85" s="1153"/>
      <c r="Z85" s="1159"/>
      <c r="AA85" s="1153"/>
      <c r="AB85" s="1159"/>
      <c r="AC85" s="1153"/>
      <c r="AE85" s="1195"/>
      <c r="AF85" s="1156"/>
      <c r="AG85" s="393" t="s">
        <v>735</v>
      </c>
      <c r="AH85" s="394"/>
      <c r="AI85" s="1141"/>
      <c r="AJ85" s="1153"/>
      <c r="AK85" s="1159"/>
      <c r="AL85" s="1153"/>
      <c r="AM85" s="1159"/>
      <c r="AN85" s="1153"/>
      <c r="AO85" s="1159"/>
      <c r="AP85" s="1153"/>
      <c r="AQ85" s="1159"/>
      <c r="AR85" s="1153"/>
    </row>
    <row r="86" spans="2:44" ht="15" customHeight="1" outlineLevel="1">
      <c r="B86" s="376" t="s">
        <v>657</v>
      </c>
      <c r="C86" s="390">
        <v>0</v>
      </c>
      <c r="D86" s="390">
        <v>0</v>
      </c>
      <c r="E86" s="390">
        <v>0</v>
      </c>
      <c r="F86" s="390">
        <v>0</v>
      </c>
      <c r="G86" s="390">
        <v>0</v>
      </c>
      <c r="H86" s="390">
        <v>1</v>
      </c>
      <c r="I86" s="390">
        <v>0</v>
      </c>
      <c r="J86" s="390">
        <v>1</v>
      </c>
      <c r="K86" s="379" t="s">
        <v>20</v>
      </c>
      <c r="L86" s="380"/>
      <c r="M86" s="370"/>
      <c r="N86" s="370"/>
      <c r="O86" s="71"/>
      <c r="P86" s="1195"/>
      <c r="Q86" s="1154" t="s">
        <v>736</v>
      </c>
      <c r="R86" s="395" t="s">
        <v>737</v>
      </c>
      <c r="S86" s="396" t="s">
        <v>738</v>
      </c>
      <c r="T86" s="1137">
        <v>0</v>
      </c>
      <c r="U86" s="1137">
        <f>19%</f>
        <v>0.19</v>
      </c>
      <c r="V86" s="1137">
        <v>0</v>
      </c>
      <c r="W86" s="1137">
        <f>19%</f>
        <v>0.19</v>
      </c>
      <c r="X86" s="1137">
        <v>0</v>
      </c>
      <c r="Y86" s="1137">
        <f>14%</f>
        <v>0.14000000000000001</v>
      </c>
      <c r="Z86" s="1137">
        <v>0</v>
      </c>
      <c r="AA86" s="1137">
        <f>11%</f>
        <v>0.11</v>
      </c>
      <c r="AB86" s="1137">
        <v>0</v>
      </c>
      <c r="AC86" s="1151">
        <f>12%</f>
        <v>0.12</v>
      </c>
      <c r="AE86" s="1195"/>
      <c r="AF86" s="1154" t="s">
        <v>736</v>
      </c>
      <c r="AG86" s="395" t="s">
        <v>737</v>
      </c>
      <c r="AH86" s="396" t="s">
        <v>738</v>
      </c>
      <c r="AI86" s="1137">
        <v>0</v>
      </c>
      <c r="AJ86" s="1137">
        <f>U86/4</f>
        <v>4.7500000000000001E-2</v>
      </c>
      <c r="AK86" s="1137">
        <v>0</v>
      </c>
      <c r="AL86" s="1137">
        <f>W86/4</f>
        <v>4.7500000000000001E-2</v>
      </c>
      <c r="AM86" s="1137">
        <v>0</v>
      </c>
      <c r="AN86" s="1137">
        <f>Y86/4</f>
        <v>3.5000000000000003E-2</v>
      </c>
      <c r="AO86" s="1137">
        <v>0</v>
      </c>
      <c r="AP86" s="1137">
        <f>AA86/4</f>
        <v>2.75E-2</v>
      </c>
      <c r="AQ86" s="1137">
        <v>0</v>
      </c>
      <c r="AR86" s="1151">
        <f>AC86/4</f>
        <v>0.03</v>
      </c>
    </row>
    <row r="87" spans="2:44" outlineLevel="1">
      <c r="B87" s="376" t="s">
        <v>658</v>
      </c>
      <c r="C87" s="390">
        <v>1</v>
      </c>
      <c r="D87" s="390">
        <v>1</v>
      </c>
      <c r="E87" s="390">
        <v>1</v>
      </c>
      <c r="F87" s="390">
        <v>1</v>
      </c>
      <c r="G87" s="390">
        <v>0.5</v>
      </c>
      <c r="H87" s="390">
        <v>2</v>
      </c>
      <c r="I87" s="390">
        <v>0.5</v>
      </c>
      <c r="J87" s="390">
        <v>2</v>
      </c>
      <c r="K87" s="379"/>
      <c r="L87" s="380">
        <v>1.4</v>
      </c>
      <c r="M87" s="367"/>
      <c r="N87" s="367"/>
      <c r="O87" s="71"/>
      <c r="P87" s="1195"/>
      <c r="Q87" s="1155"/>
      <c r="R87" s="395" t="s">
        <v>739</v>
      </c>
      <c r="S87" s="396" t="s">
        <v>738</v>
      </c>
      <c r="T87" s="1191"/>
      <c r="U87" s="1191"/>
      <c r="V87" s="1191"/>
      <c r="W87" s="1191"/>
      <c r="X87" s="1191"/>
      <c r="Y87" s="1191"/>
      <c r="Z87" s="1191"/>
      <c r="AA87" s="1191"/>
      <c r="AB87" s="1191"/>
      <c r="AC87" s="1193"/>
      <c r="AE87" s="1195"/>
      <c r="AF87" s="1155"/>
      <c r="AG87" s="395" t="s">
        <v>739</v>
      </c>
      <c r="AH87" s="396" t="s">
        <v>738</v>
      </c>
      <c r="AI87" s="1191"/>
      <c r="AJ87" s="1191"/>
      <c r="AK87" s="1191"/>
      <c r="AL87" s="1191"/>
      <c r="AM87" s="1191"/>
      <c r="AN87" s="1191"/>
      <c r="AO87" s="1191"/>
      <c r="AP87" s="1191"/>
      <c r="AQ87" s="1191"/>
      <c r="AR87" s="1193"/>
    </row>
    <row r="88" spans="2:44" outlineLevel="1">
      <c r="B88" s="383" t="s">
        <v>11</v>
      </c>
      <c r="C88" s="397">
        <v>20</v>
      </c>
      <c r="D88" s="397">
        <v>20</v>
      </c>
      <c r="E88" s="397">
        <v>20</v>
      </c>
      <c r="F88" s="397">
        <v>20</v>
      </c>
      <c r="G88" s="398">
        <v>15</v>
      </c>
      <c r="H88" s="398">
        <v>30</v>
      </c>
      <c r="I88" s="398">
        <v>15</v>
      </c>
      <c r="J88" s="398">
        <v>30</v>
      </c>
      <c r="K88" s="372"/>
      <c r="L88" s="373">
        <v>4</v>
      </c>
      <c r="M88" s="363"/>
      <c r="N88" s="363"/>
      <c r="P88" s="1195"/>
      <c r="Q88" s="1155"/>
      <c r="R88" s="395" t="s">
        <v>741</v>
      </c>
      <c r="S88" s="396"/>
      <c r="T88" s="1191"/>
      <c r="U88" s="1191"/>
      <c r="V88" s="1191"/>
      <c r="W88" s="1191"/>
      <c r="X88" s="1191"/>
      <c r="Y88" s="1191"/>
      <c r="Z88" s="1191"/>
      <c r="AA88" s="1191"/>
      <c r="AB88" s="1191"/>
      <c r="AC88" s="1193"/>
      <c r="AE88" s="1195"/>
      <c r="AF88" s="1155"/>
      <c r="AG88" s="395" t="s">
        <v>741</v>
      </c>
      <c r="AH88" s="629"/>
      <c r="AI88" s="1191"/>
      <c r="AJ88" s="1191"/>
      <c r="AK88" s="1191"/>
      <c r="AL88" s="1191"/>
      <c r="AM88" s="1191"/>
      <c r="AN88" s="1191"/>
      <c r="AO88" s="1191"/>
      <c r="AP88" s="1191"/>
      <c r="AQ88" s="1191"/>
      <c r="AR88" s="1193"/>
    </row>
    <row r="89" spans="2:44" ht="15" outlineLevel="1" thickBot="1">
      <c r="B89" s="376" t="s">
        <v>273</v>
      </c>
      <c r="C89" s="399">
        <v>0.5</v>
      </c>
      <c r="D89" s="399">
        <v>0.5</v>
      </c>
      <c r="E89" s="399">
        <v>0.5</v>
      </c>
      <c r="F89" s="399">
        <v>0.5</v>
      </c>
      <c r="G89" s="399">
        <v>0.3</v>
      </c>
      <c r="H89" s="399">
        <v>0.7</v>
      </c>
      <c r="I89" s="399">
        <v>0.3</v>
      </c>
      <c r="J89" s="399">
        <v>0.7</v>
      </c>
      <c r="K89" s="372"/>
      <c r="L89" s="400">
        <v>4</v>
      </c>
      <c r="M89" s="363"/>
      <c r="N89" s="363"/>
      <c r="P89" s="1195"/>
      <c r="Q89" s="1155"/>
      <c r="R89" s="395" t="s">
        <v>742</v>
      </c>
      <c r="S89" s="396" t="s">
        <v>738</v>
      </c>
      <c r="T89" s="1191"/>
      <c r="U89" s="1191"/>
      <c r="V89" s="1191"/>
      <c r="W89" s="1191"/>
      <c r="X89" s="1191"/>
      <c r="Y89" s="1191"/>
      <c r="Z89" s="1191"/>
      <c r="AA89" s="1191"/>
      <c r="AB89" s="1191"/>
      <c r="AC89" s="1193"/>
      <c r="AE89" s="1195"/>
      <c r="AF89" s="1155"/>
      <c r="AG89" s="395" t="s">
        <v>742</v>
      </c>
      <c r="AH89" s="396" t="s">
        <v>738</v>
      </c>
      <c r="AI89" s="1191"/>
      <c r="AJ89" s="1191"/>
      <c r="AK89" s="1191"/>
      <c r="AL89" s="1191"/>
      <c r="AM89" s="1191"/>
      <c r="AN89" s="1191"/>
      <c r="AO89" s="1191"/>
      <c r="AP89" s="1191"/>
      <c r="AQ89" s="1191"/>
      <c r="AR89" s="1193"/>
    </row>
    <row r="90" spans="2:44" ht="15" outlineLevel="1" thickBot="1">
      <c r="B90" s="401" t="s">
        <v>743</v>
      </c>
      <c r="C90" s="402"/>
      <c r="D90" s="403"/>
      <c r="E90" s="404"/>
      <c r="F90" s="405"/>
      <c r="G90" s="406"/>
      <c r="H90" s="406"/>
      <c r="I90" s="406"/>
      <c r="J90" s="406"/>
      <c r="K90" s="407"/>
      <c r="L90" s="408"/>
      <c r="M90" s="363"/>
      <c r="N90" s="363"/>
      <c r="P90" s="1195"/>
      <c r="Q90" s="1156"/>
      <c r="R90" s="409" t="s">
        <v>863</v>
      </c>
      <c r="S90" s="410" t="s">
        <v>738</v>
      </c>
      <c r="T90" s="1192"/>
      <c r="U90" s="1192"/>
      <c r="V90" s="1192"/>
      <c r="W90" s="1192"/>
      <c r="X90" s="1192"/>
      <c r="Y90" s="1192"/>
      <c r="Z90" s="1192"/>
      <c r="AA90" s="1192"/>
      <c r="AB90" s="1192"/>
      <c r="AC90" s="1194"/>
      <c r="AE90" s="1195"/>
      <c r="AF90" s="1156"/>
      <c r="AG90" s="409" t="s">
        <v>863</v>
      </c>
      <c r="AH90" s="410" t="s">
        <v>738</v>
      </c>
      <c r="AI90" s="1192"/>
      <c r="AJ90" s="1192"/>
      <c r="AK90" s="1192"/>
      <c r="AL90" s="1192"/>
      <c r="AM90" s="1192"/>
      <c r="AN90" s="1192"/>
      <c r="AO90" s="1192"/>
      <c r="AP90" s="1192"/>
      <c r="AQ90" s="1192"/>
      <c r="AR90" s="1194"/>
    </row>
    <row r="91" spans="2:44" ht="29.4" outlineLevel="1" thickBot="1">
      <c r="B91" s="376" t="s">
        <v>663</v>
      </c>
      <c r="C91" s="390">
        <v>10</v>
      </c>
      <c r="D91" s="390">
        <v>10</v>
      </c>
      <c r="E91" s="390">
        <v>10</v>
      </c>
      <c r="F91" s="390">
        <v>10</v>
      </c>
      <c r="G91" s="391"/>
      <c r="H91" s="391"/>
      <c r="I91" s="391"/>
      <c r="J91" s="391"/>
      <c r="K91" s="379"/>
      <c r="L91" s="380">
        <v>4</v>
      </c>
      <c r="M91" s="363"/>
      <c r="N91" s="363"/>
      <c r="P91" s="1196"/>
      <c r="Q91" s="411" t="s">
        <v>745</v>
      </c>
      <c r="R91" s="412" t="s">
        <v>746</v>
      </c>
      <c r="S91" s="630" t="s">
        <v>738</v>
      </c>
      <c r="T91" s="416">
        <v>0</v>
      </c>
      <c r="U91" s="415">
        <f>T91</f>
        <v>0</v>
      </c>
      <c r="V91" s="416">
        <v>0</v>
      </c>
      <c r="W91" s="415">
        <f>V91</f>
        <v>0</v>
      </c>
      <c r="X91" s="416">
        <v>0</v>
      </c>
      <c r="Y91" s="415">
        <f>X91</f>
        <v>0</v>
      </c>
      <c r="Z91" s="416">
        <v>0</v>
      </c>
      <c r="AA91" s="415">
        <f>Z91</f>
        <v>0</v>
      </c>
      <c r="AB91" s="416">
        <v>0</v>
      </c>
      <c r="AC91" s="417">
        <f>AB91</f>
        <v>0</v>
      </c>
      <c r="AE91" s="1196"/>
      <c r="AF91" s="411" t="s">
        <v>745</v>
      </c>
      <c r="AG91" s="1249" t="s">
        <v>746</v>
      </c>
      <c r="AH91" s="1250" t="s">
        <v>738</v>
      </c>
      <c r="AI91" s="416">
        <v>0</v>
      </c>
      <c r="AJ91" s="415">
        <f>AI91</f>
        <v>0</v>
      </c>
      <c r="AK91" s="416">
        <v>0</v>
      </c>
      <c r="AL91" s="415">
        <f>AK91</f>
        <v>0</v>
      </c>
      <c r="AM91" s="416">
        <v>0</v>
      </c>
      <c r="AN91" s="415">
        <f>AM91</f>
        <v>0</v>
      </c>
      <c r="AO91" s="416">
        <v>0</v>
      </c>
      <c r="AP91" s="415">
        <f>AO91</f>
        <v>0</v>
      </c>
      <c r="AQ91" s="416">
        <v>0</v>
      </c>
      <c r="AR91" s="417">
        <f>AQ91</f>
        <v>0</v>
      </c>
    </row>
    <row r="92" spans="2:44" outlineLevel="1">
      <c r="B92" s="376" t="s">
        <v>664</v>
      </c>
      <c r="C92" s="390">
        <v>0.25</v>
      </c>
      <c r="D92" s="390">
        <v>0.25</v>
      </c>
      <c r="E92" s="390">
        <v>0.25</v>
      </c>
      <c r="F92" s="390">
        <v>0.25</v>
      </c>
      <c r="G92" s="418"/>
      <c r="H92" s="418"/>
      <c r="I92" s="418"/>
      <c r="J92" s="418"/>
      <c r="K92" s="419"/>
      <c r="L92" s="380">
        <v>4</v>
      </c>
      <c r="M92" s="363"/>
      <c r="N92" s="363"/>
    </row>
    <row r="93" spans="2:44" outlineLevel="1">
      <c r="B93" s="376" t="s">
        <v>666</v>
      </c>
      <c r="C93" s="390">
        <v>1</v>
      </c>
      <c r="D93" s="390">
        <v>1</v>
      </c>
      <c r="E93" s="390">
        <v>1</v>
      </c>
      <c r="F93" s="390">
        <v>1</v>
      </c>
      <c r="G93" s="418"/>
      <c r="H93" s="418"/>
      <c r="I93" s="418"/>
      <c r="J93" s="418"/>
      <c r="K93" s="419"/>
      <c r="L93" s="380">
        <v>1</v>
      </c>
      <c r="M93" s="420"/>
      <c r="N93" s="363"/>
    </row>
    <row r="94" spans="2:44" outlineLevel="1">
      <c r="B94" s="421" t="s">
        <v>12</v>
      </c>
      <c r="C94" s="399"/>
      <c r="D94" s="399"/>
      <c r="E94" s="399"/>
      <c r="F94" s="399"/>
      <c r="G94" s="422"/>
      <c r="H94" s="422"/>
      <c r="I94" s="422"/>
      <c r="J94" s="422"/>
      <c r="K94" s="423"/>
      <c r="L94" s="424"/>
      <c r="M94" s="420"/>
      <c r="N94" s="420"/>
    </row>
    <row r="95" spans="2:44" outlineLevel="1">
      <c r="B95" s="383" t="s">
        <v>843</v>
      </c>
      <c r="C95" s="1231" t="s">
        <v>669</v>
      </c>
      <c r="D95" s="1232"/>
      <c r="E95" s="1232"/>
      <c r="F95" s="1233"/>
      <c r="G95" s="422"/>
      <c r="H95" s="425"/>
      <c r="I95" s="425"/>
      <c r="J95" s="425"/>
      <c r="K95" s="426"/>
      <c r="L95" s="427"/>
      <c r="M95" s="428"/>
      <c r="N95" s="428"/>
    </row>
    <row r="96" spans="2:44" outlineLevel="1">
      <c r="B96" s="383" t="s">
        <v>749</v>
      </c>
      <c r="C96" s="1234"/>
      <c r="D96" s="1235"/>
      <c r="E96" s="1235"/>
      <c r="F96" s="1236"/>
      <c r="G96" s="425"/>
      <c r="H96" s="425"/>
      <c r="I96" s="425"/>
      <c r="J96" s="425"/>
      <c r="K96" s="423"/>
      <c r="L96" s="427"/>
      <c r="M96" s="428"/>
      <c r="N96" s="428"/>
    </row>
    <row r="97" spans="1:30" outlineLevel="1">
      <c r="B97" s="383" t="s">
        <v>844</v>
      </c>
      <c r="C97" s="1234"/>
      <c r="D97" s="1235"/>
      <c r="E97" s="1235"/>
      <c r="F97" s="1236"/>
      <c r="G97" s="425"/>
      <c r="H97" s="425"/>
      <c r="I97" s="425"/>
      <c r="J97" s="425"/>
      <c r="K97" s="423"/>
      <c r="L97" s="427"/>
      <c r="M97" s="428"/>
      <c r="N97" s="428"/>
    </row>
    <row r="98" spans="1:30" outlineLevel="1">
      <c r="B98" s="383" t="s">
        <v>366</v>
      </c>
      <c r="C98" s="1234"/>
      <c r="D98" s="1235"/>
      <c r="E98" s="1235"/>
      <c r="F98" s="1236"/>
      <c r="G98" s="425"/>
      <c r="H98" s="425"/>
      <c r="I98" s="425"/>
      <c r="J98" s="425"/>
      <c r="K98" s="423"/>
      <c r="L98" s="427"/>
      <c r="M98" s="428"/>
      <c r="N98" s="428"/>
    </row>
    <row r="99" spans="1:30" ht="15" outlineLevel="1" thickBot="1">
      <c r="B99" s="429" t="s">
        <v>367</v>
      </c>
      <c r="C99" s="1237"/>
      <c r="D99" s="1238"/>
      <c r="E99" s="1238"/>
      <c r="F99" s="1239"/>
      <c r="G99" s="425"/>
      <c r="H99" s="425"/>
      <c r="I99" s="425"/>
      <c r="J99" s="425"/>
      <c r="K99" s="423"/>
      <c r="L99" s="427"/>
      <c r="M99" s="428"/>
      <c r="N99" s="428"/>
    </row>
    <row r="100" spans="1:30" ht="15" outlineLevel="1" thickBot="1">
      <c r="B100" s="431" t="s">
        <v>674</v>
      </c>
      <c r="C100" s="432"/>
      <c r="D100" s="403"/>
      <c r="E100" s="403"/>
      <c r="F100" s="433"/>
      <c r="G100" s="434"/>
      <c r="H100" s="406"/>
      <c r="I100" s="406"/>
      <c r="J100" s="406"/>
      <c r="K100" s="407"/>
      <c r="L100" s="408"/>
      <c r="M100" s="428"/>
      <c r="N100" s="428"/>
    </row>
    <row r="101" spans="1:30" ht="26.4" outlineLevel="1">
      <c r="A101" s="435"/>
      <c r="B101" s="436" t="s">
        <v>751</v>
      </c>
      <c r="C101" s="511">
        <v>0.73</v>
      </c>
      <c r="D101" s="512">
        <v>0.65</v>
      </c>
      <c r="E101" s="512">
        <v>0.6</v>
      </c>
      <c r="F101" s="513">
        <v>0.57999999999999996</v>
      </c>
      <c r="G101" s="425"/>
      <c r="H101" s="425"/>
      <c r="I101" s="425"/>
      <c r="J101" s="425"/>
      <c r="K101" s="426"/>
      <c r="L101" s="440">
        <v>1</v>
      </c>
      <c r="M101" s="420"/>
      <c r="N101" s="420"/>
    </row>
    <row r="102" spans="1:30" outlineLevel="1">
      <c r="B102" s="441" t="s">
        <v>839</v>
      </c>
      <c r="C102" s="442">
        <v>60</v>
      </c>
      <c r="D102" s="442">
        <v>60</v>
      </c>
      <c r="E102" s="442">
        <v>60</v>
      </c>
      <c r="F102" s="442">
        <v>60</v>
      </c>
      <c r="G102" s="425"/>
      <c r="H102" s="425"/>
      <c r="I102" s="425"/>
      <c r="J102" s="425"/>
      <c r="K102" s="444" t="s">
        <v>76</v>
      </c>
      <c r="L102" s="373">
        <v>6</v>
      </c>
      <c r="M102" s="71"/>
      <c r="N102" s="420"/>
    </row>
    <row r="103" spans="1:30" outlineLevel="1">
      <c r="B103" s="441" t="s">
        <v>840</v>
      </c>
      <c r="C103" s="442">
        <v>40</v>
      </c>
      <c r="D103" s="442">
        <v>40</v>
      </c>
      <c r="E103" s="442">
        <v>40</v>
      </c>
      <c r="F103" s="442">
        <v>40</v>
      </c>
      <c r="G103" s="425"/>
      <c r="H103" s="425"/>
      <c r="I103" s="425"/>
      <c r="J103" s="425"/>
      <c r="K103" s="444" t="s">
        <v>25</v>
      </c>
      <c r="L103" s="373">
        <v>6</v>
      </c>
      <c r="M103" s="420"/>
      <c r="N103" s="420"/>
    </row>
    <row r="104" spans="1:30" outlineLevel="1">
      <c r="B104" s="383" t="s">
        <v>841</v>
      </c>
      <c r="C104" s="445">
        <v>2000</v>
      </c>
      <c r="D104" s="446">
        <v>2000</v>
      </c>
      <c r="E104" s="446">
        <v>2000</v>
      </c>
      <c r="F104" s="447">
        <v>2000</v>
      </c>
      <c r="G104" s="425"/>
      <c r="H104" s="425"/>
      <c r="I104" s="425"/>
      <c r="J104" s="425"/>
      <c r="K104" s="448"/>
      <c r="L104" s="373">
        <v>4.5</v>
      </c>
      <c r="M104" s="420"/>
      <c r="N104" s="420"/>
    </row>
    <row r="105" spans="1:30" ht="15" outlineLevel="1" thickBot="1">
      <c r="B105" s="383" t="s">
        <v>679</v>
      </c>
      <c r="C105" s="449">
        <f>SUM(C106:C107)</f>
        <v>3.26</v>
      </c>
      <c r="D105" s="449">
        <f>SUM(D106:D107)</f>
        <v>3.2</v>
      </c>
      <c r="E105" s="449">
        <f>(D105+F105)/2</f>
        <v>3.16</v>
      </c>
      <c r="F105" s="449">
        <f>SUM(F106:F107)</f>
        <v>3.12</v>
      </c>
      <c r="G105" s="425"/>
      <c r="H105" s="425"/>
      <c r="I105" s="425"/>
      <c r="J105" s="425"/>
      <c r="K105" s="448"/>
      <c r="L105" s="373">
        <v>4</v>
      </c>
      <c r="M105" s="688"/>
      <c r="N105" s="689"/>
      <c r="P105" s="1142">
        <f>C105</f>
        <v>3.26</v>
      </c>
      <c r="Q105" s="1143"/>
      <c r="R105" s="1143"/>
      <c r="S105" s="1143"/>
      <c r="T105" s="1143"/>
      <c r="U105" s="1144"/>
    </row>
    <row r="106" spans="1:30" ht="15" outlineLevel="1" thickBot="1">
      <c r="B106" s="451" t="s">
        <v>758</v>
      </c>
      <c r="C106" s="452">
        <f>C85/100*73</f>
        <v>1.46</v>
      </c>
      <c r="D106" s="452">
        <f>D85/100*75</f>
        <v>1.5</v>
      </c>
      <c r="E106" s="452">
        <f>E85/100*76</f>
        <v>1.52</v>
      </c>
      <c r="F106" s="452">
        <f>F85/100*76</f>
        <v>1.52</v>
      </c>
      <c r="G106" s="453"/>
      <c r="H106" s="453"/>
      <c r="I106" s="453"/>
      <c r="J106" s="453"/>
      <c r="K106" s="379" t="s">
        <v>33</v>
      </c>
      <c r="L106" s="380">
        <v>4</v>
      </c>
      <c r="M106" s="688"/>
      <c r="N106" s="689"/>
      <c r="P106" s="1134">
        <f>C106</f>
        <v>1.46</v>
      </c>
      <c r="Q106" s="1135"/>
      <c r="R106" s="1135"/>
      <c r="S106" s="1135"/>
      <c r="T106" s="1135"/>
      <c r="U106" s="1136"/>
    </row>
    <row r="107" spans="1:30" outlineLevel="1">
      <c r="B107" s="451" t="s">
        <v>759</v>
      </c>
      <c r="C107" s="454">
        <v>1.8</v>
      </c>
      <c r="D107" s="454">
        <v>1.7</v>
      </c>
      <c r="E107" s="454">
        <f>(D107+F107)/2</f>
        <v>1.65</v>
      </c>
      <c r="F107" s="454">
        <v>1.6</v>
      </c>
      <c r="G107" s="453"/>
      <c r="H107" s="453"/>
      <c r="I107" s="453"/>
      <c r="J107" s="453"/>
      <c r="K107" s="455"/>
      <c r="L107" s="380">
        <v>4</v>
      </c>
      <c r="M107" s="363"/>
      <c r="N107" s="363"/>
      <c r="P107" s="53" t="s">
        <v>357</v>
      </c>
    </row>
    <row r="108" spans="1:30" ht="27.6" outlineLevel="1">
      <c r="B108" s="441"/>
      <c r="C108" s="642"/>
      <c r="D108" s="642"/>
      <c r="E108" s="642"/>
      <c r="F108" s="642"/>
      <c r="G108" s="425"/>
      <c r="H108" s="425"/>
      <c r="I108" s="425"/>
      <c r="J108" s="425"/>
      <c r="K108" s="444"/>
      <c r="L108" s="424"/>
      <c r="M108" s="367"/>
      <c r="N108" s="36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4.6" outlineLevel="1" thickBot="1">
      <c r="B109" s="441"/>
      <c r="C109" s="442"/>
      <c r="D109" s="457"/>
      <c r="E109" s="457"/>
      <c r="F109" s="458"/>
      <c r="G109" s="425"/>
      <c r="H109" s="425"/>
      <c r="I109" s="425"/>
      <c r="J109" s="425"/>
      <c r="K109" s="448"/>
      <c r="L109" s="424"/>
      <c r="M109" s="363"/>
      <c r="N109" s="363"/>
      <c r="P109" s="50"/>
      <c r="Q109" s="50"/>
      <c r="R109" s="51"/>
      <c r="S109" s="51"/>
      <c r="T109" s="51"/>
      <c r="U109" s="51" t="s">
        <v>760</v>
      </c>
      <c r="V109" s="50" t="s">
        <v>761</v>
      </c>
      <c r="W109" s="50"/>
      <c r="X109" s="50"/>
      <c r="Y109" s="50"/>
      <c r="Z109" s="50"/>
      <c r="AA109" s="50"/>
      <c r="AB109" s="50"/>
      <c r="AC109" s="50"/>
      <c r="AD109" s="50"/>
    </row>
    <row r="110" spans="1:30" ht="43.8" outlineLevel="1" thickBot="1">
      <c r="B110" s="401" t="s">
        <v>682</v>
      </c>
      <c r="C110" s="402"/>
      <c r="D110" s="403"/>
      <c r="E110" s="404"/>
      <c r="F110" s="405"/>
      <c r="G110" s="406"/>
      <c r="H110" s="406"/>
      <c r="I110" s="406"/>
      <c r="J110" s="406"/>
      <c r="K110" s="459"/>
      <c r="L110" s="460"/>
      <c r="M110" s="363"/>
      <c r="N110" s="363"/>
      <c r="O110" s="461" t="s">
        <v>732</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451" t="s">
        <v>762</v>
      </c>
      <c r="C111" s="633">
        <f>C101*0.2</f>
        <v>0.14599999999999999</v>
      </c>
      <c r="D111" s="633">
        <f>D101*0.2</f>
        <v>0.13</v>
      </c>
      <c r="E111" s="633">
        <f>E101*0.2</f>
        <v>0.12</v>
      </c>
      <c r="F111" s="633">
        <f>F101*0.2</f>
        <v>0.11599999999999999</v>
      </c>
      <c r="G111" s="643"/>
      <c r="H111" s="643"/>
      <c r="I111" s="643"/>
      <c r="J111" s="643"/>
      <c r="K111" s="643" t="s">
        <v>51</v>
      </c>
      <c r="L111" s="464"/>
      <c r="M111" s="363"/>
      <c r="N111" s="363"/>
      <c r="O111" s="465">
        <f>C84</f>
        <v>442</v>
      </c>
      <c r="P111" s="466">
        <f>C80</f>
        <v>2020</v>
      </c>
      <c r="Q111" s="58">
        <f>P111</f>
        <v>2020</v>
      </c>
      <c r="R111" s="466">
        <f>O111/100</f>
        <v>4.42</v>
      </c>
      <c r="S111" s="58"/>
      <c r="T111" s="466">
        <f>C88</f>
        <v>20</v>
      </c>
      <c r="U111" s="467">
        <f>C118</f>
        <v>5438.5</v>
      </c>
      <c r="V111" s="467">
        <f>C120</f>
        <v>14.9</v>
      </c>
      <c r="W111" s="467">
        <f>C121</f>
        <v>6.7463888888888883</v>
      </c>
      <c r="X111" s="58"/>
      <c r="Y111" s="58"/>
      <c r="Z111" s="466" t="str">
        <f>C95</f>
        <v>Cf. the utilized electricity</v>
      </c>
      <c r="AA111" s="468">
        <f>C97</f>
        <v>0</v>
      </c>
      <c r="AB111" s="468">
        <f>C98</f>
        <v>0</v>
      </c>
      <c r="AC111" s="468">
        <f>C99</f>
        <v>0</v>
      </c>
      <c r="AD111" s="468">
        <f>C96</f>
        <v>0</v>
      </c>
    </row>
    <row r="112" spans="1:30" outlineLevel="1">
      <c r="B112" s="376" t="s">
        <v>763</v>
      </c>
      <c r="C112" s="469" t="s">
        <v>36</v>
      </c>
      <c r="D112" s="470" t="s">
        <v>36</v>
      </c>
      <c r="E112" s="470" t="s">
        <v>36</v>
      </c>
      <c r="F112" s="471" t="s">
        <v>36</v>
      </c>
      <c r="G112" s="471"/>
      <c r="H112" s="471"/>
      <c r="I112" s="471"/>
      <c r="J112" s="471"/>
      <c r="K112" s="472"/>
      <c r="L112" s="464"/>
      <c r="M112" s="363"/>
      <c r="N112" s="363"/>
      <c r="O112" s="465">
        <f>D84</f>
        <v>455.41</v>
      </c>
      <c r="P112" s="466">
        <f>D80</f>
        <v>2030</v>
      </c>
      <c r="Q112" s="58"/>
      <c r="R112" s="466">
        <f>O112/100</f>
        <v>4.5541</v>
      </c>
      <c r="S112" s="58"/>
      <c r="T112" s="466">
        <f>D88</f>
        <v>20</v>
      </c>
      <c r="U112" s="467">
        <f>D118</f>
        <v>4842.5</v>
      </c>
      <c r="V112" s="467">
        <f>D120</f>
        <v>14.9</v>
      </c>
      <c r="W112" s="467">
        <f>D121</f>
        <v>6.6222222222222227</v>
      </c>
      <c r="X112" s="58"/>
      <c r="Y112" s="58"/>
      <c r="Z112" s="466">
        <f>D95</f>
        <v>0</v>
      </c>
      <c r="AA112" s="468">
        <f>D97</f>
        <v>0</v>
      </c>
      <c r="AB112" s="468">
        <f>D98</f>
        <v>0</v>
      </c>
      <c r="AC112" s="468">
        <f>D99</f>
        <v>0</v>
      </c>
      <c r="AD112" s="468">
        <f>D96</f>
        <v>0</v>
      </c>
    </row>
    <row r="113" spans="2:30" outlineLevel="1">
      <c r="B113" s="376" t="s">
        <v>764</v>
      </c>
      <c r="C113" s="469" t="s">
        <v>36</v>
      </c>
      <c r="D113" s="470" t="s">
        <v>36</v>
      </c>
      <c r="E113" s="470" t="s">
        <v>36</v>
      </c>
      <c r="F113" s="471" t="s">
        <v>36</v>
      </c>
      <c r="G113" s="453"/>
      <c r="H113" s="453"/>
      <c r="I113" s="453"/>
      <c r="J113" s="453"/>
      <c r="K113" s="453"/>
      <c r="L113" s="380"/>
      <c r="M113" s="363"/>
      <c r="N113" s="363"/>
      <c r="O113" s="465">
        <f>E84</f>
        <v>464.61820000000006</v>
      </c>
      <c r="P113" s="466">
        <f>E80</f>
        <v>2040</v>
      </c>
      <c r="Q113" s="58"/>
      <c r="R113" s="466">
        <f>O113/100</f>
        <v>4.6461820000000005</v>
      </c>
      <c r="S113" s="58"/>
      <c r="T113" s="466">
        <f>E88</f>
        <v>20</v>
      </c>
      <c r="U113" s="467">
        <f>E118</f>
        <v>4470</v>
      </c>
      <c r="V113" s="467">
        <f>E120</f>
        <v>14.9</v>
      </c>
      <c r="W113" s="467">
        <f>E121</f>
        <v>6.5394444444444444</v>
      </c>
      <c r="X113" s="58"/>
      <c r="Y113" s="58"/>
      <c r="Z113" s="466">
        <f>E95</f>
        <v>0</v>
      </c>
      <c r="AA113" s="468">
        <f>E97</f>
        <v>0</v>
      </c>
      <c r="AB113" s="468">
        <f>E98</f>
        <v>0</v>
      </c>
      <c r="AC113" s="468">
        <f>E99</f>
        <v>0</v>
      </c>
      <c r="AD113" s="468">
        <f>E96</f>
        <v>0</v>
      </c>
    </row>
    <row r="114" spans="2:30" outlineLevel="1">
      <c r="B114" s="376" t="s">
        <v>765</v>
      </c>
      <c r="C114" s="1240" t="s">
        <v>669</v>
      </c>
      <c r="D114" s="1241"/>
      <c r="E114" s="1241"/>
      <c r="F114" s="1242"/>
      <c r="G114" s="474"/>
      <c r="H114" s="474"/>
      <c r="I114" s="474"/>
      <c r="J114" s="474"/>
      <c r="K114" s="474"/>
      <c r="L114" s="380"/>
      <c r="M114" s="363"/>
      <c r="N114" s="363"/>
      <c r="O114" s="465">
        <f>F84</f>
        <v>469.31438200000008</v>
      </c>
      <c r="P114" s="466">
        <f>F80</f>
        <v>2050</v>
      </c>
      <c r="Q114" s="58"/>
      <c r="R114" s="466">
        <f>O114/100</f>
        <v>4.6931438200000004</v>
      </c>
      <c r="S114" s="58"/>
      <c r="T114" s="466">
        <f>F88</f>
        <v>20</v>
      </c>
      <c r="U114" s="467">
        <f>F118</f>
        <v>4321</v>
      </c>
      <c r="V114" s="467">
        <f>F120</f>
        <v>14.9</v>
      </c>
      <c r="W114" s="467">
        <f>F121</f>
        <v>6.4566666666666661</v>
      </c>
      <c r="X114" s="58"/>
      <c r="Y114" s="58"/>
      <c r="Z114" s="466">
        <f>F95</f>
        <v>0</v>
      </c>
      <c r="AA114" s="468">
        <f>F97</f>
        <v>0</v>
      </c>
      <c r="AB114" s="468">
        <f>F98</f>
        <v>0</v>
      </c>
      <c r="AC114" s="468">
        <f>F99</f>
        <v>0</v>
      </c>
      <c r="AD114" s="468">
        <f>F96</f>
        <v>0</v>
      </c>
    </row>
    <row r="115" spans="2:30" outlineLevel="1">
      <c r="B115" s="475" t="s">
        <v>766</v>
      </c>
      <c r="C115" s="469">
        <v>30</v>
      </c>
      <c r="D115" s="470">
        <v>30</v>
      </c>
      <c r="E115" s="470">
        <v>30</v>
      </c>
      <c r="F115" s="471">
        <v>30</v>
      </c>
      <c r="G115" s="474"/>
      <c r="H115" s="474"/>
      <c r="I115" s="474"/>
      <c r="J115" s="474"/>
      <c r="K115" s="474" t="s">
        <v>52</v>
      </c>
      <c r="L115" s="476"/>
      <c r="M115" s="367"/>
      <c r="N115" s="367"/>
    </row>
    <row r="116" spans="2:30" outlineLevel="1">
      <c r="B116" s="475" t="s">
        <v>767</v>
      </c>
      <c r="C116" s="469">
        <v>20</v>
      </c>
      <c r="D116" s="470">
        <v>20</v>
      </c>
      <c r="E116" s="470">
        <v>20</v>
      </c>
      <c r="F116" s="471">
        <v>20</v>
      </c>
      <c r="G116" s="474"/>
      <c r="H116" s="474"/>
      <c r="I116" s="474"/>
      <c r="J116" s="474"/>
      <c r="K116" s="474" t="s">
        <v>52</v>
      </c>
      <c r="L116" s="476"/>
      <c r="M116" s="363"/>
      <c r="N116" s="363"/>
    </row>
    <row r="117" spans="2:30" ht="15" outlineLevel="1" thickBot="1">
      <c r="B117" s="477" t="s">
        <v>768</v>
      </c>
      <c r="C117" s="478" t="s">
        <v>36</v>
      </c>
      <c r="D117" s="479" t="s">
        <v>36</v>
      </c>
      <c r="E117" s="479" t="s">
        <v>36</v>
      </c>
      <c r="F117" s="480" t="s">
        <v>36</v>
      </c>
      <c r="G117" s="481"/>
      <c r="H117" s="481"/>
      <c r="I117" s="481"/>
      <c r="J117" s="481"/>
      <c r="K117" s="481"/>
      <c r="L117" s="482"/>
      <c r="M117" s="363"/>
      <c r="N117" s="363"/>
    </row>
    <row r="118" spans="2:30" ht="57.6" outlineLevel="1">
      <c r="B118" s="461" t="s">
        <v>769</v>
      </c>
      <c r="C118" s="483">
        <f>C101*$F$4*1000</f>
        <v>5438.5</v>
      </c>
      <c r="D118" s="483">
        <f t="shared" ref="D118:F118" si="5">D101*$F$4*1000</f>
        <v>4842.5</v>
      </c>
      <c r="E118" s="483">
        <f t="shared" si="5"/>
        <v>4470</v>
      </c>
      <c r="F118" s="483">
        <f t="shared" si="5"/>
        <v>4321</v>
      </c>
      <c r="G118" s="483"/>
      <c r="H118" s="484"/>
      <c r="I118" s="420" t="s">
        <v>332</v>
      </c>
      <c r="J118" s="420"/>
      <c r="K118" s="484"/>
      <c r="L118" s="484"/>
      <c r="N118" s="420"/>
    </row>
    <row r="119" spans="2:30" outlineLevel="1">
      <c r="B119" s="485" t="s">
        <v>770</v>
      </c>
      <c r="C119" s="486">
        <f>C118*$I119</f>
        <v>2719250</v>
      </c>
      <c r="D119" s="486">
        <f>D118*$I119</f>
        <v>2421250</v>
      </c>
      <c r="E119" s="486">
        <f>E118*$I119</f>
        <v>2235000</v>
      </c>
      <c r="F119" s="486">
        <f>F118*$I119</f>
        <v>2160500</v>
      </c>
      <c r="G119" s="486"/>
      <c r="H119" s="484"/>
      <c r="I119" s="71">
        <v>500</v>
      </c>
      <c r="J119" s="420" t="s">
        <v>330</v>
      </c>
      <c r="K119" s="484"/>
      <c r="L119" s="484"/>
      <c r="N119" s="420"/>
    </row>
    <row r="120" spans="2:30" ht="43.2" outlineLevel="1">
      <c r="B120" s="461" t="s">
        <v>845</v>
      </c>
      <c r="C120" s="359">
        <f>C104*$F$4/1000</f>
        <v>14.9</v>
      </c>
      <c r="D120" s="359">
        <f t="shared" ref="D120:F120" si="6">D104*$F$4/1000</f>
        <v>14.9</v>
      </c>
      <c r="E120" s="359">
        <f t="shared" si="6"/>
        <v>14.9</v>
      </c>
      <c r="F120" s="359">
        <f t="shared" si="6"/>
        <v>14.9</v>
      </c>
      <c r="G120" s="359"/>
      <c r="I120" s="420" t="s">
        <v>333</v>
      </c>
      <c r="J120" s="420"/>
      <c r="N120" s="420"/>
    </row>
    <row r="121" spans="2:30" ht="43.2" outlineLevel="1">
      <c r="B121" s="461" t="s">
        <v>846</v>
      </c>
      <c r="C121" s="487">
        <f>C105*$F$4/3.6</f>
        <v>6.7463888888888883</v>
      </c>
      <c r="D121" s="487">
        <f t="shared" ref="D121:F121" si="7">D105*$F$4/3.6</f>
        <v>6.6222222222222227</v>
      </c>
      <c r="E121" s="487">
        <f t="shared" si="7"/>
        <v>6.5394444444444444</v>
      </c>
      <c r="F121" s="487">
        <f t="shared" si="7"/>
        <v>6.4566666666666661</v>
      </c>
      <c r="G121" s="359"/>
      <c r="M121" s="420"/>
      <c r="N121" s="420"/>
    </row>
    <row r="122" spans="2:30" outlineLevel="1"/>
    <row r="123" spans="2:30" outlineLevel="1"/>
    <row r="124" spans="2:30" outlineLevel="1"/>
    <row r="125" spans="2:30" outlineLevel="1"/>
    <row r="126" spans="2:30" outlineLevel="1">
      <c r="E126" s="358"/>
      <c r="F126" s="358"/>
      <c r="G126" s="358"/>
      <c r="H126" s="358"/>
      <c r="I126" s="358"/>
      <c r="J126" s="358"/>
      <c r="K126" s="358"/>
      <c r="L126" s="358"/>
    </row>
    <row r="127" spans="2:30" outlineLevel="1">
      <c r="B127" s="634" t="s">
        <v>773</v>
      </c>
      <c r="C127" s="490"/>
      <c r="D127" s="490"/>
      <c r="E127" s="358"/>
      <c r="F127" s="358"/>
      <c r="G127" s="358"/>
      <c r="H127" s="358"/>
      <c r="I127" s="358"/>
      <c r="J127" s="358"/>
      <c r="K127" s="358"/>
      <c r="L127" s="358"/>
    </row>
    <row r="128" spans="2:30" outlineLevel="1">
      <c r="B128" s="358">
        <v>1</v>
      </c>
      <c r="C128" s="635" t="s">
        <v>847</v>
      </c>
      <c r="D128" s="490"/>
      <c r="F128" s="358"/>
      <c r="G128" s="358"/>
      <c r="H128" s="358"/>
      <c r="I128" s="358"/>
      <c r="J128" s="358"/>
      <c r="K128" s="358"/>
      <c r="L128" s="358"/>
    </row>
    <row r="129" spans="2:12" outlineLevel="1">
      <c r="B129" s="358">
        <v>2</v>
      </c>
      <c r="C129" s="635" t="s">
        <v>848</v>
      </c>
      <c r="D129" s="490"/>
      <c r="F129" s="358"/>
      <c r="G129" s="358"/>
      <c r="H129" s="358"/>
      <c r="I129" s="358"/>
      <c r="J129" s="358"/>
      <c r="K129" s="358"/>
      <c r="L129" s="358"/>
    </row>
    <row r="130" spans="2:12" outlineLevel="1">
      <c r="B130" s="358">
        <v>3</v>
      </c>
      <c r="C130" s="490" t="s">
        <v>849</v>
      </c>
      <c r="D130" s="490"/>
      <c r="F130" s="358"/>
      <c r="G130" s="358"/>
      <c r="H130" s="358"/>
      <c r="I130" s="358"/>
      <c r="J130" s="358"/>
      <c r="K130" s="358"/>
      <c r="L130" s="358"/>
    </row>
    <row r="131" spans="2:12" outlineLevel="1">
      <c r="B131" s="358">
        <v>4</v>
      </c>
      <c r="C131" s="490" t="s">
        <v>850</v>
      </c>
      <c r="D131" s="490"/>
      <c r="F131" s="358"/>
      <c r="G131" s="358"/>
      <c r="H131" s="358"/>
      <c r="I131" s="358"/>
      <c r="J131" s="358"/>
      <c r="K131" s="358"/>
      <c r="L131" s="358"/>
    </row>
    <row r="132" spans="2:12" outlineLevel="1">
      <c r="B132" s="358">
        <v>5</v>
      </c>
      <c r="C132" s="636" t="s">
        <v>851</v>
      </c>
      <c r="D132" s="490"/>
      <c r="F132" s="358"/>
      <c r="G132" s="358"/>
      <c r="H132" s="358"/>
      <c r="I132" s="358"/>
      <c r="J132" s="358"/>
      <c r="K132" s="358"/>
      <c r="L132" s="358"/>
    </row>
    <row r="133" spans="2:12" outlineLevel="1">
      <c r="B133" s="358">
        <v>6</v>
      </c>
      <c r="C133" s="490" t="s">
        <v>852</v>
      </c>
      <c r="D133" s="490"/>
      <c r="F133" s="358"/>
      <c r="G133" s="358"/>
      <c r="H133" s="358"/>
      <c r="I133" s="358"/>
      <c r="J133" s="358"/>
      <c r="K133" s="358"/>
      <c r="L133" s="358"/>
    </row>
    <row r="134" spans="2:12" outlineLevel="1">
      <c r="B134" s="634" t="s">
        <v>783</v>
      </c>
      <c r="C134" s="358"/>
      <c r="D134" s="490"/>
      <c r="F134" s="358"/>
      <c r="G134" s="358"/>
      <c r="H134" s="358"/>
      <c r="I134" s="358"/>
      <c r="J134" s="358"/>
      <c r="K134" s="358"/>
      <c r="L134" s="358"/>
    </row>
    <row r="135" spans="2:12" outlineLevel="1">
      <c r="B135" s="637" t="s">
        <v>6</v>
      </c>
      <c r="C135" s="490" t="s">
        <v>853</v>
      </c>
      <c r="D135" s="490"/>
      <c r="F135" s="358"/>
      <c r="G135" s="358"/>
      <c r="H135" s="358"/>
      <c r="I135" s="358"/>
      <c r="J135" s="358"/>
      <c r="K135" s="358"/>
      <c r="L135" s="358"/>
    </row>
    <row r="136" spans="2:12" outlineLevel="1">
      <c r="B136" s="637" t="s">
        <v>59</v>
      </c>
      <c r="C136" s="490" t="s">
        <v>854</v>
      </c>
      <c r="D136" s="490"/>
      <c r="F136" s="358"/>
      <c r="G136" s="358"/>
      <c r="H136" s="358"/>
      <c r="I136" s="358"/>
      <c r="J136" s="358"/>
      <c r="K136" s="358"/>
      <c r="L136" s="358"/>
    </row>
    <row r="137" spans="2:12" outlineLevel="1">
      <c r="B137" s="637" t="s">
        <v>16</v>
      </c>
      <c r="C137" s="490" t="s">
        <v>855</v>
      </c>
      <c r="D137" s="490"/>
      <c r="F137" s="358"/>
      <c r="G137" s="358"/>
      <c r="H137" s="358"/>
      <c r="I137" s="358"/>
      <c r="J137" s="358"/>
      <c r="K137" s="358"/>
      <c r="L137" s="358"/>
    </row>
    <row r="138" spans="2:12" outlineLevel="1">
      <c r="B138" s="637" t="s">
        <v>20</v>
      </c>
      <c r="C138" s="490" t="s">
        <v>856</v>
      </c>
      <c r="D138" s="490"/>
      <c r="F138" s="358"/>
      <c r="G138" s="358"/>
      <c r="H138" s="358"/>
      <c r="I138" s="358"/>
      <c r="J138" s="358"/>
      <c r="K138" s="358"/>
      <c r="L138" s="358"/>
    </row>
    <row r="139" spans="2:12" outlineLevel="1">
      <c r="B139" s="637" t="s">
        <v>76</v>
      </c>
      <c r="C139" s="490" t="s">
        <v>857</v>
      </c>
      <c r="D139" s="490"/>
      <c r="F139" s="358"/>
      <c r="G139" s="358"/>
      <c r="H139" s="358"/>
      <c r="I139" s="358"/>
      <c r="J139" s="358"/>
      <c r="K139" s="358"/>
      <c r="L139" s="358"/>
    </row>
    <row r="140" spans="2:12" outlineLevel="1">
      <c r="B140" s="637" t="s">
        <v>25</v>
      </c>
      <c r="C140" s="490" t="s">
        <v>858</v>
      </c>
      <c r="D140" s="358"/>
      <c r="F140" s="358"/>
      <c r="G140" s="358"/>
      <c r="H140" s="358"/>
      <c r="I140" s="358"/>
      <c r="J140" s="358"/>
      <c r="K140" s="358"/>
      <c r="L140" s="358"/>
    </row>
    <row r="141" spans="2:12" outlineLevel="1">
      <c r="B141" s="637" t="s">
        <v>33</v>
      </c>
      <c r="C141" s="489" t="s">
        <v>788</v>
      </c>
      <c r="D141" s="358"/>
      <c r="F141" s="358"/>
      <c r="G141" s="358"/>
      <c r="H141" s="358"/>
      <c r="I141" s="358"/>
      <c r="J141" s="358"/>
      <c r="K141" s="358"/>
      <c r="L141" s="358"/>
    </row>
    <row r="142" spans="2:12" outlineLevel="1">
      <c r="B142" s="637" t="s">
        <v>51</v>
      </c>
      <c r="C142" s="490" t="s">
        <v>859</v>
      </c>
      <c r="D142" s="358"/>
      <c r="G142" s="358"/>
      <c r="H142" s="358"/>
      <c r="I142" s="358"/>
      <c r="J142" s="358"/>
      <c r="K142" s="358"/>
      <c r="L142" s="358"/>
    </row>
    <row r="143" spans="2:12" outlineLevel="1">
      <c r="B143" s="637" t="s">
        <v>52</v>
      </c>
      <c r="C143" s="490" t="s">
        <v>860</v>
      </c>
      <c r="E143" s="490"/>
      <c r="F143" s="490"/>
    </row>
    <row r="144" spans="2:12" outlineLevel="1"/>
    <row r="145" spans="1:44" outlineLevel="1">
      <c r="M145" s="214"/>
    </row>
    <row r="146" spans="1:44" outlineLevel="1"/>
    <row r="149" spans="1:44">
      <c r="A149" s="360" t="s">
        <v>861</v>
      </c>
      <c r="B149" s="1207"/>
      <c r="C149" s="1143"/>
      <c r="D149" s="1143"/>
      <c r="E149" s="1143"/>
      <c r="F149" s="1143"/>
      <c r="G149" s="1143"/>
      <c r="H149" s="1143"/>
      <c r="I149" s="1143"/>
      <c r="J149" s="1143"/>
      <c r="K149" s="1143"/>
      <c r="L149" s="1143"/>
      <c r="M149" s="1143"/>
      <c r="N149" s="689"/>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689"/>
      <c r="P150" s="1143"/>
      <c r="Q150" s="1143"/>
      <c r="R150" s="1143"/>
      <c r="S150" s="1143"/>
      <c r="T150" s="1143"/>
      <c r="U150" s="1143"/>
    </row>
    <row r="151" spans="1:44" ht="20.55" customHeight="1" outlineLevel="1" thickBot="1">
      <c r="B151" s="362" t="s">
        <v>0</v>
      </c>
      <c r="C151" s="1252" t="s">
        <v>836</v>
      </c>
      <c r="D151" s="1253"/>
      <c r="E151" s="1253"/>
      <c r="F151" s="1253"/>
      <c r="G151" s="1253"/>
      <c r="H151" s="1253"/>
      <c r="I151" s="1253"/>
      <c r="J151" s="1253"/>
      <c r="K151" s="1253"/>
      <c r="L151" s="1254"/>
      <c r="M151" s="363"/>
      <c r="N151" s="363"/>
      <c r="P151" s="364" t="s">
        <v>713</v>
      </c>
      <c r="Q151" s="365"/>
      <c r="R151" s="366"/>
      <c r="S151" s="1176" t="s">
        <v>714</v>
      </c>
      <c r="T151" s="1160" t="s">
        <v>715</v>
      </c>
      <c r="U151" s="1161"/>
      <c r="V151" s="1160" t="s">
        <v>716</v>
      </c>
      <c r="W151" s="1161"/>
      <c r="X151" s="1160" t="s">
        <v>717</v>
      </c>
      <c r="Y151" s="1161"/>
      <c r="Z151" s="1160" t="s">
        <v>718</v>
      </c>
      <c r="AA151" s="1161"/>
      <c r="AB151" s="1160" t="s">
        <v>719</v>
      </c>
      <c r="AC151" s="1161"/>
      <c r="AE151" s="364" t="s">
        <v>720</v>
      </c>
      <c r="AF151" s="365"/>
      <c r="AG151" s="366"/>
      <c r="AH151" s="1176" t="s">
        <v>714</v>
      </c>
      <c r="AI151" s="1160" t="s">
        <v>715</v>
      </c>
      <c r="AJ151" s="1161"/>
      <c r="AK151" s="1160" t="s">
        <v>716</v>
      </c>
      <c r="AL151" s="1161"/>
      <c r="AM151" s="1160" t="s">
        <v>717</v>
      </c>
      <c r="AN151" s="1161"/>
      <c r="AO151" s="1160" t="s">
        <v>718</v>
      </c>
      <c r="AP151" s="1161"/>
      <c r="AQ151" s="1160" t="s">
        <v>719</v>
      </c>
      <c r="AR151" s="1161"/>
    </row>
    <row r="152" spans="1:44" ht="15" customHeight="1" outlineLevel="1" thickBot="1">
      <c r="B152" s="1164" t="s">
        <v>4</v>
      </c>
      <c r="C152" s="1166">
        <v>2020</v>
      </c>
      <c r="D152" s="1166">
        <v>2030</v>
      </c>
      <c r="E152" s="1166">
        <v>2040</v>
      </c>
      <c r="F152" s="1166">
        <v>2050</v>
      </c>
      <c r="G152" s="1230" t="s">
        <v>721</v>
      </c>
      <c r="H152" s="1218"/>
      <c r="I152" s="1217" t="s">
        <v>648</v>
      </c>
      <c r="J152" s="1226"/>
      <c r="K152" s="1219" t="s">
        <v>2</v>
      </c>
      <c r="L152" s="1219" t="s">
        <v>3</v>
      </c>
      <c r="M152" s="367"/>
      <c r="N152" s="367"/>
      <c r="P152" s="1180" t="s">
        <v>0</v>
      </c>
      <c r="Q152" s="368"/>
      <c r="R152" s="368"/>
      <c r="S152" s="1177"/>
      <c r="T152" s="1162"/>
      <c r="U152" s="1163"/>
      <c r="V152" s="1162"/>
      <c r="W152" s="1163"/>
      <c r="X152" s="1162"/>
      <c r="Y152" s="1163"/>
      <c r="Z152" s="1162"/>
      <c r="AA152" s="1163"/>
      <c r="AB152" s="1162"/>
      <c r="AC152" s="1163"/>
      <c r="AE152" s="1180" t="s">
        <v>0</v>
      </c>
      <c r="AF152" s="368"/>
      <c r="AG152" s="368"/>
      <c r="AH152" s="1177"/>
      <c r="AI152" s="1162"/>
      <c r="AJ152" s="1163"/>
      <c r="AK152" s="1162"/>
      <c r="AL152" s="1163"/>
      <c r="AM152" s="1162"/>
      <c r="AN152" s="1163"/>
      <c r="AO152" s="1162"/>
      <c r="AP152" s="1163"/>
      <c r="AQ152" s="1162"/>
      <c r="AR152" s="1163"/>
    </row>
    <row r="153" spans="1:44" ht="15" customHeight="1" outlineLevel="1" thickBot="1">
      <c r="B153" s="1228"/>
      <c r="C153" s="1229"/>
      <c r="D153" s="1229"/>
      <c r="E153" s="1229"/>
      <c r="F153" s="1229"/>
      <c r="G153" s="369" t="s">
        <v>649</v>
      </c>
      <c r="H153" s="369" t="s">
        <v>650</v>
      </c>
      <c r="I153" s="369" t="s">
        <v>649</v>
      </c>
      <c r="J153" s="369" t="s">
        <v>650</v>
      </c>
      <c r="K153" s="1227"/>
      <c r="L153" s="1227"/>
      <c r="M153" s="370"/>
      <c r="N153" s="370"/>
      <c r="P153" s="1181"/>
      <c r="Q153" s="1183" t="s">
        <v>722</v>
      </c>
      <c r="R153" s="1184" t="s">
        <v>723</v>
      </c>
      <c r="S153" s="1178"/>
      <c r="T153" s="1162"/>
      <c r="U153" s="1163"/>
      <c r="V153" s="1162"/>
      <c r="W153" s="1163"/>
      <c r="X153" s="1162"/>
      <c r="Y153" s="1163"/>
      <c r="Z153" s="1162"/>
      <c r="AA153" s="1163"/>
      <c r="AB153" s="1162"/>
      <c r="AC153" s="1163"/>
      <c r="AE153" s="1181"/>
      <c r="AF153" s="1197" t="s">
        <v>722</v>
      </c>
      <c r="AG153" s="1184" t="s">
        <v>723</v>
      </c>
      <c r="AH153" s="1178"/>
      <c r="AI153" s="1162"/>
      <c r="AJ153" s="1163"/>
      <c r="AK153" s="1162"/>
      <c r="AL153" s="1163"/>
      <c r="AM153" s="1162"/>
      <c r="AN153" s="1163"/>
      <c r="AO153" s="1162"/>
      <c r="AP153" s="1163"/>
      <c r="AQ153" s="1162"/>
      <c r="AR153" s="1163"/>
    </row>
    <row r="154" spans="1:44" ht="29.4" outlineLevel="1" thickBot="1">
      <c r="B154" s="371" t="s">
        <v>651</v>
      </c>
      <c r="C154" s="372">
        <v>3</v>
      </c>
      <c r="D154" s="372">
        <v>3</v>
      </c>
      <c r="E154" s="372">
        <v>3</v>
      </c>
      <c r="F154" s="372">
        <v>3</v>
      </c>
      <c r="G154" s="372">
        <v>0.5</v>
      </c>
      <c r="H154" s="372">
        <v>5</v>
      </c>
      <c r="I154" s="372">
        <v>0.5</v>
      </c>
      <c r="J154" s="372">
        <v>5</v>
      </c>
      <c r="K154" s="372" t="s">
        <v>6</v>
      </c>
      <c r="L154" s="373" t="s">
        <v>837</v>
      </c>
      <c r="M154" s="370"/>
      <c r="N154" s="370"/>
      <c r="O154" s="74"/>
      <c r="P154" s="1182"/>
      <c r="Q154" s="1179"/>
      <c r="R154" s="1185"/>
      <c r="S154" s="1179"/>
      <c r="T154" s="374" t="s">
        <v>726</v>
      </c>
      <c r="U154" s="375" t="s">
        <v>727</v>
      </c>
      <c r="V154" s="374" t="s">
        <v>726</v>
      </c>
      <c r="W154" s="375" t="s">
        <v>727</v>
      </c>
      <c r="X154" s="374" t="s">
        <v>726</v>
      </c>
      <c r="Y154" s="375" t="s">
        <v>727</v>
      </c>
      <c r="Z154" s="374" t="s">
        <v>726</v>
      </c>
      <c r="AA154" s="375" t="s">
        <v>727</v>
      </c>
      <c r="AB154" s="374" t="s">
        <v>726</v>
      </c>
      <c r="AC154" s="375" t="s">
        <v>727</v>
      </c>
      <c r="AE154" s="1182"/>
      <c r="AF154" s="1198"/>
      <c r="AG154" s="1185"/>
      <c r="AH154" s="1179"/>
      <c r="AI154" s="374" t="s">
        <v>726</v>
      </c>
      <c r="AJ154" s="375" t="s">
        <v>727</v>
      </c>
      <c r="AK154" s="374" t="s">
        <v>726</v>
      </c>
      <c r="AL154" s="375" t="s">
        <v>727</v>
      </c>
      <c r="AM154" s="374" t="s">
        <v>726</v>
      </c>
      <c r="AN154" s="375" t="s">
        <v>727</v>
      </c>
      <c r="AO154" s="374" t="s">
        <v>726</v>
      </c>
      <c r="AP154" s="375" t="s">
        <v>727</v>
      </c>
      <c r="AQ154" s="374" t="s">
        <v>726</v>
      </c>
      <c r="AR154" s="375" t="s">
        <v>727</v>
      </c>
    </row>
    <row r="155" spans="1:44" ht="14.55" customHeight="1" outlineLevel="1">
      <c r="B155" s="376" t="s">
        <v>728</v>
      </c>
      <c r="C155" s="377">
        <v>533</v>
      </c>
      <c r="D155" s="377">
        <f>C155*1.03</f>
        <v>548.99</v>
      </c>
      <c r="E155" s="378">
        <f>D155*1.02</f>
        <v>559.96979999999996</v>
      </c>
      <c r="F155" s="377">
        <f>E155*1.01</f>
        <v>565.56949799999995</v>
      </c>
      <c r="G155" s="377">
        <f>C155</f>
        <v>533</v>
      </c>
      <c r="H155" s="377">
        <f>C155*1.05</f>
        <v>559.65</v>
      </c>
      <c r="I155" s="377">
        <f>F155*0.97</f>
        <v>548.60241305999989</v>
      </c>
      <c r="J155" s="377">
        <f>F155*1.02</f>
        <v>576.88088796</v>
      </c>
      <c r="K155" s="379" t="s">
        <v>59</v>
      </c>
      <c r="L155" s="380" t="s">
        <v>837</v>
      </c>
      <c r="M155" s="370"/>
      <c r="N155" s="370"/>
      <c r="P155" s="1199" t="str">
        <f>C151</f>
        <v>Heat pump, up to 60 °C, Temp lift = 40 K</v>
      </c>
      <c r="Q155" s="1154" t="s">
        <v>730</v>
      </c>
      <c r="R155" s="381" t="s">
        <v>731</v>
      </c>
      <c r="S155" s="382"/>
      <c r="T155" s="1137">
        <v>0</v>
      </c>
      <c r="U155" s="1151">
        <v>0</v>
      </c>
      <c r="V155" s="1137">
        <v>0</v>
      </c>
      <c r="W155" s="1151">
        <v>0</v>
      </c>
      <c r="X155" s="1137">
        <v>0</v>
      </c>
      <c r="Y155" s="1151">
        <v>0</v>
      </c>
      <c r="Z155" s="1137">
        <v>0</v>
      </c>
      <c r="AA155" s="1151">
        <v>0</v>
      </c>
      <c r="AB155" s="1137">
        <v>0</v>
      </c>
      <c r="AC155" s="1151">
        <v>0</v>
      </c>
      <c r="AE155" s="1148" t="str">
        <f>P155</f>
        <v>Heat pump, up to 60 °C, Temp lift = 40 K</v>
      </c>
      <c r="AF155" s="1154" t="s">
        <v>730</v>
      </c>
      <c r="AG155" s="381" t="s">
        <v>731</v>
      </c>
      <c r="AH155" s="382"/>
      <c r="AI155" s="1137">
        <v>0</v>
      </c>
      <c r="AJ155" s="1151">
        <v>0</v>
      </c>
      <c r="AK155" s="1137">
        <v>0</v>
      </c>
      <c r="AL155" s="1151">
        <v>0</v>
      </c>
      <c r="AM155" s="1137">
        <v>0</v>
      </c>
      <c r="AN155" s="1151">
        <v>0</v>
      </c>
      <c r="AO155" s="1137">
        <v>0</v>
      </c>
      <c r="AP155" s="1151">
        <v>0</v>
      </c>
      <c r="AQ155" s="1137">
        <v>0</v>
      </c>
      <c r="AR155" s="1151">
        <v>0</v>
      </c>
    </row>
    <row r="156" spans="1:44" outlineLevel="1">
      <c r="B156" s="383" t="s">
        <v>732</v>
      </c>
      <c r="C156" s="384">
        <f>C155-5</f>
        <v>528</v>
      </c>
      <c r="D156" s="384">
        <f t="shared" ref="D156:J156" si="8">D155-5</f>
        <v>543.99</v>
      </c>
      <c r="E156" s="384">
        <f t="shared" si="8"/>
        <v>554.96979999999996</v>
      </c>
      <c r="F156" s="384">
        <f t="shared" si="8"/>
        <v>560.56949799999995</v>
      </c>
      <c r="G156" s="385">
        <f t="shared" si="8"/>
        <v>528</v>
      </c>
      <c r="H156" s="385">
        <f t="shared" si="8"/>
        <v>554.65</v>
      </c>
      <c r="I156" s="385">
        <f t="shared" si="8"/>
        <v>543.60241305999989</v>
      </c>
      <c r="J156" s="385">
        <f t="shared" si="8"/>
        <v>571.88088796</v>
      </c>
      <c r="K156" s="386" t="s">
        <v>838</v>
      </c>
      <c r="L156" s="387"/>
      <c r="M156" s="370"/>
      <c r="N156" s="370"/>
      <c r="O156" s="71"/>
      <c r="P156" s="1195"/>
      <c r="Q156" s="1155"/>
      <c r="R156" s="388" t="s">
        <v>733</v>
      </c>
      <c r="S156" s="389"/>
      <c r="T156" s="1140"/>
      <c r="U156" s="1152"/>
      <c r="V156" s="1140"/>
      <c r="W156" s="1152"/>
      <c r="X156" s="1140"/>
      <c r="Y156" s="1152"/>
      <c r="Z156" s="1140"/>
      <c r="AA156" s="1152"/>
      <c r="AB156" s="1140"/>
      <c r="AC156" s="1152"/>
      <c r="AE156" s="1195"/>
      <c r="AF156" s="1155"/>
      <c r="AG156" s="388" t="s">
        <v>733</v>
      </c>
      <c r="AH156" s="389"/>
      <c r="AI156" s="1140"/>
      <c r="AJ156" s="1152"/>
      <c r="AK156" s="1140"/>
      <c r="AL156" s="1152"/>
      <c r="AM156" s="1140"/>
      <c r="AN156" s="1152"/>
      <c r="AO156" s="1140"/>
      <c r="AP156" s="1152"/>
      <c r="AQ156" s="1140"/>
      <c r="AR156" s="1152"/>
    </row>
    <row r="157" spans="1:44" ht="15" outlineLevel="1" thickBot="1">
      <c r="B157" s="376" t="s">
        <v>734</v>
      </c>
      <c r="C157" s="390">
        <v>2</v>
      </c>
      <c r="D157" s="391">
        <v>2</v>
      </c>
      <c r="E157" s="391">
        <v>2</v>
      </c>
      <c r="F157" s="392">
        <v>2</v>
      </c>
      <c r="G157" s="391">
        <v>1</v>
      </c>
      <c r="H157" s="391">
        <v>4</v>
      </c>
      <c r="I157" s="391">
        <v>1</v>
      </c>
      <c r="J157" s="391">
        <v>4</v>
      </c>
      <c r="K157" s="379"/>
      <c r="L157" s="380">
        <v>1.4</v>
      </c>
      <c r="M157" s="370"/>
      <c r="N157" s="370"/>
      <c r="O157" s="71"/>
      <c r="P157" s="1195"/>
      <c r="Q157" s="1156"/>
      <c r="R157" s="393" t="s">
        <v>735</v>
      </c>
      <c r="S157" s="394"/>
      <c r="T157" s="1141"/>
      <c r="U157" s="1153"/>
      <c r="V157" s="1141"/>
      <c r="W157" s="1153"/>
      <c r="X157" s="1141"/>
      <c r="Y157" s="1153"/>
      <c r="Z157" s="1141"/>
      <c r="AA157" s="1153"/>
      <c r="AB157" s="1141"/>
      <c r="AC157" s="1153"/>
      <c r="AE157" s="1195"/>
      <c r="AF157" s="1156"/>
      <c r="AG157" s="393" t="s">
        <v>735</v>
      </c>
      <c r="AH157" s="394"/>
      <c r="AI157" s="1141"/>
      <c r="AJ157" s="1153"/>
      <c r="AK157" s="1141"/>
      <c r="AL157" s="1153"/>
      <c r="AM157" s="1141"/>
      <c r="AN157" s="1153"/>
      <c r="AO157" s="1141"/>
      <c r="AP157" s="1153"/>
      <c r="AQ157" s="1141"/>
      <c r="AR157" s="1153"/>
    </row>
    <row r="158" spans="1:44" ht="14.55" customHeight="1" outlineLevel="1">
      <c r="B158" s="376" t="s">
        <v>657</v>
      </c>
      <c r="C158" s="390">
        <v>0</v>
      </c>
      <c r="D158" s="390">
        <v>0</v>
      </c>
      <c r="E158" s="390">
        <v>0</v>
      </c>
      <c r="F158" s="390">
        <v>0</v>
      </c>
      <c r="G158" s="390">
        <v>0</v>
      </c>
      <c r="H158" s="390">
        <v>1</v>
      </c>
      <c r="I158" s="390">
        <v>0</v>
      </c>
      <c r="J158" s="390">
        <v>1</v>
      </c>
      <c r="K158" s="379" t="s">
        <v>20</v>
      </c>
      <c r="L158" s="380"/>
      <c r="M158" s="370"/>
      <c r="N158" s="370"/>
      <c r="O158" s="71"/>
      <c r="P158" s="1195"/>
      <c r="Q158" s="1154" t="s">
        <v>736</v>
      </c>
      <c r="R158" s="395" t="s">
        <v>737</v>
      </c>
      <c r="S158" s="396" t="s">
        <v>738</v>
      </c>
      <c r="T158" s="1137">
        <v>0</v>
      </c>
      <c r="U158" s="1137">
        <v>0.16</v>
      </c>
      <c r="V158" s="1137">
        <v>0</v>
      </c>
      <c r="W158" s="1137">
        <v>0.16</v>
      </c>
      <c r="X158" s="1137">
        <v>0</v>
      </c>
      <c r="Y158" s="1137">
        <v>0.13</v>
      </c>
      <c r="Z158" s="1137">
        <v>0</v>
      </c>
      <c r="AA158" s="1137">
        <v>7.0000000000000007E-2</v>
      </c>
      <c r="AB158" s="1137">
        <v>0</v>
      </c>
      <c r="AC158" s="1151">
        <v>0.11</v>
      </c>
      <c r="AE158" s="1195"/>
      <c r="AF158" s="1154" t="s">
        <v>736</v>
      </c>
      <c r="AG158" s="395" t="s">
        <v>737</v>
      </c>
      <c r="AH158" s="396" t="s">
        <v>738</v>
      </c>
      <c r="AI158" s="1137">
        <v>0</v>
      </c>
      <c r="AJ158" s="1137">
        <f>U158/4</f>
        <v>0.04</v>
      </c>
      <c r="AK158" s="1137">
        <v>0</v>
      </c>
      <c r="AL158" s="1137">
        <f>W158/4</f>
        <v>0.04</v>
      </c>
      <c r="AM158" s="1137">
        <v>0</v>
      </c>
      <c r="AN158" s="1137">
        <f>Y158/4</f>
        <v>3.2500000000000001E-2</v>
      </c>
      <c r="AO158" s="1137">
        <v>0</v>
      </c>
      <c r="AP158" s="1137">
        <f>AA158/4</f>
        <v>1.7500000000000002E-2</v>
      </c>
      <c r="AQ158" s="1137">
        <v>0</v>
      </c>
      <c r="AR158" s="1151">
        <f>AC158/4</f>
        <v>2.75E-2</v>
      </c>
    </row>
    <row r="159" spans="1:44" outlineLevel="1">
      <c r="B159" s="376" t="s">
        <v>658</v>
      </c>
      <c r="C159" s="390">
        <v>1</v>
      </c>
      <c r="D159" s="390">
        <v>1</v>
      </c>
      <c r="E159" s="390">
        <v>1</v>
      </c>
      <c r="F159" s="390">
        <v>1</v>
      </c>
      <c r="G159" s="390">
        <v>0.5</v>
      </c>
      <c r="H159" s="390">
        <v>2</v>
      </c>
      <c r="I159" s="390">
        <v>0.5</v>
      </c>
      <c r="J159" s="390">
        <v>2</v>
      </c>
      <c r="K159" s="379"/>
      <c r="L159" s="380">
        <v>1.4</v>
      </c>
      <c r="M159" s="367"/>
      <c r="N159" s="367"/>
      <c r="O159" s="71"/>
      <c r="P159" s="1195"/>
      <c r="Q159" s="1155"/>
      <c r="R159" s="395" t="s">
        <v>739</v>
      </c>
      <c r="S159" s="396" t="s">
        <v>738</v>
      </c>
      <c r="T159" s="1138"/>
      <c r="U159" s="1138"/>
      <c r="V159" s="1138"/>
      <c r="W159" s="1138"/>
      <c r="X159" s="1138"/>
      <c r="Y159" s="1138"/>
      <c r="Z159" s="1138"/>
      <c r="AA159" s="1138"/>
      <c r="AB159" s="1138"/>
      <c r="AC159" s="1255"/>
      <c r="AE159" s="1195"/>
      <c r="AF159" s="1155"/>
      <c r="AG159" s="395" t="s">
        <v>739</v>
      </c>
      <c r="AH159" s="396" t="s">
        <v>738</v>
      </c>
      <c r="AI159" s="1138"/>
      <c r="AJ159" s="1138"/>
      <c r="AK159" s="1138"/>
      <c r="AL159" s="1138"/>
      <c r="AM159" s="1138"/>
      <c r="AN159" s="1138"/>
      <c r="AO159" s="1138"/>
      <c r="AP159" s="1138"/>
      <c r="AQ159" s="1138"/>
      <c r="AR159" s="1255"/>
    </row>
    <row r="160" spans="1:44" outlineLevel="1">
      <c r="B160" s="383" t="s">
        <v>11</v>
      </c>
      <c r="C160" s="397">
        <v>20</v>
      </c>
      <c r="D160" s="397">
        <v>20</v>
      </c>
      <c r="E160" s="397">
        <v>20</v>
      </c>
      <c r="F160" s="397">
        <v>20</v>
      </c>
      <c r="G160" s="398">
        <v>15</v>
      </c>
      <c r="H160" s="398">
        <v>30</v>
      </c>
      <c r="I160" s="398">
        <v>15</v>
      </c>
      <c r="J160" s="398">
        <v>30</v>
      </c>
      <c r="K160" s="372"/>
      <c r="L160" s="373">
        <v>4</v>
      </c>
      <c r="M160" s="363"/>
      <c r="N160" s="363"/>
      <c r="P160" s="1195"/>
      <c r="Q160" s="1155"/>
      <c r="R160" s="395" t="s">
        <v>741</v>
      </c>
      <c r="S160" s="396"/>
      <c r="T160" s="1138"/>
      <c r="U160" s="1138"/>
      <c r="V160" s="1138"/>
      <c r="W160" s="1138"/>
      <c r="X160" s="1138"/>
      <c r="Y160" s="1138"/>
      <c r="Z160" s="1138"/>
      <c r="AA160" s="1138"/>
      <c r="AB160" s="1138"/>
      <c r="AC160" s="1255"/>
      <c r="AE160" s="1195"/>
      <c r="AF160" s="1155"/>
      <c r="AG160" s="395" t="s">
        <v>741</v>
      </c>
      <c r="AH160" s="629" t="s">
        <v>842</v>
      </c>
      <c r="AI160" s="1138"/>
      <c r="AJ160" s="1138"/>
      <c r="AK160" s="1138"/>
      <c r="AL160" s="1138"/>
      <c r="AM160" s="1138"/>
      <c r="AN160" s="1138"/>
      <c r="AO160" s="1138"/>
      <c r="AP160" s="1138"/>
      <c r="AQ160" s="1138"/>
      <c r="AR160" s="1255"/>
    </row>
    <row r="161" spans="1:44" ht="15" outlineLevel="1" thickBot="1">
      <c r="B161" s="376" t="s">
        <v>273</v>
      </c>
      <c r="C161" s="399">
        <v>0.5</v>
      </c>
      <c r="D161" s="399">
        <v>0.5</v>
      </c>
      <c r="E161" s="399">
        <v>0.5</v>
      </c>
      <c r="F161" s="399">
        <v>0.5</v>
      </c>
      <c r="G161" s="399">
        <v>0.3</v>
      </c>
      <c r="H161" s="399">
        <v>0.7</v>
      </c>
      <c r="I161" s="399">
        <v>0.3</v>
      </c>
      <c r="J161" s="399">
        <v>0.7</v>
      </c>
      <c r="K161" s="372"/>
      <c r="L161" s="400">
        <v>4</v>
      </c>
      <c r="M161" s="363"/>
      <c r="N161" s="363"/>
      <c r="P161" s="1195"/>
      <c r="Q161" s="1155"/>
      <c r="R161" s="395" t="s">
        <v>742</v>
      </c>
      <c r="S161" s="396"/>
      <c r="T161" s="1138"/>
      <c r="U161" s="1138"/>
      <c r="V161" s="1138"/>
      <c r="W161" s="1138"/>
      <c r="X161" s="1138"/>
      <c r="Y161" s="1138"/>
      <c r="Z161" s="1138"/>
      <c r="AA161" s="1138"/>
      <c r="AB161" s="1138"/>
      <c r="AC161" s="1255"/>
      <c r="AE161" s="1195"/>
      <c r="AF161" s="1155"/>
      <c r="AG161" s="395" t="s">
        <v>742</v>
      </c>
      <c r="AH161" s="396" t="s">
        <v>738</v>
      </c>
      <c r="AI161" s="1138"/>
      <c r="AJ161" s="1138"/>
      <c r="AK161" s="1138"/>
      <c r="AL161" s="1138"/>
      <c r="AM161" s="1138"/>
      <c r="AN161" s="1138"/>
      <c r="AO161" s="1138"/>
      <c r="AP161" s="1138"/>
      <c r="AQ161" s="1138"/>
      <c r="AR161" s="1255"/>
    </row>
    <row r="162" spans="1:44" ht="15" outlineLevel="1" thickBot="1">
      <c r="B162" s="401" t="s">
        <v>743</v>
      </c>
      <c r="C162" s="402"/>
      <c r="D162" s="403"/>
      <c r="E162" s="404"/>
      <c r="F162" s="405"/>
      <c r="G162" s="406"/>
      <c r="H162" s="406"/>
      <c r="I162" s="406"/>
      <c r="J162" s="406"/>
      <c r="K162" s="407"/>
      <c r="L162" s="408"/>
      <c r="M162" s="363"/>
      <c r="N162" s="363"/>
      <c r="P162" s="1195"/>
      <c r="Q162" s="1155"/>
      <c r="R162" s="409" t="s">
        <v>744</v>
      </c>
      <c r="S162" s="410" t="s">
        <v>738</v>
      </c>
      <c r="T162" s="1139"/>
      <c r="U162" s="1139"/>
      <c r="V162" s="1139"/>
      <c r="W162" s="1139"/>
      <c r="X162" s="1139"/>
      <c r="Y162" s="1139"/>
      <c r="Z162" s="1139"/>
      <c r="AA162" s="1139"/>
      <c r="AB162" s="1139"/>
      <c r="AC162" s="1256"/>
      <c r="AE162" s="1195"/>
      <c r="AF162" s="1155"/>
      <c r="AG162" s="409" t="s">
        <v>744</v>
      </c>
      <c r="AH162" s="410" t="s">
        <v>738</v>
      </c>
      <c r="AI162" s="1139"/>
      <c r="AJ162" s="1139"/>
      <c r="AK162" s="1139"/>
      <c r="AL162" s="1139"/>
      <c r="AM162" s="1139"/>
      <c r="AN162" s="1139"/>
      <c r="AO162" s="1139"/>
      <c r="AP162" s="1139"/>
      <c r="AQ162" s="1139"/>
      <c r="AR162" s="1256"/>
    </row>
    <row r="163" spans="1:44" ht="29.4" outlineLevel="1" thickBot="1">
      <c r="B163" s="376" t="s">
        <v>663</v>
      </c>
      <c r="C163" s="390">
        <v>10</v>
      </c>
      <c r="D163" s="390">
        <v>10</v>
      </c>
      <c r="E163" s="390">
        <v>10</v>
      </c>
      <c r="F163" s="390">
        <v>10</v>
      </c>
      <c r="G163" s="391"/>
      <c r="H163" s="391"/>
      <c r="I163" s="391"/>
      <c r="J163" s="391"/>
      <c r="K163" s="379"/>
      <c r="L163" s="380">
        <v>4</v>
      </c>
      <c r="M163" s="363"/>
      <c r="N163" s="363"/>
      <c r="P163" s="1196"/>
      <c r="Q163" s="411" t="s">
        <v>745</v>
      </c>
      <c r="R163" s="412" t="s">
        <v>746</v>
      </c>
      <c r="S163" s="630" t="s">
        <v>738</v>
      </c>
      <c r="T163" s="416">
        <v>0</v>
      </c>
      <c r="U163" s="415">
        <f>T163</f>
        <v>0</v>
      </c>
      <c r="V163" s="416">
        <v>0</v>
      </c>
      <c r="W163" s="415">
        <f>V163</f>
        <v>0</v>
      </c>
      <c r="X163" s="416">
        <v>0</v>
      </c>
      <c r="Y163" s="415">
        <f>X163</f>
        <v>0</v>
      </c>
      <c r="Z163" s="416">
        <v>0</v>
      </c>
      <c r="AA163" s="415">
        <f>Z163</f>
        <v>0</v>
      </c>
      <c r="AB163" s="416">
        <v>0</v>
      </c>
      <c r="AC163" s="417">
        <f>AB163</f>
        <v>0</v>
      </c>
      <c r="AE163" s="1196"/>
      <c r="AF163" s="411" t="s">
        <v>745</v>
      </c>
      <c r="AG163" s="1249" t="s">
        <v>746</v>
      </c>
      <c r="AH163" s="1250"/>
      <c r="AI163" s="416">
        <v>0</v>
      </c>
      <c r="AJ163" s="415">
        <f>AI163</f>
        <v>0</v>
      </c>
      <c r="AK163" s="416">
        <v>0</v>
      </c>
      <c r="AL163" s="415">
        <f>AK163</f>
        <v>0</v>
      </c>
      <c r="AM163" s="416">
        <v>0</v>
      </c>
      <c r="AN163" s="415">
        <f>AM163</f>
        <v>0</v>
      </c>
      <c r="AO163" s="416">
        <v>0</v>
      </c>
      <c r="AP163" s="415">
        <f>AO163</f>
        <v>0</v>
      </c>
      <c r="AQ163" s="416">
        <v>0</v>
      </c>
      <c r="AR163" s="417">
        <f>AQ163</f>
        <v>0</v>
      </c>
    </row>
    <row r="164" spans="1:44" outlineLevel="1">
      <c r="B164" s="376" t="s">
        <v>664</v>
      </c>
      <c r="C164" s="390">
        <v>0.25</v>
      </c>
      <c r="D164" s="390">
        <v>0.25</v>
      </c>
      <c r="E164" s="390">
        <v>0.25</v>
      </c>
      <c r="F164" s="390">
        <v>0.25</v>
      </c>
      <c r="G164" s="418"/>
      <c r="H164" s="418"/>
      <c r="I164" s="418"/>
      <c r="J164" s="418"/>
      <c r="K164" s="419"/>
      <c r="L164" s="380">
        <v>4</v>
      </c>
      <c r="M164" s="363"/>
      <c r="N164" s="363"/>
    </row>
    <row r="165" spans="1:44" outlineLevel="1">
      <c r="B165" s="376" t="s">
        <v>666</v>
      </c>
      <c r="C165" s="390">
        <v>1</v>
      </c>
      <c r="D165" s="390">
        <v>1</v>
      </c>
      <c r="E165" s="390">
        <v>1</v>
      </c>
      <c r="F165" s="390">
        <v>1</v>
      </c>
      <c r="G165" s="418"/>
      <c r="H165" s="418"/>
      <c r="I165" s="418"/>
      <c r="J165" s="418"/>
      <c r="K165" s="419"/>
      <c r="L165" s="380">
        <v>1</v>
      </c>
      <c r="M165" s="420"/>
      <c r="N165" s="363"/>
    </row>
    <row r="166" spans="1:44" outlineLevel="1">
      <c r="B166" s="421" t="s">
        <v>12</v>
      </c>
      <c r="C166" s="399"/>
      <c r="D166" s="399"/>
      <c r="E166" s="399"/>
      <c r="F166" s="399"/>
      <c r="G166" s="422"/>
      <c r="H166" s="422"/>
      <c r="I166" s="422"/>
      <c r="J166" s="422"/>
      <c r="K166" s="423"/>
      <c r="L166" s="424"/>
      <c r="M166" s="420"/>
      <c r="N166" s="420"/>
    </row>
    <row r="167" spans="1:44" outlineLevel="1">
      <c r="B167" s="383" t="s">
        <v>843</v>
      </c>
      <c r="C167" s="1231" t="s">
        <v>669</v>
      </c>
      <c r="D167" s="1232"/>
      <c r="E167" s="1232"/>
      <c r="F167" s="1233"/>
      <c r="G167" s="422"/>
      <c r="H167" s="425"/>
      <c r="I167" s="425"/>
      <c r="J167" s="425"/>
      <c r="K167" s="426"/>
      <c r="L167" s="427"/>
      <c r="M167" s="428"/>
      <c r="N167" s="428"/>
    </row>
    <row r="168" spans="1:44" outlineLevel="1">
      <c r="B168" s="383" t="s">
        <v>749</v>
      </c>
      <c r="C168" s="1234"/>
      <c r="D168" s="1251"/>
      <c r="E168" s="1251"/>
      <c r="F168" s="1236"/>
      <c r="G168" s="425"/>
      <c r="H168" s="425"/>
      <c r="I168" s="425"/>
      <c r="J168" s="425"/>
      <c r="K168" s="423"/>
      <c r="L168" s="427"/>
      <c r="M168" s="428"/>
      <c r="N168" s="428"/>
    </row>
    <row r="169" spans="1:44" outlineLevel="1">
      <c r="B169" s="383" t="s">
        <v>844</v>
      </c>
      <c r="C169" s="1234"/>
      <c r="D169" s="1251"/>
      <c r="E169" s="1251"/>
      <c r="F169" s="1236"/>
      <c r="G169" s="425"/>
      <c r="H169" s="425"/>
      <c r="I169" s="425"/>
      <c r="J169" s="425"/>
      <c r="K169" s="423"/>
      <c r="L169" s="427"/>
      <c r="M169" s="428"/>
      <c r="N169" s="428"/>
    </row>
    <row r="170" spans="1:44" outlineLevel="1">
      <c r="B170" s="383" t="s">
        <v>366</v>
      </c>
      <c r="C170" s="1234"/>
      <c r="D170" s="1251"/>
      <c r="E170" s="1251"/>
      <c r="F170" s="1236"/>
      <c r="G170" s="425"/>
      <c r="H170" s="425"/>
      <c r="I170" s="425"/>
      <c r="J170" s="425"/>
      <c r="K170" s="423"/>
      <c r="L170" s="427"/>
      <c r="M170" s="428"/>
      <c r="N170" s="428"/>
    </row>
    <row r="171" spans="1:44" ht="15" outlineLevel="1" thickBot="1">
      <c r="B171" s="429" t="s">
        <v>367</v>
      </c>
      <c r="C171" s="1237"/>
      <c r="D171" s="1238"/>
      <c r="E171" s="1238"/>
      <c r="F171" s="1239"/>
      <c r="G171" s="425"/>
      <c r="H171" s="425"/>
      <c r="I171" s="425"/>
      <c r="J171" s="425"/>
      <c r="K171" s="423"/>
      <c r="L171" s="427"/>
      <c r="M171" s="428"/>
      <c r="N171" s="428"/>
    </row>
    <row r="172" spans="1:44" ht="15" outlineLevel="1" thickBot="1">
      <c r="B172" s="431" t="s">
        <v>674</v>
      </c>
      <c r="C172" s="432"/>
      <c r="D172" s="403"/>
      <c r="E172" s="403"/>
      <c r="F172" s="433"/>
      <c r="G172" s="434"/>
      <c r="H172" s="406"/>
      <c r="I172" s="406"/>
      <c r="J172" s="406"/>
      <c r="K172" s="407"/>
      <c r="L172" s="408"/>
      <c r="M172" s="428"/>
      <c r="N172" s="428"/>
    </row>
    <row r="173" spans="1:44" ht="26.4" outlineLevel="1">
      <c r="A173" s="435"/>
      <c r="B173" s="436" t="s">
        <v>751</v>
      </c>
      <c r="C173" s="437">
        <v>0.73</v>
      </c>
      <c r="D173" s="438">
        <v>0.65</v>
      </c>
      <c r="E173" s="438">
        <v>0.6</v>
      </c>
      <c r="F173" s="439">
        <v>0.57999999999999996</v>
      </c>
      <c r="G173" s="425"/>
      <c r="H173" s="425"/>
      <c r="I173" s="425"/>
      <c r="J173" s="425"/>
      <c r="K173" s="426"/>
      <c r="L173" s="440">
        <v>1</v>
      </c>
      <c r="M173" s="420"/>
      <c r="N173" s="420"/>
    </row>
    <row r="174" spans="1:44" outlineLevel="1">
      <c r="B174" s="441" t="s">
        <v>839</v>
      </c>
      <c r="C174" s="627">
        <v>60</v>
      </c>
      <c r="D174" s="443">
        <v>60</v>
      </c>
      <c r="E174" s="443">
        <v>60</v>
      </c>
      <c r="F174" s="443">
        <v>60</v>
      </c>
      <c r="G174" s="425"/>
      <c r="H174" s="425"/>
      <c r="I174" s="425"/>
      <c r="J174" s="425"/>
      <c r="K174" s="444" t="s">
        <v>76</v>
      </c>
      <c r="L174" s="373">
        <v>6</v>
      </c>
      <c r="M174" s="71"/>
      <c r="N174" s="420"/>
    </row>
    <row r="175" spans="1:44" outlineLevel="1">
      <c r="B175" s="441" t="s">
        <v>840</v>
      </c>
      <c r="C175" s="627">
        <v>40</v>
      </c>
      <c r="D175" s="627">
        <v>40</v>
      </c>
      <c r="E175" s="627">
        <v>40</v>
      </c>
      <c r="F175" s="627">
        <v>40</v>
      </c>
      <c r="G175" s="425"/>
      <c r="H175" s="425"/>
      <c r="I175" s="425"/>
      <c r="J175" s="425"/>
      <c r="K175" s="444" t="s">
        <v>25</v>
      </c>
      <c r="L175" s="373">
        <v>6</v>
      </c>
      <c r="M175" s="420"/>
      <c r="N175" s="420"/>
    </row>
    <row r="176" spans="1:44" outlineLevel="1">
      <c r="B176" s="383" t="s">
        <v>841</v>
      </c>
      <c r="C176" s="445">
        <v>2000</v>
      </c>
      <c r="D176" s="446">
        <v>2000</v>
      </c>
      <c r="E176" s="446">
        <v>2000</v>
      </c>
      <c r="F176" s="447">
        <v>2000</v>
      </c>
      <c r="G176" s="425"/>
      <c r="H176" s="425"/>
      <c r="I176" s="425"/>
      <c r="J176" s="425"/>
      <c r="K176" s="448"/>
      <c r="L176" s="373">
        <v>4.5</v>
      </c>
      <c r="M176" s="420"/>
      <c r="N176" s="420"/>
    </row>
    <row r="177" spans="2:30" ht="15" outlineLevel="1" thickBot="1">
      <c r="B177" s="383" t="s">
        <v>679</v>
      </c>
      <c r="C177" s="449">
        <f>SUM(C178:C179)</f>
        <v>3.26</v>
      </c>
      <c r="D177" s="449">
        <f>SUM(D178:D179)</f>
        <v>3.2</v>
      </c>
      <c r="E177" s="449">
        <f>(D177+F177)/2</f>
        <v>3.16</v>
      </c>
      <c r="F177" s="449">
        <f>SUM(F178:F179)</f>
        <v>3.12</v>
      </c>
      <c r="G177" s="425"/>
      <c r="H177" s="425"/>
      <c r="I177" s="425"/>
      <c r="J177" s="425"/>
      <c r="K177" s="448"/>
      <c r="L177" s="373">
        <v>4</v>
      </c>
      <c r="M177" s="688"/>
      <c r="N177" s="689"/>
      <c r="P177" s="1142">
        <f>C177</f>
        <v>3.26</v>
      </c>
      <c r="Q177" s="1143"/>
      <c r="R177" s="1143"/>
      <c r="S177" s="1143"/>
      <c r="T177" s="1143"/>
      <c r="U177" s="1144"/>
    </row>
    <row r="178" spans="2:30" ht="15" outlineLevel="1" thickBot="1">
      <c r="B178" s="451" t="s">
        <v>758</v>
      </c>
      <c r="C178" s="452">
        <f>C157/100*73</f>
        <v>1.46</v>
      </c>
      <c r="D178" s="452">
        <f>D157/100*75</f>
        <v>1.5</v>
      </c>
      <c r="E178" s="452">
        <f>E157/100*76</f>
        <v>1.52</v>
      </c>
      <c r="F178" s="452">
        <f>F157/100*76</f>
        <v>1.52</v>
      </c>
      <c r="G178" s="453"/>
      <c r="H178" s="453"/>
      <c r="I178" s="453"/>
      <c r="J178" s="453"/>
      <c r="K178" s="379" t="s">
        <v>33</v>
      </c>
      <c r="L178" s="380">
        <v>4</v>
      </c>
      <c r="M178" s="688"/>
      <c r="N178" s="689"/>
      <c r="P178" s="1134">
        <f>C178</f>
        <v>1.46</v>
      </c>
      <c r="Q178" s="1135"/>
      <c r="R178" s="1135"/>
      <c r="S178" s="1135"/>
      <c r="T178" s="1135"/>
      <c r="U178" s="1136"/>
    </row>
    <row r="179" spans="2:30" outlineLevel="1">
      <c r="B179" s="451" t="s">
        <v>759</v>
      </c>
      <c r="C179" s="454">
        <v>1.8</v>
      </c>
      <c r="D179" s="454">
        <v>1.7</v>
      </c>
      <c r="E179" s="454">
        <f>(D179+F179)/2</f>
        <v>1.65</v>
      </c>
      <c r="F179" s="454">
        <v>1.6</v>
      </c>
      <c r="G179" s="453"/>
      <c r="H179" s="453"/>
      <c r="I179" s="453"/>
      <c r="J179" s="453"/>
      <c r="K179" s="455"/>
      <c r="L179" s="380">
        <v>4</v>
      </c>
      <c r="M179" s="363"/>
      <c r="N179" s="363"/>
      <c r="P179" s="53" t="s">
        <v>357</v>
      </c>
    </row>
    <row r="180" spans="2:30" ht="27.6" outlineLevel="1">
      <c r="B180" s="441"/>
      <c r="C180" s="456"/>
      <c r="D180" s="456"/>
      <c r="E180" s="456"/>
      <c r="F180" s="456"/>
      <c r="G180" s="425"/>
      <c r="H180" s="425"/>
      <c r="I180" s="425"/>
      <c r="J180" s="425"/>
      <c r="K180" s="444"/>
      <c r="L180" s="424"/>
      <c r="M180" s="367"/>
      <c r="N180" s="367"/>
      <c r="P180" s="46" t="s">
        <v>335</v>
      </c>
      <c r="Q180" s="46" t="s">
        <v>336</v>
      </c>
      <c r="R180" s="47" t="s">
        <v>337</v>
      </c>
      <c r="S180" s="47" t="s">
        <v>338</v>
      </c>
      <c r="T180" s="47" t="s">
        <v>339</v>
      </c>
      <c r="U180" s="48" t="s">
        <v>340</v>
      </c>
      <c r="V180" s="49" t="s">
        <v>341</v>
      </c>
      <c r="W180" s="49" t="s">
        <v>342</v>
      </c>
      <c r="X180" s="49" t="s">
        <v>343</v>
      </c>
      <c r="Y180" s="49" t="s">
        <v>344</v>
      </c>
      <c r="Z180" s="49" t="s">
        <v>345</v>
      </c>
      <c r="AA180" s="49" t="s">
        <v>346</v>
      </c>
      <c r="AB180" s="49" t="s">
        <v>347</v>
      </c>
      <c r="AC180" s="49" t="s">
        <v>348</v>
      </c>
      <c r="AD180" s="49" t="s">
        <v>349</v>
      </c>
    </row>
    <row r="181" spans="2:30" ht="24.6" outlineLevel="1" thickBot="1">
      <c r="B181" s="441"/>
      <c r="C181" s="442"/>
      <c r="D181" s="457"/>
      <c r="E181" s="457"/>
      <c r="F181" s="458"/>
      <c r="G181" s="425"/>
      <c r="H181" s="425"/>
      <c r="I181" s="425"/>
      <c r="J181" s="425"/>
      <c r="K181" s="448"/>
      <c r="L181" s="424"/>
      <c r="M181" s="363"/>
      <c r="N181" s="363"/>
      <c r="P181" s="50"/>
      <c r="Q181" s="50"/>
      <c r="R181" s="51"/>
      <c r="S181" s="51"/>
      <c r="T181" s="51"/>
      <c r="U181" s="51" t="s">
        <v>760</v>
      </c>
      <c r="V181" s="50" t="s">
        <v>761</v>
      </c>
      <c r="W181" s="50"/>
      <c r="X181" s="50"/>
      <c r="Y181" s="50"/>
      <c r="Z181" s="50"/>
      <c r="AA181" s="50"/>
      <c r="AB181" s="50"/>
      <c r="AC181" s="50"/>
      <c r="AD181" s="50"/>
    </row>
    <row r="182" spans="2:30" ht="43.8" outlineLevel="1" thickBot="1">
      <c r="B182" s="401" t="s">
        <v>682</v>
      </c>
      <c r="C182" s="402"/>
      <c r="D182" s="403"/>
      <c r="E182" s="404"/>
      <c r="F182" s="405"/>
      <c r="G182" s="406"/>
      <c r="H182" s="406"/>
      <c r="I182" s="406"/>
      <c r="J182" s="406"/>
      <c r="K182" s="459"/>
      <c r="L182" s="460"/>
      <c r="M182" s="363"/>
      <c r="N182" s="363"/>
      <c r="O182" s="461" t="s">
        <v>732</v>
      </c>
      <c r="P182" s="56"/>
      <c r="Q182" s="56"/>
      <c r="R182" s="57"/>
      <c r="S182" s="57"/>
      <c r="T182" s="57"/>
      <c r="U182" s="56" t="s">
        <v>350</v>
      </c>
      <c r="V182" s="56" t="s">
        <v>326</v>
      </c>
      <c r="W182" s="56" t="s">
        <v>327</v>
      </c>
      <c r="X182" s="56" t="s">
        <v>351</v>
      </c>
      <c r="Y182" s="56" t="s">
        <v>351</v>
      </c>
      <c r="Z182" s="56" t="s">
        <v>352</v>
      </c>
      <c r="AA182" s="56" t="s">
        <v>352</v>
      </c>
      <c r="AB182" s="56" t="s">
        <v>352</v>
      </c>
      <c r="AC182" s="56" t="s">
        <v>352</v>
      </c>
      <c r="AD182" s="56" t="s">
        <v>352</v>
      </c>
    </row>
    <row r="183" spans="2:30" outlineLevel="1">
      <c r="B183" s="451" t="s">
        <v>762</v>
      </c>
      <c r="C183" s="633">
        <f>C173*0.2</f>
        <v>0.14599999999999999</v>
      </c>
      <c r="D183" s="633">
        <f>D173*0.2</f>
        <v>0.13</v>
      </c>
      <c r="E183" s="633">
        <f>E173*0.2</f>
        <v>0.12</v>
      </c>
      <c r="F183" s="633">
        <f>F173*0.2</f>
        <v>0.11599999999999999</v>
      </c>
      <c r="G183" s="463"/>
      <c r="H183" s="463"/>
      <c r="I183" s="463"/>
      <c r="J183" s="463"/>
      <c r="K183" s="463" t="s">
        <v>51</v>
      </c>
      <c r="L183" s="464"/>
      <c r="M183" s="363"/>
      <c r="N183" s="363"/>
      <c r="O183" s="465">
        <f>C156</f>
        <v>528</v>
      </c>
      <c r="P183" s="466">
        <f>C152</f>
        <v>2020</v>
      </c>
      <c r="Q183" s="58">
        <f>P183</f>
        <v>2020</v>
      </c>
      <c r="R183" s="466">
        <f>O183/100</f>
        <v>5.28</v>
      </c>
      <c r="S183" s="58"/>
      <c r="T183" s="466">
        <f>C160</f>
        <v>20</v>
      </c>
      <c r="U183" s="467">
        <f>C190</f>
        <v>5438.5</v>
      </c>
      <c r="V183" s="467">
        <f>C192</f>
        <v>14.9</v>
      </c>
      <c r="W183" s="467">
        <f>C193</f>
        <v>6.7463888888888883</v>
      </c>
      <c r="X183" s="58"/>
      <c r="Y183" s="58"/>
      <c r="Z183" s="466" t="str">
        <f>C167</f>
        <v>Cf. the utilized electricity</v>
      </c>
      <c r="AA183" s="468">
        <f>C169</f>
        <v>0</v>
      </c>
      <c r="AB183" s="468">
        <f>C170</f>
        <v>0</v>
      </c>
      <c r="AC183" s="468">
        <f>C171</f>
        <v>0</v>
      </c>
      <c r="AD183" s="468">
        <f>C168</f>
        <v>0</v>
      </c>
    </row>
    <row r="184" spans="2:30" outlineLevel="1">
      <c r="B184" s="376" t="s">
        <v>763</v>
      </c>
      <c r="C184" s="469" t="s">
        <v>36</v>
      </c>
      <c r="D184" s="470" t="s">
        <v>36</v>
      </c>
      <c r="E184" s="470" t="s">
        <v>36</v>
      </c>
      <c r="F184" s="471" t="s">
        <v>36</v>
      </c>
      <c r="G184" s="471"/>
      <c r="H184" s="471"/>
      <c r="I184" s="471"/>
      <c r="J184" s="471"/>
      <c r="K184" s="472"/>
      <c r="L184" s="464"/>
      <c r="M184" s="363"/>
      <c r="N184" s="363"/>
      <c r="O184" s="465">
        <f>D156</f>
        <v>543.99</v>
      </c>
      <c r="P184" s="466">
        <f>D152</f>
        <v>2030</v>
      </c>
      <c r="Q184" s="58"/>
      <c r="R184" s="466">
        <f>O184/100</f>
        <v>5.4398999999999997</v>
      </c>
      <c r="S184" s="58"/>
      <c r="T184" s="466">
        <f>D160</f>
        <v>20</v>
      </c>
      <c r="U184" s="467">
        <f>D190</f>
        <v>4842.5</v>
      </c>
      <c r="V184" s="467">
        <f>D192</f>
        <v>14.9</v>
      </c>
      <c r="W184" s="467">
        <f>D193</f>
        <v>6.6222222222222227</v>
      </c>
      <c r="X184" s="58"/>
      <c r="Y184" s="58"/>
      <c r="Z184" s="466">
        <f>D167</f>
        <v>0</v>
      </c>
      <c r="AA184" s="468">
        <f>D169</f>
        <v>0</v>
      </c>
      <c r="AB184" s="468">
        <f>D170</f>
        <v>0</v>
      </c>
      <c r="AC184" s="468">
        <f>D171</f>
        <v>0</v>
      </c>
      <c r="AD184" s="468">
        <f>D168</f>
        <v>0</v>
      </c>
    </row>
    <row r="185" spans="2:30" outlineLevel="1">
      <c r="B185" s="376" t="s">
        <v>764</v>
      </c>
      <c r="C185" s="469" t="s">
        <v>36</v>
      </c>
      <c r="D185" s="470" t="s">
        <v>36</v>
      </c>
      <c r="E185" s="470" t="s">
        <v>36</v>
      </c>
      <c r="F185" s="471" t="s">
        <v>36</v>
      </c>
      <c r="G185" s="453"/>
      <c r="H185" s="453"/>
      <c r="I185" s="453"/>
      <c r="J185" s="453"/>
      <c r="K185" s="453"/>
      <c r="L185" s="380"/>
      <c r="M185" s="363"/>
      <c r="N185" s="363"/>
      <c r="O185" s="465">
        <f>E156</f>
        <v>554.96979999999996</v>
      </c>
      <c r="P185" s="466">
        <f>E152</f>
        <v>2040</v>
      </c>
      <c r="Q185" s="58"/>
      <c r="R185" s="466">
        <f>O185/100</f>
        <v>5.5496979999999994</v>
      </c>
      <c r="S185" s="58"/>
      <c r="T185" s="466">
        <f>E160</f>
        <v>20</v>
      </c>
      <c r="U185" s="467">
        <f>E190</f>
        <v>4470</v>
      </c>
      <c r="V185" s="467">
        <f>E192</f>
        <v>14.9</v>
      </c>
      <c r="W185" s="467">
        <f>E193</f>
        <v>6.5394444444444444</v>
      </c>
      <c r="X185" s="58"/>
      <c r="Y185" s="58"/>
      <c r="Z185" s="466">
        <f>E167</f>
        <v>0</v>
      </c>
      <c r="AA185" s="468">
        <f>E169</f>
        <v>0</v>
      </c>
      <c r="AB185" s="468">
        <f>E170</f>
        <v>0</v>
      </c>
      <c r="AC185" s="468">
        <f>E171</f>
        <v>0</v>
      </c>
      <c r="AD185" s="468">
        <f>E168</f>
        <v>0</v>
      </c>
    </row>
    <row r="186" spans="2:30" outlineLevel="1">
      <c r="B186" s="376" t="s">
        <v>765</v>
      </c>
      <c r="C186" s="1240" t="s">
        <v>669</v>
      </c>
      <c r="D186" s="1241"/>
      <c r="E186" s="1241"/>
      <c r="F186" s="1242"/>
      <c r="G186" s="474"/>
      <c r="H186" s="474"/>
      <c r="I186" s="474"/>
      <c r="J186" s="474"/>
      <c r="K186" s="474"/>
      <c r="L186" s="380"/>
      <c r="M186" s="363"/>
      <c r="N186" s="363"/>
      <c r="O186" s="465">
        <f>F156</f>
        <v>560.56949799999995</v>
      </c>
      <c r="P186" s="466">
        <f>F152</f>
        <v>2050</v>
      </c>
      <c r="Q186" s="58"/>
      <c r="R186" s="466">
        <f>O186/100</f>
        <v>5.6056949799999991</v>
      </c>
      <c r="S186" s="58"/>
      <c r="T186" s="466">
        <f>F160</f>
        <v>20</v>
      </c>
      <c r="U186" s="467">
        <f>F190</f>
        <v>4321</v>
      </c>
      <c r="V186" s="467">
        <f>F192</f>
        <v>14.9</v>
      </c>
      <c r="W186" s="467">
        <f>F193</f>
        <v>6.4566666666666661</v>
      </c>
      <c r="X186" s="58"/>
      <c r="Y186" s="58"/>
      <c r="Z186" s="466">
        <f>F167</f>
        <v>0</v>
      </c>
      <c r="AA186" s="468">
        <f>F169</f>
        <v>0</v>
      </c>
      <c r="AB186" s="468">
        <f>F170</f>
        <v>0</v>
      </c>
      <c r="AC186" s="468">
        <f>F171</f>
        <v>0</v>
      </c>
      <c r="AD186" s="468">
        <f>F168</f>
        <v>0</v>
      </c>
    </row>
    <row r="187" spans="2:30" outlineLevel="1">
      <c r="B187" s="475" t="s">
        <v>766</v>
      </c>
      <c r="C187" s="469">
        <v>30</v>
      </c>
      <c r="D187" s="470">
        <v>30</v>
      </c>
      <c r="E187" s="470">
        <v>30</v>
      </c>
      <c r="F187" s="471">
        <v>30</v>
      </c>
      <c r="G187" s="474"/>
      <c r="H187" s="474"/>
      <c r="I187" s="474"/>
      <c r="J187" s="474"/>
      <c r="K187" s="474" t="s">
        <v>52</v>
      </c>
      <c r="L187" s="476"/>
      <c r="M187" s="367"/>
      <c r="N187" s="367"/>
    </row>
    <row r="188" spans="2:30" outlineLevel="1">
      <c r="B188" s="475" t="s">
        <v>767</v>
      </c>
      <c r="C188" s="469">
        <v>20</v>
      </c>
      <c r="D188" s="470">
        <v>20</v>
      </c>
      <c r="E188" s="470">
        <v>20</v>
      </c>
      <c r="F188" s="471">
        <v>20</v>
      </c>
      <c r="G188" s="474"/>
      <c r="H188" s="474"/>
      <c r="I188" s="474"/>
      <c r="J188" s="474"/>
      <c r="K188" s="474" t="s">
        <v>52</v>
      </c>
      <c r="L188" s="476"/>
      <c r="M188" s="363"/>
      <c r="N188" s="363"/>
    </row>
    <row r="189" spans="2:30" ht="15" outlineLevel="1" thickBot="1">
      <c r="B189" s="477" t="s">
        <v>768</v>
      </c>
      <c r="C189" s="478" t="s">
        <v>36</v>
      </c>
      <c r="D189" s="479" t="s">
        <v>36</v>
      </c>
      <c r="E189" s="479" t="s">
        <v>36</v>
      </c>
      <c r="F189" s="480" t="s">
        <v>36</v>
      </c>
      <c r="G189" s="481"/>
      <c r="H189" s="481"/>
      <c r="I189" s="481"/>
      <c r="J189" s="481"/>
      <c r="K189" s="481"/>
      <c r="L189" s="482"/>
      <c r="M189" s="363"/>
      <c r="N189" s="363"/>
    </row>
    <row r="190" spans="2:30" ht="57.6" outlineLevel="1">
      <c r="B190" s="461" t="s">
        <v>769</v>
      </c>
      <c r="C190" s="483">
        <f>C173*$F$4*1000</f>
        <v>5438.5</v>
      </c>
      <c r="D190" s="483">
        <f t="shared" ref="D190:F190" si="9">D173*$F$4*1000</f>
        <v>4842.5</v>
      </c>
      <c r="E190" s="483">
        <f t="shared" si="9"/>
        <v>4470</v>
      </c>
      <c r="F190" s="483">
        <f t="shared" si="9"/>
        <v>4321</v>
      </c>
      <c r="G190" s="483"/>
      <c r="H190" s="484"/>
      <c r="I190" s="420" t="s">
        <v>332</v>
      </c>
      <c r="J190" s="420"/>
      <c r="K190" s="484"/>
      <c r="L190" s="484"/>
      <c r="N190" s="420"/>
    </row>
    <row r="191" spans="2:30" outlineLevel="1">
      <c r="B191" s="485" t="s">
        <v>770</v>
      </c>
      <c r="C191" s="486">
        <f>C190*$I191</f>
        <v>2719250</v>
      </c>
      <c r="D191" s="486">
        <f>D190*$I191</f>
        <v>2421250</v>
      </c>
      <c r="E191" s="486">
        <f>E190*$I191</f>
        <v>2235000</v>
      </c>
      <c r="F191" s="486">
        <f>F190*$I191</f>
        <v>2160500</v>
      </c>
      <c r="G191" s="486"/>
      <c r="H191" s="484"/>
      <c r="I191" s="71">
        <v>500</v>
      </c>
      <c r="J191" s="420" t="s">
        <v>330</v>
      </c>
      <c r="K191" s="484"/>
      <c r="L191" s="484"/>
      <c r="N191" s="420"/>
    </row>
    <row r="192" spans="2:30" ht="43.2" outlineLevel="1">
      <c r="B192" s="461" t="s">
        <v>845</v>
      </c>
      <c r="C192" s="359">
        <f>C176*$F$4/1000</f>
        <v>14.9</v>
      </c>
      <c r="D192" s="359">
        <f t="shared" ref="D192:F192" si="10">D176*$F$4/1000</f>
        <v>14.9</v>
      </c>
      <c r="E192" s="359">
        <f t="shared" si="10"/>
        <v>14.9</v>
      </c>
      <c r="F192" s="359">
        <f t="shared" si="10"/>
        <v>14.9</v>
      </c>
      <c r="G192" s="359"/>
      <c r="I192" s="420" t="s">
        <v>333</v>
      </c>
      <c r="J192" s="420"/>
      <c r="N192" s="420"/>
    </row>
    <row r="193" spans="2:14" ht="43.2" outlineLevel="1">
      <c r="B193" s="461" t="s">
        <v>846</v>
      </c>
      <c r="C193" s="487">
        <f>C177*$F$4/3.6</f>
        <v>6.7463888888888883</v>
      </c>
      <c r="D193" s="487">
        <f t="shared" ref="D193:F193" si="11">D177*$F$4/3.6</f>
        <v>6.6222222222222227</v>
      </c>
      <c r="E193" s="487">
        <f t="shared" si="11"/>
        <v>6.5394444444444444</v>
      </c>
      <c r="F193" s="487">
        <f t="shared" si="11"/>
        <v>6.4566666666666661</v>
      </c>
      <c r="G193" s="359"/>
      <c r="M193" s="420"/>
      <c r="N193" s="420"/>
    </row>
    <row r="194" spans="2:14" outlineLevel="1"/>
    <row r="195" spans="2:14" outlineLevel="1"/>
    <row r="196" spans="2:14" outlineLevel="1"/>
    <row r="197" spans="2:14" outlineLevel="1"/>
    <row r="198" spans="2:14" outlineLevel="1">
      <c r="E198" s="358"/>
      <c r="F198" s="358"/>
      <c r="G198" s="358"/>
      <c r="H198" s="358"/>
      <c r="I198" s="358"/>
      <c r="J198" s="358"/>
      <c r="K198" s="358"/>
      <c r="L198" s="358"/>
    </row>
    <row r="199" spans="2:14" outlineLevel="1">
      <c r="B199" s="634" t="s">
        <v>773</v>
      </c>
      <c r="C199" s="490"/>
      <c r="D199" s="490"/>
      <c r="E199" s="358"/>
      <c r="F199" s="358"/>
      <c r="G199" s="358"/>
      <c r="H199" s="358"/>
      <c r="I199" s="358"/>
      <c r="J199" s="358"/>
      <c r="K199" s="358"/>
      <c r="L199" s="358"/>
    </row>
    <row r="200" spans="2:14" outlineLevel="1">
      <c r="B200" s="358">
        <v>1</v>
      </c>
      <c r="C200" s="635" t="s">
        <v>847</v>
      </c>
      <c r="D200" s="490"/>
      <c r="F200" s="358"/>
      <c r="G200" s="358"/>
      <c r="H200" s="358"/>
      <c r="I200" s="358"/>
      <c r="J200" s="358"/>
      <c r="K200" s="358"/>
      <c r="L200" s="358"/>
    </row>
    <row r="201" spans="2:14" outlineLevel="1">
      <c r="B201" s="358">
        <v>2</v>
      </c>
      <c r="C201" s="635" t="s">
        <v>848</v>
      </c>
      <c r="D201" s="490"/>
      <c r="F201" s="358"/>
      <c r="G201" s="358"/>
      <c r="H201" s="358"/>
      <c r="I201" s="358"/>
      <c r="J201" s="358"/>
      <c r="K201" s="358"/>
      <c r="L201" s="358"/>
    </row>
    <row r="202" spans="2:14" outlineLevel="1">
      <c r="B202" s="358">
        <v>3</v>
      </c>
      <c r="C202" s="490" t="s">
        <v>849</v>
      </c>
      <c r="D202" s="490"/>
      <c r="F202" s="358"/>
      <c r="G202" s="358"/>
      <c r="H202" s="358"/>
      <c r="I202" s="358"/>
      <c r="J202" s="358"/>
      <c r="K202" s="358"/>
      <c r="L202" s="358"/>
    </row>
    <row r="203" spans="2:14" outlineLevel="1">
      <c r="B203" s="358">
        <v>4</v>
      </c>
      <c r="C203" s="490" t="s">
        <v>850</v>
      </c>
      <c r="D203" s="490"/>
      <c r="F203" s="358"/>
      <c r="G203" s="358"/>
      <c r="H203" s="358"/>
      <c r="I203" s="358"/>
      <c r="J203" s="358"/>
      <c r="K203" s="358"/>
      <c r="L203" s="358"/>
    </row>
    <row r="204" spans="2:14" outlineLevel="1">
      <c r="B204" s="358">
        <v>5</v>
      </c>
      <c r="C204" s="636" t="s">
        <v>851</v>
      </c>
      <c r="D204" s="490"/>
      <c r="F204" s="358"/>
      <c r="G204" s="358"/>
      <c r="H204" s="358"/>
      <c r="I204" s="358"/>
      <c r="J204" s="358"/>
      <c r="K204" s="358"/>
      <c r="L204" s="358"/>
    </row>
    <row r="205" spans="2:14" outlineLevel="1">
      <c r="B205" s="358">
        <v>6</v>
      </c>
      <c r="C205" s="490" t="s">
        <v>852</v>
      </c>
      <c r="D205" s="490"/>
      <c r="F205" s="358"/>
      <c r="G205" s="358"/>
      <c r="H205" s="358"/>
      <c r="I205" s="358"/>
      <c r="J205" s="358"/>
      <c r="K205" s="358"/>
      <c r="L205" s="358"/>
    </row>
    <row r="206" spans="2:14" outlineLevel="1">
      <c r="B206" s="634" t="s">
        <v>783</v>
      </c>
      <c r="C206" s="358"/>
      <c r="D206" s="490"/>
      <c r="F206" s="358"/>
      <c r="G206" s="358"/>
      <c r="H206" s="358"/>
      <c r="I206" s="358"/>
      <c r="J206" s="358"/>
      <c r="K206" s="358"/>
      <c r="L206" s="358"/>
    </row>
    <row r="207" spans="2:14" outlineLevel="1">
      <c r="B207" s="637" t="s">
        <v>6</v>
      </c>
      <c r="C207" s="490" t="s">
        <v>853</v>
      </c>
      <c r="D207" s="490"/>
      <c r="F207" s="358"/>
      <c r="G207" s="358"/>
      <c r="H207" s="358"/>
      <c r="I207" s="358"/>
      <c r="J207" s="358"/>
      <c r="K207" s="358"/>
      <c r="L207" s="358"/>
    </row>
    <row r="208" spans="2:14" outlineLevel="1">
      <c r="B208" s="637" t="s">
        <v>59</v>
      </c>
      <c r="C208" s="490" t="s">
        <v>854</v>
      </c>
      <c r="D208" s="490"/>
      <c r="F208" s="358"/>
      <c r="G208" s="358"/>
      <c r="H208" s="358"/>
      <c r="I208" s="358"/>
      <c r="J208" s="358"/>
      <c r="K208" s="358"/>
      <c r="L208" s="358"/>
    </row>
    <row r="209" spans="1:44" outlineLevel="1">
      <c r="B209" s="637" t="s">
        <v>16</v>
      </c>
      <c r="C209" s="490" t="s">
        <v>855</v>
      </c>
      <c r="D209" s="490"/>
      <c r="F209" s="358"/>
      <c r="G209" s="358"/>
      <c r="H209" s="358"/>
      <c r="I209" s="358"/>
      <c r="J209" s="358"/>
      <c r="K209" s="358"/>
      <c r="L209" s="358"/>
    </row>
    <row r="210" spans="1:44" outlineLevel="1">
      <c r="B210" s="637" t="s">
        <v>20</v>
      </c>
      <c r="C210" s="490" t="s">
        <v>856</v>
      </c>
      <c r="D210" s="490"/>
      <c r="F210" s="358"/>
      <c r="G210" s="358"/>
      <c r="H210" s="358"/>
      <c r="I210" s="358"/>
      <c r="J210" s="358"/>
      <c r="K210" s="358"/>
      <c r="L210" s="358"/>
    </row>
    <row r="211" spans="1:44" outlineLevel="1">
      <c r="B211" s="637" t="s">
        <v>76</v>
      </c>
      <c r="C211" s="490" t="s">
        <v>857</v>
      </c>
      <c r="D211" s="490"/>
      <c r="F211" s="358"/>
      <c r="G211" s="358"/>
      <c r="H211" s="358"/>
      <c r="I211" s="358"/>
      <c r="J211" s="358"/>
      <c r="K211" s="358"/>
      <c r="L211" s="358"/>
    </row>
    <row r="212" spans="1:44" outlineLevel="1">
      <c r="B212" s="637" t="s">
        <v>25</v>
      </c>
      <c r="C212" s="490" t="s">
        <v>858</v>
      </c>
      <c r="D212" s="358"/>
      <c r="F212" s="358"/>
      <c r="G212" s="358"/>
      <c r="H212" s="358"/>
      <c r="I212" s="358"/>
      <c r="J212" s="358"/>
      <c r="K212" s="358"/>
      <c r="L212" s="358"/>
    </row>
    <row r="213" spans="1:44" outlineLevel="1">
      <c r="B213" s="637" t="s">
        <v>33</v>
      </c>
      <c r="C213" s="489" t="s">
        <v>788</v>
      </c>
      <c r="D213" s="358"/>
      <c r="F213" s="358"/>
      <c r="G213" s="358"/>
      <c r="H213" s="358"/>
      <c r="I213" s="358"/>
      <c r="J213" s="358"/>
      <c r="K213" s="358"/>
      <c r="L213" s="358"/>
    </row>
    <row r="214" spans="1:44" outlineLevel="1">
      <c r="B214" s="637" t="s">
        <v>51</v>
      </c>
      <c r="C214" s="490" t="s">
        <v>859</v>
      </c>
      <c r="D214" s="358"/>
      <c r="G214" s="358"/>
      <c r="H214" s="358"/>
      <c r="I214" s="358"/>
      <c r="J214" s="358"/>
      <c r="K214" s="358"/>
      <c r="L214" s="358"/>
    </row>
    <row r="215" spans="1:44" outlineLevel="1">
      <c r="B215" s="637" t="s">
        <v>52</v>
      </c>
      <c r="C215" s="490" t="s">
        <v>860</v>
      </c>
      <c r="E215" s="490"/>
      <c r="F215" s="490"/>
    </row>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403">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AG91:AH91"/>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W14:W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X14:X18"/>
    <mergeCell ref="Y14:Y18"/>
    <mergeCell ref="Z14:Z18"/>
    <mergeCell ref="AA14:AA18"/>
    <mergeCell ref="AB14:AB18"/>
    <mergeCell ref="AM11:AM13"/>
    <mergeCell ref="AN11:AN13"/>
    <mergeCell ref="AO11:AO13"/>
    <mergeCell ref="X11:X13"/>
    <mergeCell ref="Y11:Y13"/>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C95:F99"/>
    <mergeCell ref="C114:F114"/>
    <mergeCell ref="AG163:AH163"/>
    <mergeCell ref="C167:F171"/>
    <mergeCell ref="C186:F186"/>
    <mergeCell ref="B5:B6"/>
    <mergeCell ref="C5:M5"/>
    <mergeCell ref="P5:U5"/>
    <mergeCell ref="C6:M6"/>
    <mergeCell ref="C7:L7"/>
    <mergeCell ref="S7:S10"/>
    <mergeCell ref="T7:U9"/>
    <mergeCell ref="I8:J8"/>
    <mergeCell ref="K8:K9"/>
    <mergeCell ref="P11:P19"/>
    <mergeCell ref="Q11:Q13"/>
    <mergeCell ref="T11:T13"/>
    <mergeCell ref="U11:U13"/>
    <mergeCell ref="V11:V13"/>
    <mergeCell ref="W11:W13"/>
    <mergeCell ref="Q14:Q18"/>
    <mergeCell ref="T14:T18"/>
    <mergeCell ref="U14:U18"/>
    <mergeCell ref="V14:V18"/>
  </mergeCells>
  <hyperlinks>
    <hyperlink ref="C60" r:id="rId1" xr:uid="{9F7F7D6F-2CA3-45AD-A17D-6BC563E353BB}"/>
    <hyperlink ref="C132" r:id="rId2" xr:uid="{E4D2F3F2-D72A-4768-9CD4-19F4905131F2}"/>
    <hyperlink ref="C204" r:id="rId3" xr:uid="{9EE015A7-4873-406D-ADC3-627D0656199F}"/>
  </hyperlinks>
  <pageMargins left="0.7" right="0.7" top="0.75" bottom="0.75" header="0.3" footer="0.3"/>
  <pageSetup paperSize="9" orientation="portrait" r:id="rId4"/>
  <legacy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14348-B4C9-470E-A329-9CECAE0E402C}">
  <sheetPr>
    <tabColor theme="3"/>
  </sheetPr>
  <dimension ref="A2:AR345"/>
  <sheetViews>
    <sheetView topLeftCell="G4" zoomScale="70" zoomScaleNormal="70" workbookViewId="0">
      <selection activeCell="AB7" sqref="T7:AC9"/>
    </sheetView>
  </sheetViews>
  <sheetFormatPr defaultColWidth="8.77734375" defaultRowHeight="14.4" outlineLevelRow="1"/>
  <cols>
    <col min="1" max="1" width="29.664062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Heat driven heat pumps, up to 80 °C</v>
      </c>
    </row>
    <row r="4" spans="1:44" ht="25.05" customHeight="1">
      <c r="E4" s="224" t="s">
        <v>358</v>
      </c>
      <c r="F4" s="359">
        <v>7.45</v>
      </c>
      <c r="G4" s="359" t="s">
        <v>328</v>
      </c>
    </row>
    <row r="5" spans="1:44" ht="15" customHeight="1">
      <c r="A5" s="360" t="s">
        <v>884</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874</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12</v>
      </c>
      <c r="D10" s="372">
        <v>12</v>
      </c>
      <c r="E10" s="372">
        <v>12</v>
      </c>
      <c r="F10" s="372">
        <v>12</v>
      </c>
      <c r="G10" s="372">
        <v>1</v>
      </c>
      <c r="H10" s="372">
        <v>20</v>
      </c>
      <c r="I10" s="372">
        <v>1</v>
      </c>
      <c r="J10" s="372">
        <v>30</v>
      </c>
      <c r="K10" s="372" t="s">
        <v>102</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170</v>
      </c>
      <c r="D11" s="377">
        <v>171</v>
      </c>
      <c r="E11" s="378">
        <v>172</v>
      </c>
      <c r="F11" s="377">
        <v>173</v>
      </c>
      <c r="G11" s="377">
        <v>170</v>
      </c>
      <c r="H11" s="639">
        <v>180</v>
      </c>
      <c r="I11" s="377">
        <v>170</v>
      </c>
      <c r="J11" s="639">
        <v>180</v>
      </c>
      <c r="K11" s="379"/>
      <c r="L11" s="380">
        <v>1</v>
      </c>
      <c r="M11" s="370"/>
      <c r="N11" s="370"/>
      <c r="P11" s="1199" t="str">
        <f>C7</f>
        <v>Heat driven heat pumps, up to 80 °C</v>
      </c>
      <c r="Q11" s="1154" t="s">
        <v>730</v>
      </c>
      <c r="R11" s="381" t="s">
        <v>731</v>
      </c>
      <c r="S11" s="382" t="s">
        <v>842</v>
      </c>
      <c r="T11" s="1137">
        <v>0</v>
      </c>
      <c r="U11" s="1151">
        <v>0</v>
      </c>
      <c r="V11" s="1157">
        <v>0</v>
      </c>
      <c r="W11" s="1151">
        <v>0</v>
      </c>
      <c r="X11" s="1157">
        <v>0</v>
      </c>
      <c r="Y11" s="1151">
        <v>0</v>
      </c>
      <c r="Z11" s="1157">
        <v>0</v>
      </c>
      <c r="AA11" s="1151">
        <v>0</v>
      </c>
      <c r="AB11" s="1157">
        <v>0</v>
      </c>
      <c r="AC11" s="1151">
        <v>0</v>
      </c>
      <c r="AE11" s="1148" t="str">
        <f>P11</f>
        <v>Heat driven heat pumps, up to 80 °C</v>
      </c>
      <c r="AF11" s="1154" t="s">
        <v>730</v>
      </c>
      <c r="AG11" s="381" t="s">
        <v>731</v>
      </c>
      <c r="AH11" s="382" t="str">
        <f t="shared" ref="AH11:AH13" si="0">S11</f>
        <v/>
      </c>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577">
        <v>168</v>
      </c>
      <c r="D12" s="577">
        <v>169</v>
      </c>
      <c r="E12" s="577">
        <v>170</v>
      </c>
      <c r="F12" s="577">
        <v>171</v>
      </c>
      <c r="G12" s="641">
        <v>168</v>
      </c>
      <c r="H12" s="641">
        <v>178</v>
      </c>
      <c r="I12" s="641">
        <v>168</v>
      </c>
      <c r="J12" s="641">
        <v>178</v>
      </c>
      <c r="K12" s="386" t="s">
        <v>16</v>
      </c>
      <c r="L12" s="387"/>
      <c r="M12" s="370"/>
      <c r="N12" s="370"/>
      <c r="O12" s="71"/>
      <c r="P12" s="1195"/>
      <c r="Q12" s="1155"/>
      <c r="R12" s="388" t="s">
        <v>733</v>
      </c>
      <c r="S12" s="389" t="s">
        <v>842</v>
      </c>
      <c r="T12" s="1140"/>
      <c r="U12" s="1152"/>
      <c r="V12" s="1158"/>
      <c r="W12" s="1152"/>
      <c r="X12" s="1158"/>
      <c r="Y12" s="1152"/>
      <c r="Z12" s="1158"/>
      <c r="AA12" s="1152"/>
      <c r="AB12" s="1158"/>
      <c r="AC12" s="1152"/>
      <c r="AE12" s="1195"/>
      <c r="AF12" s="1155"/>
      <c r="AG12" s="388" t="s">
        <v>733</v>
      </c>
      <c r="AH12" s="389" t="str">
        <f t="shared" si="0"/>
        <v/>
      </c>
      <c r="AI12" s="1140"/>
      <c r="AJ12" s="1152"/>
      <c r="AK12" s="1158"/>
      <c r="AL12" s="1152"/>
      <c r="AM12" s="1158"/>
      <c r="AN12" s="1152"/>
      <c r="AO12" s="1158"/>
      <c r="AP12" s="1152"/>
      <c r="AQ12" s="1158"/>
      <c r="AR12" s="1152"/>
    </row>
    <row r="13" spans="1:44" ht="15" outlineLevel="1" thickBot="1">
      <c r="B13" s="376" t="s">
        <v>734</v>
      </c>
      <c r="C13" s="390">
        <v>1</v>
      </c>
      <c r="D13" s="391">
        <v>1</v>
      </c>
      <c r="E13" s="391">
        <v>1</v>
      </c>
      <c r="F13" s="392">
        <v>1</v>
      </c>
      <c r="G13" s="391">
        <v>1</v>
      </c>
      <c r="H13" s="391">
        <v>3</v>
      </c>
      <c r="I13" s="391">
        <v>1</v>
      </c>
      <c r="J13" s="391">
        <v>3</v>
      </c>
      <c r="K13" s="379"/>
      <c r="L13" s="380">
        <v>1</v>
      </c>
      <c r="M13" s="370"/>
      <c r="N13" s="370"/>
      <c r="O13" s="71"/>
      <c r="P13" s="1195"/>
      <c r="Q13" s="1156"/>
      <c r="R13" s="393" t="s">
        <v>735</v>
      </c>
      <c r="S13" s="394" t="s">
        <v>842</v>
      </c>
      <c r="T13" s="1141"/>
      <c r="U13" s="1153"/>
      <c r="V13" s="1159"/>
      <c r="W13" s="1153"/>
      <c r="X13" s="1159"/>
      <c r="Y13" s="1153"/>
      <c r="Z13" s="1159"/>
      <c r="AA13" s="1153"/>
      <c r="AB13" s="1159"/>
      <c r="AC13" s="1153"/>
      <c r="AE13" s="1195"/>
      <c r="AF13" s="1156"/>
      <c r="AG13" s="393" t="s">
        <v>735</v>
      </c>
      <c r="AH13" s="394" t="str">
        <f t="shared" si="0"/>
        <v/>
      </c>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c r="L14" s="380">
        <v>1</v>
      </c>
      <c r="M14" s="370"/>
      <c r="N14" s="370"/>
      <c r="O14" s="71"/>
      <c r="P14" s="1195"/>
      <c r="Q14" s="1154" t="s">
        <v>736</v>
      </c>
      <c r="R14" s="395" t="s">
        <v>737</v>
      </c>
      <c r="S14" s="396" t="s">
        <v>738</v>
      </c>
      <c r="T14" s="1137">
        <v>0</v>
      </c>
      <c r="U14" s="1137">
        <v>0.02</v>
      </c>
      <c r="V14" s="1137">
        <v>0</v>
      </c>
      <c r="W14" s="1137">
        <v>0.02</v>
      </c>
      <c r="X14" s="1137">
        <v>0</v>
      </c>
      <c r="Y14" s="1137">
        <v>0.01</v>
      </c>
      <c r="Z14" s="1137">
        <v>0</v>
      </c>
      <c r="AA14" s="1137">
        <v>0.01</v>
      </c>
      <c r="AB14" s="1137">
        <v>0</v>
      </c>
      <c r="AC14" s="1151">
        <v>0.01</v>
      </c>
      <c r="AE14" s="1195"/>
      <c r="AF14" s="1154" t="s">
        <v>736</v>
      </c>
      <c r="AG14" s="395" t="s">
        <v>737</v>
      </c>
      <c r="AH14" s="396" t="str">
        <f>S14</f>
        <v>x</v>
      </c>
      <c r="AI14" s="1137">
        <v>0</v>
      </c>
      <c r="AJ14" s="1137">
        <f>U14</f>
        <v>0.02</v>
      </c>
      <c r="AK14" s="1137">
        <v>0</v>
      </c>
      <c r="AL14" s="1137">
        <f>W14</f>
        <v>0.02</v>
      </c>
      <c r="AM14" s="1137">
        <v>0</v>
      </c>
      <c r="AN14" s="1137">
        <f>Y14</f>
        <v>0.01</v>
      </c>
      <c r="AO14" s="1137">
        <v>0</v>
      </c>
      <c r="AP14" s="1137">
        <f>AA14</f>
        <v>0.01</v>
      </c>
      <c r="AQ14" s="1137">
        <v>0</v>
      </c>
      <c r="AR14" s="1151">
        <f>AC14</f>
        <v>0.01</v>
      </c>
    </row>
    <row r="15" spans="1:44" outlineLevel="1">
      <c r="B15" s="376" t="s">
        <v>658</v>
      </c>
      <c r="C15" s="390">
        <v>0</v>
      </c>
      <c r="D15" s="390">
        <v>0</v>
      </c>
      <c r="E15" s="390">
        <v>0</v>
      </c>
      <c r="F15" s="390">
        <v>0</v>
      </c>
      <c r="G15" s="390">
        <v>0</v>
      </c>
      <c r="H15" s="390">
        <v>1</v>
      </c>
      <c r="I15" s="390">
        <v>0</v>
      </c>
      <c r="J15" s="390">
        <v>1</v>
      </c>
      <c r="K15" s="379"/>
      <c r="L15" s="380">
        <v>1</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tr">
        <f>S15</f>
        <v>x</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20</v>
      </c>
      <c r="H16" s="398">
        <v>30</v>
      </c>
      <c r="I16" s="398">
        <v>20</v>
      </c>
      <c r="J16" s="398">
        <v>30</v>
      </c>
      <c r="K16" s="372"/>
      <c r="L16" s="373">
        <v>2</v>
      </c>
      <c r="M16" s="363"/>
      <c r="N16" s="363"/>
      <c r="P16" s="1195"/>
      <c r="Q16" s="1155"/>
      <c r="R16" s="395" t="s">
        <v>741</v>
      </c>
      <c r="S16" s="396" t="s">
        <v>842</v>
      </c>
      <c r="T16" s="1191"/>
      <c r="U16" s="1191"/>
      <c r="V16" s="1191"/>
      <c r="W16" s="1191"/>
      <c r="X16" s="1191"/>
      <c r="Y16" s="1191"/>
      <c r="Z16" s="1191"/>
      <c r="AA16" s="1191"/>
      <c r="AB16" s="1191"/>
      <c r="AC16" s="1193"/>
      <c r="AE16" s="1195"/>
      <c r="AF16" s="1155"/>
      <c r="AG16" s="395" t="s">
        <v>741</v>
      </c>
      <c r="AH16" s="629" t="str">
        <f>S16</f>
        <v/>
      </c>
      <c r="AI16" s="1191"/>
      <c r="AJ16" s="1191"/>
      <c r="AK16" s="1191"/>
      <c r="AL16" s="1191"/>
      <c r="AM16" s="1191"/>
      <c r="AN16" s="1191"/>
      <c r="AO16" s="1191"/>
      <c r="AP16" s="1191"/>
      <c r="AQ16" s="1191"/>
      <c r="AR16" s="1193"/>
    </row>
    <row r="17" spans="1:44" ht="15" outlineLevel="1" thickBot="1">
      <c r="B17" s="376" t="s">
        <v>273</v>
      </c>
      <c r="C17" s="399">
        <v>0.5</v>
      </c>
      <c r="D17" s="399">
        <v>0.5</v>
      </c>
      <c r="E17" s="399">
        <v>0.5</v>
      </c>
      <c r="F17" s="399">
        <v>0.5</v>
      </c>
      <c r="G17" s="399">
        <v>0.3</v>
      </c>
      <c r="H17" s="399">
        <v>0.7</v>
      </c>
      <c r="I17" s="399">
        <v>0.3</v>
      </c>
      <c r="J17" s="399">
        <v>0.7</v>
      </c>
      <c r="K17" s="372"/>
      <c r="L17" s="400">
        <v>1</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tr">
        <f>S17</f>
        <v>x</v>
      </c>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tr">
        <f>S18</f>
        <v>x</v>
      </c>
      <c r="AI18" s="1192"/>
      <c r="AJ18" s="1192"/>
      <c r="AK18" s="1192"/>
      <c r="AL18" s="1192"/>
      <c r="AM18" s="1192"/>
      <c r="AN18" s="1192"/>
      <c r="AO18" s="1192"/>
      <c r="AP18" s="1192"/>
      <c r="AQ18" s="1192"/>
      <c r="AR18" s="1194"/>
    </row>
    <row r="19" spans="1:44" ht="29.4" outlineLevel="1" thickBot="1">
      <c r="B19" s="376" t="s">
        <v>663</v>
      </c>
      <c r="C19" s="390"/>
      <c r="D19" s="390"/>
      <c r="E19" s="390"/>
      <c r="F19" s="390"/>
      <c r="G19" s="391"/>
      <c r="H19" s="391"/>
      <c r="I19" s="391"/>
      <c r="J19" s="391"/>
      <c r="K19" s="379"/>
      <c r="L19" s="380">
        <v>1</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v>
      </c>
      <c r="D20" s="390">
        <v>0</v>
      </c>
      <c r="E20" s="390">
        <v>0</v>
      </c>
      <c r="F20" s="390">
        <v>0</v>
      </c>
      <c r="G20" s="418"/>
      <c r="H20" s="418"/>
      <c r="I20" s="418"/>
      <c r="J20" s="418"/>
      <c r="K20" s="419"/>
      <c r="L20" s="380">
        <v>1</v>
      </c>
      <c r="M20" s="363"/>
      <c r="N20" s="363"/>
    </row>
    <row r="21" spans="1:44" outlineLevel="1">
      <c r="B21" s="376" t="s">
        <v>666</v>
      </c>
      <c r="C21" s="390">
        <v>0.5</v>
      </c>
      <c r="D21" s="390">
        <v>0.5</v>
      </c>
      <c r="E21" s="390">
        <v>0.5</v>
      </c>
      <c r="F21" s="390">
        <v>0.5</v>
      </c>
      <c r="G21" s="418"/>
      <c r="H21" s="418"/>
      <c r="I21" s="418"/>
      <c r="J21" s="418"/>
      <c r="K21" s="419"/>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875</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11">
        <v>0.56000000000000005</v>
      </c>
      <c r="D29" s="512">
        <v>0.51</v>
      </c>
      <c r="E29" s="512">
        <v>0.48</v>
      </c>
      <c r="F29" s="513">
        <v>0.46</v>
      </c>
      <c r="G29" s="425"/>
      <c r="H29" s="425"/>
      <c r="I29" s="425"/>
      <c r="J29" s="425"/>
      <c r="K29" s="426"/>
      <c r="L29" s="440">
        <v>1</v>
      </c>
      <c r="M29" s="420"/>
      <c r="N29" s="420"/>
    </row>
    <row r="30" spans="1:44" outlineLevel="1">
      <c r="B30" s="441" t="s">
        <v>839</v>
      </c>
      <c r="C30" s="442">
        <v>50</v>
      </c>
      <c r="D30" s="442">
        <v>50</v>
      </c>
      <c r="E30" s="442">
        <v>50</v>
      </c>
      <c r="F30" s="442">
        <v>50</v>
      </c>
      <c r="G30" s="425"/>
      <c r="H30" s="425"/>
      <c r="I30" s="425"/>
      <c r="J30" s="425"/>
      <c r="K30" s="444"/>
      <c r="L30" s="373">
        <v>2</v>
      </c>
      <c r="M30" s="71"/>
      <c r="N30" s="420"/>
    </row>
    <row r="31" spans="1:44" outlineLevel="1">
      <c r="B31" s="441" t="s">
        <v>840</v>
      </c>
      <c r="C31" s="442">
        <v>50</v>
      </c>
      <c r="D31" s="442">
        <v>50</v>
      </c>
      <c r="E31" s="442">
        <v>50</v>
      </c>
      <c r="F31" s="442">
        <v>50</v>
      </c>
      <c r="G31" s="425"/>
      <c r="H31" s="425"/>
      <c r="I31" s="425"/>
      <c r="J31" s="425"/>
      <c r="K31" s="444"/>
      <c r="L31" s="373">
        <v>2</v>
      </c>
      <c r="M31" s="420"/>
      <c r="N31" s="420"/>
    </row>
    <row r="32" spans="1:44" outlineLevel="1">
      <c r="B32" s="383" t="s">
        <v>841</v>
      </c>
      <c r="C32" s="445">
        <v>2000</v>
      </c>
      <c r="D32" s="446">
        <v>2000</v>
      </c>
      <c r="E32" s="446">
        <v>2000</v>
      </c>
      <c r="F32" s="447">
        <v>2000</v>
      </c>
      <c r="G32" s="425"/>
      <c r="H32" s="425"/>
      <c r="I32" s="425"/>
      <c r="J32" s="425"/>
      <c r="K32" s="448"/>
      <c r="L32" s="373">
        <v>1</v>
      </c>
      <c r="M32" s="420"/>
      <c r="N32" s="420"/>
    </row>
    <row r="33" spans="2:30" ht="37.049999999999997" customHeight="1" outlineLevel="1" thickBot="1">
      <c r="B33" s="383" t="s">
        <v>679</v>
      </c>
      <c r="C33" s="449">
        <f>C34+C35</f>
        <v>1.01</v>
      </c>
      <c r="D33" s="449">
        <f t="shared" ref="D33:F33" si="1">D34+D35</f>
        <v>1</v>
      </c>
      <c r="E33" s="449">
        <f t="shared" si="1"/>
        <v>1</v>
      </c>
      <c r="F33" s="449">
        <f t="shared" si="1"/>
        <v>0.99</v>
      </c>
      <c r="G33" s="425"/>
      <c r="H33" s="425"/>
      <c r="I33" s="425"/>
      <c r="J33" s="425"/>
      <c r="K33" s="448"/>
      <c r="L33" s="373">
        <v>1</v>
      </c>
      <c r="M33" s="450"/>
      <c r="N33" s="361"/>
      <c r="P33" s="1142">
        <f>C33</f>
        <v>1.01</v>
      </c>
      <c r="Q33" s="1143"/>
      <c r="R33" s="1143"/>
      <c r="S33" s="1143"/>
      <c r="T33" s="1143"/>
      <c r="U33" s="1144"/>
    </row>
    <row r="34" spans="2:30" ht="15.75" customHeight="1" outlineLevel="1" thickBot="1">
      <c r="B34" s="451" t="s">
        <v>758</v>
      </c>
      <c r="C34" s="452">
        <f>C13/100*73</f>
        <v>0.73</v>
      </c>
      <c r="D34" s="452">
        <f>D13/100*75</f>
        <v>0.75</v>
      </c>
      <c r="E34" s="452">
        <f>E13/100*76</f>
        <v>0.76</v>
      </c>
      <c r="F34" s="452">
        <f>F13/100*76</f>
        <v>0.76</v>
      </c>
      <c r="G34" s="453"/>
      <c r="H34" s="453"/>
      <c r="I34" s="453"/>
      <c r="J34" s="453"/>
      <c r="K34" s="379" t="s">
        <v>20</v>
      </c>
      <c r="L34" s="380"/>
      <c r="M34" s="450"/>
      <c r="N34" s="361"/>
      <c r="P34" s="1134">
        <f>C34</f>
        <v>0.73</v>
      </c>
      <c r="Q34" s="1135"/>
      <c r="R34" s="1135"/>
      <c r="S34" s="1135"/>
      <c r="T34" s="1135"/>
      <c r="U34" s="1136"/>
    </row>
    <row r="35" spans="2:30" outlineLevel="1">
      <c r="B35" s="451" t="s">
        <v>759</v>
      </c>
      <c r="C35" s="655">
        <v>0.28000000000000003</v>
      </c>
      <c r="D35" s="655">
        <v>0.25</v>
      </c>
      <c r="E35" s="655">
        <v>0.24</v>
      </c>
      <c r="F35" s="655">
        <v>0.23</v>
      </c>
      <c r="G35" s="453"/>
      <c r="H35" s="453"/>
      <c r="I35" s="453"/>
      <c r="J35" s="453"/>
      <c r="K35" s="455"/>
      <c r="L35" s="380">
        <v>1</v>
      </c>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76</v>
      </c>
      <c r="L39" s="464"/>
      <c r="M39" s="363"/>
      <c r="N39" s="363"/>
      <c r="O39" s="465">
        <f>C12</f>
        <v>168</v>
      </c>
      <c r="P39" s="466">
        <f>C8</f>
        <v>2020</v>
      </c>
      <c r="Q39" s="58">
        <f>P39</f>
        <v>2020</v>
      </c>
      <c r="R39" s="466">
        <f>O39/100</f>
        <v>1.68</v>
      </c>
      <c r="S39" s="58"/>
      <c r="T39" s="466">
        <f>C16</f>
        <v>20</v>
      </c>
      <c r="U39" s="467">
        <f>C46</f>
        <v>4172.0000000000009</v>
      </c>
      <c r="V39" s="467">
        <f>C48</f>
        <v>14.9</v>
      </c>
      <c r="W39" s="467">
        <f>C49</f>
        <v>2.0901388888888892</v>
      </c>
      <c r="X39" s="58"/>
      <c r="Y39" s="58"/>
      <c r="Z39" s="466">
        <v>0</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t="s">
        <v>76</v>
      </c>
      <c r="L40" s="464"/>
      <c r="M40" s="363"/>
      <c r="N40" s="363"/>
      <c r="O40" s="465">
        <f>D12</f>
        <v>169</v>
      </c>
      <c r="P40" s="466">
        <f>D8</f>
        <v>2030</v>
      </c>
      <c r="Q40" s="58"/>
      <c r="R40" s="466">
        <f>O40/100</f>
        <v>1.69</v>
      </c>
      <c r="S40" s="58"/>
      <c r="T40" s="466">
        <f>D16</f>
        <v>20</v>
      </c>
      <c r="U40" s="467">
        <f>D46</f>
        <v>3799.5</v>
      </c>
      <c r="V40" s="467">
        <f>D48</f>
        <v>14.9</v>
      </c>
      <c r="W40" s="467">
        <f>D49</f>
        <v>2.0694444444444446</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170</v>
      </c>
      <c r="P41" s="466">
        <f>E8</f>
        <v>2040</v>
      </c>
      <c r="Q41" s="58"/>
      <c r="R41" s="466">
        <f>O41/100</f>
        <v>1.7</v>
      </c>
      <c r="S41" s="58"/>
      <c r="T41" s="466">
        <f>E16</f>
        <v>20</v>
      </c>
      <c r="U41" s="467">
        <f>E46</f>
        <v>3576</v>
      </c>
      <c r="V41" s="467">
        <f>E48</f>
        <v>14.9</v>
      </c>
      <c r="W41" s="467">
        <f>E49</f>
        <v>2.0694444444444446</v>
      </c>
      <c r="X41" s="58"/>
      <c r="Y41" s="58"/>
      <c r="Z41" s="466">
        <f>E23</f>
        <v>0</v>
      </c>
      <c r="AA41" s="468">
        <f>E25</f>
        <v>0</v>
      </c>
      <c r="AB41" s="468">
        <f>E26</f>
        <v>0</v>
      </c>
      <c r="AC41" s="468">
        <f>E27</f>
        <v>0</v>
      </c>
      <c r="AD41" s="468">
        <f>E24</f>
        <v>0</v>
      </c>
    </row>
    <row r="42" spans="2:30" ht="14.55" customHeight="1" outlineLevel="1">
      <c r="B42" s="376" t="s">
        <v>765</v>
      </c>
      <c r="C42" s="1240" t="s">
        <v>875</v>
      </c>
      <c r="D42" s="1241"/>
      <c r="E42" s="1241"/>
      <c r="F42" s="1242"/>
      <c r="G42" s="474"/>
      <c r="H42" s="474"/>
      <c r="I42" s="474"/>
      <c r="J42" s="474"/>
      <c r="K42" s="474"/>
      <c r="L42" s="380"/>
      <c r="M42" s="363"/>
      <c r="N42" s="363"/>
      <c r="O42" s="465">
        <f>F12</f>
        <v>171</v>
      </c>
      <c r="P42" s="466">
        <f>F8</f>
        <v>2050</v>
      </c>
      <c r="Q42" s="58"/>
      <c r="R42" s="466">
        <f>O42/100</f>
        <v>1.71</v>
      </c>
      <c r="S42" s="58"/>
      <c r="T42" s="466">
        <f>F16</f>
        <v>20</v>
      </c>
      <c r="U42" s="467">
        <f>F46</f>
        <v>3427</v>
      </c>
      <c r="V42" s="467">
        <f>F48</f>
        <v>14.9</v>
      </c>
      <c r="W42" s="467">
        <f>F49</f>
        <v>2.0487500000000001</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644">
        <f>C10-C10/C11*100</f>
        <v>4.9411764705882355</v>
      </c>
      <c r="D45" s="645">
        <f t="shared" ref="D45:F45" si="2">D10-D10/D11*100</f>
        <v>4.9824561403508776</v>
      </c>
      <c r="E45" s="645">
        <f t="shared" si="2"/>
        <v>5.0232558139534884</v>
      </c>
      <c r="F45" s="646">
        <f t="shared" si="2"/>
        <v>5.0635838150289025</v>
      </c>
      <c r="G45" s="481"/>
      <c r="H45" s="481"/>
      <c r="I45" s="481"/>
      <c r="J45" s="481"/>
      <c r="K45" s="481" t="s">
        <v>25</v>
      </c>
      <c r="L45" s="482"/>
      <c r="M45" s="363"/>
      <c r="N45" s="363"/>
    </row>
    <row r="46" spans="2:30" ht="57.6" outlineLevel="1">
      <c r="B46" s="461" t="s">
        <v>769</v>
      </c>
      <c r="C46" s="483">
        <f>C29*$F$4*1000</f>
        <v>4172.0000000000009</v>
      </c>
      <c r="D46" s="483">
        <f t="shared" ref="D46:F46" si="3">D29*$F$4*1000</f>
        <v>3799.5</v>
      </c>
      <c r="E46" s="483">
        <f t="shared" si="3"/>
        <v>3576</v>
      </c>
      <c r="F46" s="483">
        <f t="shared" si="3"/>
        <v>3427</v>
      </c>
      <c r="G46" s="483"/>
      <c r="H46" s="484"/>
      <c r="I46" s="420" t="s">
        <v>332</v>
      </c>
      <c r="J46" s="420"/>
      <c r="K46" s="484"/>
      <c r="L46" s="484"/>
      <c r="N46" s="420"/>
    </row>
    <row r="47" spans="2:30" outlineLevel="1">
      <c r="B47" s="485" t="s">
        <v>770</v>
      </c>
      <c r="C47" s="486">
        <f>C46*$I47</f>
        <v>2086000.0000000005</v>
      </c>
      <c r="D47" s="486">
        <f>D46*$I47</f>
        <v>1899750</v>
      </c>
      <c r="E47" s="486">
        <f>E46*$I47</f>
        <v>1788000</v>
      </c>
      <c r="F47" s="486">
        <f>F46*$I47</f>
        <v>1713500</v>
      </c>
      <c r="G47" s="486"/>
      <c r="H47" s="484"/>
      <c r="I47" s="71">
        <v>500</v>
      </c>
      <c r="J47" s="420" t="s">
        <v>330</v>
      </c>
      <c r="K47" s="484"/>
      <c r="L47" s="484"/>
      <c r="N47" s="420"/>
    </row>
    <row r="48" spans="2:30" ht="43.2" outlineLevel="1">
      <c r="B48" s="461" t="s">
        <v>845</v>
      </c>
      <c r="C48" s="359">
        <f>C32*$F$4/1000</f>
        <v>14.9</v>
      </c>
      <c r="D48" s="359">
        <f t="shared" ref="D48:F48" si="4">D32*$F$4/1000</f>
        <v>14.9</v>
      </c>
      <c r="E48" s="359">
        <f t="shared" si="4"/>
        <v>14.9</v>
      </c>
      <c r="F48" s="359">
        <f t="shared" si="4"/>
        <v>14.9</v>
      </c>
      <c r="G48" s="359"/>
      <c r="I48" s="420" t="s">
        <v>333</v>
      </c>
      <c r="J48" s="420"/>
      <c r="N48" s="420"/>
    </row>
    <row r="49" spans="2:14" ht="43.2" outlineLevel="1">
      <c r="B49" s="461" t="s">
        <v>846</v>
      </c>
      <c r="C49" s="487">
        <f>C33*$F$4/3.6</f>
        <v>2.0901388888888892</v>
      </c>
      <c r="D49" s="487">
        <f t="shared" ref="D49:F49" si="5">D33*$F$4/3.6</f>
        <v>2.0694444444444446</v>
      </c>
      <c r="E49" s="487">
        <f t="shared" si="5"/>
        <v>2.0694444444444446</v>
      </c>
      <c r="F49" s="487">
        <f t="shared" si="5"/>
        <v>2.0487500000000001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49" t="s">
        <v>773</v>
      </c>
      <c r="C55" s="358"/>
      <c r="D55" s="490"/>
      <c r="E55" s="358"/>
      <c r="F55" s="358"/>
      <c r="G55" s="358"/>
      <c r="H55" s="358"/>
      <c r="I55" s="358"/>
      <c r="J55" s="358"/>
      <c r="K55" s="358"/>
      <c r="L55" s="358"/>
    </row>
    <row r="56" spans="2:14" outlineLevel="1">
      <c r="B56" s="650">
        <v>1</v>
      </c>
      <c r="C56" s="651" t="s">
        <v>850</v>
      </c>
      <c r="D56" s="490"/>
      <c r="F56" s="358"/>
      <c r="G56" s="358"/>
      <c r="H56" s="358"/>
      <c r="I56" s="358"/>
      <c r="J56" s="358"/>
      <c r="K56" s="358"/>
      <c r="L56" s="358"/>
    </row>
    <row r="57" spans="2:14" outlineLevel="1">
      <c r="B57" s="650">
        <v>2</v>
      </c>
      <c r="C57" s="652" t="s">
        <v>847</v>
      </c>
      <c r="D57" s="490"/>
      <c r="F57" s="358"/>
      <c r="G57" s="358"/>
      <c r="H57" s="358"/>
      <c r="I57" s="358"/>
      <c r="J57" s="358"/>
      <c r="K57" s="358"/>
      <c r="L57" s="358"/>
    </row>
    <row r="58" spans="2:14" outlineLevel="1">
      <c r="B58" s="358" t="s">
        <v>783</v>
      </c>
      <c r="C58" s="358"/>
      <c r="D58" s="490"/>
      <c r="F58" s="358"/>
      <c r="G58" s="358"/>
      <c r="H58" s="358"/>
      <c r="I58" s="358"/>
      <c r="J58" s="358"/>
      <c r="K58" s="358"/>
      <c r="L58" s="358"/>
    </row>
    <row r="59" spans="2:14" outlineLevel="1">
      <c r="B59" s="653" t="s">
        <v>6</v>
      </c>
      <c r="C59" s="651" t="s">
        <v>870</v>
      </c>
      <c r="D59" s="490"/>
      <c r="F59" s="358"/>
      <c r="G59" s="358"/>
      <c r="H59" s="358"/>
      <c r="I59" s="358"/>
      <c r="J59" s="358"/>
      <c r="K59" s="358"/>
      <c r="L59" s="358"/>
    </row>
    <row r="60" spans="2:14" outlineLevel="1">
      <c r="B60" s="653" t="s">
        <v>59</v>
      </c>
      <c r="C60" s="652" t="s">
        <v>871</v>
      </c>
      <c r="D60" s="490"/>
      <c r="F60" s="358"/>
      <c r="G60" s="358"/>
      <c r="H60" s="358"/>
      <c r="I60" s="358"/>
      <c r="J60" s="358"/>
      <c r="K60" s="358"/>
      <c r="L60" s="358"/>
    </row>
    <row r="61" spans="2:14" outlineLevel="1">
      <c r="B61" s="653" t="s">
        <v>16</v>
      </c>
      <c r="C61" s="651" t="s">
        <v>872</v>
      </c>
      <c r="D61" s="490"/>
      <c r="F61" s="358"/>
      <c r="G61" s="358"/>
      <c r="H61" s="358"/>
      <c r="I61" s="358"/>
      <c r="J61" s="358"/>
      <c r="K61" s="358"/>
      <c r="L61" s="358"/>
    </row>
    <row r="62" spans="2:14" outlineLevel="1">
      <c r="B62" s="654" t="s">
        <v>20</v>
      </c>
      <c r="C62" s="489" t="s">
        <v>788</v>
      </c>
      <c r="D62" s="490"/>
      <c r="F62" s="358"/>
      <c r="G62" s="358"/>
      <c r="H62" s="358"/>
      <c r="I62" s="358"/>
      <c r="J62" s="358"/>
      <c r="K62" s="358"/>
      <c r="L62" s="358"/>
    </row>
    <row r="63" spans="2:14" outlineLevel="1">
      <c r="B63" s="653" t="s">
        <v>76</v>
      </c>
      <c r="C63" s="651" t="s">
        <v>789</v>
      </c>
      <c r="D63" s="490"/>
      <c r="F63" s="358"/>
      <c r="G63" s="358"/>
      <c r="H63" s="358"/>
      <c r="I63" s="358"/>
      <c r="J63" s="358"/>
      <c r="K63" s="358"/>
      <c r="L63" s="358"/>
    </row>
    <row r="64" spans="2:14" outlineLevel="1">
      <c r="B64" s="637" t="s">
        <v>25</v>
      </c>
      <c r="C64" s="358" t="s">
        <v>873</v>
      </c>
      <c r="D64" s="490"/>
      <c r="F64" s="358"/>
      <c r="G64" s="358"/>
      <c r="H64" s="358"/>
      <c r="I64" s="358"/>
      <c r="J64" s="358"/>
      <c r="K64" s="358"/>
      <c r="L64" s="358"/>
    </row>
    <row r="65" spans="1:44" outlineLevel="1">
      <c r="B65" s="656"/>
      <c r="C65" s="490"/>
      <c r="D65" s="490"/>
      <c r="F65" s="358"/>
      <c r="G65" s="358"/>
      <c r="H65" s="358"/>
      <c r="I65" s="358"/>
      <c r="J65" s="358"/>
      <c r="K65" s="358"/>
      <c r="L65" s="358"/>
    </row>
    <row r="66" spans="1:44" outlineLevel="1">
      <c r="B66" s="637"/>
      <c r="C66" s="490"/>
      <c r="D66" s="490"/>
      <c r="F66" s="358"/>
      <c r="G66" s="358"/>
      <c r="H66" s="358"/>
      <c r="I66" s="358"/>
      <c r="J66" s="358"/>
      <c r="K66" s="358"/>
      <c r="L66" s="358"/>
    </row>
    <row r="67" spans="1:44" outlineLevel="1">
      <c r="B67" s="637"/>
      <c r="C67" s="490"/>
      <c r="D67" s="490"/>
      <c r="F67" s="358"/>
      <c r="G67" s="358"/>
      <c r="H67" s="358"/>
      <c r="I67" s="358"/>
      <c r="J67" s="358"/>
      <c r="K67" s="358"/>
      <c r="L67" s="358"/>
    </row>
    <row r="68" spans="1:44" outlineLevel="1">
      <c r="B68" s="637"/>
      <c r="C68" s="490"/>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5"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5"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5"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5"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5"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5" outlineLevel="1" thickBot="1">
      <c r="B99" s="429"/>
      <c r="C99" s="430"/>
      <c r="D99" s="430"/>
      <c r="E99" s="430"/>
      <c r="F99" s="430"/>
      <c r="G99" s="425"/>
      <c r="H99" s="425"/>
      <c r="I99" s="425"/>
      <c r="J99" s="425"/>
      <c r="K99" s="423"/>
      <c r="L99" s="427"/>
      <c r="M99" s="428"/>
      <c r="N99" s="428"/>
    </row>
    <row r="100" spans="1:30" ht="15"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5"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5"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5"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5"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7">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F1C0-8B9A-4246-ABA2-97498C1EE0BA}">
  <sheetPr>
    <tabColor theme="3"/>
  </sheetPr>
  <dimension ref="A1:AR345"/>
  <sheetViews>
    <sheetView topLeftCell="J1" zoomScale="55" zoomScaleNormal="55" workbookViewId="0">
      <selection activeCell="Y19" sqref="Y19"/>
    </sheetView>
  </sheetViews>
  <sheetFormatPr defaultColWidth="8.77734375" defaultRowHeight="14.4" outlineLevelRow="1"/>
  <cols>
    <col min="1" max="1" width="35.2187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1" spans="1:44" ht="18.600000000000001" thickBot="1">
      <c r="A1" s="672" t="s">
        <v>918</v>
      </c>
      <c r="B1" s="673"/>
    </row>
    <row r="2" spans="1:44">
      <c r="B2" s="638" t="str">
        <f>C7</f>
        <v>High temperature heat pumps, up to 125 °C</v>
      </c>
    </row>
    <row r="4" spans="1:44" ht="25.05" customHeight="1">
      <c r="E4" s="224" t="s">
        <v>358</v>
      </c>
      <c r="F4" s="359">
        <v>7.45</v>
      </c>
      <c r="G4" s="359" t="s">
        <v>328</v>
      </c>
    </row>
    <row r="5" spans="1:44" ht="15" customHeight="1">
      <c r="A5" s="360" t="s">
        <v>909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900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1.5</v>
      </c>
      <c r="D10" s="372">
        <v>1.5</v>
      </c>
      <c r="E10" s="372">
        <v>1.5</v>
      </c>
      <c r="F10" s="372">
        <v>1.5</v>
      </c>
      <c r="G10" s="372">
        <v>0.5</v>
      </c>
      <c r="H10" s="372">
        <v>5</v>
      </c>
      <c r="I10" s="372">
        <v>0.5</v>
      </c>
      <c r="J10" s="372">
        <v>5</v>
      </c>
      <c r="K10" s="372" t="s">
        <v>6</v>
      </c>
      <c r="L10" s="373"/>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639">
        <v>260</v>
      </c>
      <c r="D11" s="639">
        <f>415-140</f>
        <v>275</v>
      </c>
      <c r="E11" s="640">
        <f>425-140</f>
        <v>285</v>
      </c>
      <c r="F11" s="639">
        <f>430-140</f>
        <v>290</v>
      </c>
      <c r="G11" s="639">
        <f>C11</f>
        <v>260</v>
      </c>
      <c r="H11" s="639">
        <f>D11*1.1</f>
        <v>302.5</v>
      </c>
      <c r="I11" s="639">
        <f>C11</f>
        <v>260</v>
      </c>
      <c r="J11" s="639">
        <f>F11*1.1</f>
        <v>319</v>
      </c>
      <c r="K11" s="379"/>
      <c r="L11" s="380">
        <v>1.5</v>
      </c>
      <c r="M11" s="370"/>
      <c r="N11" s="370"/>
      <c r="P11" s="1199" t="str">
        <f>C7</f>
        <v>High temperature heat pumps, up to 125 °C</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High temperature heat pumps, up to 125 °C</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577">
        <f>C11-5</f>
        <v>255</v>
      </c>
      <c r="D12" s="577">
        <f t="shared" ref="D12:J12" si="0">D11-5</f>
        <v>270</v>
      </c>
      <c r="E12" s="577">
        <f t="shared" si="0"/>
        <v>280</v>
      </c>
      <c r="F12" s="577">
        <f t="shared" si="0"/>
        <v>285</v>
      </c>
      <c r="G12" s="641">
        <f t="shared" si="0"/>
        <v>255</v>
      </c>
      <c r="H12" s="641">
        <f t="shared" si="0"/>
        <v>297.5</v>
      </c>
      <c r="I12" s="641">
        <f t="shared" si="0"/>
        <v>255</v>
      </c>
      <c r="J12" s="641">
        <f t="shared" si="0"/>
        <v>314</v>
      </c>
      <c r="K12" s="386" t="s">
        <v>59</v>
      </c>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2</v>
      </c>
      <c r="D13" s="391">
        <v>2</v>
      </c>
      <c r="E13" s="391">
        <v>2</v>
      </c>
      <c r="F13" s="392">
        <v>2</v>
      </c>
      <c r="G13" s="391">
        <v>1</v>
      </c>
      <c r="H13" s="391">
        <v>7</v>
      </c>
      <c r="I13" s="391">
        <v>1</v>
      </c>
      <c r="J13" s="391">
        <v>7</v>
      </c>
      <c r="K13" s="379"/>
      <c r="L13" s="380">
        <v>2</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0.01</v>
      </c>
      <c r="I14" s="390">
        <v>0</v>
      </c>
      <c r="J14" s="390">
        <v>0.01</v>
      </c>
      <c r="K14" s="379" t="s">
        <v>16</v>
      </c>
      <c r="L14" s="380">
        <v>2</v>
      </c>
      <c r="M14" s="370"/>
      <c r="N14" s="370"/>
      <c r="O14" s="71"/>
      <c r="P14" s="1195"/>
      <c r="Q14" s="1154" t="s">
        <v>736</v>
      </c>
      <c r="R14" s="395" t="s">
        <v>737</v>
      </c>
      <c r="S14" s="396" t="s">
        <v>738</v>
      </c>
      <c r="T14" s="1137">
        <v>0</v>
      </c>
      <c r="U14" s="1137">
        <f>0.23</f>
        <v>0.23</v>
      </c>
      <c r="V14" s="1137">
        <v>0</v>
      </c>
      <c r="W14" s="1137">
        <f>0.26</f>
        <v>0.26</v>
      </c>
      <c r="X14" s="1137">
        <v>0</v>
      </c>
      <c r="Y14" s="1137">
        <f>0.16</f>
        <v>0.16</v>
      </c>
      <c r="Z14" s="1137">
        <v>0</v>
      </c>
      <c r="AA14" s="1137">
        <v>0.17</v>
      </c>
      <c r="AB14" s="1137">
        <v>0</v>
      </c>
      <c r="AC14" s="1151">
        <f>0.16</f>
        <v>0.16</v>
      </c>
      <c r="AE14" s="1195"/>
      <c r="AF14" s="1154" t="s">
        <v>736</v>
      </c>
      <c r="AG14" s="395" t="s">
        <v>737</v>
      </c>
      <c r="AH14" s="396" t="s">
        <v>738</v>
      </c>
      <c r="AI14" s="1137">
        <v>0</v>
      </c>
      <c r="AJ14" s="1137">
        <f>U14/4</f>
        <v>5.7500000000000002E-2</v>
      </c>
      <c r="AK14" s="1137">
        <v>0</v>
      </c>
      <c r="AL14" s="1137">
        <f>W14/4</f>
        <v>6.5000000000000002E-2</v>
      </c>
      <c r="AM14" s="1137">
        <v>0</v>
      </c>
      <c r="AN14" s="1137">
        <f>Y14/4</f>
        <v>0.04</v>
      </c>
      <c r="AO14" s="1137">
        <v>0</v>
      </c>
      <c r="AP14" s="1137">
        <f>AA14/4</f>
        <v>4.2500000000000003E-2</v>
      </c>
      <c r="AQ14" s="1137">
        <v>0</v>
      </c>
      <c r="AR14" s="1151">
        <f>AC14/4</f>
        <v>0.04</v>
      </c>
    </row>
    <row r="15" spans="1:44" outlineLevel="1">
      <c r="B15" s="376" t="s">
        <v>658</v>
      </c>
      <c r="C15" s="390">
        <v>0.5</v>
      </c>
      <c r="D15" s="390">
        <v>0.5</v>
      </c>
      <c r="E15" s="390">
        <v>0.5</v>
      </c>
      <c r="F15" s="390">
        <v>0.5</v>
      </c>
      <c r="G15" s="390">
        <v>0</v>
      </c>
      <c r="H15" s="390">
        <v>1</v>
      </c>
      <c r="I15" s="390">
        <v>0</v>
      </c>
      <c r="J15" s="390">
        <v>1</v>
      </c>
      <c r="K15" s="379"/>
      <c r="L15" s="380">
        <v>2</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15</v>
      </c>
      <c r="H16" s="398">
        <v>30</v>
      </c>
      <c r="I16" s="398">
        <v>15</v>
      </c>
      <c r="J16" s="398">
        <v>30</v>
      </c>
      <c r="K16" s="372"/>
      <c r="L16" s="373">
        <v>2</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5" outlineLevel="1" thickBot="1">
      <c r="B17" s="376" t="s">
        <v>273</v>
      </c>
      <c r="C17" s="399">
        <v>0.6</v>
      </c>
      <c r="D17" s="399">
        <v>0.6</v>
      </c>
      <c r="E17" s="399">
        <v>0.6</v>
      </c>
      <c r="F17" s="399">
        <v>0.6</v>
      </c>
      <c r="G17" s="399">
        <v>0.4</v>
      </c>
      <c r="H17" s="399">
        <v>0.8</v>
      </c>
      <c r="I17" s="399">
        <v>0.4</v>
      </c>
      <c r="J17" s="399">
        <v>0.8</v>
      </c>
      <c r="K17" s="372" t="s">
        <v>20</v>
      </c>
      <c r="L17" s="400">
        <v>2</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
        <v>738</v>
      </c>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
        <v>738</v>
      </c>
      <c r="AI18" s="1192"/>
      <c r="AJ18" s="1192"/>
      <c r="AK18" s="1192"/>
      <c r="AL18" s="1192"/>
      <c r="AM18" s="1192"/>
      <c r="AN18" s="1192"/>
      <c r="AO18" s="1192"/>
      <c r="AP18" s="1192"/>
      <c r="AQ18" s="1192"/>
      <c r="AR18" s="1194"/>
    </row>
    <row r="19" spans="1:44" ht="29.4" outlineLevel="1" thickBot="1">
      <c r="B19" s="376" t="s">
        <v>663</v>
      </c>
      <c r="C19" s="390">
        <v>25</v>
      </c>
      <c r="D19" s="390">
        <v>25</v>
      </c>
      <c r="E19" s="390">
        <v>25</v>
      </c>
      <c r="F19" s="390">
        <v>25</v>
      </c>
      <c r="G19" s="391"/>
      <c r="H19" s="391"/>
      <c r="I19" s="391"/>
      <c r="J19" s="391"/>
      <c r="K19" s="379" t="s">
        <v>76</v>
      </c>
      <c r="L19" s="380">
        <v>4</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0.25</v>
      </c>
      <c r="D20" s="390">
        <v>0.25</v>
      </c>
      <c r="E20" s="390">
        <v>0.25</v>
      </c>
      <c r="F20" s="390">
        <v>0.25</v>
      </c>
      <c r="G20" s="418"/>
      <c r="H20" s="418"/>
      <c r="I20" s="418"/>
      <c r="J20" s="418"/>
      <c r="K20" s="419"/>
      <c r="L20" s="380">
        <v>9</v>
      </c>
      <c r="M20" s="363"/>
      <c r="N20" s="363"/>
    </row>
    <row r="21" spans="1:44" outlineLevel="1">
      <c r="B21" s="376" t="s">
        <v>666</v>
      </c>
      <c r="C21" s="390">
        <v>1</v>
      </c>
      <c r="D21" s="390">
        <v>1</v>
      </c>
      <c r="E21" s="390">
        <v>1</v>
      </c>
      <c r="F21" s="390">
        <v>1</v>
      </c>
      <c r="G21" s="418"/>
      <c r="H21" s="418"/>
      <c r="I21" s="418"/>
      <c r="J21" s="418"/>
      <c r="K21" s="419"/>
      <c r="L21" s="380">
        <v>9</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51">
        <v>0.87120000000000009</v>
      </c>
      <c r="D29" s="647">
        <v>0.77880000000000005</v>
      </c>
      <c r="E29" s="647">
        <v>0.73</v>
      </c>
      <c r="F29" s="513">
        <v>0.7</v>
      </c>
      <c r="G29" s="425"/>
      <c r="H29" s="425"/>
      <c r="I29" s="425"/>
      <c r="J29" s="425"/>
      <c r="K29" s="426"/>
      <c r="L29" s="440" t="s">
        <v>901</v>
      </c>
      <c r="M29" s="420"/>
      <c r="N29" s="420"/>
    </row>
    <row r="30" spans="1:44" outlineLevel="1">
      <c r="B30" s="441" t="s">
        <v>839</v>
      </c>
      <c r="C30" s="442">
        <v>40</v>
      </c>
      <c r="D30" s="442">
        <v>40</v>
      </c>
      <c r="E30" s="442">
        <v>40</v>
      </c>
      <c r="F30" s="442">
        <v>40</v>
      </c>
      <c r="G30" s="425"/>
      <c r="H30" s="425"/>
      <c r="I30" s="425"/>
      <c r="J30" s="425"/>
      <c r="K30" s="444"/>
      <c r="L30" s="373">
        <v>4</v>
      </c>
      <c r="M30" s="71"/>
      <c r="N30" s="420"/>
    </row>
    <row r="31" spans="1:44" outlineLevel="1">
      <c r="B31" s="441" t="s">
        <v>840</v>
      </c>
      <c r="C31" s="442">
        <v>60</v>
      </c>
      <c r="D31" s="442">
        <v>60</v>
      </c>
      <c r="E31" s="442">
        <v>60</v>
      </c>
      <c r="F31" s="442">
        <v>60</v>
      </c>
      <c r="G31" s="425"/>
      <c r="H31" s="425"/>
      <c r="I31" s="425"/>
      <c r="J31" s="425"/>
      <c r="K31" s="444"/>
      <c r="L31" s="373">
        <v>4</v>
      </c>
      <c r="M31" s="420"/>
      <c r="N31" s="420"/>
    </row>
    <row r="32" spans="1:44" outlineLevel="1">
      <c r="B32" s="383" t="s">
        <v>841</v>
      </c>
      <c r="C32" s="445">
        <v>970</v>
      </c>
      <c r="D32" s="446">
        <v>870</v>
      </c>
      <c r="E32" s="446">
        <v>800</v>
      </c>
      <c r="F32" s="447">
        <v>720</v>
      </c>
      <c r="G32" s="425"/>
      <c r="H32" s="425"/>
      <c r="I32" s="425"/>
      <c r="J32" s="425"/>
      <c r="K32" s="448"/>
      <c r="L32" s="373">
        <v>5</v>
      </c>
      <c r="M32" s="420"/>
      <c r="N32" s="420"/>
    </row>
    <row r="33" spans="2:30" ht="37.049999999999997" customHeight="1" outlineLevel="1" thickBot="1">
      <c r="B33" s="383" t="s">
        <v>679</v>
      </c>
      <c r="C33" s="449">
        <f>SUM(C34:C35)</f>
        <v>3.26</v>
      </c>
      <c r="D33" s="449">
        <f>SUM(D34:D35)</f>
        <v>3.2</v>
      </c>
      <c r="E33" s="449">
        <f>SUM(E34:E35)</f>
        <v>3.2199999999999998</v>
      </c>
      <c r="F33" s="449">
        <f>SUM(F34:F35)</f>
        <v>3.12</v>
      </c>
      <c r="G33" s="425"/>
      <c r="H33" s="425"/>
      <c r="I33" s="425"/>
      <c r="J33" s="425"/>
      <c r="K33" s="448"/>
      <c r="L33" s="373"/>
      <c r="M33" s="450"/>
      <c r="N33" s="361"/>
      <c r="P33" s="1142">
        <f>C33</f>
        <v>3.26</v>
      </c>
      <c r="Q33" s="1143"/>
      <c r="R33" s="1143"/>
      <c r="S33" s="1143"/>
      <c r="T33" s="1143"/>
      <c r="U33" s="1144"/>
    </row>
    <row r="34" spans="2:30" ht="15.75" customHeight="1" outlineLevel="1" thickBot="1">
      <c r="B34" s="451" t="s">
        <v>758</v>
      </c>
      <c r="C34" s="452">
        <f>C13/100*73</f>
        <v>1.46</v>
      </c>
      <c r="D34" s="452">
        <f>D13/100*75</f>
        <v>1.5</v>
      </c>
      <c r="E34" s="452">
        <f>E13/100*76</f>
        <v>1.52</v>
      </c>
      <c r="F34" s="452">
        <f>F13/100*76</f>
        <v>1.52</v>
      </c>
      <c r="G34" s="453"/>
      <c r="H34" s="453"/>
      <c r="I34" s="453"/>
      <c r="J34" s="453"/>
      <c r="K34" s="379" t="s">
        <v>25</v>
      </c>
      <c r="L34" s="380">
        <v>3</v>
      </c>
      <c r="M34" s="450"/>
      <c r="N34" s="361"/>
      <c r="P34" s="1134">
        <f>C34</f>
        <v>1.46</v>
      </c>
      <c r="Q34" s="1135"/>
      <c r="R34" s="1135"/>
      <c r="S34" s="1135"/>
      <c r="T34" s="1135"/>
      <c r="U34" s="1136"/>
    </row>
    <row r="35" spans="2:30" outlineLevel="1">
      <c r="B35" s="451" t="s">
        <v>759</v>
      </c>
      <c r="C35" s="454">
        <v>1.8</v>
      </c>
      <c r="D35" s="454">
        <v>1.7</v>
      </c>
      <c r="E35" s="454">
        <v>1.7</v>
      </c>
      <c r="F35" s="454">
        <v>1.6</v>
      </c>
      <c r="G35" s="453"/>
      <c r="H35" s="453"/>
      <c r="I35" s="453"/>
      <c r="J35" s="453"/>
      <c r="K35" s="455"/>
      <c r="L35" s="380">
        <v>2</v>
      </c>
      <c r="M35" s="363"/>
      <c r="N35" s="363"/>
      <c r="P35" s="53" t="s">
        <v>357</v>
      </c>
    </row>
    <row r="36" spans="2:30" ht="27.6"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f>C29*0.2</f>
        <v>0.17424000000000003</v>
      </c>
      <c r="D39" s="633">
        <f>D29*0.2</f>
        <v>0.15576000000000001</v>
      </c>
      <c r="E39" s="633">
        <f>E29*0.2</f>
        <v>0.14599999999999999</v>
      </c>
      <c r="F39" s="633">
        <f>F29*0.2</f>
        <v>0.13999999999999999</v>
      </c>
      <c r="G39" s="643"/>
      <c r="H39" s="643"/>
      <c r="I39" s="643"/>
      <c r="J39" s="643"/>
      <c r="K39" s="643" t="s">
        <v>33</v>
      </c>
      <c r="L39" s="464"/>
      <c r="M39" s="363"/>
      <c r="N39" s="363"/>
      <c r="O39" s="465">
        <f>(C12+C84)/2</f>
        <v>275</v>
      </c>
      <c r="P39" s="466">
        <f>C8</f>
        <v>2020</v>
      </c>
      <c r="Q39" s="58">
        <f>P39</f>
        <v>2020</v>
      </c>
      <c r="R39" s="466">
        <f>O39/100</f>
        <v>2.75</v>
      </c>
      <c r="S39" s="58"/>
      <c r="T39" s="466">
        <f>C16</f>
        <v>20</v>
      </c>
      <c r="U39" s="467">
        <f>(C46+C118)/2</f>
        <v>7139.4840000000004</v>
      </c>
      <c r="V39" s="467">
        <f>C48</f>
        <v>7.2264999999999997</v>
      </c>
      <c r="W39" s="467">
        <f>C49</f>
        <v>6.7463888888888883</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c r="L40" s="464"/>
      <c r="M40" s="363"/>
      <c r="N40" s="363"/>
      <c r="O40" s="465">
        <f>(D12+D84)/2</f>
        <v>287.5</v>
      </c>
      <c r="P40" s="466">
        <f>D8</f>
        <v>2030</v>
      </c>
      <c r="Q40" s="58"/>
      <c r="R40" s="466">
        <f>O40/100</f>
        <v>2.875</v>
      </c>
      <c r="S40" s="58"/>
      <c r="T40" s="466">
        <f>D16</f>
        <v>20</v>
      </c>
      <c r="U40" s="467">
        <f>(D46+D118)/2</f>
        <v>6382.2660000000014</v>
      </c>
      <c r="V40" s="467">
        <f>D48</f>
        <v>6.4814999999999996</v>
      </c>
      <c r="W40" s="467">
        <f>D49</f>
        <v>6.6222222222222227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(E12+E84)/2</f>
        <v>297.5</v>
      </c>
      <c r="P41" s="466">
        <f>E8</f>
        <v>2040</v>
      </c>
      <c r="Q41" s="58"/>
      <c r="R41" s="466">
        <f>O41/100</f>
        <v>2.9750000000000001</v>
      </c>
      <c r="S41" s="58"/>
      <c r="T41" s="466">
        <f>E16</f>
        <v>20</v>
      </c>
      <c r="U41" s="467">
        <f>(E46+E118)/2</f>
        <v>5982.35</v>
      </c>
      <c r="V41" s="467">
        <f>E48</f>
        <v>5.96</v>
      </c>
      <c r="W41" s="467">
        <f>E49</f>
        <v>6.66361111111111</v>
      </c>
      <c r="X41" s="58"/>
      <c r="Y41" s="58"/>
      <c r="Z41" s="466">
        <f>E23</f>
        <v>0</v>
      </c>
      <c r="AA41" s="468">
        <f>E25</f>
        <v>0</v>
      </c>
      <c r="AB41" s="468">
        <f>E26</f>
        <v>0</v>
      </c>
      <c r="AC41" s="468">
        <f>E27</f>
        <v>0</v>
      </c>
      <c r="AD41" s="468">
        <f>E24</f>
        <v>0</v>
      </c>
    </row>
    <row r="42" spans="2:30" ht="14.55" customHeight="1" outlineLevel="1">
      <c r="B42" s="376" t="s">
        <v>765</v>
      </c>
      <c r="C42" s="1240" t="s">
        <v>669</v>
      </c>
      <c r="D42" s="1241"/>
      <c r="E42" s="1241"/>
      <c r="F42" s="1242"/>
      <c r="G42" s="474"/>
      <c r="H42" s="474"/>
      <c r="I42" s="474"/>
      <c r="J42" s="474"/>
      <c r="K42" s="474"/>
      <c r="L42" s="380"/>
      <c r="M42" s="363"/>
      <c r="N42" s="363"/>
      <c r="O42" s="465">
        <f>(F12+F84)/2</f>
        <v>302.5</v>
      </c>
      <c r="P42" s="466">
        <f>F8</f>
        <v>2050</v>
      </c>
      <c r="Q42" s="58"/>
      <c r="R42" s="466">
        <f>O42/100</f>
        <v>3.0249999999999999</v>
      </c>
      <c r="S42" s="58"/>
      <c r="T42" s="466">
        <f>F16</f>
        <v>20</v>
      </c>
      <c r="U42" s="467">
        <f>(F46+F118)/2</f>
        <v>5736.5</v>
      </c>
      <c r="V42" s="467">
        <f>F48</f>
        <v>5.3639999999999999</v>
      </c>
      <c r="W42" s="467">
        <f>F49</f>
        <v>6.4566666666666661</v>
      </c>
      <c r="X42" s="58"/>
      <c r="Y42" s="58"/>
      <c r="Z42" s="466">
        <f>F23</f>
        <v>0</v>
      </c>
      <c r="AA42" s="468">
        <f>F25</f>
        <v>0</v>
      </c>
      <c r="AB42" s="468">
        <f>F26</f>
        <v>0</v>
      </c>
      <c r="AC42" s="468">
        <f>F27</f>
        <v>0</v>
      </c>
      <c r="AD42" s="468">
        <f>F24</f>
        <v>0</v>
      </c>
    </row>
    <row r="43" spans="2:30" outlineLevel="1">
      <c r="B43" s="475" t="s">
        <v>766</v>
      </c>
      <c r="C43" s="469">
        <v>40</v>
      </c>
      <c r="D43" s="470">
        <v>40</v>
      </c>
      <c r="E43" s="470">
        <v>40</v>
      </c>
      <c r="F43" s="471">
        <v>40</v>
      </c>
      <c r="G43" s="474"/>
      <c r="H43" s="474"/>
      <c r="I43" s="474"/>
      <c r="J43" s="474"/>
      <c r="K43" s="474" t="s">
        <v>51</v>
      </c>
      <c r="L43" s="476"/>
      <c r="M43" s="367"/>
      <c r="N43" s="367"/>
    </row>
    <row r="44" spans="2:30" outlineLevel="1">
      <c r="B44" s="475" t="s">
        <v>767</v>
      </c>
      <c r="C44" s="469">
        <v>10</v>
      </c>
      <c r="D44" s="470">
        <v>10</v>
      </c>
      <c r="E44" s="470">
        <v>10</v>
      </c>
      <c r="F44" s="471">
        <v>10</v>
      </c>
      <c r="G44" s="474"/>
      <c r="H44" s="474"/>
      <c r="I44" s="474"/>
      <c r="J44" s="474"/>
      <c r="K44" s="474" t="s">
        <v>51</v>
      </c>
      <c r="L44" s="476"/>
      <c r="M44" s="363"/>
      <c r="N44" s="363"/>
      <c r="O44" s="8" t="s">
        <v>919</v>
      </c>
    </row>
    <row r="45" spans="2:30" ht="15" outlineLevel="1" thickBot="1">
      <c r="B45" s="477" t="s">
        <v>768</v>
      </c>
      <c r="C45" s="478"/>
      <c r="D45" s="479"/>
      <c r="E45" s="479"/>
      <c r="F45" s="480"/>
      <c r="G45" s="481"/>
      <c r="H45" s="481"/>
      <c r="I45" s="481"/>
      <c r="J45" s="481"/>
      <c r="K45" s="481"/>
      <c r="L45" s="482"/>
      <c r="M45" s="363"/>
      <c r="N45" s="363"/>
    </row>
    <row r="46" spans="2:30" ht="57.6" outlineLevel="1">
      <c r="B46" s="461" t="s">
        <v>769</v>
      </c>
      <c r="C46" s="483">
        <f>C29*$F$4*1000</f>
        <v>6490.4400000000005</v>
      </c>
      <c r="D46" s="483">
        <f t="shared" ref="D46:F46" si="1">D29*$F$4*1000</f>
        <v>5802.0600000000013</v>
      </c>
      <c r="E46" s="483">
        <f t="shared" si="1"/>
        <v>5438.5</v>
      </c>
      <c r="F46" s="483">
        <f t="shared" si="1"/>
        <v>5215</v>
      </c>
      <c r="G46" s="483"/>
      <c r="H46" s="484"/>
      <c r="I46" s="420" t="s">
        <v>332</v>
      </c>
      <c r="J46" s="420"/>
      <c r="K46" s="484"/>
      <c r="L46" s="484"/>
      <c r="N46" s="420"/>
    </row>
    <row r="47" spans="2:30" outlineLevel="1">
      <c r="B47" s="485" t="s">
        <v>770</v>
      </c>
      <c r="C47" s="486">
        <f>C46*$I47</f>
        <v>3245220.0000000005</v>
      </c>
      <c r="D47" s="486">
        <f>D46*$I47</f>
        <v>2901030.0000000005</v>
      </c>
      <c r="E47" s="486">
        <f>E46*$I47</f>
        <v>2719250</v>
      </c>
      <c r="F47" s="486">
        <f>F46*$I47</f>
        <v>2607500</v>
      </c>
      <c r="G47" s="486"/>
      <c r="H47" s="484"/>
      <c r="I47" s="71">
        <v>500</v>
      </c>
      <c r="J47" s="420" t="s">
        <v>330</v>
      </c>
      <c r="K47" s="484"/>
      <c r="L47" s="484"/>
      <c r="N47" s="420"/>
    </row>
    <row r="48" spans="2:30" ht="43.2" outlineLevel="1">
      <c r="B48" s="461" t="s">
        <v>845</v>
      </c>
      <c r="C48" s="359">
        <f>C32*$F$4/1000</f>
        <v>7.2264999999999997</v>
      </c>
      <c r="D48" s="359">
        <f t="shared" ref="D48:F48" si="2">D32*$F$4/1000</f>
        <v>6.4814999999999996</v>
      </c>
      <c r="E48" s="359">
        <f t="shared" si="2"/>
        <v>5.96</v>
      </c>
      <c r="F48" s="359">
        <f t="shared" si="2"/>
        <v>5.3639999999999999</v>
      </c>
      <c r="G48" s="359"/>
      <c r="I48" s="420" t="s">
        <v>333</v>
      </c>
      <c r="J48" s="420"/>
      <c r="N48" s="420"/>
    </row>
    <row r="49" spans="2:14" ht="43.2" outlineLevel="1">
      <c r="B49" s="461" t="s">
        <v>846</v>
      </c>
      <c r="C49" s="487">
        <f>C33*$F$4/3.6</f>
        <v>6.7463888888888883</v>
      </c>
      <c r="D49" s="487">
        <f t="shared" ref="D49:F49" si="3">D33*$F$4/3.6</f>
        <v>6.6222222222222227</v>
      </c>
      <c r="E49" s="487">
        <f t="shared" si="3"/>
        <v>6.66361111111111</v>
      </c>
      <c r="F49" s="487">
        <f t="shared" si="3"/>
        <v>6.4566666666666661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8" t="s">
        <v>773</v>
      </c>
      <c r="F55" s="358"/>
      <c r="G55" s="358"/>
      <c r="H55" s="358"/>
      <c r="I55" s="358"/>
      <c r="J55" s="358"/>
      <c r="K55" s="358"/>
      <c r="L55" s="358"/>
    </row>
    <row r="56" spans="2:14" outlineLevel="1">
      <c r="B56" s="358">
        <v>1</v>
      </c>
      <c r="C56" s="490" t="s">
        <v>878</v>
      </c>
      <c r="D56" s="358"/>
      <c r="E56" s="490"/>
      <c r="F56" s="358"/>
      <c r="G56" s="358"/>
      <c r="H56" s="358"/>
      <c r="I56" s="358"/>
      <c r="J56" s="358"/>
      <c r="K56" s="358"/>
      <c r="L56" s="358"/>
    </row>
    <row r="57" spans="2:14" outlineLevel="1">
      <c r="B57" s="358">
        <v>2</v>
      </c>
      <c r="C57" s="636" t="s">
        <v>902</v>
      </c>
      <c r="D57" s="358"/>
      <c r="E57" s="490"/>
      <c r="F57" s="358"/>
      <c r="G57" s="358"/>
      <c r="H57" s="358"/>
      <c r="I57" s="358"/>
      <c r="J57" s="358"/>
      <c r="K57" s="358"/>
      <c r="L57" s="358"/>
    </row>
    <row r="58" spans="2:14" outlineLevel="1">
      <c r="B58" s="666">
        <v>3</v>
      </c>
      <c r="C58" s="667" t="s">
        <v>903</v>
      </c>
      <c r="D58" s="358"/>
      <c r="E58" s="490"/>
      <c r="F58" s="358"/>
      <c r="G58" s="358"/>
      <c r="H58" s="358"/>
      <c r="I58" s="358"/>
      <c r="J58" s="358"/>
      <c r="K58" s="358"/>
      <c r="L58" s="358"/>
    </row>
    <row r="59" spans="2:14" outlineLevel="1">
      <c r="B59" s="490">
        <v>4</v>
      </c>
      <c r="C59" s="667" t="s">
        <v>904</v>
      </c>
      <c r="D59" s="358"/>
      <c r="E59" s="490"/>
      <c r="F59" s="358"/>
      <c r="G59" s="358"/>
      <c r="H59" s="358"/>
      <c r="I59" s="358"/>
      <c r="J59" s="358"/>
      <c r="K59" s="358"/>
      <c r="L59" s="358"/>
    </row>
    <row r="60" spans="2:14" outlineLevel="1">
      <c r="B60" s="490">
        <v>5</v>
      </c>
      <c r="C60" s="493" t="s">
        <v>905</v>
      </c>
      <c r="D60" s="358"/>
      <c r="E60" s="490"/>
      <c r="F60" s="358"/>
      <c r="G60" s="358"/>
      <c r="H60" s="358"/>
      <c r="I60" s="358"/>
      <c r="J60" s="358"/>
      <c r="K60" s="358"/>
      <c r="L60" s="358"/>
    </row>
    <row r="61" spans="2:14" outlineLevel="1">
      <c r="B61" s="8" t="s">
        <v>783</v>
      </c>
      <c r="D61" s="358"/>
      <c r="E61" s="490"/>
      <c r="F61" s="358"/>
      <c r="G61" s="358"/>
      <c r="H61" s="358"/>
      <c r="I61" s="358"/>
      <c r="J61" s="358"/>
      <c r="K61" s="358"/>
      <c r="L61" s="358"/>
    </row>
    <row r="62" spans="2:14" outlineLevel="1">
      <c r="B62" s="637" t="s">
        <v>6</v>
      </c>
      <c r="C62" s="358" t="s">
        <v>853</v>
      </c>
      <c r="D62" s="358"/>
      <c r="E62" s="490"/>
      <c r="F62" s="358"/>
      <c r="G62" s="358"/>
      <c r="H62" s="358"/>
      <c r="I62" s="358"/>
      <c r="J62" s="358"/>
      <c r="K62" s="358"/>
      <c r="L62" s="358"/>
    </row>
    <row r="63" spans="2:14" outlineLevel="1">
      <c r="B63" s="637" t="s">
        <v>59</v>
      </c>
      <c r="C63" s="358" t="s">
        <v>906</v>
      </c>
      <c r="D63" s="358"/>
      <c r="E63" s="490"/>
      <c r="F63" s="358"/>
      <c r="G63" s="358"/>
      <c r="H63" s="358"/>
      <c r="I63" s="358"/>
      <c r="J63" s="358"/>
      <c r="K63" s="358"/>
      <c r="L63" s="358"/>
    </row>
    <row r="64" spans="2:14" outlineLevel="1">
      <c r="B64" s="637" t="s">
        <v>16</v>
      </c>
      <c r="C64" s="358" t="s">
        <v>856</v>
      </c>
      <c r="D64" s="358"/>
      <c r="E64" s="490"/>
      <c r="F64" s="358"/>
      <c r="G64" s="358"/>
      <c r="H64" s="358"/>
      <c r="I64" s="358"/>
      <c r="J64" s="358"/>
      <c r="K64" s="358"/>
      <c r="L64" s="358"/>
    </row>
    <row r="65" spans="1:44" outlineLevel="1">
      <c r="B65" s="637" t="s">
        <v>20</v>
      </c>
      <c r="C65" s="358" t="s">
        <v>907</v>
      </c>
      <c r="F65" s="358"/>
      <c r="G65" s="358"/>
      <c r="H65" s="358"/>
      <c r="I65" s="358"/>
      <c r="J65" s="358"/>
      <c r="K65" s="358"/>
      <c r="L65" s="358"/>
    </row>
    <row r="66" spans="1:44" outlineLevel="1">
      <c r="B66" s="666" t="s">
        <v>76</v>
      </c>
      <c r="C66" s="358" t="s">
        <v>908</v>
      </c>
      <c r="D66" s="358"/>
      <c r="E66" s="490"/>
      <c r="F66" s="358"/>
      <c r="G66" s="358"/>
      <c r="H66" s="358"/>
      <c r="I66" s="358"/>
      <c r="J66" s="358"/>
      <c r="K66" s="358"/>
      <c r="L66" s="358"/>
    </row>
    <row r="67" spans="1:44" outlineLevel="1">
      <c r="B67" s="637" t="s">
        <v>25</v>
      </c>
      <c r="C67" s="498" t="s">
        <v>788</v>
      </c>
      <c r="D67" s="498"/>
      <c r="E67" s="490"/>
      <c r="F67" s="358"/>
      <c r="G67" s="358"/>
      <c r="H67" s="358"/>
      <c r="I67" s="358"/>
      <c r="J67" s="358"/>
      <c r="K67" s="358"/>
      <c r="L67" s="358"/>
    </row>
    <row r="68" spans="1:44" outlineLevel="1">
      <c r="B68" s="656" t="s">
        <v>33</v>
      </c>
      <c r="C68" s="490" t="s">
        <v>859</v>
      </c>
      <c r="E68" s="490"/>
      <c r="F68" s="358"/>
      <c r="G68" s="358"/>
      <c r="H68" s="358"/>
      <c r="I68" s="358"/>
      <c r="J68" s="358"/>
      <c r="K68" s="358"/>
      <c r="L68" s="358"/>
    </row>
    <row r="69" spans="1:44" outlineLevel="1">
      <c r="B69" s="637" t="s">
        <v>51</v>
      </c>
      <c r="C69" s="490" t="s">
        <v>860</v>
      </c>
      <c r="E69" s="490"/>
      <c r="F69" s="358"/>
      <c r="G69" s="358"/>
      <c r="H69" s="358"/>
      <c r="I69" s="358"/>
      <c r="J69" s="358"/>
      <c r="K69" s="358"/>
      <c r="L69" s="358"/>
    </row>
    <row r="70" spans="1:44" outlineLevel="1">
      <c r="E70" s="490"/>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t="s">
        <v>916</v>
      </c>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692">
        <v>1</v>
      </c>
      <c r="Q78" s="692">
        <v>2</v>
      </c>
      <c r="R78" s="692">
        <v>3</v>
      </c>
      <c r="S78" s="692">
        <v>4</v>
      </c>
      <c r="T78" s="692">
        <v>5</v>
      </c>
      <c r="U78" s="692">
        <v>6</v>
      </c>
      <c r="V78" s="692">
        <v>7</v>
      </c>
      <c r="W78" s="692">
        <v>8</v>
      </c>
      <c r="X78" s="692">
        <v>9</v>
      </c>
      <c r="Y78" s="692">
        <v>10</v>
      </c>
      <c r="Z78" s="692">
        <v>11</v>
      </c>
      <c r="AA78" s="692">
        <v>12</v>
      </c>
      <c r="AB78" s="692">
        <v>13</v>
      </c>
      <c r="AC78" s="692">
        <v>14</v>
      </c>
    </row>
    <row r="79" spans="1:44" ht="20.55" customHeight="1" outlineLevel="1" thickBot="1">
      <c r="B79" s="362" t="s">
        <v>0</v>
      </c>
      <c r="C79" s="1204" t="s">
        <v>915</v>
      </c>
      <c r="D79" s="1205"/>
      <c r="E79" s="1205"/>
      <c r="F79" s="1205"/>
      <c r="G79" s="1205"/>
      <c r="H79" s="1205"/>
      <c r="I79" s="1205"/>
      <c r="J79" s="1205"/>
      <c r="K79" s="1205"/>
      <c r="L79" s="1206"/>
      <c r="M79" s="363"/>
      <c r="N79" s="363"/>
      <c r="P79" s="364" t="s">
        <v>713</v>
      </c>
      <c r="Q79" s="365"/>
      <c r="R79" s="366"/>
      <c r="S79" s="1176" t="s">
        <v>714</v>
      </c>
      <c r="T79" s="1160" t="s">
        <v>715</v>
      </c>
      <c r="U79" s="1161"/>
      <c r="V79" s="1160" t="s">
        <v>716</v>
      </c>
      <c r="W79" s="1161"/>
      <c r="X79" s="1160" t="s">
        <v>717</v>
      </c>
      <c r="Y79" s="1161"/>
      <c r="Z79" s="1160" t="s">
        <v>718</v>
      </c>
      <c r="AA79" s="1161"/>
      <c r="AB79" s="1160" t="s">
        <v>719</v>
      </c>
      <c r="AC79" s="1161"/>
      <c r="AE79" s="364" t="s">
        <v>720</v>
      </c>
      <c r="AF79" s="365"/>
      <c r="AG79" s="366"/>
      <c r="AH79" s="1176" t="s">
        <v>714</v>
      </c>
      <c r="AI79" s="1160" t="s">
        <v>715</v>
      </c>
      <c r="AJ79" s="1161"/>
      <c r="AK79" s="1160" t="s">
        <v>716</v>
      </c>
      <c r="AL79" s="1161"/>
      <c r="AM79" s="1160" t="s">
        <v>717</v>
      </c>
      <c r="AN79" s="1161"/>
      <c r="AO79" s="1160" t="s">
        <v>718</v>
      </c>
      <c r="AP79" s="1161"/>
      <c r="AQ79" s="1160" t="s">
        <v>719</v>
      </c>
      <c r="AR79" s="1161"/>
    </row>
    <row r="80" spans="1:44" ht="15" customHeight="1" outlineLevel="1" thickBot="1">
      <c r="B80" s="1164" t="s">
        <v>4</v>
      </c>
      <c r="C80" s="1166">
        <v>2020</v>
      </c>
      <c r="D80" s="1166">
        <v>2030</v>
      </c>
      <c r="E80" s="1166">
        <v>2040</v>
      </c>
      <c r="F80" s="1166">
        <v>2050</v>
      </c>
      <c r="G80" s="1200" t="s">
        <v>721</v>
      </c>
      <c r="H80" s="1201"/>
      <c r="I80" s="1200" t="s">
        <v>648</v>
      </c>
      <c r="J80" s="1201"/>
      <c r="K80" s="1202" t="s">
        <v>2</v>
      </c>
      <c r="L80" s="1202" t="s">
        <v>3</v>
      </c>
      <c r="M80" s="367"/>
      <c r="N80" s="367"/>
      <c r="P80" s="1180" t="s">
        <v>0</v>
      </c>
      <c r="Q80" s="368"/>
      <c r="R80" s="368"/>
      <c r="S80" s="1177"/>
      <c r="T80" s="1162"/>
      <c r="U80" s="1163"/>
      <c r="V80" s="1162"/>
      <c r="W80" s="1163"/>
      <c r="X80" s="1162"/>
      <c r="Y80" s="1163"/>
      <c r="Z80" s="1162"/>
      <c r="AA80" s="1163"/>
      <c r="AB80" s="1162"/>
      <c r="AC80" s="1163"/>
      <c r="AE80" s="1180" t="s">
        <v>0</v>
      </c>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t="s">
        <v>649</v>
      </c>
      <c r="H81" s="499" t="s">
        <v>650</v>
      </c>
      <c r="I81" s="499" t="s">
        <v>649</v>
      </c>
      <c r="J81" s="499" t="s">
        <v>650</v>
      </c>
      <c r="K81" s="1203"/>
      <c r="L81" s="1203"/>
      <c r="M81" s="370"/>
      <c r="N81" s="370"/>
      <c r="P81" s="1181"/>
      <c r="Q81" s="1183" t="s">
        <v>722</v>
      </c>
      <c r="R81" s="1184" t="s">
        <v>723</v>
      </c>
      <c r="S81" s="1178"/>
      <c r="T81" s="1162"/>
      <c r="U81" s="1163"/>
      <c r="V81" s="1162"/>
      <c r="W81" s="1163"/>
      <c r="X81" s="1162"/>
      <c r="Y81" s="1163"/>
      <c r="Z81" s="1162"/>
      <c r="AA81" s="1163"/>
      <c r="AB81" s="1162"/>
      <c r="AC81" s="1163"/>
      <c r="AE81" s="1181"/>
      <c r="AF81" s="1197" t="s">
        <v>722</v>
      </c>
      <c r="AG81" s="1184" t="s">
        <v>723</v>
      </c>
      <c r="AH81" s="1178"/>
      <c r="AI81" s="1162"/>
      <c r="AJ81" s="1163"/>
      <c r="AK81" s="1162"/>
      <c r="AL81" s="1163"/>
      <c r="AM81" s="1162"/>
      <c r="AN81" s="1163"/>
      <c r="AO81" s="1162"/>
      <c r="AP81" s="1163"/>
      <c r="AQ81" s="1162"/>
      <c r="AR81" s="1163"/>
    </row>
    <row r="82" spans="2:44" ht="29.4" outlineLevel="1" thickBot="1">
      <c r="B82" s="371" t="s">
        <v>651</v>
      </c>
      <c r="C82" s="372">
        <v>1.5</v>
      </c>
      <c r="D82" s="372">
        <v>1.5</v>
      </c>
      <c r="E82" s="372">
        <v>1.5</v>
      </c>
      <c r="F82" s="372">
        <v>1.5</v>
      </c>
      <c r="G82" s="372">
        <v>0.5</v>
      </c>
      <c r="H82" s="372">
        <v>5</v>
      </c>
      <c r="I82" s="372">
        <v>0.5</v>
      </c>
      <c r="J82" s="372">
        <v>5</v>
      </c>
      <c r="K82" s="372" t="s">
        <v>6</v>
      </c>
      <c r="L82" s="373"/>
      <c r="M82" s="370"/>
      <c r="N82" s="370"/>
      <c r="O82" s="74"/>
      <c r="P82" s="1182"/>
      <c r="Q82" s="1179"/>
      <c r="R82" s="1185"/>
      <c r="S82" s="1179"/>
      <c r="T82" s="374" t="s">
        <v>726</v>
      </c>
      <c r="U82" s="375" t="s">
        <v>727</v>
      </c>
      <c r="V82" s="374" t="s">
        <v>726</v>
      </c>
      <c r="W82" s="375" t="s">
        <v>727</v>
      </c>
      <c r="X82" s="374" t="s">
        <v>726</v>
      </c>
      <c r="Y82" s="375" t="s">
        <v>727</v>
      </c>
      <c r="Z82" s="374" t="s">
        <v>726</v>
      </c>
      <c r="AA82" s="375" t="s">
        <v>727</v>
      </c>
      <c r="AB82" s="374" t="s">
        <v>726</v>
      </c>
      <c r="AC82" s="375" t="s">
        <v>727</v>
      </c>
      <c r="AE82" s="1182"/>
      <c r="AF82" s="1198"/>
      <c r="AG82" s="1185"/>
      <c r="AH82" s="1179"/>
      <c r="AI82" s="374" t="s">
        <v>726</v>
      </c>
      <c r="AJ82" s="375" t="s">
        <v>727</v>
      </c>
      <c r="AK82" s="374" t="s">
        <v>726</v>
      </c>
      <c r="AL82" s="375" t="s">
        <v>727</v>
      </c>
      <c r="AM82" s="374" t="s">
        <v>726</v>
      </c>
      <c r="AN82" s="375" t="s">
        <v>727</v>
      </c>
      <c r="AO82" s="374" t="s">
        <v>726</v>
      </c>
      <c r="AP82" s="375" t="s">
        <v>727</v>
      </c>
      <c r="AQ82" s="374" t="s">
        <v>726</v>
      </c>
      <c r="AR82" s="375" t="s">
        <v>727</v>
      </c>
    </row>
    <row r="83" spans="2:44" ht="15" customHeight="1" outlineLevel="1">
      <c r="B83" s="500" t="s">
        <v>728</v>
      </c>
      <c r="C83" s="668">
        <v>300</v>
      </c>
      <c r="D83" s="668">
        <v>310</v>
      </c>
      <c r="E83" s="669">
        <v>320</v>
      </c>
      <c r="F83" s="668">
        <v>325</v>
      </c>
      <c r="G83" s="668">
        <f>D83</f>
        <v>310</v>
      </c>
      <c r="H83" s="668">
        <f>D83*1.1</f>
        <v>341</v>
      </c>
      <c r="I83" s="668">
        <f>D83</f>
        <v>310</v>
      </c>
      <c r="J83" s="668">
        <f>F83*1.1</f>
        <v>357.50000000000006</v>
      </c>
      <c r="K83" s="503"/>
      <c r="L83" s="504">
        <v>1.5</v>
      </c>
      <c r="M83" s="370"/>
      <c r="N83" s="370"/>
      <c r="P83" s="1148" t="str">
        <f>C79</f>
        <v>High temperature heat pumps, up to 150 °C</v>
      </c>
      <c r="Q83" s="1154" t="s">
        <v>730</v>
      </c>
      <c r="R83" s="381" t="s">
        <v>731</v>
      </c>
      <c r="S83" s="382"/>
      <c r="T83" s="1137">
        <v>0</v>
      </c>
      <c r="U83" s="1151">
        <v>0</v>
      </c>
      <c r="V83" s="1137">
        <v>0</v>
      </c>
      <c r="W83" s="1151">
        <v>0</v>
      </c>
      <c r="X83" s="1137">
        <v>0</v>
      </c>
      <c r="Y83" s="1151">
        <v>0</v>
      </c>
      <c r="Z83" s="1137">
        <v>0</v>
      </c>
      <c r="AA83" s="1151">
        <v>0</v>
      </c>
      <c r="AB83" s="1137">
        <v>0</v>
      </c>
      <c r="AC83" s="1151">
        <v>0</v>
      </c>
      <c r="AE83" s="1148" t="str">
        <f>P83</f>
        <v>High temperature heat pumps, up to 150 °C</v>
      </c>
      <c r="AF83" s="1154" t="s">
        <v>730</v>
      </c>
      <c r="AG83" s="381" t="s">
        <v>731</v>
      </c>
      <c r="AH83" s="382"/>
      <c r="AI83" s="1137">
        <v>0</v>
      </c>
      <c r="AJ83" s="1151">
        <v>0</v>
      </c>
      <c r="AK83" s="1137">
        <v>0</v>
      </c>
      <c r="AL83" s="1151">
        <v>0</v>
      </c>
      <c r="AM83" s="1137">
        <v>0</v>
      </c>
      <c r="AN83" s="1151">
        <v>0</v>
      </c>
      <c r="AO83" s="1137">
        <v>0</v>
      </c>
      <c r="AP83" s="1151">
        <v>0</v>
      </c>
      <c r="AQ83" s="1137">
        <v>0</v>
      </c>
      <c r="AR83" s="1151">
        <v>0</v>
      </c>
    </row>
    <row r="84" spans="2:44" outlineLevel="1">
      <c r="B84" s="383" t="s">
        <v>732</v>
      </c>
      <c r="C84" s="577">
        <f>C83-5</f>
        <v>295</v>
      </c>
      <c r="D84" s="577">
        <f t="shared" ref="D84:J84" si="4">D83-5</f>
        <v>305</v>
      </c>
      <c r="E84" s="577">
        <f t="shared" si="4"/>
        <v>315</v>
      </c>
      <c r="F84" s="577">
        <f t="shared" si="4"/>
        <v>320</v>
      </c>
      <c r="G84" s="576">
        <f t="shared" si="4"/>
        <v>305</v>
      </c>
      <c r="H84" s="576">
        <f t="shared" si="4"/>
        <v>336</v>
      </c>
      <c r="I84" s="576">
        <f t="shared" si="4"/>
        <v>305</v>
      </c>
      <c r="J84" s="576">
        <f t="shared" si="4"/>
        <v>352.50000000000006</v>
      </c>
      <c r="K84" s="372" t="s">
        <v>59</v>
      </c>
      <c r="L84" s="373"/>
      <c r="M84" s="370"/>
      <c r="N84" s="370"/>
      <c r="O84" s="71"/>
      <c r="P84" s="1195"/>
      <c r="Q84" s="1155"/>
      <c r="R84" s="388" t="s">
        <v>733</v>
      </c>
      <c r="S84" s="389"/>
      <c r="T84" s="1140"/>
      <c r="U84" s="1152"/>
      <c r="V84" s="1140"/>
      <c r="W84" s="1152"/>
      <c r="X84" s="1140"/>
      <c r="Y84" s="1152"/>
      <c r="Z84" s="1140"/>
      <c r="AA84" s="1152"/>
      <c r="AB84" s="1140"/>
      <c r="AC84" s="1152"/>
      <c r="AE84" s="1195"/>
      <c r="AF84" s="1155"/>
      <c r="AG84" s="388" t="s">
        <v>733</v>
      </c>
      <c r="AH84" s="389"/>
      <c r="AI84" s="1140"/>
      <c r="AJ84" s="1152"/>
      <c r="AK84" s="1140"/>
      <c r="AL84" s="1152"/>
      <c r="AM84" s="1140"/>
      <c r="AN84" s="1152"/>
      <c r="AO84" s="1140"/>
      <c r="AP84" s="1152"/>
      <c r="AQ84" s="1140"/>
      <c r="AR84" s="1152"/>
    </row>
    <row r="85" spans="2:44" ht="15" outlineLevel="1" thickBot="1">
      <c r="B85" s="500" t="s">
        <v>734</v>
      </c>
      <c r="C85" s="506">
        <v>2</v>
      </c>
      <c r="D85" s="507">
        <v>2</v>
      </c>
      <c r="E85" s="507">
        <v>2</v>
      </c>
      <c r="F85" s="508">
        <v>2</v>
      </c>
      <c r="G85" s="507">
        <v>1</v>
      </c>
      <c r="H85" s="507">
        <v>7</v>
      </c>
      <c r="I85" s="507">
        <v>1</v>
      </c>
      <c r="J85" s="507">
        <v>7</v>
      </c>
      <c r="K85" s="503"/>
      <c r="L85" s="504">
        <v>2</v>
      </c>
      <c r="M85" s="370"/>
      <c r="N85" s="370"/>
      <c r="O85" s="71"/>
      <c r="P85" s="1195"/>
      <c r="Q85" s="1156"/>
      <c r="R85" s="393" t="s">
        <v>735</v>
      </c>
      <c r="S85" s="394"/>
      <c r="T85" s="1141"/>
      <c r="U85" s="1153"/>
      <c r="V85" s="1141"/>
      <c r="W85" s="1153"/>
      <c r="X85" s="1141"/>
      <c r="Y85" s="1153"/>
      <c r="Z85" s="1141"/>
      <c r="AA85" s="1153"/>
      <c r="AB85" s="1141"/>
      <c r="AC85" s="1153"/>
      <c r="AE85" s="1195"/>
      <c r="AF85" s="1156"/>
      <c r="AG85" s="393" t="s">
        <v>735</v>
      </c>
      <c r="AH85" s="394"/>
      <c r="AI85" s="1141"/>
      <c r="AJ85" s="1153"/>
      <c r="AK85" s="1141"/>
      <c r="AL85" s="1153"/>
      <c r="AM85" s="1141"/>
      <c r="AN85" s="1153"/>
      <c r="AO85" s="1141"/>
      <c r="AP85" s="1153"/>
      <c r="AQ85" s="1141"/>
      <c r="AR85" s="1153"/>
    </row>
    <row r="86" spans="2:44" ht="15" customHeight="1" outlineLevel="1">
      <c r="B86" s="500" t="s">
        <v>657</v>
      </c>
      <c r="C86" s="506">
        <v>0</v>
      </c>
      <c r="D86" s="506">
        <v>0</v>
      </c>
      <c r="E86" s="506">
        <v>0</v>
      </c>
      <c r="F86" s="506">
        <v>0</v>
      </c>
      <c r="G86" s="506">
        <v>0</v>
      </c>
      <c r="H86" s="506">
        <v>1</v>
      </c>
      <c r="I86" s="506">
        <v>0</v>
      </c>
      <c r="J86" s="506">
        <v>1</v>
      </c>
      <c r="K86" s="503" t="s">
        <v>16</v>
      </c>
      <c r="L86" s="504">
        <v>2</v>
      </c>
      <c r="M86" s="370"/>
      <c r="N86" s="370"/>
      <c r="O86" s="71"/>
      <c r="P86" s="1195"/>
      <c r="Q86" s="1154" t="s">
        <v>736</v>
      </c>
      <c r="R86" s="395" t="s">
        <v>737</v>
      </c>
      <c r="S86" s="396" t="s">
        <v>738</v>
      </c>
      <c r="T86" s="1137">
        <v>0</v>
      </c>
      <c r="U86" s="1137">
        <v>0.09</v>
      </c>
      <c r="V86" s="1137">
        <v>0</v>
      </c>
      <c r="W86" s="1137">
        <v>0.1</v>
      </c>
      <c r="X86" s="1137">
        <v>0</v>
      </c>
      <c r="Y86" s="1137">
        <v>0.03</v>
      </c>
      <c r="Z86" s="1137">
        <v>0</v>
      </c>
      <c r="AA86" s="1137">
        <v>0.05</v>
      </c>
      <c r="AB86" s="1137">
        <v>0</v>
      </c>
      <c r="AC86" s="1137">
        <v>7.0000000000000007E-2</v>
      </c>
      <c r="AE86" s="1195"/>
      <c r="AF86" s="1154" t="s">
        <v>736</v>
      </c>
      <c r="AG86" s="395" t="s">
        <v>737</v>
      </c>
      <c r="AH86" s="396" t="s">
        <v>738</v>
      </c>
      <c r="AI86" s="1137">
        <v>0</v>
      </c>
      <c r="AJ86" s="1137">
        <f>U86/4</f>
        <v>2.2499999999999999E-2</v>
      </c>
      <c r="AK86" s="1137">
        <v>0</v>
      </c>
      <c r="AL86" s="1137">
        <f>W86/4</f>
        <v>2.5000000000000001E-2</v>
      </c>
      <c r="AM86" s="1137">
        <v>0</v>
      </c>
      <c r="AN86" s="1137">
        <f>Y86/4</f>
        <v>7.4999999999999997E-3</v>
      </c>
      <c r="AO86" s="1137">
        <v>0</v>
      </c>
      <c r="AP86" s="1137">
        <f>AA86/4</f>
        <v>1.2500000000000001E-2</v>
      </c>
      <c r="AQ86" s="1137">
        <v>0</v>
      </c>
      <c r="AR86" s="1137">
        <f>AC86/4</f>
        <v>1.7500000000000002E-2</v>
      </c>
    </row>
    <row r="87" spans="2:44" outlineLevel="1">
      <c r="B87" s="500" t="s">
        <v>658</v>
      </c>
      <c r="C87" s="506">
        <v>0.5</v>
      </c>
      <c r="D87" s="506">
        <v>0.5</v>
      </c>
      <c r="E87" s="506">
        <v>0.5</v>
      </c>
      <c r="F87" s="506">
        <v>0.5</v>
      </c>
      <c r="G87" s="506">
        <v>0</v>
      </c>
      <c r="H87" s="506">
        <v>1</v>
      </c>
      <c r="I87" s="506">
        <v>0</v>
      </c>
      <c r="J87" s="506">
        <v>1</v>
      </c>
      <c r="K87" s="503"/>
      <c r="L87" s="504">
        <v>2</v>
      </c>
      <c r="M87" s="367"/>
      <c r="N87" s="367"/>
      <c r="O87" s="71"/>
      <c r="P87" s="1195"/>
      <c r="Q87" s="1155"/>
      <c r="R87" s="395" t="s">
        <v>739</v>
      </c>
      <c r="S87" s="396" t="s">
        <v>738</v>
      </c>
      <c r="T87" s="1138"/>
      <c r="U87" s="1138"/>
      <c r="V87" s="1138"/>
      <c r="W87" s="1138"/>
      <c r="X87" s="1138"/>
      <c r="Y87" s="1138"/>
      <c r="Z87" s="1138"/>
      <c r="AA87" s="1138"/>
      <c r="AB87" s="1138"/>
      <c r="AC87" s="1138"/>
      <c r="AE87" s="1195"/>
      <c r="AF87" s="1155"/>
      <c r="AG87" s="395" t="s">
        <v>739</v>
      </c>
      <c r="AH87" s="396" t="s">
        <v>738</v>
      </c>
      <c r="AI87" s="1138"/>
      <c r="AJ87" s="1138"/>
      <c r="AK87" s="1138"/>
      <c r="AL87" s="1138"/>
      <c r="AM87" s="1138"/>
      <c r="AN87" s="1138"/>
      <c r="AO87" s="1138"/>
      <c r="AP87" s="1138"/>
      <c r="AQ87" s="1138"/>
      <c r="AR87" s="1138"/>
    </row>
    <row r="88" spans="2:44" outlineLevel="1">
      <c r="B88" s="383" t="s">
        <v>11</v>
      </c>
      <c r="C88" s="397">
        <v>20</v>
      </c>
      <c r="D88" s="397">
        <v>20</v>
      </c>
      <c r="E88" s="397">
        <v>20</v>
      </c>
      <c r="F88" s="397">
        <v>20</v>
      </c>
      <c r="G88" s="399">
        <v>15</v>
      </c>
      <c r="H88" s="399">
        <v>30</v>
      </c>
      <c r="I88" s="399">
        <v>15</v>
      </c>
      <c r="J88" s="399">
        <v>30</v>
      </c>
      <c r="K88" s="372"/>
      <c r="L88" s="373">
        <v>2</v>
      </c>
      <c r="M88" s="363"/>
      <c r="N88" s="363"/>
      <c r="P88" s="1195"/>
      <c r="Q88" s="1155"/>
      <c r="R88" s="395" t="s">
        <v>741</v>
      </c>
      <c r="S88" s="396"/>
      <c r="T88" s="1138"/>
      <c r="U88" s="1138"/>
      <c r="V88" s="1138"/>
      <c r="W88" s="1138"/>
      <c r="X88" s="1138"/>
      <c r="Y88" s="1138"/>
      <c r="Z88" s="1138"/>
      <c r="AA88" s="1138"/>
      <c r="AB88" s="1138"/>
      <c r="AC88" s="1138"/>
      <c r="AE88" s="1195"/>
      <c r="AF88" s="1155"/>
      <c r="AG88" s="395" t="s">
        <v>741</v>
      </c>
      <c r="AH88" s="396"/>
      <c r="AI88" s="1138"/>
      <c r="AJ88" s="1138"/>
      <c r="AK88" s="1138"/>
      <c r="AL88" s="1138"/>
      <c r="AM88" s="1138"/>
      <c r="AN88" s="1138"/>
      <c r="AO88" s="1138"/>
      <c r="AP88" s="1138"/>
      <c r="AQ88" s="1138"/>
      <c r="AR88" s="1138"/>
    </row>
    <row r="89" spans="2:44" ht="15" outlineLevel="1" thickBot="1">
      <c r="B89" s="500" t="s">
        <v>273</v>
      </c>
      <c r="C89" s="506">
        <v>0.6</v>
      </c>
      <c r="D89" s="506">
        <v>0.6</v>
      </c>
      <c r="E89" s="506">
        <v>0.6</v>
      </c>
      <c r="F89" s="506">
        <v>0.6</v>
      </c>
      <c r="G89" s="506">
        <v>0.4</v>
      </c>
      <c r="H89" s="506">
        <v>0.8</v>
      </c>
      <c r="I89" s="506">
        <v>0.4</v>
      </c>
      <c r="J89" s="506">
        <v>0.8</v>
      </c>
      <c r="K89" s="372" t="s">
        <v>20</v>
      </c>
      <c r="L89" s="400">
        <v>2</v>
      </c>
      <c r="M89" s="363"/>
      <c r="N89" s="363"/>
      <c r="P89" s="1195"/>
      <c r="Q89" s="1155"/>
      <c r="R89" s="395" t="s">
        <v>742</v>
      </c>
      <c r="S89" s="396" t="s">
        <v>738</v>
      </c>
      <c r="T89" s="1138"/>
      <c r="U89" s="1138"/>
      <c r="V89" s="1138"/>
      <c r="W89" s="1138"/>
      <c r="X89" s="1138"/>
      <c r="Y89" s="1138"/>
      <c r="Z89" s="1138"/>
      <c r="AA89" s="1138"/>
      <c r="AB89" s="1138"/>
      <c r="AC89" s="1138"/>
      <c r="AE89" s="1195"/>
      <c r="AF89" s="1155"/>
      <c r="AG89" s="395" t="s">
        <v>742</v>
      </c>
      <c r="AH89" s="396" t="s">
        <v>738</v>
      </c>
      <c r="AI89" s="1138"/>
      <c r="AJ89" s="1138"/>
      <c r="AK89" s="1138"/>
      <c r="AL89" s="1138"/>
      <c r="AM89" s="1138"/>
      <c r="AN89" s="1138"/>
      <c r="AO89" s="1138"/>
      <c r="AP89" s="1138"/>
      <c r="AQ89" s="1138"/>
      <c r="AR89" s="1138"/>
    </row>
    <row r="90" spans="2:44" ht="15" outlineLevel="1" thickBot="1">
      <c r="B90" s="401" t="s">
        <v>743</v>
      </c>
      <c r="C90" s="402"/>
      <c r="D90" s="403"/>
      <c r="E90" s="404"/>
      <c r="F90" s="405"/>
      <c r="G90" s="406"/>
      <c r="H90" s="406"/>
      <c r="I90" s="406"/>
      <c r="J90" s="406"/>
      <c r="K90" s="407"/>
      <c r="L90" s="408"/>
      <c r="M90" s="363"/>
      <c r="N90" s="363"/>
      <c r="P90" s="1195"/>
      <c r="Q90" s="1155"/>
      <c r="R90" s="409" t="s">
        <v>863</v>
      </c>
      <c r="S90" s="410" t="s">
        <v>738</v>
      </c>
      <c r="T90" s="1139"/>
      <c r="U90" s="1139"/>
      <c r="V90" s="1139"/>
      <c r="W90" s="1139"/>
      <c r="X90" s="1139"/>
      <c r="Y90" s="1139"/>
      <c r="Z90" s="1139"/>
      <c r="AA90" s="1139"/>
      <c r="AB90" s="1139"/>
      <c r="AC90" s="1139"/>
      <c r="AE90" s="1195"/>
      <c r="AF90" s="1155"/>
      <c r="AG90" s="409" t="s">
        <v>863</v>
      </c>
      <c r="AH90" s="410" t="s">
        <v>738</v>
      </c>
      <c r="AI90" s="1139"/>
      <c r="AJ90" s="1139"/>
      <c r="AK90" s="1139"/>
      <c r="AL90" s="1139"/>
      <c r="AM90" s="1139"/>
      <c r="AN90" s="1139"/>
      <c r="AO90" s="1139"/>
      <c r="AP90" s="1139"/>
      <c r="AQ90" s="1139"/>
      <c r="AR90" s="1139"/>
    </row>
    <row r="91" spans="2:44" ht="29.4" outlineLevel="1" thickBot="1">
      <c r="B91" s="500" t="s">
        <v>663</v>
      </c>
      <c r="C91" s="506">
        <v>25</v>
      </c>
      <c r="D91" s="506">
        <v>25</v>
      </c>
      <c r="E91" s="506">
        <v>25</v>
      </c>
      <c r="F91" s="506">
        <v>25</v>
      </c>
      <c r="G91" s="507"/>
      <c r="H91" s="507"/>
      <c r="I91" s="507"/>
      <c r="J91" s="507"/>
      <c r="K91" s="503" t="s">
        <v>76</v>
      </c>
      <c r="L91" s="504">
        <v>4</v>
      </c>
      <c r="M91" s="363"/>
      <c r="N91" s="363"/>
      <c r="P91" s="1196"/>
      <c r="Q91" s="411" t="s">
        <v>745</v>
      </c>
      <c r="R91" s="412" t="s">
        <v>746</v>
      </c>
      <c r="S91" s="413" t="s">
        <v>738</v>
      </c>
      <c r="T91" s="414">
        <v>1</v>
      </c>
      <c r="U91" s="415">
        <v>1</v>
      </c>
      <c r="V91" s="416">
        <v>1</v>
      </c>
      <c r="W91" s="415">
        <v>1</v>
      </c>
      <c r="X91" s="416">
        <v>1</v>
      </c>
      <c r="Y91" s="415">
        <v>1</v>
      </c>
      <c r="Z91" s="416">
        <v>1</v>
      </c>
      <c r="AA91" s="415">
        <v>1</v>
      </c>
      <c r="AB91" s="416">
        <v>1</v>
      </c>
      <c r="AC91" s="417">
        <v>1</v>
      </c>
      <c r="AE91" s="1196"/>
      <c r="AF91" s="411" t="s">
        <v>745</v>
      </c>
      <c r="AG91" s="412" t="s">
        <v>746</v>
      </c>
      <c r="AH91" s="413" t="s">
        <v>738</v>
      </c>
      <c r="AI91" s="414">
        <v>1</v>
      </c>
      <c r="AJ91" s="415">
        <v>1</v>
      </c>
      <c r="AK91" s="414">
        <v>1</v>
      </c>
      <c r="AL91" s="415">
        <v>1</v>
      </c>
      <c r="AM91" s="414">
        <v>1</v>
      </c>
      <c r="AN91" s="415">
        <v>1</v>
      </c>
      <c r="AO91" s="414">
        <v>1</v>
      </c>
      <c r="AP91" s="415">
        <v>1</v>
      </c>
      <c r="AQ91" s="414">
        <v>1</v>
      </c>
      <c r="AR91" s="417">
        <v>1</v>
      </c>
    </row>
    <row r="92" spans="2:44" outlineLevel="1">
      <c r="B92" s="500" t="s">
        <v>664</v>
      </c>
      <c r="C92" s="506">
        <v>0.25</v>
      </c>
      <c r="D92" s="506">
        <v>0.25</v>
      </c>
      <c r="E92" s="506">
        <v>0.25</v>
      </c>
      <c r="F92" s="506">
        <v>0.25</v>
      </c>
      <c r="G92" s="509"/>
      <c r="H92" s="509"/>
      <c r="I92" s="509"/>
      <c r="J92" s="509"/>
      <c r="K92" s="510"/>
      <c r="L92" s="504">
        <v>9</v>
      </c>
      <c r="M92" s="363"/>
      <c r="N92" s="363"/>
    </row>
    <row r="93" spans="2:44" outlineLevel="1">
      <c r="B93" s="500" t="s">
        <v>666</v>
      </c>
      <c r="C93" s="506">
        <v>1</v>
      </c>
      <c r="D93" s="506">
        <v>1</v>
      </c>
      <c r="E93" s="506">
        <v>1</v>
      </c>
      <c r="F93" s="506">
        <v>1</v>
      </c>
      <c r="G93" s="509"/>
      <c r="H93" s="509"/>
      <c r="I93" s="509"/>
      <c r="J93" s="509"/>
      <c r="K93" s="510"/>
      <c r="L93" s="504">
        <v>9</v>
      </c>
      <c r="M93" s="420"/>
      <c r="N93" s="363"/>
    </row>
    <row r="94" spans="2:44" outlineLevel="1">
      <c r="B94" s="421" t="s">
        <v>12</v>
      </c>
      <c r="C94" s="399"/>
      <c r="D94" s="399"/>
      <c r="E94" s="399"/>
      <c r="F94" s="399"/>
      <c r="G94" s="422"/>
      <c r="H94" s="422"/>
      <c r="I94" s="422"/>
      <c r="J94" s="422"/>
      <c r="K94" s="423"/>
      <c r="L94" s="424"/>
      <c r="M94" s="420"/>
      <c r="N94" s="420"/>
    </row>
    <row r="95" spans="2:44" ht="39.6" outlineLevel="1">
      <c r="B95" s="383" t="s">
        <v>843</v>
      </c>
      <c r="C95" s="397" t="s">
        <v>669</v>
      </c>
      <c r="D95" s="397"/>
      <c r="E95" s="397"/>
      <c r="F95" s="397"/>
      <c r="G95" s="422"/>
      <c r="H95" s="425"/>
      <c r="I95" s="425"/>
      <c r="J95" s="425"/>
      <c r="K95" s="426"/>
      <c r="L95" s="427"/>
      <c r="M95" s="428"/>
      <c r="N95" s="428"/>
    </row>
    <row r="96" spans="2:44" outlineLevel="1">
      <c r="B96" s="383" t="s">
        <v>749</v>
      </c>
      <c r="C96" s="397"/>
      <c r="D96" s="397"/>
      <c r="E96" s="397"/>
      <c r="F96" s="397"/>
      <c r="G96" s="425"/>
      <c r="H96" s="425"/>
      <c r="I96" s="425"/>
      <c r="J96" s="425"/>
      <c r="K96" s="423"/>
      <c r="L96" s="427"/>
      <c r="M96" s="428"/>
      <c r="N96" s="428"/>
    </row>
    <row r="97" spans="1:30" outlineLevel="1">
      <c r="B97" s="383" t="s">
        <v>844</v>
      </c>
      <c r="C97" s="397"/>
      <c r="D97" s="397"/>
      <c r="E97" s="397"/>
      <c r="F97" s="397"/>
      <c r="G97" s="425"/>
      <c r="H97" s="425"/>
      <c r="I97" s="425"/>
      <c r="J97" s="425"/>
      <c r="K97" s="423"/>
      <c r="L97" s="427"/>
      <c r="M97" s="428"/>
      <c r="N97" s="428"/>
    </row>
    <row r="98" spans="1:30" outlineLevel="1">
      <c r="B98" s="383" t="s">
        <v>366</v>
      </c>
      <c r="C98" s="397"/>
      <c r="D98" s="397"/>
      <c r="E98" s="397"/>
      <c r="F98" s="397"/>
      <c r="G98" s="425"/>
      <c r="H98" s="425"/>
      <c r="I98" s="425"/>
      <c r="J98" s="425"/>
      <c r="K98" s="423"/>
      <c r="L98" s="427"/>
      <c r="M98" s="428"/>
      <c r="N98" s="428"/>
    </row>
    <row r="99" spans="1:30" ht="15" outlineLevel="1" thickBot="1">
      <c r="B99" s="429" t="s">
        <v>367</v>
      </c>
      <c r="C99" s="430"/>
      <c r="D99" s="430"/>
      <c r="E99" s="430"/>
      <c r="F99" s="430"/>
      <c r="G99" s="425"/>
      <c r="H99" s="425"/>
      <c r="I99" s="425"/>
      <c r="J99" s="425"/>
      <c r="K99" s="423"/>
      <c r="L99" s="427"/>
      <c r="M99" s="428"/>
      <c r="N99" s="428"/>
    </row>
    <row r="100" spans="1:30" ht="15" outlineLevel="1" thickBot="1">
      <c r="B100" s="431" t="s">
        <v>674</v>
      </c>
      <c r="C100" s="432"/>
      <c r="D100" s="403"/>
      <c r="E100" s="403"/>
      <c r="F100" s="433"/>
      <c r="G100" s="434"/>
      <c r="H100" s="406"/>
      <c r="I100" s="406"/>
      <c r="J100" s="406"/>
      <c r="K100" s="407"/>
      <c r="L100" s="408"/>
      <c r="M100" s="428"/>
      <c r="N100" s="428"/>
    </row>
    <row r="101" spans="1:30" ht="26.4" outlineLevel="1">
      <c r="A101" s="435"/>
      <c r="B101" s="436" t="s">
        <v>910</v>
      </c>
      <c r="C101" s="551">
        <f>0.8712*(1+0.1+0.1)</f>
        <v>1.0454400000000001</v>
      </c>
      <c r="D101" s="647">
        <f>0.7788*(1+0.1+0.1)</f>
        <v>0.93456000000000017</v>
      </c>
      <c r="E101" s="647">
        <f>0.73*(1+0.1+0.1)</f>
        <v>0.87600000000000011</v>
      </c>
      <c r="F101" s="513">
        <f>0.7*(1+0.1+0.1)</f>
        <v>0.84000000000000008</v>
      </c>
      <c r="G101" s="425"/>
      <c r="H101" s="425"/>
      <c r="I101" s="425"/>
      <c r="J101" s="425"/>
      <c r="K101" s="426" t="s">
        <v>25</v>
      </c>
      <c r="L101" s="440" t="s">
        <v>901</v>
      </c>
      <c r="M101" s="420"/>
      <c r="N101" s="420"/>
    </row>
    <row r="102" spans="1:30" outlineLevel="1">
      <c r="B102" s="441" t="s">
        <v>839</v>
      </c>
      <c r="C102" s="442">
        <v>40</v>
      </c>
      <c r="D102" s="442">
        <v>40</v>
      </c>
      <c r="E102" s="442">
        <v>40</v>
      </c>
      <c r="F102" s="442">
        <v>40</v>
      </c>
      <c r="G102" s="425"/>
      <c r="H102" s="425"/>
      <c r="I102" s="425"/>
      <c r="J102" s="425"/>
      <c r="K102" s="444"/>
      <c r="L102" s="373">
        <v>4</v>
      </c>
      <c r="M102" s="71"/>
      <c r="N102" s="420"/>
    </row>
    <row r="103" spans="1:30" outlineLevel="1">
      <c r="B103" s="441" t="s">
        <v>840</v>
      </c>
      <c r="C103" s="442">
        <v>60</v>
      </c>
      <c r="D103" s="442">
        <v>60</v>
      </c>
      <c r="E103" s="442">
        <v>60</v>
      </c>
      <c r="F103" s="442">
        <v>60</v>
      </c>
      <c r="G103" s="425"/>
      <c r="H103" s="425"/>
      <c r="I103" s="425"/>
      <c r="J103" s="425"/>
      <c r="K103" s="444"/>
      <c r="L103" s="373">
        <v>4</v>
      </c>
      <c r="M103" s="420"/>
      <c r="N103" s="420"/>
    </row>
    <row r="104" spans="1:30" outlineLevel="1">
      <c r="B104" s="383" t="s">
        <v>841</v>
      </c>
      <c r="C104" s="445">
        <v>970</v>
      </c>
      <c r="D104" s="446">
        <v>870</v>
      </c>
      <c r="E104" s="446">
        <v>800</v>
      </c>
      <c r="F104" s="447">
        <v>720</v>
      </c>
      <c r="G104" s="425"/>
      <c r="H104" s="425"/>
      <c r="I104" s="425"/>
      <c r="J104" s="425"/>
      <c r="K104" s="448"/>
      <c r="L104" s="373">
        <v>5</v>
      </c>
      <c r="M104" s="420"/>
      <c r="N104" s="420"/>
    </row>
    <row r="105" spans="1:30" outlineLevel="1">
      <c r="B105" s="383" t="s">
        <v>679</v>
      </c>
      <c r="C105" s="449">
        <f>SUM(C106:C107)</f>
        <v>3.26</v>
      </c>
      <c r="D105" s="449">
        <f>SUM(D106:D107)</f>
        <v>3.2</v>
      </c>
      <c r="E105" s="449">
        <f>SUM(E106:E107)</f>
        <v>3.2199999999999998</v>
      </c>
      <c r="F105" s="449">
        <f>SUM(F106:F107)</f>
        <v>3.12</v>
      </c>
      <c r="G105" s="425"/>
      <c r="H105" s="425"/>
      <c r="I105" s="425"/>
      <c r="J105" s="425"/>
      <c r="K105" s="448"/>
      <c r="L105" s="373"/>
      <c r="M105" s="450"/>
      <c r="N105" s="361"/>
      <c r="P105" s="1142">
        <f>C105</f>
        <v>3.26</v>
      </c>
      <c r="Q105" s="1143"/>
      <c r="R105" s="1143"/>
      <c r="S105" s="1143"/>
      <c r="T105" s="1143"/>
      <c r="U105" s="1144"/>
    </row>
    <row r="106" spans="1:30" ht="15" outlineLevel="1" thickBot="1">
      <c r="B106" s="500" t="s">
        <v>758</v>
      </c>
      <c r="C106" s="514">
        <f>C85/100*73</f>
        <v>1.46</v>
      </c>
      <c r="D106" s="514">
        <f>D85/100*75</f>
        <v>1.5</v>
      </c>
      <c r="E106" s="514">
        <f>E85/100*76</f>
        <v>1.52</v>
      </c>
      <c r="F106" s="514">
        <f>F85/100*76</f>
        <v>1.52</v>
      </c>
      <c r="G106" s="515"/>
      <c r="H106" s="515"/>
      <c r="I106" s="515"/>
      <c r="J106" s="515"/>
      <c r="K106" s="503" t="s">
        <v>33</v>
      </c>
      <c r="L106" s="504">
        <v>3</v>
      </c>
      <c r="M106" s="450"/>
      <c r="N106" s="361"/>
      <c r="P106" s="1134">
        <f>C106</f>
        <v>1.46</v>
      </c>
      <c r="Q106" s="1135"/>
      <c r="R106" s="1135"/>
      <c r="S106" s="1135"/>
      <c r="T106" s="1135"/>
      <c r="U106" s="1136"/>
    </row>
    <row r="107" spans="1:30" outlineLevel="1">
      <c r="B107" s="500" t="s">
        <v>759</v>
      </c>
      <c r="C107" s="516">
        <v>1.8</v>
      </c>
      <c r="D107" s="516">
        <v>1.7</v>
      </c>
      <c r="E107" s="516">
        <v>1.7</v>
      </c>
      <c r="F107" s="516">
        <v>1.6</v>
      </c>
      <c r="G107" s="515"/>
      <c r="H107" s="515"/>
      <c r="I107" s="515"/>
      <c r="J107" s="515"/>
      <c r="K107" s="517"/>
      <c r="L107" s="504">
        <v>2</v>
      </c>
      <c r="M107" s="363"/>
      <c r="N107" s="363"/>
      <c r="P107" s="53" t="s">
        <v>357</v>
      </c>
    </row>
    <row r="108" spans="1:30" ht="27.6" outlineLevel="1">
      <c r="B108" s="441"/>
      <c r="C108" s="518"/>
      <c r="D108" s="518"/>
      <c r="E108" s="518"/>
      <c r="F108" s="518"/>
      <c r="G108" s="425"/>
      <c r="H108" s="425"/>
      <c r="I108" s="425"/>
      <c r="J108" s="425"/>
      <c r="K108" s="444"/>
      <c r="L108" s="424"/>
      <c r="M108" s="367"/>
      <c r="N108" s="367"/>
      <c r="P108" s="46" t="s">
        <v>335</v>
      </c>
      <c r="Q108" s="46" t="s">
        <v>336</v>
      </c>
      <c r="R108" s="47" t="s">
        <v>337</v>
      </c>
      <c r="S108" s="47" t="s">
        <v>338</v>
      </c>
      <c r="T108" s="47" t="s">
        <v>339</v>
      </c>
      <c r="U108" s="48" t="s">
        <v>340</v>
      </c>
      <c r="V108" s="49" t="s">
        <v>341</v>
      </c>
      <c r="W108" s="49" t="s">
        <v>342</v>
      </c>
      <c r="X108" s="49" t="s">
        <v>343</v>
      </c>
      <c r="Y108" s="49" t="s">
        <v>344</v>
      </c>
      <c r="Z108" s="49" t="s">
        <v>345</v>
      </c>
      <c r="AA108" s="49" t="s">
        <v>346</v>
      </c>
      <c r="AB108" s="49" t="s">
        <v>347</v>
      </c>
      <c r="AC108" s="49" t="s">
        <v>348</v>
      </c>
      <c r="AD108" s="49" t="s">
        <v>349</v>
      </c>
    </row>
    <row r="109" spans="1:30" ht="24.6" outlineLevel="1" thickBot="1">
      <c r="B109" s="519"/>
      <c r="C109" s="442"/>
      <c r="D109" s="520"/>
      <c r="E109" s="520"/>
      <c r="F109" s="521"/>
      <c r="G109" s="425"/>
      <c r="H109" s="425"/>
      <c r="I109" s="425"/>
      <c r="J109" s="425"/>
      <c r="K109" s="448"/>
      <c r="L109" s="424"/>
      <c r="M109" s="363"/>
      <c r="N109" s="363"/>
      <c r="P109" s="50"/>
      <c r="Q109" s="50"/>
      <c r="R109" s="51"/>
      <c r="S109" s="51"/>
      <c r="T109" s="51"/>
      <c r="U109" s="51" t="s">
        <v>760</v>
      </c>
      <c r="V109" s="50" t="s">
        <v>761</v>
      </c>
      <c r="W109" s="50"/>
      <c r="X109" s="50"/>
      <c r="Y109" s="50"/>
      <c r="Z109" s="50"/>
      <c r="AA109" s="50"/>
      <c r="AB109" s="50"/>
      <c r="AC109" s="50"/>
      <c r="AD109" s="50"/>
    </row>
    <row r="110" spans="1:30" ht="43.8" outlineLevel="1" thickBot="1">
      <c r="B110" s="401" t="s">
        <v>682</v>
      </c>
      <c r="C110" s="402"/>
      <c r="D110" s="403"/>
      <c r="E110" s="404"/>
      <c r="F110" s="405"/>
      <c r="G110" s="406"/>
      <c r="H110" s="406"/>
      <c r="I110" s="406"/>
      <c r="J110" s="406"/>
      <c r="K110" s="459"/>
      <c r="L110" s="460"/>
      <c r="M110" s="363"/>
      <c r="N110" s="363"/>
      <c r="O110" s="461" t="s">
        <v>732</v>
      </c>
      <c r="P110" s="56"/>
      <c r="Q110" s="56"/>
      <c r="R110" s="57"/>
      <c r="S110" s="57"/>
      <c r="T110" s="57"/>
      <c r="U110" s="56" t="s">
        <v>350</v>
      </c>
      <c r="V110" s="56" t="s">
        <v>326</v>
      </c>
      <c r="W110" s="56" t="s">
        <v>327</v>
      </c>
      <c r="X110" s="56" t="s">
        <v>351</v>
      </c>
      <c r="Y110" s="56" t="s">
        <v>351</v>
      </c>
      <c r="Z110" s="56" t="s">
        <v>352</v>
      </c>
      <c r="AA110" s="56" t="s">
        <v>352</v>
      </c>
      <c r="AB110" s="56" t="s">
        <v>352</v>
      </c>
      <c r="AC110" s="56" t="s">
        <v>352</v>
      </c>
      <c r="AD110" s="56" t="s">
        <v>352</v>
      </c>
    </row>
    <row r="111" spans="1:30" outlineLevel="1">
      <c r="B111" s="522" t="s">
        <v>762</v>
      </c>
      <c r="C111" s="670">
        <f>C101*0.2</f>
        <v>0.20908800000000005</v>
      </c>
      <c r="D111" s="670">
        <f>D101*0.2</f>
        <v>0.18691200000000005</v>
      </c>
      <c r="E111" s="670">
        <f>E101*0.2</f>
        <v>0.17520000000000002</v>
      </c>
      <c r="F111" s="670">
        <f>F101*0.2</f>
        <v>0.16800000000000004</v>
      </c>
      <c r="G111" s="671"/>
      <c r="H111" s="671"/>
      <c r="I111" s="671"/>
      <c r="J111" s="671"/>
      <c r="K111" s="671" t="s">
        <v>51</v>
      </c>
      <c r="L111" s="525"/>
      <c r="M111" s="363"/>
      <c r="N111" s="363"/>
      <c r="O111" s="465">
        <f>C84</f>
        <v>295</v>
      </c>
      <c r="P111" s="466">
        <f>C80</f>
        <v>2020</v>
      </c>
      <c r="Q111" s="58">
        <f>P111</f>
        <v>2020</v>
      </c>
      <c r="R111" s="466">
        <f>O111/100</f>
        <v>2.95</v>
      </c>
      <c r="S111" s="58"/>
      <c r="T111" s="466">
        <f>C88</f>
        <v>20</v>
      </c>
      <c r="U111" s="467">
        <f>C118</f>
        <v>7788.5280000000012</v>
      </c>
      <c r="V111" s="467">
        <f>C120</f>
        <v>7.2264999999999997</v>
      </c>
      <c r="W111" s="467">
        <f>C121</f>
        <v>6.7463888888888883</v>
      </c>
      <c r="X111" s="58"/>
      <c r="Y111" s="58"/>
      <c r="Z111" s="466" t="str">
        <f>C95</f>
        <v>Cf. the utilized electricity</v>
      </c>
      <c r="AA111" s="468">
        <f>C97</f>
        <v>0</v>
      </c>
      <c r="AB111" s="468">
        <f>C98</f>
        <v>0</v>
      </c>
      <c r="AC111" s="468">
        <f>C99</f>
        <v>0</v>
      </c>
      <c r="AD111" s="468">
        <f>C96</f>
        <v>0</v>
      </c>
    </row>
    <row r="112" spans="1:30" outlineLevel="1">
      <c r="B112" s="500" t="s">
        <v>763</v>
      </c>
      <c r="C112" s="526" t="s">
        <v>36</v>
      </c>
      <c r="D112" s="527" t="s">
        <v>36</v>
      </c>
      <c r="E112" s="527" t="s">
        <v>36</v>
      </c>
      <c r="F112" s="528" t="s">
        <v>36</v>
      </c>
      <c r="G112" s="528"/>
      <c r="H112" s="528"/>
      <c r="I112" s="528"/>
      <c r="J112" s="528"/>
      <c r="K112" s="529"/>
      <c r="L112" s="525"/>
      <c r="M112" s="363"/>
      <c r="N112" s="363"/>
      <c r="O112" s="465">
        <f>D84</f>
        <v>305</v>
      </c>
      <c r="P112" s="466">
        <f>D80</f>
        <v>2030</v>
      </c>
      <c r="Q112" s="58"/>
      <c r="R112" s="466">
        <f>O112/100</f>
        <v>3.05</v>
      </c>
      <c r="S112" s="58"/>
      <c r="T112" s="466">
        <f>D88</f>
        <v>20</v>
      </c>
      <c r="U112" s="467">
        <f>D118</f>
        <v>6962.4720000000016</v>
      </c>
      <c r="V112" s="467">
        <f>D120</f>
        <v>6.4814999999999996</v>
      </c>
      <c r="W112" s="467">
        <f>D121</f>
        <v>6.6222222222222227</v>
      </c>
      <c r="X112" s="58"/>
      <c r="Y112" s="58"/>
      <c r="Z112" s="466">
        <f>D95</f>
        <v>0</v>
      </c>
      <c r="AA112" s="468">
        <f>D97</f>
        <v>0</v>
      </c>
      <c r="AB112" s="468">
        <f>D98</f>
        <v>0</v>
      </c>
      <c r="AC112" s="468">
        <f>D99</f>
        <v>0</v>
      </c>
      <c r="AD112" s="468">
        <f>D96</f>
        <v>0</v>
      </c>
    </row>
    <row r="113" spans="2:30" outlineLevel="1">
      <c r="B113" s="500" t="s">
        <v>764</v>
      </c>
      <c r="C113" s="526" t="s">
        <v>36</v>
      </c>
      <c r="D113" s="527" t="s">
        <v>36</v>
      </c>
      <c r="E113" s="527" t="s">
        <v>36</v>
      </c>
      <c r="F113" s="528" t="s">
        <v>36</v>
      </c>
      <c r="G113" s="515"/>
      <c r="H113" s="515"/>
      <c r="I113" s="515"/>
      <c r="J113" s="515"/>
      <c r="K113" s="515"/>
      <c r="L113" s="504"/>
      <c r="M113" s="363"/>
      <c r="N113" s="363"/>
      <c r="O113" s="465">
        <f>E84</f>
        <v>315</v>
      </c>
      <c r="P113" s="466">
        <f>E80</f>
        <v>2040</v>
      </c>
      <c r="Q113" s="58"/>
      <c r="R113" s="466">
        <f>O113/100</f>
        <v>3.15</v>
      </c>
      <c r="S113" s="58"/>
      <c r="T113" s="466">
        <f>E88</f>
        <v>20</v>
      </c>
      <c r="U113" s="467">
        <f>E118</f>
        <v>6526.2000000000007</v>
      </c>
      <c r="V113" s="467">
        <f>E120</f>
        <v>5.96</v>
      </c>
      <c r="W113" s="467">
        <f>E121</f>
        <v>6.66361111111111</v>
      </c>
      <c r="X113" s="58"/>
      <c r="Y113" s="58"/>
      <c r="Z113" s="466">
        <f>E95</f>
        <v>0</v>
      </c>
      <c r="AA113" s="468">
        <f>E97</f>
        <v>0</v>
      </c>
      <c r="AB113" s="468">
        <f>E98</f>
        <v>0</v>
      </c>
      <c r="AC113" s="468">
        <f>E99</f>
        <v>0</v>
      </c>
      <c r="AD113" s="468">
        <f>E96</f>
        <v>0</v>
      </c>
    </row>
    <row r="114" spans="2:30" outlineLevel="1">
      <c r="B114" s="500" t="s">
        <v>765</v>
      </c>
      <c r="C114" s="530" t="s">
        <v>669</v>
      </c>
      <c r="D114" s="530"/>
      <c r="E114" s="530"/>
      <c r="F114" s="530"/>
      <c r="G114" s="531"/>
      <c r="H114" s="531"/>
      <c r="I114" s="531"/>
      <c r="J114" s="531"/>
      <c r="K114" s="531"/>
      <c r="L114" s="504"/>
      <c r="M114" s="363"/>
      <c r="N114" s="363"/>
      <c r="O114" s="465">
        <f>F84</f>
        <v>320</v>
      </c>
      <c r="P114" s="466">
        <f>F80</f>
        <v>2050</v>
      </c>
      <c r="Q114" s="58"/>
      <c r="R114" s="466">
        <f>O114/100</f>
        <v>3.2</v>
      </c>
      <c r="S114" s="58"/>
      <c r="T114" s="466">
        <f>F88</f>
        <v>20</v>
      </c>
      <c r="U114" s="467">
        <f>F118</f>
        <v>6258.0000000000009</v>
      </c>
      <c r="V114" s="467">
        <f>F120</f>
        <v>5.3639999999999999</v>
      </c>
      <c r="W114" s="467">
        <f>F121</f>
        <v>6.4566666666666661</v>
      </c>
      <c r="X114" s="58"/>
      <c r="Y114" s="58"/>
      <c r="Z114" s="466">
        <f>F95</f>
        <v>0</v>
      </c>
      <c r="AA114" s="468">
        <f>F97</f>
        <v>0</v>
      </c>
      <c r="AB114" s="468">
        <f>F98</f>
        <v>0</v>
      </c>
      <c r="AC114" s="468">
        <f>F99</f>
        <v>0</v>
      </c>
      <c r="AD114" s="468">
        <f>F96</f>
        <v>0</v>
      </c>
    </row>
    <row r="115" spans="2:30" outlineLevel="1">
      <c r="B115" s="532" t="s">
        <v>766</v>
      </c>
      <c r="C115" s="526">
        <v>80</v>
      </c>
      <c r="D115" s="527">
        <v>80</v>
      </c>
      <c r="E115" s="527">
        <v>80</v>
      </c>
      <c r="F115" s="528">
        <v>80</v>
      </c>
      <c r="G115" s="531"/>
      <c r="H115" s="531"/>
      <c r="I115" s="531"/>
      <c r="J115" s="531"/>
      <c r="K115" s="531" t="s">
        <v>52</v>
      </c>
      <c r="L115" s="533"/>
      <c r="M115" s="367"/>
      <c r="N115" s="367"/>
    </row>
    <row r="116" spans="2:30" outlineLevel="1">
      <c r="B116" s="532" t="s">
        <v>767</v>
      </c>
      <c r="C116" s="526">
        <v>50</v>
      </c>
      <c r="D116" s="527">
        <v>50</v>
      </c>
      <c r="E116" s="527">
        <v>50</v>
      </c>
      <c r="F116" s="528">
        <v>50</v>
      </c>
      <c r="G116" s="531"/>
      <c r="H116" s="531"/>
      <c r="I116" s="531"/>
      <c r="J116" s="531"/>
      <c r="K116" s="531" t="s">
        <v>52</v>
      </c>
      <c r="L116" s="533"/>
      <c r="M116" s="363"/>
      <c r="N116" s="363"/>
    </row>
    <row r="117" spans="2:30" ht="15" outlineLevel="1" thickBot="1">
      <c r="B117" s="534" t="s">
        <v>768</v>
      </c>
      <c r="C117" s="535" t="s">
        <v>36</v>
      </c>
      <c r="D117" s="536" t="s">
        <v>36</v>
      </c>
      <c r="E117" s="536" t="s">
        <v>36</v>
      </c>
      <c r="F117" s="537" t="s">
        <v>36</v>
      </c>
      <c r="G117" s="538"/>
      <c r="H117" s="538"/>
      <c r="I117" s="538"/>
      <c r="J117" s="538"/>
      <c r="K117" s="538"/>
      <c r="L117" s="539"/>
      <c r="M117" s="363"/>
      <c r="N117" s="363"/>
    </row>
    <row r="118" spans="2:30" ht="57.6" outlineLevel="1">
      <c r="B118" s="461" t="s">
        <v>911</v>
      </c>
      <c r="C118" s="483">
        <f>C101*$F$4*1000</f>
        <v>7788.5280000000012</v>
      </c>
      <c r="D118" s="483">
        <f t="shared" ref="D118:F118" si="5">D101*$F$4*1000</f>
        <v>6962.4720000000016</v>
      </c>
      <c r="E118" s="483">
        <f t="shared" si="5"/>
        <v>6526.2000000000007</v>
      </c>
      <c r="F118" s="483">
        <f t="shared" si="5"/>
        <v>6258.0000000000009</v>
      </c>
      <c r="G118" s="483"/>
      <c r="H118" s="484"/>
      <c r="I118" s="420" t="s">
        <v>332</v>
      </c>
      <c r="J118" s="420"/>
      <c r="K118" s="484"/>
      <c r="L118" s="484"/>
      <c r="N118" s="420"/>
    </row>
    <row r="119" spans="2:30" outlineLevel="1">
      <c r="B119" s="485" t="s">
        <v>912</v>
      </c>
      <c r="C119" s="486">
        <f>C118*$I119</f>
        <v>3894264.0000000005</v>
      </c>
      <c r="D119" s="486">
        <f>D118*$I119</f>
        <v>3481236.0000000009</v>
      </c>
      <c r="E119" s="486">
        <f>E118*$I119</f>
        <v>3263100.0000000005</v>
      </c>
      <c r="F119" s="486">
        <f>F118*$I119</f>
        <v>3129000.0000000005</v>
      </c>
      <c r="G119" s="486"/>
      <c r="H119" s="484"/>
      <c r="I119" s="71">
        <v>500</v>
      </c>
      <c r="J119" s="420" t="s">
        <v>330</v>
      </c>
      <c r="K119" s="484"/>
      <c r="L119" s="484"/>
      <c r="N119" s="420"/>
    </row>
    <row r="120" spans="2:30" ht="43.2" outlineLevel="1">
      <c r="B120" s="461" t="s">
        <v>913</v>
      </c>
      <c r="C120" s="359">
        <f>C104*$F$4/1000</f>
        <v>7.2264999999999997</v>
      </c>
      <c r="D120" s="359">
        <f t="shared" ref="D120:F120" si="6">D104*$F$4/1000</f>
        <v>6.4814999999999996</v>
      </c>
      <c r="E120" s="359">
        <f t="shared" si="6"/>
        <v>5.96</v>
      </c>
      <c r="F120" s="359">
        <f t="shared" si="6"/>
        <v>5.3639999999999999</v>
      </c>
      <c r="G120" s="359"/>
      <c r="I120" s="420" t="s">
        <v>333</v>
      </c>
      <c r="J120" s="420"/>
      <c r="N120" s="420"/>
    </row>
    <row r="121" spans="2:30" ht="43.2" outlineLevel="1">
      <c r="B121" s="461" t="s">
        <v>914</v>
      </c>
      <c r="C121" s="487">
        <f>C105*$F$4/3.6</f>
        <v>6.7463888888888883</v>
      </c>
      <c r="D121" s="487">
        <f t="shared" ref="D121:F121" si="7">D105*$F$4/3.6</f>
        <v>6.6222222222222227</v>
      </c>
      <c r="E121" s="487">
        <f t="shared" si="7"/>
        <v>6.66361111111111</v>
      </c>
      <c r="F121" s="487">
        <f t="shared" si="7"/>
        <v>6.4566666666666661</v>
      </c>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94" t="s">
        <v>773</v>
      </c>
      <c r="H127" s="490"/>
    </row>
    <row r="128" spans="2:30" outlineLevel="1">
      <c r="B128" s="358">
        <v>1</v>
      </c>
      <c r="C128" s="490" t="s">
        <v>878</v>
      </c>
      <c r="D128" s="358"/>
      <c r="E128" s="490"/>
      <c r="H128" s="490"/>
    </row>
    <row r="129" spans="2:8" outlineLevel="1">
      <c r="B129" s="358">
        <v>2</v>
      </c>
      <c r="C129" s="636" t="s">
        <v>902</v>
      </c>
      <c r="D129" s="358"/>
      <c r="E129" s="490"/>
      <c r="F129" s="490"/>
      <c r="G129" s="490"/>
      <c r="H129" s="490"/>
    </row>
    <row r="130" spans="2:8" outlineLevel="1">
      <c r="B130" s="666">
        <v>3</v>
      </c>
      <c r="C130" s="667" t="s">
        <v>903</v>
      </c>
      <c r="D130" s="358"/>
      <c r="E130" s="490"/>
      <c r="F130" s="490"/>
      <c r="G130" s="490"/>
      <c r="H130" s="490"/>
    </row>
    <row r="131" spans="2:8" outlineLevel="1">
      <c r="B131" s="490">
        <v>4</v>
      </c>
      <c r="C131" s="667" t="s">
        <v>904</v>
      </c>
      <c r="D131" s="358"/>
      <c r="E131" s="490"/>
      <c r="F131" s="490"/>
      <c r="G131" s="490"/>
      <c r="H131" s="490"/>
    </row>
    <row r="132" spans="2:8" outlineLevel="1">
      <c r="B132" s="490">
        <v>5</v>
      </c>
      <c r="C132" s="493" t="s">
        <v>905</v>
      </c>
      <c r="D132" s="358"/>
      <c r="E132" s="490"/>
      <c r="F132" s="490"/>
      <c r="G132" s="490"/>
      <c r="H132" s="490"/>
    </row>
    <row r="133" spans="2:8" outlineLevel="1">
      <c r="B133" s="94" t="s">
        <v>783</v>
      </c>
      <c r="D133" s="358"/>
      <c r="E133" s="490"/>
      <c r="F133" s="490"/>
      <c r="G133" s="490"/>
      <c r="H133" s="490"/>
    </row>
    <row r="134" spans="2:8" outlineLevel="1">
      <c r="B134" s="637" t="s">
        <v>6</v>
      </c>
      <c r="C134" s="358" t="s">
        <v>853</v>
      </c>
      <c r="D134" s="358"/>
      <c r="E134" s="490"/>
      <c r="F134" s="490"/>
      <c r="G134" s="490"/>
      <c r="H134" s="490"/>
    </row>
    <row r="135" spans="2:8" outlineLevel="1">
      <c r="B135" s="637" t="s">
        <v>59</v>
      </c>
      <c r="C135" s="358" t="s">
        <v>906</v>
      </c>
      <c r="D135" s="358"/>
      <c r="E135" s="490"/>
      <c r="F135" s="490"/>
      <c r="G135" s="490"/>
      <c r="H135" s="490"/>
    </row>
    <row r="136" spans="2:8" outlineLevel="1">
      <c r="B136" s="637" t="s">
        <v>16</v>
      </c>
      <c r="C136" s="358" t="s">
        <v>856</v>
      </c>
      <c r="D136" s="358"/>
      <c r="E136" s="490"/>
      <c r="F136" s="490"/>
      <c r="G136" s="490"/>
      <c r="H136" s="490"/>
    </row>
    <row r="137" spans="2:8" outlineLevel="1">
      <c r="B137" s="637" t="s">
        <v>20</v>
      </c>
      <c r="C137" s="358" t="s">
        <v>907</v>
      </c>
      <c r="F137" s="490"/>
      <c r="G137" s="490"/>
      <c r="H137" s="490"/>
    </row>
    <row r="138" spans="2:8" outlineLevel="1">
      <c r="B138" s="666" t="s">
        <v>76</v>
      </c>
      <c r="C138" s="358" t="s">
        <v>908</v>
      </c>
      <c r="D138" s="358"/>
      <c r="E138" s="490"/>
      <c r="F138" s="490"/>
      <c r="G138" s="490"/>
      <c r="H138" s="490"/>
    </row>
    <row r="139" spans="2:8" outlineLevel="1">
      <c r="B139" s="666" t="s">
        <v>25</v>
      </c>
      <c r="C139" s="358" t="s">
        <v>917</v>
      </c>
      <c r="D139" s="358"/>
      <c r="E139" s="490"/>
      <c r="F139" s="490"/>
      <c r="G139" s="490"/>
      <c r="H139" s="490"/>
    </row>
    <row r="140" spans="2:8" outlineLevel="1">
      <c r="B140" s="637" t="s">
        <v>33</v>
      </c>
      <c r="C140" s="358" t="s">
        <v>788</v>
      </c>
      <c r="E140" s="490"/>
      <c r="F140" s="490"/>
      <c r="G140" s="490"/>
      <c r="H140" s="490"/>
    </row>
    <row r="141" spans="2:8" outlineLevel="1">
      <c r="B141" s="656" t="s">
        <v>51</v>
      </c>
      <c r="C141" s="490" t="s">
        <v>859</v>
      </c>
      <c r="E141" s="490"/>
      <c r="F141" s="490"/>
      <c r="G141" s="490"/>
      <c r="H141" s="490"/>
    </row>
    <row r="142" spans="2:8" outlineLevel="1">
      <c r="B142" s="637" t="s">
        <v>52</v>
      </c>
      <c r="C142" s="490" t="s">
        <v>860</v>
      </c>
      <c r="E142" s="490"/>
      <c r="F142" s="490"/>
      <c r="G142" s="490"/>
      <c r="H142" s="490"/>
    </row>
    <row r="143" spans="2:8" outlineLevel="1">
      <c r="E143" s="490"/>
      <c r="F143" s="490"/>
      <c r="G143" s="490"/>
      <c r="H143" s="490"/>
    </row>
    <row r="144" spans="2:8"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57" r:id="rId1" xr:uid="{FCFA3928-FFA5-43A1-AE5D-5AB0F2CA2750}"/>
    <hyperlink ref="C129" r:id="rId2" xr:uid="{332C3EDC-FB5B-481E-8917-7720FAD39F1B}"/>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A9339-46CF-4919-A2AD-EFD5CDD24628}">
  <sheetPr>
    <tabColor theme="3"/>
  </sheetPr>
  <dimension ref="A2:AR345"/>
  <sheetViews>
    <sheetView topLeftCell="M4" zoomScale="85" zoomScaleNormal="85" workbookViewId="0">
      <selection activeCell="V29" sqref="V29"/>
    </sheetView>
  </sheetViews>
  <sheetFormatPr defaultColWidth="8.77734375" defaultRowHeight="14.4" outlineLevelRow="1"/>
  <cols>
    <col min="1" max="1" width="27.3320312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Booster heat pump, up to 150 °C, Temp lift = 130 K, steam</v>
      </c>
    </row>
    <row r="4" spans="1:44" ht="25.05" customHeight="1">
      <c r="E4" s="224" t="s">
        <v>358</v>
      </c>
      <c r="F4" s="359">
        <v>7.45</v>
      </c>
      <c r="G4" s="359" t="s">
        <v>328</v>
      </c>
    </row>
    <row r="5" spans="1:44" ht="15" customHeight="1">
      <c r="A5" s="360" t="s">
        <v>899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885</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4</v>
      </c>
      <c r="D10" s="372">
        <v>4</v>
      </c>
      <c r="E10" s="372">
        <v>4</v>
      </c>
      <c r="F10" s="372">
        <v>4</v>
      </c>
      <c r="G10" s="372">
        <v>1</v>
      </c>
      <c r="H10" s="372">
        <v>10</v>
      </c>
      <c r="I10" s="372">
        <v>1</v>
      </c>
      <c r="J10" s="372">
        <v>15</v>
      </c>
      <c r="K10" s="372" t="s">
        <v>6</v>
      </c>
      <c r="L10" s="373"/>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198</v>
      </c>
      <c r="D11" s="639">
        <v>203.94</v>
      </c>
      <c r="E11" s="640">
        <v>208.0188</v>
      </c>
      <c r="F11" s="639">
        <v>210.09898799999999</v>
      </c>
      <c r="G11" s="377">
        <v>198</v>
      </c>
      <c r="H11" s="639">
        <v>207.9</v>
      </c>
      <c r="I11" s="639">
        <v>203.79601835999998</v>
      </c>
      <c r="J11" s="639">
        <v>214.30096775999999</v>
      </c>
      <c r="K11" s="379" t="s">
        <v>838</v>
      </c>
      <c r="L11" s="380"/>
      <c r="M11" s="370"/>
      <c r="N11" s="370"/>
      <c r="P11" s="1199" t="str">
        <f>C7</f>
        <v>Booster heat pump, up to 150 °C, Temp lift = 130 K, steam</v>
      </c>
      <c r="Q11" s="1154" t="s">
        <v>730</v>
      </c>
      <c r="R11" s="381" t="s">
        <v>731</v>
      </c>
      <c r="S11" s="382" t="s">
        <v>842</v>
      </c>
      <c r="T11" s="1137">
        <v>0</v>
      </c>
      <c r="U11" s="1151">
        <v>0</v>
      </c>
      <c r="V11" s="1157">
        <v>0</v>
      </c>
      <c r="W11" s="1151">
        <v>0</v>
      </c>
      <c r="X11" s="1157">
        <v>0</v>
      </c>
      <c r="Y11" s="1151">
        <v>0</v>
      </c>
      <c r="Z11" s="1157">
        <v>0</v>
      </c>
      <c r="AA11" s="1151">
        <v>0</v>
      </c>
      <c r="AB11" s="1157">
        <v>0</v>
      </c>
      <c r="AC11" s="1151">
        <v>0</v>
      </c>
      <c r="AE11" s="1148" t="str">
        <f>P11</f>
        <v>Booster heat pump, up to 150 °C, Temp lift = 130 K, steam</v>
      </c>
      <c r="AF11" s="1154" t="s">
        <v>730</v>
      </c>
      <c r="AG11" s="381" t="s">
        <v>731</v>
      </c>
      <c r="AH11" s="382" t="str">
        <f t="shared" ref="AH11:AH13" si="0">S11</f>
        <v/>
      </c>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577">
        <v>193</v>
      </c>
      <c r="D12" s="577">
        <v>198.94</v>
      </c>
      <c r="E12" s="577">
        <v>203.0188</v>
      </c>
      <c r="F12" s="577">
        <v>205.09898799999999</v>
      </c>
      <c r="G12" s="641">
        <v>193</v>
      </c>
      <c r="H12" s="641">
        <v>202.9</v>
      </c>
      <c r="I12" s="641">
        <v>198.79601835999998</v>
      </c>
      <c r="J12" s="641">
        <v>209.30096775999999</v>
      </c>
      <c r="K12" s="386" t="s">
        <v>20</v>
      </c>
      <c r="L12" s="387"/>
      <c r="M12" s="370"/>
      <c r="N12" s="370"/>
      <c r="O12" s="71"/>
      <c r="P12" s="1195"/>
      <c r="Q12" s="1155"/>
      <c r="R12" s="388" t="s">
        <v>733</v>
      </c>
      <c r="S12" s="389" t="s">
        <v>842</v>
      </c>
      <c r="T12" s="1140"/>
      <c r="U12" s="1152"/>
      <c r="V12" s="1158"/>
      <c r="W12" s="1152"/>
      <c r="X12" s="1158"/>
      <c r="Y12" s="1152"/>
      <c r="Z12" s="1158"/>
      <c r="AA12" s="1152"/>
      <c r="AB12" s="1158"/>
      <c r="AC12" s="1152"/>
      <c r="AE12" s="1195"/>
      <c r="AF12" s="1155"/>
      <c r="AG12" s="388" t="s">
        <v>733</v>
      </c>
      <c r="AH12" s="389" t="str">
        <f t="shared" si="0"/>
        <v/>
      </c>
      <c r="AI12" s="1140"/>
      <c r="AJ12" s="1152"/>
      <c r="AK12" s="1158"/>
      <c r="AL12" s="1152"/>
      <c r="AM12" s="1158"/>
      <c r="AN12" s="1152"/>
      <c r="AO12" s="1158"/>
      <c r="AP12" s="1152"/>
      <c r="AQ12" s="1158"/>
      <c r="AR12" s="1152"/>
    </row>
    <row r="13" spans="1:44" ht="15" outlineLevel="1" thickBot="1">
      <c r="B13" s="376" t="s">
        <v>734</v>
      </c>
      <c r="C13" s="390">
        <v>2</v>
      </c>
      <c r="D13" s="391">
        <v>2</v>
      </c>
      <c r="E13" s="391">
        <v>2</v>
      </c>
      <c r="F13" s="392">
        <v>2</v>
      </c>
      <c r="G13" s="391">
        <v>1</v>
      </c>
      <c r="H13" s="391">
        <v>4</v>
      </c>
      <c r="I13" s="391">
        <v>1</v>
      </c>
      <c r="J13" s="391">
        <v>4</v>
      </c>
      <c r="K13" s="379" t="s">
        <v>76</v>
      </c>
      <c r="L13" s="380"/>
      <c r="M13" s="370"/>
      <c r="N13" s="370"/>
      <c r="O13" s="71"/>
      <c r="P13" s="1195"/>
      <c r="Q13" s="1156"/>
      <c r="R13" s="393" t="s">
        <v>735</v>
      </c>
      <c r="S13" s="394" t="s">
        <v>842</v>
      </c>
      <c r="T13" s="1141"/>
      <c r="U13" s="1153"/>
      <c r="V13" s="1159"/>
      <c r="W13" s="1153"/>
      <c r="X13" s="1159"/>
      <c r="Y13" s="1153"/>
      <c r="Z13" s="1159"/>
      <c r="AA13" s="1153"/>
      <c r="AB13" s="1159"/>
      <c r="AC13" s="1153"/>
      <c r="AE13" s="1195"/>
      <c r="AF13" s="1156"/>
      <c r="AG13" s="393" t="s">
        <v>735</v>
      </c>
      <c r="AH13" s="394" t="str">
        <f t="shared" si="0"/>
        <v/>
      </c>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t="s">
        <v>76</v>
      </c>
      <c r="L14" s="380"/>
      <c r="M14" s="370"/>
      <c r="N14" s="370"/>
      <c r="O14" s="71"/>
      <c r="P14" s="1195"/>
      <c r="Q14" s="1154" t="s">
        <v>736</v>
      </c>
      <c r="R14" s="395" t="s">
        <v>737</v>
      </c>
      <c r="S14" s="396" t="s">
        <v>738</v>
      </c>
      <c r="T14" s="1137">
        <v>0</v>
      </c>
      <c r="U14" s="1137">
        <v>0.63</v>
      </c>
      <c r="V14" s="1137">
        <v>0</v>
      </c>
      <c r="W14" s="1137">
        <v>0.36</v>
      </c>
      <c r="X14" s="1137">
        <v>0</v>
      </c>
      <c r="Y14" s="1137">
        <v>0.23</v>
      </c>
      <c r="Z14" s="1137">
        <v>0</v>
      </c>
      <c r="AA14" s="1137">
        <v>0.66</v>
      </c>
      <c r="AB14" s="1137">
        <v>0</v>
      </c>
      <c r="AC14" s="1151">
        <v>0.47</v>
      </c>
      <c r="AE14" s="1195"/>
      <c r="AF14" s="1154" t="s">
        <v>736</v>
      </c>
      <c r="AG14" s="395" t="s">
        <v>737</v>
      </c>
      <c r="AH14" s="396" t="str">
        <f>S14</f>
        <v>x</v>
      </c>
      <c r="AI14" s="1137">
        <v>0</v>
      </c>
      <c r="AJ14" s="1137">
        <f>U14/4</f>
        <v>0.1575</v>
      </c>
      <c r="AK14" s="1137">
        <v>0</v>
      </c>
      <c r="AL14" s="1137">
        <f>W14/4</f>
        <v>0.09</v>
      </c>
      <c r="AM14" s="1137">
        <v>0</v>
      </c>
      <c r="AN14" s="1137">
        <f>Y14/4</f>
        <v>5.7500000000000002E-2</v>
      </c>
      <c r="AO14" s="1137">
        <v>0</v>
      </c>
      <c r="AP14" s="1137">
        <f>AA14/4</f>
        <v>0.16500000000000001</v>
      </c>
      <c r="AQ14" s="1137">
        <v>0</v>
      </c>
      <c r="AR14" s="1151">
        <f>AC14/4</f>
        <v>0.11749999999999999</v>
      </c>
    </row>
    <row r="15" spans="1:44" outlineLevel="1">
      <c r="B15" s="376" t="s">
        <v>658</v>
      </c>
      <c r="C15" s="390">
        <v>1</v>
      </c>
      <c r="D15" s="390">
        <v>1</v>
      </c>
      <c r="E15" s="390">
        <v>1</v>
      </c>
      <c r="F15" s="390">
        <v>1</v>
      </c>
      <c r="G15" s="390">
        <v>0.5</v>
      </c>
      <c r="H15" s="390">
        <v>2</v>
      </c>
      <c r="I15" s="390">
        <v>0.5</v>
      </c>
      <c r="J15" s="390">
        <v>2</v>
      </c>
      <c r="K15" s="379" t="s">
        <v>76</v>
      </c>
      <c r="L15" s="380"/>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tr">
        <f>S15</f>
        <v>x</v>
      </c>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15</v>
      </c>
      <c r="H16" s="398">
        <v>30</v>
      </c>
      <c r="I16" s="398">
        <v>15</v>
      </c>
      <c r="J16" s="398">
        <v>30</v>
      </c>
      <c r="K16" s="372" t="s">
        <v>76</v>
      </c>
      <c r="L16" s="373"/>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tr">
        <f>S16</f>
        <v>x</v>
      </c>
      <c r="AI16" s="1191"/>
      <c r="AJ16" s="1191"/>
      <c r="AK16" s="1191"/>
      <c r="AL16" s="1191"/>
      <c r="AM16" s="1191"/>
      <c r="AN16" s="1191"/>
      <c r="AO16" s="1191"/>
      <c r="AP16" s="1191"/>
      <c r="AQ16" s="1191"/>
      <c r="AR16" s="1193"/>
    </row>
    <row r="17" spans="1:44" ht="15" outlineLevel="1" thickBot="1">
      <c r="B17" s="376" t="s">
        <v>273</v>
      </c>
      <c r="C17" s="399">
        <v>0.6</v>
      </c>
      <c r="D17" s="399">
        <v>0.6</v>
      </c>
      <c r="E17" s="399">
        <v>0.6</v>
      </c>
      <c r="F17" s="399">
        <v>0.6</v>
      </c>
      <c r="G17" s="399">
        <v>0.4</v>
      </c>
      <c r="H17" s="399">
        <v>0.8</v>
      </c>
      <c r="I17" s="399">
        <v>0.4</v>
      </c>
      <c r="J17" s="399">
        <v>0.8</v>
      </c>
      <c r="K17" s="372" t="s">
        <v>25</v>
      </c>
      <c r="L17" s="400"/>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tr">
        <f>S17</f>
        <v>x</v>
      </c>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tr">
        <f>S18</f>
        <v>x</v>
      </c>
      <c r="AI18" s="1192"/>
      <c r="AJ18" s="1192"/>
      <c r="AK18" s="1192"/>
      <c r="AL18" s="1192"/>
      <c r="AM18" s="1192"/>
      <c r="AN18" s="1192"/>
      <c r="AO18" s="1192"/>
      <c r="AP18" s="1192"/>
      <c r="AQ18" s="1192"/>
      <c r="AR18" s="1194"/>
    </row>
    <row r="19" spans="1:44" ht="29.4" outlineLevel="1" thickBot="1">
      <c r="B19" s="376" t="s">
        <v>663</v>
      </c>
      <c r="C19" s="390"/>
      <c r="D19" s="390"/>
      <c r="E19" s="390"/>
      <c r="F19" s="390"/>
      <c r="G19" s="391"/>
      <c r="H19" s="391"/>
      <c r="I19" s="391"/>
      <c r="J19" s="391"/>
      <c r="K19" s="379"/>
      <c r="L19" s="380">
        <v>1</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1249" t="s">
        <v>746</v>
      </c>
      <c r="AH19" s="1250" t="s">
        <v>738</v>
      </c>
      <c r="AI19" s="416">
        <v>1</v>
      </c>
      <c r="AJ19" s="415">
        <v>1</v>
      </c>
      <c r="AK19" s="416">
        <v>1</v>
      </c>
      <c r="AL19" s="415">
        <v>1</v>
      </c>
      <c r="AM19" s="416">
        <v>1</v>
      </c>
      <c r="AN19" s="415">
        <v>1</v>
      </c>
      <c r="AO19" s="416">
        <v>1</v>
      </c>
      <c r="AP19" s="415">
        <v>1</v>
      </c>
      <c r="AQ19" s="416">
        <v>1</v>
      </c>
      <c r="AR19" s="417">
        <v>1</v>
      </c>
    </row>
    <row r="20" spans="1:44" outlineLevel="1">
      <c r="B20" s="376" t="s">
        <v>664</v>
      </c>
      <c r="C20" s="390">
        <v>0.5</v>
      </c>
      <c r="D20" s="390">
        <v>0.5</v>
      </c>
      <c r="E20" s="390">
        <v>0.5</v>
      </c>
      <c r="F20" s="390">
        <v>0.5</v>
      </c>
      <c r="G20" s="418"/>
      <c r="H20" s="418"/>
      <c r="I20" s="418"/>
      <c r="J20" s="418"/>
      <c r="K20" s="419" t="s">
        <v>76</v>
      </c>
      <c r="L20" s="380"/>
      <c r="M20" s="363"/>
      <c r="N20" s="363"/>
    </row>
    <row r="21" spans="1:44" outlineLevel="1">
      <c r="B21" s="376" t="s">
        <v>666</v>
      </c>
      <c r="C21" s="390">
        <v>1</v>
      </c>
      <c r="D21" s="390">
        <v>1</v>
      </c>
      <c r="E21" s="390">
        <v>1</v>
      </c>
      <c r="F21" s="390">
        <v>1</v>
      </c>
      <c r="G21" s="418"/>
      <c r="H21" s="418"/>
      <c r="I21" s="418"/>
      <c r="J21" s="418"/>
      <c r="K21" s="419" t="s">
        <v>76</v>
      </c>
      <c r="L21" s="380"/>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51">
        <v>1.6320658640726422</v>
      </c>
      <c r="D29" s="647">
        <v>1.3230944850997819</v>
      </c>
      <c r="E29" s="647">
        <v>1.0369854809541614</v>
      </c>
      <c r="F29" s="648">
        <v>0.93368259858177483</v>
      </c>
      <c r="G29" s="425"/>
      <c r="H29" s="425"/>
      <c r="I29" s="425"/>
      <c r="J29" s="425"/>
      <c r="K29" s="426" t="s">
        <v>33</v>
      </c>
      <c r="L29" s="440"/>
      <c r="M29" s="420"/>
      <c r="N29" s="420"/>
    </row>
    <row r="30" spans="1:44" outlineLevel="1">
      <c r="B30" s="441" t="s">
        <v>839</v>
      </c>
      <c r="C30" s="442">
        <v>50</v>
      </c>
      <c r="D30" s="442">
        <v>50</v>
      </c>
      <c r="E30" s="442">
        <v>50</v>
      </c>
      <c r="F30" s="442">
        <v>50</v>
      </c>
      <c r="G30" s="425"/>
      <c r="H30" s="425"/>
      <c r="I30" s="425"/>
      <c r="J30" s="425"/>
      <c r="K30" s="444" t="s">
        <v>51</v>
      </c>
      <c r="L30" s="373"/>
      <c r="M30" s="71"/>
      <c r="N30" s="420"/>
    </row>
    <row r="31" spans="1:44" outlineLevel="1">
      <c r="B31" s="441" t="s">
        <v>840</v>
      </c>
      <c r="C31" s="442">
        <v>50</v>
      </c>
      <c r="D31" s="442">
        <v>50</v>
      </c>
      <c r="E31" s="442">
        <v>50</v>
      </c>
      <c r="F31" s="442">
        <v>50</v>
      </c>
      <c r="G31" s="425"/>
      <c r="H31" s="425"/>
      <c r="I31" s="425"/>
      <c r="J31" s="425"/>
      <c r="K31" s="444" t="s">
        <v>52</v>
      </c>
      <c r="L31" s="373"/>
      <c r="M31" s="420"/>
      <c r="N31" s="420"/>
    </row>
    <row r="32" spans="1:44" outlineLevel="1">
      <c r="B32" s="383" t="s">
        <v>841</v>
      </c>
      <c r="C32" s="445">
        <v>2000</v>
      </c>
      <c r="D32" s="446">
        <v>2000</v>
      </c>
      <c r="E32" s="446">
        <v>2000</v>
      </c>
      <c r="F32" s="447">
        <v>2000</v>
      </c>
      <c r="G32" s="425"/>
      <c r="H32" s="425"/>
      <c r="I32" s="425"/>
      <c r="J32" s="425"/>
      <c r="K32" s="448" t="s">
        <v>76</v>
      </c>
      <c r="L32" s="373"/>
      <c r="M32" s="420"/>
      <c r="N32" s="420"/>
    </row>
    <row r="33" spans="2:30" ht="37.049999999999997" customHeight="1" outlineLevel="1" thickBot="1">
      <c r="B33" s="383" t="s">
        <v>679</v>
      </c>
      <c r="C33" s="449">
        <f>C34+C35</f>
        <v>3.4400000000000004</v>
      </c>
      <c r="D33" s="449">
        <f t="shared" ref="D33:F33" si="1">D34+D35</f>
        <v>3.37</v>
      </c>
      <c r="E33" s="449">
        <f t="shared" si="1"/>
        <v>3.335</v>
      </c>
      <c r="F33" s="449">
        <f t="shared" si="1"/>
        <v>3.2800000000000002</v>
      </c>
      <c r="G33" s="425"/>
      <c r="H33" s="425"/>
      <c r="I33" s="425"/>
      <c r="J33" s="425"/>
      <c r="K33" s="448"/>
      <c r="L33" s="373"/>
      <c r="M33" s="450"/>
      <c r="N33" s="361"/>
      <c r="P33" s="1142">
        <f>C33</f>
        <v>3.4400000000000004</v>
      </c>
      <c r="Q33" s="1143"/>
      <c r="R33" s="1143"/>
      <c r="S33" s="1143"/>
      <c r="T33" s="1143"/>
      <c r="U33" s="1144"/>
    </row>
    <row r="34" spans="2:30" ht="15.75" customHeight="1" outlineLevel="1" thickBot="1">
      <c r="B34" s="451" t="s">
        <v>758</v>
      </c>
      <c r="C34" s="452">
        <f>C13/100*73</f>
        <v>1.46</v>
      </c>
      <c r="D34" s="452">
        <f>D13/100*75</f>
        <v>1.5</v>
      </c>
      <c r="E34" s="452">
        <f>E13/100*76</f>
        <v>1.52</v>
      </c>
      <c r="F34" s="452">
        <f>F13/100*76</f>
        <v>1.52</v>
      </c>
      <c r="G34" s="453"/>
      <c r="H34" s="453"/>
      <c r="I34" s="453"/>
      <c r="J34" s="453"/>
      <c r="K34" s="379" t="s">
        <v>55</v>
      </c>
      <c r="L34" s="380"/>
      <c r="M34" s="450"/>
      <c r="N34" s="361"/>
      <c r="P34" s="1134">
        <f>C34</f>
        <v>1.46</v>
      </c>
      <c r="Q34" s="1135"/>
      <c r="R34" s="1135"/>
      <c r="S34" s="1135"/>
      <c r="T34" s="1135"/>
      <c r="U34" s="1136"/>
    </row>
    <row r="35" spans="2:30" outlineLevel="1">
      <c r="B35" s="451" t="s">
        <v>759</v>
      </c>
      <c r="C35" s="454">
        <v>1.9800000000000002</v>
      </c>
      <c r="D35" s="454">
        <v>1.87</v>
      </c>
      <c r="E35" s="454">
        <v>1.8149999999999999</v>
      </c>
      <c r="F35" s="454">
        <v>1.7600000000000002</v>
      </c>
      <c r="G35" s="453"/>
      <c r="H35" s="453"/>
      <c r="I35" s="453"/>
      <c r="J35" s="453"/>
      <c r="K35" s="455" t="s">
        <v>49</v>
      </c>
      <c r="L35" s="380"/>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v>0.32641317281452847</v>
      </c>
      <c r="D39" s="633">
        <v>0.26461889701995639</v>
      </c>
      <c r="E39" s="633">
        <v>0.2073970961908323</v>
      </c>
      <c r="F39" s="633">
        <v>0.18673651971635497</v>
      </c>
      <c r="G39" s="643"/>
      <c r="H39" s="643"/>
      <c r="I39" s="643"/>
      <c r="J39" s="643"/>
      <c r="K39" s="643" t="s">
        <v>374</v>
      </c>
      <c r="L39" s="464"/>
      <c r="M39" s="363"/>
      <c r="N39" s="363"/>
      <c r="O39" s="465">
        <f>C12</f>
        <v>193</v>
      </c>
      <c r="P39" s="466">
        <f>C8</f>
        <v>2020</v>
      </c>
      <c r="Q39" s="58">
        <f>P39</f>
        <v>2020</v>
      </c>
      <c r="R39" s="466">
        <f>O39/100</f>
        <v>1.93</v>
      </c>
      <c r="S39" s="58"/>
      <c r="T39" s="466">
        <f>C16</f>
        <v>20</v>
      </c>
      <c r="U39" s="467">
        <f>C46</f>
        <v>12158.890687341185</v>
      </c>
      <c r="V39" s="467">
        <f>C48</f>
        <v>14.9</v>
      </c>
      <c r="W39" s="467">
        <f>C49</f>
        <v>7.1188888888888897</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t="s">
        <v>886</v>
      </c>
      <c r="L40" s="464"/>
      <c r="M40" s="363"/>
      <c r="N40" s="363"/>
      <c r="O40" s="465">
        <f>D12</f>
        <v>198.94</v>
      </c>
      <c r="P40" s="466">
        <f>D8</f>
        <v>2030</v>
      </c>
      <c r="Q40" s="58"/>
      <c r="R40" s="466">
        <f>O40/100</f>
        <v>1.9894000000000001</v>
      </c>
      <c r="S40" s="58"/>
      <c r="T40" s="466">
        <f>D16</f>
        <v>20</v>
      </c>
      <c r="U40" s="467">
        <f>D46</f>
        <v>9857.0539139933753</v>
      </c>
      <c r="V40" s="467">
        <f>D48</f>
        <v>14.9</v>
      </c>
      <c r="W40" s="467">
        <f>D49</f>
        <v>6.9740277777777777</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203.0188</v>
      </c>
      <c r="P41" s="466">
        <f>E8</f>
        <v>2040</v>
      </c>
      <c r="Q41" s="58"/>
      <c r="R41" s="466">
        <f>O41/100</f>
        <v>2.0301879999999999</v>
      </c>
      <c r="S41" s="58"/>
      <c r="T41" s="466">
        <f>E16</f>
        <v>20</v>
      </c>
      <c r="U41" s="467">
        <f>E46</f>
        <v>7725.5418331085029</v>
      </c>
      <c r="V41" s="467">
        <f>E48</f>
        <v>14.9</v>
      </c>
      <c r="W41" s="467">
        <f>E49</f>
        <v>6.9015972222222217</v>
      </c>
      <c r="X41" s="58"/>
      <c r="Y41" s="58"/>
      <c r="Z41" s="466">
        <f>E23</f>
        <v>0</v>
      </c>
      <c r="AA41" s="468">
        <f>E25</f>
        <v>0</v>
      </c>
      <c r="AB41" s="468">
        <f>E26</f>
        <v>0</v>
      </c>
      <c r="AC41" s="468">
        <f>E27</f>
        <v>0</v>
      </c>
      <c r="AD41" s="468">
        <f>E24</f>
        <v>0</v>
      </c>
    </row>
    <row r="42" spans="2:30" ht="14.55" customHeight="1" outlineLevel="1">
      <c r="B42" s="376" t="s">
        <v>765</v>
      </c>
      <c r="C42" s="1240" t="s">
        <v>669</v>
      </c>
      <c r="D42" s="1241"/>
      <c r="E42" s="1241"/>
      <c r="F42" s="1242"/>
      <c r="G42" s="474"/>
      <c r="H42" s="474"/>
      <c r="I42" s="474"/>
      <c r="J42" s="474"/>
      <c r="K42" s="474"/>
      <c r="L42" s="380"/>
      <c r="M42" s="363"/>
      <c r="N42" s="363"/>
      <c r="O42" s="465">
        <f>F12</f>
        <v>205.09898799999999</v>
      </c>
      <c r="P42" s="466">
        <f>F8</f>
        <v>2050</v>
      </c>
      <c r="Q42" s="58"/>
      <c r="R42" s="466">
        <f>O42/100</f>
        <v>2.0509898799999999</v>
      </c>
      <c r="S42" s="58"/>
      <c r="T42" s="466">
        <f>F16</f>
        <v>20</v>
      </c>
      <c r="U42" s="467">
        <f>F46</f>
        <v>6955.9353594342228</v>
      </c>
      <c r="V42" s="467">
        <f>F48</f>
        <v>14.9</v>
      </c>
      <c r="W42" s="467">
        <f>F49</f>
        <v>6.7877777777777784</v>
      </c>
      <c r="X42" s="58"/>
      <c r="Y42" s="58"/>
      <c r="Z42" s="466">
        <f>F23</f>
        <v>0</v>
      </c>
      <c r="AA42" s="468">
        <f>F25</f>
        <v>0</v>
      </c>
      <c r="AB42" s="468">
        <f>F26</f>
        <v>0</v>
      </c>
      <c r="AC42" s="468">
        <f>F27</f>
        <v>0</v>
      </c>
      <c r="AD42" s="468">
        <f>F24</f>
        <v>0</v>
      </c>
    </row>
    <row r="43" spans="2:30" outlineLevel="1">
      <c r="B43" s="475" t="s">
        <v>766</v>
      </c>
      <c r="C43" s="469">
        <v>30</v>
      </c>
      <c r="D43" s="470">
        <v>30</v>
      </c>
      <c r="E43" s="470">
        <v>30</v>
      </c>
      <c r="F43" s="471">
        <v>30</v>
      </c>
      <c r="G43" s="474"/>
      <c r="H43" s="474"/>
      <c r="I43" s="474"/>
      <c r="J43" s="474"/>
      <c r="K43" s="474" t="s">
        <v>887</v>
      </c>
      <c r="L43" s="476"/>
      <c r="M43" s="367"/>
      <c r="N43" s="367"/>
    </row>
    <row r="44" spans="2:30" outlineLevel="1">
      <c r="B44" s="475" t="s">
        <v>767</v>
      </c>
      <c r="C44" s="469">
        <v>20</v>
      </c>
      <c r="D44" s="470">
        <v>20</v>
      </c>
      <c r="E44" s="470">
        <v>20</v>
      </c>
      <c r="F44" s="471">
        <v>20</v>
      </c>
      <c r="G44" s="474"/>
      <c r="H44" s="474"/>
      <c r="I44" s="474"/>
      <c r="J44" s="474"/>
      <c r="K44" s="474" t="s">
        <v>887</v>
      </c>
      <c r="L44" s="476"/>
      <c r="M44" s="363"/>
      <c r="N44" s="363"/>
    </row>
    <row r="45" spans="2:30" ht="15" outlineLevel="1" thickBot="1">
      <c r="B45" s="477" t="s">
        <v>768</v>
      </c>
      <c r="C45" s="644" t="s">
        <v>36</v>
      </c>
      <c r="D45" s="645" t="s">
        <v>36</v>
      </c>
      <c r="E45" s="645" t="s">
        <v>36</v>
      </c>
      <c r="F45" s="646" t="s">
        <v>36</v>
      </c>
      <c r="G45" s="481"/>
      <c r="H45" s="481"/>
      <c r="I45" s="481"/>
      <c r="J45" s="481"/>
      <c r="K45" s="481"/>
      <c r="L45" s="482"/>
      <c r="M45" s="363"/>
      <c r="N45" s="363"/>
    </row>
    <row r="46" spans="2:30" ht="57.6" outlineLevel="1">
      <c r="B46" s="461" t="s">
        <v>769</v>
      </c>
      <c r="C46" s="483">
        <f>C29*$F$4*1000</f>
        <v>12158.890687341185</v>
      </c>
      <c r="D46" s="483">
        <f t="shared" ref="D46:F46" si="2">D29*$F$4*1000</f>
        <v>9857.0539139933753</v>
      </c>
      <c r="E46" s="483">
        <f t="shared" si="2"/>
        <v>7725.5418331085029</v>
      </c>
      <c r="F46" s="483">
        <f t="shared" si="2"/>
        <v>6955.9353594342228</v>
      </c>
      <c r="G46" s="483"/>
      <c r="H46" s="484"/>
      <c r="I46" s="420" t="s">
        <v>332</v>
      </c>
      <c r="J46" s="420"/>
      <c r="K46" s="484"/>
      <c r="L46" s="484"/>
      <c r="N46" s="420"/>
    </row>
    <row r="47" spans="2:30" outlineLevel="1">
      <c r="B47" s="485" t="s">
        <v>770</v>
      </c>
      <c r="C47" s="486">
        <f>C46*$I47</f>
        <v>6079445.3436705926</v>
      </c>
      <c r="D47" s="486">
        <f>D46*$I47</f>
        <v>4928526.9569966877</v>
      </c>
      <c r="E47" s="486">
        <f>E46*$I47</f>
        <v>3862770.9165542517</v>
      </c>
      <c r="F47" s="486">
        <f>F46*$I47</f>
        <v>3477967.6797171114</v>
      </c>
      <c r="G47" s="486"/>
      <c r="H47" s="484"/>
      <c r="I47" s="71">
        <v>500</v>
      </c>
      <c r="J47" s="420" t="s">
        <v>330</v>
      </c>
      <c r="K47" s="484"/>
      <c r="L47" s="484"/>
      <c r="N47" s="420"/>
    </row>
    <row r="48" spans="2:30" ht="43.2" outlineLevel="1">
      <c r="B48" s="461" t="s">
        <v>845</v>
      </c>
      <c r="C48" s="359">
        <f>C32*$F$4/1000</f>
        <v>14.9</v>
      </c>
      <c r="D48" s="359">
        <f t="shared" ref="D48:F48" si="3">D32*$F$4/1000</f>
        <v>14.9</v>
      </c>
      <c r="E48" s="359">
        <f t="shared" si="3"/>
        <v>14.9</v>
      </c>
      <c r="F48" s="359">
        <f t="shared" si="3"/>
        <v>14.9</v>
      </c>
      <c r="G48" s="359"/>
      <c r="I48" s="420" t="s">
        <v>333</v>
      </c>
      <c r="J48" s="420"/>
      <c r="N48" s="420"/>
    </row>
    <row r="49" spans="2:14" ht="43.2" outlineLevel="1">
      <c r="B49" s="461" t="s">
        <v>846</v>
      </c>
      <c r="C49" s="487">
        <f>C33*$F$4/3.6</f>
        <v>7.1188888888888897</v>
      </c>
      <c r="D49" s="487">
        <f t="shared" ref="D49:F49" si="4">D33*$F$4/3.6</f>
        <v>6.9740277777777777</v>
      </c>
      <c r="E49" s="487">
        <f t="shared" si="4"/>
        <v>6.9015972222222217</v>
      </c>
      <c r="F49" s="487">
        <f t="shared" si="4"/>
        <v>6.7877777777777784</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64" t="s">
        <v>773</v>
      </c>
      <c r="E55" s="358"/>
      <c r="F55" s="358"/>
      <c r="G55" s="358"/>
      <c r="H55" s="358"/>
      <c r="I55" s="358"/>
      <c r="J55" s="358"/>
      <c r="K55" s="358"/>
      <c r="L55" s="358"/>
    </row>
    <row r="56" spans="2:14" outlineLevel="1">
      <c r="B56" s="490">
        <v>1</v>
      </c>
      <c r="C56" s="636" t="s">
        <v>888</v>
      </c>
      <c r="D56" s="490"/>
      <c r="F56" s="358"/>
      <c r="G56" s="358"/>
      <c r="H56" s="358"/>
      <c r="I56" s="358"/>
      <c r="J56" s="358"/>
      <c r="K56" s="358"/>
      <c r="L56" s="358"/>
    </row>
    <row r="57" spans="2:14" outlineLevel="1">
      <c r="B57" s="490">
        <v>2</v>
      </c>
      <c r="C57" s="490" t="s">
        <v>850</v>
      </c>
      <c r="D57" s="490"/>
      <c r="F57" s="358"/>
      <c r="G57" s="358"/>
      <c r="H57" s="358"/>
      <c r="I57" s="358"/>
      <c r="J57" s="358"/>
      <c r="K57" s="358"/>
      <c r="L57" s="358"/>
    </row>
    <row r="58" spans="2:14" outlineLevel="1">
      <c r="B58" s="490">
        <v>3</v>
      </c>
      <c r="C58" s="490" t="s">
        <v>889</v>
      </c>
      <c r="D58" s="490"/>
      <c r="F58" s="358"/>
      <c r="G58" s="358"/>
      <c r="H58" s="358"/>
      <c r="I58" s="358"/>
      <c r="J58" s="358"/>
      <c r="K58" s="358"/>
      <c r="L58" s="358"/>
    </row>
    <row r="59" spans="2:14" outlineLevel="1">
      <c r="B59" s="224" t="s">
        <v>783</v>
      </c>
      <c r="F59" s="358"/>
      <c r="G59" s="358"/>
      <c r="H59" s="358"/>
      <c r="I59" s="358"/>
      <c r="J59" s="358"/>
      <c r="K59" s="358"/>
      <c r="L59" s="358"/>
    </row>
    <row r="60" spans="2:14" outlineLevel="1">
      <c r="B60" s="665" t="s">
        <v>6</v>
      </c>
      <c r="C60" s="490" t="s">
        <v>890</v>
      </c>
      <c r="D60" s="490"/>
      <c r="F60" s="358"/>
      <c r="G60" s="358"/>
      <c r="H60" s="358"/>
      <c r="I60" s="358"/>
      <c r="J60" s="358"/>
      <c r="K60" s="358"/>
      <c r="L60" s="358"/>
    </row>
    <row r="61" spans="2:14" outlineLevel="1">
      <c r="B61" s="665" t="s">
        <v>59</v>
      </c>
      <c r="C61" s="490" t="s">
        <v>891</v>
      </c>
      <c r="D61" s="490"/>
      <c r="F61" s="358"/>
      <c r="G61" s="358"/>
      <c r="H61" s="358"/>
      <c r="I61" s="358"/>
      <c r="J61" s="358"/>
      <c r="K61" s="358"/>
      <c r="L61" s="358"/>
    </row>
    <row r="62" spans="2:14" outlineLevel="1">
      <c r="B62" s="666" t="s">
        <v>16</v>
      </c>
      <c r="C62" s="490" t="s">
        <v>892</v>
      </c>
      <c r="D62" s="490"/>
      <c r="F62" s="358"/>
      <c r="G62" s="358"/>
      <c r="H62" s="358"/>
      <c r="I62" s="358"/>
      <c r="J62" s="358"/>
      <c r="K62" s="358"/>
      <c r="L62" s="358"/>
    </row>
    <row r="63" spans="2:14" outlineLevel="1">
      <c r="B63" s="665" t="s">
        <v>20</v>
      </c>
      <c r="C63" s="490" t="s">
        <v>872</v>
      </c>
      <c r="D63" s="490"/>
      <c r="F63" s="358"/>
      <c r="G63" s="358"/>
      <c r="H63" s="358"/>
      <c r="I63" s="358"/>
      <c r="J63" s="358"/>
      <c r="K63" s="358"/>
      <c r="L63" s="358"/>
    </row>
    <row r="64" spans="2:14" outlineLevel="1">
      <c r="B64" s="665" t="s">
        <v>76</v>
      </c>
      <c r="C64" s="490" t="s">
        <v>893</v>
      </c>
      <c r="D64" s="490"/>
      <c r="F64" s="358"/>
      <c r="G64" s="358"/>
      <c r="H64" s="358"/>
      <c r="I64" s="358"/>
      <c r="J64" s="358"/>
      <c r="K64" s="358"/>
      <c r="L64" s="358"/>
    </row>
    <row r="65" spans="1:44" outlineLevel="1">
      <c r="B65" s="665" t="s">
        <v>25</v>
      </c>
      <c r="C65" s="490" t="s">
        <v>894</v>
      </c>
      <c r="D65" s="490"/>
      <c r="F65" s="358"/>
      <c r="G65" s="358"/>
      <c r="H65" s="358"/>
      <c r="I65" s="358"/>
      <c r="J65" s="358"/>
      <c r="K65" s="358"/>
      <c r="L65" s="358"/>
    </row>
    <row r="66" spans="1:44" outlineLevel="1">
      <c r="B66" s="665" t="s">
        <v>33</v>
      </c>
      <c r="C66" s="490" t="str">
        <f>"From ["&amp;B57&amp;"], cost correlations and learing curves ["&amp;B58&amp;"] (Not commercially avaiable at the moment)"</f>
        <v>From [2], cost correlations and learing curves [3] (Not commercially avaiable at the moment)</v>
      </c>
      <c r="D66" s="490"/>
      <c r="F66" s="358"/>
      <c r="G66" s="358"/>
      <c r="H66" s="358"/>
      <c r="I66" s="358"/>
      <c r="J66" s="358"/>
      <c r="K66" s="358"/>
      <c r="L66" s="358"/>
    </row>
    <row r="67" spans="1:44" outlineLevel="1">
      <c r="B67" s="665" t="s">
        <v>51</v>
      </c>
      <c r="C67" s="490" t="s">
        <v>895</v>
      </c>
      <c r="D67" s="490"/>
      <c r="F67" s="358"/>
      <c r="G67" s="358"/>
      <c r="H67" s="358"/>
      <c r="I67" s="358"/>
      <c r="J67" s="358"/>
      <c r="K67" s="358"/>
      <c r="L67" s="358"/>
    </row>
    <row r="68" spans="1:44" outlineLevel="1">
      <c r="B68" s="665" t="s">
        <v>52</v>
      </c>
      <c r="C68" s="490" t="s">
        <v>896</v>
      </c>
      <c r="D68" s="490"/>
      <c r="F68" s="358"/>
      <c r="G68" s="358"/>
      <c r="H68" s="358"/>
      <c r="I68" s="358"/>
      <c r="J68" s="358"/>
      <c r="K68" s="358"/>
      <c r="L68" s="358"/>
    </row>
    <row r="69" spans="1:44" outlineLevel="1">
      <c r="B69" s="665" t="s">
        <v>55</v>
      </c>
      <c r="C69" s="498" t="s">
        <v>788</v>
      </c>
      <c r="D69" s="490"/>
      <c r="F69" s="358"/>
      <c r="G69" s="358"/>
      <c r="H69" s="358"/>
      <c r="I69" s="358"/>
      <c r="J69" s="358"/>
      <c r="K69" s="358"/>
      <c r="L69" s="358"/>
    </row>
    <row r="70" spans="1:44" outlineLevel="1">
      <c r="B70" s="665" t="s">
        <v>49</v>
      </c>
      <c r="C70" s="498" t="s">
        <v>897</v>
      </c>
      <c r="D70" s="490"/>
      <c r="G70" s="358"/>
      <c r="H70" s="358"/>
      <c r="I70" s="358"/>
      <c r="J70" s="358"/>
      <c r="K70" s="358"/>
      <c r="L70" s="358"/>
    </row>
    <row r="71" spans="1:44" outlineLevel="1">
      <c r="B71" s="665" t="s">
        <v>374</v>
      </c>
      <c r="C71" s="490" t="s">
        <v>898</v>
      </c>
      <c r="E71" s="490"/>
      <c r="F71" s="490"/>
    </row>
    <row r="72" spans="1:44" outlineLevel="1">
      <c r="B72" s="665" t="s">
        <v>886</v>
      </c>
      <c r="C72" s="490" t="s">
        <v>789</v>
      </c>
    </row>
    <row r="73" spans="1:44" outlineLevel="1">
      <c r="B73" s="637" t="s">
        <v>887</v>
      </c>
      <c r="C73" s="490" t="s">
        <v>860</v>
      </c>
    </row>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5"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5"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5"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5"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5"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5" outlineLevel="1" thickBot="1">
      <c r="B99" s="429"/>
      <c r="C99" s="430"/>
      <c r="D99" s="430"/>
      <c r="E99" s="430"/>
      <c r="F99" s="430"/>
      <c r="G99" s="425"/>
      <c r="H99" s="425"/>
      <c r="I99" s="425"/>
      <c r="J99" s="425"/>
      <c r="K99" s="423"/>
      <c r="L99" s="427"/>
      <c r="M99" s="428"/>
      <c r="N99" s="428"/>
    </row>
    <row r="100" spans="1:30" ht="15"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5"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5"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5"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5"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7">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G19:AH19"/>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56" r:id="rId1" xr:uid="{5740F5FA-C62E-41E9-9228-DEBCAB387C1F}"/>
  </hyperlinks>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7F0A-5F9E-462F-9A60-8EB5A73D7FC2}">
  <sheetPr>
    <tabColor theme="3"/>
  </sheetPr>
  <dimension ref="A2:AR345"/>
  <sheetViews>
    <sheetView topLeftCell="M1" zoomScale="85" zoomScaleNormal="85" workbookViewId="0">
      <selection activeCell="AL26" sqref="AL26"/>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 xml:space="preserve"> Mechanical vapor recompression</v>
      </c>
    </row>
    <row r="4" spans="1:44" ht="25.05" customHeight="1">
      <c r="E4" s="224" t="s">
        <v>358</v>
      </c>
      <c r="F4" s="359">
        <v>7.45</v>
      </c>
      <c r="G4" s="359" t="s">
        <v>328</v>
      </c>
    </row>
    <row r="5" spans="1:44" ht="15" customHeight="1">
      <c r="A5" s="360" t="s">
        <v>869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867</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20</v>
      </c>
      <c r="D10" s="372">
        <v>20</v>
      </c>
      <c r="E10" s="372">
        <v>20</v>
      </c>
      <c r="F10" s="372">
        <v>20</v>
      </c>
      <c r="G10" s="372">
        <v>5</v>
      </c>
      <c r="H10" s="372">
        <v>50</v>
      </c>
      <c r="I10" s="372">
        <v>5</v>
      </c>
      <c r="J10" s="372">
        <v>50</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1260</v>
      </c>
      <c r="D11" s="377">
        <v>1320</v>
      </c>
      <c r="E11" s="378">
        <v>1380</v>
      </c>
      <c r="F11" s="377">
        <v>1430</v>
      </c>
      <c r="G11" s="377">
        <v>1000</v>
      </c>
      <c r="H11" s="377">
        <v>1512</v>
      </c>
      <c r="I11" s="377">
        <v>1056</v>
      </c>
      <c r="J11" s="377">
        <v>1716</v>
      </c>
      <c r="K11" s="379" t="s">
        <v>59</v>
      </c>
      <c r="L11" s="380">
        <v>1</v>
      </c>
      <c r="M11" s="370"/>
      <c r="N11" s="370"/>
      <c r="P11" s="1199" t="str">
        <f>C7</f>
        <v xml:space="preserve"> Mechanical vapor recompression</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 xml:space="preserve"> Mechanical vapor recompression</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384">
        <f t="shared" ref="C12:J12" si="0">C11-50</f>
        <v>1210</v>
      </c>
      <c r="D12" s="384">
        <f t="shared" si="0"/>
        <v>1270</v>
      </c>
      <c r="E12" s="384">
        <f t="shared" si="0"/>
        <v>1330</v>
      </c>
      <c r="F12" s="384">
        <f t="shared" si="0"/>
        <v>1380</v>
      </c>
      <c r="G12" s="385">
        <f t="shared" si="0"/>
        <v>950</v>
      </c>
      <c r="H12" s="385">
        <f t="shared" si="0"/>
        <v>1462</v>
      </c>
      <c r="I12" s="385">
        <f t="shared" si="0"/>
        <v>1006</v>
      </c>
      <c r="J12" s="385">
        <f t="shared" si="0"/>
        <v>1666</v>
      </c>
      <c r="K12" s="386"/>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1</v>
      </c>
      <c r="D13" s="391">
        <v>1</v>
      </c>
      <c r="E13" s="391">
        <v>1</v>
      </c>
      <c r="F13" s="392">
        <v>1</v>
      </c>
      <c r="G13" s="391">
        <v>0</v>
      </c>
      <c r="H13" s="391">
        <v>2</v>
      </c>
      <c r="I13" s="391">
        <v>0</v>
      </c>
      <c r="J13" s="391">
        <v>2</v>
      </c>
      <c r="K13" s="379"/>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c r="L14" s="380">
        <v>2</v>
      </c>
      <c r="M14" s="370"/>
      <c r="N14" s="370"/>
      <c r="O14" s="71"/>
      <c r="P14" s="1195"/>
      <c r="Q14" s="1154" t="s">
        <v>868</v>
      </c>
      <c r="R14" s="395" t="s">
        <v>737</v>
      </c>
      <c r="S14" s="396" t="s">
        <v>738</v>
      </c>
      <c r="T14" s="1137">
        <v>0</v>
      </c>
      <c r="U14" s="1137">
        <v>0.31</v>
      </c>
      <c r="V14" s="1137">
        <v>0</v>
      </c>
      <c r="W14" s="1137">
        <v>0.05</v>
      </c>
      <c r="X14" s="1137">
        <v>0</v>
      </c>
      <c r="Y14" s="1137">
        <v>0.37</v>
      </c>
      <c r="Z14" s="1137">
        <v>0</v>
      </c>
      <c r="AA14" s="1137">
        <v>0.41</v>
      </c>
      <c r="AB14" s="1137">
        <v>0</v>
      </c>
      <c r="AC14" s="1151">
        <v>0.06</v>
      </c>
      <c r="AE14" s="1195"/>
      <c r="AF14" s="1154" t="s">
        <v>868</v>
      </c>
      <c r="AG14" s="395" t="s">
        <v>737</v>
      </c>
      <c r="AH14" s="396" t="s">
        <v>738</v>
      </c>
      <c r="AI14" s="1137">
        <v>0</v>
      </c>
      <c r="AJ14" s="1137">
        <v>0.31</v>
      </c>
      <c r="AK14" s="1137">
        <v>0</v>
      </c>
      <c r="AL14" s="1137">
        <v>0.05</v>
      </c>
      <c r="AM14" s="1137">
        <v>0</v>
      </c>
      <c r="AN14" s="1137">
        <v>0.37</v>
      </c>
      <c r="AO14" s="1137">
        <v>0</v>
      </c>
      <c r="AP14" s="1137">
        <v>0.41</v>
      </c>
      <c r="AQ14" s="1137">
        <v>0</v>
      </c>
      <c r="AR14" s="1151">
        <v>0.06</v>
      </c>
    </row>
    <row r="15" spans="1:44" outlineLevel="1">
      <c r="B15" s="376" t="s">
        <v>658</v>
      </c>
      <c r="C15" s="390">
        <v>0.5</v>
      </c>
      <c r="D15" s="390">
        <v>0.5</v>
      </c>
      <c r="E15" s="390">
        <v>0.5</v>
      </c>
      <c r="F15" s="390">
        <v>0.5</v>
      </c>
      <c r="G15" s="390">
        <v>0</v>
      </c>
      <c r="H15" s="390">
        <v>1</v>
      </c>
      <c r="I15" s="390">
        <v>0</v>
      </c>
      <c r="J15" s="390">
        <v>1</v>
      </c>
      <c r="K15" s="379"/>
      <c r="L15" s="380">
        <v>2</v>
      </c>
      <c r="M15" s="367"/>
      <c r="N15" s="367"/>
      <c r="O15" s="71"/>
      <c r="P15" s="1195"/>
      <c r="Q15" s="1155"/>
      <c r="R15" s="395" t="s">
        <v>739</v>
      </c>
      <c r="S15" s="396" t="s">
        <v>738</v>
      </c>
      <c r="T15" s="1140"/>
      <c r="U15" s="1191"/>
      <c r="V15" s="1140"/>
      <c r="W15" s="1191"/>
      <c r="X15" s="1140"/>
      <c r="Y15" s="1191"/>
      <c r="Z15" s="1140"/>
      <c r="AA15" s="1191"/>
      <c r="AB15" s="1140"/>
      <c r="AC15" s="1193"/>
      <c r="AE15" s="1195"/>
      <c r="AF15" s="1155"/>
      <c r="AG15" s="395" t="s">
        <v>739</v>
      </c>
      <c r="AH15" s="396" t="s">
        <v>738</v>
      </c>
      <c r="AI15" s="1140"/>
      <c r="AJ15" s="1191"/>
      <c r="AK15" s="1140"/>
      <c r="AL15" s="1191"/>
      <c r="AM15" s="1140"/>
      <c r="AN15" s="1191"/>
      <c r="AO15" s="1140"/>
      <c r="AP15" s="1191"/>
      <c r="AQ15" s="1140"/>
      <c r="AR15" s="1193"/>
    </row>
    <row r="16" spans="1:44" outlineLevel="1">
      <c r="B16" s="383" t="s">
        <v>11</v>
      </c>
      <c r="C16" s="397">
        <v>25</v>
      </c>
      <c r="D16" s="397">
        <v>25</v>
      </c>
      <c r="E16" s="397">
        <v>25</v>
      </c>
      <c r="F16" s="397">
        <v>25</v>
      </c>
      <c r="G16" s="398">
        <v>15</v>
      </c>
      <c r="H16" s="398">
        <v>35</v>
      </c>
      <c r="I16" s="398">
        <v>15</v>
      </c>
      <c r="J16" s="398">
        <v>35</v>
      </c>
      <c r="K16" s="372"/>
      <c r="L16" s="373">
        <v>1.2</v>
      </c>
      <c r="M16" s="363"/>
      <c r="N16" s="363"/>
      <c r="P16" s="1195"/>
      <c r="Q16" s="1155"/>
      <c r="R16" s="395" t="s">
        <v>741</v>
      </c>
      <c r="S16" s="396" t="s">
        <v>738</v>
      </c>
      <c r="T16" s="1140"/>
      <c r="U16" s="1191"/>
      <c r="V16" s="1140"/>
      <c r="W16" s="1191"/>
      <c r="X16" s="1140"/>
      <c r="Y16" s="1191"/>
      <c r="Z16" s="1140"/>
      <c r="AA16" s="1191"/>
      <c r="AB16" s="1140"/>
      <c r="AC16" s="1193"/>
      <c r="AE16" s="1195"/>
      <c r="AF16" s="1155"/>
      <c r="AG16" s="395" t="s">
        <v>741</v>
      </c>
      <c r="AH16" s="629" t="s">
        <v>738</v>
      </c>
      <c r="AI16" s="1140"/>
      <c r="AJ16" s="1191"/>
      <c r="AK16" s="1140"/>
      <c r="AL16" s="1191"/>
      <c r="AM16" s="1140"/>
      <c r="AN16" s="1191"/>
      <c r="AO16" s="1140"/>
      <c r="AP16" s="1191"/>
      <c r="AQ16" s="1140"/>
      <c r="AR16" s="1193"/>
    </row>
    <row r="17" spans="1:44" ht="15" outlineLevel="1" thickBot="1">
      <c r="B17" s="376" t="s">
        <v>273</v>
      </c>
      <c r="C17" s="399">
        <v>0.1</v>
      </c>
      <c r="D17" s="399">
        <v>0.1</v>
      </c>
      <c r="E17" s="399">
        <v>0.1</v>
      </c>
      <c r="F17" s="399">
        <v>0.1</v>
      </c>
      <c r="G17" s="399">
        <v>0.05</v>
      </c>
      <c r="H17" s="399">
        <v>0.2</v>
      </c>
      <c r="I17" s="399">
        <v>0.05</v>
      </c>
      <c r="J17" s="399">
        <v>0.2</v>
      </c>
      <c r="K17" s="372"/>
      <c r="L17" s="400">
        <v>1.3</v>
      </c>
      <c r="M17" s="363"/>
      <c r="N17" s="363"/>
      <c r="P17" s="1195"/>
      <c r="Q17" s="1155"/>
      <c r="R17" s="395" t="s">
        <v>742</v>
      </c>
      <c r="S17" s="396" t="s">
        <v>738</v>
      </c>
      <c r="T17" s="1140"/>
      <c r="U17" s="1191"/>
      <c r="V17" s="1140"/>
      <c r="W17" s="1191"/>
      <c r="X17" s="1140"/>
      <c r="Y17" s="1191"/>
      <c r="Z17" s="1140"/>
      <c r="AA17" s="1191"/>
      <c r="AB17" s="1140"/>
      <c r="AC17" s="1193"/>
      <c r="AE17" s="1195"/>
      <c r="AF17" s="1155"/>
      <c r="AG17" s="395" t="s">
        <v>742</v>
      </c>
      <c r="AH17" s="396" t="s">
        <v>738</v>
      </c>
      <c r="AI17" s="1140"/>
      <c r="AJ17" s="1191"/>
      <c r="AK17" s="1140"/>
      <c r="AL17" s="1191"/>
      <c r="AM17" s="1140"/>
      <c r="AN17" s="1191"/>
      <c r="AO17" s="1140"/>
      <c r="AP17" s="1191"/>
      <c r="AQ17" s="1140"/>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41"/>
      <c r="U18" s="1192"/>
      <c r="V18" s="1141"/>
      <c r="W18" s="1192"/>
      <c r="X18" s="1141"/>
      <c r="Y18" s="1192"/>
      <c r="Z18" s="1141"/>
      <c r="AA18" s="1192"/>
      <c r="AB18" s="1141"/>
      <c r="AC18" s="1194"/>
      <c r="AE18" s="1195"/>
      <c r="AF18" s="1156"/>
      <c r="AG18" s="409" t="s">
        <v>863</v>
      </c>
      <c r="AH18" s="410" t="s">
        <v>738</v>
      </c>
      <c r="AI18" s="1141"/>
      <c r="AJ18" s="1192"/>
      <c r="AK18" s="1141"/>
      <c r="AL18" s="1192"/>
      <c r="AM18" s="1141"/>
      <c r="AN18" s="1192"/>
      <c r="AO18" s="1141"/>
      <c r="AP18" s="1192"/>
      <c r="AQ18" s="1141"/>
      <c r="AR18" s="1194"/>
    </row>
    <row r="19" spans="1:44" ht="29.4" outlineLevel="1" thickBot="1">
      <c r="B19" s="376" t="s">
        <v>663</v>
      </c>
      <c r="C19" s="390">
        <v>15</v>
      </c>
      <c r="D19" s="390">
        <v>15</v>
      </c>
      <c r="E19" s="390">
        <v>15</v>
      </c>
      <c r="F19" s="390">
        <v>15</v>
      </c>
      <c r="G19" s="391"/>
      <c r="H19" s="391"/>
      <c r="I19" s="391"/>
      <c r="J19" s="391"/>
      <c r="K19" s="379"/>
      <c r="L19" s="380">
        <v>4</v>
      </c>
      <c r="M19" s="363"/>
      <c r="N19" s="363"/>
      <c r="P19" s="1196"/>
      <c r="Q19" s="411" t="s">
        <v>745</v>
      </c>
      <c r="R19" s="412" t="s">
        <v>746</v>
      </c>
      <c r="S19" s="630"/>
      <c r="T19" s="416">
        <v>0</v>
      </c>
      <c r="U19" s="415">
        <f>T19</f>
        <v>0</v>
      </c>
      <c r="V19" s="416">
        <v>0</v>
      </c>
      <c r="W19" s="415">
        <f>V19</f>
        <v>0</v>
      </c>
      <c r="X19" s="416">
        <v>0</v>
      </c>
      <c r="Y19" s="415">
        <f>X19</f>
        <v>0</v>
      </c>
      <c r="Z19" s="416">
        <v>0</v>
      </c>
      <c r="AA19" s="415">
        <f>Z19</f>
        <v>0</v>
      </c>
      <c r="AB19" s="416">
        <v>0</v>
      </c>
      <c r="AC19" s="417">
        <f>AB19</f>
        <v>0</v>
      </c>
      <c r="AE19" s="1196"/>
      <c r="AF19" s="411" t="s">
        <v>745</v>
      </c>
      <c r="AG19" s="631" t="s">
        <v>746</v>
      </c>
      <c r="AH19" s="632"/>
      <c r="AI19" s="416">
        <v>0</v>
      </c>
      <c r="AJ19" s="415">
        <f>AI19</f>
        <v>0</v>
      </c>
      <c r="AK19" s="416">
        <v>0</v>
      </c>
      <c r="AL19" s="415">
        <f>AK19</f>
        <v>0</v>
      </c>
      <c r="AM19" s="416">
        <v>0</v>
      </c>
      <c r="AN19" s="415">
        <f>AM19</f>
        <v>0</v>
      </c>
      <c r="AO19" s="416">
        <v>0</v>
      </c>
      <c r="AP19" s="415">
        <f>AO19</f>
        <v>0</v>
      </c>
      <c r="AQ19" s="416">
        <v>0</v>
      </c>
      <c r="AR19" s="417">
        <f>AQ19</f>
        <v>0</v>
      </c>
    </row>
    <row r="20" spans="1:44" outlineLevel="1">
      <c r="B20" s="376" t="s">
        <v>664</v>
      </c>
      <c r="C20" s="390">
        <v>0.5</v>
      </c>
      <c r="D20" s="390">
        <v>0.5</v>
      </c>
      <c r="E20" s="390">
        <v>0.5</v>
      </c>
      <c r="F20" s="390">
        <v>0.5</v>
      </c>
      <c r="G20" s="418"/>
      <c r="H20" s="418"/>
      <c r="I20" s="418"/>
      <c r="J20" s="418"/>
      <c r="K20" s="419"/>
      <c r="L20" s="380">
        <v>3</v>
      </c>
      <c r="M20" s="363"/>
      <c r="N20" s="363"/>
    </row>
    <row r="21" spans="1:44" outlineLevel="1">
      <c r="B21" s="376" t="s">
        <v>666</v>
      </c>
      <c r="C21" s="390">
        <v>1</v>
      </c>
      <c r="D21" s="390">
        <v>1</v>
      </c>
      <c r="E21" s="390">
        <v>1</v>
      </c>
      <c r="F21" s="390">
        <v>1</v>
      </c>
      <c r="G21" s="418"/>
      <c r="H21" s="418"/>
      <c r="I21" s="418"/>
      <c r="J21" s="418"/>
      <c r="K21" s="419"/>
      <c r="L21" s="380">
        <v>3</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51">
        <v>0.35</v>
      </c>
      <c r="D29" s="647">
        <v>0.33</v>
      </c>
      <c r="E29" s="647">
        <v>0.32</v>
      </c>
      <c r="F29" s="648">
        <v>0.31</v>
      </c>
      <c r="G29" s="425"/>
      <c r="H29" s="425"/>
      <c r="I29" s="425"/>
      <c r="J29" s="425"/>
      <c r="K29" s="426"/>
      <c r="L29" s="440">
        <v>1.5</v>
      </c>
      <c r="M29" s="420"/>
      <c r="N29" s="420"/>
    </row>
    <row r="30" spans="1:44" outlineLevel="1">
      <c r="B30" s="441" t="s">
        <v>839</v>
      </c>
      <c r="C30" s="442">
        <v>60</v>
      </c>
      <c r="D30" s="442">
        <v>60</v>
      </c>
      <c r="E30" s="442">
        <v>60</v>
      </c>
      <c r="F30" s="442">
        <v>60</v>
      </c>
      <c r="G30" s="425"/>
      <c r="H30" s="425"/>
      <c r="I30" s="425"/>
      <c r="J30" s="425"/>
      <c r="K30" s="444"/>
      <c r="L30" s="373">
        <v>1.5</v>
      </c>
      <c r="M30" s="71"/>
      <c r="N30" s="420"/>
    </row>
    <row r="31" spans="1:44" outlineLevel="1">
      <c r="B31" s="441" t="s">
        <v>840</v>
      </c>
      <c r="C31" s="443">
        <v>40</v>
      </c>
      <c r="D31" s="443">
        <v>40</v>
      </c>
      <c r="E31" s="443">
        <v>40</v>
      </c>
      <c r="F31" s="443">
        <v>40</v>
      </c>
      <c r="G31" s="425"/>
      <c r="H31" s="425"/>
      <c r="I31" s="425"/>
      <c r="J31" s="425"/>
      <c r="K31" s="444"/>
      <c r="L31" s="373">
        <v>1.5</v>
      </c>
      <c r="M31" s="420"/>
      <c r="N31" s="420"/>
    </row>
    <row r="32" spans="1:44" outlineLevel="1">
      <c r="B32" s="383" t="s">
        <v>841</v>
      </c>
      <c r="C32" s="445">
        <v>2000</v>
      </c>
      <c r="D32" s="446">
        <v>2000</v>
      </c>
      <c r="E32" s="446">
        <v>200</v>
      </c>
      <c r="F32" s="447">
        <v>2000</v>
      </c>
      <c r="G32" s="425"/>
      <c r="H32" s="425"/>
      <c r="I32" s="425"/>
      <c r="J32" s="425"/>
      <c r="K32" s="448"/>
      <c r="L32" s="373">
        <v>2</v>
      </c>
      <c r="M32" s="420"/>
      <c r="N32" s="420"/>
    </row>
    <row r="33" spans="2:30" ht="37.049999999999997" customHeight="1" outlineLevel="1" thickBot="1">
      <c r="B33" s="383" t="s">
        <v>679</v>
      </c>
      <c r="C33" s="449">
        <f>C34+C35</f>
        <v>2.5300000000000002</v>
      </c>
      <c r="D33" s="449">
        <f t="shared" ref="D33:F33" si="1">D34+D35</f>
        <v>2.4500000000000002</v>
      </c>
      <c r="E33" s="449">
        <f t="shared" si="1"/>
        <v>2.46</v>
      </c>
      <c r="F33" s="449">
        <f t="shared" si="1"/>
        <v>2.3600000000000003</v>
      </c>
      <c r="G33" s="425"/>
      <c r="H33" s="425"/>
      <c r="I33" s="425"/>
      <c r="J33" s="425"/>
      <c r="K33" s="448"/>
      <c r="L33" s="373">
        <v>2</v>
      </c>
      <c r="M33" s="450"/>
      <c r="N33" s="361"/>
      <c r="P33" s="1142">
        <f>C33</f>
        <v>2.5300000000000002</v>
      </c>
      <c r="Q33" s="1143"/>
      <c r="R33" s="1143"/>
      <c r="S33" s="1143"/>
      <c r="T33" s="1143"/>
      <c r="U33" s="1144"/>
    </row>
    <row r="34" spans="2:30" ht="15.75" customHeight="1" outlineLevel="1" thickBot="1">
      <c r="B34" s="451" t="s">
        <v>758</v>
      </c>
      <c r="C34" s="452">
        <f>C13/100*73</f>
        <v>0.73</v>
      </c>
      <c r="D34" s="452">
        <f>D13/100*75</f>
        <v>0.75</v>
      </c>
      <c r="E34" s="452">
        <f>E13/100*76</f>
        <v>0.76</v>
      </c>
      <c r="F34" s="452">
        <f>F13/100*76</f>
        <v>0.76</v>
      </c>
      <c r="G34" s="453"/>
      <c r="H34" s="453"/>
      <c r="I34" s="453"/>
      <c r="J34" s="453"/>
      <c r="K34" s="379" t="s">
        <v>16</v>
      </c>
      <c r="L34" s="380">
        <v>2</v>
      </c>
      <c r="M34" s="450"/>
      <c r="N34" s="361"/>
      <c r="P34" s="1134">
        <f>C34</f>
        <v>0.73</v>
      </c>
      <c r="Q34" s="1135"/>
      <c r="R34" s="1135"/>
      <c r="S34" s="1135"/>
      <c r="T34" s="1135"/>
      <c r="U34" s="1136"/>
    </row>
    <row r="35" spans="2:30" outlineLevel="1">
      <c r="B35" s="451" t="s">
        <v>759</v>
      </c>
      <c r="C35" s="454">
        <v>1.8</v>
      </c>
      <c r="D35" s="454">
        <v>1.7</v>
      </c>
      <c r="E35" s="454">
        <v>1.7</v>
      </c>
      <c r="F35" s="454">
        <v>1.6</v>
      </c>
      <c r="G35" s="453"/>
      <c r="H35" s="453"/>
      <c r="I35" s="453"/>
      <c r="J35" s="453"/>
      <c r="K35" s="455"/>
      <c r="L35" s="380">
        <v>2</v>
      </c>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20</v>
      </c>
      <c r="L39" s="464"/>
      <c r="M39" s="363"/>
      <c r="N39" s="363"/>
      <c r="O39" s="465">
        <f>C12</f>
        <v>1210</v>
      </c>
      <c r="P39" s="466">
        <f>C8</f>
        <v>2020</v>
      </c>
      <c r="Q39" s="58">
        <f>P39</f>
        <v>2020</v>
      </c>
      <c r="R39" s="466">
        <f>O39/100</f>
        <v>12.1</v>
      </c>
      <c r="S39" s="58"/>
      <c r="T39" s="466">
        <f>C16</f>
        <v>25</v>
      </c>
      <c r="U39" s="467">
        <f>C46</f>
        <v>2607.5</v>
      </c>
      <c r="V39" s="467">
        <f>C48</f>
        <v>14.9</v>
      </c>
      <c r="W39" s="467">
        <f>C49</f>
        <v>5.2356944444444444</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t="s">
        <v>20</v>
      </c>
      <c r="L40" s="464"/>
      <c r="M40" s="363"/>
      <c r="N40" s="363"/>
      <c r="O40" s="465">
        <f>D12</f>
        <v>1270</v>
      </c>
      <c r="P40" s="466">
        <f>D8</f>
        <v>2030</v>
      </c>
      <c r="Q40" s="58"/>
      <c r="R40" s="466">
        <f>O40/100</f>
        <v>12.7</v>
      </c>
      <c r="S40" s="58"/>
      <c r="T40" s="466">
        <f>D16</f>
        <v>25</v>
      </c>
      <c r="U40" s="467">
        <f>D46</f>
        <v>2458.5000000000005</v>
      </c>
      <c r="V40" s="467">
        <f>D48</f>
        <v>14.9</v>
      </c>
      <c r="W40" s="467">
        <f>D49</f>
        <v>5.0701388888888888</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1330</v>
      </c>
      <c r="P41" s="466">
        <f>E8</f>
        <v>2040</v>
      </c>
      <c r="Q41" s="58"/>
      <c r="R41" s="466">
        <f>O41/100</f>
        <v>13.3</v>
      </c>
      <c r="S41" s="58"/>
      <c r="T41" s="466">
        <f>E16</f>
        <v>25</v>
      </c>
      <c r="U41" s="467">
        <f>E46</f>
        <v>2384</v>
      </c>
      <c r="V41" s="467">
        <f>E48</f>
        <v>1.49</v>
      </c>
      <c r="W41" s="467">
        <f>E49</f>
        <v>5.0908333333333333</v>
      </c>
      <c r="X41" s="58"/>
      <c r="Y41" s="58"/>
      <c r="Z41" s="466">
        <f>E23</f>
        <v>0</v>
      </c>
      <c r="AA41" s="468">
        <f>E25</f>
        <v>0</v>
      </c>
      <c r="AB41" s="468">
        <f>E26</f>
        <v>0</v>
      </c>
      <c r="AC41" s="468">
        <f>E27</f>
        <v>0</v>
      </c>
      <c r="AD41" s="468">
        <f>E24</f>
        <v>0</v>
      </c>
    </row>
    <row r="42" spans="2:30" ht="14.55" customHeight="1" outlineLevel="1">
      <c r="B42" s="376" t="s">
        <v>765</v>
      </c>
      <c r="C42" s="1240" t="s">
        <v>669</v>
      </c>
      <c r="D42" s="1241"/>
      <c r="E42" s="1241"/>
      <c r="F42" s="1242"/>
      <c r="G42" s="474"/>
      <c r="H42" s="474"/>
      <c r="I42" s="474"/>
      <c r="J42" s="474"/>
      <c r="K42" s="474"/>
      <c r="L42" s="380"/>
      <c r="M42" s="363"/>
      <c r="N42" s="363"/>
      <c r="O42" s="465">
        <f>F12</f>
        <v>1380</v>
      </c>
      <c r="P42" s="466">
        <f>F8</f>
        <v>2050</v>
      </c>
      <c r="Q42" s="58"/>
      <c r="R42" s="466">
        <f>O42/100</f>
        <v>13.8</v>
      </c>
      <c r="S42" s="58"/>
      <c r="T42" s="466">
        <f>F16</f>
        <v>25</v>
      </c>
      <c r="U42" s="467">
        <f>F46</f>
        <v>2309.5</v>
      </c>
      <c r="V42" s="467">
        <f>F48</f>
        <v>14.9</v>
      </c>
      <c r="W42" s="467">
        <f>F49</f>
        <v>4.8838888888888903</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2607.5</v>
      </c>
      <c r="D46" s="483">
        <f t="shared" ref="D46:F46" si="2">D29*$F$4*1000</f>
        <v>2458.5000000000005</v>
      </c>
      <c r="E46" s="483">
        <f t="shared" si="2"/>
        <v>2384</v>
      </c>
      <c r="F46" s="483">
        <f t="shared" si="2"/>
        <v>2309.5</v>
      </c>
      <c r="G46" s="483"/>
      <c r="H46" s="484"/>
      <c r="I46" s="420" t="s">
        <v>332</v>
      </c>
      <c r="J46" s="420"/>
      <c r="K46" s="484"/>
      <c r="L46" s="484"/>
      <c r="N46" s="420"/>
    </row>
    <row r="47" spans="2:30" outlineLevel="1">
      <c r="B47" s="485" t="s">
        <v>770</v>
      </c>
      <c r="C47" s="486">
        <f>C46*$I47</f>
        <v>1303750</v>
      </c>
      <c r="D47" s="486">
        <f>D46*$I47</f>
        <v>1229250.0000000002</v>
      </c>
      <c r="E47" s="486">
        <f>E46*$I47</f>
        <v>1192000</v>
      </c>
      <c r="F47" s="486">
        <f>F46*$I47</f>
        <v>1154750</v>
      </c>
      <c r="G47" s="486"/>
      <c r="H47" s="484"/>
      <c r="I47" s="71">
        <v>500</v>
      </c>
      <c r="J47" s="420" t="s">
        <v>330</v>
      </c>
      <c r="K47" s="484"/>
      <c r="L47" s="484"/>
      <c r="N47" s="420"/>
    </row>
    <row r="48" spans="2:30" ht="43.2" outlineLevel="1">
      <c r="B48" s="461" t="s">
        <v>845</v>
      </c>
      <c r="C48" s="359">
        <f>C32*$F$4/1000</f>
        <v>14.9</v>
      </c>
      <c r="D48" s="359">
        <f t="shared" ref="D48:F48" si="3">D32*$F$4/1000</f>
        <v>14.9</v>
      </c>
      <c r="E48" s="359">
        <f t="shared" si="3"/>
        <v>1.49</v>
      </c>
      <c r="F48" s="359">
        <f t="shared" si="3"/>
        <v>14.9</v>
      </c>
      <c r="G48" s="359"/>
      <c r="I48" s="420" t="s">
        <v>333</v>
      </c>
      <c r="J48" s="420"/>
      <c r="N48" s="420"/>
    </row>
    <row r="49" spans="2:14" ht="43.2" outlineLevel="1">
      <c r="B49" s="461" t="s">
        <v>846</v>
      </c>
      <c r="C49" s="487">
        <f>C33*$F$4/3.6</f>
        <v>5.2356944444444444</v>
      </c>
      <c r="D49" s="487">
        <f t="shared" ref="D49:F49" si="4">D33*$F$4/3.6</f>
        <v>5.0701388888888888</v>
      </c>
      <c r="E49" s="487">
        <f t="shared" si="4"/>
        <v>5.0908333333333333</v>
      </c>
      <c r="F49" s="487">
        <f t="shared" si="4"/>
        <v>4.8838888888888903</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57" t="s">
        <v>773</v>
      </c>
      <c r="C55" s="628"/>
      <c r="D55" s="490"/>
      <c r="E55" s="358"/>
      <c r="F55" s="358"/>
      <c r="G55" s="358"/>
      <c r="H55" s="358"/>
      <c r="I55" s="358"/>
      <c r="J55" s="358"/>
      <c r="K55" s="358"/>
      <c r="L55" s="358"/>
    </row>
    <row r="56" spans="2:14" outlineLevel="1">
      <c r="B56" s="628">
        <v>1</v>
      </c>
      <c r="C56" s="658" t="s">
        <v>876</v>
      </c>
      <c r="D56" s="490"/>
      <c r="F56" s="358"/>
      <c r="G56" s="358"/>
      <c r="H56" s="358"/>
      <c r="I56" s="358"/>
      <c r="J56" s="358"/>
      <c r="K56" s="358"/>
      <c r="L56" s="358"/>
    </row>
    <row r="57" spans="2:14" outlineLevel="1">
      <c r="B57" s="659">
        <v>2</v>
      </c>
      <c r="C57" s="658" t="s">
        <v>877</v>
      </c>
      <c r="D57" s="490"/>
      <c r="F57" s="358"/>
      <c r="G57" s="358"/>
      <c r="H57" s="358"/>
      <c r="I57" s="358"/>
      <c r="J57" s="358"/>
      <c r="K57" s="358"/>
      <c r="L57" s="358"/>
    </row>
    <row r="58" spans="2:14" outlineLevel="1">
      <c r="B58" s="660">
        <v>3</v>
      </c>
      <c r="C58" s="660" t="s">
        <v>878</v>
      </c>
      <c r="D58" s="490"/>
      <c r="F58" s="358"/>
      <c r="G58" s="358"/>
      <c r="H58" s="358"/>
      <c r="I58" s="358"/>
      <c r="J58" s="358"/>
      <c r="K58" s="358"/>
      <c r="L58" s="358"/>
    </row>
    <row r="59" spans="2:14" outlineLevel="1">
      <c r="B59" s="660">
        <v>4</v>
      </c>
      <c r="C59" s="660" t="s">
        <v>879</v>
      </c>
      <c r="D59" s="490"/>
      <c r="F59" s="358"/>
      <c r="G59" s="358"/>
      <c r="H59" s="358"/>
      <c r="I59" s="358"/>
      <c r="J59" s="358"/>
      <c r="K59" s="358"/>
      <c r="L59" s="358"/>
    </row>
    <row r="60" spans="2:14" outlineLevel="1">
      <c r="B60" s="660">
        <v>5</v>
      </c>
      <c r="C60" s="628" t="s">
        <v>880</v>
      </c>
      <c r="D60" s="490"/>
      <c r="F60" s="358"/>
      <c r="G60" s="358"/>
      <c r="H60" s="358"/>
      <c r="I60" s="358"/>
      <c r="J60" s="358"/>
      <c r="K60" s="358"/>
      <c r="L60" s="358"/>
    </row>
    <row r="61" spans="2:14" outlineLevel="1">
      <c r="B61" s="628" t="s">
        <v>783</v>
      </c>
      <c r="C61" s="628"/>
      <c r="D61" s="490"/>
      <c r="F61" s="358"/>
      <c r="G61" s="358"/>
      <c r="H61" s="358"/>
      <c r="I61" s="358"/>
      <c r="J61" s="358"/>
      <c r="K61" s="358"/>
      <c r="L61" s="358"/>
    </row>
    <row r="62" spans="2:14" outlineLevel="1">
      <c r="B62" s="661" t="s">
        <v>6</v>
      </c>
      <c r="C62" s="625" t="s">
        <v>881</v>
      </c>
      <c r="D62" s="490"/>
      <c r="F62" s="358"/>
      <c r="G62" s="358"/>
      <c r="H62" s="358"/>
      <c r="I62" s="358"/>
      <c r="J62" s="358"/>
      <c r="K62" s="358"/>
      <c r="L62" s="358"/>
    </row>
    <row r="63" spans="2:14" outlineLevel="1">
      <c r="B63" s="662" t="s">
        <v>59</v>
      </c>
      <c r="C63" s="625" t="s">
        <v>882</v>
      </c>
      <c r="D63" s="490"/>
      <c r="F63" s="358"/>
      <c r="G63" s="358"/>
      <c r="H63" s="358"/>
      <c r="I63" s="358"/>
      <c r="J63" s="358"/>
      <c r="K63" s="358"/>
      <c r="L63" s="358"/>
    </row>
    <row r="64" spans="2:14" outlineLevel="1">
      <c r="B64" s="662" t="s">
        <v>16</v>
      </c>
      <c r="C64" s="628" t="s">
        <v>788</v>
      </c>
      <c r="D64" s="490"/>
      <c r="F64" s="358"/>
      <c r="G64" s="358"/>
      <c r="H64" s="358"/>
      <c r="I64" s="358"/>
      <c r="J64" s="358"/>
      <c r="K64" s="358"/>
      <c r="L64" s="358"/>
    </row>
    <row r="65" spans="1:44" outlineLevel="1">
      <c r="B65" s="663" t="s">
        <v>20</v>
      </c>
      <c r="C65" s="628" t="s">
        <v>883</v>
      </c>
      <c r="D65" s="490"/>
      <c r="F65" s="358"/>
      <c r="G65" s="358"/>
      <c r="H65" s="358"/>
      <c r="I65" s="358"/>
      <c r="J65" s="358"/>
      <c r="K65" s="358"/>
      <c r="L65" s="358"/>
    </row>
    <row r="66" spans="1:44" outlineLevel="1">
      <c r="B66" s="637"/>
      <c r="C66" s="358"/>
      <c r="D66" s="490"/>
      <c r="F66" s="358"/>
      <c r="G66" s="358"/>
      <c r="H66" s="358"/>
      <c r="I66" s="358"/>
      <c r="J66" s="358"/>
      <c r="K66" s="358"/>
      <c r="L66" s="358"/>
    </row>
    <row r="67" spans="1:44" outlineLevel="1">
      <c r="B67" s="637"/>
      <c r="C67" s="490"/>
      <c r="D67" s="490"/>
      <c r="F67" s="358"/>
      <c r="G67" s="358"/>
      <c r="H67" s="358"/>
      <c r="I67" s="358"/>
      <c r="J67" s="358"/>
      <c r="K67" s="358"/>
      <c r="L67" s="358"/>
    </row>
    <row r="68" spans="1:44" outlineLevel="1">
      <c r="B68" s="637"/>
      <c r="C68" s="490"/>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5"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5"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5"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5"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5"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5" outlineLevel="1" thickBot="1">
      <c r="B99" s="429"/>
      <c r="C99" s="430"/>
      <c r="D99" s="430"/>
      <c r="E99" s="430"/>
      <c r="F99" s="430"/>
      <c r="G99" s="425"/>
      <c r="H99" s="425"/>
      <c r="I99" s="425"/>
      <c r="J99" s="425"/>
      <c r="K99" s="423"/>
      <c r="L99" s="427"/>
      <c r="M99" s="428"/>
      <c r="N99" s="428"/>
    </row>
    <row r="100" spans="1:30" ht="15"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5"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5"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5"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5"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75FB9-0252-4A71-8065-78144AA0A5A9}">
  <sheetPr>
    <tabColor theme="3"/>
  </sheetPr>
  <dimension ref="A2:AR345"/>
  <sheetViews>
    <sheetView topLeftCell="M10" zoomScale="85" zoomScaleNormal="85" workbookViewId="0">
      <selection activeCell="AE29" sqref="AE29"/>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Hotdisc</v>
      </c>
    </row>
    <row r="4" spans="1:44" ht="25.05" customHeight="1">
      <c r="E4" s="224" t="s">
        <v>358</v>
      </c>
      <c r="F4" s="359">
        <v>7.45</v>
      </c>
      <c r="G4" s="359" t="s">
        <v>328</v>
      </c>
    </row>
    <row r="5" spans="1:44" ht="15" customHeight="1">
      <c r="A5" s="360" t="s">
        <v>970</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920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50</v>
      </c>
      <c r="D10" s="372">
        <v>50</v>
      </c>
      <c r="E10" s="372">
        <v>50</v>
      </c>
      <c r="F10" s="372">
        <v>50</v>
      </c>
      <c r="G10" s="372">
        <v>10</v>
      </c>
      <c r="H10" s="372">
        <v>100</v>
      </c>
      <c r="I10" s="372">
        <v>10</v>
      </c>
      <c r="J10" s="372">
        <v>100</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90</v>
      </c>
      <c r="D11" s="377">
        <v>91</v>
      </c>
      <c r="E11" s="378">
        <v>92</v>
      </c>
      <c r="F11" s="377">
        <v>93</v>
      </c>
      <c r="G11" s="377">
        <v>90</v>
      </c>
      <c r="H11" s="639">
        <v>98</v>
      </c>
      <c r="I11" s="377">
        <v>90</v>
      </c>
      <c r="J11" s="639">
        <v>98</v>
      </c>
      <c r="K11" s="379"/>
      <c r="L11" s="380">
        <v>1</v>
      </c>
      <c r="M11" s="370"/>
      <c r="N11" s="370"/>
      <c r="P11" s="1199" t="str">
        <f>C7</f>
        <v>Hotdisc</v>
      </c>
      <c r="Q11" s="1154" t="s">
        <v>730</v>
      </c>
      <c r="R11" s="381" t="s">
        <v>731</v>
      </c>
      <c r="S11" s="382" t="s">
        <v>738</v>
      </c>
      <c r="T11" s="1137">
        <v>0</v>
      </c>
      <c r="U11" s="1151">
        <v>0</v>
      </c>
      <c r="V11" s="1157">
        <v>0</v>
      </c>
      <c r="W11" s="1151">
        <v>0</v>
      </c>
      <c r="X11" s="1157">
        <v>0.15</v>
      </c>
      <c r="Y11" s="1151">
        <v>0</v>
      </c>
      <c r="Z11" s="1157">
        <v>0</v>
      </c>
      <c r="AA11" s="1151">
        <v>0</v>
      </c>
      <c r="AB11" s="1157">
        <v>0</v>
      </c>
      <c r="AC11" s="1151">
        <v>0</v>
      </c>
      <c r="AE11" s="1148" t="str">
        <f>P11</f>
        <v>Hotdisc</v>
      </c>
      <c r="AF11" s="1154" t="s">
        <v>730</v>
      </c>
      <c r="AG11" s="381" t="s">
        <v>731</v>
      </c>
      <c r="AH11" s="382" t="s">
        <v>738</v>
      </c>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577">
        <v>90</v>
      </c>
      <c r="D12" s="577">
        <v>91</v>
      </c>
      <c r="E12" s="577">
        <v>92</v>
      </c>
      <c r="F12" s="577">
        <v>93</v>
      </c>
      <c r="G12" s="641">
        <v>90</v>
      </c>
      <c r="H12" s="641">
        <v>98</v>
      </c>
      <c r="I12" s="641">
        <v>90</v>
      </c>
      <c r="J12" s="641">
        <v>98</v>
      </c>
      <c r="K12" s="386"/>
      <c r="L12" s="387">
        <v>1</v>
      </c>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1</v>
      </c>
      <c r="D13" s="391">
        <v>1</v>
      </c>
      <c r="E13" s="391">
        <v>1</v>
      </c>
      <c r="F13" s="392">
        <v>1</v>
      </c>
      <c r="G13" s="391">
        <v>1</v>
      </c>
      <c r="H13" s="391">
        <v>1</v>
      </c>
      <c r="I13" s="391">
        <v>1</v>
      </c>
      <c r="J13" s="391">
        <v>1</v>
      </c>
      <c r="K13" s="379"/>
      <c r="L13" s="380">
        <v>1</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v>
      </c>
      <c r="D14" s="390">
        <v>0</v>
      </c>
      <c r="E14" s="390">
        <v>0</v>
      </c>
      <c r="F14" s="390">
        <v>0</v>
      </c>
      <c r="G14" s="390">
        <v>0</v>
      </c>
      <c r="H14" s="390">
        <v>1</v>
      </c>
      <c r="I14" s="390">
        <v>0</v>
      </c>
      <c r="J14" s="390">
        <v>1</v>
      </c>
      <c r="K14" s="379"/>
      <c r="L14" s="380">
        <v>1</v>
      </c>
      <c r="M14" s="370"/>
      <c r="N14" s="370"/>
      <c r="O14" s="71"/>
      <c r="P14" s="1195"/>
      <c r="Q14" s="1154" t="s">
        <v>736</v>
      </c>
      <c r="R14" s="395" t="s">
        <v>737</v>
      </c>
      <c r="S14" s="396"/>
      <c r="T14" s="1137">
        <v>0</v>
      </c>
      <c r="U14" s="1137">
        <v>0</v>
      </c>
      <c r="V14" s="1137">
        <v>0</v>
      </c>
      <c r="W14" s="1137">
        <v>0</v>
      </c>
      <c r="X14" s="1137">
        <v>0</v>
      </c>
      <c r="Y14" s="1137">
        <v>0</v>
      </c>
      <c r="Z14" s="1137">
        <v>0</v>
      </c>
      <c r="AA14" s="1137">
        <v>0</v>
      </c>
      <c r="AB14" s="1137">
        <v>0</v>
      </c>
      <c r="AC14" s="1151">
        <v>0</v>
      </c>
      <c r="AE14" s="1195"/>
      <c r="AF14" s="1154" t="s">
        <v>736</v>
      </c>
      <c r="AG14" s="395" t="s">
        <v>737</v>
      </c>
      <c r="AH14" s="396"/>
      <c r="AI14" s="1137">
        <v>0</v>
      </c>
      <c r="AJ14" s="1137">
        <f>U14/4</f>
        <v>0</v>
      </c>
      <c r="AK14" s="1137">
        <v>0</v>
      </c>
      <c r="AL14" s="1137">
        <f>W14/4</f>
        <v>0</v>
      </c>
      <c r="AM14" s="1137">
        <v>0</v>
      </c>
      <c r="AN14" s="1137">
        <f>Y14/4</f>
        <v>0</v>
      </c>
      <c r="AO14" s="1137">
        <v>0</v>
      </c>
      <c r="AP14" s="1137">
        <f>AA14/4</f>
        <v>0</v>
      </c>
      <c r="AQ14" s="1137">
        <v>0</v>
      </c>
      <c r="AR14" s="1151">
        <f>AC14/4</f>
        <v>0</v>
      </c>
    </row>
    <row r="15" spans="1:44" outlineLevel="1">
      <c r="B15" s="376" t="s">
        <v>658</v>
      </c>
      <c r="C15" s="390">
        <v>4</v>
      </c>
      <c r="D15" s="390">
        <v>4</v>
      </c>
      <c r="E15" s="390">
        <v>4</v>
      </c>
      <c r="F15" s="390">
        <v>4</v>
      </c>
      <c r="G15" s="390">
        <v>4</v>
      </c>
      <c r="H15" s="390">
        <v>4</v>
      </c>
      <c r="I15" s="390">
        <v>4</v>
      </c>
      <c r="J15" s="390">
        <v>4</v>
      </c>
      <c r="K15" s="379"/>
      <c r="L15" s="380">
        <v>1</v>
      </c>
      <c r="M15" s="367"/>
      <c r="N15" s="367"/>
      <c r="O15" s="71"/>
      <c r="P15" s="1195"/>
      <c r="Q15" s="1155"/>
      <c r="R15" s="395" t="s">
        <v>739</v>
      </c>
      <c r="S15" s="396"/>
      <c r="T15" s="1191"/>
      <c r="U15" s="1191"/>
      <c r="V15" s="1191"/>
      <c r="W15" s="1191"/>
      <c r="X15" s="1191"/>
      <c r="Y15" s="1191"/>
      <c r="Z15" s="1191"/>
      <c r="AA15" s="1191"/>
      <c r="AB15" s="1191"/>
      <c r="AC15" s="1193"/>
      <c r="AE15" s="1195"/>
      <c r="AF15" s="1155"/>
      <c r="AG15" s="395" t="s">
        <v>739</v>
      </c>
      <c r="AH15" s="396"/>
      <c r="AI15" s="1191"/>
      <c r="AJ15" s="1191"/>
      <c r="AK15" s="1191"/>
      <c r="AL15" s="1191"/>
      <c r="AM15" s="1191"/>
      <c r="AN15" s="1191"/>
      <c r="AO15" s="1191"/>
      <c r="AP15" s="1191"/>
      <c r="AQ15" s="1191"/>
      <c r="AR15" s="1193"/>
    </row>
    <row r="16" spans="1:44" outlineLevel="1">
      <c r="B16" s="383" t="s">
        <v>11</v>
      </c>
      <c r="C16" s="397">
        <v>20</v>
      </c>
      <c r="D16" s="397">
        <v>20</v>
      </c>
      <c r="E16" s="397">
        <v>20</v>
      </c>
      <c r="F16" s="397">
        <v>20</v>
      </c>
      <c r="G16" s="398">
        <v>20</v>
      </c>
      <c r="H16" s="398">
        <v>30</v>
      </c>
      <c r="I16" s="398">
        <v>20</v>
      </c>
      <c r="J16" s="398">
        <v>30</v>
      </c>
      <c r="K16" s="372"/>
      <c r="L16" s="373">
        <v>1</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5" outlineLevel="1" thickBot="1">
      <c r="B17" s="376" t="s">
        <v>273</v>
      </c>
      <c r="C17" s="399">
        <v>0.75</v>
      </c>
      <c r="D17" s="399">
        <v>0.75</v>
      </c>
      <c r="E17" s="399">
        <v>0.75</v>
      </c>
      <c r="F17" s="399">
        <v>0.75</v>
      </c>
      <c r="G17" s="399">
        <v>0.75</v>
      </c>
      <c r="H17" s="399">
        <v>1</v>
      </c>
      <c r="I17" s="399">
        <v>0.75</v>
      </c>
      <c r="J17" s="399">
        <v>1</v>
      </c>
      <c r="K17" s="372"/>
      <c r="L17" s="400">
        <v>1</v>
      </c>
      <c r="M17" s="363"/>
      <c r="N17" s="363"/>
      <c r="P17" s="1195"/>
      <c r="Q17" s="1155"/>
      <c r="R17" s="395" t="s">
        <v>742</v>
      </c>
      <c r="S17" s="396"/>
      <c r="T17" s="1191"/>
      <c r="U17" s="1191"/>
      <c r="V17" s="1191"/>
      <c r="W17" s="1191"/>
      <c r="X17" s="1191"/>
      <c r="Y17" s="1191"/>
      <c r="Z17" s="1191"/>
      <c r="AA17" s="1191"/>
      <c r="AB17" s="1191"/>
      <c r="AC17" s="1193"/>
      <c r="AE17" s="1195"/>
      <c r="AF17" s="1155"/>
      <c r="AG17" s="395" t="s">
        <v>742</v>
      </c>
      <c r="AH17" s="396"/>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c r="T18" s="1192"/>
      <c r="U18" s="1192"/>
      <c r="V18" s="1192"/>
      <c r="W18" s="1192"/>
      <c r="X18" s="1192"/>
      <c r="Y18" s="1192"/>
      <c r="Z18" s="1192"/>
      <c r="AA18" s="1192"/>
      <c r="AB18" s="1192"/>
      <c r="AC18" s="1194"/>
      <c r="AE18" s="1195"/>
      <c r="AF18" s="1156"/>
      <c r="AG18" s="409" t="s">
        <v>863</v>
      </c>
      <c r="AH18" s="410"/>
      <c r="AI18" s="1192"/>
      <c r="AJ18" s="1192"/>
      <c r="AK18" s="1192"/>
      <c r="AL18" s="1192"/>
      <c r="AM18" s="1192"/>
      <c r="AN18" s="1192"/>
      <c r="AO18" s="1192"/>
      <c r="AP18" s="1192"/>
      <c r="AQ18" s="1192"/>
      <c r="AR18" s="1194"/>
    </row>
    <row r="19" spans="1:44" ht="29.4" outlineLevel="1" thickBot="1">
      <c r="B19" s="376" t="s">
        <v>663</v>
      </c>
      <c r="C19" s="390">
        <v>10</v>
      </c>
      <c r="D19" s="390">
        <v>10</v>
      </c>
      <c r="E19" s="390">
        <v>10</v>
      </c>
      <c r="F19" s="390">
        <v>10</v>
      </c>
      <c r="G19" s="391"/>
      <c r="H19" s="391"/>
      <c r="I19" s="391"/>
      <c r="J19" s="391"/>
      <c r="K19" s="379"/>
      <c r="L19" s="380">
        <v>1</v>
      </c>
      <c r="M19" s="363"/>
      <c r="N19" s="363"/>
      <c r="P19" s="1196"/>
      <c r="Q19" s="411" t="s">
        <v>745</v>
      </c>
      <c r="R19" s="412" t="s">
        <v>746</v>
      </c>
      <c r="S19" s="630"/>
      <c r="T19" s="416">
        <v>0</v>
      </c>
      <c r="U19" s="415">
        <v>0</v>
      </c>
      <c r="V19" s="416">
        <v>0</v>
      </c>
      <c r="W19" s="415">
        <v>0</v>
      </c>
      <c r="X19" s="416">
        <v>0</v>
      </c>
      <c r="Y19" s="415">
        <v>0</v>
      </c>
      <c r="Z19" s="416">
        <v>0</v>
      </c>
      <c r="AA19" s="415">
        <v>0</v>
      </c>
      <c r="AB19" s="416">
        <v>0</v>
      </c>
      <c r="AC19" s="417">
        <v>0</v>
      </c>
      <c r="AE19" s="1196"/>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1</v>
      </c>
      <c r="M20" s="363"/>
      <c r="N20" s="363"/>
    </row>
    <row r="21" spans="1:44" outlineLevel="1">
      <c r="B21" s="376" t="s">
        <v>666</v>
      </c>
      <c r="C21" s="390">
        <v>54</v>
      </c>
      <c r="D21" s="390">
        <v>54</v>
      </c>
      <c r="E21" s="390">
        <v>54</v>
      </c>
      <c r="F21" s="390">
        <v>54</v>
      </c>
      <c r="G21" s="418"/>
      <c r="H21" s="418"/>
      <c r="I21" s="418"/>
      <c r="J21" s="418"/>
      <c r="K21" s="419" t="s">
        <v>59</v>
      </c>
      <c r="L21" s="380">
        <v>1</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v>8.3000000000000007</v>
      </c>
      <c r="D23" s="1232">
        <v>8.3000000000000007</v>
      </c>
      <c r="E23" s="1232">
        <v>8.3000000000000007</v>
      </c>
      <c r="F23" s="1233">
        <v>8.3000000000000007</v>
      </c>
      <c r="G23" s="422"/>
      <c r="H23" s="425"/>
      <c r="I23" s="425"/>
      <c r="J23" s="425"/>
      <c r="K23" s="426" t="s">
        <v>16</v>
      </c>
      <c r="L23" s="427">
        <v>2</v>
      </c>
      <c r="M23" s="428"/>
      <c r="N23" s="428"/>
    </row>
    <row r="24" spans="1:44" outlineLevel="1">
      <c r="B24" s="383" t="s">
        <v>749</v>
      </c>
      <c r="C24" s="1234">
        <v>0.28999999999999998</v>
      </c>
      <c r="D24" s="1235">
        <v>0.28999999999999998</v>
      </c>
      <c r="E24" s="1235">
        <v>0.28999999999999998</v>
      </c>
      <c r="F24" s="1236">
        <v>0.28999999999999998</v>
      </c>
      <c r="G24" s="425"/>
      <c r="H24" s="425"/>
      <c r="I24" s="425"/>
      <c r="J24" s="425"/>
      <c r="K24" s="423" t="s">
        <v>16</v>
      </c>
      <c r="L24" s="427">
        <v>2</v>
      </c>
      <c r="M24" s="428"/>
      <c r="N24" s="428"/>
    </row>
    <row r="25" spans="1:44" outlineLevel="1">
      <c r="B25" s="383" t="s">
        <v>844</v>
      </c>
      <c r="C25" s="1234">
        <v>56</v>
      </c>
      <c r="D25" s="1235">
        <v>45</v>
      </c>
      <c r="E25" s="1235">
        <v>28</v>
      </c>
      <c r="F25" s="1236">
        <v>11</v>
      </c>
      <c r="G25" s="425"/>
      <c r="H25" s="425"/>
      <c r="I25" s="425"/>
      <c r="J25" s="425"/>
      <c r="K25" s="423" t="s">
        <v>16</v>
      </c>
      <c r="L25" s="427">
        <v>3</v>
      </c>
      <c r="M25" s="428"/>
      <c r="N25" s="428"/>
    </row>
    <row r="26" spans="1:44" outlineLevel="1">
      <c r="B26" s="383" t="s">
        <v>366</v>
      </c>
      <c r="C26" s="1234">
        <v>0.1</v>
      </c>
      <c r="D26" s="1235">
        <v>0.1</v>
      </c>
      <c r="E26" s="1235">
        <v>0.1</v>
      </c>
      <c r="F26" s="1236">
        <v>0.1</v>
      </c>
      <c r="G26" s="425"/>
      <c r="H26" s="425"/>
      <c r="I26" s="425"/>
      <c r="J26" s="425"/>
      <c r="K26" s="423" t="s">
        <v>16</v>
      </c>
      <c r="L26" s="427">
        <v>3</v>
      </c>
      <c r="M26" s="428"/>
      <c r="N26" s="428"/>
    </row>
    <row r="27" spans="1:44" ht="15" outlineLevel="1" thickBot="1">
      <c r="B27" s="429" t="s">
        <v>367</v>
      </c>
      <c r="C27" s="1237">
        <v>1</v>
      </c>
      <c r="D27" s="1238">
        <v>1</v>
      </c>
      <c r="E27" s="1238">
        <v>1</v>
      </c>
      <c r="F27" s="1239">
        <v>1</v>
      </c>
      <c r="G27" s="425"/>
      <c r="H27" s="425"/>
      <c r="I27" s="425"/>
      <c r="J27" s="425"/>
      <c r="K27" s="423" t="s">
        <v>16</v>
      </c>
      <c r="L27" s="427">
        <v>3</v>
      </c>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51">
        <v>0.5</v>
      </c>
      <c r="D29" s="647">
        <v>0.46500000000000002</v>
      </c>
      <c r="E29" s="647">
        <v>0.48499999999999999</v>
      </c>
      <c r="F29" s="648">
        <v>0.45</v>
      </c>
      <c r="G29" s="425"/>
      <c r="H29" s="425"/>
      <c r="I29" s="425"/>
      <c r="J29" s="425"/>
      <c r="K29" s="426" t="s">
        <v>20</v>
      </c>
      <c r="L29" s="440"/>
      <c r="M29" s="420"/>
      <c r="N29" s="420"/>
    </row>
    <row r="30" spans="1:44" outlineLevel="1">
      <c r="B30" s="441" t="s">
        <v>839</v>
      </c>
      <c r="C30" s="442">
        <v>50</v>
      </c>
      <c r="D30" s="442">
        <v>50</v>
      </c>
      <c r="E30" s="442">
        <v>50</v>
      </c>
      <c r="F30" s="442">
        <v>50</v>
      </c>
      <c r="G30" s="425"/>
      <c r="H30" s="425"/>
      <c r="I30" s="425"/>
      <c r="J30" s="425"/>
      <c r="K30" s="444"/>
      <c r="L30" s="373"/>
      <c r="M30" s="71"/>
      <c r="N30" s="420"/>
    </row>
    <row r="31" spans="1:44" outlineLevel="1">
      <c r="B31" s="441" t="s">
        <v>840</v>
      </c>
      <c r="C31" s="442">
        <v>50</v>
      </c>
      <c r="D31" s="442">
        <v>50</v>
      </c>
      <c r="E31" s="442">
        <v>50</v>
      </c>
      <c r="F31" s="442">
        <v>50</v>
      </c>
      <c r="G31" s="425"/>
      <c r="H31" s="425"/>
      <c r="I31" s="425"/>
      <c r="J31" s="425"/>
      <c r="K31" s="444"/>
      <c r="L31" s="373"/>
      <c r="M31" s="420"/>
      <c r="N31" s="420"/>
    </row>
    <row r="32" spans="1:44" outlineLevel="1">
      <c r="B32" s="383" t="s">
        <v>841</v>
      </c>
      <c r="C32" s="445">
        <v>400</v>
      </c>
      <c r="D32" s="446">
        <v>400</v>
      </c>
      <c r="E32" s="446">
        <v>400</v>
      </c>
      <c r="F32" s="447">
        <v>400</v>
      </c>
      <c r="G32" s="425"/>
      <c r="H32" s="425"/>
      <c r="I32" s="425"/>
      <c r="J32" s="425"/>
      <c r="K32" s="448"/>
      <c r="L32" s="373"/>
      <c r="M32" s="420"/>
      <c r="N32" s="420"/>
    </row>
    <row r="33" spans="2:30" ht="37.049999999999997" customHeight="1" outlineLevel="1" thickBot="1">
      <c r="B33" s="383" t="s">
        <v>679</v>
      </c>
      <c r="C33" s="449">
        <f>C34+C35</f>
        <v>1.175</v>
      </c>
      <c r="D33" s="449">
        <f t="shared" ref="D33:F33" si="0">D34+D35</f>
        <v>1.1950000000000001</v>
      </c>
      <c r="E33" s="449">
        <f t="shared" si="0"/>
        <v>1.2050000000000001</v>
      </c>
      <c r="F33" s="449">
        <f t="shared" si="0"/>
        <v>1.2050000000000001</v>
      </c>
      <c r="G33" s="425"/>
      <c r="H33" s="425"/>
      <c r="I33" s="425"/>
      <c r="J33" s="425"/>
      <c r="K33" s="448"/>
      <c r="L33" s="373"/>
      <c r="M33" s="450"/>
      <c r="N33" s="361"/>
      <c r="P33" s="1142">
        <f>C33</f>
        <v>1.175</v>
      </c>
      <c r="Q33" s="1143"/>
      <c r="R33" s="1143"/>
      <c r="S33" s="1143"/>
      <c r="T33" s="1143"/>
      <c r="U33" s="1144"/>
    </row>
    <row r="34" spans="2:30" ht="15.75" customHeight="1" outlineLevel="1" thickBot="1">
      <c r="B34" s="451" t="s">
        <v>758</v>
      </c>
      <c r="C34" s="452">
        <f>C13/100*73</f>
        <v>0.73</v>
      </c>
      <c r="D34" s="452">
        <f>D13/100*75</f>
        <v>0.75</v>
      </c>
      <c r="E34" s="452">
        <f>E13/100*76</f>
        <v>0.76</v>
      </c>
      <c r="F34" s="452">
        <f>F13/100*76</f>
        <v>0.76</v>
      </c>
      <c r="G34" s="453"/>
      <c r="H34" s="453"/>
      <c r="I34" s="453"/>
      <c r="J34" s="453"/>
      <c r="K34" s="379"/>
      <c r="L34" s="380"/>
      <c r="M34" s="450"/>
      <c r="N34" s="361"/>
      <c r="P34" s="1134">
        <f>C34</f>
        <v>0.73</v>
      </c>
      <c r="Q34" s="1135"/>
      <c r="R34" s="1135"/>
      <c r="S34" s="1135"/>
      <c r="T34" s="1135"/>
      <c r="U34" s="1136"/>
    </row>
    <row r="35" spans="2:30" outlineLevel="1">
      <c r="B35" s="451" t="s">
        <v>759</v>
      </c>
      <c r="C35" s="655">
        <v>0.44500000000000001</v>
      </c>
      <c r="D35" s="655">
        <v>0.44500000000000001</v>
      </c>
      <c r="E35" s="655">
        <v>0.44500000000000001</v>
      </c>
      <c r="F35" s="655">
        <v>0.44500000000000001</v>
      </c>
      <c r="G35" s="453"/>
      <c r="H35" s="453"/>
      <c r="I35" s="453"/>
      <c r="J35" s="453"/>
      <c r="K35" s="455"/>
      <c r="L35" s="380"/>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v>0.18</v>
      </c>
      <c r="D39" s="643">
        <v>0.18</v>
      </c>
      <c r="E39" s="643">
        <v>0.18</v>
      </c>
      <c r="F39" s="643">
        <v>0.18</v>
      </c>
      <c r="G39" s="643"/>
      <c r="H39" s="643"/>
      <c r="I39" s="643"/>
      <c r="J39" s="643"/>
      <c r="K39" s="643" t="s">
        <v>76</v>
      </c>
      <c r="L39" s="464"/>
      <c r="M39" s="363"/>
      <c r="N39" s="363"/>
      <c r="O39" s="465">
        <f>C12</f>
        <v>90</v>
      </c>
      <c r="P39" s="466">
        <f>C8</f>
        <v>2020</v>
      </c>
      <c r="Q39" s="58">
        <f>P39</f>
        <v>2020</v>
      </c>
      <c r="R39" s="466">
        <f>O39/100</f>
        <v>0.9</v>
      </c>
      <c r="S39" s="58"/>
      <c r="T39" s="466">
        <f>C16</f>
        <v>20</v>
      </c>
      <c r="U39" s="467">
        <f>C46</f>
        <v>3725</v>
      </c>
      <c r="V39" s="467">
        <f>C48</f>
        <v>2.98</v>
      </c>
      <c r="W39" s="467">
        <f>C49</f>
        <v>2.4315972222222224</v>
      </c>
      <c r="X39" s="58"/>
      <c r="Y39" s="58"/>
      <c r="Z39" s="466">
        <f>C23</f>
        <v>8.3000000000000007</v>
      </c>
      <c r="AA39" s="468">
        <f>C25</f>
        <v>56</v>
      </c>
      <c r="AB39" s="468">
        <f>C26</f>
        <v>0.1</v>
      </c>
      <c r="AC39" s="468">
        <f>C27</f>
        <v>1</v>
      </c>
      <c r="AD39" s="468">
        <f>C24</f>
        <v>0.28999999999999998</v>
      </c>
    </row>
    <row r="40" spans="2:30" ht="14.55" customHeight="1" outlineLevel="1">
      <c r="B40" s="376" t="s">
        <v>763</v>
      </c>
      <c r="C40" s="469" t="s">
        <v>36</v>
      </c>
      <c r="D40" s="470" t="s">
        <v>36</v>
      </c>
      <c r="E40" s="470" t="s">
        <v>36</v>
      </c>
      <c r="F40" s="471" t="s">
        <v>36</v>
      </c>
      <c r="G40" s="471"/>
      <c r="H40" s="471"/>
      <c r="I40" s="471"/>
      <c r="J40" s="471"/>
      <c r="K40" s="472"/>
      <c r="L40" s="464"/>
      <c r="M40" s="363"/>
      <c r="N40" s="363"/>
      <c r="O40" s="465">
        <f>D12</f>
        <v>91</v>
      </c>
      <c r="P40" s="466">
        <f>D8</f>
        <v>2030</v>
      </c>
      <c r="Q40" s="58"/>
      <c r="R40" s="466">
        <f>O40/100</f>
        <v>0.91</v>
      </c>
      <c r="S40" s="58"/>
      <c r="T40" s="466">
        <f>D16</f>
        <v>20</v>
      </c>
      <c r="U40" s="467">
        <f>D46</f>
        <v>3464.2500000000005</v>
      </c>
      <c r="V40" s="467">
        <f>D48</f>
        <v>2.98</v>
      </c>
      <c r="W40" s="467">
        <f>D49</f>
        <v>2.4729861111111116</v>
      </c>
      <c r="X40" s="58"/>
      <c r="Y40" s="58"/>
      <c r="Z40" s="466">
        <f>D23</f>
        <v>8.3000000000000007</v>
      </c>
      <c r="AA40" s="468">
        <f>D25</f>
        <v>45</v>
      </c>
      <c r="AB40" s="468">
        <f>D26</f>
        <v>0.1</v>
      </c>
      <c r="AC40" s="468">
        <f>D27</f>
        <v>1</v>
      </c>
      <c r="AD40" s="468">
        <f>D24</f>
        <v>0.28999999999999998</v>
      </c>
    </row>
    <row r="41" spans="2:30" outlineLevel="1">
      <c r="B41" s="376" t="s">
        <v>764</v>
      </c>
      <c r="C41" s="469"/>
      <c r="D41" s="470"/>
      <c r="E41" s="470"/>
      <c r="F41" s="471"/>
      <c r="G41" s="453"/>
      <c r="H41" s="453"/>
      <c r="I41" s="453"/>
      <c r="J41" s="453"/>
      <c r="K41" s="453"/>
      <c r="L41" s="380"/>
      <c r="M41" s="363"/>
      <c r="N41" s="363"/>
      <c r="O41" s="465">
        <f>E12</f>
        <v>92</v>
      </c>
      <c r="P41" s="466">
        <f>E8</f>
        <v>2040</v>
      </c>
      <c r="Q41" s="58"/>
      <c r="R41" s="466">
        <f>O41/100</f>
        <v>0.92</v>
      </c>
      <c r="S41" s="58"/>
      <c r="T41" s="466">
        <f>E16</f>
        <v>20</v>
      </c>
      <c r="U41" s="467">
        <f>E46</f>
        <v>3613.25</v>
      </c>
      <c r="V41" s="467">
        <f>E48</f>
        <v>2.98</v>
      </c>
      <c r="W41" s="467">
        <f>E49</f>
        <v>2.4936805555555561</v>
      </c>
      <c r="X41" s="58"/>
      <c r="Y41" s="58"/>
      <c r="Z41" s="466">
        <f>E23</f>
        <v>8.3000000000000007</v>
      </c>
      <c r="AA41" s="468">
        <f>E25</f>
        <v>28</v>
      </c>
      <c r="AB41" s="468">
        <f>E26</f>
        <v>0.1</v>
      </c>
      <c r="AC41" s="468">
        <f>E27</f>
        <v>1</v>
      </c>
      <c r="AD41" s="468">
        <f>E24</f>
        <v>0.28999999999999998</v>
      </c>
    </row>
    <row r="42" spans="2:30" ht="14.55" customHeight="1" outlineLevel="1">
      <c r="B42" s="376" t="s">
        <v>765</v>
      </c>
      <c r="C42" s="1240">
        <v>90</v>
      </c>
      <c r="D42" s="1241">
        <v>90</v>
      </c>
      <c r="E42" s="1241">
        <v>90</v>
      </c>
      <c r="F42" s="1242">
        <v>90</v>
      </c>
      <c r="G42" s="474"/>
      <c r="H42" s="474"/>
      <c r="I42" s="474"/>
      <c r="J42" s="474"/>
      <c r="K42" s="474" t="s">
        <v>25</v>
      </c>
      <c r="L42" s="380" t="s">
        <v>921</v>
      </c>
      <c r="M42" s="363"/>
      <c r="N42" s="363"/>
      <c r="O42" s="465">
        <f>F12</f>
        <v>93</v>
      </c>
      <c r="P42" s="466">
        <f>F8</f>
        <v>2050</v>
      </c>
      <c r="Q42" s="58"/>
      <c r="R42" s="466">
        <f>O42/100</f>
        <v>0.93</v>
      </c>
      <c r="S42" s="58"/>
      <c r="T42" s="466">
        <f>F16</f>
        <v>20</v>
      </c>
      <c r="U42" s="467">
        <f>F46</f>
        <v>3352.5</v>
      </c>
      <c r="V42" s="467">
        <f>F48</f>
        <v>2.98</v>
      </c>
      <c r="W42" s="467">
        <f>F49</f>
        <v>2.4936805555555561</v>
      </c>
      <c r="X42" s="58"/>
      <c r="Y42" s="58"/>
      <c r="Z42" s="466">
        <f>F23</f>
        <v>8.3000000000000007</v>
      </c>
      <c r="AA42" s="468">
        <f>F25</f>
        <v>11</v>
      </c>
      <c r="AB42" s="468">
        <f>F26</f>
        <v>0.1</v>
      </c>
      <c r="AC42" s="468">
        <f>F27</f>
        <v>1</v>
      </c>
      <c r="AD42" s="468">
        <f>F24</f>
        <v>0.28999999999999998</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3725</v>
      </c>
      <c r="D46" s="483">
        <f t="shared" ref="D46:F46" si="1">D29*$F$4*1000</f>
        <v>3464.2500000000005</v>
      </c>
      <c r="E46" s="483">
        <f t="shared" si="1"/>
        <v>3613.25</v>
      </c>
      <c r="F46" s="483">
        <f t="shared" si="1"/>
        <v>3352.5</v>
      </c>
      <c r="G46" s="483"/>
      <c r="H46" s="484"/>
      <c r="I46" s="420" t="s">
        <v>332</v>
      </c>
      <c r="J46" s="420"/>
      <c r="K46" s="484"/>
      <c r="L46" s="484"/>
      <c r="N46" s="420"/>
    </row>
    <row r="47" spans="2:30" outlineLevel="1">
      <c r="B47" s="485" t="s">
        <v>770</v>
      </c>
      <c r="C47" s="486">
        <f>C46*$I47</f>
        <v>1862500</v>
      </c>
      <c r="D47" s="486">
        <f>D46*$I47</f>
        <v>1732125.0000000002</v>
      </c>
      <c r="E47" s="486">
        <f>E46*$I47</f>
        <v>1806625</v>
      </c>
      <c r="F47" s="486">
        <f>F46*$I47</f>
        <v>1676250</v>
      </c>
      <c r="G47" s="486"/>
      <c r="H47" s="484"/>
      <c r="I47" s="71">
        <v>500</v>
      </c>
      <c r="J47" s="420" t="s">
        <v>330</v>
      </c>
      <c r="K47" s="484"/>
      <c r="L47" s="484"/>
      <c r="N47" s="420"/>
    </row>
    <row r="48" spans="2:30" ht="43.2" outlineLevel="1">
      <c r="B48" s="461" t="s">
        <v>845</v>
      </c>
      <c r="C48" s="359">
        <f>C32*$F$4/1000</f>
        <v>2.98</v>
      </c>
      <c r="D48" s="359">
        <f t="shared" ref="D48:F48" si="2">D32*$F$4/1000</f>
        <v>2.98</v>
      </c>
      <c r="E48" s="359">
        <f t="shared" si="2"/>
        <v>2.98</v>
      </c>
      <c r="F48" s="359">
        <f t="shared" si="2"/>
        <v>2.98</v>
      </c>
      <c r="G48" s="359"/>
      <c r="I48" s="420" t="s">
        <v>333</v>
      </c>
      <c r="J48" s="420"/>
      <c r="N48" s="420"/>
    </row>
    <row r="49" spans="2:14" ht="43.2" outlineLevel="1">
      <c r="B49" s="461" t="s">
        <v>846</v>
      </c>
      <c r="C49" s="487">
        <f>C33*$F$4/3.6</f>
        <v>2.4315972222222224</v>
      </c>
      <c r="D49" s="487">
        <f t="shared" ref="D49:F49" si="3">D33*$F$4/3.6</f>
        <v>2.4729861111111116</v>
      </c>
      <c r="E49" s="487">
        <f t="shared" si="3"/>
        <v>2.4936805555555561</v>
      </c>
      <c r="F49" s="487">
        <f t="shared" si="3"/>
        <v>2.4936805555555561</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660" t="s">
        <v>940</v>
      </c>
      <c r="F56" s="358"/>
      <c r="G56" s="358"/>
      <c r="H56" s="358"/>
      <c r="I56" s="358"/>
      <c r="J56" s="358"/>
      <c r="K56" s="358"/>
      <c r="L56" s="358"/>
    </row>
    <row r="57" spans="2:14" outlineLevel="1">
      <c r="B57" s="358">
        <v>2</v>
      </c>
      <c r="C57" s="658" t="s">
        <v>781</v>
      </c>
      <c r="F57" s="358"/>
      <c r="G57" s="358"/>
      <c r="H57" s="358"/>
      <c r="I57" s="358"/>
      <c r="J57" s="358"/>
      <c r="K57" s="358"/>
      <c r="L57" s="358"/>
    </row>
    <row r="58" spans="2:14" outlineLevel="1">
      <c r="B58" s="358">
        <v>3</v>
      </c>
      <c r="C58" s="660" t="s">
        <v>850</v>
      </c>
      <c r="F58" s="358"/>
      <c r="G58" s="358"/>
      <c r="H58" s="358"/>
      <c r="I58" s="358"/>
      <c r="J58" s="358"/>
      <c r="K58" s="358"/>
      <c r="L58" s="358"/>
    </row>
    <row r="59" spans="2:14" outlineLevel="1">
      <c r="B59" s="358">
        <v>4</v>
      </c>
      <c r="C59" s="658" t="s">
        <v>941</v>
      </c>
      <c r="F59" s="358"/>
      <c r="G59" s="358"/>
      <c r="H59" s="358"/>
      <c r="I59" s="358"/>
      <c r="J59" s="358"/>
      <c r="K59" s="358"/>
      <c r="L59" s="358"/>
    </row>
    <row r="60" spans="2:14" outlineLevel="1">
      <c r="B60" s="358">
        <v>5</v>
      </c>
      <c r="C60" s="658" t="s">
        <v>942</v>
      </c>
      <c r="D60" s="489"/>
      <c r="F60" s="358"/>
      <c r="G60" s="358"/>
      <c r="H60" s="358"/>
      <c r="I60" s="358"/>
      <c r="J60" s="358"/>
      <c r="K60" s="358"/>
      <c r="L60" s="358"/>
    </row>
    <row r="61" spans="2:14" outlineLevel="1">
      <c r="B61" s="488" t="s">
        <v>783</v>
      </c>
      <c r="C61" s="625"/>
      <c r="D61" s="489"/>
      <c r="F61" s="358"/>
      <c r="G61" s="358"/>
      <c r="H61" s="358"/>
      <c r="I61" s="358"/>
      <c r="J61" s="358"/>
      <c r="K61" s="358"/>
      <c r="L61" s="358"/>
    </row>
    <row r="62" spans="2:14" outlineLevel="1">
      <c r="B62" s="496" t="s">
        <v>6</v>
      </c>
      <c r="C62" s="660" t="s">
        <v>943</v>
      </c>
      <c r="D62" s="489"/>
      <c r="F62" s="358"/>
      <c r="G62" s="358"/>
      <c r="H62" s="358"/>
      <c r="I62" s="358"/>
      <c r="J62" s="358"/>
      <c r="K62" s="358"/>
      <c r="L62" s="358"/>
    </row>
    <row r="63" spans="2:14" outlineLevel="1">
      <c r="B63" s="496" t="s">
        <v>59</v>
      </c>
      <c r="C63" s="660" t="s">
        <v>944</v>
      </c>
      <c r="D63" s="489"/>
      <c r="F63" s="358"/>
      <c r="G63" s="358"/>
      <c r="H63" s="358"/>
      <c r="I63" s="358"/>
      <c r="J63" s="358"/>
      <c r="K63" s="358"/>
      <c r="L63" s="358"/>
    </row>
    <row r="64" spans="2:14" outlineLevel="1">
      <c r="B64" s="496" t="s">
        <v>16</v>
      </c>
      <c r="C64" s="658" t="s">
        <v>945</v>
      </c>
      <c r="D64" s="489"/>
      <c r="F64" s="358"/>
      <c r="G64" s="358"/>
      <c r="H64" s="358"/>
      <c r="I64" s="358"/>
      <c r="J64" s="358"/>
      <c r="K64" s="358"/>
      <c r="L64" s="358"/>
    </row>
    <row r="65" spans="1:44" outlineLevel="1">
      <c r="B65" s="496" t="s">
        <v>20</v>
      </c>
      <c r="C65" s="658" t="s">
        <v>946</v>
      </c>
      <c r="D65" s="489"/>
      <c r="F65" s="358"/>
      <c r="G65" s="358"/>
      <c r="H65" s="358"/>
      <c r="I65" s="358"/>
      <c r="J65" s="358"/>
      <c r="K65" s="358"/>
      <c r="L65" s="358"/>
    </row>
    <row r="66" spans="1:44" outlineLevel="1">
      <c r="B66" s="496" t="s">
        <v>76</v>
      </c>
      <c r="C66" s="628" t="s">
        <v>947</v>
      </c>
      <c r="D66" s="490"/>
      <c r="F66" s="358"/>
      <c r="G66" s="358"/>
      <c r="H66" s="358"/>
      <c r="I66" s="358"/>
      <c r="J66" s="358"/>
      <c r="K66" s="358"/>
      <c r="L66" s="358"/>
    </row>
    <row r="67" spans="1:44" outlineLevel="1">
      <c r="B67" s="496" t="s">
        <v>25</v>
      </c>
      <c r="C67" s="660" t="s">
        <v>948</v>
      </c>
      <c r="D67" s="490"/>
      <c r="F67" s="358"/>
      <c r="G67" s="358"/>
      <c r="H67" s="358"/>
      <c r="I67" s="358"/>
      <c r="J67" s="358"/>
      <c r="K67" s="358"/>
      <c r="L67" s="358"/>
    </row>
    <row r="68" spans="1:44" outlineLevel="1">
      <c r="B68" s="496" t="s">
        <v>33</v>
      </c>
      <c r="C68" s="625" t="s">
        <v>949</v>
      </c>
      <c r="D68" s="358"/>
      <c r="F68" s="358"/>
      <c r="G68" s="358"/>
      <c r="H68" s="358"/>
      <c r="I68" s="358"/>
      <c r="J68" s="358"/>
      <c r="K68" s="358"/>
      <c r="L68" s="358"/>
    </row>
    <row r="69" spans="1:44" outlineLevel="1">
      <c r="B69" s="637"/>
      <c r="C69" s="489"/>
      <c r="D69" s="358"/>
      <c r="F69" s="358"/>
      <c r="G69" s="358"/>
      <c r="H69" s="358"/>
      <c r="I69" s="358"/>
      <c r="J69" s="358"/>
      <c r="K69" s="358"/>
      <c r="L69" s="358"/>
    </row>
    <row r="70" spans="1:44" outlineLevel="1">
      <c r="B70" s="637"/>
      <c r="C70" s="490"/>
      <c r="D70" s="358"/>
      <c r="G70" s="358"/>
      <c r="H70" s="358"/>
      <c r="I70" s="358"/>
      <c r="J70" s="358"/>
      <c r="K70" s="358"/>
      <c r="L70" s="358"/>
    </row>
    <row r="71" spans="1:44" outlineLevel="1">
      <c r="B71" s="637"/>
      <c r="C71" s="490"/>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5"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5"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5"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5"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5"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5" outlineLevel="1" thickBot="1">
      <c r="B99" s="429"/>
      <c r="C99" s="430"/>
      <c r="D99" s="430"/>
      <c r="E99" s="430"/>
      <c r="F99" s="430"/>
      <c r="G99" s="425"/>
      <c r="H99" s="425"/>
      <c r="I99" s="425"/>
      <c r="J99" s="425"/>
      <c r="K99" s="423"/>
      <c r="L99" s="427"/>
      <c r="M99" s="428"/>
      <c r="N99" s="428"/>
    </row>
    <row r="100" spans="1:30" ht="15"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5"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5"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5"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5"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09F6-21BA-4777-B9D5-C80108D8D2BF}">
  <sheetPr>
    <tabColor theme="3"/>
  </sheetPr>
  <dimension ref="A2:AR345"/>
  <sheetViews>
    <sheetView topLeftCell="D1" zoomScale="85" zoomScaleNormal="85" workbookViewId="0">
      <selection activeCell="AA11" sqref="AA11:AA13"/>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Dielectric heating</v>
      </c>
    </row>
    <row r="4" spans="1:44" ht="25.05" customHeight="1">
      <c r="E4" s="224" t="s">
        <v>358</v>
      </c>
      <c r="F4" s="359">
        <v>7.45</v>
      </c>
      <c r="G4" s="359" t="s">
        <v>328</v>
      </c>
    </row>
    <row r="5" spans="1:44" ht="15" customHeight="1">
      <c r="A5" s="360" t="s">
        <v>969</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922</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0.1</v>
      </c>
      <c r="D10" s="372">
        <v>0.1</v>
      </c>
      <c r="E10" s="372">
        <v>0.1</v>
      </c>
      <c r="F10" s="372">
        <v>0.1</v>
      </c>
      <c r="G10" s="372">
        <v>0.01</v>
      </c>
      <c r="H10" s="372">
        <v>0.2</v>
      </c>
      <c r="I10" s="372">
        <v>0.01</v>
      </c>
      <c r="J10" s="372">
        <v>0.2</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95</v>
      </c>
      <c r="D11" s="377">
        <v>95</v>
      </c>
      <c r="E11" s="378">
        <v>95</v>
      </c>
      <c r="F11" s="377">
        <v>95</v>
      </c>
      <c r="G11" s="377">
        <v>85</v>
      </c>
      <c r="H11" s="377">
        <v>100</v>
      </c>
      <c r="I11" s="377">
        <v>85</v>
      </c>
      <c r="J11" s="377">
        <v>100</v>
      </c>
      <c r="K11" s="379" t="s">
        <v>59</v>
      </c>
      <c r="L11" s="380">
        <v>2</v>
      </c>
      <c r="M11" s="370"/>
      <c r="N11" s="370"/>
      <c r="P11" s="1199" t="str">
        <f>C7</f>
        <v>Dielectric heating</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Dielectric heating</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384">
        <v>95</v>
      </c>
      <c r="D12" s="384">
        <v>95</v>
      </c>
      <c r="E12" s="384">
        <v>95</v>
      </c>
      <c r="F12" s="384">
        <v>95</v>
      </c>
      <c r="G12" s="385">
        <v>85</v>
      </c>
      <c r="H12" s="385">
        <v>100</v>
      </c>
      <c r="I12" s="385">
        <v>85</v>
      </c>
      <c r="J12" s="385">
        <v>100</v>
      </c>
      <c r="K12" s="386"/>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0.1</v>
      </c>
      <c r="D13" s="391">
        <v>0.1</v>
      </c>
      <c r="E13" s="391">
        <v>0.1</v>
      </c>
      <c r="F13" s="392">
        <v>0.1</v>
      </c>
      <c r="G13" s="391">
        <v>0</v>
      </c>
      <c r="H13" s="391">
        <v>0.2</v>
      </c>
      <c r="I13" s="391">
        <v>0</v>
      </c>
      <c r="J13" s="391">
        <v>0.2</v>
      </c>
      <c r="K13" s="379"/>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0.1</v>
      </c>
      <c r="D14" s="390">
        <v>0.1</v>
      </c>
      <c r="E14" s="390">
        <v>0.1</v>
      </c>
      <c r="F14" s="390">
        <v>0.1</v>
      </c>
      <c r="G14" s="390">
        <v>0</v>
      </c>
      <c r="H14" s="390">
        <v>0.2</v>
      </c>
      <c r="I14" s="390">
        <v>0</v>
      </c>
      <c r="J14" s="390">
        <v>0.2</v>
      </c>
      <c r="K14" s="379"/>
      <c r="L14" s="380">
        <v>3</v>
      </c>
      <c r="M14" s="370"/>
      <c r="N14" s="370"/>
      <c r="O14" s="71"/>
      <c r="P14" s="1195"/>
      <c r="Q14" s="1154" t="s">
        <v>736</v>
      </c>
      <c r="R14" s="395" t="s">
        <v>737</v>
      </c>
      <c r="S14" s="396" t="s">
        <v>738</v>
      </c>
      <c r="T14" s="1137">
        <v>0.05</v>
      </c>
      <c r="U14" s="1137">
        <v>0.04</v>
      </c>
      <c r="V14" s="1137">
        <v>0.05</v>
      </c>
      <c r="W14" s="1137">
        <v>0.05</v>
      </c>
      <c r="X14" s="1137">
        <v>0.05</v>
      </c>
      <c r="Y14" s="1137">
        <v>0.02</v>
      </c>
      <c r="Z14" s="1137">
        <v>0.03</v>
      </c>
      <c r="AA14" s="1137">
        <v>0.01</v>
      </c>
      <c r="AB14" s="1137">
        <v>0</v>
      </c>
      <c r="AC14" s="1151">
        <v>0</v>
      </c>
      <c r="AE14" s="1195"/>
      <c r="AF14" s="1154" t="s">
        <v>736</v>
      </c>
      <c r="AG14" s="395" t="s">
        <v>737</v>
      </c>
      <c r="AH14" s="396" t="s">
        <v>738</v>
      </c>
      <c r="AI14" s="1137">
        <v>0.05</v>
      </c>
      <c r="AJ14" s="1137">
        <v>0.04</v>
      </c>
      <c r="AK14" s="1137">
        <v>0.05</v>
      </c>
      <c r="AL14" s="1137">
        <v>0.05</v>
      </c>
      <c r="AM14" s="1137">
        <v>0.05</v>
      </c>
      <c r="AN14" s="1137">
        <v>0.02</v>
      </c>
      <c r="AO14" s="1137">
        <v>0.03</v>
      </c>
      <c r="AP14" s="1137">
        <v>0.01</v>
      </c>
      <c r="AQ14" s="1137">
        <v>0</v>
      </c>
      <c r="AR14" s="1151">
        <v>0</v>
      </c>
    </row>
    <row r="15" spans="1:44" outlineLevel="1">
      <c r="B15" s="376" t="s">
        <v>658</v>
      </c>
      <c r="C15" s="390">
        <v>0</v>
      </c>
      <c r="D15" s="390">
        <v>0</v>
      </c>
      <c r="E15" s="390">
        <v>0</v>
      </c>
      <c r="F15" s="390">
        <v>0</v>
      </c>
      <c r="G15" s="390">
        <v>0</v>
      </c>
      <c r="H15" s="390">
        <v>0.1</v>
      </c>
      <c r="I15" s="390">
        <v>0</v>
      </c>
      <c r="J15" s="390">
        <v>0.1</v>
      </c>
      <c r="K15" s="379"/>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30</v>
      </c>
      <c r="D16" s="397">
        <v>30</v>
      </c>
      <c r="E16" s="397">
        <v>30</v>
      </c>
      <c r="F16" s="397">
        <v>30</v>
      </c>
      <c r="G16" s="398">
        <v>20</v>
      </c>
      <c r="H16" s="398">
        <v>35</v>
      </c>
      <c r="I16" s="398">
        <v>20</v>
      </c>
      <c r="J16" s="398">
        <v>35</v>
      </c>
      <c r="K16" s="372"/>
      <c r="L16" s="373">
        <v>4</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5" outlineLevel="1" thickBot="1">
      <c r="B17" s="376" t="s">
        <v>273</v>
      </c>
      <c r="C17" s="399">
        <v>0.1</v>
      </c>
      <c r="D17" s="399">
        <v>0.1</v>
      </c>
      <c r="E17" s="399">
        <v>0.1</v>
      </c>
      <c r="F17" s="399">
        <v>0.1</v>
      </c>
      <c r="G17" s="399">
        <v>0.05</v>
      </c>
      <c r="H17" s="399">
        <v>0.1</v>
      </c>
      <c r="I17" s="399">
        <v>0.05</v>
      </c>
      <c r="J17" s="399">
        <v>0.1</v>
      </c>
      <c r="K17" s="372"/>
      <c r="L17" s="400">
        <v>3</v>
      </c>
      <c r="M17" s="363"/>
      <c r="N17" s="363"/>
      <c r="P17" s="1195"/>
      <c r="Q17" s="1155"/>
      <c r="R17" s="395" t="s">
        <v>742</v>
      </c>
      <c r="S17" s="396"/>
      <c r="T17" s="1191"/>
      <c r="U17" s="1191"/>
      <c r="V17" s="1191"/>
      <c r="W17" s="1191"/>
      <c r="X17" s="1191"/>
      <c r="Y17" s="1191"/>
      <c r="Z17" s="1191"/>
      <c r="AA17" s="1191"/>
      <c r="AB17" s="1191"/>
      <c r="AC17" s="1193"/>
      <c r="AE17" s="1195"/>
      <c r="AF17" s="1155"/>
      <c r="AG17" s="395" t="s">
        <v>742</v>
      </c>
      <c r="AH17" s="396"/>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c r="T18" s="1192"/>
      <c r="U18" s="1192"/>
      <c r="V18" s="1192"/>
      <c r="W18" s="1192"/>
      <c r="X18" s="1192"/>
      <c r="Y18" s="1192"/>
      <c r="Z18" s="1192"/>
      <c r="AA18" s="1192"/>
      <c r="AB18" s="1192"/>
      <c r="AC18" s="1194"/>
      <c r="AE18" s="1195"/>
      <c r="AF18" s="1156"/>
      <c r="AG18" s="409" t="s">
        <v>863</v>
      </c>
      <c r="AH18" s="410"/>
      <c r="AI18" s="1192"/>
      <c r="AJ18" s="1192"/>
      <c r="AK18" s="1192"/>
      <c r="AL18" s="1192"/>
      <c r="AM18" s="1192"/>
      <c r="AN18" s="1192"/>
      <c r="AO18" s="1192"/>
      <c r="AP18" s="1192"/>
      <c r="AQ18" s="1192"/>
      <c r="AR18" s="1194"/>
    </row>
    <row r="19" spans="1:44" ht="29.4" outlineLevel="1" thickBot="1">
      <c r="B19" s="376" t="s">
        <v>663</v>
      </c>
      <c r="C19" s="390">
        <v>10</v>
      </c>
      <c r="D19" s="390">
        <v>10</v>
      </c>
      <c r="E19" s="390">
        <v>10</v>
      </c>
      <c r="F19" s="390">
        <v>10</v>
      </c>
      <c r="G19" s="391"/>
      <c r="H19" s="391"/>
      <c r="I19" s="391"/>
      <c r="J19" s="391"/>
      <c r="K19" s="379" t="s">
        <v>16</v>
      </c>
      <c r="L19" s="380">
        <v>5</v>
      </c>
      <c r="M19" s="363"/>
      <c r="N19" s="363"/>
      <c r="P19" s="1196"/>
      <c r="Q19" s="411" t="s">
        <v>745</v>
      </c>
      <c r="R19" s="412" t="s">
        <v>746</v>
      </c>
      <c r="S19" s="630"/>
      <c r="T19" s="416">
        <v>0</v>
      </c>
      <c r="U19" s="415">
        <v>0</v>
      </c>
      <c r="V19" s="416">
        <v>0</v>
      </c>
      <c r="W19" s="415">
        <v>0</v>
      </c>
      <c r="X19" s="416">
        <v>0</v>
      </c>
      <c r="Y19" s="415">
        <v>0</v>
      </c>
      <c r="Z19" s="416">
        <v>0</v>
      </c>
      <c r="AA19" s="415">
        <v>0</v>
      </c>
      <c r="AB19" s="416">
        <v>0</v>
      </c>
      <c r="AC19" s="417">
        <v>0</v>
      </c>
      <c r="AE19" s="1196"/>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5</v>
      </c>
      <c r="M20" s="363"/>
      <c r="N20" s="363"/>
    </row>
    <row r="21" spans="1:44" outlineLevel="1">
      <c r="B21" s="376" t="s">
        <v>666</v>
      </c>
      <c r="C21" s="390">
        <v>0</v>
      </c>
      <c r="D21" s="390">
        <v>0</v>
      </c>
      <c r="E21" s="390">
        <v>0</v>
      </c>
      <c r="F21" s="390">
        <v>0</v>
      </c>
      <c r="G21" s="418"/>
      <c r="H21" s="418"/>
      <c r="I21" s="418"/>
      <c r="J21" s="418"/>
      <c r="K21" s="419"/>
      <c r="L21" s="380">
        <v>5</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51">
        <v>2.7</v>
      </c>
      <c r="D29" s="647">
        <v>2.6190000000000002</v>
      </c>
      <c r="E29" s="647">
        <v>2.5379999999999998</v>
      </c>
      <c r="F29" s="648">
        <v>2.4300000000000002</v>
      </c>
      <c r="G29" s="425"/>
      <c r="H29" s="425"/>
      <c r="I29" s="425"/>
      <c r="J29" s="425"/>
      <c r="K29" s="426" t="s">
        <v>20</v>
      </c>
      <c r="L29" s="440" t="s">
        <v>923</v>
      </c>
      <c r="M29" s="420"/>
      <c r="N29" s="420"/>
    </row>
    <row r="30" spans="1:44" outlineLevel="1">
      <c r="B30" s="441" t="s">
        <v>839</v>
      </c>
      <c r="C30" s="442">
        <v>85</v>
      </c>
      <c r="D30" s="442">
        <v>85</v>
      </c>
      <c r="E30" s="442">
        <v>85</v>
      </c>
      <c r="F30" s="442">
        <v>85</v>
      </c>
      <c r="G30" s="425"/>
      <c r="H30" s="425"/>
      <c r="I30" s="425"/>
      <c r="J30" s="425"/>
      <c r="K30" s="444"/>
      <c r="L30" s="373">
        <v>9</v>
      </c>
      <c r="M30" s="71"/>
      <c r="N30" s="420"/>
    </row>
    <row r="31" spans="1:44" outlineLevel="1">
      <c r="B31" s="441" t="s">
        <v>840</v>
      </c>
      <c r="C31" s="442">
        <v>15</v>
      </c>
      <c r="D31" s="442">
        <v>15</v>
      </c>
      <c r="E31" s="442">
        <v>15</v>
      </c>
      <c r="F31" s="442">
        <v>15</v>
      </c>
      <c r="G31" s="425"/>
      <c r="H31" s="425"/>
      <c r="I31" s="425"/>
      <c r="J31" s="425"/>
      <c r="K31" s="444"/>
      <c r="L31" s="373">
        <v>9</v>
      </c>
      <c r="M31" s="420"/>
      <c r="N31" s="420"/>
    </row>
    <row r="32" spans="1:44" outlineLevel="1">
      <c r="B32" s="383" t="s">
        <v>841</v>
      </c>
      <c r="C32" s="602">
        <v>0</v>
      </c>
      <c r="D32" s="603">
        <v>0</v>
      </c>
      <c r="E32" s="603">
        <v>0</v>
      </c>
      <c r="F32" s="604">
        <v>0</v>
      </c>
      <c r="G32" s="425"/>
      <c r="H32" s="425"/>
      <c r="I32" s="425"/>
      <c r="J32" s="425"/>
      <c r="K32" s="448"/>
      <c r="L32" s="373"/>
      <c r="M32" s="420"/>
      <c r="N32" s="420"/>
    </row>
    <row r="33" spans="2:30" ht="37.049999999999997" customHeight="1" outlineLevel="1" thickBot="1">
      <c r="B33" s="383" t="s">
        <v>679</v>
      </c>
      <c r="C33" s="449">
        <f>C34+C35</f>
        <v>45.823</v>
      </c>
      <c r="D33" s="449">
        <f t="shared" ref="D33:F33" si="0">D34+D35</f>
        <v>45.825000000000003</v>
      </c>
      <c r="E33" s="449">
        <f t="shared" si="0"/>
        <v>45.826000000000001</v>
      </c>
      <c r="F33" s="449">
        <f t="shared" si="0"/>
        <v>45.826000000000001</v>
      </c>
      <c r="G33" s="425"/>
      <c r="H33" s="425"/>
      <c r="I33" s="425"/>
      <c r="J33" s="425"/>
      <c r="K33" s="448"/>
      <c r="L33" s="373"/>
      <c r="M33" s="450"/>
      <c r="N33" s="361"/>
      <c r="P33" s="1142">
        <f>C33</f>
        <v>45.823</v>
      </c>
      <c r="Q33" s="1143"/>
      <c r="R33" s="1143"/>
      <c r="S33" s="1143"/>
      <c r="T33" s="1143"/>
      <c r="U33" s="1144"/>
    </row>
    <row r="34" spans="2:30" ht="15.75" customHeight="1" outlineLevel="1" thickBot="1">
      <c r="B34" s="451" t="s">
        <v>758</v>
      </c>
      <c r="C34" s="452">
        <f>C13/100*73</f>
        <v>7.2999999999999995E-2</v>
      </c>
      <c r="D34" s="452">
        <f>D13/100*75</f>
        <v>7.4999999999999997E-2</v>
      </c>
      <c r="E34" s="452">
        <f>E13/100*76</f>
        <v>7.5999999999999998E-2</v>
      </c>
      <c r="F34" s="452">
        <f>F13/100*76</f>
        <v>7.5999999999999998E-2</v>
      </c>
      <c r="G34" s="453"/>
      <c r="H34" s="453"/>
      <c r="I34" s="453"/>
      <c r="J34" s="453"/>
      <c r="K34" s="379" t="s">
        <v>76</v>
      </c>
      <c r="L34" s="380"/>
      <c r="M34" s="450"/>
      <c r="N34" s="361"/>
      <c r="P34" s="1134">
        <f>C34</f>
        <v>7.2999999999999995E-2</v>
      </c>
      <c r="Q34" s="1135"/>
      <c r="R34" s="1135"/>
      <c r="S34" s="1135"/>
      <c r="T34" s="1135"/>
      <c r="U34" s="1136"/>
    </row>
    <row r="35" spans="2:30" outlineLevel="1">
      <c r="B35" s="451" t="s">
        <v>759</v>
      </c>
      <c r="C35" s="454">
        <v>45.75</v>
      </c>
      <c r="D35" s="454">
        <v>45.75</v>
      </c>
      <c r="E35" s="454">
        <v>45.75</v>
      </c>
      <c r="F35" s="454">
        <v>45.75</v>
      </c>
      <c r="G35" s="453"/>
      <c r="H35" s="453"/>
      <c r="I35" s="453"/>
      <c r="J35" s="453"/>
      <c r="K35" s="455" t="s">
        <v>25</v>
      </c>
      <c r="L35" s="380">
        <v>6</v>
      </c>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t="s">
        <v>36</v>
      </c>
      <c r="D39" s="633" t="s">
        <v>36</v>
      </c>
      <c r="E39" s="633" t="s">
        <v>36</v>
      </c>
      <c r="F39" s="633" t="s">
        <v>36</v>
      </c>
      <c r="G39" s="463"/>
      <c r="H39" s="463"/>
      <c r="I39" s="463"/>
      <c r="J39" s="463"/>
      <c r="K39" s="463" t="s">
        <v>33</v>
      </c>
      <c r="L39" s="464"/>
      <c r="M39" s="363"/>
      <c r="N39" s="363"/>
      <c r="O39" s="465">
        <f>C12</f>
        <v>95</v>
      </c>
      <c r="P39" s="466">
        <f>C8</f>
        <v>2020</v>
      </c>
      <c r="Q39" s="58">
        <f>P39</f>
        <v>2020</v>
      </c>
      <c r="R39" s="466">
        <f>O39/100</f>
        <v>0.95</v>
      </c>
      <c r="S39" s="58"/>
      <c r="T39" s="466">
        <f>C16</f>
        <v>30</v>
      </c>
      <c r="U39" s="467">
        <f>C46</f>
        <v>20115.000000000004</v>
      </c>
      <c r="V39" s="467">
        <f>C48</f>
        <v>0</v>
      </c>
      <c r="W39" s="467">
        <f>C49</f>
        <v>94.828152777777774</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t="s">
        <v>924</v>
      </c>
      <c r="L40" s="464"/>
      <c r="M40" s="363"/>
      <c r="N40" s="363"/>
      <c r="O40" s="465">
        <f>D12</f>
        <v>95</v>
      </c>
      <c r="P40" s="466">
        <f>D8</f>
        <v>2030</v>
      </c>
      <c r="Q40" s="58"/>
      <c r="R40" s="466">
        <f>O40/100</f>
        <v>0.95</v>
      </c>
      <c r="S40" s="58"/>
      <c r="T40" s="466">
        <f>D16</f>
        <v>30</v>
      </c>
      <c r="U40" s="467">
        <f>D46</f>
        <v>19511.550000000003</v>
      </c>
      <c r="V40" s="467">
        <f>D48</f>
        <v>0</v>
      </c>
      <c r="W40" s="467">
        <f>D49</f>
        <v>94.832291666666663</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95</v>
      </c>
      <c r="P41" s="466">
        <f>E8</f>
        <v>2040</v>
      </c>
      <c r="Q41" s="58"/>
      <c r="R41" s="466">
        <f>O41/100</f>
        <v>0.95</v>
      </c>
      <c r="S41" s="58"/>
      <c r="T41" s="466">
        <f>E16</f>
        <v>30</v>
      </c>
      <c r="U41" s="467">
        <f>E46</f>
        <v>18908.099999999999</v>
      </c>
      <c r="V41" s="467">
        <f>E48</f>
        <v>0</v>
      </c>
      <c r="W41" s="467">
        <f>E49</f>
        <v>94.834361111111107</v>
      </c>
      <c r="X41" s="58"/>
      <c r="Y41" s="58"/>
      <c r="Z41" s="466">
        <f>E23</f>
        <v>0</v>
      </c>
      <c r="AA41" s="468">
        <f>E25</f>
        <v>0</v>
      </c>
      <c r="AB41" s="468">
        <f>E26</f>
        <v>0</v>
      </c>
      <c r="AC41" s="468">
        <f>E27</f>
        <v>0</v>
      </c>
      <c r="AD41" s="468">
        <f>E24</f>
        <v>0</v>
      </c>
    </row>
    <row r="42" spans="2:30" ht="14.55" customHeight="1" outlineLevel="1">
      <c r="B42" s="376" t="s">
        <v>765</v>
      </c>
      <c r="C42" s="1240" t="s">
        <v>669</v>
      </c>
      <c r="D42" s="1241"/>
      <c r="E42" s="1241"/>
      <c r="F42" s="1242"/>
      <c r="G42" s="474"/>
      <c r="H42" s="474"/>
      <c r="I42" s="474"/>
      <c r="J42" s="474"/>
      <c r="K42" s="474"/>
      <c r="L42" s="380"/>
      <c r="M42" s="363"/>
      <c r="N42" s="363"/>
      <c r="O42" s="465">
        <f>F12</f>
        <v>95</v>
      </c>
      <c r="P42" s="466">
        <f>F8</f>
        <v>2050</v>
      </c>
      <c r="Q42" s="58"/>
      <c r="R42" s="466">
        <f>O42/100</f>
        <v>0.95</v>
      </c>
      <c r="S42" s="58"/>
      <c r="T42" s="466">
        <f>F16</f>
        <v>30</v>
      </c>
      <c r="U42" s="467">
        <f>F46</f>
        <v>18103.5</v>
      </c>
      <c r="V42" s="467">
        <f>F48</f>
        <v>0</v>
      </c>
      <c r="W42" s="467">
        <f>F49</f>
        <v>94.834361111111107</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20115.000000000004</v>
      </c>
      <c r="D46" s="483">
        <f t="shared" ref="D46:F46" si="1">D29*$F$4*1000</f>
        <v>19511.550000000003</v>
      </c>
      <c r="E46" s="483">
        <f t="shared" si="1"/>
        <v>18908.099999999999</v>
      </c>
      <c r="F46" s="483">
        <f t="shared" si="1"/>
        <v>18103.5</v>
      </c>
      <c r="G46" s="483"/>
      <c r="H46" s="484"/>
      <c r="I46" s="420" t="s">
        <v>332</v>
      </c>
      <c r="J46" s="420"/>
      <c r="K46" s="484"/>
      <c r="L46" s="484"/>
      <c r="N46" s="420"/>
    </row>
    <row r="47" spans="2:30" outlineLevel="1">
      <c r="B47" s="485" t="s">
        <v>770</v>
      </c>
      <c r="C47" s="486">
        <f>C46*$I47</f>
        <v>10057500.000000002</v>
      </c>
      <c r="D47" s="486">
        <f>D46*$I47</f>
        <v>9755775.0000000019</v>
      </c>
      <c r="E47" s="486">
        <f>E46*$I47</f>
        <v>9454050</v>
      </c>
      <c r="F47" s="486">
        <f>F46*$I47</f>
        <v>9051750</v>
      </c>
      <c r="G47" s="486"/>
      <c r="H47" s="484"/>
      <c r="I47" s="71">
        <v>500</v>
      </c>
      <c r="J47" s="420" t="s">
        <v>330</v>
      </c>
      <c r="K47" s="484"/>
      <c r="L47" s="484"/>
      <c r="N47" s="420"/>
    </row>
    <row r="48" spans="2:30" ht="43.2" outlineLevel="1">
      <c r="B48" s="461" t="s">
        <v>845</v>
      </c>
      <c r="C48" s="359">
        <f>C32*$F$4/1000</f>
        <v>0</v>
      </c>
      <c r="D48" s="359">
        <f t="shared" ref="D48:F48" si="2">D32*$F$4/1000</f>
        <v>0</v>
      </c>
      <c r="E48" s="359">
        <f t="shared" si="2"/>
        <v>0</v>
      </c>
      <c r="F48" s="359">
        <f t="shared" si="2"/>
        <v>0</v>
      </c>
      <c r="G48" s="359"/>
      <c r="I48" s="420" t="s">
        <v>333</v>
      </c>
      <c r="J48" s="420"/>
      <c r="N48" s="420"/>
    </row>
    <row r="49" spans="2:14" ht="43.2" outlineLevel="1">
      <c r="B49" s="461" t="s">
        <v>846</v>
      </c>
      <c r="C49" s="487">
        <f>C33*$F$4/3.6</f>
        <v>94.828152777777774</v>
      </c>
      <c r="D49" s="487">
        <f t="shared" ref="D49:F49" si="3">D33*$F$4/3.6</f>
        <v>94.832291666666663</v>
      </c>
      <c r="E49" s="487">
        <f t="shared" si="3"/>
        <v>94.834361111111107</v>
      </c>
      <c r="F49" s="487">
        <f t="shared" si="3"/>
        <v>94.834361111111107</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925</v>
      </c>
      <c r="F56" s="358"/>
      <c r="G56" s="358"/>
      <c r="H56" s="358"/>
      <c r="I56" s="358"/>
      <c r="J56" s="358"/>
      <c r="K56" s="358"/>
      <c r="L56" s="358"/>
    </row>
    <row r="57" spans="2:14" outlineLevel="1">
      <c r="B57" s="358">
        <v>2</v>
      </c>
      <c r="C57" s="490" t="s">
        <v>926</v>
      </c>
      <c r="F57" s="358"/>
      <c r="G57" s="358"/>
      <c r="H57" s="358"/>
      <c r="I57" s="358"/>
      <c r="J57" s="358"/>
      <c r="K57" s="358"/>
      <c r="L57" s="358"/>
    </row>
    <row r="58" spans="2:14" outlineLevel="1">
      <c r="B58" s="358">
        <v>3</v>
      </c>
      <c r="C58" s="490" t="s">
        <v>878</v>
      </c>
      <c r="F58" s="358"/>
      <c r="G58" s="358"/>
      <c r="H58" s="358"/>
      <c r="I58" s="358"/>
      <c r="J58" s="358"/>
      <c r="K58" s="358"/>
      <c r="L58" s="358"/>
    </row>
    <row r="59" spans="2:14" outlineLevel="1">
      <c r="B59" s="358">
        <v>4</v>
      </c>
      <c r="C59" s="490" t="s">
        <v>927</v>
      </c>
      <c r="F59" s="358"/>
      <c r="G59" s="358"/>
      <c r="H59" s="358"/>
      <c r="I59" s="358"/>
      <c r="J59" s="358"/>
      <c r="K59" s="358"/>
      <c r="L59" s="358"/>
    </row>
    <row r="60" spans="2:14" outlineLevel="1">
      <c r="B60" s="358">
        <v>5</v>
      </c>
      <c r="C60" s="490" t="s">
        <v>928</v>
      </c>
      <c r="F60" s="358"/>
      <c r="G60" s="358"/>
      <c r="H60" s="358"/>
      <c r="I60" s="358"/>
      <c r="J60" s="358"/>
      <c r="K60" s="358"/>
      <c r="L60" s="358"/>
    </row>
    <row r="61" spans="2:14" outlineLevel="1">
      <c r="B61" s="358">
        <v>6</v>
      </c>
      <c r="C61" s="490" t="s">
        <v>929</v>
      </c>
      <c r="F61" s="358"/>
      <c r="G61" s="358"/>
      <c r="H61" s="358"/>
      <c r="I61" s="358"/>
      <c r="J61" s="358"/>
      <c r="K61" s="358"/>
      <c r="L61" s="358"/>
    </row>
    <row r="62" spans="2:14" outlineLevel="1">
      <c r="B62" s="358">
        <v>7</v>
      </c>
      <c r="C62" s="490" t="s">
        <v>930</v>
      </c>
      <c r="F62" s="358"/>
      <c r="G62" s="358"/>
      <c r="H62" s="358"/>
      <c r="I62" s="358"/>
      <c r="J62" s="358"/>
      <c r="K62" s="358"/>
      <c r="L62" s="358"/>
    </row>
    <row r="63" spans="2:14" outlineLevel="1">
      <c r="B63" s="358">
        <v>8</v>
      </c>
      <c r="C63" s="625" t="s">
        <v>931</v>
      </c>
      <c r="F63" s="358"/>
      <c r="G63" s="358"/>
      <c r="H63" s="358"/>
      <c r="I63" s="358"/>
      <c r="J63" s="358"/>
      <c r="K63" s="358"/>
      <c r="L63" s="358"/>
    </row>
    <row r="64" spans="2:14" outlineLevel="1">
      <c r="B64" s="358">
        <v>9</v>
      </c>
      <c r="C64" s="490" t="s">
        <v>932</v>
      </c>
      <c r="F64" s="358"/>
      <c r="G64" s="358"/>
      <c r="H64" s="358"/>
      <c r="I64" s="358"/>
      <c r="J64" s="358"/>
      <c r="K64" s="358"/>
      <c r="L64" s="358"/>
    </row>
    <row r="65" spans="1:44" outlineLevel="1">
      <c r="B65" s="488" t="s">
        <v>783</v>
      </c>
      <c r="C65" s="489"/>
      <c r="F65" s="358"/>
      <c r="G65" s="358"/>
      <c r="H65" s="358"/>
      <c r="I65" s="358"/>
      <c r="J65" s="358"/>
      <c r="K65" s="358"/>
      <c r="L65" s="358"/>
    </row>
    <row r="66" spans="1:44" outlineLevel="1">
      <c r="B66" s="496" t="s">
        <v>6</v>
      </c>
      <c r="C66" s="490" t="s">
        <v>933</v>
      </c>
      <c r="D66" s="489"/>
      <c r="F66" s="358"/>
      <c r="G66" s="358"/>
      <c r="H66" s="358"/>
      <c r="I66" s="358"/>
      <c r="J66" s="358"/>
      <c r="K66" s="358"/>
      <c r="L66" s="358"/>
    </row>
    <row r="67" spans="1:44" outlineLevel="1">
      <c r="B67" s="496" t="s">
        <v>59</v>
      </c>
      <c r="C67" s="490" t="s">
        <v>934</v>
      </c>
      <c r="D67" s="489"/>
      <c r="F67" s="358"/>
      <c r="G67" s="358"/>
      <c r="H67" s="358"/>
      <c r="I67" s="358"/>
      <c r="J67" s="358"/>
      <c r="K67" s="358"/>
      <c r="L67" s="358"/>
    </row>
    <row r="68" spans="1:44" outlineLevel="1">
      <c r="B68" s="496" t="s">
        <v>16</v>
      </c>
      <c r="C68" s="490" t="s">
        <v>935</v>
      </c>
      <c r="D68" s="489"/>
      <c r="F68" s="358"/>
      <c r="G68" s="358"/>
      <c r="H68" s="358"/>
      <c r="I68" s="358"/>
      <c r="J68" s="358"/>
      <c r="K68" s="358"/>
      <c r="L68" s="358"/>
    </row>
    <row r="69" spans="1:44" outlineLevel="1">
      <c r="B69" s="496" t="s">
        <v>20</v>
      </c>
      <c r="C69" s="490" t="s">
        <v>936</v>
      </c>
      <c r="D69" s="489"/>
      <c r="F69" s="358"/>
      <c r="G69" s="358"/>
      <c r="H69" s="358"/>
      <c r="I69" s="358"/>
      <c r="J69" s="358"/>
      <c r="K69" s="358"/>
      <c r="L69" s="358"/>
    </row>
    <row r="70" spans="1:44" outlineLevel="1">
      <c r="B70" s="496" t="s">
        <v>76</v>
      </c>
      <c r="C70" s="628" t="s">
        <v>788</v>
      </c>
      <c r="D70" s="489"/>
      <c r="G70" s="358"/>
      <c r="H70" s="358"/>
      <c r="I70" s="358"/>
      <c r="J70" s="358"/>
      <c r="K70" s="358"/>
      <c r="L70" s="358"/>
    </row>
    <row r="71" spans="1:44" outlineLevel="1">
      <c r="B71" s="496" t="s">
        <v>25</v>
      </c>
      <c r="C71" s="490" t="s">
        <v>937</v>
      </c>
      <c r="D71" s="489"/>
      <c r="E71" s="490"/>
      <c r="F71" s="490"/>
    </row>
    <row r="72" spans="1:44" outlineLevel="1">
      <c r="B72" s="496" t="s">
        <v>33</v>
      </c>
      <c r="C72" s="490" t="s">
        <v>883</v>
      </c>
      <c r="D72" s="489"/>
    </row>
    <row r="73" spans="1:44" outlineLevel="1">
      <c r="B73" s="496" t="s">
        <v>51</v>
      </c>
      <c r="C73" s="490" t="s">
        <v>938</v>
      </c>
      <c r="D73" s="489"/>
    </row>
    <row r="74" spans="1:44" outlineLevel="1">
      <c r="B74" s="496" t="s">
        <v>52</v>
      </c>
      <c r="C74" s="490" t="s">
        <v>939</v>
      </c>
      <c r="D74" s="489"/>
    </row>
    <row r="75" spans="1:44">
      <c r="B75" s="496"/>
      <c r="C75" s="498"/>
      <c r="D75" s="489"/>
    </row>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5"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5"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5"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5"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5"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5" outlineLevel="1" thickBot="1">
      <c r="B99" s="429"/>
      <c r="C99" s="430"/>
      <c r="D99" s="430"/>
      <c r="E99" s="430"/>
      <c r="F99" s="430"/>
      <c r="G99" s="425"/>
      <c r="H99" s="425"/>
      <c r="I99" s="425"/>
      <c r="J99" s="425"/>
      <c r="K99" s="423"/>
      <c r="L99" s="427"/>
      <c r="M99" s="428"/>
      <c r="N99" s="428"/>
    </row>
    <row r="100" spans="1:30" ht="15"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5"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5"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5"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5"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27977-0B47-4F6B-B049-E5C915C334F5}">
  <sheetPr>
    <tabColor theme="3"/>
  </sheetPr>
  <dimension ref="A2:AR345"/>
  <sheetViews>
    <sheetView zoomScale="70" zoomScaleNormal="70" workbookViewId="0">
      <selection activeCell="C33" sqref="C33"/>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Infrared heating</v>
      </c>
    </row>
    <row r="4" spans="1:44" ht="25.05" customHeight="1">
      <c r="E4" s="224" t="s">
        <v>358</v>
      </c>
      <c r="F4" s="359">
        <v>7.45</v>
      </c>
      <c r="G4" s="359" t="s">
        <v>328</v>
      </c>
    </row>
    <row r="5" spans="1:44" ht="15" customHeight="1">
      <c r="A5" s="360" t="s">
        <v>968</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950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0.1</v>
      </c>
      <c r="D10" s="372">
        <v>0.1</v>
      </c>
      <c r="E10" s="372">
        <v>0.1</v>
      </c>
      <c r="F10" s="372">
        <v>0.1</v>
      </c>
      <c r="G10" s="372">
        <v>0.01</v>
      </c>
      <c r="H10" s="372">
        <v>0.2</v>
      </c>
      <c r="I10" s="372">
        <v>0.01</v>
      </c>
      <c r="J10" s="372">
        <v>0.2</v>
      </c>
      <c r="K10" s="372" t="s">
        <v>6</v>
      </c>
      <c r="L10" s="373">
        <v>1</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96</v>
      </c>
      <c r="D11" s="377">
        <v>96</v>
      </c>
      <c r="E11" s="378">
        <v>96</v>
      </c>
      <c r="F11" s="377">
        <v>96</v>
      </c>
      <c r="G11" s="377">
        <v>90</v>
      </c>
      <c r="H11" s="377">
        <v>100</v>
      </c>
      <c r="I11" s="377">
        <v>90</v>
      </c>
      <c r="J11" s="377">
        <v>100</v>
      </c>
      <c r="K11" s="379" t="s">
        <v>838</v>
      </c>
      <c r="L11" s="380">
        <v>2</v>
      </c>
      <c r="M11" s="370"/>
      <c r="N11" s="370"/>
      <c r="P11" s="1199" t="str">
        <f>C7</f>
        <v>Infrared heating</v>
      </c>
      <c r="Q11" s="1154" t="s">
        <v>730</v>
      </c>
      <c r="R11" s="381" t="s">
        <v>731</v>
      </c>
      <c r="S11" s="382"/>
      <c r="T11" s="1137">
        <v>0</v>
      </c>
      <c r="U11" s="1151">
        <v>0</v>
      </c>
      <c r="V11" s="1157">
        <v>0</v>
      </c>
      <c r="W11" s="1151">
        <v>0</v>
      </c>
      <c r="X11" s="1157">
        <v>0</v>
      </c>
      <c r="Y11" s="1151">
        <v>0</v>
      </c>
      <c r="Z11" s="1157">
        <v>0</v>
      </c>
      <c r="AA11" s="1151">
        <v>0</v>
      </c>
      <c r="AB11" s="1157">
        <v>0</v>
      </c>
      <c r="AC11" s="1151">
        <v>0</v>
      </c>
      <c r="AE11" s="1148" t="str">
        <f>P11</f>
        <v>Infrared heating</v>
      </c>
      <c r="AF11" s="1154" t="s">
        <v>730</v>
      </c>
      <c r="AG11" s="381" t="s">
        <v>731</v>
      </c>
      <c r="AH11" s="382"/>
      <c r="AI11" s="1137">
        <v>0</v>
      </c>
      <c r="AJ11" s="1151">
        <v>0</v>
      </c>
      <c r="AK11" s="1157">
        <v>0</v>
      </c>
      <c r="AL11" s="1151">
        <v>0</v>
      </c>
      <c r="AM11" s="1157">
        <v>0</v>
      </c>
      <c r="AN11" s="1151">
        <v>0</v>
      </c>
      <c r="AO11" s="1157">
        <v>0</v>
      </c>
      <c r="AP11" s="1151">
        <v>0</v>
      </c>
      <c r="AQ11" s="1157">
        <v>0</v>
      </c>
      <c r="AR11" s="1151">
        <v>0</v>
      </c>
    </row>
    <row r="12" spans="1:44" ht="32.549999999999997" customHeight="1" outlineLevel="1">
      <c r="B12" s="383" t="s">
        <v>732</v>
      </c>
      <c r="C12" s="384">
        <v>96</v>
      </c>
      <c r="D12" s="384">
        <v>96</v>
      </c>
      <c r="E12" s="384">
        <v>96</v>
      </c>
      <c r="F12" s="384">
        <v>96</v>
      </c>
      <c r="G12" s="385">
        <v>90</v>
      </c>
      <c r="H12" s="385">
        <v>100</v>
      </c>
      <c r="I12" s="385">
        <v>90</v>
      </c>
      <c r="J12" s="385">
        <v>100</v>
      </c>
      <c r="K12" s="386"/>
      <c r="L12" s="387"/>
      <c r="M12" s="370"/>
      <c r="N12" s="370"/>
      <c r="O12" s="71"/>
      <c r="P12" s="1195"/>
      <c r="Q12" s="1155"/>
      <c r="R12" s="388" t="s">
        <v>733</v>
      </c>
      <c r="S12" s="389"/>
      <c r="T12" s="1140"/>
      <c r="U12" s="1152"/>
      <c r="V12" s="1158"/>
      <c r="W12" s="1152"/>
      <c r="X12" s="1158"/>
      <c r="Y12" s="1152"/>
      <c r="Z12" s="1158"/>
      <c r="AA12" s="1152"/>
      <c r="AB12" s="1158"/>
      <c r="AC12" s="1152"/>
      <c r="AE12" s="1195"/>
      <c r="AF12" s="1155"/>
      <c r="AG12" s="388" t="s">
        <v>733</v>
      </c>
      <c r="AH12" s="389"/>
      <c r="AI12" s="1140"/>
      <c r="AJ12" s="1152"/>
      <c r="AK12" s="1158"/>
      <c r="AL12" s="1152"/>
      <c r="AM12" s="1158"/>
      <c r="AN12" s="1152"/>
      <c r="AO12" s="1158"/>
      <c r="AP12" s="1152"/>
      <c r="AQ12" s="1158"/>
      <c r="AR12" s="1152"/>
    </row>
    <row r="13" spans="1:44" ht="15" outlineLevel="1" thickBot="1">
      <c r="B13" s="376" t="s">
        <v>734</v>
      </c>
      <c r="C13" s="390">
        <v>0.1</v>
      </c>
      <c r="D13" s="391">
        <v>0.1</v>
      </c>
      <c r="E13" s="391">
        <v>0.1</v>
      </c>
      <c r="F13" s="392">
        <v>0.1</v>
      </c>
      <c r="G13" s="391">
        <v>0</v>
      </c>
      <c r="H13" s="391">
        <v>0.2</v>
      </c>
      <c r="I13" s="391">
        <v>0</v>
      </c>
      <c r="J13" s="391">
        <v>0.2</v>
      </c>
      <c r="K13" s="379"/>
      <c r="L13" s="380">
        <v>3</v>
      </c>
      <c r="M13" s="370"/>
      <c r="N13" s="370"/>
      <c r="O13" s="71"/>
      <c r="P13" s="1195"/>
      <c r="Q13" s="1156"/>
      <c r="R13" s="393" t="s">
        <v>735</v>
      </c>
      <c r="S13" s="394"/>
      <c r="T13" s="1141"/>
      <c r="U13" s="1153"/>
      <c r="V13" s="1159"/>
      <c r="W13" s="1153"/>
      <c r="X13" s="1159"/>
      <c r="Y13" s="1153"/>
      <c r="Z13" s="1159"/>
      <c r="AA13" s="1153"/>
      <c r="AB13" s="1159"/>
      <c r="AC13" s="1153"/>
      <c r="AE13" s="1195"/>
      <c r="AF13" s="1156"/>
      <c r="AG13" s="393" t="s">
        <v>735</v>
      </c>
      <c r="AH13" s="394"/>
      <c r="AI13" s="1141"/>
      <c r="AJ13" s="1153"/>
      <c r="AK13" s="1159"/>
      <c r="AL13" s="1153"/>
      <c r="AM13" s="1159"/>
      <c r="AN13" s="1153"/>
      <c r="AO13" s="1159"/>
      <c r="AP13" s="1153"/>
      <c r="AQ13" s="1159"/>
      <c r="AR13" s="1153"/>
    </row>
    <row r="14" spans="1:44" ht="15" customHeight="1" outlineLevel="1">
      <c r="B14" s="376" t="s">
        <v>657</v>
      </c>
      <c r="C14" s="390">
        <v>0.1</v>
      </c>
      <c r="D14" s="390">
        <v>0.1</v>
      </c>
      <c r="E14" s="390">
        <v>0.1</v>
      </c>
      <c r="F14" s="390">
        <v>0.1</v>
      </c>
      <c r="G14" s="390">
        <v>0</v>
      </c>
      <c r="H14" s="390">
        <v>0.2</v>
      </c>
      <c r="I14" s="390">
        <v>0</v>
      </c>
      <c r="J14" s="390">
        <v>0.2</v>
      </c>
      <c r="K14" s="379"/>
      <c r="L14" s="380">
        <v>3</v>
      </c>
      <c r="M14" s="370"/>
      <c r="N14" s="370"/>
      <c r="O14" s="71"/>
      <c r="P14" s="1195"/>
      <c r="Q14" s="1154" t="s">
        <v>736</v>
      </c>
      <c r="R14" s="395" t="s">
        <v>737</v>
      </c>
      <c r="S14" s="396" t="s">
        <v>738</v>
      </c>
      <c r="T14" s="1137">
        <v>0.05</v>
      </c>
      <c r="U14" s="1137">
        <v>0.04</v>
      </c>
      <c r="V14" s="1137">
        <v>0.05</v>
      </c>
      <c r="W14" s="1137">
        <v>0.05</v>
      </c>
      <c r="X14" s="1137">
        <v>0.03</v>
      </c>
      <c r="Y14" s="1137">
        <v>0.02</v>
      </c>
      <c r="Z14" s="1137">
        <v>0.03</v>
      </c>
      <c r="AA14" s="1137">
        <v>0.01</v>
      </c>
      <c r="AB14" s="1137">
        <v>0</v>
      </c>
      <c r="AC14" s="1151">
        <v>0.05</v>
      </c>
      <c r="AE14" s="1195"/>
      <c r="AF14" s="1154" t="s">
        <v>736</v>
      </c>
      <c r="AG14" s="395" t="s">
        <v>737</v>
      </c>
      <c r="AH14" s="396" t="s">
        <v>738</v>
      </c>
      <c r="AI14" s="1137">
        <v>0.05</v>
      </c>
      <c r="AJ14" s="1137">
        <v>0.04</v>
      </c>
      <c r="AK14" s="1137">
        <v>0.05</v>
      </c>
      <c r="AL14" s="1137">
        <v>0.05</v>
      </c>
      <c r="AM14" s="1137">
        <v>0.03</v>
      </c>
      <c r="AN14" s="1137">
        <v>0.02</v>
      </c>
      <c r="AO14" s="1137">
        <v>0.03</v>
      </c>
      <c r="AP14" s="1137">
        <v>0.01</v>
      </c>
      <c r="AQ14" s="1137">
        <v>0</v>
      </c>
      <c r="AR14" s="1151">
        <v>0.05</v>
      </c>
    </row>
    <row r="15" spans="1:44" outlineLevel="1">
      <c r="B15" s="376" t="s">
        <v>658</v>
      </c>
      <c r="C15" s="390">
        <v>0</v>
      </c>
      <c r="D15" s="390">
        <v>0</v>
      </c>
      <c r="E15" s="390">
        <v>0</v>
      </c>
      <c r="F15" s="390">
        <v>0</v>
      </c>
      <c r="G15" s="390">
        <v>0</v>
      </c>
      <c r="H15" s="390">
        <v>0.1</v>
      </c>
      <c r="I15" s="390">
        <v>0</v>
      </c>
      <c r="J15" s="390">
        <v>0.1</v>
      </c>
      <c r="K15" s="379"/>
      <c r="L15" s="380">
        <v>3</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
        <v>738</v>
      </c>
      <c r="AI15" s="1191"/>
      <c r="AJ15" s="1191"/>
      <c r="AK15" s="1191"/>
      <c r="AL15" s="1191"/>
      <c r="AM15" s="1191"/>
      <c r="AN15" s="1191"/>
      <c r="AO15" s="1191"/>
      <c r="AP15" s="1191"/>
      <c r="AQ15" s="1191"/>
      <c r="AR15" s="1193"/>
    </row>
    <row r="16" spans="1:44" outlineLevel="1">
      <c r="B16" s="383" t="s">
        <v>11</v>
      </c>
      <c r="C16" s="397">
        <v>30</v>
      </c>
      <c r="D16" s="397">
        <v>30</v>
      </c>
      <c r="E16" s="397">
        <v>30</v>
      </c>
      <c r="F16" s="397">
        <v>30</v>
      </c>
      <c r="G16" s="398">
        <v>20</v>
      </c>
      <c r="H16" s="398">
        <v>35</v>
      </c>
      <c r="I16" s="398">
        <v>20</v>
      </c>
      <c r="J16" s="398">
        <v>35</v>
      </c>
      <c r="K16" s="372"/>
      <c r="L16" s="373">
        <v>4</v>
      </c>
      <c r="M16" s="363"/>
      <c r="N16" s="363"/>
      <c r="P16" s="1195"/>
      <c r="Q16" s="1155"/>
      <c r="R16" s="395" t="s">
        <v>741</v>
      </c>
      <c r="S16" s="396"/>
      <c r="T16" s="1191"/>
      <c r="U16" s="1191"/>
      <c r="V16" s="1191"/>
      <c r="W16" s="1191"/>
      <c r="X16" s="1191"/>
      <c r="Y16" s="1191"/>
      <c r="Z16" s="1191"/>
      <c r="AA16" s="1191"/>
      <c r="AB16" s="1191"/>
      <c r="AC16" s="1193"/>
      <c r="AE16" s="1195"/>
      <c r="AF16" s="1155"/>
      <c r="AG16" s="395" t="s">
        <v>741</v>
      </c>
      <c r="AH16" s="629"/>
      <c r="AI16" s="1191"/>
      <c r="AJ16" s="1191"/>
      <c r="AK16" s="1191"/>
      <c r="AL16" s="1191"/>
      <c r="AM16" s="1191"/>
      <c r="AN16" s="1191"/>
      <c r="AO16" s="1191"/>
      <c r="AP16" s="1191"/>
      <c r="AQ16" s="1191"/>
      <c r="AR16" s="1193"/>
    </row>
    <row r="17" spans="1:44" ht="15" outlineLevel="1" thickBot="1">
      <c r="B17" s="376" t="s">
        <v>273</v>
      </c>
      <c r="C17" s="399">
        <v>0.1</v>
      </c>
      <c r="D17" s="399">
        <v>0.1</v>
      </c>
      <c r="E17" s="399">
        <v>0.1</v>
      </c>
      <c r="F17" s="399">
        <v>0.1</v>
      </c>
      <c r="G17" s="399">
        <v>0.05</v>
      </c>
      <c r="H17" s="399">
        <v>0.1</v>
      </c>
      <c r="I17" s="399">
        <v>0.05</v>
      </c>
      <c r="J17" s="399">
        <v>0.1</v>
      </c>
      <c r="K17" s="372"/>
      <c r="L17" s="400">
        <v>3</v>
      </c>
      <c r="M17" s="363"/>
      <c r="N17" s="363"/>
      <c r="P17" s="1195"/>
      <c r="Q17" s="1155"/>
      <c r="R17" s="395" t="s">
        <v>742</v>
      </c>
      <c r="S17" s="396"/>
      <c r="T17" s="1191"/>
      <c r="U17" s="1191"/>
      <c r="V17" s="1191"/>
      <c r="W17" s="1191"/>
      <c r="X17" s="1191"/>
      <c r="Y17" s="1191"/>
      <c r="Z17" s="1191"/>
      <c r="AA17" s="1191"/>
      <c r="AB17" s="1191"/>
      <c r="AC17" s="1193"/>
      <c r="AE17" s="1195"/>
      <c r="AF17" s="1155"/>
      <c r="AG17" s="395" t="s">
        <v>742</v>
      </c>
      <c r="AH17" s="396"/>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c r="T18" s="1192"/>
      <c r="U18" s="1192"/>
      <c r="V18" s="1192"/>
      <c r="W18" s="1192"/>
      <c r="X18" s="1192"/>
      <c r="Y18" s="1192"/>
      <c r="Z18" s="1192"/>
      <c r="AA18" s="1192"/>
      <c r="AB18" s="1192"/>
      <c r="AC18" s="1194"/>
      <c r="AE18" s="1195"/>
      <c r="AF18" s="1156"/>
      <c r="AG18" s="409" t="s">
        <v>863</v>
      </c>
      <c r="AH18" s="410"/>
      <c r="AI18" s="1192"/>
      <c r="AJ18" s="1192"/>
      <c r="AK18" s="1192"/>
      <c r="AL18" s="1192"/>
      <c r="AM18" s="1192"/>
      <c r="AN18" s="1192"/>
      <c r="AO18" s="1192"/>
      <c r="AP18" s="1192"/>
      <c r="AQ18" s="1192"/>
      <c r="AR18" s="1194"/>
    </row>
    <row r="19" spans="1:44" ht="29.4" outlineLevel="1" thickBot="1">
      <c r="B19" s="376" t="s">
        <v>663</v>
      </c>
      <c r="C19" s="390">
        <v>10</v>
      </c>
      <c r="D19" s="390">
        <v>10</v>
      </c>
      <c r="E19" s="390">
        <v>10</v>
      </c>
      <c r="F19" s="390">
        <v>10</v>
      </c>
      <c r="G19" s="391"/>
      <c r="H19" s="391"/>
      <c r="I19" s="391"/>
      <c r="J19" s="391"/>
      <c r="K19" s="379" t="s">
        <v>20</v>
      </c>
      <c r="L19" s="380"/>
      <c r="M19" s="363"/>
      <c r="N19" s="363"/>
      <c r="P19" s="1196"/>
      <c r="Q19" s="411" t="s">
        <v>745</v>
      </c>
      <c r="R19" s="412" t="s">
        <v>746</v>
      </c>
      <c r="S19" s="630"/>
      <c r="T19" s="416">
        <v>0</v>
      </c>
      <c r="U19" s="415">
        <v>0</v>
      </c>
      <c r="V19" s="416">
        <v>0</v>
      </c>
      <c r="W19" s="415">
        <v>0</v>
      </c>
      <c r="X19" s="416">
        <v>0</v>
      </c>
      <c r="Y19" s="415">
        <v>0</v>
      </c>
      <c r="Z19" s="416">
        <v>0</v>
      </c>
      <c r="AA19" s="415">
        <v>0</v>
      </c>
      <c r="AB19" s="416">
        <v>0</v>
      </c>
      <c r="AC19" s="417">
        <v>0</v>
      </c>
      <c r="AE19" s="1196"/>
      <c r="AF19" s="411" t="s">
        <v>745</v>
      </c>
      <c r="AG19" s="631" t="s">
        <v>746</v>
      </c>
      <c r="AH19" s="632"/>
      <c r="AI19" s="416">
        <v>0</v>
      </c>
      <c r="AJ19" s="415">
        <v>0</v>
      </c>
      <c r="AK19" s="416">
        <v>0</v>
      </c>
      <c r="AL19" s="415">
        <v>0</v>
      </c>
      <c r="AM19" s="416">
        <v>0</v>
      </c>
      <c r="AN19" s="415">
        <v>0</v>
      </c>
      <c r="AO19" s="416">
        <v>0</v>
      </c>
      <c r="AP19" s="415">
        <v>0</v>
      </c>
      <c r="AQ19" s="416">
        <v>0</v>
      </c>
      <c r="AR19" s="417">
        <v>0</v>
      </c>
    </row>
    <row r="20" spans="1:44" outlineLevel="1">
      <c r="B20" s="376" t="s">
        <v>664</v>
      </c>
      <c r="C20" s="390">
        <v>0</v>
      </c>
      <c r="D20" s="390">
        <v>0</v>
      </c>
      <c r="E20" s="390">
        <v>0</v>
      </c>
      <c r="F20" s="390">
        <v>0</v>
      </c>
      <c r="G20" s="418"/>
      <c r="H20" s="418"/>
      <c r="I20" s="418"/>
      <c r="J20" s="418"/>
      <c r="K20" s="419"/>
      <c r="L20" s="380">
        <v>2</v>
      </c>
      <c r="M20" s="363"/>
      <c r="N20" s="363"/>
    </row>
    <row r="21" spans="1:44" outlineLevel="1">
      <c r="B21" s="376" t="s">
        <v>666</v>
      </c>
      <c r="C21" s="390">
        <v>0</v>
      </c>
      <c r="D21" s="390">
        <v>0</v>
      </c>
      <c r="E21" s="390">
        <v>0</v>
      </c>
      <c r="F21" s="390">
        <v>0</v>
      </c>
      <c r="G21" s="418"/>
      <c r="H21" s="418"/>
      <c r="I21" s="418"/>
      <c r="J21" s="418"/>
      <c r="K21" s="419"/>
      <c r="L21" s="380">
        <v>2</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51">
        <v>0.35</v>
      </c>
      <c r="D29" s="647">
        <v>0.34</v>
      </c>
      <c r="E29" s="647">
        <v>0.33</v>
      </c>
      <c r="F29" s="648">
        <v>0.315</v>
      </c>
      <c r="G29" s="425"/>
      <c r="H29" s="425"/>
      <c r="I29" s="425"/>
      <c r="J29" s="425"/>
      <c r="K29" s="426" t="s">
        <v>76</v>
      </c>
      <c r="L29" s="440">
        <v>1</v>
      </c>
      <c r="M29" s="420"/>
      <c r="N29" s="420"/>
    </row>
    <row r="30" spans="1:44" outlineLevel="1">
      <c r="B30" s="441" t="s">
        <v>839</v>
      </c>
      <c r="C30" s="442">
        <v>85</v>
      </c>
      <c r="D30" s="442">
        <v>85</v>
      </c>
      <c r="E30" s="442">
        <v>85</v>
      </c>
      <c r="F30" s="442">
        <v>85</v>
      </c>
      <c r="G30" s="425"/>
      <c r="H30" s="425"/>
      <c r="I30" s="425"/>
      <c r="J30" s="425"/>
      <c r="K30" s="444" t="s">
        <v>76</v>
      </c>
      <c r="L30" s="373">
        <v>2</v>
      </c>
      <c r="M30" s="71"/>
      <c r="N30" s="420"/>
    </row>
    <row r="31" spans="1:44" outlineLevel="1">
      <c r="B31" s="441" t="s">
        <v>840</v>
      </c>
      <c r="C31" s="442">
        <v>15</v>
      </c>
      <c r="D31" s="442">
        <v>15</v>
      </c>
      <c r="E31" s="442">
        <v>15</v>
      </c>
      <c r="F31" s="442">
        <v>15</v>
      </c>
      <c r="G31" s="425"/>
      <c r="H31" s="425"/>
      <c r="I31" s="425"/>
      <c r="J31" s="425"/>
      <c r="K31" s="444" t="s">
        <v>76</v>
      </c>
      <c r="L31" s="373">
        <v>2</v>
      </c>
      <c r="M31" s="420"/>
      <c r="N31" s="420"/>
    </row>
    <row r="32" spans="1:44" outlineLevel="1">
      <c r="B32" s="383" t="s">
        <v>841</v>
      </c>
      <c r="C32" s="602">
        <v>0</v>
      </c>
      <c r="D32" s="603">
        <v>0</v>
      </c>
      <c r="E32" s="603">
        <v>0</v>
      </c>
      <c r="F32" s="604">
        <v>0</v>
      </c>
      <c r="G32" s="425"/>
      <c r="H32" s="425"/>
      <c r="I32" s="425"/>
      <c r="J32" s="425"/>
      <c r="K32" s="448"/>
      <c r="L32" s="373"/>
      <c r="M32" s="420"/>
      <c r="N32" s="420"/>
    </row>
    <row r="33" spans="2:30" ht="37.049999999999997" customHeight="1" outlineLevel="1" thickBot="1">
      <c r="B33" s="383" t="s">
        <v>679</v>
      </c>
      <c r="C33" s="449">
        <f>C34+C35</f>
        <v>117.07299999999999</v>
      </c>
      <c r="D33" s="449">
        <f t="shared" ref="D33:F33" si="0">D34+D35</f>
        <v>117.075</v>
      </c>
      <c r="E33" s="449">
        <f t="shared" si="0"/>
        <v>117.07599999999999</v>
      </c>
      <c r="F33" s="449">
        <f t="shared" si="0"/>
        <v>117.07599999999999</v>
      </c>
      <c r="G33" s="425"/>
      <c r="H33" s="425"/>
      <c r="I33" s="425"/>
      <c r="J33" s="425"/>
      <c r="K33" s="448"/>
      <c r="L33" s="373"/>
      <c r="M33" s="450"/>
      <c r="N33" s="361"/>
      <c r="P33" s="1142">
        <f>C33</f>
        <v>117.07299999999999</v>
      </c>
      <c r="Q33" s="1143"/>
      <c r="R33" s="1143"/>
      <c r="S33" s="1143"/>
      <c r="T33" s="1143"/>
      <c r="U33" s="1144"/>
    </row>
    <row r="34" spans="2:30" ht="15.75" customHeight="1" outlineLevel="1" thickBot="1">
      <c r="B34" s="451" t="s">
        <v>758</v>
      </c>
      <c r="C34" s="452">
        <f>C13/100*73</f>
        <v>7.2999999999999995E-2</v>
      </c>
      <c r="D34" s="452">
        <f>D13/100*75</f>
        <v>7.4999999999999997E-2</v>
      </c>
      <c r="E34" s="452">
        <f>E13/100*76</f>
        <v>7.5999999999999998E-2</v>
      </c>
      <c r="F34" s="452">
        <f>F13/100*76</f>
        <v>7.5999999999999998E-2</v>
      </c>
      <c r="G34" s="453"/>
      <c r="H34" s="453"/>
      <c r="I34" s="453"/>
      <c r="J34" s="453"/>
      <c r="K34" s="379" t="s">
        <v>25</v>
      </c>
      <c r="L34" s="380"/>
      <c r="M34" s="450"/>
      <c r="N34" s="361"/>
      <c r="P34" s="1134">
        <f>C34</f>
        <v>7.2999999999999995E-2</v>
      </c>
      <c r="Q34" s="1135"/>
      <c r="R34" s="1135"/>
      <c r="S34" s="1135"/>
      <c r="T34" s="1135"/>
      <c r="U34" s="1136"/>
    </row>
    <row r="35" spans="2:30" outlineLevel="1">
      <c r="B35" s="451" t="s">
        <v>759</v>
      </c>
      <c r="C35" s="454">
        <v>117</v>
      </c>
      <c r="D35" s="454">
        <v>117</v>
      </c>
      <c r="E35" s="454">
        <v>117</v>
      </c>
      <c r="F35" s="454">
        <v>117</v>
      </c>
      <c r="G35" s="453"/>
      <c r="H35" s="453"/>
      <c r="I35" s="453"/>
      <c r="J35" s="453"/>
      <c r="K35" s="455" t="s">
        <v>33</v>
      </c>
      <c r="L35" s="380">
        <v>1</v>
      </c>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33" t="s">
        <v>36</v>
      </c>
      <c r="D39" s="633" t="s">
        <v>36</v>
      </c>
      <c r="E39" s="633" t="s">
        <v>36</v>
      </c>
      <c r="F39" s="633" t="s">
        <v>36</v>
      </c>
      <c r="G39" s="463"/>
      <c r="H39" s="463"/>
      <c r="I39" s="463"/>
      <c r="J39" s="463"/>
      <c r="K39" s="463" t="s">
        <v>51</v>
      </c>
      <c r="L39" s="464"/>
      <c r="M39" s="363"/>
      <c r="N39" s="363"/>
      <c r="O39" s="465">
        <f>C12</f>
        <v>96</v>
      </c>
      <c r="P39" s="466">
        <f>C8</f>
        <v>2020</v>
      </c>
      <c r="Q39" s="58">
        <f>P39</f>
        <v>2020</v>
      </c>
      <c r="R39" s="466">
        <f>O39/100</f>
        <v>0.96</v>
      </c>
      <c r="S39" s="58"/>
      <c r="T39" s="466">
        <f>C16</f>
        <v>30</v>
      </c>
      <c r="U39" s="467">
        <f>C46</f>
        <v>2607.5</v>
      </c>
      <c r="V39" s="467">
        <f>C48</f>
        <v>0</v>
      </c>
      <c r="W39" s="467">
        <f>C49</f>
        <v>242.27606944444443</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t="s">
        <v>951</v>
      </c>
      <c r="L40" s="464"/>
      <c r="M40" s="363"/>
      <c r="N40" s="363"/>
      <c r="O40" s="465">
        <f>D12</f>
        <v>96</v>
      </c>
      <c r="P40" s="466">
        <f>D8</f>
        <v>2030</v>
      </c>
      <c r="Q40" s="58"/>
      <c r="R40" s="466">
        <f>O40/100</f>
        <v>0.96</v>
      </c>
      <c r="S40" s="58"/>
      <c r="T40" s="466">
        <f>D16</f>
        <v>30</v>
      </c>
      <c r="U40" s="467">
        <f>D46</f>
        <v>2533.0000000000005</v>
      </c>
      <c r="V40" s="467">
        <f>D48</f>
        <v>0</v>
      </c>
      <c r="W40" s="467">
        <f>D49</f>
        <v>242.28020833333332</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96</v>
      </c>
      <c r="P41" s="466">
        <f>E8</f>
        <v>2040</v>
      </c>
      <c r="Q41" s="58"/>
      <c r="R41" s="466">
        <f>O41/100</f>
        <v>0.96</v>
      </c>
      <c r="S41" s="58"/>
      <c r="T41" s="466">
        <f>E16</f>
        <v>30</v>
      </c>
      <c r="U41" s="467">
        <f>E46</f>
        <v>2458.5000000000005</v>
      </c>
      <c r="V41" s="467">
        <f>E48</f>
        <v>0</v>
      </c>
      <c r="W41" s="467">
        <f>E49</f>
        <v>242.28227777777775</v>
      </c>
      <c r="X41" s="58"/>
      <c r="Y41" s="58"/>
      <c r="Z41" s="466">
        <f>E23</f>
        <v>0</v>
      </c>
      <c r="AA41" s="468">
        <f>E25</f>
        <v>0</v>
      </c>
      <c r="AB41" s="468">
        <f>E26</f>
        <v>0</v>
      </c>
      <c r="AC41" s="468">
        <f>E27</f>
        <v>0</v>
      </c>
      <c r="AD41" s="468">
        <f>E24</f>
        <v>0</v>
      </c>
    </row>
    <row r="42" spans="2:30" ht="14.55" customHeight="1" outlineLevel="1">
      <c r="B42" s="376" t="s">
        <v>765</v>
      </c>
      <c r="C42" s="1240" t="s">
        <v>669</v>
      </c>
      <c r="D42" s="1241"/>
      <c r="E42" s="1241"/>
      <c r="F42" s="1242"/>
      <c r="G42" s="474"/>
      <c r="H42" s="474"/>
      <c r="I42" s="474"/>
      <c r="J42" s="474"/>
      <c r="K42" s="474"/>
      <c r="L42" s="380"/>
      <c r="M42" s="363"/>
      <c r="N42" s="363"/>
      <c r="O42" s="465">
        <f>F12</f>
        <v>96</v>
      </c>
      <c r="P42" s="466">
        <f>F8</f>
        <v>2050</v>
      </c>
      <c r="Q42" s="58"/>
      <c r="R42" s="466">
        <f>O42/100</f>
        <v>0.96</v>
      </c>
      <c r="S42" s="58"/>
      <c r="T42" s="466">
        <f>F16</f>
        <v>30</v>
      </c>
      <c r="U42" s="467">
        <f>F46</f>
        <v>2346.75</v>
      </c>
      <c r="V42" s="467">
        <f>F48</f>
        <v>0</v>
      </c>
      <c r="W42" s="467">
        <f>F49</f>
        <v>242.28227777777775</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2607.5</v>
      </c>
      <c r="D46" s="483">
        <f t="shared" ref="D46:F46" si="1">D29*$F$4*1000</f>
        <v>2533.0000000000005</v>
      </c>
      <c r="E46" s="483">
        <f t="shared" si="1"/>
        <v>2458.5000000000005</v>
      </c>
      <c r="F46" s="483">
        <f t="shared" si="1"/>
        <v>2346.75</v>
      </c>
      <c r="G46" s="483"/>
      <c r="H46" s="484"/>
      <c r="I46" s="420" t="s">
        <v>332</v>
      </c>
      <c r="J46" s="420"/>
      <c r="K46" s="484"/>
      <c r="L46" s="484"/>
      <c r="N46" s="420"/>
    </row>
    <row r="47" spans="2:30" outlineLevel="1">
      <c r="B47" s="485" t="s">
        <v>770</v>
      </c>
      <c r="C47" s="486">
        <f>C46*$I47</f>
        <v>1303750</v>
      </c>
      <c r="D47" s="486">
        <f>D46*$I47</f>
        <v>1266500.0000000002</v>
      </c>
      <c r="E47" s="486">
        <f>E46*$I47</f>
        <v>1229250.0000000002</v>
      </c>
      <c r="F47" s="486">
        <f>F46*$I47</f>
        <v>1173375</v>
      </c>
      <c r="G47" s="486"/>
      <c r="H47" s="484"/>
      <c r="I47" s="71">
        <v>500</v>
      </c>
      <c r="J47" s="420" t="s">
        <v>330</v>
      </c>
      <c r="K47" s="484"/>
      <c r="L47" s="484"/>
      <c r="N47" s="420"/>
    </row>
    <row r="48" spans="2:30" ht="43.2" outlineLevel="1">
      <c r="B48" s="461" t="s">
        <v>845</v>
      </c>
      <c r="C48" s="359">
        <f>C32*$F$4/1000</f>
        <v>0</v>
      </c>
      <c r="D48" s="359">
        <f t="shared" ref="D48:F48" si="2">D32*$F$4/1000</f>
        <v>0</v>
      </c>
      <c r="E48" s="359">
        <f t="shared" si="2"/>
        <v>0</v>
      </c>
      <c r="F48" s="359">
        <f t="shared" si="2"/>
        <v>0</v>
      </c>
      <c r="G48" s="359"/>
      <c r="I48" s="420" t="s">
        <v>333</v>
      </c>
      <c r="J48" s="420"/>
      <c r="N48" s="420"/>
    </row>
    <row r="49" spans="2:14" ht="43.2" outlineLevel="1">
      <c r="B49" s="461" t="s">
        <v>846</v>
      </c>
      <c r="C49" s="487">
        <f>C33*$F$4/3.6</f>
        <v>242.27606944444443</v>
      </c>
      <c r="D49" s="487">
        <f t="shared" ref="D49:F49" si="3">D33*$F$4/3.6</f>
        <v>242.28020833333332</v>
      </c>
      <c r="E49" s="487">
        <f t="shared" si="3"/>
        <v>242.28227777777775</v>
      </c>
      <c r="F49" s="487">
        <f t="shared" si="3"/>
        <v>242.28227777777775</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952</v>
      </c>
      <c r="F56" s="358"/>
      <c r="G56" s="358"/>
      <c r="H56" s="358"/>
      <c r="I56" s="358"/>
      <c r="J56" s="358"/>
      <c r="K56" s="358"/>
      <c r="L56" s="358"/>
    </row>
    <row r="57" spans="2:14" outlineLevel="1">
      <c r="B57" s="358">
        <v>2</v>
      </c>
      <c r="C57" s="490" t="s">
        <v>932</v>
      </c>
      <c r="F57" s="358"/>
      <c r="G57" s="358"/>
      <c r="H57" s="358"/>
      <c r="I57" s="358"/>
      <c r="J57" s="358"/>
      <c r="K57" s="358"/>
      <c r="L57" s="358"/>
    </row>
    <row r="58" spans="2:14" outlineLevel="1">
      <c r="B58" s="358">
        <v>3</v>
      </c>
      <c r="C58" s="490" t="s">
        <v>878</v>
      </c>
      <c r="F58" s="358"/>
      <c r="G58" s="358"/>
      <c r="H58" s="358"/>
      <c r="I58" s="358"/>
      <c r="J58" s="358"/>
      <c r="K58" s="358"/>
      <c r="L58" s="358"/>
    </row>
    <row r="59" spans="2:14" outlineLevel="1">
      <c r="B59" s="358">
        <v>4</v>
      </c>
      <c r="C59" s="490" t="s">
        <v>953</v>
      </c>
      <c r="F59" s="358"/>
      <c r="G59" s="358"/>
      <c r="H59" s="358"/>
      <c r="I59" s="358"/>
      <c r="J59" s="358"/>
      <c r="K59" s="358"/>
      <c r="L59" s="358"/>
    </row>
    <row r="60" spans="2:14" outlineLevel="1">
      <c r="B60" s="358">
        <v>5</v>
      </c>
      <c r="C60" s="676" t="s">
        <v>954</v>
      </c>
      <c r="F60" s="358"/>
      <c r="G60" s="358"/>
      <c r="H60" s="358"/>
      <c r="I60" s="358"/>
      <c r="J60" s="358"/>
      <c r="K60" s="358"/>
      <c r="L60" s="358"/>
    </row>
    <row r="61" spans="2:14" outlineLevel="1">
      <c r="B61" s="488" t="s">
        <v>783</v>
      </c>
      <c r="C61" s="489"/>
      <c r="F61" s="358"/>
      <c r="G61" s="358"/>
      <c r="H61" s="358"/>
      <c r="I61" s="358"/>
      <c r="J61" s="358"/>
      <c r="K61" s="358"/>
      <c r="L61" s="358"/>
    </row>
    <row r="62" spans="2:14" outlineLevel="1">
      <c r="B62" s="496" t="s">
        <v>6</v>
      </c>
      <c r="C62" s="497" t="s">
        <v>933</v>
      </c>
      <c r="D62" s="489"/>
      <c r="F62" s="358"/>
      <c r="G62" s="358"/>
      <c r="H62" s="358"/>
      <c r="I62" s="358"/>
      <c r="J62" s="358"/>
      <c r="K62" s="358"/>
      <c r="L62" s="358"/>
    </row>
    <row r="63" spans="2:14" outlineLevel="1">
      <c r="B63" s="496" t="s">
        <v>59</v>
      </c>
      <c r="C63" s="489" t="s">
        <v>955</v>
      </c>
      <c r="D63" s="489"/>
      <c r="F63" s="358"/>
      <c r="G63" s="358"/>
      <c r="H63" s="358"/>
      <c r="I63" s="358"/>
      <c r="J63" s="358"/>
      <c r="K63" s="358"/>
      <c r="L63" s="358"/>
    </row>
    <row r="64" spans="2:14" outlineLevel="1">
      <c r="B64" s="496" t="s">
        <v>16</v>
      </c>
      <c r="C64" s="489" t="s">
        <v>956</v>
      </c>
      <c r="D64" s="489"/>
      <c r="F64" s="358"/>
      <c r="G64" s="358"/>
      <c r="H64" s="358"/>
      <c r="I64" s="358"/>
      <c r="J64" s="358"/>
      <c r="K64" s="358"/>
      <c r="L64" s="358"/>
    </row>
    <row r="65" spans="1:44" outlineLevel="1">
      <c r="B65" s="496" t="s">
        <v>20</v>
      </c>
      <c r="C65" s="489" t="s">
        <v>957</v>
      </c>
      <c r="D65" s="489"/>
      <c r="F65" s="358"/>
      <c r="G65" s="358"/>
      <c r="H65" s="358"/>
      <c r="I65" s="358"/>
      <c r="J65" s="358"/>
      <c r="K65" s="358"/>
      <c r="L65" s="358"/>
    </row>
    <row r="66" spans="1:44" outlineLevel="1">
      <c r="B66" s="496" t="s">
        <v>76</v>
      </c>
      <c r="C66" s="489" t="s">
        <v>936</v>
      </c>
      <c r="D66" s="489"/>
      <c r="F66" s="358"/>
      <c r="G66" s="358"/>
      <c r="H66" s="358"/>
      <c r="I66" s="358"/>
      <c r="J66" s="358"/>
      <c r="K66" s="358"/>
      <c r="L66" s="358"/>
    </row>
    <row r="67" spans="1:44" outlineLevel="1">
      <c r="B67" s="496" t="s">
        <v>25</v>
      </c>
      <c r="C67" s="489" t="s">
        <v>788</v>
      </c>
      <c r="D67" s="489"/>
      <c r="F67" s="358"/>
      <c r="G67" s="358"/>
      <c r="H67" s="358"/>
      <c r="I67" s="358"/>
      <c r="J67" s="358"/>
      <c r="K67" s="358"/>
      <c r="L67" s="358"/>
    </row>
    <row r="68" spans="1:44" outlineLevel="1">
      <c r="B68" s="496" t="s">
        <v>33</v>
      </c>
      <c r="C68" s="489" t="s">
        <v>958</v>
      </c>
      <c r="D68" s="489"/>
      <c r="F68" s="358"/>
      <c r="G68" s="358"/>
      <c r="H68" s="358"/>
      <c r="I68" s="358"/>
      <c r="J68" s="358"/>
      <c r="K68" s="358"/>
      <c r="L68" s="358"/>
    </row>
    <row r="69" spans="1:44" outlineLevel="1">
      <c r="B69" s="496" t="s">
        <v>51</v>
      </c>
      <c r="C69" s="489" t="s">
        <v>883</v>
      </c>
      <c r="D69" s="489"/>
      <c r="F69" s="358"/>
      <c r="G69" s="358"/>
      <c r="H69" s="358"/>
      <c r="I69" s="358"/>
      <c r="J69" s="358"/>
      <c r="K69" s="358"/>
      <c r="L69" s="358"/>
    </row>
    <row r="70" spans="1:44" outlineLevel="1">
      <c r="B70" s="496" t="s">
        <v>52</v>
      </c>
      <c r="C70" s="489" t="s">
        <v>938</v>
      </c>
      <c r="D70" s="489"/>
      <c r="G70" s="358"/>
      <c r="H70" s="358"/>
      <c r="I70" s="358"/>
      <c r="J70" s="358"/>
      <c r="K70" s="358"/>
      <c r="L70" s="358"/>
    </row>
    <row r="71" spans="1:44" outlineLevel="1">
      <c r="B71" s="496" t="s">
        <v>55</v>
      </c>
      <c r="C71" s="498" t="s">
        <v>959</v>
      </c>
      <c r="D71" s="489"/>
      <c r="E71" s="490"/>
      <c r="F71" s="490"/>
    </row>
    <row r="72" spans="1:44" outlineLevel="1">
      <c r="B72" s="496"/>
      <c r="C72" s="489"/>
      <c r="D72" s="489"/>
    </row>
    <row r="73" spans="1:44" outlineLevel="1">
      <c r="B73" s="496"/>
      <c r="C73" s="489"/>
      <c r="D73" s="489"/>
    </row>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5"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5"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5"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5"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5"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5" outlineLevel="1" thickBot="1">
      <c r="B99" s="429"/>
      <c r="C99" s="430"/>
      <c r="D99" s="430"/>
      <c r="E99" s="430"/>
      <c r="F99" s="430"/>
      <c r="G99" s="425"/>
      <c r="H99" s="425"/>
      <c r="I99" s="425"/>
      <c r="J99" s="425"/>
      <c r="K99" s="423"/>
      <c r="L99" s="427"/>
      <c r="M99" s="428"/>
      <c r="N99" s="428"/>
    </row>
    <row r="100" spans="1:30" ht="15"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5"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5"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5"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5"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5B24F-7EE8-40A7-8C37-E2A73ED35705}">
  <sheetPr>
    <tabColor theme="3"/>
  </sheetPr>
  <dimension ref="A2:AR352"/>
  <sheetViews>
    <sheetView topLeftCell="G76" zoomScale="70" zoomScaleNormal="70" workbookViewId="0">
      <selection activeCell="AC106" sqref="AC106"/>
    </sheetView>
  </sheetViews>
  <sheetFormatPr defaultColWidth="8.77734375" defaultRowHeight="14.4" outlineLevelRow="1"/>
  <cols>
    <col min="1" max="1" width="35" style="224" bestFit="1"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638" t="str">
        <f>C7</f>
        <v>Electric boiler, 10 kV, steam</v>
      </c>
    </row>
    <row r="4" spans="1:44" ht="25.05" customHeight="1">
      <c r="E4" s="224" t="s">
        <v>358</v>
      </c>
      <c r="F4" s="359">
        <v>7.45</v>
      </c>
      <c r="G4" s="359" t="s">
        <v>328</v>
      </c>
    </row>
    <row r="5" spans="1:44" ht="15" customHeight="1">
      <c r="A5" s="360" t="s">
        <v>967</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223" t="s">
        <v>960</v>
      </c>
      <c r="D7" s="1224"/>
      <c r="E7" s="1224"/>
      <c r="F7" s="1224"/>
      <c r="G7" s="1224"/>
      <c r="H7" s="1224"/>
      <c r="I7" s="1224"/>
      <c r="J7" s="1224"/>
      <c r="K7" s="1224"/>
      <c r="L7" s="1225"/>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customHeight="1" outlineLevel="1" thickBot="1">
      <c r="B8" s="1164" t="s">
        <v>4</v>
      </c>
      <c r="C8" s="1166">
        <v>2020</v>
      </c>
      <c r="D8" s="1166">
        <v>2030</v>
      </c>
      <c r="E8" s="1166">
        <v>2040</v>
      </c>
      <c r="F8" s="1166">
        <v>2050</v>
      </c>
      <c r="G8" s="1230" t="s">
        <v>721</v>
      </c>
      <c r="H8" s="1218"/>
      <c r="I8" s="1217" t="s">
        <v>648</v>
      </c>
      <c r="J8" s="1226"/>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228"/>
      <c r="C9" s="1229"/>
      <c r="D9" s="1229"/>
      <c r="E9" s="1229"/>
      <c r="F9" s="1229"/>
      <c r="G9" s="369" t="s">
        <v>649</v>
      </c>
      <c r="H9" s="369" t="s">
        <v>650</v>
      </c>
      <c r="I9" s="369" t="s">
        <v>649</v>
      </c>
      <c r="J9" s="369" t="s">
        <v>650</v>
      </c>
      <c r="K9" s="1227"/>
      <c r="L9" s="1227"/>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651</v>
      </c>
      <c r="C10" s="372">
        <v>15</v>
      </c>
      <c r="D10" s="372">
        <v>15</v>
      </c>
      <c r="E10" s="372">
        <v>15</v>
      </c>
      <c r="F10" s="372">
        <v>15</v>
      </c>
      <c r="G10" s="372">
        <v>10</v>
      </c>
      <c r="H10" s="372">
        <v>60</v>
      </c>
      <c r="I10" s="372">
        <v>10</v>
      </c>
      <c r="J10" s="372">
        <v>60</v>
      </c>
      <c r="K10" s="372" t="s">
        <v>6</v>
      </c>
      <c r="L10" s="373"/>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99</v>
      </c>
      <c r="D11" s="377">
        <v>99</v>
      </c>
      <c r="E11" s="378">
        <v>99</v>
      </c>
      <c r="F11" s="377">
        <v>99</v>
      </c>
      <c r="G11" s="377">
        <v>98</v>
      </c>
      <c r="H11" s="377">
        <v>100</v>
      </c>
      <c r="I11" s="377">
        <v>98</v>
      </c>
      <c r="J11" s="377">
        <v>100</v>
      </c>
      <c r="K11" s="379"/>
      <c r="L11" s="380" t="s">
        <v>961</v>
      </c>
      <c r="M11" s="370"/>
      <c r="N11" s="370"/>
      <c r="P11" s="1199" t="str">
        <f>C7</f>
        <v>Electric boiler, 10 kV, steam</v>
      </c>
      <c r="Q11" s="1154" t="s">
        <v>730</v>
      </c>
      <c r="R11" s="381" t="s">
        <v>731</v>
      </c>
      <c r="S11" s="382" t="s">
        <v>842</v>
      </c>
      <c r="T11" s="1137">
        <v>0</v>
      </c>
      <c r="U11" s="1151">
        <v>1</v>
      </c>
      <c r="V11" s="1157">
        <v>0</v>
      </c>
      <c r="W11" s="1151">
        <v>1</v>
      </c>
      <c r="X11" s="1157">
        <v>0</v>
      </c>
      <c r="Y11" s="1151">
        <v>1</v>
      </c>
      <c r="Z11" s="1157">
        <v>0</v>
      </c>
      <c r="AA11" s="1151">
        <v>1</v>
      </c>
      <c r="AB11" s="1157">
        <v>0</v>
      </c>
      <c r="AC11" s="1151">
        <v>1</v>
      </c>
      <c r="AE11" s="1148" t="str">
        <f>P11</f>
        <v>Electric boiler, 10 kV, steam</v>
      </c>
      <c r="AF11" s="1154" t="s">
        <v>730</v>
      </c>
      <c r="AG11" s="381" t="s">
        <v>731</v>
      </c>
      <c r="AH11" s="382" t="str">
        <f t="shared" ref="AH11:AR14" si="0">S11</f>
        <v/>
      </c>
      <c r="AI11" s="1137">
        <f t="shared" si="0"/>
        <v>0</v>
      </c>
      <c r="AJ11" s="1151">
        <f t="shared" si="0"/>
        <v>1</v>
      </c>
      <c r="AK11" s="1157">
        <f t="shared" si="0"/>
        <v>0</v>
      </c>
      <c r="AL11" s="1151">
        <f t="shared" si="0"/>
        <v>1</v>
      </c>
      <c r="AM11" s="1157">
        <f t="shared" si="0"/>
        <v>0</v>
      </c>
      <c r="AN11" s="1151">
        <f t="shared" si="0"/>
        <v>1</v>
      </c>
      <c r="AO11" s="1157">
        <f t="shared" si="0"/>
        <v>0</v>
      </c>
      <c r="AP11" s="1151">
        <f t="shared" si="0"/>
        <v>1</v>
      </c>
      <c r="AQ11" s="1157">
        <f t="shared" si="0"/>
        <v>0</v>
      </c>
      <c r="AR11" s="1151">
        <f t="shared" si="0"/>
        <v>1</v>
      </c>
    </row>
    <row r="12" spans="1:44" ht="32.549999999999997" customHeight="1" outlineLevel="1">
      <c r="B12" s="383" t="s">
        <v>732</v>
      </c>
      <c r="C12" s="577">
        <v>99</v>
      </c>
      <c r="D12" s="577">
        <v>99</v>
      </c>
      <c r="E12" s="577">
        <v>99</v>
      </c>
      <c r="F12" s="577">
        <v>99</v>
      </c>
      <c r="G12" s="641">
        <v>98</v>
      </c>
      <c r="H12" s="641">
        <v>99</v>
      </c>
      <c r="I12" s="641">
        <v>98</v>
      </c>
      <c r="J12" s="641">
        <v>99</v>
      </c>
      <c r="K12" s="386"/>
      <c r="L12" s="387" t="s">
        <v>961</v>
      </c>
      <c r="M12" s="370"/>
      <c r="N12" s="370"/>
      <c r="O12" s="71"/>
      <c r="P12" s="1195"/>
      <c r="Q12" s="1155"/>
      <c r="R12" s="388" t="s">
        <v>733</v>
      </c>
      <c r="S12" s="389" t="s">
        <v>842</v>
      </c>
      <c r="T12" s="1140"/>
      <c r="U12" s="1152"/>
      <c r="V12" s="1158"/>
      <c r="W12" s="1152"/>
      <c r="X12" s="1158"/>
      <c r="Y12" s="1152"/>
      <c r="Z12" s="1158"/>
      <c r="AA12" s="1152"/>
      <c r="AB12" s="1158"/>
      <c r="AC12" s="1152"/>
      <c r="AE12" s="1195"/>
      <c r="AF12" s="1155"/>
      <c r="AG12" s="388" t="s">
        <v>733</v>
      </c>
      <c r="AH12" s="389" t="str">
        <f t="shared" si="0"/>
        <v/>
      </c>
      <c r="AI12" s="1140"/>
      <c r="AJ12" s="1152"/>
      <c r="AK12" s="1158"/>
      <c r="AL12" s="1152"/>
      <c r="AM12" s="1158"/>
      <c r="AN12" s="1152"/>
      <c r="AO12" s="1158"/>
      <c r="AP12" s="1152"/>
      <c r="AQ12" s="1158"/>
      <c r="AR12" s="1152"/>
    </row>
    <row r="13" spans="1:44" ht="15" outlineLevel="1" thickBot="1">
      <c r="B13" s="376" t="s">
        <v>734</v>
      </c>
      <c r="C13" s="390">
        <v>0.5</v>
      </c>
      <c r="D13" s="391">
        <v>0.5</v>
      </c>
      <c r="E13" s="391">
        <v>0.5</v>
      </c>
      <c r="F13" s="392">
        <v>0.5</v>
      </c>
      <c r="G13" s="391">
        <v>0.1</v>
      </c>
      <c r="H13" s="391">
        <v>0.5</v>
      </c>
      <c r="I13" s="391">
        <v>0.1</v>
      </c>
      <c r="J13" s="391">
        <v>0.5</v>
      </c>
      <c r="K13" s="379"/>
      <c r="L13" s="380" t="s">
        <v>961</v>
      </c>
      <c r="M13" s="370"/>
      <c r="N13" s="370"/>
      <c r="O13" s="71"/>
      <c r="P13" s="1195"/>
      <c r="Q13" s="1156"/>
      <c r="R13" s="393" t="s">
        <v>735</v>
      </c>
      <c r="S13" s="394" t="s">
        <v>738</v>
      </c>
      <c r="T13" s="1141"/>
      <c r="U13" s="1153"/>
      <c r="V13" s="1159"/>
      <c r="W13" s="1153"/>
      <c r="X13" s="1159"/>
      <c r="Y13" s="1153"/>
      <c r="Z13" s="1159"/>
      <c r="AA13" s="1153"/>
      <c r="AB13" s="1159"/>
      <c r="AC13" s="1153"/>
      <c r="AE13" s="1195"/>
      <c r="AF13" s="1156"/>
      <c r="AG13" s="393" t="s">
        <v>735</v>
      </c>
      <c r="AH13" s="394" t="str">
        <f t="shared" si="0"/>
        <v>x</v>
      </c>
      <c r="AI13" s="1141"/>
      <c r="AJ13" s="1153"/>
      <c r="AK13" s="1159"/>
      <c r="AL13" s="1153"/>
      <c r="AM13" s="1159"/>
      <c r="AN13" s="1153"/>
      <c r="AO13" s="1159"/>
      <c r="AP13" s="1153"/>
      <c r="AQ13" s="1159"/>
      <c r="AR13" s="1153"/>
    </row>
    <row r="14" spans="1:44" ht="15" customHeight="1" outlineLevel="1">
      <c r="B14" s="376" t="s">
        <v>657</v>
      </c>
      <c r="C14" s="390">
        <v>1</v>
      </c>
      <c r="D14" s="390">
        <v>1</v>
      </c>
      <c r="E14" s="390">
        <v>1</v>
      </c>
      <c r="F14" s="390">
        <v>1</v>
      </c>
      <c r="G14" s="390">
        <v>0.5</v>
      </c>
      <c r="H14" s="390">
        <v>1</v>
      </c>
      <c r="I14" s="390">
        <v>0.5</v>
      </c>
      <c r="J14" s="390">
        <v>1</v>
      </c>
      <c r="K14" s="379"/>
      <c r="L14" s="380" t="s">
        <v>961</v>
      </c>
      <c r="M14" s="370"/>
      <c r="N14" s="370"/>
      <c r="O14" s="71"/>
      <c r="P14" s="1195"/>
      <c r="Q14" s="1154" t="s">
        <v>736</v>
      </c>
      <c r="R14" s="395" t="s">
        <v>737</v>
      </c>
      <c r="S14" s="396" t="s">
        <v>738</v>
      </c>
      <c r="T14" s="1137">
        <v>0</v>
      </c>
      <c r="U14" s="1137">
        <v>1</v>
      </c>
      <c r="V14" s="1137">
        <v>0</v>
      </c>
      <c r="W14" s="1137">
        <v>1</v>
      </c>
      <c r="X14" s="1137">
        <v>0</v>
      </c>
      <c r="Y14" s="1137">
        <v>1</v>
      </c>
      <c r="Z14" s="1137">
        <v>0</v>
      </c>
      <c r="AA14" s="1137">
        <v>1</v>
      </c>
      <c r="AB14" s="1137">
        <v>0</v>
      </c>
      <c r="AC14" s="1151">
        <v>1</v>
      </c>
      <c r="AE14" s="1195"/>
      <c r="AF14" s="1154" t="s">
        <v>736</v>
      </c>
      <c r="AG14" s="395" t="s">
        <v>737</v>
      </c>
      <c r="AH14" s="396" t="str">
        <f t="shared" si="0"/>
        <v>x</v>
      </c>
      <c r="AI14" s="1137">
        <f t="shared" si="0"/>
        <v>0</v>
      </c>
      <c r="AJ14" s="1137">
        <f t="shared" si="0"/>
        <v>1</v>
      </c>
      <c r="AK14" s="1137">
        <f t="shared" si="0"/>
        <v>0</v>
      </c>
      <c r="AL14" s="1137">
        <f t="shared" si="0"/>
        <v>1</v>
      </c>
      <c r="AM14" s="1137">
        <f t="shared" si="0"/>
        <v>0</v>
      </c>
      <c r="AN14" s="1137">
        <f t="shared" si="0"/>
        <v>1</v>
      </c>
      <c r="AO14" s="1137">
        <f t="shared" si="0"/>
        <v>0</v>
      </c>
      <c r="AP14" s="1137">
        <f t="shared" si="0"/>
        <v>1</v>
      </c>
      <c r="AQ14" s="1137">
        <f t="shared" si="0"/>
        <v>0</v>
      </c>
      <c r="AR14" s="1151">
        <f t="shared" si="0"/>
        <v>1</v>
      </c>
    </row>
    <row r="15" spans="1:44" outlineLevel="1">
      <c r="B15" s="376" t="s">
        <v>658</v>
      </c>
      <c r="C15" s="390">
        <v>0.2</v>
      </c>
      <c r="D15" s="390">
        <v>0.2</v>
      </c>
      <c r="E15" s="390">
        <v>0.2</v>
      </c>
      <c r="F15" s="390">
        <v>0.2</v>
      </c>
      <c r="G15" s="390">
        <v>0.2</v>
      </c>
      <c r="H15" s="390">
        <v>0.2</v>
      </c>
      <c r="I15" s="390">
        <v>0.2</v>
      </c>
      <c r="J15" s="390">
        <v>0.2</v>
      </c>
      <c r="K15" s="379"/>
      <c r="L15" s="380">
        <v>2</v>
      </c>
      <c r="M15" s="367"/>
      <c r="N15" s="367"/>
      <c r="O15" s="71"/>
      <c r="P15" s="1195"/>
      <c r="Q15" s="1155"/>
      <c r="R15" s="395" t="s">
        <v>739</v>
      </c>
      <c r="S15" s="396" t="s">
        <v>738</v>
      </c>
      <c r="T15" s="1191"/>
      <c r="U15" s="1191"/>
      <c r="V15" s="1191"/>
      <c r="W15" s="1191"/>
      <c r="X15" s="1191"/>
      <c r="Y15" s="1191"/>
      <c r="Z15" s="1191"/>
      <c r="AA15" s="1191"/>
      <c r="AB15" s="1191"/>
      <c r="AC15" s="1193"/>
      <c r="AE15" s="1195"/>
      <c r="AF15" s="1155"/>
      <c r="AG15" s="395" t="s">
        <v>739</v>
      </c>
      <c r="AH15" s="396" t="str">
        <f>S15</f>
        <v>x</v>
      </c>
      <c r="AI15" s="1191"/>
      <c r="AJ15" s="1191"/>
      <c r="AK15" s="1191"/>
      <c r="AL15" s="1191"/>
      <c r="AM15" s="1191"/>
      <c r="AN15" s="1191"/>
      <c r="AO15" s="1191"/>
      <c r="AP15" s="1191"/>
      <c r="AQ15" s="1191"/>
      <c r="AR15" s="1193"/>
    </row>
    <row r="16" spans="1:44" outlineLevel="1">
      <c r="B16" s="383" t="s">
        <v>11</v>
      </c>
      <c r="C16" s="397">
        <v>25</v>
      </c>
      <c r="D16" s="397">
        <v>25</v>
      </c>
      <c r="E16" s="397">
        <v>25</v>
      </c>
      <c r="F16" s="397">
        <v>25</v>
      </c>
      <c r="G16" s="398">
        <v>20</v>
      </c>
      <c r="H16" s="398">
        <v>25</v>
      </c>
      <c r="I16" s="398">
        <v>20</v>
      </c>
      <c r="J16" s="398">
        <v>25</v>
      </c>
      <c r="K16" s="372"/>
      <c r="L16" s="373">
        <v>2</v>
      </c>
      <c r="M16" s="363"/>
      <c r="N16" s="363"/>
      <c r="P16" s="1195"/>
      <c r="Q16" s="1155"/>
      <c r="R16" s="395" t="s">
        <v>741</v>
      </c>
      <c r="S16" s="396" t="s">
        <v>738</v>
      </c>
      <c r="T16" s="1191"/>
      <c r="U16" s="1191"/>
      <c r="V16" s="1191"/>
      <c r="W16" s="1191"/>
      <c r="X16" s="1191"/>
      <c r="Y16" s="1191"/>
      <c r="Z16" s="1191"/>
      <c r="AA16" s="1191"/>
      <c r="AB16" s="1191"/>
      <c r="AC16" s="1193"/>
      <c r="AE16" s="1195"/>
      <c r="AF16" s="1155"/>
      <c r="AG16" s="395" t="s">
        <v>741</v>
      </c>
      <c r="AH16" s="629" t="str">
        <f>S16</f>
        <v>x</v>
      </c>
      <c r="AI16" s="1191"/>
      <c r="AJ16" s="1191"/>
      <c r="AK16" s="1191"/>
      <c r="AL16" s="1191"/>
      <c r="AM16" s="1191"/>
      <c r="AN16" s="1191"/>
      <c r="AO16" s="1191"/>
      <c r="AP16" s="1191"/>
      <c r="AQ16" s="1191"/>
      <c r="AR16" s="1193"/>
    </row>
    <row r="17" spans="1:44" ht="15" outlineLevel="1" thickBot="1">
      <c r="B17" s="376" t="s">
        <v>273</v>
      </c>
      <c r="C17" s="399">
        <v>0.5</v>
      </c>
      <c r="D17" s="399">
        <v>0.5</v>
      </c>
      <c r="E17" s="399">
        <v>0.5</v>
      </c>
      <c r="F17" s="399">
        <v>0.5</v>
      </c>
      <c r="G17" s="399">
        <v>0.5</v>
      </c>
      <c r="H17" s="399">
        <v>1</v>
      </c>
      <c r="I17" s="399">
        <v>0.5</v>
      </c>
      <c r="J17" s="399">
        <v>1</v>
      </c>
      <c r="K17" s="372"/>
      <c r="L17" s="400">
        <v>1</v>
      </c>
      <c r="M17" s="363"/>
      <c r="N17" s="363"/>
      <c r="P17" s="1195"/>
      <c r="Q17" s="1155"/>
      <c r="R17" s="395" t="s">
        <v>742</v>
      </c>
      <c r="S17" s="396" t="s">
        <v>738</v>
      </c>
      <c r="T17" s="1191"/>
      <c r="U17" s="1191"/>
      <c r="V17" s="1191"/>
      <c r="W17" s="1191"/>
      <c r="X17" s="1191"/>
      <c r="Y17" s="1191"/>
      <c r="Z17" s="1191"/>
      <c r="AA17" s="1191"/>
      <c r="AB17" s="1191"/>
      <c r="AC17" s="1193"/>
      <c r="AE17" s="1195"/>
      <c r="AF17" s="1155"/>
      <c r="AG17" s="395" t="s">
        <v>742</v>
      </c>
      <c r="AH17" s="396" t="str">
        <f>S17</f>
        <v>x</v>
      </c>
      <c r="AI17" s="1191"/>
      <c r="AJ17" s="1191"/>
      <c r="AK17" s="1191"/>
      <c r="AL17" s="1191"/>
      <c r="AM17" s="1191"/>
      <c r="AN17" s="1191"/>
      <c r="AO17" s="1191"/>
      <c r="AP17" s="1191"/>
      <c r="AQ17" s="1191"/>
      <c r="AR17" s="1193"/>
    </row>
    <row r="18" spans="1:44" ht="15" outlineLevel="1" thickBot="1">
      <c r="B18" s="401" t="s">
        <v>743</v>
      </c>
      <c r="C18" s="402"/>
      <c r="D18" s="403"/>
      <c r="E18" s="404"/>
      <c r="F18" s="405"/>
      <c r="G18" s="406"/>
      <c r="H18" s="406"/>
      <c r="I18" s="406"/>
      <c r="J18" s="406"/>
      <c r="K18" s="407"/>
      <c r="L18" s="408"/>
      <c r="M18" s="363"/>
      <c r="N18" s="363"/>
      <c r="P18" s="1195"/>
      <c r="Q18" s="1156"/>
      <c r="R18" s="409" t="s">
        <v>863</v>
      </c>
      <c r="S18" s="410" t="s">
        <v>738</v>
      </c>
      <c r="T18" s="1192"/>
      <c r="U18" s="1192"/>
      <c r="V18" s="1192"/>
      <c r="W18" s="1192"/>
      <c r="X18" s="1192"/>
      <c r="Y18" s="1192"/>
      <c r="Z18" s="1192"/>
      <c r="AA18" s="1192"/>
      <c r="AB18" s="1192"/>
      <c r="AC18" s="1194"/>
      <c r="AE18" s="1195"/>
      <c r="AF18" s="1156"/>
      <c r="AG18" s="409" t="s">
        <v>863</v>
      </c>
      <c r="AH18" s="410" t="str">
        <f>S18</f>
        <v>x</v>
      </c>
      <c r="AI18" s="1192"/>
      <c r="AJ18" s="1192"/>
      <c r="AK18" s="1192"/>
      <c r="AL18" s="1192"/>
      <c r="AM18" s="1192"/>
      <c r="AN18" s="1192"/>
      <c r="AO18" s="1192"/>
      <c r="AP18" s="1192"/>
      <c r="AQ18" s="1192"/>
      <c r="AR18" s="1194"/>
    </row>
    <row r="19" spans="1:44" ht="29.4" outlineLevel="1" thickBot="1">
      <c r="B19" s="376" t="s">
        <v>663</v>
      </c>
      <c r="C19" s="390">
        <v>2</v>
      </c>
      <c r="D19" s="390">
        <v>2</v>
      </c>
      <c r="E19" s="390">
        <v>2</v>
      </c>
      <c r="F19" s="390">
        <v>2</v>
      </c>
      <c r="G19" s="391"/>
      <c r="H19" s="391"/>
      <c r="I19" s="391"/>
      <c r="J19" s="391"/>
      <c r="K19" s="379"/>
      <c r="L19" s="380">
        <v>2</v>
      </c>
      <c r="M19" s="363"/>
      <c r="N19" s="363"/>
      <c r="P19" s="1196"/>
      <c r="Q19" s="411" t="s">
        <v>745</v>
      </c>
      <c r="R19" s="412" t="s">
        <v>746</v>
      </c>
      <c r="S19" s="630" t="s">
        <v>738</v>
      </c>
      <c r="T19" s="416">
        <v>1</v>
      </c>
      <c r="U19" s="415">
        <v>1</v>
      </c>
      <c r="V19" s="416">
        <v>1</v>
      </c>
      <c r="W19" s="415">
        <v>1</v>
      </c>
      <c r="X19" s="416">
        <v>1</v>
      </c>
      <c r="Y19" s="415">
        <v>1</v>
      </c>
      <c r="Z19" s="416">
        <v>1</v>
      </c>
      <c r="AA19" s="415">
        <v>1</v>
      </c>
      <c r="AB19" s="416">
        <v>1</v>
      </c>
      <c r="AC19" s="417">
        <v>1</v>
      </c>
      <c r="AE19" s="1196"/>
      <c r="AF19" s="411" t="s">
        <v>745</v>
      </c>
      <c r="AG19" s="631" t="s">
        <v>746</v>
      </c>
      <c r="AH19" s="632" t="s">
        <v>738</v>
      </c>
      <c r="AI19" s="416">
        <v>1</v>
      </c>
      <c r="AJ19" s="415">
        <v>1</v>
      </c>
      <c r="AK19" s="416">
        <v>1</v>
      </c>
      <c r="AL19" s="415">
        <v>1</v>
      </c>
      <c r="AM19" s="416">
        <v>1</v>
      </c>
      <c r="AN19" s="415">
        <v>1</v>
      </c>
      <c r="AO19" s="416">
        <v>1</v>
      </c>
      <c r="AP19" s="415">
        <v>1</v>
      </c>
      <c r="AQ19" s="416">
        <v>1</v>
      </c>
      <c r="AR19" s="417">
        <v>1</v>
      </c>
    </row>
    <row r="20" spans="1:44" outlineLevel="1">
      <c r="B20" s="376" t="s">
        <v>664</v>
      </c>
      <c r="C20" s="390">
        <v>0.03</v>
      </c>
      <c r="D20" s="390">
        <v>0.03</v>
      </c>
      <c r="E20" s="390">
        <v>0.03</v>
      </c>
      <c r="F20" s="390">
        <v>0.03</v>
      </c>
      <c r="G20" s="418"/>
      <c r="H20" s="418"/>
      <c r="I20" s="418"/>
      <c r="J20" s="418"/>
      <c r="K20" s="419"/>
      <c r="L20" s="380">
        <v>2</v>
      </c>
      <c r="M20" s="363"/>
      <c r="N20" s="363"/>
    </row>
    <row r="21" spans="1:44" outlineLevel="1">
      <c r="B21" s="376" t="s">
        <v>666</v>
      </c>
      <c r="C21" s="390">
        <v>0.17</v>
      </c>
      <c r="D21" s="390">
        <v>0.17</v>
      </c>
      <c r="E21" s="390">
        <v>0.17</v>
      </c>
      <c r="F21" s="390">
        <v>0.17</v>
      </c>
      <c r="G21" s="418"/>
      <c r="H21" s="418"/>
      <c r="I21" s="418"/>
      <c r="J21" s="418"/>
      <c r="K21" s="419"/>
      <c r="L21" s="380">
        <v>2</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843</v>
      </c>
      <c r="C23" s="1231" t="s">
        <v>669</v>
      </c>
      <c r="D23" s="1232"/>
      <c r="E23" s="1232"/>
      <c r="F23" s="1233"/>
      <c r="G23" s="422"/>
      <c r="H23" s="425"/>
      <c r="I23" s="425"/>
      <c r="J23" s="425"/>
      <c r="K23" s="426"/>
      <c r="L23" s="427"/>
      <c r="M23" s="428"/>
      <c r="N23" s="428"/>
    </row>
    <row r="24" spans="1:44" outlineLevel="1">
      <c r="B24" s="383" t="s">
        <v>749</v>
      </c>
      <c r="C24" s="1234"/>
      <c r="D24" s="1235"/>
      <c r="E24" s="1235"/>
      <c r="F24" s="1236"/>
      <c r="G24" s="425"/>
      <c r="H24" s="425"/>
      <c r="I24" s="425"/>
      <c r="J24" s="425"/>
      <c r="K24" s="423"/>
      <c r="L24" s="427"/>
      <c r="M24" s="428"/>
      <c r="N24" s="428"/>
    </row>
    <row r="25" spans="1:44" outlineLevel="1">
      <c r="B25" s="383" t="s">
        <v>844</v>
      </c>
      <c r="C25" s="1234"/>
      <c r="D25" s="1235"/>
      <c r="E25" s="1235"/>
      <c r="F25" s="1236"/>
      <c r="G25" s="425"/>
      <c r="H25" s="425"/>
      <c r="I25" s="425"/>
      <c r="J25" s="425"/>
      <c r="K25" s="423"/>
      <c r="L25" s="427"/>
      <c r="M25" s="428"/>
      <c r="N25" s="428"/>
    </row>
    <row r="26" spans="1:44" outlineLevel="1">
      <c r="B26" s="383" t="s">
        <v>366</v>
      </c>
      <c r="C26" s="1234"/>
      <c r="D26" s="1235"/>
      <c r="E26" s="1235"/>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511">
        <v>0.08</v>
      </c>
      <c r="D29" s="512">
        <v>7.0000000000000007E-2</v>
      </c>
      <c r="E29" s="512">
        <v>7.0000000000000007E-2</v>
      </c>
      <c r="F29" s="513">
        <v>7.0000000000000007E-2</v>
      </c>
      <c r="G29" s="425"/>
      <c r="H29" s="425"/>
      <c r="I29" s="425"/>
      <c r="J29" s="425"/>
      <c r="K29" s="426" t="s">
        <v>838</v>
      </c>
      <c r="L29" s="440" t="s">
        <v>961</v>
      </c>
      <c r="M29" s="420"/>
      <c r="N29" s="420"/>
    </row>
    <row r="30" spans="1:44" outlineLevel="1">
      <c r="B30" s="441" t="s">
        <v>839</v>
      </c>
      <c r="C30" s="442">
        <v>85</v>
      </c>
      <c r="D30" s="442">
        <v>85</v>
      </c>
      <c r="E30" s="442">
        <v>85</v>
      </c>
      <c r="F30" s="442">
        <v>85</v>
      </c>
      <c r="G30" s="425"/>
      <c r="H30" s="425"/>
      <c r="I30" s="425"/>
      <c r="J30" s="425"/>
      <c r="K30" s="444"/>
      <c r="L30" s="373">
        <v>1</v>
      </c>
      <c r="M30" s="71"/>
      <c r="N30" s="420"/>
    </row>
    <row r="31" spans="1:44" outlineLevel="1">
      <c r="B31" s="441" t="s">
        <v>840</v>
      </c>
      <c r="C31" s="442">
        <v>15</v>
      </c>
      <c r="D31" s="442">
        <v>15</v>
      </c>
      <c r="E31" s="442">
        <v>15</v>
      </c>
      <c r="F31" s="442">
        <v>15</v>
      </c>
      <c r="G31" s="425"/>
      <c r="H31" s="425"/>
      <c r="I31" s="425"/>
      <c r="J31" s="425"/>
      <c r="K31" s="444"/>
      <c r="L31" s="373">
        <v>1</v>
      </c>
      <c r="M31" s="420"/>
      <c r="N31" s="420"/>
    </row>
    <row r="32" spans="1:44" outlineLevel="1">
      <c r="B32" s="383" t="s">
        <v>841</v>
      </c>
      <c r="C32" s="445">
        <v>1070</v>
      </c>
      <c r="D32" s="446">
        <v>1020</v>
      </c>
      <c r="E32" s="446">
        <v>970</v>
      </c>
      <c r="F32" s="447">
        <v>920</v>
      </c>
      <c r="G32" s="425"/>
      <c r="H32" s="425"/>
      <c r="I32" s="425"/>
      <c r="J32" s="425"/>
      <c r="K32" s="448"/>
      <c r="L32" s="373">
        <v>1</v>
      </c>
      <c r="M32" s="420"/>
      <c r="N32" s="420"/>
    </row>
    <row r="33" spans="2:30" ht="37.049999999999997" customHeight="1" outlineLevel="1" thickBot="1">
      <c r="B33" s="383" t="s">
        <v>679</v>
      </c>
      <c r="C33" s="449">
        <f>C34+C35</f>
        <v>0.86499999999999999</v>
      </c>
      <c r="D33" s="449">
        <f t="shared" ref="D33:F33" si="1">D34+D35</f>
        <v>0.875</v>
      </c>
      <c r="E33" s="449">
        <f t="shared" si="1"/>
        <v>0.78</v>
      </c>
      <c r="F33" s="449">
        <f t="shared" si="1"/>
        <v>0.78</v>
      </c>
      <c r="G33" s="425"/>
      <c r="H33" s="425"/>
      <c r="I33" s="425"/>
      <c r="J33" s="425"/>
      <c r="K33" s="448"/>
      <c r="L33" s="373"/>
      <c r="M33" s="450"/>
      <c r="N33" s="361"/>
      <c r="P33" s="1142">
        <f>C33</f>
        <v>0.86499999999999999</v>
      </c>
      <c r="Q33" s="1143"/>
      <c r="R33" s="1143"/>
      <c r="S33" s="1143"/>
      <c r="T33" s="1143"/>
      <c r="U33" s="1144"/>
    </row>
    <row r="34" spans="2:30" ht="15.75" customHeight="1" outlineLevel="1" thickBot="1">
      <c r="B34" s="451" t="s">
        <v>758</v>
      </c>
      <c r="C34" s="452">
        <f>C13/100*73</f>
        <v>0.36499999999999999</v>
      </c>
      <c r="D34" s="452">
        <f>D13/100*75</f>
        <v>0.375</v>
      </c>
      <c r="E34" s="452">
        <f>E13/100*76</f>
        <v>0.38</v>
      </c>
      <c r="F34" s="452">
        <f>F13/100*76</f>
        <v>0.38</v>
      </c>
      <c r="G34" s="453"/>
      <c r="H34" s="453"/>
      <c r="I34" s="453"/>
      <c r="J34" s="453"/>
      <c r="K34" s="379" t="s">
        <v>20</v>
      </c>
      <c r="L34" s="380"/>
      <c r="M34" s="450"/>
      <c r="N34" s="361"/>
      <c r="P34" s="1134">
        <f>C34</f>
        <v>0.36499999999999999</v>
      </c>
      <c r="Q34" s="1135"/>
      <c r="R34" s="1135"/>
      <c r="S34" s="1135"/>
      <c r="T34" s="1135"/>
      <c r="U34" s="1136"/>
    </row>
    <row r="35" spans="2:30" outlineLevel="1">
      <c r="B35" s="451" t="s">
        <v>759</v>
      </c>
      <c r="C35" s="655">
        <v>0.5</v>
      </c>
      <c r="D35" s="655">
        <v>0.5</v>
      </c>
      <c r="E35" s="655">
        <v>0.4</v>
      </c>
      <c r="F35" s="655">
        <v>0.4</v>
      </c>
      <c r="G35" s="453"/>
      <c r="H35" s="453"/>
      <c r="I35" s="453"/>
      <c r="J35" s="453"/>
      <c r="K35" s="455"/>
      <c r="L35" s="380">
        <v>1</v>
      </c>
      <c r="M35" s="363"/>
      <c r="N35" s="363"/>
      <c r="P35" s="53" t="s">
        <v>357</v>
      </c>
    </row>
    <row r="36" spans="2:30" ht="27.6" outlineLevel="1">
      <c r="B36" s="441"/>
      <c r="C36" s="642"/>
      <c r="D36" s="642"/>
      <c r="E36" s="642"/>
      <c r="F36" s="642"/>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643" t="s">
        <v>36</v>
      </c>
      <c r="D39" s="643" t="s">
        <v>36</v>
      </c>
      <c r="E39" s="643" t="s">
        <v>36</v>
      </c>
      <c r="F39" s="643" t="s">
        <v>36</v>
      </c>
      <c r="G39" s="643"/>
      <c r="H39" s="643"/>
      <c r="I39" s="643"/>
      <c r="J39" s="643"/>
      <c r="K39" s="643" t="s">
        <v>76</v>
      </c>
      <c r="L39" s="464"/>
      <c r="M39" s="363"/>
      <c r="N39" s="363"/>
      <c r="O39" s="465">
        <f>C12</f>
        <v>99</v>
      </c>
      <c r="P39" s="466">
        <f>C8</f>
        <v>2020</v>
      </c>
      <c r="Q39" s="58">
        <f>P39</f>
        <v>2020</v>
      </c>
      <c r="R39" s="466">
        <f>O39/100</f>
        <v>0.99</v>
      </c>
      <c r="S39" s="58"/>
      <c r="T39" s="466">
        <f>C16</f>
        <v>25</v>
      </c>
      <c r="U39" s="467">
        <f>C46</f>
        <v>596</v>
      </c>
      <c r="V39" s="467">
        <f>C48</f>
        <v>7.9714999999999998</v>
      </c>
      <c r="W39" s="467">
        <f>C49</f>
        <v>1.7900694444444445</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t="s">
        <v>76</v>
      </c>
      <c r="L40" s="464"/>
      <c r="M40" s="363"/>
      <c r="N40" s="363"/>
      <c r="O40" s="465">
        <f>D12</f>
        <v>99</v>
      </c>
      <c r="P40" s="466">
        <f>D8</f>
        <v>2030</v>
      </c>
      <c r="Q40" s="58"/>
      <c r="R40" s="466">
        <f>O40/100</f>
        <v>0.99</v>
      </c>
      <c r="S40" s="58"/>
      <c r="T40" s="466">
        <f>D16</f>
        <v>25</v>
      </c>
      <c r="U40" s="467">
        <f>D46</f>
        <v>521.50000000000011</v>
      </c>
      <c r="V40" s="467">
        <f>D48</f>
        <v>7.5990000000000002</v>
      </c>
      <c r="W40" s="467">
        <f>D49</f>
        <v>1.8107638888888888</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99</v>
      </c>
      <c r="P41" s="466">
        <f>E8</f>
        <v>2040</v>
      </c>
      <c r="Q41" s="58"/>
      <c r="R41" s="466">
        <f>O41/100</f>
        <v>0.99</v>
      </c>
      <c r="S41" s="58"/>
      <c r="T41" s="466">
        <f>E16</f>
        <v>25</v>
      </c>
      <c r="U41" s="467">
        <f>E46</f>
        <v>521.50000000000011</v>
      </c>
      <c r="V41" s="467">
        <f>E48</f>
        <v>7.2264999999999997</v>
      </c>
      <c r="W41" s="467">
        <f>E49</f>
        <v>1.6141666666666665</v>
      </c>
      <c r="X41" s="58"/>
      <c r="Y41" s="58"/>
      <c r="Z41" s="466">
        <f>E23</f>
        <v>0</v>
      </c>
      <c r="AA41" s="468">
        <f>E25</f>
        <v>0</v>
      </c>
      <c r="AB41" s="468">
        <f>E26</f>
        <v>0</v>
      </c>
      <c r="AC41" s="468">
        <f>E27</f>
        <v>0</v>
      </c>
      <c r="AD41" s="468">
        <f>E24</f>
        <v>0</v>
      </c>
    </row>
    <row r="42" spans="2:30" ht="14.55" customHeight="1" outlineLevel="1">
      <c r="B42" s="376" t="s">
        <v>765</v>
      </c>
      <c r="C42" s="1240" t="s">
        <v>669</v>
      </c>
      <c r="D42" s="1241"/>
      <c r="E42" s="1241"/>
      <c r="F42" s="1242"/>
      <c r="G42" s="474"/>
      <c r="H42" s="474"/>
      <c r="I42" s="474"/>
      <c r="J42" s="474"/>
      <c r="K42" s="474"/>
      <c r="L42" s="380"/>
      <c r="M42" s="363"/>
      <c r="N42" s="363"/>
      <c r="O42" s="465">
        <f>F12</f>
        <v>99</v>
      </c>
      <c r="P42" s="466">
        <f>F8</f>
        <v>2050</v>
      </c>
      <c r="Q42" s="58"/>
      <c r="R42" s="466">
        <f>O42/100</f>
        <v>0.99</v>
      </c>
      <c r="S42" s="58"/>
      <c r="T42" s="466">
        <f>F16</f>
        <v>25</v>
      </c>
      <c r="U42" s="467">
        <f>F46</f>
        <v>521.50000000000011</v>
      </c>
      <c r="V42" s="467">
        <f>F48</f>
        <v>6.8540000000000001</v>
      </c>
      <c r="W42" s="467">
        <f>F49</f>
        <v>1.6141666666666665</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644" t="s">
        <v>36</v>
      </c>
      <c r="D45" s="645" t="s">
        <v>36</v>
      </c>
      <c r="E45" s="645" t="s">
        <v>36</v>
      </c>
      <c r="F45" s="646" t="s">
        <v>36</v>
      </c>
      <c r="G45" s="481"/>
      <c r="H45" s="481"/>
      <c r="I45" s="481"/>
      <c r="J45" s="481"/>
      <c r="K45" s="481"/>
      <c r="L45" s="482"/>
      <c r="M45" s="363"/>
      <c r="N45" s="363"/>
    </row>
    <row r="46" spans="2:30" ht="57.6" outlineLevel="1">
      <c r="B46" s="461" t="s">
        <v>769</v>
      </c>
      <c r="C46" s="483">
        <f>C29*$F$4*1000</f>
        <v>596</v>
      </c>
      <c r="D46" s="483">
        <f t="shared" ref="D46:F46" si="2">D29*$F$4*1000</f>
        <v>521.50000000000011</v>
      </c>
      <c r="E46" s="483">
        <f t="shared" si="2"/>
        <v>521.50000000000011</v>
      </c>
      <c r="F46" s="483">
        <f t="shared" si="2"/>
        <v>521.50000000000011</v>
      </c>
      <c r="G46" s="483"/>
      <c r="H46" s="484"/>
      <c r="I46" s="420" t="s">
        <v>332</v>
      </c>
      <c r="J46" s="420"/>
      <c r="K46" s="484"/>
      <c r="L46" s="484"/>
      <c r="N46" s="420"/>
    </row>
    <row r="47" spans="2:30" outlineLevel="1">
      <c r="B47" s="485" t="s">
        <v>770</v>
      </c>
      <c r="C47" s="486">
        <f>C46*$I47</f>
        <v>298000</v>
      </c>
      <c r="D47" s="486">
        <f>D46*$I47</f>
        <v>260750.00000000006</v>
      </c>
      <c r="E47" s="486">
        <f>E46*$I47</f>
        <v>260750.00000000006</v>
      </c>
      <c r="F47" s="486">
        <f>F46*$I47</f>
        <v>260750.00000000006</v>
      </c>
      <c r="G47" s="486"/>
      <c r="H47" s="484"/>
      <c r="I47" s="71">
        <v>500</v>
      </c>
      <c r="J47" s="420" t="s">
        <v>330</v>
      </c>
      <c r="K47" s="484"/>
      <c r="L47" s="484"/>
      <c r="N47" s="420"/>
    </row>
    <row r="48" spans="2:30" ht="43.2" outlineLevel="1">
      <c r="B48" s="461" t="s">
        <v>845</v>
      </c>
      <c r="C48" s="359">
        <f>C32*$F$4/1000</f>
        <v>7.9714999999999998</v>
      </c>
      <c r="D48" s="359">
        <f t="shared" ref="D48:F48" si="3">D32*$F$4/1000</f>
        <v>7.5990000000000002</v>
      </c>
      <c r="E48" s="359">
        <f t="shared" si="3"/>
        <v>7.2264999999999997</v>
      </c>
      <c r="F48" s="359">
        <f t="shared" si="3"/>
        <v>6.8540000000000001</v>
      </c>
      <c r="G48" s="359"/>
      <c r="I48" s="420" t="s">
        <v>333</v>
      </c>
      <c r="J48" s="420"/>
      <c r="N48" s="420"/>
    </row>
    <row r="49" spans="2:14" ht="43.2" outlineLevel="1">
      <c r="B49" s="461" t="s">
        <v>846</v>
      </c>
      <c r="C49" s="487">
        <f>C33*$F$4/3.6</f>
        <v>1.7900694444444445</v>
      </c>
      <c r="D49" s="487">
        <f t="shared" ref="D49:F49" si="4">D33*$F$4/3.6</f>
        <v>1.8107638888888888</v>
      </c>
      <c r="E49" s="487">
        <f t="shared" si="4"/>
        <v>1.6141666666666665</v>
      </c>
      <c r="F49" s="487">
        <f t="shared" si="4"/>
        <v>1.6141666666666665</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649" t="s">
        <v>773</v>
      </c>
      <c r="C55" s="358"/>
      <c r="D55" s="358"/>
      <c r="E55" s="358"/>
      <c r="F55" s="358"/>
      <c r="G55" s="358"/>
      <c r="H55" s="358"/>
      <c r="I55" s="358"/>
      <c r="J55" s="358"/>
      <c r="K55" s="358"/>
      <c r="L55" s="358"/>
    </row>
    <row r="56" spans="2:14" outlineLevel="1">
      <c r="B56" s="677">
        <v>1</v>
      </c>
      <c r="C56" s="490" t="s">
        <v>850</v>
      </c>
      <c r="D56" s="490"/>
      <c r="F56" s="358"/>
      <c r="G56" s="358"/>
      <c r="H56" s="358"/>
      <c r="I56" s="358"/>
      <c r="J56" s="358"/>
      <c r="K56" s="358"/>
      <c r="L56" s="358"/>
    </row>
    <row r="57" spans="2:14" outlineLevel="1">
      <c r="B57" s="677">
        <v>2</v>
      </c>
      <c r="C57" s="635" t="s">
        <v>962</v>
      </c>
      <c r="D57" s="490"/>
      <c r="F57" s="358"/>
      <c r="G57" s="358"/>
      <c r="H57" s="358"/>
      <c r="I57" s="358"/>
      <c r="J57" s="358"/>
      <c r="K57" s="358"/>
      <c r="L57" s="358"/>
    </row>
    <row r="58" spans="2:14" outlineLevel="1">
      <c r="B58" s="677">
        <v>3</v>
      </c>
      <c r="C58" s="635" t="s">
        <v>963</v>
      </c>
      <c r="D58" s="490"/>
      <c r="F58" s="358"/>
      <c r="G58" s="358"/>
      <c r="H58" s="358"/>
      <c r="I58" s="358"/>
      <c r="J58" s="358"/>
      <c r="K58" s="358"/>
      <c r="L58" s="358"/>
    </row>
    <row r="59" spans="2:14" outlineLevel="1">
      <c r="B59" s="358" t="s">
        <v>783</v>
      </c>
      <c r="C59" s="358"/>
      <c r="D59" s="490"/>
      <c r="F59" s="358"/>
      <c r="G59" s="358"/>
      <c r="H59" s="358"/>
      <c r="I59" s="358"/>
      <c r="J59" s="358"/>
      <c r="K59" s="358"/>
      <c r="L59" s="358"/>
    </row>
    <row r="60" spans="2:14" outlineLevel="1">
      <c r="B60" s="678" t="s">
        <v>6</v>
      </c>
      <c r="C60" s="490" t="s">
        <v>964</v>
      </c>
      <c r="D60" s="490"/>
      <c r="F60" s="358"/>
      <c r="G60" s="358"/>
      <c r="H60" s="358"/>
      <c r="I60" s="358"/>
      <c r="J60" s="358"/>
      <c r="K60" s="358"/>
      <c r="L60" s="358"/>
    </row>
    <row r="61" spans="2:14" outlineLevel="1">
      <c r="B61" s="678" t="s">
        <v>59</v>
      </c>
      <c r="C61" s="635" t="s">
        <v>965</v>
      </c>
      <c r="D61" s="490"/>
      <c r="F61" s="358"/>
      <c r="G61" s="358"/>
      <c r="H61" s="358"/>
      <c r="I61" s="358"/>
      <c r="J61" s="358"/>
      <c r="K61" s="358"/>
      <c r="L61" s="358"/>
    </row>
    <row r="62" spans="2:14" outlineLevel="1">
      <c r="B62" s="679" t="s">
        <v>16</v>
      </c>
      <c r="C62" s="490" t="s">
        <v>966</v>
      </c>
      <c r="D62" s="490"/>
      <c r="F62" s="358"/>
      <c r="G62" s="358"/>
      <c r="H62" s="358"/>
      <c r="I62" s="358"/>
      <c r="J62" s="358"/>
      <c r="K62" s="358"/>
      <c r="L62" s="358"/>
    </row>
    <row r="63" spans="2:14" outlineLevel="1">
      <c r="B63" s="678" t="s">
        <v>20</v>
      </c>
      <c r="C63" s="489" t="s">
        <v>788</v>
      </c>
      <c r="D63" s="490"/>
      <c r="F63" s="358"/>
      <c r="G63" s="358"/>
      <c r="H63" s="358"/>
      <c r="I63" s="358"/>
      <c r="J63" s="358"/>
      <c r="K63" s="358"/>
      <c r="L63" s="358"/>
    </row>
    <row r="64" spans="2:14" outlineLevel="1">
      <c r="B64" s="678" t="s">
        <v>76</v>
      </c>
      <c r="C64" s="490" t="s">
        <v>789</v>
      </c>
      <c r="D64" s="490"/>
      <c r="F64" s="358"/>
      <c r="G64" s="358"/>
      <c r="H64" s="358"/>
      <c r="I64" s="358"/>
      <c r="J64" s="358"/>
      <c r="K64" s="358"/>
      <c r="L64" s="358"/>
    </row>
    <row r="65" spans="2:12" outlineLevel="1">
      <c r="B65" s="656"/>
      <c r="C65" s="489"/>
      <c r="D65" s="358"/>
      <c r="F65" s="358"/>
      <c r="G65" s="358"/>
      <c r="H65" s="358"/>
      <c r="I65" s="358"/>
      <c r="J65" s="358"/>
      <c r="K65" s="358"/>
      <c r="L65" s="358"/>
    </row>
    <row r="66" spans="2:12" outlineLevel="1">
      <c r="F66" s="358"/>
      <c r="G66" s="358"/>
      <c r="H66" s="358"/>
      <c r="I66" s="358"/>
      <c r="J66" s="358"/>
      <c r="K66" s="358"/>
      <c r="L66" s="358"/>
    </row>
    <row r="67" spans="2:12" outlineLevel="1">
      <c r="B67" s="656"/>
      <c r="C67" s="490"/>
      <c r="D67" s="358"/>
      <c r="F67" s="358"/>
      <c r="G67" s="358"/>
      <c r="H67" s="358"/>
      <c r="I67" s="358"/>
      <c r="J67" s="358"/>
      <c r="K67" s="358"/>
      <c r="L67" s="358"/>
    </row>
    <row r="68" spans="2:12" outlineLevel="1">
      <c r="B68" s="656"/>
      <c r="C68" s="490"/>
      <c r="D68" s="358"/>
      <c r="F68" s="358"/>
      <c r="G68" s="358"/>
      <c r="H68" s="358"/>
      <c r="I68" s="358"/>
      <c r="J68" s="358"/>
      <c r="K68" s="358"/>
      <c r="L68" s="358"/>
    </row>
    <row r="69" spans="2:12" outlineLevel="1">
      <c r="F69" s="358"/>
      <c r="G69" s="358"/>
      <c r="H69" s="358"/>
      <c r="I69" s="358"/>
      <c r="J69" s="358"/>
      <c r="K69" s="358"/>
      <c r="L69" s="358"/>
    </row>
    <row r="70" spans="2:12" outlineLevel="1">
      <c r="G70" s="358"/>
      <c r="H70" s="358"/>
      <c r="I70" s="358"/>
      <c r="J70" s="358"/>
      <c r="K70" s="358"/>
      <c r="L70" s="358"/>
    </row>
    <row r="71" spans="2:12" outlineLevel="1">
      <c r="E71" s="490"/>
      <c r="F71" s="490"/>
    </row>
    <row r="72" spans="2:12" outlineLevel="1">
      <c r="E72" s="490"/>
      <c r="F72" s="490"/>
    </row>
    <row r="73" spans="2:12" outlineLevel="1">
      <c r="E73" s="490"/>
      <c r="F73" s="490"/>
    </row>
    <row r="74" spans="2:12" outlineLevel="1">
      <c r="E74" s="490"/>
      <c r="F74" s="490"/>
    </row>
    <row r="75" spans="2:12" outlineLevel="1">
      <c r="E75" s="490"/>
      <c r="F75" s="490"/>
    </row>
    <row r="76" spans="2:12" outlineLevel="1">
      <c r="E76" s="490"/>
      <c r="F76" s="490"/>
    </row>
    <row r="77" spans="2:12" outlineLevel="1">
      <c r="E77" s="490"/>
      <c r="F77" s="490"/>
    </row>
    <row r="78" spans="2:12" outlineLevel="1">
      <c r="E78" s="490"/>
      <c r="F78" s="490"/>
    </row>
    <row r="79" spans="2:12" outlineLevel="1"/>
    <row r="80" spans="2:12" outlineLevel="1">
      <c r="B80" s="496"/>
      <c r="C80" s="489"/>
      <c r="D80" s="489"/>
    </row>
    <row r="81" spans="1:44" outlineLevel="1">
      <c r="B81" s="638" t="str">
        <f>C86</f>
        <v>Electric boiler, 10 kV, hot water</v>
      </c>
    </row>
    <row r="84" spans="1:44">
      <c r="A84" s="360" t="s">
        <v>972</v>
      </c>
      <c r="B84" s="1207"/>
      <c r="C84" s="1143"/>
      <c r="D84" s="1143"/>
      <c r="E84" s="1143"/>
      <c r="F84" s="1143"/>
      <c r="G84" s="1143"/>
      <c r="H84" s="1143"/>
      <c r="I84" s="1143"/>
      <c r="J84" s="1143"/>
      <c r="K84" s="1143"/>
      <c r="L84" s="1143"/>
      <c r="M84" s="1143"/>
      <c r="N84" s="361"/>
      <c r="P84" s="1143"/>
      <c r="Q84" s="1143"/>
      <c r="R84" s="1143"/>
      <c r="S84" s="1143"/>
      <c r="T84" s="1143"/>
      <c r="U84" s="1143"/>
    </row>
    <row r="85" spans="1:44" ht="15" outlineLevel="1" thickBot="1">
      <c r="B85" s="1207"/>
      <c r="C85" s="1143"/>
      <c r="D85" s="1143"/>
      <c r="E85" s="1143"/>
      <c r="F85" s="1143"/>
      <c r="G85" s="1143"/>
      <c r="H85" s="1143"/>
      <c r="I85" s="1143"/>
      <c r="J85" s="1143"/>
      <c r="K85" s="1143"/>
      <c r="L85" s="1143"/>
      <c r="M85" s="1143"/>
      <c r="N85" s="361"/>
      <c r="P85" s="692">
        <v>1</v>
      </c>
      <c r="Q85" s="692">
        <v>2</v>
      </c>
      <c r="R85" s="692">
        <v>3</v>
      </c>
      <c r="S85" s="692">
        <v>4</v>
      </c>
      <c r="T85" s="692">
        <v>5</v>
      </c>
      <c r="U85" s="692">
        <v>6</v>
      </c>
      <c r="V85" s="692">
        <v>7</v>
      </c>
      <c r="W85" s="692">
        <v>8</v>
      </c>
      <c r="X85" s="692">
        <v>9</v>
      </c>
      <c r="Y85" s="692">
        <v>10</v>
      </c>
      <c r="Z85" s="692">
        <v>11</v>
      </c>
      <c r="AA85" s="692">
        <v>12</v>
      </c>
      <c r="AB85" s="692">
        <v>13</v>
      </c>
      <c r="AC85" s="692">
        <v>14</v>
      </c>
    </row>
    <row r="86" spans="1:44" ht="20.55" customHeight="1" outlineLevel="1" thickBot="1">
      <c r="B86" s="362" t="s">
        <v>0</v>
      </c>
      <c r="C86" s="1204" t="s">
        <v>971</v>
      </c>
      <c r="D86" s="1205"/>
      <c r="E86" s="1205"/>
      <c r="F86" s="1205"/>
      <c r="G86" s="1205"/>
      <c r="H86" s="1205"/>
      <c r="I86" s="1205"/>
      <c r="J86" s="1205"/>
      <c r="K86" s="1205"/>
      <c r="L86" s="1206"/>
      <c r="M86" s="363"/>
      <c r="N86" s="363"/>
      <c r="P86" s="364" t="s">
        <v>713</v>
      </c>
      <c r="Q86" s="365"/>
      <c r="R86" s="366"/>
      <c r="S86" s="1176" t="s">
        <v>714</v>
      </c>
      <c r="T86" s="1160" t="s">
        <v>715</v>
      </c>
      <c r="U86" s="1161"/>
      <c r="V86" s="1160" t="s">
        <v>716</v>
      </c>
      <c r="W86" s="1161"/>
      <c r="X86" s="1160" t="s">
        <v>717</v>
      </c>
      <c r="Y86" s="1161"/>
      <c r="Z86" s="1160" t="s">
        <v>718</v>
      </c>
      <c r="AA86" s="1161"/>
      <c r="AB86" s="1160" t="s">
        <v>719</v>
      </c>
      <c r="AC86" s="1161"/>
      <c r="AE86" s="364" t="s">
        <v>720</v>
      </c>
      <c r="AF86" s="365"/>
      <c r="AG86" s="366"/>
      <c r="AH86" s="1176" t="s">
        <v>714</v>
      </c>
      <c r="AI86" s="1160" t="s">
        <v>715</v>
      </c>
      <c r="AJ86" s="1161"/>
      <c r="AK86" s="1160" t="s">
        <v>716</v>
      </c>
      <c r="AL86" s="1161"/>
      <c r="AM86" s="1160" t="s">
        <v>717</v>
      </c>
      <c r="AN86" s="1161"/>
      <c r="AO86" s="1160" t="s">
        <v>718</v>
      </c>
      <c r="AP86" s="1161"/>
      <c r="AQ86" s="1160" t="s">
        <v>719</v>
      </c>
      <c r="AR86" s="1161"/>
    </row>
    <row r="87" spans="1:44" ht="15" customHeight="1" outlineLevel="1" thickBot="1">
      <c r="B87" s="1164" t="s">
        <v>4</v>
      </c>
      <c r="C87" s="1166">
        <v>2020</v>
      </c>
      <c r="D87" s="1166">
        <v>2030</v>
      </c>
      <c r="E87" s="1166">
        <v>2040</v>
      </c>
      <c r="F87" s="1166">
        <v>2050</v>
      </c>
      <c r="G87" s="1200" t="s">
        <v>721</v>
      </c>
      <c r="H87" s="1201"/>
      <c r="I87" s="1200" t="s">
        <v>648</v>
      </c>
      <c r="J87" s="1201"/>
      <c r="K87" s="1202" t="s">
        <v>2</v>
      </c>
      <c r="L87" s="1202" t="s">
        <v>3</v>
      </c>
      <c r="M87" s="367"/>
      <c r="N87" s="367"/>
      <c r="P87" s="1180" t="s">
        <v>0</v>
      </c>
      <c r="Q87" s="368"/>
      <c r="R87" s="368"/>
      <c r="S87" s="1177"/>
      <c r="T87" s="1162"/>
      <c r="U87" s="1163"/>
      <c r="V87" s="1162"/>
      <c r="W87" s="1163"/>
      <c r="X87" s="1162"/>
      <c r="Y87" s="1163"/>
      <c r="Z87" s="1162"/>
      <c r="AA87" s="1163"/>
      <c r="AB87" s="1162"/>
      <c r="AC87" s="1163"/>
      <c r="AE87" s="1180" t="s">
        <v>0</v>
      </c>
      <c r="AF87" s="368"/>
      <c r="AG87" s="368"/>
      <c r="AH87" s="1177"/>
      <c r="AI87" s="1162"/>
      <c r="AJ87" s="1163"/>
      <c r="AK87" s="1162"/>
      <c r="AL87" s="1163"/>
      <c r="AM87" s="1162"/>
      <c r="AN87" s="1163"/>
      <c r="AO87" s="1162"/>
      <c r="AP87" s="1163"/>
      <c r="AQ87" s="1162"/>
      <c r="AR87" s="1163"/>
    </row>
    <row r="88" spans="1:44" ht="15" customHeight="1" outlineLevel="1" thickBot="1">
      <c r="B88" s="1165"/>
      <c r="C88" s="1167"/>
      <c r="D88" s="1167"/>
      <c r="E88" s="1167"/>
      <c r="F88" s="1167"/>
      <c r="G88" s="499" t="s">
        <v>649</v>
      </c>
      <c r="H88" s="499" t="s">
        <v>650</v>
      </c>
      <c r="I88" s="499" t="s">
        <v>649</v>
      </c>
      <c r="J88" s="499" t="s">
        <v>650</v>
      </c>
      <c r="K88" s="1203"/>
      <c r="L88" s="1203"/>
      <c r="M88" s="370"/>
      <c r="N88" s="370"/>
      <c r="P88" s="1181"/>
      <c r="Q88" s="1183" t="s">
        <v>722</v>
      </c>
      <c r="R88" s="1184" t="s">
        <v>723</v>
      </c>
      <c r="S88" s="1178"/>
      <c r="T88" s="1162"/>
      <c r="U88" s="1163"/>
      <c r="V88" s="1162"/>
      <c r="W88" s="1163"/>
      <c r="X88" s="1162"/>
      <c r="Y88" s="1163"/>
      <c r="Z88" s="1162"/>
      <c r="AA88" s="1163"/>
      <c r="AB88" s="1162"/>
      <c r="AC88" s="1163"/>
      <c r="AE88" s="1181"/>
      <c r="AF88" s="1197" t="s">
        <v>722</v>
      </c>
      <c r="AG88" s="1184" t="s">
        <v>723</v>
      </c>
      <c r="AH88" s="1178"/>
      <c r="AI88" s="1162"/>
      <c r="AJ88" s="1163"/>
      <c r="AK88" s="1162"/>
      <c r="AL88" s="1163"/>
      <c r="AM88" s="1162"/>
      <c r="AN88" s="1163"/>
      <c r="AO88" s="1162"/>
      <c r="AP88" s="1163"/>
      <c r="AQ88" s="1162"/>
      <c r="AR88" s="1163"/>
    </row>
    <row r="89" spans="1:44" ht="29.4" outlineLevel="1" thickBot="1">
      <c r="B89" s="371" t="s">
        <v>651</v>
      </c>
      <c r="C89" s="372">
        <v>15</v>
      </c>
      <c r="D89" s="372">
        <v>15</v>
      </c>
      <c r="E89" s="372">
        <v>15</v>
      </c>
      <c r="F89" s="372">
        <v>15</v>
      </c>
      <c r="G89" s="372">
        <v>10</v>
      </c>
      <c r="H89" s="372">
        <v>60</v>
      </c>
      <c r="I89" s="372">
        <v>10</v>
      </c>
      <c r="J89" s="372">
        <v>60</v>
      </c>
      <c r="K89" s="372" t="s">
        <v>6</v>
      </c>
      <c r="L89" s="373"/>
      <c r="M89" s="370"/>
      <c r="N89" s="370"/>
      <c r="O89" s="74"/>
      <c r="P89" s="1182"/>
      <c r="Q89" s="1179"/>
      <c r="R89" s="1185"/>
      <c r="S89" s="1179"/>
      <c r="T89" s="374" t="s">
        <v>726</v>
      </c>
      <c r="U89" s="375" t="s">
        <v>727</v>
      </c>
      <c r="V89" s="374" t="s">
        <v>726</v>
      </c>
      <c r="W89" s="375" t="s">
        <v>727</v>
      </c>
      <c r="X89" s="374" t="s">
        <v>726</v>
      </c>
      <c r="Y89" s="375" t="s">
        <v>727</v>
      </c>
      <c r="Z89" s="374" t="s">
        <v>726</v>
      </c>
      <c r="AA89" s="375" t="s">
        <v>727</v>
      </c>
      <c r="AB89" s="374" t="s">
        <v>726</v>
      </c>
      <c r="AC89" s="375" t="s">
        <v>727</v>
      </c>
      <c r="AE89" s="1182"/>
      <c r="AF89" s="1198"/>
      <c r="AG89" s="1185"/>
      <c r="AH89" s="1179"/>
      <c r="AI89" s="374" t="s">
        <v>726</v>
      </c>
      <c r="AJ89" s="375" t="s">
        <v>727</v>
      </c>
      <c r="AK89" s="374" t="s">
        <v>726</v>
      </c>
      <c r="AL89" s="375" t="s">
        <v>727</v>
      </c>
      <c r="AM89" s="374" t="s">
        <v>726</v>
      </c>
      <c r="AN89" s="375" t="s">
        <v>727</v>
      </c>
      <c r="AO89" s="374" t="s">
        <v>726</v>
      </c>
      <c r="AP89" s="375" t="s">
        <v>727</v>
      </c>
      <c r="AQ89" s="374" t="s">
        <v>726</v>
      </c>
      <c r="AR89" s="375" t="s">
        <v>727</v>
      </c>
    </row>
    <row r="90" spans="1:44" ht="15" customHeight="1" outlineLevel="1">
      <c r="B90" s="500" t="s">
        <v>728</v>
      </c>
      <c r="C90" s="501">
        <v>99</v>
      </c>
      <c r="D90" s="501">
        <v>99</v>
      </c>
      <c r="E90" s="502">
        <v>99</v>
      </c>
      <c r="F90" s="501">
        <v>99</v>
      </c>
      <c r="G90" s="501">
        <v>98</v>
      </c>
      <c r="H90" s="501">
        <v>100</v>
      </c>
      <c r="I90" s="501">
        <v>98</v>
      </c>
      <c r="J90" s="501">
        <v>100</v>
      </c>
      <c r="K90" s="503"/>
      <c r="L90" s="504" t="s">
        <v>961</v>
      </c>
      <c r="M90" s="370"/>
      <c r="N90" s="370"/>
      <c r="P90" s="1199" t="str">
        <f>C86</f>
        <v>Electric boiler, 10 kV, hot water</v>
      </c>
      <c r="Q90" s="1154" t="s">
        <v>730</v>
      </c>
      <c r="R90" s="381" t="s">
        <v>731</v>
      </c>
      <c r="S90" s="382" t="s">
        <v>842</v>
      </c>
      <c r="T90" s="1137">
        <v>0</v>
      </c>
      <c r="U90" s="1151">
        <v>0</v>
      </c>
      <c r="V90" s="1157">
        <v>0</v>
      </c>
      <c r="W90" s="1151">
        <v>0</v>
      </c>
      <c r="X90" s="1157">
        <v>0</v>
      </c>
      <c r="Y90" s="1151">
        <v>0</v>
      </c>
      <c r="Z90" s="1157">
        <v>0</v>
      </c>
      <c r="AA90" s="1151">
        <v>0</v>
      </c>
      <c r="AB90" s="1157">
        <v>0</v>
      </c>
      <c r="AC90" s="1151">
        <v>0</v>
      </c>
      <c r="AE90" s="1148" t="str">
        <f>P90</f>
        <v>Electric boiler, 10 kV, hot water</v>
      </c>
      <c r="AF90" s="1154" t="s">
        <v>730</v>
      </c>
      <c r="AG90" s="381" t="s">
        <v>731</v>
      </c>
      <c r="AH90" s="382" t="str">
        <f t="shared" ref="AH90:AR91" si="5">S90</f>
        <v/>
      </c>
      <c r="AI90" s="1137">
        <f t="shared" si="5"/>
        <v>0</v>
      </c>
      <c r="AJ90" s="1151">
        <f t="shared" si="5"/>
        <v>0</v>
      </c>
      <c r="AK90" s="1157">
        <f t="shared" si="5"/>
        <v>0</v>
      </c>
      <c r="AL90" s="1151">
        <f t="shared" si="5"/>
        <v>0</v>
      </c>
      <c r="AM90" s="1157">
        <f t="shared" si="5"/>
        <v>0</v>
      </c>
      <c r="AN90" s="1151">
        <f t="shared" si="5"/>
        <v>0</v>
      </c>
      <c r="AO90" s="1157">
        <f t="shared" si="5"/>
        <v>0</v>
      </c>
      <c r="AP90" s="1151">
        <f t="shared" si="5"/>
        <v>0</v>
      </c>
      <c r="AQ90" s="1157">
        <f t="shared" si="5"/>
        <v>0</v>
      </c>
      <c r="AR90" s="1151">
        <f t="shared" si="5"/>
        <v>0</v>
      </c>
    </row>
    <row r="91" spans="1:44" outlineLevel="1">
      <c r="B91" s="383" t="s">
        <v>732</v>
      </c>
      <c r="C91" s="577">
        <v>99</v>
      </c>
      <c r="D91" s="577">
        <v>99</v>
      </c>
      <c r="E91" s="577">
        <v>99</v>
      </c>
      <c r="F91" s="577">
        <v>99</v>
      </c>
      <c r="G91" s="576">
        <v>98</v>
      </c>
      <c r="H91" s="576">
        <v>99</v>
      </c>
      <c r="I91" s="576">
        <v>98</v>
      </c>
      <c r="J91" s="576">
        <v>99</v>
      </c>
      <c r="K91" s="372"/>
      <c r="L91" s="373" t="s">
        <v>961</v>
      </c>
      <c r="M91" s="370"/>
      <c r="N91" s="370"/>
      <c r="O91" s="71"/>
      <c r="P91" s="1195"/>
      <c r="Q91" s="1155"/>
      <c r="R91" s="388" t="s">
        <v>733</v>
      </c>
      <c r="S91" s="389" t="s">
        <v>842</v>
      </c>
      <c r="T91" s="1140"/>
      <c r="U91" s="1152"/>
      <c r="V91" s="1158"/>
      <c r="W91" s="1152"/>
      <c r="X91" s="1158"/>
      <c r="Y91" s="1152"/>
      <c r="Z91" s="1158"/>
      <c r="AA91" s="1152"/>
      <c r="AB91" s="1158"/>
      <c r="AC91" s="1152"/>
      <c r="AE91" s="1195"/>
      <c r="AF91" s="1155"/>
      <c r="AG91" s="388" t="s">
        <v>733</v>
      </c>
      <c r="AH91" s="389" t="str">
        <f t="shared" si="5"/>
        <v/>
      </c>
      <c r="AI91" s="1140"/>
      <c r="AJ91" s="1152"/>
      <c r="AK91" s="1158"/>
      <c r="AL91" s="1152"/>
      <c r="AM91" s="1158"/>
      <c r="AN91" s="1152"/>
      <c r="AO91" s="1158"/>
      <c r="AP91" s="1152"/>
      <c r="AQ91" s="1158"/>
      <c r="AR91" s="1152"/>
    </row>
    <row r="92" spans="1:44" ht="15" outlineLevel="1" thickBot="1">
      <c r="B92" s="500" t="s">
        <v>734</v>
      </c>
      <c r="C92" s="506">
        <v>0.5</v>
      </c>
      <c r="D92" s="507">
        <v>0.5</v>
      </c>
      <c r="E92" s="507">
        <v>0.5</v>
      </c>
      <c r="F92" s="508">
        <v>0.5</v>
      </c>
      <c r="G92" s="507">
        <v>0.1</v>
      </c>
      <c r="H92" s="507">
        <v>0.5</v>
      </c>
      <c r="I92" s="507">
        <v>0.1</v>
      </c>
      <c r="J92" s="507">
        <v>0.5</v>
      </c>
      <c r="K92" s="503"/>
      <c r="L92" s="504" t="s">
        <v>961</v>
      </c>
      <c r="M92" s="370"/>
      <c r="N92" s="370"/>
      <c r="O92" s="71"/>
      <c r="P92" s="1195"/>
      <c r="Q92" s="1156"/>
      <c r="R92" s="393" t="s">
        <v>735</v>
      </c>
      <c r="S92" s="394"/>
      <c r="T92" s="1141"/>
      <c r="U92" s="1153"/>
      <c r="V92" s="1159"/>
      <c r="W92" s="1153"/>
      <c r="X92" s="1159"/>
      <c r="Y92" s="1153"/>
      <c r="Z92" s="1159"/>
      <c r="AA92" s="1153"/>
      <c r="AB92" s="1159"/>
      <c r="AC92" s="1153"/>
      <c r="AE92" s="1195"/>
      <c r="AF92" s="1156"/>
      <c r="AG92" s="393" t="s">
        <v>735</v>
      </c>
      <c r="AH92" s="394"/>
      <c r="AI92" s="1141"/>
      <c r="AJ92" s="1153"/>
      <c r="AK92" s="1159"/>
      <c r="AL92" s="1153"/>
      <c r="AM92" s="1159"/>
      <c r="AN92" s="1153"/>
      <c r="AO92" s="1159"/>
      <c r="AP92" s="1153"/>
      <c r="AQ92" s="1159"/>
      <c r="AR92" s="1153"/>
    </row>
    <row r="93" spans="1:44" ht="15" customHeight="1" outlineLevel="1">
      <c r="B93" s="500" t="s">
        <v>657</v>
      </c>
      <c r="C93" s="506">
        <v>1</v>
      </c>
      <c r="D93" s="506">
        <v>1</v>
      </c>
      <c r="E93" s="506">
        <v>1</v>
      </c>
      <c r="F93" s="506">
        <v>1</v>
      </c>
      <c r="G93" s="506">
        <v>0.5</v>
      </c>
      <c r="H93" s="506">
        <v>1</v>
      </c>
      <c r="I93" s="506">
        <v>0.5</v>
      </c>
      <c r="J93" s="506">
        <v>1</v>
      </c>
      <c r="K93" s="503"/>
      <c r="L93" s="504" t="s">
        <v>961</v>
      </c>
      <c r="M93" s="370"/>
      <c r="N93" s="370"/>
      <c r="O93" s="71"/>
      <c r="P93" s="1195"/>
      <c r="Q93" s="1154" t="s">
        <v>736</v>
      </c>
      <c r="R93" s="395" t="s">
        <v>737</v>
      </c>
      <c r="S93" s="396" t="s">
        <v>738</v>
      </c>
      <c r="T93" s="1137">
        <v>0</v>
      </c>
      <c r="U93" s="1137">
        <v>0.67</v>
      </c>
      <c r="V93" s="1137">
        <v>0</v>
      </c>
      <c r="W93" s="1137">
        <v>0.56999999999999995</v>
      </c>
      <c r="X93" s="1137">
        <v>0</v>
      </c>
      <c r="Y93" s="1137">
        <v>0.5</v>
      </c>
      <c r="Z93" s="1137">
        <v>0</v>
      </c>
      <c r="AA93" s="1137">
        <v>0.51</v>
      </c>
      <c r="AB93" s="1137">
        <v>0</v>
      </c>
      <c r="AC93" s="1151">
        <v>0.41</v>
      </c>
      <c r="AE93" s="1195"/>
      <c r="AF93" s="1154" t="s">
        <v>736</v>
      </c>
      <c r="AG93" s="395" t="s">
        <v>737</v>
      </c>
      <c r="AH93" s="396" t="str">
        <f>S93</f>
        <v>x</v>
      </c>
      <c r="AI93" s="1137">
        <f>T93</f>
        <v>0</v>
      </c>
      <c r="AJ93" s="1137">
        <f>U93/4</f>
        <v>0.16750000000000001</v>
      </c>
      <c r="AK93" s="1137">
        <f>V93</f>
        <v>0</v>
      </c>
      <c r="AL93" s="1137">
        <f>W93/4</f>
        <v>0.14249999999999999</v>
      </c>
      <c r="AM93" s="1137">
        <f>X93</f>
        <v>0</v>
      </c>
      <c r="AN93" s="1137">
        <f>Y93/4</f>
        <v>0.125</v>
      </c>
      <c r="AO93" s="1137">
        <f>Z93</f>
        <v>0</v>
      </c>
      <c r="AP93" s="1137">
        <f>AA93/4</f>
        <v>0.1275</v>
      </c>
      <c r="AQ93" s="1137">
        <f>AB93</f>
        <v>0</v>
      </c>
      <c r="AR93" s="1151">
        <f>AC93/4</f>
        <v>0.10249999999999999</v>
      </c>
    </row>
    <row r="94" spans="1:44" outlineLevel="1">
      <c r="B94" s="500" t="s">
        <v>658</v>
      </c>
      <c r="C94" s="506">
        <v>0.2</v>
      </c>
      <c r="D94" s="506">
        <v>0.2</v>
      </c>
      <c r="E94" s="506">
        <v>0.2</v>
      </c>
      <c r="F94" s="506">
        <v>0.2</v>
      </c>
      <c r="G94" s="506">
        <v>0.2</v>
      </c>
      <c r="H94" s="506">
        <v>0.2</v>
      </c>
      <c r="I94" s="506">
        <v>0.2</v>
      </c>
      <c r="J94" s="506">
        <v>0.2</v>
      </c>
      <c r="K94" s="503"/>
      <c r="L94" s="504">
        <v>1</v>
      </c>
      <c r="M94" s="367"/>
      <c r="N94" s="367"/>
      <c r="O94" s="71"/>
      <c r="P94" s="1195"/>
      <c r="Q94" s="1155"/>
      <c r="R94" s="395" t="s">
        <v>739</v>
      </c>
      <c r="S94" s="396" t="s">
        <v>738</v>
      </c>
      <c r="T94" s="1191"/>
      <c r="U94" s="1191"/>
      <c r="V94" s="1191"/>
      <c r="W94" s="1191"/>
      <c r="X94" s="1191"/>
      <c r="Y94" s="1191"/>
      <c r="Z94" s="1191"/>
      <c r="AA94" s="1191"/>
      <c r="AB94" s="1191"/>
      <c r="AC94" s="1193"/>
      <c r="AE94" s="1195"/>
      <c r="AF94" s="1155"/>
      <c r="AG94" s="395" t="s">
        <v>739</v>
      </c>
      <c r="AH94" s="396" t="str">
        <f>S94</f>
        <v>x</v>
      </c>
      <c r="AI94" s="1191"/>
      <c r="AJ94" s="1191"/>
      <c r="AK94" s="1191"/>
      <c r="AL94" s="1191"/>
      <c r="AM94" s="1191"/>
      <c r="AN94" s="1191"/>
      <c r="AO94" s="1191"/>
      <c r="AP94" s="1191"/>
      <c r="AQ94" s="1191"/>
      <c r="AR94" s="1193"/>
    </row>
    <row r="95" spans="1:44" outlineLevel="1">
      <c r="B95" s="383" t="s">
        <v>11</v>
      </c>
      <c r="C95" s="397">
        <v>25</v>
      </c>
      <c r="D95" s="397">
        <v>25</v>
      </c>
      <c r="E95" s="397">
        <v>25</v>
      </c>
      <c r="F95" s="397">
        <v>25</v>
      </c>
      <c r="G95" s="399">
        <v>20</v>
      </c>
      <c r="H95" s="399">
        <v>25</v>
      </c>
      <c r="I95" s="399">
        <v>20</v>
      </c>
      <c r="J95" s="399">
        <v>25</v>
      </c>
      <c r="K95" s="372"/>
      <c r="L95" s="373">
        <v>2</v>
      </c>
      <c r="M95" s="363"/>
      <c r="N95" s="363"/>
      <c r="P95" s="1195"/>
      <c r="Q95" s="1155"/>
      <c r="R95" s="395" t="s">
        <v>741</v>
      </c>
      <c r="S95" s="396" t="s">
        <v>738</v>
      </c>
      <c r="T95" s="1191"/>
      <c r="U95" s="1191"/>
      <c r="V95" s="1191"/>
      <c r="W95" s="1191"/>
      <c r="X95" s="1191"/>
      <c r="Y95" s="1191"/>
      <c r="Z95" s="1191"/>
      <c r="AA95" s="1191"/>
      <c r="AB95" s="1191"/>
      <c r="AC95" s="1193"/>
      <c r="AE95" s="1195"/>
      <c r="AF95" s="1155"/>
      <c r="AG95" s="395" t="s">
        <v>741</v>
      </c>
      <c r="AH95" s="629" t="str">
        <f>S95</f>
        <v>x</v>
      </c>
      <c r="AI95" s="1191"/>
      <c r="AJ95" s="1191"/>
      <c r="AK95" s="1191"/>
      <c r="AL95" s="1191"/>
      <c r="AM95" s="1191"/>
      <c r="AN95" s="1191"/>
      <c r="AO95" s="1191"/>
      <c r="AP95" s="1191"/>
      <c r="AQ95" s="1191"/>
      <c r="AR95" s="1193"/>
    </row>
    <row r="96" spans="1:44" ht="15" outlineLevel="1" thickBot="1">
      <c r="B96" s="500" t="s">
        <v>273</v>
      </c>
      <c r="C96" s="506">
        <v>0.5</v>
      </c>
      <c r="D96" s="506">
        <v>0.5</v>
      </c>
      <c r="E96" s="506">
        <v>0.5</v>
      </c>
      <c r="F96" s="506">
        <v>0.5</v>
      </c>
      <c r="G96" s="506">
        <v>0.5</v>
      </c>
      <c r="H96" s="506">
        <v>1</v>
      </c>
      <c r="I96" s="506">
        <v>0.5</v>
      </c>
      <c r="J96" s="506">
        <v>1</v>
      </c>
      <c r="K96" s="372"/>
      <c r="L96" s="400">
        <v>1</v>
      </c>
      <c r="M96" s="363"/>
      <c r="N96" s="363"/>
      <c r="P96" s="1195"/>
      <c r="Q96" s="1155"/>
      <c r="R96" s="395" t="s">
        <v>742</v>
      </c>
      <c r="S96" s="396" t="s">
        <v>738</v>
      </c>
      <c r="T96" s="1191"/>
      <c r="U96" s="1191"/>
      <c r="V96" s="1191"/>
      <c r="W96" s="1191"/>
      <c r="X96" s="1191"/>
      <c r="Y96" s="1191"/>
      <c r="Z96" s="1191"/>
      <c r="AA96" s="1191"/>
      <c r="AB96" s="1191"/>
      <c r="AC96" s="1193"/>
      <c r="AE96" s="1195"/>
      <c r="AF96" s="1155"/>
      <c r="AG96" s="395" t="s">
        <v>742</v>
      </c>
      <c r="AH96" s="396" t="str">
        <f>S96</f>
        <v>x</v>
      </c>
      <c r="AI96" s="1191"/>
      <c r="AJ96" s="1191"/>
      <c r="AK96" s="1191"/>
      <c r="AL96" s="1191"/>
      <c r="AM96" s="1191"/>
      <c r="AN96" s="1191"/>
      <c r="AO96" s="1191"/>
      <c r="AP96" s="1191"/>
      <c r="AQ96" s="1191"/>
      <c r="AR96" s="1193"/>
    </row>
    <row r="97" spans="1:44" ht="15" outlineLevel="1" thickBot="1">
      <c r="B97" s="401" t="s">
        <v>743</v>
      </c>
      <c r="C97" s="402"/>
      <c r="D97" s="403"/>
      <c r="E97" s="404"/>
      <c r="F97" s="405"/>
      <c r="G97" s="406"/>
      <c r="H97" s="406"/>
      <c r="I97" s="406"/>
      <c r="J97" s="406"/>
      <c r="K97" s="407"/>
      <c r="L97" s="408"/>
      <c r="M97" s="363"/>
      <c r="N97" s="363"/>
      <c r="P97" s="1195"/>
      <c r="Q97" s="1156"/>
      <c r="R97" s="409" t="s">
        <v>863</v>
      </c>
      <c r="S97" s="410" t="s">
        <v>738</v>
      </c>
      <c r="T97" s="1192"/>
      <c r="U97" s="1192"/>
      <c r="V97" s="1192"/>
      <c r="W97" s="1192"/>
      <c r="X97" s="1192"/>
      <c r="Y97" s="1192"/>
      <c r="Z97" s="1192"/>
      <c r="AA97" s="1192"/>
      <c r="AB97" s="1192"/>
      <c r="AC97" s="1194"/>
      <c r="AE97" s="1195"/>
      <c r="AF97" s="1156"/>
      <c r="AG97" s="409" t="s">
        <v>863</v>
      </c>
      <c r="AH97" s="410" t="str">
        <f>S97</f>
        <v>x</v>
      </c>
      <c r="AI97" s="1192"/>
      <c r="AJ97" s="1192"/>
      <c r="AK97" s="1192"/>
      <c r="AL97" s="1192"/>
      <c r="AM97" s="1192"/>
      <c r="AN97" s="1192"/>
      <c r="AO97" s="1192"/>
      <c r="AP97" s="1192"/>
      <c r="AQ97" s="1192"/>
      <c r="AR97" s="1194"/>
    </row>
    <row r="98" spans="1:44" ht="29.4" outlineLevel="1" thickBot="1">
      <c r="B98" s="500" t="s">
        <v>663</v>
      </c>
      <c r="C98" s="506">
        <v>5</v>
      </c>
      <c r="D98" s="506">
        <v>5</v>
      </c>
      <c r="E98" s="506">
        <v>5</v>
      </c>
      <c r="F98" s="506">
        <v>5</v>
      </c>
      <c r="G98" s="507"/>
      <c r="H98" s="507"/>
      <c r="I98" s="507"/>
      <c r="J98" s="507"/>
      <c r="K98" s="503"/>
      <c r="L98" s="504">
        <v>1</v>
      </c>
      <c r="M98" s="363"/>
      <c r="N98" s="363"/>
      <c r="P98" s="1196"/>
      <c r="Q98" s="411" t="s">
        <v>745</v>
      </c>
      <c r="R98" s="412" t="s">
        <v>746</v>
      </c>
      <c r="S98" s="630" t="s">
        <v>738</v>
      </c>
      <c r="T98" s="416">
        <v>1</v>
      </c>
      <c r="U98" s="415">
        <v>1</v>
      </c>
      <c r="V98" s="416">
        <v>1</v>
      </c>
      <c r="W98" s="415">
        <v>1</v>
      </c>
      <c r="X98" s="416">
        <v>1</v>
      </c>
      <c r="Y98" s="415">
        <v>1</v>
      </c>
      <c r="Z98" s="416">
        <v>1</v>
      </c>
      <c r="AA98" s="415">
        <v>1</v>
      </c>
      <c r="AB98" s="416">
        <v>1</v>
      </c>
      <c r="AC98" s="417">
        <v>1</v>
      </c>
      <c r="AE98" s="1196"/>
      <c r="AF98" s="411" t="s">
        <v>745</v>
      </c>
      <c r="AG98" s="631" t="s">
        <v>746</v>
      </c>
      <c r="AH98" s="632" t="s">
        <v>738</v>
      </c>
      <c r="AI98" s="416">
        <v>1</v>
      </c>
      <c r="AJ98" s="415">
        <v>1</v>
      </c>
      <c r="AK98" s="416">
        <v>1</v>
      </c>
      <c r="AL98" s="415">
        <v>1</v>
      </c>
      <c r="AM98" s="416">
        <v>1</v>
      </c>
      <c r="AN98" s="415">
        <v>1</v>
      </c>
      <c r="AO98" s="416">
        <v>1</v>
      </c>
      <c r="AP98" s="415">
        <v>1</v>
      </c>
      <c r="AQ98" s="416">
        <v>1</v>
      </c>
      <c r="AR98" s="417">
        <v>1</v>
      </c>
    </row>
    <row r="99" spans="1:44" outlineLevel="1">
      <c r="B99" s="500" t="s">
        <v>664</v>
      </c>
      <c r="C99" s="506">
        <v>8.0000000000000002E-3</v>
      </c>
      <c r="D99" s="506">
        <v>8.0000000000000002E-3</v>
      </c>
      <c r="E99" s="506">
        <v>8.0000000000000002E-3</v>
      </c>
      <c r="F99" s="506">
        <v>8.0000000000000002E-3</v>
      </c>
      <c r="G99" s="509"/>
      <c r="H99" s="509"/>
      <c r="I99" s="509"/>
      <c r="J99" s="509"/>
      <c r="K99" s="510"/>
      <c r="L99" s="504">
        <v>1</v>
      </c>
      <c r="M99" s="363"/>
      <c r="N99" s="363"/>
    </row>
    <row r="100" spans="1:44" outlineLevel="1">
      <c r="B100" s="500" t="s">
        <v>666</v>
      </c>
      <c r="C100" s="506">
        <v>0.08</v>
      </c>
      <c r="D100" s="506">
        <v>0.08</v>
      </c>
      <c r="E100" s="506">
        <v>0.08</v>
      </c>
      <c r="F100" s="506">
        <v>0.08</v>
      </c>
      <c r="G100" s="509"/>
      <c r="H100" s="509"/>
      <c r="I100" s="509"/>
      <c r="J100" s="509"/>
      <c r="K100" s="510"/>
      <c r="L100" s="504">
        <v>1</v>
      </c>
      <c r="M100" s="420"/>
      <c r="N100" s="363"/>
    </row>
    <row r="101" spans="1:44" outlineLevel="1">
      <c r="B101" s="421" t="s">
        <v>12</v>
      </c>
      <c r="C101" s="399"/>
      <c r="D101" s="399"/>
      <c r="E101" s="399"/>
      <c r="F101" s="399"/>
      <c r="G101" s="422"/>
      <c r="H101" s="422"/>
      <c r="I101" s="422"/>
      <c r="J101" s="422"/>
      <c r="K101" s="423"/>
      <c r="L101" s="424"/>
      <c r="M101" s="420"/>
      <c r="N101" s="420"/>
    </row>
    <row r="102" spans="1:44" ht="39.6" outlineLevel="1">
      <c r="B102" s="383" t="s">
        <v>843</v>
      </c>
      <c r="C102" s="397" t="s">
        <v>669</v>
      </c>
      <c r="D102" s="397"/>
      <c r="E102" s="397"/>
      <c r="F102" s="397"/>
      <c r="G102" s="422"/>
      <c r="H102" s="425"/>
      <c r="I102" s="425"/>
      <c r="J102" s="425"/>
      <c r="K102" s="426"/>
      <c r="L102" s="427"/>
      <c r="M102" s="428"/>
      <c r="N102" s="428"/>
    </row>
    <row r="103" spans="1:44" outlineLevel="1">
      <c r="B103" s="383" t="s">
        <v>749</v>
      </c>
      <c r="C103" s="397"/>
      <c r="D103" s="397"/>
      <c r="E103" s="397"/>
      <c r="F103" s="397"/>
      <c r="G103" s="425"/>
      <c r="H103" s="425"/>
      <c r="I103" s="425"/>
      <c r="J103" s="425"/>
      <c r="K103" s="423"/>
      <c r="L103" s="427"/>
      <c r="M103" s="428"/>
      <c r="N103" s="428"/>
    </row>
    <row r="104" spans="1:44" outlineLevel="1">
      <c r="B104" s="383" t="s">
        <v>844</v>
      </c>
      <c r="C104" s="397"/>
      <c r="D104" s="397"/>
      <c r="E104" s="397"/>
      <c r="F104" s="397"/>
      <c r="G104" s="425"/>
      <c r="H104" s="425"/>
      <c r="I104" s="425"/>
      <c r="J104" s="425"/>
      <c r="K104" s="423"/>
      <c r="L104" s="427"/>
      <c r="M104" s="428"/>
      <c r="N104" s="428"/>
    </row>
    <row r="105" spans="1:44" outlineLevel="1">
      <c r="B105" s="383" t="s">
        <v>366</v>
      </c>
      <c r="C105" s="397"/>
      <c r="D105" s="397"/>
      <c r="E105" s="397"/>
      <c r="F105" s="397"/>
      <c r="G105" s="425"/>
      <c r="H105" s="425"/>
      <c r="I105" s="425"/>
      <c r="J105" s="425"/>
      <c r="K105" s="423"/>
      <c r="L105" s="427"/>
      <c r="M105" s="428"/>
      <c r="N105" s="428"/>
    </row>
    <row r="106" spans="1:44" ht="15" outlineLevel="1" thickBot="1">
      <c r="B106" s="429" t="s">
        <v>367</v>
      </c>
      <c r="C106" s="430"/>
      <c r="D106" s="430"/>
      <c r="E106" s="430"/>
      <c r="F106" s="430"/>
      <c r="G106" s="425"/>
      <c r="H106" s="425"/>
      <c r="I106" s="425"/>
      <c r="J106" s="425"/>
      <c r="K106" s="423"/>
      <c r="L106" s="427"/>
      <c r="M106" s="428"/>
      <c r="N106" s="428"/>
    </row>
    <row r="107" spans="1:44" ht="15" outlineLevel="1" thickBot="1">
      <c r="B107" s="431" t="s">
        <v>674</v>
      </c>
      <c r="C107" s="432"/>
      <c r="D107" s="403"/>
      <c r="E107" s="403"/>
      <c r="F107" s="433"/>
      <c r="G107" s="434"/>
      <c r="H107" s="406"/>
      <c r="I107" s="406"/>
      <c r="J107" s="406"/>
      <c r="K107" s="407"/>
      <c r="L107" s="408"/>
      <c r="M107" s="428"/>
      <c r="N107" s="428"/>
    </row>
    <row r="108" spans="1:44" ht="14.55" customHeight="1" outlineLevel="1">
      <c r="A108" s="435"/>
      <c r="B108" s="436" t="s">
        <v>910</v>
      </c>
      <c r="C108" s="511">
        <v>7.0000000000000007E-2</v>
      </c>
      <c r="D108" s="512">
        <v>0.06</v>
      </c>
      <c r="E108" s="512">
        <v>0.06</v>
      </c>
      <c r="F108" s="513">
        <v>0.06</v>
      </c>
      <c r="G108" s="425"/>
      <c r="H108" s="425"/>
      <c r="I108" s="425"/>
      <c r="J108" s="425"/>
      <c r="K108" s="426" t="s">
        <v>838</v>
      </c>
      <c r="L108" s="440" t="s">
        <v>961</v>
      </c>
      <c r="M108" s="420"/>
      <c r="N108" s="420"/>
    </row>
    <row r="109" spans="1:44" outlineLevel="1">
      <c r="B109" s="441" t="s">
        <v>839</v>
      </c>
      <c r="C109" s="442">
        <v>85</v>
      </c>
      <c r="D109" s="442">
        <v>85</v>
      </c>
      <c r="E109" s="442">
        <v>85</v>
      </c>
      <c r="F109" s="442">
        <v>85</v>
      </c>
      <c r="G109" s="425"/>
      <c r="H109" s="425"/>
      <c r="I109" s="425"/>
      <c r="J109" s="425"/>
      <c r="K109" s="444"/>
      <c r="L109" s="373">
        <v>1</v>
      </c>
      <c r="M109" s="71"/>
      <c r="N109" s="420"/>
    </row>
    <row r="110" spans="1:44" outlineLevel="1">
      <c r="B110" s="441" t="s">
        <v>840</v>
      </c>
      <c r="C110" s="442">
        <v>15</v>
      </c>
      <c r="D110" s="442">
        <v>15</v>
      </c>
      <c r="E110" s="442">
        <v>15</v>
      </c>
      <c r="F110" s="442">
        <v>15</v>
      </c>
      <c r="G110" s="425"/>
      <c r="H110" s="425"/>
      <c r="I110" s="425"/>
      <c r="J110" s="425"/>
      <c r="K110" s="444"/>
      <c r="L110" s="373">
        <v>1</v>
      </c>
      <c r="M110" s="420"/>
      <c r="N110" s="420"/>
    </row>
    <row r="111" spans="1:44" outlineLevel="1">
      <c r="B111" s="383" t="s">
        <v>841</v>
      </c>
      <c r="C111" s="445">
        <v>1070</v>
      </c>
      <c r="D111" s="446">
        <v>1020</v>
      </c>
      <c r="E111" s="446">
        <v>970</v>
      </c>
      <c r="F111" s="447">
        <v>920</v>
      </c>
      <c r="G111" s="425"/>
      <c r="H111" s="425"/>
      <c r="I111" s="425"/>
      <c r="J111" s="425"/>
      <c r="K111" s="448"/>
      <c r="L111" s="373">
        <v>1</v>
      </c>
      <c r="M111" s="420"/>
      <c r="N111" s="420"/>
    </row>
    <row r="112" spans="1:44" outlineLevel="1">
      <c r="B112" s="383" t="s">
        <v>679</v>
      </c>
      <c r="C112" s="449">
        <f>C113+C114</f>
        <v>0.86499999999999999</v>
      </c>
      <c r="D112" s="449">
        <f t="shared" ref="D112:F112" si="6">D113+D114</f>
        <v>0.875</v>
      </c>
      <c r="E112" s="449">
        <f t="shared" si="6"/>
        <v>0.78</v>
      </c>
      <c r="F112" s="449">
        <f t="shared" si="6"/>
        <v>0.78</v>
      </c>
      <c r="G112" s="425"/>
      <c r="H112" s="425"/>
      <c r="I112" s="425"/>
      <c r="J112" s="425"/>
      <c r="K112" s="448"/>
      <c r="L112" s="373"/>
      <c r="M112" s="450"/>
      <c r="N112" s="361"/>
      <c r="P112" s="1142">
        <f>C112</f>
        <v>0.86499999999999999</v>
      </c>
      <c r="Q112" s="1143"/>
      <c r="R112" s="1143"/>
      <c r="S112" s="1143"/>
      <c r="T112" s="1143"/>
      <c r="U112" s="1144"/>
    </row>
    <row r="113" spans="2:30" ht="15" outlineLevel="1" thickBot="1">
      <c r="B113" s="500" t="s">
        <v>758</v>
      </c>
      <c r="C113" s="514">
        <f>C92/100*73</f>
        <v>0.36499999999999999</v>
      </c>
      <c r="D113" s="514">
        <f>D92/100*75</f>
        <v>0.375</v>
      </c>
      <c r="E113" s="514">
        <f>E92/100*76</f>
        <v>0.38</v>
      </c>
      <c r="F113" s="514">
        <f>F92/100*76</f>
        <v>0.38</v>
      </c>
      <c r="G113" s="515"/>
      <c r="H113" s="515"/>
      <c r="I113" s="515"/>
      <c r="J113" s="515"/>
      <c r="K113" s="503" t="s">
        <v>20</v>
      </c>
      <c r="L113" s="504"/>
      <c r="M113" s="450"/>
      <c r="N113" s="361"/>
      <c r="P113" s="1134">
        <f>C113</f>
        <v>0.36499999999999999</v>
      </c>
      <c r="Q113" s="1135"/>
      <c r="R113" s="1135"/>
      <c r="S113" s="1135"/>
      <c r="T113" s="1135"/>
      <c r="U113" s="1136"/>
    </row>
    <row r="114" spans="2:30" outlineLevel="1">
      <c r="B114" s="500" t="s">
        <v>759</v>
      </c>
      <c r="C114" s="680">
        <v>0.5</v>
      </c>
      <c r="D114" s="680">
        <v>0.5</v>
      </c>
      <c r="E114" s="680">
        <v>0.4</v>
      </c>
      <c r="F114" s="680">
        <v>0.4</v>
      </c>
      <c r="G114" s="515"/>
      <c r="H114" s="515"/>
      <c r="I114" s="515"/>
      <c r="J114" s="515"/>
      <c r="K114" s="517"/>
      <c r="L114" s="504">
        <v>1</v>
      </c>
      <c r="M114" s="363"/>
      <c r="N114" s="363"/>
      <c r="P114" s="53" t="s">
        <v>357</v>
      </c>
    </row>
    <row r="115" spans="2:30" ht="27.6" outlineLevel="1">
      <c r="B115" s="441"/>
      <c r="C115" s="681"/>
      <c r="D115" s="681"/>
      <c r="E115" s="681"/>
      <c r="F115" s="681"/>
      <c r="G115" s="425"/>
      <c r="H115" s="425"/>
      <c r="I115" s="425"/>
      <c r="J115" s="425"/>
      <c r="K115" s="444"/>
      <c r="L115" s="424"/>
      <c r="M115" s="367"/>
      <c r="N115" s="367"/>
      <c r="P115" s="46" t="s">
        <v>335</v>
      </c>
      <c r="Q115" s="46" t="s">
        <v>336</v>
      </c>
      <c r="R115" s="47" t="s">
        <v>337</v>
      </c>
      <c r="S115" s="47" t="s">
        <v>338</v>
      </c>
      <c r="T115" s="47" t="s">
        <v>339</v>
      </c>
      <c r="U115" s="48" t="s">
        <v>340</v>
      </c>
      <c r="V115" s="49" t="s">
        <v>341</v>
      </c>
      <c r="W115" s="49" t="s">
        <v>342</v>
      </c>
      <c r="X115" s="49" t="s">
        <v>343</v>
      </c>
      <c r="Y115" s="49" t="s">
        <v>344</v>
      </c>
      <c r="Z115" s="49" t="s">
        <v>345</v>
      </c>
      <c r="AA115" s="49" t="s">
        <v>346</v>
      </c>
      <c r="AB115" s="49" t="s">
        <v>347</v>
      </c>
      <c r="AC115" s="49" t="s">
        <v>348</v>
      </c>
      <c r="AD115" s="49" t="s">
        <v>349</v>
      </c>
    </row>
    <row r="116" spans="2:30" ht="24.6" outlineLevel="1" thickBot="1">
      <c r="B116" s="519"/>
      <c r="C116" s="442"/>
      <c r="D116" s="520"/>
      <c r="E116" s="520"/>
      <c r="F116" s="521"/>
      <c r="G116" s="425"/>
      <c r="H116" s="425"/>
      <c r="I116" s="425"/>
      <c r="J116" s="425"/>
      <c r="K116" s="448"/>
      <c r="L116" s="424"/>
      <c r="M116" s="363"/>
      <c r="N116" s="363"/>
      <c r="P116" s="50"/>
      <c r="Q116" s="50"/>
      <c r="R116" s="51"/>
      <c r="S116" s="51"/>
      <c r="T116" s="51"/>
      <c r="U116" s="51" t="s">
        <v>760</v>
      </c>
      <c r="V116" s="50" t="s">
        <v>761</v>
      </c>
      <c r="W116" s="50"/>
      <c r="X116" s="50"/>
      <c r="Y116" s="50"/>
      <c r="Z116" s="50"/>
      <c r="AA116" s="50"/>
      <c r="AB116" s="50"/>
      <c r="AC116" s="50"/>
      <c r="AD116" s="50"/>
    </row>
    <row r="117" spans="2:30" ht="43.8" outlineLevel="1" thickBot="1">
      <c r="B117" s="401" t="s">
        <v>682</v>
      </c>
      <c r="C117" s="402"/>
      <c r="D117" s="403"/>
      <c r="E117" s="404"/>
      <c r="F117" s="405"/>
      <c r="G117" s="406"/>
      <c r="H117" s="406"/>
      <c r="I117" s="406"/>
      <c r="J117" s="406"/>
      <c r="K117" s="459"/>
      <c r="L117" s="460"/>
      <c r="M117" s="363"/>
      <c r="N117" s="363"/>
      <c r="O117" s="461" t="s">
        <v>732</v>
      </c>
      <c r="P117" s="56"/>
      <c r="Q117" s="56"/>
      <c r="R117" s="57"/>
      <c r="S117" s="57"/>
      <c r="T117" s="57"/>
      <c r="U117" s="56" t="s">
        <v>350</v>
      </c>
      <c r="V117" s="56" t="s">
        <v>326</v>
      </c>
      <c r="W117" s="56" t="s">
        <v>327</v>
      </c>
      <c r="X117" s="56" t="s">
        <v>351</v>
      </c>
      <c r="Y117" s="56" t="s">
        <v>351</v>
      </c>
      <c r="Z117" s="56" t="s">
        <v>352</v>
      </c>
      <c r="AA117" s="56" t="s">
        <v>352</v>
      </c>
      <c r="AB117" s="56" t="s">
        <v>352</v>
      </c>
      <c r="AC117" s="56" t="s">
        <v>352</v>
      </c>
      <c r="AD117" s="56" t="s">
        <v>352</v>
      </c>
    </row>
    <row r="118" spans="2:30" outlineLevel="1">
      <c r="B118" s="522" t="s">
        <v>762</v>
      </c>
      <c r="C118" s="670">
        <f>C108*0.5</f>
        <v>3.5000000000000003E-2</v>
      </c>
      <c r="D118" s="670">
        <f t="shared" ref="D118:F118" si="7">D108*0.5</f>
        <v>0.03</v>
      </c>
      <c r="E118" s="670">
        <f t="shared" si="7"/>
        <v>0.03</v>
      </c>
      <c r="F118" s="670">
        <f t="shared" si="7"/>
        <v>0.03</v>
      </c>
      <c r="G118" s="671"/>
      <c r="H118" s="671"/>
      <c r="I118" s="671"/>
      <c r="J118" s="671"/>
      <c r="K118" s="671" t="s">
        <v>76</v>
      </c>
      <c r="L118" s="525"/>
      <c r="M118" s="363"/>
      <c r="N118" s="363"/>
      <c r="O118" s="465">
        <f>C91</f>
        <v>99</v>
      </c>
      <c r="P118" s="466">
        <f>C87</f>
        <v>2020</v>
      </c>
      <c r="Q118" s="58">
        <f>P118</f>
        <v>2020</v>
      </c>
      <c r="R118" s="466">
        <f>O118/100</f>
        <v>0.99</v>
      </c>
      <c r="S118" s="58"/>
      <c r="T118" s="466">
        <f>C95</f>
        <v>25</v>
      </c>
      <c r="U118" s="467">
        <f>C125</f>
        <v>521.50000000000011</v>
      </c>
      <c r="V118" s="467">
        <f>C127</f>
        <v>7.9714999999999998</v>
      </c>
      <c r="W118" s="467">
        <f>C128</f>
        <v>1.7900694444444445</v>
      </c>
      <c r="X118" s="58"/>
      <c r="Y118" s="58"/>
      <c r="Z118" s="466" t="str">
        <f>C102</f>
        <v>Cf. the utilized electricity</v>
      </c>
      <c r="AA118" s="468">
        <f>C104</f>
        <v>0</v>
      </c>
      <c r="AB118" s="468">
        <f>C105</f>
        <v>0</v>
      </c>
      <c r="AC118" s="468">
        <f>C106</f>
        <v>0</v>
      </c>
      <c r="AD118" s="468">
        <f>C103</f>
        <v>0</v>
      </c>
    </row>
    <row r="119" spans="2:30" outlineLevel="1">
      <c r="B119" s="500" t="s">
        <v>763</v>
      </c>
      <c r="C119" s="526" t="s">
        <v>36</v>
      </c>
      <c r="D119" s="527" t="s">
        <v>36</v>
      </c>
      <c r="E119" s="527" t="s">
        <v>36</v>
      </c>
      <c r="F119" s="528" t="s">
        <v>36</v>
      </c>
      <c r="G119" s="528"/>
      <c r="H119" s="528"/>
      <c r="I119" s="528"/>
      <c r="J119" s="528"/>
      <c r="K119" s="529" t="s">
        <v>76</v>
      </c>
      <c r="L119" s="525"/>
      <c r="M119" s="363"/>
      <c r="N119" s="363"/>
      <c r="O119" s="465">
        <f>D91</f>
        <v>99</v>
      </c>
      <c r="P119" s="466">
        <f>D87</f>
        <v>2030</v>
      </c>
      <c r="Q119" s="58"/>
      <c r="R119" s="466">
        <f>O119/100</f>
        <v>0.99</v>
      </c>
      <c r="S119" s="58"/>
      <c r="T119" s="466">
        <f>D95</f>
        <v>25</v>
      </c>
      <c r="U119" s="467">
        <f>D125</f>
        <v>447</v>
      </c>
      <c r="V119" s="467">
        <f>D127</f>
        <v>7.5990000000000002</v>
      </c>
      <c r="W119" s="467">
        <f>D128</f>
        <v>1.8107638888888888</v>
      </c>
      <c r="X119" s="58"/>
      <c r="Y119" s="58"/>
      <c r="Z119" s="466">
        <f>D102</f>
        <v>0</v>
      </c>
      <c r="AA119" s="468">
        <f>D104</f>
        <v>0</v>
      </c>
      <c r="AB119" s="468">
        <f>D105</f>
        <v>0</v>
      </c>
      <c r="AC119" s="468">
        <f>D106</f>
        <v>0</v>
      </c>
      <c r="AD119" s="468">
        <f>D103</f>
        <v>0</v>
      </c>
    </row>
    <row r="120" spans="2:30" outlineLevel="1">
      <c r="B120" s="500" t="s">
        <v>764</v>
      </c>
      <c r="C120" s="526" t="s">
        <v>36</v>
      </c>
      <c r="D120" s="527" t="s">
        <v>36</v>
      </c>
      <c r="E120" s="527" t="s">
        <v>36</v>
      </c>
      <c r="F120" s="528" t="s">
        <v>36</v>
      </c>
      <c r="G120" s="515"/>
      <c r="H120" s="515"/>
      <c r="I120" s="515"/>
      <c r="J120" s="515"/>
      <c r="K120" s="515"/>
      <c r="L120" s="504"/>
      <c r="M120" s="363"/>
      <c r="N120" s="363"/>
      <c r="O120" s="465">
        <f>E91</f>
        <v>99</v>
      </c>
      <c r="P120" s="466">
        <f>E87</f>
        <v>2040</v>
      </c>
      <c r="Q120" s="58"/>
      <c r="R120" s="466">
        <f>O120/100</f>
        <v>0.99</v>
      </c>
      <c r="S120" s="58"/>
      <c r="T120" s="466">
        <f>E95</f>
        <v>25</v>
      </c>
      <c r="U120" s="467">
        <f>E125</f>
        <v>447</v>
      </c>
      <c r="V120" s="467">
        <f>E127</f>
        <v>7.2264999999999997</v>
      </c>
      <c r="W120" s="467">
        <f>E128</f>
        <v>1.6141666666666665</v>
      </c>
      <c r="X120" s="58"/>
      <c r="Y120" s="58"/>
      <c r="Z120" s="466">
        <f>E102</f>
        <v>0</v>
      </c>
      <c r="AA120" s="468">
        <f>E104</f>
        <v>0</v>
      </c>
      <c r="AB120" s="468">
        <f>E105</f>
        <v>0</v>
      </c>
      <c r="AC120" s="468">
        <f>E106</f>
        <v>0</v>
      </c>
      <c r="AD120" s="468">
        <f>E103</f>
        <v>0</v>
      </c>
    </row>
    <row r="121" spans="2:30" outlineLevel="1">
      <c r="B121" s="500" t="s">
        <v>765</v>
      </c>
      <c r="C121" s="685" t="s">
        <v>669</v>
      </c>
      <c r="D121" s="530"/>
      <c r="E121" s="530"/>
      <c r="F121" s="530"/>
      <c r="G121" s="531"/>
      <c r="H121" s="531"/>
      <c r="I121" s="531"/>
      <c r="J121" s="531"/>
      <c r="K121" s="531"/>
      <c r="L121" s="504"/>
      <c r="M121" s="363"/>
      <c r="N121" s="363"/>
      <c r="O121" s="465">
        <f>F91</f>
        <v>99</v>
      </c>
      <c r="P121" s="466">
        <f>F87</f>
        <v>2050</v>
      </c>
      <c r="Q121" s="58"/>
      <c r="R121" s="466">
        <f>O121/100</f>
        <v>0.99</v>
      </c>
      <c r="S121" s="58"/>
      <c r="T121" s="466">
        <f>F95</f>
        <v>25</v>
      </c>
      <c r="U121" s="467">
        <f>F125</f>
        <v>447</v>
      </c>
      <c r="V121" s="467">
        <f>F127</f>
        <v>6.8540000000000001</v>
      </c>
      <c r="W121" s="467">
        <f>F128</f>
        <v>1.6141666666666665</v>
      </c>
      <c r="X121" s="58"/>
      <c r="Y121" s="58"/>
      <c r="Z121" s="466">
        <f>F102</f>
        <v>0</v>
      </c>
      <c r="AA121" s="468">
        <f>F104</f>
        <v>0</v>
      </c>
      <c r="AB121" s="468">
        <f>F105</f>
        <v>0</v>
      </c>
      <c r="AC121" s="468">
        <f>F106</f>
        <v>0</v>
      </c>
      <c r="AD121" s="468">
        <f>F103</f>
        <v>0</v>
      </c>
    </row>
    <row r="122" spans="2:30" outlineLevel="1">
      <c r="B122" s="532" t="s">
        <v>766</v>
      </c>
      <c r="C122" s="526" t="s">
        <v>36</v>
      </c>
      <c r="D122" s="527" t="s">
        <v>36</v>
      </c>
      <c r="E122" s="527" t="s">
        <v>36</v>
      </c>
      <c r="F122" s="528" t="s">
        <v>36</v>
      </c>
      <c r="G122" s="531"/>
      <c r="H122" s="531"/>
      <c r="I122" s="531"/>
      <c r="J122" s="531"/>
      <c r="K122" s="531"/>
      <c r="L122" s="533"/>
      <c r="M122" s="367"/>
      <c r="N122" s="367"/>
    </row>
    <row r="123" spans="2:30" outlineLevel="1">
      <c r="B123" s="532" t="s">
        <v>767</v>
      </c>
      <c r="C123" s="526" t="s">
        <v>36</v>
      </c>
      <c r="D123" s="527" t="s">
        <v>36</v>
      </c>
      <c r="E123" s="527" t="s">
        <v>36</v>
      </c>
      <c r="F123" s="528" t="s">
        <v>36</v>
      </c>
      <c r="G123" s="531"/>
      <c r="H123" s="531"/>
      <c r="I123" s="531"/>
      <c r="J123" s="531"/>
      <c r="K123" s="531"/>
      <c r="L123" s="533"/>
      <c r="M123" s="363"/>
      <c r="N123" s="363"/>
    </row>
    <row r="124" spans="2:30" ht="15" outlineLevel="1" thickBot="1">
      <c r="B124" s="534" t="s">
        <v>768</v>
      </c>
      <c r="C124" s="682" t="s">
        <v>36</v>
      </c>
      <c r="D124" s="683" t="s">
        <v>36</v>
      </c>
      <c r="E124" s="683" t="s">
        <v>36</v>
      </c>
      <c r="F124" s="684" t="s">
        <v>36</v>
      </c>
      <c r="G124" s="538"/>
      <c r="H124" s="538"/>
      <c r="I124" s="538"/>
      <c r="J124" s="538"/>
      <c r="K124" s="538"/>
      <c r="L124" s="539"/>
      <c r="M124" s="363"/>
      <c r="N124" s="363"/>
    </row>
    <row r="125" spans="2:30" ht="57.6" outlineLevel="1">
      <c r="B125" s="461" t="s">
        <v>769</v>
      </c>
      <c r="C125" s="483">
        <f>C108*$F$4*1000</f>
        <v>521.50000000000011</v>
      </c>
      <c r="D125" s="483">
        <f t="shared" ref="D125:F125" si="8">D108*$F$4*1000</f>
        <v>447</v>
      </c>
      <c r="E125" s="483">
        <f t="shared" si="8"/>
        <v>447</v>
      </c>
      <c r="F125" s="483">
        <f t="shared" si="8"/>
        <v>447</v>
      </c>
      <c r="G125" s="483"/>
      <c r="H125" s="484"/>
      <c r="I125" s="420" t="s">
        <v>332</v>
      </c>
      <c r="J125" s="420"/>
      <c r="K125" s="484"/>
      <c r="L125" s="484"/>
      <c r="N125" s="420"/>
    </row>
    <row r="126" spans="2:30" outlineLevel="1">
      <c r="B126" s="485" t="s">
        <v>770</v>
      </c>
      <c r="C126" s="486">
        <f>C125*$I126</f>
        <v>260750.00000000006</v>
      </c>
      <c r="D126" s="486">
        <f>D125*$I126</f>
        <v>223500</v>
      </c>
      <c r="E126" s="486">
        <f>E125*$I126</f>
        <v>223500</v>
      </c>
      <c r="F126" s="486">
        <f>F125*$I126</f>
        <v>223500</v>
      </c>
      <c r="G126" s="486"/>
      <c r="H126" s="484"/>
      <c r="I126" s="71">
        <v>500</v>
      </c>
      <c r="J126" s="420" t="s">
        <v>330</v>
      </c>
      <c r="K126" s="484"/>
      <c r="L126" s="484"/>
      <c r="N126" s="420"/>
    </row>
    <row r="127" spans="2:30" ht="43.2" outlineLevel="1">
      <c r="B127" s="461" t="s">
        <v>845</v>
      </c>
      <c r="C127" s="359">
        <f>C111*$F$4/1000</f>
        <v>7.9714999999999998</v>
      </c>
      <c r="D127" s="359">
        <f t="shared" ref="D127:F127" si="9">D111*$F$4/1000</f>
        <v>7.5990000000000002</v>
      </c>
      <c r="E127" s="359">
        <f t="shared" si="9"/>
        <v>7.2264999999999997</v>
      </c>
      <c r="F127" s="359">
        <f t="shared" si="9"/>
        <v>6.8540000000000001</v>
      </c>
      <c r="G127" s="359"/>
      <c r="I127" s="420" t="s">
        <v>333</v>
      </c>
      <c r="J127" s="420"/>
      <c r="N127" s="420"/>
    </row>
    <row r="128" spans="2:30" ht="43.2" outlineLevel="1">
      <c r="B128" s="461" t="s">
        <v>846</v>
      </c>
      <c r="C128" s="487">
        <f>C112*$F$4/3.6</f>
        <v>1.7900694444444445</v>
      </c>
      <c r="D128" s="487">
        <f t="shared" ref="D128:F128" si="10">D112*$F$4/3.6</f>
        <v>1.8107638888888888</v>
      </c>
      <c r="E128" s="487">
        <f t="shared" si="10"/>
        <v>1.6141666666666665</v>
      </c>
      <c r="F128" s="487">
        <f t="shared" si="10"/>
        <v>1.6141666666666665</v>
      </c>
      <c r="G128" s="359"/>
      <c r="M128" s="420"/>
      <c r="N128" s="420"/>
    </row>
    <row r="129" spans="2:6" outlineLevel="1"/>
    <row r="130" spans="2:6" outlineLevel="1"/>
    <row r="131" spans="2:6" outlineLevel="1"/>
    <row r="132" spans="2:6" outlineLevel="1"/>
    <row r="133" spans="2:6" outlineLevel="1">
      <c r="B133" s="488"/>
      <c r="C133" s="489"/>
      <c r="D133" s="490"/>
      <c r="E133" s="490"/>
      <c r="F133" s="490"/>
    </row>
    <row r="134" spans="2:6" outlineLevel="1">
      <c r="B134" s="491"/>
      <c r="C134" s="492"/>
      <c r="E134" s="490"/>
      <c r="F134" s="490"/>
    </row>
    <row r="135" spans="2:6" outlineLevel="1">
      <c r="B135" s="491"/>
      <c r="C135" s="493"/>
      <c r="E135" s="490"/>
      <c r="F135" s="490"/>
    </row>
    <row r="136" spans="2:6" outlineLevel="1">
      <c r="B136" s="491"/>
      <c r="C136" s="493"/>
      <c r="E136" s="490"/>
      <c r="F136" s="490"/>
    </row>
    <row r="137" spans="2:6" outlineLevel="1">
      <c r="B137" s="491"/>
      <c r="C137" s="493"/>
      <c r="E137" s="490"/>
      <c r="F137" s="490"/>
    </row>
    <row r="138" spans="2:6" outlineLevel="1">
      <c r="B138" s="358"/>
      <c r="C138" s="494"/>
      <c r="D138" s="490"/>
      <c r="E138" s="490"/>
      <c r="F138" s="490"/>
    </row>
    <row r="139" spans="2:6" outlineLevel="1">
      <c r="B139" s="358"/>
      <c r="C139" s="492"/>
      <c r="D139" s="490"/>
      <c r="E139" s="490"/>
      <c r="F139" s="490"/>
    </row>
    <row r="140" spans="2:6" outlineLevel="1">
      <c r="B140" s="358"/>
      <c r="C140" s="495"/>
      <c r="D140" s="490"/>
      <c r="E140" s="490"/>
      <c r="F140" s="490"/>
    </row>
    <row r="141" spans="2:6" outlineLevel="1">
      <c r="B141" s="358"/>
      <c r="C141" s="495"/>
      <c r="D141" s="490"/>
      <c r="E141" s="490"/>
      <c r="F141" s="490"/>
    </row>
    <row r="142" spans="2:6" outlineLevel="1">
      <c r="B142" s="358"/>
      <c r="C142" s="489"/>
      <c r="D142" s="490"/>
      <c r="E142" s="490"/>
      <c r="F142" s="490"/>
    </row>
    <row r="143" spans="2:6" outlineLevel="1">
      <c r="B143" s="358"/>
      <c r="C143" s="490"/>
      <c r="D143" s="490"/>
      <c r="E143" s="490"/>
      <c r="F143" s="490"/>
    </row>
    <row r="144" spans="2:6" outlineLevel="1">
      <c r="B144" s="488"/>
      <c r="C144" s="489"/>
      <c r="D144" s="490"/>
      <c r="E144" s="490"/>
      <c r="F144" s="490"/>
    </row>
    <row r="145" spans="1:44" outlineLevel="1">
      <c r="B145" s="496"/>
      <c r="C145" s="497"/>
      <c r="E145" s="490"/>
      <c r="F145" s="490"/>
    </row>
    <row r="146" spans="1:44" outlineLevel="1">
      <c r="B146" s="496" t="s">
        <v>59</v>
      </c>
      <c r="C146" s="489" t="s">
        <v>785</v>
      </c>
      <c r="E146" s="490"/>
      <c r="F146" s="490"/>
    </row>
    <row r="147" spans="1:44" outlineLevel="1">
      <c r="B147" s="496" t="s">
        <v>16</v>
      </c>
      <c r="C147" s="489" t="s">
        <v>786</v>
      </c>
      <c r="E147" s="490"/>
      <c r="F147" s="490"/>
    </row>
    <row r="148" spans="1:44" outlineLevel="1">
      <c r="B148" s="496" t="s">
        <v>20</v>
      </c>
      <c r="C148" s="489" t="s">
        <v>787</v>
      </c>
      <c r="E148" s="490"/>
      <c r="F148" s="490"/>
    </row>
    <row r="149" spans="1:44" outlineLevel="1">
      <c r="B149" s="496" t="s">
        <v>76</v>
      </c>
      <c r="C149" s="498" t="s">
        <v>788</v>
      </c>
      <c r="E149" s="490"/>
      <c r="F149" s="490"/>
    </row>
    <row r="150" spans="1:44" outlineLevel="1">
      <c r="B150" s="496" t="s">
        <v>25</v>
      </c>
      <c r="C150" s="489" t="s">
        <v>789</v>
      </c>
      <c r="E150" s="490"/>
      <c r="F150" s="490"/>
    </row>
    <row r="151" spans="1:44" outlineLevel="1"/>
    <row r="152" spans="1:44" outlineLevel="1">
      <c r="M152" s="214"/>
    </row>
    <row r="153" spans="1:44" outlineLevel="1"/>
    <row r="156" spans="1:44">
      <c r="A156" s="360"/>
      <c r="B156" s="1207"/>
      <c r="C156" s="1143"/>
      <c r="D156" s="1143"/>
      <c r="E156" s="1143"/>
      <c r="F156" s="1143"/>
      <c r="G156" s="1143"/>
      <c r="H156" s="1143"/>
      <c r="I156" s="1143"/>
      <c r="J156" s="1143"/>
      <c r="K156" s="1143"/>
      <c r="L156" s="1143"/>
      <c r="M156" s="1143"/>
      <c r="N156" s="361"/>
      <c r="P156" s="1143"/>
      <c r="Q156" s="1143"/>
      <c r="R156" s="1143"/>
      <c r="S156" s="1143"/>
      <c r="T156" s="1143"/>
      <c r="U156" s="1143"/>
    </row>
    <row r="157" spans="1:44" ht="15" outlineLevel="1" thickBot="1">
      <c r="B157" s="1207"/>
      <c r="C157" s="1143"/>
      <c r="D157" s="1143"/>
      <c r="E157" s="1143"/>
      <c r="F157" s="1143"/>
      <c r="G157" s="1143"/>
      <c r="H157" s="1143"/>
      <c r="I157" s="1143"/>
      <c r="J157" s="1143"/>
      <c r="K157" s="1143"/>
      <c r="L157" s="1143"/>
      <c r="M157" s="1143"/>
      <c r="N157" s="361"/>
      <c r="P157" s="1143"/>
      <c r="Q157" s="1143"/>
      <c r="R157" s="1143"/>
      <c r="S157" s="1143"/>
      <c r="T157" s="1143"/>
      <c r="U157" s="1143"/>
    </row>
    <row r="158" spans="1:44" ht="20.55" customHeight="1" outlineLevel="1" thickBot="1">
      <c r="B158" s="362"/>
      <c r="C158" s="1186"/>
      <c r="D158" s="1205"/>
      <c r="E158" s="1205"/>
      <c r="F158" s="1205"/>
      <c r="G158" s="1205"/>
      <c r="H158" s="1205"/>
      <c r="I158" s="1205"/>
      <c r="J158" s="1205"/>
      <c r="K158" s="1205"/>
      <c r="L158" s="1206"/>
      <c r="M158" s="363"/>
      <c r="N158" s="363"/>
      <c r="P158" s="364"/>
      <c r="Q158" s="365"/>
      <c r="R158" s="366"/>
      <c r="S158" s="1176"/>
      <c r="T158" s="1160"/>
      <c r="U158" s="1161"/>
      <c r="V158" s="1160"/>
      <c r="W158" s="1161"/>
      <c r="X158" s="1160"/>
      <c r="Y158" s="1161"/>
      <c r="Z158" s="1160"/>
      <c r="AA158" s="1161"/>
      <c r="AB158" s="1160"/>
      <c r="AC158" s="1161"/>
      <c r="AE158" s="364"/>
      <c r="AF158" s="365"/>
      <c r="AG158" s="366"/>
      <c r="AH158" s="1176"/>
      <c r="AI158" s="1160"/>
      <c r="AJ158" s="1161"/>
      <c r="AK158" s="1160"/>
      <c r="AL158" s="1161"/>
      <c r="AM158" s="1160"/>
      <c r="AN158" s="1161"/>
      <c r="AO158" s="1160"/>
      <c r="AP158" s="1161"/>
      <c r="AQ158" s="1160"/>
      <c r="AR158" s="1161"/>
    </row>
    <row r="159" spans="1:44" ht="15" customHeight="1" outlineLevel="1" thickBot="1">
      <c r="B159" s="1164"/>
      <c r="C159" s="1166"/>
      <c r="D159" s="1166"/>
      <c r="E159" s="1166"/>
      <c r="F159" s="1166"/>
      <c r="G159" s="1221"/>
      <c r="H159" s="1222"/>
      <c r="I159" s="1221"/>
      <c r="J159" s="1222"/>
      <c r="K159" s="1189"/>
      <c r="L159" s="1189"/>
      <c r="M159" s="367"/>
      <c r="N159" s="367"/>
      <c r="P159" s="1180"/>
      <c r="Q159" s="368"/>
      <c r="R159" s="368"/>
      <c r="S159" s="1177"/>
      <c r="T159" s="1162"/>
      <c r="U159" s="1163"/>
      <c r="V159" s="1162"/>
      <c r="W159" s="1163"/>
      <c r="X159" s="1162"/>
      <c r="Y159" s="1163"/>
      <c r="Z159" s="1162"/>
      <c r="AA159" s="1163"/>
      <c r="AB159" s="1162"/>
      <c r="AC159" s="1163"/>
      <c r="AE159" s="1180"/>
      <c r="AF159" s="368"/>
      <c r="AG159" s="368"/>
      <c r="AH159" s="1177"/>
      <c r="AI159" s="1162"/>
      <c r="AJ159" s="1163"/>
      <c r="AK159" s="1162"/>
      <c r="AL159" s="1163"/>
      <c r="AM159" s="1162"/>
      <c r="AN159" s="1163"/>
      <c r="AO159" s="1162"/>
      <c r="AP159" s="1163"/>
      <c r="AQ159" s="1162"/>
      <c r="AR159" s="1163"/>
    </row>
    <row r="160" spans="1:44" ht="15" customHeight="1" outlineLevel="1" thickBot="1">
      <c r="B160" s="1165"/>
      <c r="C160" s="1167"/>
      <c r="D160" s="1167"/>
      <c r="E160" s="1167"/>
      <c r="F160" s="1167"/>
      <c r="G160" s="540"/>
      <c r="H160" s="540"/>
      <c r="I160" s="540"/>
      <c r="J160" s="540"/>
      <c r="K160" s="1190"/>
      <c r="L160" s="1190"/>
      <c r="M160" s="370"/>
      <c r="N160" s="370"/>
      <c r="P160" s="1181"/>
      <c r="Q160" s="1183"/>
      <c r="R160" s="1184"/>
      <c r="S160" s="1178"/>
      <c r="T160" s="1162"/>
      <c r="U160" s="1163"/>
      <c r="V160" s="1162"/>
      <c r="W160" s="1163"/>
      <c r="X160" s="1162"/>
      <c r="Y160" s="1163"/>
      <c r="Z160" s="1162"/>
      <c r="AA160" s="1163"/>
      <c r="AB160" s="1162"/>
      <c r="AC160" s="1163"/>
      <c r="AE160" s="1181"/>
      <c r="AF160" s="1197"/>
      <c r="AG160" s="1184"/>
      <c r="AH160" s="1178"/>
      <c r="AI160" s="1162"/>
      <c r="AJ160" s="1163"/>
      <c r="AK160" s="1162"/>
      <c r="AL160" s="1163"/>
      <c r="AM160" s="1162"/>
      <c r="AN160" s="1163"/>
      <c r="AO160" s="1162"/>
      <c r="AP160" s="1163"/>
      <c r="AQ160" s="1162"/>
      <c r="AR160" s="1163"/>
    </row>
    <row r="161" spans="2:44" ht="15" outlineLevel="1" thickBot="1">
      <c r="B161" s="371"/>
      <c r="C161" s="372"/>
      <c r="D161" s="372"/>
      <c r="E161" s="372"/>
      <c r="F161" s="372"/>
      <c r="G161" s="372"/>
      <c r="H161" s="372"/>
      <c r="I161" s="372"/>
      <c r="J161" s="372"/>
      <c r="K161" s="372"/>
      <c r="L161" s="373"/>
      <c r="M161" s="370"/>
      <c r="N161" s="370"/>
      <c r="O161" s="74"/>
      <c r="P161" s="1182"/>
      <c r="Q161" s="1179"/>
      <c r="R161" s="1185"/>
      <c r="S161" s="1179"/>
      <c r="T161" s="374"/>
      <c r="U161" s="375"/>
      <c r="V161" s="374"/>
      <c r="W161" s="375"/>
      <c r="X161" s="374"/>
      <c r="Y161" s="375"/>
      <c r="Z161" s="374"/>
      <c r="AA161" s="375"/>
      <c r="AB161" s="374"/>
      <c r="AC161" s="375"/>
      <c r="AE161" s="1182"/>
      <c r="AF161" s="1198"/>
      <c r="AG161" s="1185"/>
      <c r="AH161" s="1179"/>
      <c r="AI161" s="374"/>
      <c r="AJ161" s="375"/>
      <c r="AK161" s="374"/>
      <c r="AL161" s="375"/>
      <c r="AM161" s="374"/>
      <c r="AN161" s="375"/>
      <c r="AO161" s="374"/>
      <c r="AP161" s="375"/>
      <c r="AQ161" s="374"/>
      <c r="AR161" s="375"/>
    </row>
    <row r="162" spans="2:44" ht="14.55" customHeight="1" outlineLevel="1">
      <c r="B162" s="541"/>
      <c r="C162" s="542"/>
      <c r="D162" s="542"/>
      <c r="E162" s="543"/>
      <c r="F162" s="542"/>
      <c r="G162" s="542"/>
      <c r="H162" s="542"/>
      <c r="I162" s="542"/>
      <c r="J162" s="542"/>
      <c r="K162" s="372"/>
      <c r="L162" s="373"/>
      <c r="M162" s="370"/>
      <c r="N162" s="370"/>
      <c r="P162" s="1148"/>
      <c r="Q162" s="1154"/>
      <c r="R162" s="381"/>
      <c r="S162" s="382"/>
      <c r="T162" s="1137"/>
      <c r="U162" s="1151"/>
      <c r="V162" s="1137"/>
      <c r="W162" s="1151"/>
      <c r="X162" s="1137"/>
      <c r="Y162" s="1151"/>
      <c r="Z162" s="1137"/>
      <c r="AA162" s="1151"/>
      <c r="AB162" s="1137"/>
      <c r="AC162" s="1151"/>
      <c r="AE162" s="1148"/>
      <c r="AF162" s="1154"/>
      <c r="AG162" s="381"/>
      <c r="AH162" s="382"/>
      <c r="AI162" s="1137"/>
      <c r="AJ162" s="1151"/>
      <c r="AK162" s="1137"/>
      <c r="AL162" s="1151"/>
      <c r="AM162" s="1137"/>
      <c r="AN162" s="1151"/>
      <c r="AO162" s="1137"/>
      <c r="AP162" s="1151"/>
      <c r="AQ162" s="1137"/>
      <c r="AR162" s="1151"/>
    </row>
    <row r="163" spans="2:44" outlineLevel="1">
      <c r="B163" s="383"/>
      <c r="C163" s="384"/>
      <c r="D163" s="384"/>
      <c r="E163" s="384"/>
      <c r="F163" s="384"/>
      <c r="G163" s="505"/>
      <c r="H163" s="505"/>
      <c r="I163" s="505"/>
      <c r="J163" s="505"/>
      <c r="K163" s="372"/>
      <c r="L163" s="373"/>
      <c r="M163" s="370"/>
      <c r="N163" s="370"/>
      <c r="O163" s="71"/>
      <c r="P163" s="1195"/>
      <c r="Q163" s="1155"/>
      <c r="R163" s="388"/>
      <c r="S163" s="389"/>
      <c r="T163" s="1140"/>
      <c r="U163" s="1152"/>
      <c r="V163" s="1140"/>
      <c r="W163" s="1152"/>
      <c r="X163" s="1140"/>
      <c r="Y163" s="1152"/>
      <c r="Z163" s="1140"/>
      <c r="AA163" s="1152"/>
      <c r="AB163" s="1140"/>
      <c r="AC163" s="1152"/>
      <c r="AE163" s="1195"/>
      <c r="AF163" s="1155"/>
      <c r="AG163" s="388"/>
      <c r="AH163" s="389"/>
      <c r="AI163" s="1140"/>
      <c r="AJ163" s="1152"/>
      <c r="AK163" s="1140"/>
      <c r="AL163" s="1152"/>
      <c r="AM163" s="1140"/>
      <c r="AN163" s="1152"/>
      <c r="AO163" s="1140"/>
      <c r="AP163" s="1152"/>
      <c r="AQ163" s="1140"/>
      <c r="AR163" s="1152"/>
    </row>
    <row r="164" spans="2:44" ht="15" outlineLevel="1" thickBot="1">
      <c r="B164" s="541"/>
      <c r="C164" s="544"/>
      <c r="D164" s="545"/>
      <c r="E164" s="545"/>
      <c r="F164" s="546"/>
      <c r="G164" s="545"/>
      <c r="H164" s="545"/>
      <c r="I164" s="545"/>
      <c r="J164" s="545"/>
      <c r="K164" s="547"/>
      <c r="L164" s="548"/>
      <c r="M164" s="370"/>
      <c r="N164" s="370"/>
      <c r="O164" s="71"/>
      <c r="P164" s="1195"/>
      <c r="Q164" s="1156"/>
      <c r="R164" s="393"/>
      <c r="S164" s="394"/>
      <c r="T164" s="1141"/>
      <c r="U164" s="1153"/>
      <c r="V164" s="1141"/>
      <c r="W164" s="1153"/>
      <c r="X164" s="1141"/>
      <c r="Y164" s="1153"/>
      <c r="Z164" s="1141"/>
      <c r="AA164" s="1153"/>
      <c r="AB164" s="1141"/>
      <c r="AC164" s="1153"/>
      <c r="AE164" s="1195"/>
      <c r="AF164" s="1156"/>
      <c r="AG164" s="393"/>
      <c r="AH164" s="394"/>
      <c r="AI164" s="1141"/>
      <c r="AJ164" s="1153"/>
      <c r="AK164" s="1141"/>
      <c r="AL164" s="1153"/>
      <c r="AM164" s="1141"/>
      <c r="AN164" s="1153"/>
      <c r="AO164" s="1141"/>
      <c r="AP164" s="1153"/>
      <c r="AQ164" s="1141"/>
      <c r="AR164" s="1153"/>
    </row>
    <row r="165" spans="2:44" ht="14.55" customHeight="1" outlineLevel="1">
      <c r="B165" s="541"/>
      <c r="C165" s="544"/>
      <c r="D165" s="544"/>
      <c r="E165" s="544"/>
      <c r="F165" s="544"/>
      <c r="G165" s="544"/>
      <c r="H165" s="544"/>
      <c r="I165" s="544"/>
      <c r="J165" s="544"/>
      <c r="K165" s="547"/>
      <c r="L165" s="548"/>
      <c r="M165" s="370"/>
      <c r="N165" s="370"/>
      <c r="O165" s="71"/>
      <c r="P165" s="1195"/>
      <c r="Q165" s="1154"/>
      <c r="R165" s="395"/>
      <c r="S165" s="396"/>
      <c r="T165" s="1137"/>
      <c r="U165" s="1137"/>
      <c r="V165" s="1137"/>
      <c r="W165" s="1137"/>
      <c r="X165" s="1137"/>
      <c r="Y165" s="1137"/>
      <c r="Z165" s="1137"/>
      <c r="AA165" s="1137"/>
      <c r="AB165" s="1137"/>
      <c r="AC165" s="1137"/>
      <c r="AE165" s="1195"/>
      <c r="AF165" s="1154"/>
      <c r="AG165" s="395"/>
      <c r="AH165" s="396"/>
      <c r="AI165" s="1137"/>
      <c r="AJ165" s="1137"/>
      <c r="AK165" s="1137"/>
      <c r="AL165" s="1137"/>
      <c r="AM165" s="1137"/>
      <c r="AN165" s="1137"/>
      <c r="AO165" s="1137"/>
      <c r="AP165" s="1137"/>
      <c r="AQ165" s="1137"/>
      <c r="AR165" s="1137"/>
    </row>
    <row r="166" spans="2:44" outlineLevel="1">
      <c r="B166" s="541"/>
      <c r="C166" s="544"/>
      <c r="D166" s="544"/>
      <c r="E166" s="544"/>
      <c r="F166" s="544"/>
      <c r="G166" s="544"/>
      <c r="H166" s="544"/>
      <c r="I166" s="544"/>
      <c r="J166" s="544"/>
      <c r="K166" s="547"/>
      <c r="L166" s="548"/>
      <c r="M166" s="367"/>
      <c r="N166" s="367"/>
      <c r="O166" s="71"/>
      <c r="P166" s="1195"/>
      <c r="Q166" s="1155"/>
      <c r="R166" s="395"/>
      <c r="S166" s="396"/>
      <c r="T166" s="1138"/>
      <c r="U166" s="1138"/>
      <c r="V166" s="1138"/>
      <c r="W166" s="1138"/>
      <c r="X166" s="1138"/>
      <c r="Y166" s="1138"/>
      <c r="Z166" s="1138"/>
      <c r="AA166" s="1138"/>
      <c r="AB166" s="1138"/>
      <c r="AC166" s="1138"/>
      <c r="AE166" s="1195"/>
      <c r="AF166" s="1155"/>
      <c r="AG166" s="395"/>
      <c r="AH166" s="396"/>
      <c r="AI166" s="1138"/>
      <c r="AJ166" s="1138"/>
      <c r="AK166" s="1138"/>
      <c r="AL166" s="1138"/>
      <c r="AM166" s="1138"/>
      <c r="AN166" s="1138"/>
      <c r="AO166" s="1138"/>
      <c r="AP166" s="1138"/>
      <c r="AQ166" s="1138"/>
      <c r="AR166" s="1138"/>
    </row>
    <row r="167" spans="2:44" outlineLevel="1">
      <c r="B167" s="383"/>
      <c r="C167" s="397"/>
      <c r="D167" s="397"/>
      <c r="E167" s="397"/>
      <c r="F167" s="399"/>
      <c r="G167" s="399"/>
      <c r="H167" s="399"/>
      <c r="I167" s="399"/>
      <c r="J167" s="399"/>
      <c r="K167" s="372"/>
      <c r="L167" s="373"/>
      <c r="M167" s="363"/>
      <c r="N167" s="363"/>
      <c r="P167" s="1195"/>
      <c r="Q167" s="1155"/>
      <c r="R167" s="395"/>
      <c r="S167" s="396"/>
      <c r="T167" s="1138"/>
      <c r="U167" s="1138"/>
      <c r="V167" s="1138"/>
      <c r="W167" s="1138"/>
      <c r="X167" s="1138"/>
      <c r="Y167" s="1138"/>
      <c r="Z167" s="1138"/>
      <c r="AA167" s="1138"/>
      <c r="AB167" s="1138"/>
      <c r="AC167" s="1138"/>
      <c r="AE167" s="1195"/>
      <c r="AF167" s="1155"/>
      <c r="AG167" s="395"/>
      <c r="AH167" s="396"/>
      <c r="AI167" s="1138"/>
      <c r="AJ167" s="1138"/>
      <c r="AK167" s="1138"/>
      <c r="AL167" s="1138"/>
      <c r="AM167" s="1138"/>
      <c r="AN167" s="1138"/>
      <c r="AO167" s="1138"/>
      <c r="AP167" s="1138"/>
      <c r="AQ167" s="1138"/>
      <c r="AR167" s="1138"/>
    </row>
    <row r="168" spans="2:44" ht="15" outlineLevel="1" thickBot="1">
      <c r="B168" s="541"/>
      <c r="C168" s="544"/>
      <c r="D168" s="544"/>
      <c r="E168" s="544"/>
      <c r="F168" s="544"/>
      <c r="G168" s="544"/>
      <c r="H168" s="544"/>
      <c r="I168" s="544"/>
      <c r="J168" s="544"/>
      <c r="K168" s="372"/>
      <c r="L168" s="400"/>
      <c r="M168" s="363"/>
      <c r="N168" s="363"/>
      <c r="P168" s="1195"/>
      <c r="Q168" s="1155"/>
      <c r="R168" s="395"/>
      <c r="S168" s="396"/>
      <c r="T168" s="1138"/>
      <c r="U168" s="1138"/>
      <c r="V168" s="1138"/>
      <c r="W168" s="1138"/>
      <c r="X168" s="1138"/>
      <c r="Y168" s="1138"/>
      <c r="Z168" s="1138"/>
      <c r="AA168" s="1138"/>
      <c r="AB168" s="1138"/>
      <c r="AC168" s="1138"/>
      <c r="AE168" s="1195"/>
      <c r="AF168" s="1155"/>
      <c r="AG168" s="395"/>
      <c r="AH168" s="396"/>
      <c r="AI168" s="1138"/>
      <c r="AJ168" s="1138"/>
      <c r="AK168" s="1138"/>
      <c r="AL168" s="1138"/>
      <c r="AM168" s="1138"/>
      <c r="AN168" s="1138"/>
      <c r="AO168" s="1138"/>
      <c r="AP168" s="1138"/>
      <c r="AQ168" s="1138"/>
      <c r="AR168" s="1138"/>
    </row>
    <row r="169" spans="2:44" ht="15" outlineLevel="1" thickBot="1">
      <c r="B169" s="401"/>
      <c r="C169" s="402"/>
      <c r="D169" s="403"/>
      <c r="E169" s="404"/>
      <c r="F169" s="405"/>
      <c r="G169" s="406"/>
      <c r="H169" s="406"/>
      <c r="I169" s="406"/>
      <c r="J169" s="406"/>
      <c r="K169" s="407"/>
      <c r="L169" s="408"/>
      <c r="M169" s="363"/>
      <c r="N169" s="363"/>
      <c r="P169" s="1195"/>
      <c r="Q169" s="1155"/>
      <c r="R169" s="409"/>
      <c r="S169" s="410"/>
      <c r="T169" s="1139"/>
      <c r="U169" s="1139"/>
      <c r="V169" s="1139"/>
      <c r="W169" s="1139"/>
      <c r="X169" s="1139"/>
      <c r="Y169" s="1139"/>
      <c r="Z169" s="1139"/>
      <c r="AA169" s="1139"/>
      <c r="AB169" s="1139"/>
      <c r="AC169" s="1139"/>
      <c r="AE169" s="1195"/>
      <c r="AF169" s="1155"/>
      <c r="AG169" s="409"/>
      <c r="AH169" s="410"/>
      <c r="AI169" s="1139"/>
      <c r="AJ169" s="1139"/>
      <c r="AK169" s="1139"/>
      <c r="AL169" s="1139"/>
      <c r="AM169" s="1139"/>
      <c r="AN169" s="1139"/>
      <c r="AO169" s="1139"/>
      <c r="AP169" s="1139"/>
      <c r="AQ169" s="1139"/>
      <c r="AR169" s="1139"/>
    </row>
    <row r="170" spans="2:44" ht="15" outlineLevel="1" thickBot="1">
      <c r="B170" s="541"/>
      <c r="C170" s="544"/>
      <c r="D170" s="544"/>
      <c r="E170" s="544"/>
      <c r="F170" s="544"/>
      <c r="G170" s="545"/>
      <c r="H170" s="545"/>
      <c r="I170" s="545"/>
      <c r="J170" s="545"/>
      <c r="K170" s="547"/>
      <c r="L170" s="548"/>
      <c r="M170" s="363"/>
      <c r="N170" s="363"/>
      <c r="P170" s="1196"/>
      <c r="Q170" s="411"/>
      <c r="R170" s="412"/>
      <c r="S170" s="413"/>
      <c r="T170" s="414"/>
      <c r="U170" s="415"/>
      <c r="V170" s="416"/>
      <c r="W170" s="415"/>
      <c r="X170" s="416"/>
      <c r="Y170" s="415"/>
      <c r="Z170" s="416"/>
      <c r="AA170" s="415"/>
      <c r="AB170" s="416"/>
      <c r="AC170" s="417"/>
      <c r="AE170" s="1196"/>
      <c r="AF170" s="411"/>
      <c r="AG170" s="412"/>
      <c r="AH170" s="413"/>
      <c r="AI170" s="414"/>
      <c r="AJ170" s="415"/>
      <c r="AK170" s="416"/>
      <c r="AL170" s="415"/>
      <c r="AM170" s="416"/>
      <c r="AN170" s="415"/>
      <c r="AO170" s="416"/>
      <c r="AP170" s="415"/>
      <c r="AQ170" s="416"/>
      <c r="AR170" s="417"/>
    </row>
    <row r="171" spans="2:44" outlineLevel="1">
      <c r="B171" s="541"/>
      <c r="C171" s="544"/>
      <c r="D171" s="544"/>
      <c r="E171" s="544"/>
      <c r="F171" s="544"/>
      <c r="G171" s="549"/>
      <c r="H171" s="549"/>
      <c r="I171" s="549"/>
      <c r="J171" s="549"/>
      <c r="K171" s="550"/>
      <c r="L171" s="548"/>
      <c r="M171" s="363"/>
      <c r="N171" s="363"/>
    </row>
    <row r="172" spans="2:44" outlineLevel="1">
      <c r="B172" s="541"/>
      <c r="C172" s="544"/>
      <c r="D172" s="544"/>
      <c r="E172" s="544"/>
      <c r="F172" s="544"/>
      <c r="G172" s="549"/>
      <c r="H172" s="549"/>
      <c r="I172" s="549"/>
      <c r="J172" s="549"/>
      <c r="K172" s="550"/>
      <c r="L172" s="548"/>
      <c r="M172" s="420"/>
      <c r="N172" s="363"/>
    </row>
    <row r="173" spans="2:44" outlineLevel="1">
      <c r="B173" s="421"/>
      <c r="C173" s="399"/>
      <c r="D173" s="399"/>
      <c r="E173" s="399"/>
      <c r="F173" s="399"/>
      <c r="G173" s="422"/>
      <c r="H173" s="422"/>
      <c r="I173" s="422"/>
      <c r="J173" s="422"/>
      <c r="K173" s="423"/>
      <c r="L173" s="424"/>
      <c r="M173" s="420"/>
      <c r="N173" s="420"/>
    </row>
    <row r="174" spans="2:44" outlineLevel="1">
      <c r="B174" s="383"/>
      <c r="C174" s="397"/>
      <c r="D174" s="397"/>
      <c r="E174" s="397"/>
      <c r="F174" s="397"/>
      <c r="G174" s="422"/>
      <c r="H174" s="425"/>
      <c r="I174" s="425"/>
      <c r="J174" s="425"/>
      <c r="K174" s="426"/>
      <c r="L174" s="427"/>
      <c r="M174" s="428"/>
      <c r="N174" s="428"/>
    </row>
    <row r="175" spans="2:44" outlineLevel="1">
      <c r="B175" s="383"/>
      <c r="C175" s="397"/>
      <c r="D175" s="397"/>
      <c r="E175" s="397"/>
      <c r="F175" s="397"/>
      <c r="G175" s="425"/>
      <c r="H175" s="425"/>
      <c r="I175" s="425"/>
      <c r="J175" s="425"/>
      <c r="K175" s="423"/>
      <c r="L175" s="427"/>
      <c r="M175" s="428"/>
      <c r="N175" s="428"/>
    </row>
    <row r="176" spans="2:44" outlineLevel="1">
      <c r="B176" s="383"/>
      <c r="C176" s="397"/>
      <c r="D176" s="397"/>
      <c r="E176" s="397"/>
      <c r="F176" s="397"/>
      <c r="G176" s="425"/>
      <c r="H176" s="425"/>
      <c r="I176" s="425"/>
      <c r="J176" s="425"/>
      <c r="K176" s="423"/>
      <c r="L176" s="427"/>
      <c r="M176" s="428"/>
      <c r="N176" s="428"/>
    </row>
    <row r="177" spans="1:30" outlineLevel="1">
      <c r="B177" s="383"/>
      <c r="C177" s="397"/>
      <c r="D177" s="397"/>
      <c r="E177" s="397"/>
      <c r="F177" s="397"/>
      <c r="G177" s="425"/>
      <c r="H177" s="425"/>
      <c r="I177" s="425"/>
      <c r="J177" s="425"/>
      <c r="K177" s="423"/>
      <c r="L177" s="427"/>
      <c r="M177" s="428"/>
      <c r="N177" s="428"/>
    </row>
    <row r="178" spans="1:30" ht="15" outlineLevel="1" thickBot="1">
      <c r="B178" s="429"/>
      <c r="C178" s="430"/>
      <c r="D178" s="430"/>
      <c r="E178" s="430"/>
      <c r="F178" s="430"/>
      <c r="G178" s="425"/>
      <c r="H178" s="425"/>
      <c r="I178" s="425"/>
      <c r="J178" s="425"/>
      <c r="K178" s="423"/>
      <c r="L178" s="427"/>
      <c r="M178" s="428"/>
      <c r="N178" s="428"/>
    </row>
    <row r="179" spans="1:30" ht="15" outlineLevel="1" thickBot="1">
      <c r="B179" s="431"/>
      <c r="C179" s="432"/>
      <c r="D179" s="403"/>
      <c r="E179" s="403"/>
      <c r="F179" s="433"/>
      <c r="G179" s="434"/>
      <c r="H179" s="406"/>
      <c r="I179" s="406"/>
      <c r="J179" s="406"/>
      <c r="K179" s="407"/>
      <c r="L179" s="408"/>
      <c r="M179" s="428"/>
      <c r="N179" s="428"/>
    </row>
    <row r="180" spans="1:30" outlineLevel="1">
      <c r="A180" s="435"/>
      <c r="B180" s="436"/>
      <c r="C180" s="551"/>
      <c r="D180" s="438"/>
      <c r="E180" s="438"/>
      <c r="F180" s="439"/>
      <c r="G180" s="425"/>
      <c r="H180" s="425"/>
      <c r="I180" s="425"/>
      <c r="J180" s="425"/>
      <c r="K180" s="426"/>
      <c r="L180" s="440"/>
      <c r="M180" s="420"/>
      <c r="N180" s="420"/>
    </row>
    <row r="181" spans="1:30" outlineLevel="1">
      <c r="B181" s="441"/>
      <c r="C181" s="442"/>
      <c r="D181" s="443"/>
      <c r="E181" s="443"/>
      <c r="F181" s="443"/>
      <c r="G181" s="425"/>
      <c r="H181" s="425"/>
      <c r="I181" s="425"/>
      <c r="J181" s="425"/>
      <c r="K181" s="444"/>
      <c r="L181" s="373"/>
      <c r="M181" s="71"/>
      <c r="N181" s="420"/>
    </row>
    <row r="182" spans="1:30" outlineLevel="1">
      <c r="B182" s="441"/>
      <c r="C182" s="442"/>
      <c r="D182" s="442"/>
      <c r="E182" s="442"/>
      <c r="F182" s="442"/>
      <c r="G182" s="425"/>
      <c r="H182" s="425"/>
      <c r="I182" s="425"/>
      <c r="J182" s="425"/>
      <c r="K182" s="444"/>
      <c r="L182" s="373"/>
      <c r="M182" s="420"/>
      <c r="N182" s="420"/>
    </row>
    <row r="183" spans="1:30" outlineLevel="1">
      <c r="B183" s="383"/>
      <c r="C183" s="445"/>
      <c r="D183" s="446"/>
      <c r="E183" s="446"/>
      <c r="F183" s="447"/>
      <c r="G183" s="425"/>
      <c r="H183" s="425"/>
      <c r="I183" s="425"/>
      <c r="J183" s="425"/>
      <c r="K183" s="448"/>
      <c r="L183" s="373"/>
      <c r="M183" s="420"/>
      <c r="N183" s="420"/>
    </row>
    <row r="184" spans="1:30" outlineLevel="1">
      <c r="B184" s="383"/>
      <c r="C184" s="449"/>
      <c r="D184" s="449"/>
      <c r="E184" s="449"/>
      <c r="F184" s="449"/>
      <c r="G184" s="425"/>
      <c r="H184" s="425"/>
      <c r="I184" s="425"/>
      <c r="J184" s="425"/>
      <c r="K184" s="448"/>
      <c r="L184" s="373"/>
      <c r="M184" s="450"/>
      <c r="N184" s="361"/>
      <c r="P184" s="1142"/>
      <c r="Q184" s="1143"/>
      <c r="R184" s="1143"/>
      <c r="S184" s="1143"/>
      <c r="T184" s="1143"/>
      <c r="U184" s="1144"/>
    </row>
    <row r="185" spans="1:30" ht="15" outlineLevel="1" thickBot="1">
      <c r="B185" s="541"/>
      <c r="C185" s="552"/>
      <c r="D185" s="552"/>
      <c r="E185" s="552"/>
      <c r="F185" s="552"/>
      <c r="G185" s="553"/>
      <c r="H185" s="553"/>
      <c r="I185" s="553"/>
      <c r="J185" s="553"/>
      <c r="K185" s="547"/>
      <c r="L185" s="548"/>
      <c r="M185" s="450"/>
      <c r="N185" s="361"/>
      <c r="P185" s="1134"/>
      <c r="Q185" s="1135"/>
      <c r="R185" s="1135"/>
      <c r="S185" s="1135"/>
      <c r="T185" s="1135"/>
      <c r="U185" s="1136"/>
    </row>
    <row r="186" spans="1:30" outlineLevel="1">
      <c r="B186" s="541"/>
      <c r="C186" s="554"/>
      <c r="D186" s="554"/>
      <c r="E186" s="554"/>
      <c r="F186" s="554"/>
      <c r="G186" s="553"/>
      <c r="H186" s="553"/>
      <c r="I186" s="553"/>
      <c r="J186" s="553"/>
      <c r="K186" s="555"/>
      <c r="L186" s="548"/>
      <c r="M186" s="363"/>
      <c r="N186" s="363"/>
      <c r="P186" s="53"/>
    </row>
    <row r="187" spans="1:30" outlineLevel="1">
      <c r="B187" s="441"/>
      <c r="C187" s="456"/>
      <c r="D187" s="456"/>
      <c r="E187" s="456"/>
      <c r="F187" s="456"/>
      <c r="G187" s="425"/>
      <c r="H187" s="425"/>
      <c r="I187" s="425"/>
      <c r="J187" s="425"/>
      <c r="K187" s="444"/>
      <c r="L187" s="424"/>
      <c r="M187" s="367"/>
      <c r="N187" s="367"/>
      <c r="P187" s="46"/>
      <c r="Q187" s="46"/>
      <c r="R187" s="47"/>
      <c r="S187" s="47"/>
      <c r="T187" s="47"/>
      <c r="U187" s="48"/>
      <c r="V187" s="49"/>
      <c r="W187" s="49"/>
      <c r="X187" s="49"/>
      <c r="Y187" s="49"/>
      <c r="Z187" s="49"/>
      <c r="AA187" s="49"/>
      <c r="AB187" s="49"/>
      <c r="AC187" s="49"/>
      <c r="AD187" s="49"/>
    </row>
    <row r="188" spans="1:30" ht="15" outlineLevel="1" thickBot="1">
      <c r="B188" s="441"/>
      <c r="C188" s="442"/>
      <c r="D188" s="457"/>
      <c r="E188" s="457"/>
      <c r="F188" s="458"/>
      <c r="G188" s="425"/>
      <c r="H188" s="425"/>
      <c r="I188" s="425"/>
      <c r="J188" s="425"/>
      <c r="K188" s="448"/>
      <c r="L188" s="424"/>
      <c r="M188" s="363"/>
      <c r="N188" s="363"/>
      <c r="P188" s="50"/>
      <c r="Q188" s="50"/>
      <c r="R188" s="51"/>
      <c r="S188" s="51"/>
      <c r="T188" s="51"/>
      <c r="U188" s="51"/>
      <c r="V188" s="50"/>
      <c r="W188" s="50"/>
      <c r="X188" s="50"/>
      <c r="Y188" s="50"/>
      <c r="Z188" s="50"/>
      <c r="AA188" s="50"/>
      <c r="AB188" s="50"/>
      <c r="AC188" s="50"/>
      <c r="AD188" s="50"/>
    </row>
    <row r="189" spans="1:30" ht="15" outlineLevel="1" thickBot="1">
      <c r="B189" s="401"/>
      <c r="C189" s="402"/>
      <c r="D189" s="403"/>
      <c r="E189" s="404"/>
      <c r="F189" s="405"/>
      <c r="G189" s="406"/>
      <c r="H189" s="406"/>
      <c r="I189" s="406"/>
      <c r="J189" s="406"/>
      <c r="K189" s="459"/>
      <c r="L189" s="460"/>
      <c r="M189" s="363"/>
      <c r="N189" s="363"/>
      <c r="O189" s="461"/>
      <c r="P189" s="56"/>
      <c r="Q189" s="56"/>
      <c r="R189" s="57"/>
      <c r="S189" s="57"/>
      <c r="T189" s="57"/>
      <c r="U189" s="56"/>
      <c r="V189" s="56"/>
      <c r="W189" s="56"/>
      <c r="X189" s="56"/>
      <c r="Y189" s="56"/>
      <c r="Z189" s="56"/>
      <c r="AA189" s="56"/>
      <c r="AB189" s="56"/>
      <c r="AC189" s="56"/>
      <c r="AD189" s="56"/>
    </row>
    <row r="190" spans="1:30" outlineLevel="1">
      <c r="B190" s="556"/>
      <c r="C190" s="557"/>
      <c r="D190" s="557"/>
      <c r="E190" s="557"/>
      <c r="F190" s="557"/>
      <c r="G190" s="558"/>
      <c r="H190" s="558"/>
      <c r="I190" s="558"/>
      <c r="J190" s="558"/>
      <c r="K190" s="558"/>
      <c r="L190" s="559"/>
      <c r="M190" s="363"/>
      <c r="N190" s="363"/>
      <c r="O190" s="465"/>
      <c r="P190" s="466"/>
      <c r="Q190" s="58"/>
      <c r="R190" s="466"/>
      <c r="S190" s="58"/>
      <c r="T190" s="466"/>
      <c r="U190" s="467"/>
      <c r="V190" s="467"/>
      <c r="W190" s="467"/>
      <c r="X190" s="58"/>
      <c r="Y190" s="58"/>
      <c r="Z190" s="466"/>
      <c r="AA190" s="468"/>
      <c r="AB190" s="468"/>
      <c r="AC190" s="468"/>
      <c r="AD190" s="468"/>
    </row>
    <row r="191" spans="1:30" outlineLevel="1">
      <c r="B191" s="541"/>
      <c r="C191" s="560"/>
      <c r="D191" s="561"/>
      <c r="E191" s="561"/>
      <c r="F191" s="562"/>
      <c r="G191" s="562"/>
      <c r="H191" s="562"/>
      <c r="I191" s="562"/>
      <c r="J191" s="562"/>
      <c r="K191" s="563"/>
      <c r="L191" s="559"/>
      <c r="M191" s="363"/>
      <c r="N191" s="363"/>
      <c r="O191" s="465"/>
      <c r="P191" s="466"/>
      <c r="Q191" s="58"/>
      <c r="R191" s="466"/>
      <c r="S191" s="58"/>
      <c r="T191" s="466"/>
      <c r="U191" s="467"/>
      <c r="V191" s="467"/>
      <c r="W191" s="467"/>
      <c r="X191" s="58"/>
      <c r="Y191" s="58"/>
      <c r="Z191" s="466"/>
      <c r="AA191" s="468"/>
      <c r="AB191" s="468"/>
      <c r="AC191" s="468"/>
      <c r="AD191" s="468"/>
    </row>
    <row r="192" spans="1:30" outlineLevel="1">
      <c r="B192" s="541"/>
      <c r="C192" s="560"/>
      <c r="D192" s="561"/>
      <c r="E192" s="561"/>
      <c r="F192" s="562"/>
      <c r="G192" s="562"/>
      <c r="H192" s="562"/>
      <c r="I192" s="562"/>
      <c r="J192" s="562"/>
      <c r="K192" s="563"/>
      <c r="L192" s="559"/>
      <c r="M192" s="363"/>
      <c r="N192" s="363"/>
      <c r="O192" s="465"/>
      <c r="P192" s="466"/>
      <c r="Q192" s="58"/>
      <c r="R192" s="466"/>
      <c r="S192" s="58"/>
      <c r="T192" s="466"/>
      <c r="U192" s="467"/>
      <c r="V192" s="467"/>
      <c r="W192" s="467"/>
      <c r="X192" s="58"/>
      <c r="Y192" s="58"/>
      <c r="Z192" s="466"/>
      <c r="AA192" s="468"/>
      <c r="AB192" s="468"/>
      <c r="AC192" s="468"/>
      <c r="AD192" s="468"/>
    </row>
    <row r="193" spans="1:30" outlineLevel="1">
      <c r="B193" s="541"/>
      <c r="C193" s="564"/>
      <c r="D193" s="564"/>
      <c r="E193" s="564"/>
      <c r="F193" s="564"/>
      <c r="G193" s="565"/>
      <c r="H193" s="565"/>
      <c r="I193" s="565"/>
      <c r="J193" s="565"/>
      <c r="K193" s="565"/>
      <c r="L193" s="548"/>
      <c r="M193" s="363"/>
      <c r="N193" s="363"/>
      <c r="O193" s="465"/>
      <c r="P193" s="466"/>
      <c r="Q193" s="58"/>
      <c r="R193" s="466"/>
      <c r="S193" s="58"/>
      <c r="T193" s="466"/>
      <c r="U193" s="467"/>
      <c r="V193" s="467"/>
      <c r="W193" s="467"/>
      <c r="X193" s="58"/>
      <c r="Y193" s="58"/>
      <c r="Z193" s="466"/>
      <c r="AA193" s="468"/>
      <c r="AB193" s="468"/>
      <c r="AC193" s="468"/>
      <c r="AD193" s="468"/>
    </row>
    <row r="194" spans="1:30" outlineLevel="1">
      <c r="B194" s="566"/>
      <c r="C194" s="560"/>
      <c r="D194" s="561"/>
      <c r="E194" s="561"/>
      <c r="F194" s="562"/>
      <c r="G194" s="562"/>
      <c r="H194" s="562"/>
      <c r="I194" s="562"/>
      <c r="J194" s="562"/>
      <c r="K194" s="563"/>
      <c r="L194" s="559"/>
      <c r="M194" s="367"/>
      <c r="N194" s="367"/>
    </row>
    <row r="195" spans="1:30" outlineLevel="1">
      <c r="B195" s="566"/>
      <c r="C195" s="560"/>
      <c r="D195" s="561"/>
      <c r="E195" s="561"/>
      <c r="F195" s="562"/>
      <c r="G195" s="562"/>
      <c r="H195" s="562"/>
      <c r="I195" s="562"/>
      <c r="J195" s="562"/>
      <c r="K195" s="563"/>
      <c r="L195" s="559"/>
      <c r="M195" s="363"/>
      <c r="N195" s="363"/>
    </row>
    <row r="196" spans="1:30" ht="15" outlineLevel="1" thickBot="1">
      <c r="B196" s="567"/>
      <c r="C196" s="568"/>
      <c r="D196" s="568"/>
      <c r="E196" s="568"/>
      <c r="F196" s="568"/>
      <c r="G196" s="568"/>
      <c r="H196" s="568"/>
      <c r="I196" s="568"/>
      <c r="J196" s="568"/>
      <c r="K196" s="568"/>
      <c r="L196" s="569"/>
      <c r="M196" s="363"/>
      <c r="N196" s="363"/>
    </row>
    <row r="197" spans="1:30" outlineLevel="1">
      <c r="B197" s="461"/>
      <c r="C197" s="483"/>
      <c r="D197" s="483"/>
      <c r="E197" s="483"/>
      <c r="F197" s="483"/>
      <c r="G197" s="483"/>
      <c r="H197" s="484"/>
      <c r="I197" s="420"/>
      <c r="J197" s="420"/>
      <c r="K197" s="484"/>
      <c r="L197" s="484"/>
      <c r="N197" s="420"/>
    </row>
    <row r="198" spans="1:30" outlineLevel="1">
      <c r="B198" s="485"/>
      <c r="C198" s="486"/>
      <c r="D198" s="486"/>
      <c r="E198" s="486"/>
      <c r="F198" s="486"/>
      <c r="G198" s="486"/>
      <c r="H198" s="484"/>
      <c r="I198" s="71"/>
      <c r="J198" s="420"/>
      <c r="K198" s="484"/>
      <c r="L198" s="484"/>
      <c r="N198" s="420"/>
    </row>
    <row r="199" spans="1:30" outlineLevel="1">
      <c r="B199" s="461"/>
      <c r="C199" s="359"/>
      <c r="D199" s="359"/>
      <c r="E199" s="359"/>
      <c r="F199" s="359"/>
      <c r="G199" s="359"/>
      <c r="I199" s="420"/>
      <c r="J199" s="420"/>
      <c r="N199" s="420"/>
    </row>
    <row r="200" spans="1:30" outlineLevel="1">
      <c r="B200" s="461"/>
      <c r="C200" s="487"/>
      <c r="D200" s="487"/>
      <c r="E200" s="487"/>
      <c r="F200" s="487"/>
      <c r="G200" s="359"/>
      <c r="M200" s="420"/>
      <c r="N200" s="420"/>
    </row>
    <row r="201" spans="1:30" outlineLevel="1"/>
    <row r="202" spans="1:30" outlineLevel="1">
      <c r="A202" s="488"/>
      <c r="B202" s="489"/>
      <c r="D202" s="490"/>
      <c r="E202" s="490"/>
      <c r="F202" s="490"/>
      <c r="G202" s="358"/>
      <c r="H202" s="358"/>
      <c r="I202" s="358"/>
      <c r="J202" s="358"/>
      <c r="K202" s="358"/>
      <c r="L202" s="358"/>
      <c r="N202" s="570"/>
      <c r="O202" s="489"/>
      <c r="P202" s="490"/>
    </row>
    <row r="203" spans="1:30" outlineLevel="1">
      <c r="A203" s="491"/>
      <c r="B203" s="492"/>
      <c r="D203" s="490"/>
      <c r="E203" s="490"/>
      <c r="F203" s="490"/>
      <c r="G203" s="358"/>
      <c r="H203" s="358"/>
      <c r="I203" s="358"/>
      <c r="J203" s="358"/>
      <c r="K203" s="358"/>
      <c r="L203" s="358"/>
      <c r="N203" s="570"/>
      <c r="O203" s="489"/>
      <c r="P203" s="490"/>
    </row>
    <row r="204" spans="1:30" outlineLevel="1">
      <c r="A204" s="491"/>
      <c r="B204" s="493"/>
      <c r="D204" s="490"/>
      <c r="E204" s="490"/>
      <c r="F204" s="490"/>
      <c r="G204" s="358"/>
      <c r="H204" s="358"/>
      <c r="I204" s="358"/>
      <c r="J204" s="358"/>
      <c r="K204" s="358"/>
      <c r="L204" s="358"/>
      <c r="N204" s="570"/>
      <c r="O204" s="489"/>
      <c r="P204" s="490"/>
    </row>
    <row r="205" spans="1:30" outlineLevel="1">
      <c r="A205" s="491"/>
      <c r="B205" s="493"/>
      <c r="D205" s="490"/>
      <c r="E205" s="490"/>
      <c r="F205" s="490"/>
      <c r="G205" s="358"/>
      <c r="H205" s="358"/>
      <c r="I205" s="358"/>
      <c r="J205" s="358"/>
      <c r="K205" s="358"/>
      <c r="L205" s="358"/>
      <c r="N205" s="570"/>
      <c r="O205" s="489"/>
      <c r="P205" s="490"/>
    </row>
    <row r="206" spans="1:30" outlineLevel="1">
      <c r="A206" s="491"/>
      <c r="B206" s="493"/>
      <c r="D206" s="490"/>
      <c r="E206" s="490"/>
      <c r="F206" s="490"/>
      <c r="G206" s="358"/>
      <c r="H206" s="358"/>
      <c r="I206" s="358"/>
      <c r="J206" s="358"/>
      <c r="K206" s="358"/>
      <c r="L206" s="358"/>
      <c r="N206" s="570"/>
      <c r="O206" s="489"/>
      <c r="P206" s="490"/>
    </row>
    <row r="207" spans="1:30" outlineLevel="1">
      <c r="A207" s="358"/>
      <c r="B207" s="494"/>
      <c r="D207" s="490"/>
      <c r="E207" s="490"/>
      <c r="F207" s="490"/>
      <c r="G207" s="358"/>
      <c r="H207" s="358"/>
      <c r="I207" s="358"/>
      <c r="J207" s="358"/>
      <c r="K207" s="358"/>
      <c r="L207" s="358"/>
    </row>
    <row r="208" spans="1:30" outlineLevel="1">
      <c r="A208" s="358"/>
      <c r="B208" s="492"/>
      <c r="D208" s="490"/>
      <c r="E208" s="490"/>
      <c r="F208" s="490"/>
      <c r="G208" s="358"/>
      <c r="H208" s="358"/>
      <c r="I208" s="358"/>
      <c r="J208" s="358"/>
      <c r="K208" s="358"/>
      <c r="L208" s="358"/>
    </row>
    <row r="209" spans="1:16" outlineLevel="1">
      <c r="A209" s="358"/>
      <c r="B209" s="495"/>
      <c r="D209" s="490"/>
      <c r="E209" s="490"/>
      <c r="F209" s="490"/>
      <c r="G209" s="358"/>
      <c r="H209" s="358"/>
      <c r="I209" s="358"/>
      <c r="J209" s="358"/>
      <c r="K209" s="358"/>
      <c r="L209" s="358"/>
    </row>
    <row r="210" spans="1:16" outlineLevel="1">
      <c r="A210" s="358"/>
      <c r="B210" s="495"/>
      <c r="D210" s="490"/>
      <c r="E210" s="490"/>
      <c r="F210" s="490"/>
      <c r="G210" s="358"/>
      <c r="H210" s="358"/>
      <c r="I210" s="358"/>
      <c r="J210" s="358"/>
      <c r="K210" s="358"/>
      <c r="L210" s="358"/>
    </row>
    <row r="211" spans="1:16" outlineLevel="1">
      <c r="A211" s="358"/>
      <c r="B211" s="489"/>
      <c r="D211" s="490"/>
      <c r="E211" s="490"/>
      <c r="F211" s="490"/>
      <c r="G211" s="358"/>
      <c r="H211" s="358"/>
      <c r="I211" s="358"/>
      <c r="J211" s="358"/>
      <c r="K211" s="358"/>
      <c r="L211" s="358"/>
    </row>
    <row r="212" spans="1:16" outlineLevel="1">
      <c r="A212" s="358"/>
      <c r="B212" s="490"/>
      <c r="D212" s="490"/>
      <c r="E212" s="490"/>
      <c r="F212" s="490"/>
      <c r="G212" s="358"/>
      <c r="H212" s="358"/>
      <c r="I212" s="358"/>
      <c r="J212" s="358"/>
      <c r="K212" s="358"/>
      <c r="L212" s="358"/>
    </row>
    <row r="213" spans="1:16" outlineLevel="1">
      <c r="A213" s="488"/>
      <c r="B213" s="489"/>
      <c r="D213" s="490"/>
      <c r="E213" s="490"/>
      <c r="F213" s="490"/>
      <c r="G213" s="358"/>
      <c r="H213" s="358"/>
      <c r="I213" s="358"/>
      <c r="J213" s="358"/>
      <c r="K213" s="358"/>
      <c r="L213" s="358"/>
    </row>
    <row r="214" spans="1:16" outlineLevel="1">
      <c r="A214" s="496"/>
      <c r="B214" s="497"/>
      <c r="C214" s="490"/>
      <c r="D214" s="490"/>
      <c r="E214" s="490"/>
      <c r="F214" s="490"/>
      <c r="G214" s="358"/>
      <c r="H214" s="358"/>
      <c r="I214" s="358"/>
      <c r="J214" s="358"/>
      <c r="K214" s="358"/>
      <c r="L214" s="358"/>
      <c r="N214" s="570"/>
      <c r="O214" s="489"/>
      <c r="P214" s="490"/>
    </row>
    <row r="215" spans="1:16" outlineLevel="1">
      <c r="A215" s="496"/>
      <c r="B215" s="489"/>
      <c r="C215" s="490"/>
      <c r="D215" s="490"/>
      <c r="E215" s="490"/>
      <c r="F215" s="490"/>
      <c r="G215" s="358"/>
      <c r="H215" s="358"/>
      <c r="I215" s="358"/>
      <c r="J215" s="358"/>
      <c r="K215" s="358"/>
      <c r="L215" s="358"/>
      <c r="N215" s="571"/>
      <c r="O215" s="489"/>
      <c r="P215" s="490"/>
    </row>
    <row r="216" spans="1:16" outlineLevel="1">
      <c r="A216" s="496"/>
      <c r="B216" s="489"/>
      <c r="C216" s="490"/>
      <c r="D216" s="490"/>
      <c r="E216" s="490"/>
      <c r="F216" s="490"/>
      <c r="G216" s="358"/>
      <c r="H216" s="358"/>
      <c r="I216" s="358"/>
      <c r="J216" s="358"/>
      <c r="K216" s="358"/>
      <c r="L216" s="358"/>
      <c r="N216" s="572"/>
      <c r="O216" s="489"/>
      <c r="P216" s="490"/>
    </row>
    <row r="217" spans="1:16" outlineLevel="1">
      <c r="A217" s="496"/>
      <c r="B217" s="489"/>
      <c r="C217" s="490"/>
      <c r="D217" s="490"/>
      <c r="E217" s="490"/>
      <c r="F217" s="490"/>
      <c r="G217" s="358"/>
      <c r="H217" s="358"/>
      <c r="I217" s="358"/>
      <c r="J217" s="358"/>
      <c r="K217" s="358"/>
      <c r="L217" s="358"/>
      <c r="N217" s="573"/>
      <c r="O217" s="489"/>
      <c r="P217" s="490"/>
    </row>
    <row r="218" spans="1:16" outlineLevel="1">
      <c r="A218" s="496"/>
      <c r="B218" s="498"/>
      <c r="C218" s="490"/>
      <c r="D218" s="490"/>
      <c r="E218" s="490"/>
      <c r="F218" s="490"/>
      <c r="G218" s="358"/>
      <c r="H218" s="358"/>
      <c r="I218" s="358"/>
      <c r="J218" s="358"/>
      <c r="K218" s="358"/>
      <c r="L218" s="358"/>
      <c r="N218" s="573"/>
      <c r="O218" s="490"/>
      <c r="P218" s="490"/>
    </row>
    <row r="219" spans="1:16" outlineLevel="1">
      <c r="A219" s="496"/>
      <c r="B219" s="489"/>
      <c r="C219" s="490"/>
      <c r="D219" s="490"/>
      <c r="E219" s="490"/>
      <c r="F219" s="490"/>
      <c r="G219" s="358"/>
      <c r="H219" s="358"/>
      <c r="I219" s="358"/>
      <c r="J219" s="358"/>
      <c r="K219" s="358"/>
      <c r="L219" s="358"/>
      <c r="N219" s="489"/>
      <c r="O219" s="490"/>
      <c r="P219" s="490"/>
    </row>
    <row r="220" spans="1:16" outlineLevel="1">
      <c r="A220" s="496"/>
      <c r="B220" s="489"/>
      <c r="C220" s="490"/>
      <c r="D220" s="490"/>
      <c r="E220" s="490"/>
      <c r="F220" s="490"/>
      <c r="G220" s="358"/>
      <c r="H220" s="358"/>
      <c r="I220" s="358"/>
      <c r="J220" s="358"/>
      <c r="K220" s="358"/>
      <c r="L220" s="358"/>
      <c r="N220" s="490"/>
      <c r="O220" s="490"/>
      <c r="P220" s="490"/>
    </row>
    <row r="221" spans="1:16" outlineLevel="1"/>
    <row r="222" spans="1:16" outlineLevel="1"/>
    <row r="224" spans="1:16" ht="15" thickBot="1">
      <c r="A224" s="360"/>
    </row>
    <row r="225" spans="2:44" ht="20.55" customHeight="1" outlineLevel="1" thickBot="1">
      <c r="B225" s="362"/>
      <c r="C225" s="1186"/>
      <c r="D225" s="1205"/>
      <c r="E225" s="1205"/>
      <c r="F225" s="1205"/>
      <c r="G225" s="1205"/>
      <c r="H225" s="1205"/>
      <c r="I225" s="1205"/>
      <c r="J225" s="1205"/>
      <c r="K225" s="1205"/>
      <c r="L225" s="1206"/>
      <c r="M225" s="363"/>
      <c r="N225" s="363"/>
      <c r="P225" s="364"/>
      <c r="Q225" s="365"/>
      <c r="R225" s="366"/>
      <c r="S225" s="1176"/>
      <c r="T225" s="1160"/>
      <c r="U225" s="1161"/>
      <c r="V225" s="1160"/>
      <c r="W225" s="1161"/>
      <c r="X225" s="1160"/>
      <c r="Y225" s="1161"/>
      <c r="Z225" s="1160"/>
      <c r="AA225" s="1161"/>
      <c r="AB225" s="1160"/>
      <c r="AC225" s="1161"/>
      <c r="AE225" s="364"/>
      <c r="AF225" s="365"/>
      <c r="AG225" s="366"/>
      <c r="AH225" s="1176"/>
      <c r="AI225" s="1160"/>
      <c r="AJ225" s="1161"/>
      <c r="AK225" s="1160"/>
      <c r="AL225" s="1161"/>
      <c r="AM225" s="1160"/>
      <c r="AN225" s="1161"/>
      <c r="AO225" s="1160"/>
      <c r="AP225" s="1161"/>
      <c r="AQ225" s="1160"/>
      <c r="AR225" s="1161"/>
    </row>
    <row r="226" spans="2:44" ht="15" customHeight="1" outlineLevel="1" thickBot="1">
      <c r="B226" s="1164"/>
      <c r="C226" s="1166"/>
      <c r="D226" s="1166"/>
      <c r="E226" s="1166"/>
      <c r="F226" s="1166"/>
      <c r="G226" s="1168"/>
      <c r="H226" s="1169"/>
      <c r="I226" s="1168"/>
      <c r="J226" s="1169"/>
      <c r="K226" s="1189"/>
      <c r="L226" s="1189"/>
      <c r="M226" s="367"/>
      <c r="N226" s="367"/>
      <c r="P226" s="1180"/>
      <c r="Q226" s="368"/>
      <c r="R226" s="368"/>
      <c r="S226" s="1177"/>
      <c r="T226" s="1162"/>
      <c r="U226" s="1163"/>
      <c r="V226" s="1162"/>
      <c r="W226" s="1163"/>
      <c r="X226" s="1162"/>
      <c r="Y226" s="1163"/>
      <c r="Z226" s="1162"/>
      <c r="AA226" s="1163"/>
      <c r="AB226" s="1162"/>
      <c r="AC226" s="1163"/>
      <c r="AE226" s="1180"/>
      <c r="AF226" s="368"/>
      <c r="AG226" s="368"/>
      <c r="AH226" s="1177"/>
      <c r="AI226" s="1162"/>
      <c r="AJ226" s="1163"/>
      <c r="AK226" s="1162"/>
      <c r="AL226" s="1163"/>
      <c r="AM226" s="1162"/>
      <c r="AN226" s="1163"/>
      <c r="AO226" s="1162"/>
      <c r="AP226" s="1163"/>
      <c r="AQ226" s="1162"/>
      <c r="AR226" s="1163"/>
    </row>
    <row r="227" spans="2:44" ht="15" customHeight="1" outlineLevel="1" thickBot="1">
      <c r="B227" s="1165"/>
      <c r="C227" s="1167"/>
      <c r="D227" s="1167"/>
      <c r="E227" s="1167"/>
      <c r="F227" s="1167"/>
      <c r="G227" s="406"/>
      <c r="H227" s="406"/>
      <c r="I227" s="406"/>
      <c r="J227" s="406"/>
      <c r="K227" s="1190"/>
      <c r="L227" s="1190"/>
      <c r="M227" s="370"/>
      <c r="N227" s="370"/>
      <c r="P227" s="1181"/>
      <c r="Q227" s="1183"/>
      <c r="R227" s="1184"/>
      <c r="S227" s="1178"/>
      <c r="T227" s="1162"/>
      <c r="U227" s="1163"/>
      <c r="V227" s="1162"/>
      <c r="W227" s="1163"/>
      <c r="X227" s="1162"/>
      <c r="Y227" s="1163"/>
      <c r="Z227" s="1162"/>
      <c r="AA227" s="1163"/>
      <c r="AB227" s="1162"/>
      <c r="AC227" s="1163"/>
      <c r="AE227" s="1181"/>
      <c r="AF227" s="1197"/>
      <c r="AG227" s="1184"/>
      <c r="AH227" s="1178"/>
      <c r="AI227" s="1162"/>
      <c r="AJ227" s="1163"/>
      <c r="AK227" s="1162"/>
      <c r="AL227" s="1163"/>
      <c r="AM227" s="1162"/>
      <c r="AN227" s="1163"/>
      <c r="AO227" s="1162"/>
      <c r="AP227" s="1163"/>
      <c r="AQ227" s="1162"/>
      <c r="AR227" s="1163"/>
    </row>
    <row r="228" spans="2:44" ht="15" outlineLevel="1" thickBot="1">
      <c r="B228" s="371"/>
      <c r="C228" s="372"/>
      <c r="D228" s="372"/>
      <c r="E228" s="372"/>
      <c r="F228" s="372"/>
      <c r="G228" s="372"/>
      <c r="H228" s="372"/>
      <c r="I228" s="372"/>
      <c r="J228" s="372"/>
      <c r="K228" s="372"/>
      <c r="L228" s="373"/>
      <c r="M228" s="370"/>
      <c r="N228" s="370"/>
      <c r="O228" s="74"/>
      <c r="P228" s="1182"/>
      <c r="Q228" s="1179"/>
      <c r="R228" s="1185"/>
      <c r="S228" s="1179"/>
      <c r="T228" s="374"/>
      <c r="U228" s="375"/>
      <c r="V228" s="374"/>
      <c r="W228" s="375"/>
      <c r="X228" s="374"/>
      <c r="Y228" s="375"/>
      <c r="Z228" s="374"/>
      <c r="AA228" s="375"/>
      <c r="AB228" s="374"/>
      <c r="AC228" s="375"/>
      <c r="AE228" s="1182"/>
      <c r="AF228" s="1198"/>
      <c r="AG228" s="1185"/>
      <c r="AH228" s="1179"/>
      <c r="AI228" s="374"/>
      <c r="AJ228" s="375"/>
      <c r="AK228" s="374"/>
      <c r="AL228" s="375"/>
      <c r="AM228" s="374"/>
      <c r="AN228" s="375"/>
      <c r="AO228" s="374"/>
      <c r="AP228" s="375"/>
      <c r="AQ228" s="374"/>
      <c r="AR228" s="375"/>
    </row>
    <row r="229" spans="2:44" ht="14.55" customHeight="1" outlineLevel="1">
      <c r="B229" s="541"/>
      <c r="C229" s="542"/>
      <c r="D229" s="542"/>
      <c r="E229" s="543"/>
      <c r="F229" s="542"/>
      <c r="G229" s="542"/>
      <c r="H229" s="542"/>
      <c r="I229" s="542"/>
      <c r="J229" s="542"/>
      <c r="K229" s="547"/>
      <c r="L229" s="548"/>
      <c r="M229" s="370"/>
      <c r="N229" s="370"/>
      <c r="P229" s="1148"/>
      <c r="Q229" s="1154"/>
      <c r="R229" s="381"/>
      <c r="S229" s="382"/>
      <c r="T229" s="1137"/>
      <c r="U229" s="1151"/>
      <c r="V229" s="1137"/>
      <c r="W229" s="1151"/>
      <c r="X229" s="1137"/>
      <c r="Y229" s="1151"/>
      <c r="Z229" s="1137"/>
      <c r="AA229" s="1151"/>
      <c r="AB229" s="1137"/>
      <c r="AC229" s="1151"/>
      <c r="AE229" s="1148"/>
      <c r="AF229" s="1154"/>
      <c r="AG229" s="381"/>
      <c r="AH229" s="382"/>
      <c r="AI229" s="1137"/>
      <c r="AJ229" s="1151"/>
      <c r="AK229" s="1137"/>
      <c r="AL229" s="1151"/>
      <c r="AM229" s="1137"/>
      <c r="AN229" s="1151"/>
      <c r="AO229" s="1137"/>
      <c r="AP229" s="1151"/>
      <c r="AQ229" s="1137"/>
      <c r="AR229" s="1151"/>
    </row>
    <row r="230" spans="2:44" outlineLevel="1">
      <c r="B230" s="383"/>
      <c r="C230" s="384"/>
      <c r="D230" s="384"/>
      <c r="E230" s="384"/>
      <c r="F230" s="384"/>
      <c r="G230" s="505"/>
      <c r="H230" s="505"/>
      <c r="I230" s="505"/>
      <c r="J230" s="505"/>
      <c r="K230" s="372"/>
      <c r="L230" s="373"/>
      <c r="M230" s="370"/>
      <c r="N230" s="370"/>
      <c r="O230" s="71"/>
      <c r="P230" s="1195"/>
      <c r="Q230" s="1155"/>
      <c r="R230" s="388"/>
      <c r="S230" s="389"/>
      <c r="T230" s="1140"/>
      <c r="U230" s="1152"/>
      <c r="V230" s="1140"/>
      <c r="W230" s="1152"/>
      <c r="X230" s="1140"/>
      <c r="Y230" s="1152"/>
      <c r="Z230" s="1140"/>
      <c r="AA230" s="1152"/>
      <c r="AB230" s="1140"/>
      <c r="AC230" s="1152"/>
      <c r="AE230" s="1195"/>
      <c r="AF230" s="1155"/>
      <c r="AG230" s="388"/>
      <c r="AH230" s="389"/>
      <c r="AI230" s="1140"/>
      <c r="AJ230" s="1152"/>
      <c r="AK230" s="1140"/>
      <c r="AL230" s="1152"/>
      <c r="AM230" s="1140"/>
      <c r="AN230" s="1152"/>
      <c r="AO230" s="1140"/>
      <c r="AP230" s="1152"/>
      <c r="AQ230" s="1140"/>
      <c r="AR230" s="1152"/>
    </row>
    <row r="231" spans="2:44" ht="15" outlineLevel="1" thickBot="1">
      <c r="B231" s="541"/>
      <c r="C231" s="544"/>
      <c r="D231" s="545"/>
      <c r="E231" s="545"/>
      <c r="F231" s="546"/>
      <c r="G231" s="545"/>
      <c r="H231" s="545"/>
      <c r="I231" s="545"/>
      <c r="J231" s="545"/>
      <c r="K231" s="547"/>
      <c r="L231" s="548"/>
      <c r="M231" s="370"/>
      <c r="N231" s="370"/>
      <c r="O231" s="71"/>
      <c r="P231" s="1195"/>
      <c r="Q231" s="1156"/>
      <c r="R231" s="393"/>
      <c r="S231" s="394"/>
      <c r="T231" s="1141"/>
      <c r="U231" s="1153"/>
      <c r="V231" s="1141"/>
      <c r="W231" s="1153"/>
      <c r="X231" s="1141"/>
      <c r="Y231" s="1153"/>
      <c r="Z231" s="1141"/>
      <c r="AA231" s="1153"/>
      <c r="AB231" s="1141"/>
      <c r="AC231" s="1153"/>
      <c r="AE231" s="1195"/>
      <c r="AF231" s="1156"/>
      <c r="AG231" s="393"/>
      <c r="AH231" s="394"/>
      <c r="AI231" s="1141"/>
      <c r="AJ231" s="1153"/>
      <c r="AK231" s="1141"/>
      <c r="AL231" s="1153"/>
      <c r="AM231" s="1141"/>
      <c r="AN231" s="1153"/>
      <c r="AO231" s="1141"/>
      <c r="AP231" s="1153"/>
      <c r="AQ231" s="1141"/>
      <c r="AR231" s="1153"/>
    </row>
    <row r="232" spans="2:44" ht="14.55" customHeight="1" outlineLevel="1">
      <c r="B232" s="541"/>
      <c r="C232" s="544"/>
      <c r="D232" s="544"/>
      <c r="E232" s="544"/>
      <c r="F232" s="544"/>
      <c r="G232" s="544"/>
      <c r="H232" s="544"/>
      <c r="I232" s="544"/>
      <c r="J232" s="544"/>
      <c r="K232" s="547"/>
      <c r="L232" s="548"/>
      <c r="M232" s="370"/>
      <c r="N232" s="370"/>
      <c r="O232" s="71"/>
      <c r="P232" s="1195"/>
      <c r="Q232" s="1154"/>
      <c r="R232" s="395"/>
      <c r="S232" s="396"/>
      <c r="T232" s="1137"/>
      <c r="U232" s="1137"/>
      <c r="V232" s="1137"/>
      <c r="W232" s="1137"/>
      <c r="X232" s="1137"/>
      <c r="Y232" s="1137"/>
      <c r="Z232" s="1137"/>
      <c r="AA232" s="1137"/>
      <c r="AB232" s="1137"/>
      <c r="AC232" s="1137"/>
      <c r="AE232" s="1195"/>
      <c r="AF232" s="1154"/>
      <c r="AG232" s="395"/>
      <c r="AH232" s="396"/>
      <c r="AI232" s="1137"/>
      <c r="AJ232" s="1137"/>
      <c r="AK232" s="1137"/>
      <c r="AL232" s="1137"/>
      <c r="AM232" s="1137"/>
      <c r="AN232" s="1137"/>
      <c r="AO232" s="1137"/>
      <c r="AP232" s="1137"/>
      <c r="AQ232" s="1137"/>
      <c r="AR232" s="1137"/>
    </row>
    <row r="233" spans="2:44" outlineLevel="1">
      <c r="B233" s="541"/>
      <c r="C233" s="544"/>
      <c r="D233" s="544"/>
      <c r="E233" s="544"/>
      <c r="F233" s="544"/>
      <c r="G233" s="544"/>
      <c r="H233" s="544"/>
      <c r="I233" s="544"/>
      <c r="J233" s="544"/>
      <c r="K233" s="547"/>
      <c r="L233" s="548"/>
      <c r="M233" s="367"/>
      <c r="N233" s="367"/>
      <c r="O233" s="71"/>
      <c r="P233" s="1195"/>
      <c r="Q233" s="1155"/>
      <c r="R233" s="395"/>
      <c r="S233" s="396"/>
      <c r="T233" s="1138"/>
      <c r="U233" s="1138"/>
      <c r="V233" s="1138"/>
      <c r="W233" s="1138"/>
      <c r="X233" s="1138"/>
      <c r="Y233" s="1138"/>
      <c r="Z233" s="1138"/>
      <c r="AA233" s="1138"/>
      <c r="AB233" s="1138"/>
      <c r="AC233" s="1138"/>
      <c r="AE233" s="1195"/>
      <c r="AF233" s="1155"/>
      <c r="AG233" s="395"/>
      <c r="AH233" s="396"/>
      <c r="AI233" s="1138"/>
      <c r="AJ233" s="1138"/>
      <c r="AK233" s="1138"/>
      <c r="AL233" s="1138"/>
      <c r="AM233" s="1138"/>
      <c r="AN233" s="1138"/>
      <c r="AO233" s="1138"/>
      <c r="AP233" s="1138"/>
      <c r="AQ233" s="1138"/>
      <c r="AR233" s="1138"/>
    </row>
    <row r="234" spans="2:44" outlineLevel="1">
      <c r="B234" s="383"/>
      <c r="C234" s="397"/>
      <c r="D234" s="397"/>
      <c r="E234" s="397"/>
      <c r="F234" s="397"/>
      <c r="G234" s="399"/>
      <c r="H234" s="399"/>
      <c r="I234" s="399"/>
      <c r="J234" s="399"/>
      <c r="K234" s="372"/>
      <c r="L234" s="373"/>
      <c r="M234" s="363"/>
      <c r="N234" s="363"/>
      <c r="P234" s="1195"/>
      <c r="Q234" s="1155"/>
      <c r="R234" s="395"/>
      <c r="S234" s="396"/>
      <c r="T234" s="1138"/>
      <c r="U234" s="1138"/>
      <c r="V234" s="1138"/>
      <c r="W234" s="1138"/>
      <c r="X234" s="1138"/>
      <c r="Y234" s="1138"/>
      <c r="Z234" s="1138"/>
      <c r="AA234" s="1138"/>
      <c r="AB234" s="1138"/>
      <c r="AC234" s="1138"/>
      <c r="AE234" s="1195"/>
      <c r="AF234" s="1155"/>
      <c r="AG234" s="395"/>
      <c r="AH234" s="396"/>
      <c r="AI234" s="1138"/>
      <c r="AJ234" s="1138"/>
      <c r="AK234" s="1138"/>
      <c r="AL234" s="1138"/>
      <c r="AM234" s="1138"/>
      <c r="AN234" s="1138"/>
      <c r="AO234" s="1138"/>
      <c r="AP234" s="1138"/>
      <c r="AQ234" s="1138"/>
      <c r="AR234" s="1138"/>
    </row>
    <row r="235" spans="2:44" ht="15" outlineLevel="1" thickBot="1">
      <c r="B235" s="541"/>
      <c r="C235" s="544"/>
      <c r="D235" s="544"/>
      <c r="E235" s="544"/>
      <c r="F235" s="544"/>
      <c r="G235" s="544"/>
      <c r="H235" s="544"/>
      <c r="I235" s="544"/>
      <c r="J235" s="544"/>
      <c r="K235" s="547"/>
      <c r="L235" s="559"/>
      <c r="M235" s="363"/>
      <c r="N235" s="363"/>
      <c r="P235" s="1195"/>
      <c r="Q235" s="1155"/>
      <c r="R235" s="395"/>
      <c r="S235" s="396"/>
      <c r="T235" s="1138"/>
      <c r="U235" s="1138"/>
      <c r="V235" s="1138"/>
      <c r="W235" s="1138"/>
      <c r="X235" s="1138"/>
      <c r="Y235" s="1138"/>
      <c r="Z235" s="1138"/>
      <c r="AA235" s="1138"/>
      <c r="AB235" s="1138"/>
      <c r="AC235" s="1138"/>
      <c r="AE235" s="1195"/>
      <c r="AF235" s="1155"/>
      <c r="AG235" s="395"/>
      <c r="AH235" s="396"/>
      <c r="AI235" s="1138"/>
      <c r="AJ235" s="1138"/>
      <c r="AK235" s="1138"/>
      <c r="AL235" s="1138"/>
      <c r="AM235" s="1138"/>
      <c r="AN235" s="1138"/>
      <c r="AO235" s="1138"/>
      <c r="AP235" s="1138"/>
      <c r="AQ235" s="1138"/>
      <c r="AR235" s="1138"/>
    </row>
    <row r="236" spans="2:44" ht="15" outlineLevel="1" thickBot="1">
      <c r="B236" s="401"/>
      <c r="C236" s="402"/>
      <c r="D236" s="403"/>
      <c r="E236" s="404"/>
      <c r="F236" s="405"/>
      <c r="G236" s="406"/>
      <c r="H236" s="406"/>
      <c r="I236" s="406"/>
      <c r="J236" s="406"/>
      <c r="K236" s="407"/>
      <c r="L236" s="408"/>
      <c r="M236" s="363"/>
      <c r="N236" s="363"/>
      <c r="P236" s="1195"/>
      <c r="Q236" s="1155"/>
      <c r="R236" s="409"/>
      <c r="S236" s="410"/>
      <c r="T236" s="1139"/>
      <c r="U236" s="1139"/>
      <c r="V236" s="1139"/>
      <c r="W236" s="1139"/>
      <c r="X236" s="1139"/>
      <c r="Y236" s="1139"/>
      <c r="Z236" s="1139"/>
      <c r="AA236" s="1139"/>
      <c r="AB236" s="1139"/>
      <c r="AC236" s="1139"/>
      <c r="AE236" s="1195"/>
      <c r="AF236" s="1155"/>
      <c r="AG236" s="409"/>
      <c r="AH236" s="410"/>
      <c r="AI236" s="1139"/>
      <c r="AJ236" s="1139"/>
      <c r="AK236" s="1139"/>
      <c r="AL236" s="1139"/>
      <c r="AM236" s="1139"/>
      <c r="AN236" s="1139"/>
      <c r="AO236" s="1139"/>
      <c r="AP236" s="1139"/>
      <c r="AQ236" s="1139"/>
      <c r="AR236" s="1139"/>
    </row>
    <row r="237" spans="2:44" ht="15" outlineLevel="1" thickBot="1">
      <c r="B237" s="541"/>
      <c r="C237" s="544"/>
      <c r="D237" s="544"/>
      <c r="E237" s="544"/>
      <c r="F237" s="544"/>
      <c r="G237" s="545"/>
      <c r="H237" s="545"/>
      <c r="I237" s="545"/>
      <c r="J237" s="545"/>
      <c r="K237" s="547"/>
      <c r="L237" s="548"/>
      <c r="M237" s="363"/>
      <c r="N237" s="363"/>
      <c r="P237" s="1196"/>
      <c r="Q237" s="411"/>
      <c r="R237" s="412"/>
      <c r="S237" s="413"/>
      <c r="T237" s="414"/>
      <c r="U237" s="415"/>
      <c r="V237" s="414"/>
      <c r="W237" s="415"/>
      <c r="X237" s="414"/>
      <c r="Y237" s="415"/>
      <c r="Z237" s="414"/>
      <c r="AA237" s="415"/>
      <c r="AB237" s="414"/>
      <c r="AC237" s="417"/>
      <c r="AE237" s="1196"/>
      <c r="AF237" s="411"/>
      <c r="AG237" s="412"/>
      <c r="AH237" s="413"/>
      <c r="AI237" s="414"/>
      <c r="AJ237" s="415"/>
      <c r="AK237" s="414"/>
      <c r="AL237" s="415"/>
      <c r="AM237" s="414"/>
      <c r="AN237" s="415"/>
      <c r="AO237" s="414"/>
      <c r="AP237" s="415"/>
      <c r="AQ237" s="414"/>
      <c r="AR237" s="417"/>
    </row>
    <row r="238" spans="2:44" outlineLevel="1">
      <c r="B238" s="541"/>
      <c r="C238" s="544"/>
      <c r="D238" s="544"/>
      <c r="E238" s="544"/>
      <c r="F238" s="544"/>
      <c r="G238" s="549"/>
      <c r="H238" s="549"/>
      <c r="I238" s="549"/>
      <c r="J238" s="549"/>
      <c r="K238" s="550"/>
      <c r="L238" s="548"/>
      <c r="M238" s="363"/>
      <c r="N238" s="363"/>
    </row>
    <row r="239" spans="2:44" outlineLevel="1">
      <c r="B239" s="541"/>
      <c r="C239" s="544"/>
      <c r="D239" s="544"/>
      <c r="E239" s="544"/>
      <c r="F239" s="544"/>
      <c r="G239" s="549"/>
      <c r="H239" s="549"/>
      <c r="I239" s="549"/>
      <c r="J239" s="549"/>
      <c r="K239" s="550"/>
      <c r="L239" s="548"/>
      <c r="M239" s="420"/>
      <c r="N239" s="363"/>
    </row>
    <row r="240" spans="2:44" outlineLevel="1">
      <c r="B240" s="421"/>
      <c r="C240" s="399"/>
      <c r="D240" s="399"/>
      <c r="E240" s="399"/>
      <c r="F240" s="399"/>
      <c r="G240" s="422"/>
      <c r="H240" s="422"/>
      <c r="I240" s="422"/>
      <c r="J240" s="422"/>
      <c r="K240" s="423"/>
      <c r="L240" s="424"/>
      <c r="M240" s="420"/>
      <c r="N240" s="420"/>
    </row>
    <row r="241" spans="1:30" outlineLevel="1">
      <c r="B241" s="383"/>
      <c r="C241" s="397"/>
      <c r="D241" s="397"/>
      <c r="E241" s="397"/>
      <c r="F241" s="397"/>
      <c r="G241" s="422"/>
      <c r="H241" s="425"/>
      <c r="I241" s="425"/>
      <c r="J241" s="425"/>
      <c r="K241" s="426"/>
      <c r="L241" s="427"/>
      <c r="M241" s="428"/>
      <c r="N241" s="428"/>
    </row>
    <row r="242" spans="1:30" outlineLevel="1">
      <c r="B242" s="383"/>
      <c r="C242" s="397"/>
      <c r="D242" s="397"/>
      <c r="E242" s="397"/>
      <c r="F242" s="397"/>
      <c r="G242" s="425"/>
      <c r="H242" s="425"/>
      <c r="I242" s="425"/>
      <c r="J242" s="425"/>
      <c r="K242" s="423"/>
      <c r="L242" s="427"/>
      <c r="M242" s="428"/>
      <c r="N242" s="428"/>
    </row>
    <row r="243" spans="1:30" outlineLevel="1">
      <c r="B243" s="383"/>
      <c r="C243" s="397"/>
      <c r="D243" s="397"/>
      <c r="E243" s="397"/>
      <c r="F243" s="397"/>
      <c r="G243" s="425"/>
      <c r="H243" s="425"/>
      <c r="I243" s="425"/>
      <c r="J243" s="425"/>
      <c r="K243" s="423"/>
      <c r="L243" s="427"/>
      <c r="M243" s="428"/>
      <c r="N243" s="428"/>
    </row>
    <row r="244" spans="1:30" outlineLevel="1">
      <c r="B244" s="383"/>
      <c r="C244" s="397"/>
      <c r="D244" s="397"/>
      <c r="E244" s="397"/>
      <c r="F244" s="397"/>
      <c r="G244" s="425"/>
      <c r="H244" s="425"/>
      <c r="I244" s="425"/>
      <c r="J244" s="425"/>
      <c r="K244" s="423"/>
      <c r="L244" s="427"/>
      <c r="M244" s="428"/>
      <c r="N244" s="428"/>
    </row>
    <row r="245" spans="1:30" ht="15" outlineLevel="1" thickBot="1">
      <c r="B245" s="429"/>
      <c r="C245" s="430"/>
      <c r="D245" s="430"/>
      <c r="E245" s="430"/>
      <c r="F245" s="430"/>
      <c r="G245" s="425"/>
      <c r="H245" s="425"/>
      <c r="I245" s="425"/>
      <c r="J245" s="425"/>
      <c r="K245" s="423"/>
      <c r="L245" s="427"/>
      <c r="M245" s="428"/>
      <c r="N245" s="428"/>
    </row>
    <row r="246" spans="1:30" ht="15" outlineLevel="1" thickBot="1">
      <c r="B246" s="431"/>
      <c r="C246" s="432"/>
      <c r="D246" s="403"/>
      <c r="E246" s="403"/>
      <c r="F246" s="433"/>
      <c r="G246" s="434"/>
      <c r="H246" s="406"/>
      <c r="I246" s="406"/>
      <c r="J246" s="406"/>
      <c r="K246" s="407"/>
      <c r="L246" s="408"/>
      <c r="M246" s="428"/>
      <c r="N246" s="428"/>
    </row>
    <row r="247" spans="1:30" outlineLevel="1">
      <c r="A247" s="435"/>
      <c r="B247" s="436"/>
      <c r="C247" s="551"/>
      <c r="D247" s="512"/>
      <c r="E247" s="512"/>
      <c r="F247" s="513"/>
      <c r="G247" s="425"/>
      <c r="H247" s="425"/>
      <c r="I247" s="425"/>
      <c r="J247" s="425"/>
      <c r="K247" s="426"/>
      <c r="L247" s="440"/>
      <c r="M247" s="420"/>
      <c r="N247" s="420"/>
    </row>
    <row r="248" spans="1:30" outlineLevel="1">
      <c r="B248" s="441"/>
      <c r="C248" s="443"/>
      <c r="D248" s="442"/>
      <c r="E248" s="442"/>
      <c r="F248" s="442"/>
      <c r="G248" s="425"/>
      <c r="H248" s="425"/>
      <c r="I248" s="425"/>
      <c r="J248" s="425"/>
      <c r="K248" s="444"/>
      <c r="L248" s="373"/>
      <c r="M248" s="71"/>
      <c r="N248" s="420"/>
    </row>
    <row r="249" spans="1:30" outlineLevel="1">
      <c r="B249" s="441"/>
      <c r="C249" s="443"/>
      <c r="D249" s="443"/>
      <c r="E249" s="443"/>
      <c r="F249" s="443"/>
      <c r="G249" s="425"/>
      <c r="H249" s="425"/>
      <c r="I249" s="425"/>
      <c r="J249" s="425"/>
      <c r="K249" s="444"/>
      <c r="L249" s="373"/>
      <c r="M249" s="420"/>
      <c r="N249" s="420"/>
    </row>
    <row r="250" spans="1:30" outlineLevel="1">
      <c r="B250" s="383"/>
      <c r="C250" s="445"/>
      <c r="D250" s="446"/>
      <c r="E250" s="446"/>
      <c r="F250" s="447"/>
      <c r="G250" s="425"/>
      <c r="H250" s="425"/>
      <c r="I250" s="425"/>
      <c r="J250" s="425"/>
      <c r="K250" s="448"/>
      <c r="L250" s="373"/>
      <c r="M250" s="420"/>
      <c r="N250" s="420"/>
    </row>
    <row r="251" spans="1:30" outlineLevel="1">
      <c r="B251" s="383"/>
      <c r="C251" s="449"/>
      <c r="D251" s="449"/>
      <c r="E251" s="449"/>
      <c r="F251" s="449"/>
      <c r="G251" s="425"/>
      <c r="H251" s="425"/>
      <c r="I251" s="425"/>
      <c r="J251" s="425"/>
      <c r="K251" s="448"/>
      <c r="L251" s="373"/>
      <c r="M251" s="450"/>
      <c r="N251" s="361"/>
      <c r="P251" s="1142"/>
      <c r="Q251" s="1143"/>
      <c r="R251" s="1143"/>
      <c r="S251" s="1143"/>
      <c r="T251" s="1143"/>
      <c r="U251" s="1144"/>
    </row>
    <row r="252" spans="1:30" ht="15" outlineLevel="1" thickBot="1">
      <c r="B252" s="541"/>
      <c r="C252" s="552"/>
      <c r="D252" s="552"/>
      <c r="E252" s="552"/>
      <c r="F252" s="552"/>
      <c r="G252" s="425"/>
      <c r="H252" s="425"/>
      <c r="I252" s="425"/>
      <c r="J252" s="425"/>
      <c r="K252" s="444"/>
      <c r="L252" s="373"/>
      <c r="M252" s="450"/>
      <c r="N252" s="361"/>
      <c r="P252" s="1134"/>
      <c r="Q252" s="1135"/>
      <c r="R252" s="1135"/>
      <c r="S252" s="1135"/>
      <c r="T252" s="1135"/>
      <c r="U252" s="1136"/>
    </row>
    <row r="253" spans="1:30" outlineLevel="1">
      <c r="B253" s="541"/>
      <c r="C253" s="554"/>
      <c r="D253" s="554"/>
      <c r="E253" s="554"/>
      <c r="F253" s="554"/>
      <c r="G253" s="425"/>
      <c r="H253" s="425"/>
      <c r="I253" s="425"/>
      <c r="J253" s="425"/>
      <c r="K253" s="448"/>
      <c r="L253" s="373"/>
      <c r="M253" s="363"/>
      <c r="N253" s="363"/>
      <c r="P253" s="53"/>
    </row>
    <row r="254" spans="1:30" outlineLevel="1">
      <c r="B254" s="441"/>
      <c r="C254" s="518"/>
      <c r="D254" s="518"/>
      <c r="E254" s="518"/>
      <c r="F254" s="518"/>
      <c r="G254" s="425"/>
      <c r="H254" s="425"/>
      <c r="I254" s="425"/>
      <c r="J254" s="425"/>
      <c r="K254" s="444"/>
      <c r="L254" s="424"/>
      <c r="M254" s="367"/>
      <c r="N254" s="367"/>
      <c r="P254" s="46"/>
      <c r="Q254" s="46"/>
      <c r="R254" s="47"/>
      <c r="S254" s="47"/>
      <c r="T254" s="47"/>
      <c r="U254" s="48"/>
      <c r="V254" s="49"/>
      <c r="W254" s="49"/>
      <c r="X254" s="49"/>
      <c r="Y254" s="49"/>
      <c r="Z254" s="49"/>
      <c r="AA254" s="49"/>
      <c r="AB254" s="49"/>
      <c r="AC254" s="49"/>
      <c r="AD254" s="49"/>
    </row>
    <row r="255" spans="1:30" ht="15" outlineLevel="1" thickBot="1">
      <c r="B255" s="519"/>
      <c r="C255" s="442"/>
      <c r="D255" s="520"/>
      <c r="E255" s="520"/>
      <c r="F255" s="521"/>
      <c r="G255" s="425"/>
      <c r="H255" s="425"/>
      <c r="I255" s="425"/>
      <c r="J255" s="425"/>
      <c r="K255" s="448"/>
      <c r="L255" s="424"/>
      <c r="M255" s="363"/>
      <c r="N255" s="363"/>
      <c r="P255" s="50"/>
      <c r="Q255" s="50"/>
      <c r="R255" s="51"/>
      <c r="S255" s="51"/>
      <c r="T255" s="51"/>
      <c r="U255" s="51"/>
      <c r="V255" s="50"/>
      <c r="W255" s="50"/>
      <c r="X255" s="50"/>
      <c r="Y255" s="50"/>
      <c r="Z255" s="50"/>
      <c r="AA255" s="50"/>
      <c r="AB255" s="50"/>
      <c r="AC255" s="50"/>
      <c r="AD255" s="50"/>
    </row>
    <row r="256" spans="1:30" ht="15" outlineLevel="1" thickBot="1">
      <c r="B256" s="401"/>
      <c r="C256" s="402"/>
      <c r="D256" s="403"/>
      <c r="E256" s="404"/>
      <c r="F256" s="405"/>
      <c r="G256" s="406"/>
      <c r="H256" s="406"/>
      <c r="I256" s="406"/>
      <c r="J256" s="406"/>
      <c r="K256" s="459"/>
      <c r="L256" s="460"/>
      <c r="M256" s="363"/>
      <c r="N256" s="363"/>
      <c r="O256" s="461"/>
      <c r="P256" s="56"/>
      <c r="Q256" s="56"/>
      <c r="R256" s="57"/>
      <c r="S256" s="57"/>
      <c r="T256" s="57"/>
      <c r="U256" s="56"/>
      <c r="V256" s="56"/>
      <c r="W256" s="56"/>
      <c r="X256" s="56"/>
      <c r="Y256" s="56"/>
      <c r="Z256" s="56"/>
      <c r="AA256" s="56"/>
      <c r="AB256" s="56"/>
      <c r="AC256" s="56"/>
      <c r="AD256" s="56"/>
    </row>
    <row r="257" spans="1:30" outlineLevel="1">
      <c r="B257" s="556"/>
      <c r="C257" s="557"/>
      <c r="D257" s="557"/>
      <c r="E257" s="557"/>
      <c r="F257" s="557"/>
      <c r="G257" s="558"/>
      <c r="H257" s="558"/>
      <c r="I257" s="558"/>
      <c r="J257" s="558"/>
      <c r="K257" s="558"/>
      <c r="L257" s="559"/>
      <c r="M257" s="363"/>
      <c r="N257" s="363"/>
      <c r="O257" s="465"/>
      <c r="P257" s="466"/>
      <c r="Q257" s="58"/>
      <c r="R257" s="466"/>
      <c r="S257" s="58"/>
      <c r="T257" s="466"/>
      <c r="U257" s="467"/>
      <c r="V257" s="467"/>
      <c r="W257" s="467"/>
      <c r="X257" s="58"/>
      <c r="Y257" s="58"/>
      <c r="Z257" s="466"/>
      <c r="AA257" s="468"/>
      <c r="AB257" s="468"/>
      <c r="AC257" s="468"/>
      <c r="AD257" s="468"/>
    </row>
    <row r="258" spans="1:30" outlineLevel="1">
      <c r="B258" s="541"/>
      <c r="C258" s="560"/>
      <c r="D258" s="561"/>
      <c r="E258" s="561"/>
      <c r="F258" s="562"/>
      <c r="G258" s="562"/>
      <c r="H258" s="562"/>
      <c r="I258" s="562"/>
      <c r="J258" s="562"/>
      <c r="K258" s="563"/>
      <c r="L258" s="559"/>
      <c r="M258" s="363"/>
      <c r="N258" s="363"/>
      <c r="O258" s="465"/>
      <c r="P258" s="466"/>
      <c r="Q258" s="58"/>
      <c r="R258" s="466"/>
      <c r="S258" s="58"/>
      <c r="T258" s="466"/>
      <c r="U258" s="467"/>
      <c r="V258" s="467"/>
      <c r="W258" s="467"/>
      <c r="X258" s="58"/>
      <c r="Y258" s="58"/>
      <c r="Z258" s="466"/>
      <c r="AA258" s="468"/>
      <c r="AB258" s="468"/>
      <c r="AC258" s="468"/>
      <c r="AD258" s="468"/>
    </row>
    <row r="259" spans="1:30" outlineLevel="1">
      <c r="B259" s="541"/>
      <c r="C259" s="560"/>
      <c r="D259" s="561"/>
      <c r="E259" s="561"/>
      <c r="F259" s="562"/>
      <c r="G259" s="562"/>
      <c r="H259" s="562"/>
      <c r="I259" s="562"/>
      <c r="J259" s="562"/>
      <c r="K259" s="563"/>
      <c r="L259" s="559"/>
      <c r="M259" s="363"/>
      <c r="N259" s="363"/>
      <c r="O259" s="465"/>
      <c r="P259" s="466"/>
      <c r="Q259" s="58"/>
      <c r="R259" s="466"/>
      <c r="S259" s="58"/>
      <c r="T259" s="466"/>
      <c r="U259" s="467"/>
      <c r="V259" s="467"/>
      <c r="W259" s="467"/>
      <c r="X259" s="58"/>
      <c r="Y259" s="58"/>
      <c r="Z259" s="466"/>
      <c r="AA259" s="468"/>
      <c r="AB259" s="468"/>
      <c r="AC259" s="468"/>
      <c r="AD259" s="468"/>
    </row>
    <row r="260" spans="1:30" outlineLevel="1">
      <c r="B260" s="541"/>
      <c r="C260" s="564"/>
      <c r="D260" s="564"/>
      <c r="E260" s="564"/>
      <c r="F260" s="564"/>
      <c r="G260" s="565"/>
      <c r="H260" s="565"/>
      <c r="I260" s="565"/>
      <c r="J260" s="565"/>
      <c r="K260" s="565"/>
      <c r="L260" s="548"/>
      <c r="M260" s="363"/>
      <c r="N260" s="363"/>
      <c r="O260" s="465"/>
      <c r="P260" s="466"/>
      <c r="Q260" s="58"/>
      <c r="R260" s="466"/>
      <c r="S260" s="58"/>
      <c r="T260" s="466"/>
      <c r="U260" s="467"/>
      <c r="V260" s="467"/>
      <c r="W260" s="467"/>
      <c r="X260" s="58"/>
      <c r="Y260" s="58"/>
      <c r="Z260" s="466"/>
      <c r="AA260" s="468"/>
      <c r="AB260" s="468"/>
      <c r="AC260" s="468"/>
      <c r="AD260" s="468"/>
    </row>
    <row r="261" spans="1:30" outlineLevel="1">
      <c r="B261" s="566"/>
      <c r="C261" s="560"/>
      <c r="D261" s="561"/>
      <c r="E261" s="561"/>
      <c r="F261" s="562"/>
      <c r="G261" s="562"/>
      <c r="H261" s="562"/>
      <c r="I261" s="562"/>
      <c r="J261" s="562"/>
      <c r="K261" s="563"/>
      <c r="L261" s="559"/>
      <c r="M261" s="367"/>
      <c r="N261" s="367"/>
    </row>
    <row r="262" spans="1:30" outlineLevel="1">
      <c r="B262" s="566"/>
      <c r="C262" s="560"/>
      <c r="D262" s="561"/>
      <c r="E262" s="561"/>
      <c r="F262" s="562"/>
      <c r="G262" s="562"/>
      <c r="H262" s="562"/>
      <c r="I262" s="562"/>
      <c r="J262" s="562"/>
      <c r="K262" s="563"/>
      <c r="L262" s="559"/>
      <c r="M262" s="363"/>
      <c r="N262" s="363"/>
    </row>
    <row r="263" spans="1:30" ht="15" outlineLevel="1" thickBot="1">
      <c r="B263" s="567"/>
      <c r="C263" s="568"/>
      <c r="D263" s="568"/>
      <c r="E263" s="568"/>
      <c r="F263" s="568"/>
      <c r="G263" s="568"/>
      <c r="H263" s="568"/>
      <c r="I263" s="568"/>
      <c r="J263" s="568"/>
      <c r="K263" s="568"/>
      <c r="L263" s="569"/>
      <c r="M263" s="363"/>
      <c r="N263" s="363"/>
    </row>
    <row r="264" spans="1:30" outlineLevel="1">
      <c r="B264" s="461"/>
      <c r="C264" s="483"/>
      <c r="D264" s="483"/>
      <c r="E264" s="483"/>
      <c r="F264" s="483"/>
      <c r="G264" s="483"/>
      <c r="H264" s="484"/>
      <c r="I264" s="420"/>
      <c r="J264" s="420"/>
      <c r="K264" s="484"/>
      <c r="L264" s="484"/>
      <c r="N264" s="420"/>
    </row>
    <row r="265" spans="1:30" outlineLevel="1">
      <c r="B265" s="485"/>
      <c r="C265" s="486"/>
      <c r="D265" s="486"/>
      <c r="E265" s="486"/>
      <c r="F265" s="486"/>
      <c r="G265" s="486"/>
      <c r="H265" s="484"/>
      <c r="I265" s="71"/>
      <c r="J265" s="420"/>
      <c r="K265" s="484"/>
      <c r="L265" s="484"/>
      <c r="N265" s="420"/>
    </row>
    <row r="266" spans="1:30" outlineLevel="1">
      <c r="B266" s="461"/>
      <c r="C266" s="359"/>
      <c r="D266" s="359"/>
      <c r="E266" s="359"/>
      <c r="F266" s="359"/>
      <c r="G266" s="359"/>
      <c r="I266" s="420"/>
      <c r="J266" s="420"/>
      <c r="N266" s="420"/>
    </row>
    <row r="267" spans="1:30" outlineLevel="1">
      <c r="B267" s="461"/>
      <c r="C267" s="487"/>
      <c r="D267" s="487"/>
      <c r="E267" s="487"/>
      <c r="F267" s="487"/>
      <c r="G267" s="359"/>
      <c r="M267" s="420"/>
      <c r="N267" s="420"/>
    </row>
    <row r="268" spans="1:30" outlineLevel="1"/>
    <row r="269" spans="1:30" outlineLevel="1">
      <c r="A269" s="488"/>
      <c r="B269" s="489"/>
      <c r="D269" s="490"/>
      <c r="E269" s="490"/>
      <c r="F269" s="490"/>
      <c r="G269" s="358"/>
      <c r="H269" s="358"/>
      <c r="I269" s="358"/>
      <c r="J269" s="358"/>
      <c r="K269" s="358"/>
      <c r="L269" s="358"/>
    </row>
    <row r="270" spans="1:30" outlineLevel="1">
      <c r="A270" s="491"/>
      <c r="B270" s="492"/>
      <c r="D270" s="490"/>
      <c r="E270" s="490"/>
      <c r="F270" s="490"/>
      <c r="G270" s="358"/>
      <c r="H270" s="358"/>
      <c r="I270" s="358"/>
      <c r="J270" s="358"/>
      <c r="K270" s="358"/>
      <c r="L270" s="358"/>
    </row>
    <row r="271" spans="1:30" outlineLevel="1">
      <c r="A271" s="491"/>
      <c r="B271" s="493"/>
      <c r="D271" s="490"/>
      <c r="E271" s="490"/>
      <c r="F271" s="490"/>
      <c r="G271" s="358"/>
      <c r="H271" s="358"/>
      <c r="I271" s="358"/>
      <c r="J271" s="358"/>
      <c r="K271" s="358"/>
      <c r="L271" s="358"/>
    </row>
    <row r="272" spans="1:30" outlineLevel="1">
      <c r="A272" s="491"/>
      <c r="B272" s="493"/>
      <c r="D272" s="490"/>
      <c r="E272" s="490"/>
      <c r="F272" s="490"/>
      <c r="G272" s="358"/>
      <c r="H272" s="358"/>
      <c r="I272" s="358"/>
      <c r="J272" s="358"/>
      <c r="K272" s="358"/>
      <c r="L272" s="358"/>
    </row>
    <row r="273" spans="1:15" outlineLevel="1">
      <c r="A273" s="491"/>
      <c r="B273" s="493"/>
      <c r="D273" s="490"/>
      <c r="E273" s="490"/>
      <c r="F273" s="490"/>
      <c r="G273" s="358"/>
      <c r="H273" s="358"/>
      <c r="I273" s="358"/>
      <c r="J273" s="358"/>
      <c r="K273" s="358"/>
      <c r="L273" s="358"/>
    </row>
    <row r="274" spans="1:15" outlineLevel="1">
      <c r="A274" s="358"/>
      <c r="B274" s="494"/>
      <c r="D274" s="490"/>
      <c r="E274" s="490"/>
      <c r="F274" s="490"/>
      <c r="G274" s="358"/>
      <c r="H274" s="358"/>
      <c r="I274" s="358"/>
      <c r="J274" s="358"/>
      <c r="K274" s="358"/>
      <c r="L274" s="358"/>
      <c r="M274" s="570"/>
      <c r="N274" s="489"/>
      <c r="O274" s="490"/>
    </row>
    <row r="275" spans="1:15" outlineLevel="1">
      <c r="A275" s="358"/>
      <c r="B275" s="492"/>
      <c r="D275" s="490"/>
      <c r="E275" s="490"/>
      <c r="F275" s="490"/>
      <c r="G275" s="358"/>
      <c r="H275" s="358"/>
      <c r="I275" s="358"/>
      <c r="J275" s="358"/>
      <c r="K275" s="358"/>
      <c r="L275" s="358"/>
      <c r="O275" s="490"/>
    </row>
    <row r="276" spans="1:15" outlineLevel="1">
      <c r="A276" s="358"/>
      <c r="B276" s="495"/>
      <c r="D276" s="490"/>
      <c r="E276" s="490"/>
      <c r="F276" s="490"/>
      <c r="G276" s="358"/>
      <c r="H276" s="358"/>
      <c r="I276" s="358"/>
      <c r="J276" s="358"/>
      <c r="K276" s="358"/>
      <c r="L276" s="358"/>
      <c r="O276" s="490"/>
    </row>
    <row r="277" spans="1:15" outlineLevel="1">
      <c r="A277" s="358"/>
      <c r="B277" s="495"/>
      <c r="D277" s="490"/>
      <c r="E277" s="490"/>
      <c r="F277" s="490"/>
      <c r="G277" s="358"/>
      <c r="H277" s="358"/>
      <c r="I277" s="358"/>
      <c r="J277" s="358"/>
      <c r="K277" s="358"/>
      <c r="L277" s="358"/>
      <c r="O277" s="490"/>
    </row>
    <row r="278" spans="1:15" outlineLevel="1">
      <c r="A278" s="358"/>
      <c r="B278" s="489"/>
      <c r="D278" s="490"/>
      <c r="E278" s="490"/>
      <c r="F278" s="490"/>
      <c r="G278" s="358"/>
      <c r="H278" s="358"/>
      <c r="I278" s="358"/>
      <c r="J278" s="358"/>
      <c r="K278" s="358"/>
      <c r="L278" s="358"/>
      <c r="O278" s="490"/>
    </row>
    <row r="279" spans="1:15" outlineLevel="1">
      <c r="A279" s="358"/>
      <c r="B279" s="490"/>
      <c r="D279" s="490"/>
      <c r="E279" s="490"/>
      <c r="F279" s="490"/>
      <c r="G279" s="358"/>
      <c r="H279" s="358"/>
      <c r="I279" s="358"/>
      <c r="J279" s="358"/>
      <c r="K279" s="358"/>
      <c r="L279" s="358"/>
      <c r="O279" s="490"/>
    </row>
    <row r="280" spans="1:15" outlineLevel="1">
      <c r="A280" s="488"/>
      <c r="B280" s="489"/>
      <c r="D280" s="490"/>
      <c r="E280" s="490"/>
      <c r="F280" s="490"/>
      <c r="G280" s="358"/>
      <c r="H280" s="358"/>
      <c r="I280" s="358"/>
      <c r="J280" s="358"/>
      <c r="K280" s="358"/>
      <c r="L280" s="358"/>
      <c r="O280" s="490"/>
    </row>
    <row r="281" spans="1:15" outlineLevel="1">
      <c r="A281" s="496"/>
      <c r="B281" s="497"/>
      <c r="D281" s="490"/>
      <c r="E281" s="490"/>
      <c r="F281" s="490"/>
      <c r="G281" s="358"/>
      <c r="H281" s="358"/>
      <c r="I281" s="358"/>
      <c r="J281" s="358"/>
      <c r="K281" s="358"/>
      <c r="L281" s="358"/>
      <c r="M281" s="570"/>
      <c r="N281" s="489"/>
      <c r="O281" s="490"/>
    </row>
    <row r="282" spans="1:15" outlineLevel="1">
      <c r="A282" s="496"/>
      <c r="B282" s="489"/>
      <c r="D282" s="490"/>
      <c r="E282" s="490"/>
      <c r="F282" s="490"/>
      <c r="G282" s="358"/>
      <c r="H282" s="358"/>
      <c r="I282" s="358"/>
      <c r="J282" s="358"/>
      <c r="K282" s="358"/>
      <c r="L282" s="358"/>
      <c r="M282" s="571"/>
      <c r="N282" s="489"/>
      <c r="O282" s="490"/>
    </row>
    <row r="283" spans="1:15" outlineLevel="1">
      <c r="A283" s="496"/>
      <c r="B283" s="489"/>
      <c r="D283" s="490"/>
      <c r="E283" s="490"/>
      <c r="F283" s="490"/>
      <c r="G283" s="358"/>
      <c r="H283" s="358"/>
      <c r="I283" s="358"/>
      <c r="J283" s="358"/>
      <c r="K283" s="358"/>
      <c r="L283" s="358"/>
      <c r="M283" s="572"/>
      <c r="N283" s="489"/>
      <c r="O283" s="490"/>
    </row>
    <row r="284" spans="1:15" outlineLevel="1">
      <c r="A284" s="496"/>
      <c r="B284" s="498"/>
      <c r="D284" s="490"/>
      <c r="E284" s="490"/>
      <c r="F284" s="490"/>
      <c r="G284" s="358"/>
      <c r="H284" s="358"/>
      <c r="I284" s="358"/>
      <c r="J284" s="358"/>
      <c r="K284" s="358"/>
      <c r="L284" s="358"/>
      <c r="M284" s="573"/>
      <c r="N284" s="489"/>
      <c r="O284" s="490"/>
    </row>
    <row r="285" spans="1:15" outlineLevel="1">
      <c r="A285" s="496"/>
      <c r="B285" s="489"/>
      <c r="D285" s="490"/>
      <c r="E285" s="490"/>
      <c r="F285" s="490"/>
      <c r="G285" s="358"/>
      <c r="H285" s="358"/>
      <c r="I285" s="358"/>
      <c r="J285" s="358"/>
      <c r="K285" s="358"/>
      <c r="L285" s="358"/>
      <c r="M285" s="573"/>
      <c r="N285" s="490"/>
      <c r="O285" s="490"/>
    </row>
    <row r="286" spans="1:15" outlineLevel="1">
      <c r="A286" s="496"/>
      <c r="B286" s="489"/>
      <c r="D286" s="490"/>
      <c r="E286" s="490"/>
      <c r="F286" s="490"/>
      <c r="G286" s="358"/>
      <c r="H286" s="358"/>
      <c r="I286" s="358"/>
      <c r="J286" s="358"/>
      <c r="K286" s="358"/>
      <c r="L286" s="358"/>
      <c r="M286" s="489"/>
      <c r="N286" s="490"/>
      <c r="O286" s="490"/>
    </row>
    <row r="287" spans="1:15" outlineLevel="1"/>
    <row r="290" spans="1:44" ht="15" thickBot="1">
      <c r="A290" s="360"/>
    </row>
    <row r="291" spans="1:44" ht="20.55" customHeight="1" thickBot="1">
      <c r="B291" s="362"/>
      <c r="C291" s="1186"/>
      <c r="D291" s="1187"/>
      <c r="E291" s="1187"/>
      <c r="F291" s="1187"/>
      <c r="G291" s="1187"/>
      <c r="H291" s="1187"/>
      <c r="I291" s="1187"/>
      <c r="J291" s="1187"/>
      <c r="K291" s="1187"/>
      <c r="L291" s="1188"/>
      <c r="M291" s="363"/>
      <c r="N291" s="363"/>
      <c r="P291" s="364"/>
      <c r="Q291" s="365"/>
      <c r="R291" s="366"/>
      <c r="S291" s="1176"/>
      <c r="T291" s="1160"/>
      <c r="U291" s="1161"/>
      <c r="V291" s="1160"/>
      <c r="W291" s="1161"/>
      <c r="X291" s="1160"/>
      <c r="Y291" s="1161"/>
      <c r="Z291" s="1160"/>
      <c r="AA291" s="1161"/>
      <c r="AB291" s="1160"/>
      <c r="AC291" s="1161"/>
      <c r="AE291" s="364"/>
      <c r="AF291" s="365"/>
      <c r="AG291" s="366"/>
      <c r="AH291" s="1176"/>
      <c r="AI291" s="1160"/>
      <c r="AJ291" s="1161"/>
      <c r="AK291" s="1160"/>
      <c r="AL291" s="1161"/>
      <c r="AM291" s="1160"/>
      <c r="AN291" s="1161"/>
      <c r="AO291" s="1160"/>
      <c r="AP291" s="1161"/>
      <c r="AQ291" s="1160"/>
      <c r="AR291" s="1161"/>
    </row>
    <row r="292" spans="1:44" ht="15" customHeight="1" thickBot="1">
      <c r="B292" s="1164"/>
      <c r="C292" s="1166"/>
      <c r="D292" s="1166"/>
      <c r="E292" s="1166"/>
      <c r="F292" s="1166"/>
      <c r="G292" s="1168"/>
      <c r="H292" s="1169"/>
      <c r="I292" s="1168"/>
      <c r="J292" s="1169"/>
      <c r="K292" s="1189"/>
      <c r="L292" s="1189"/>
      <c r="M292" s="367"/>
      <c r="N292" s="367"/>
      <c r="P292" s="1180"/>
      <c r="Q292" s="368"/>
      <c r="R292" s="368"/>
      <c r="S292" s="1177"/>
      <c r="T292" s="1162"/>
      <c r="U292" s="1163"/>
      <c r="V292" s="1162"/>
      <c r="W292" s="1163"/>
      <c r="X292" s="1162"/>
      <c r="Y292" s="1163"/>
      <c r="Z292" s="1162"/>
      <c r="AA292" s="1163"/>
      <c r="AB292" s="1162"/>
      <c r="AC292" s="1163"/>
      <c r="AE292" s="1180"/>
      <c r="AF292" s="368"/>
      <c r="AG292" s="368"/>
      <c r="AH292" s="1177"/>
      <c r="AI292" s="1162"/>
      <c r="AJ292" s="1163"/>
      <c r="AK292" s="1162"/>
      <c r="AL292" s="1163"/>
      <c r="AM292" s="1162"/>
      <c r="AN292" s="1163"/>
      <c r="AO292" s="1162"/>
      <c r="AP292" s="1163"/>
      <c r="AQ292" s="1162"/>
      <c r="AR292" s="1163"/>
    </row>
    <row r="293" spans="1:44" ht="15" customHeight="1" thickBot="1">
      <c r="B293" s="1165"/>
      <c r="C293" s="1167"/>
      <c r="D293" s="1167"/>
      <c r="E293" s="1167"/>
      <c r="F293" s="1167"/>
      <c r="G293" s="406"/>
      <c r="H293" s="406"/>
      <c r="I293" s="406"/>
      <c r="J293" s="406"/>
      <c r="K293" s="1190"/>
      <c r="L293" s="1190"/>
      <c r="M293" s="370"/>
      <c r="N293" s="370"/>
      <c r="P293" s="1181"/>
      <c r="Q293" s="1183"/>
      <c r="R293" s="1184"/>
      <c r="S293" s="1178"/>
      <c r="T293" s="1162"/>
      <c r="U293" s="1163"/>
      <c r="V293" s="1162"/>
      <c r="W293" s="1163"/>
      <c r="X293" s="1162"/>
      <c r="Y293" s="1163"/>
      <c r="Z293" s="1162"/>
      <c r="AA293" s="1163"/>
      <c r="AB293" s="1162"/>
      <c r="AC293" s="1163"/>
      <c r="AE293" s="1181"/>
      <c r="AF293" s="1183"/>
      <c r="AG293" s="1184"/>
      <c r="AH293" s="1178"/>
      <c r="AI293" s="1162"/>
      <c r="AJ293" s="1163"/>
      <c r="AK293" s="1162"/>
      <c r="AL293" s="1163"/>
      <c r="AM293" s="1162"/>
      <c r="AN293" s="1163"/>
      <c r="AO293" s="1162"/>
      <c r="AP293" s="1163"/>
      <c r="AQ293" s="1162"/>
      <c r="AR293" s="1163"/>
    </row>
    <row r="294" spans="1:44" ht="15" thickBot="1">
      <c r="B294" s="371"/>
      <c r="C294" s="372"/>
      <c r="D294" s="372"/>
      <c r="E294" s="372"/>
      <c r="F294" s="372"/>
      <c r="G294" s="372"/>
      <c r="H294" s="372"/>
      <c r="I294" s="372"/>
      <c r="J294" s="372"/>
      <c r="K294" s="372"/>
      <c r="L294" s="373"/>
      <c r="M294" s="370"/>
      <c r="N294" s="370"/>
      <c r="O294" s="74"/>
      <c r="P294" s="1182"/>
      <c r="Q294" s="1179"/>
      <c r="R294" s="1185"/>
      <c r="S294" s="1179"/>
      <c r="T294" s="374"/>
      <c r="U294" s="375"/>
      <c r="V294" s="374"/>
      <c r="W294" s="375"/>
      <c r="X294" s="374"/>
      <c r="Y294" s="375"/>
      <c r="Z294" s="374"/>
      <c r="AA294" s="375"/>
      <c r="AB294" s="374"/>
      <c r="AC294" s="375"/>
      <c r="AE294" s="1182"/>
      <c r="AF294" s="1179"/>
      <c r="AG294" s="1185"/>
      <c r="AH294" s="1179"/>
      <c r="AI294" s="374"/>
      <c r="AJ294" s="375"/>
      <c r="AK294" s="374"/>
      <c r="AL294" s="375"/>
      <c r="AM294" s="374"/>
      <c r="AN294" s="375"/>
      <c r="AO294" s="374"/>
      <c r="AP294" s="375"/>
      <c r="AQ294" s="374"/>
      <c r="AR294" s="375"/>
    </row>
    <row r="295" spans="1:44" ht="14.55" customHeight="1">
      <c r="B295" s="574"/>
      <c r="C295" s="575"/>
      <c r="D295" s="575"/>
      <c r="E295" s="575"/>
      <c r="F295" s="575"/>
      <c r="G295" s="576"/>
      <c r="H295" s="576"/>
      <c r="I295" s="576"/>
      <c r="J295" s="576"/>
      <c r="K295" s="372"/>
      <c r="L295" s="373"/>
      <c r="M295" s="370"/>
      <c r="N295" s="370"/>
      <c r="P295" s="1148"/>
      <c r="Q295" s="1154"/>
      <c r="R295" s="381"/>
      <c r="S295" s="382"/>
      <c r="T295" s="1137"/>
      <c r="U295" s="1151"/>
      <c r="V295" s="1137"/>
      <c r="W295" s="1151"/>
      <c r="X295" s="1137"/>
      <c r="Y295" s="1151"/>
      <c r="Z295" s="1137"/>
      <c r="AA295" s="1151"/>
      <c r="AB295" s="1157"/>
      <c r="AC295" s="1151"/>
      <c r="AE295" s="1148"/>
      <c r="AF295" s="1154"/>
      <c r="AG295" s="381"/>
      <c r="AH295" s="382"/>
      <c r="AI295" s="1137"/>
      <c r="AJ295" s="1151"/>
      <c r="AK295" s="1137"/>
      <c r="AL295" s="1151"/>
      <c r="AM295" s="1137"/>
      <c r="AN295" s="1151"/>
      <c r="AO295" s="1137"/>
      <c r="AP295" s="1151"/>
      <c r="AQ295" s="1157"/>
      <c r="AR295" s="1151"/>
    </row>
    <row r="296" spans="1:44">
      <c r="B296" s="383"/>
      <c r="C296" s="577"/>
      <c r="D296" s="577"/>
      <c r="E296" s="577"/>
      <c r="F296" s="577"/>
      <c r="G296" s="576"/>
      <c r="H296" s="576"/>
      <c r="I296" s="576"/>
      <c r="J296" s="576"/>
      <c r="K296" s="372"/>
      <c r="L296" s="373"/>
      <c r="M296" s="370"/>
      <c r="N296" s="370"/>
      <c r="O296" s="71"/>
      <c r="P296" s="1149"/>
      <c r="Q296" s="1155"/>
      <c r="R296" s="388"/>
      <c r="S296" s="389"/>
      <c r="T296" s="1140"/>
      <c r="U296" s="1152"/>
      <c r="V296" s="1140"/>
      <c r="W296" s="1152"/>
      <c r="X296" s="1140"/>
      <c r="Y296" s="1152"/>
      <c r="Z296" s="1140"/>
      <c r="AA296" s="1152"/>
      <c r="AB296" s="1158"/>
      <c r="AC296" s="1152"/>
      <c r="AE296" s="1149"/>
      <c r="AF296" s="1155"/>
      <c r="AG296" s="388"/>
      <c r="AH296" s="389"/>
      <c r="AI296" s="1140"/>
      <c r="AJ296" s="1152"/>
      <c r="AK296" s="1140"/>
      <c r="AL296" s="1152"/>
      <c r="AM296" s="1140"/>
      <c r="AN296" s="1152"/>
      <c r="AO296" s="1140"/>
      <c r="AP296" s="1152"/>
      <c r="AQ296" s="1158"/>
      <c r="AR296" s="1152"/>
    </row>
    <row r="297" spans="1:44" ht="15" thickBot="1">
      <c r="B297" s="574"/>
      <c r="C297" s="578"/>
      <c r="D297" s="578"/>
      <c r="E297" s="578"/>
      <c r="F297" s="578"/>
      <c r="G297" s="578"/>
      <c r="H297" s="578"/>
      <c r="I297" s="578"/>
      <c r="J297" s="578"/>
      <c r="K297" s="579"/>
      <c r="L297" s="580"/>
      <c r="M297" s="370"/>
      <c r="N297" s="370"/>
      <c r="O297" s="71"/>
      <c r="P297" s="1149"/>
      <c r="Q297" s="1156"/>
      <c r="R297" s="393"/>
      <c r="S297" s="394"/>
      <c r="T297" s="1141"/>
      <c r="U297" s="1153"/>
      <c r="V297" s="1141"/>
      <c r="W297" s="1153"/>
      <c r="X297" s="1141"/>
      <c r="Y297" s="1153"/>
      <c r="Z297" s="1141"/>
      <c r="AA297" s="1153"/>
      <c r="AB297" s="1159"/>
      <c r="AC297" s="1153"/>
      <c r="AE297" s="1149"/>
      <c r="AF297" s="1156"/>
      <c r="AG297" s="393"/>
      <c r="AH297" s="394"/>
      <c r="AI297" s="1141"/>
      <c r="AJ297" s="1153"/>
      <c r="AK297" s="1141"/>
      <c r="AL297" s="1153"/>
      <c r="AM297" s="1141"/>
      <c r="AN297" s="1153"/>
      <c r="AO297" s="1141"/>
      <c r="AP297" s="1153"/>
      <c r="AQ297" s="1159"/>
      <c r="AR297" s="1153"/>
    </row>
    <row r="298" spans="1:44" ht="14.55" customHeight="1">
      <c r="B298" s="574"/>
      <c r="C298" s="581"/>
      <c r="D298" s="581"/>
      <c r="E298" s="581"/>
      <c r="F298" s="581"/>
      <c r="G298" s="581"/>
      <c r="H298" s="581"/>
      <c r="I298" s="581"/>
      <c r="J298" s="581"/>
      <c r="K298" s="579"/>
      <c r="L298" s="580"/>
      <c r="M298" s="370"/>
      <c r="N298" s="370"/>
      <c r="O298" s="71"/>
      <c r="P298" s="1149"/>
      <c r="Q298" s="1145"/>
      <c r="R298" s="395"/>
      <c r="S298" s="396"/>
      <c r="T298" s="1137"/>
      <c r="U298" s="1137"/>
      <c r="V298" s="1137"/>
      <c r="W298" s="1137"/>
      <c r="X298" s="1137"/>
      <c r="Y298" s="1137"/>
      <c r="Z298" s="1137"/>
      <c r="AA298" s="1137"/>
      <c r="AB298" s="1137"/>
      <c r="AC298" s="1137"/>
      <c r="AE298" s="1149"/>
      <c r="AF298" s="1145"/>
      <c r="AG298" s="395"/>
      <c r="AH298" s="396"/>
      <c r="AI298" s="1137"/>
      <c r="AJ298" s="1137"/>
      <c r="AK298" s="1137"/>
      <c r="AL298" s="1137"/>
      <c r="AM298" s="1137"/>
      <c r="AN298" s="1137"/>
      <c r="AO298" s="1137"/>
      <c r="AP298" s="1137"/>
      <c r="AQ298" s="1137"/>
      <c r="AR298" s="1137"/>
    </row>
    <row r="299" spans="1:44">
      <c r="B299" s="574"/>
      <c r="C299" s="582"/>
      <c r="D299" s="582"/>
      <c r="E299" s="582"/>
      <c r="F299" s="582"/>
      <c r="G299" s="582"/>
      <c r="H299" s="582"/>
      <c r="I299" s="582"/>
      <c r="J299" s="582"/>
      <c r="K299" s="579"/>
      <c r="L299" s="580"/>
      <c r="M299" s="367"/>
      <c r="N299" s="367"/>
      <c r="O299" s="71"/>
      <c r="P299" s="1149"/>
      <c r="Q299" s="1146"/>
      <c r="R299" s="395"/>
      <c r="S299" s="396"/>
      <c r="T299" s="1138"/>
      <c r="U299" s="1138"/>
      <c r="V299" s="1138"/>
      <c r="W299" s="1138"/>
      <c r="X299" s="1138"/>
      <c r="Y299" s="1138"/>
      <c r="Z299" s="1138"/>
      <c r="AA299" s="1138"/>
      <c r="AB299" s="1140"/>
      <c r="AC299" s="1138"/>
      <c r="AE299" s="1149"/>
      <c r="AF299" s="1146"/>
      <c r="AG299" s="395"/>
      <c r="AH299" s="396"/>
      <c r="AI299" s="1138"/>
      <c r="AJ299" s="1138"/>
      <c r="AK299" s="1138"/>
      <c r="AL299" s="1138"/>
      <c r="AM299" s="1138"/>
      <c r="AN299" s="1138"/>
      <c r="AO299" s="1138"/>
      <c r="AP299" s="1138"/>
      <c r="AQ299" s="1140"/>
      <c r="AR299" s="1138"/>
    </row>
    <row r="300" spans="1:44">
      <c r="B300" s="383"/>
      <c r="C300" s="397"/>
      <c r="D300" s="397"/>
      <c r="E300" s="397"/>
      <c r="F300" s="397"/>
      <c r="G300" s="398"/>
      <c r="H300" s="398"/>
      <c r="I300" s="398"/>
      <c r="J300" s="398"/>
      <c r="K300" s="372"/>
      <c r="L300" s="373"/>
      <c r="M300" s="363"/>
      <c r="N300" s="363"/>
      <c r="P300" s="1149"/>
      <c r="Q300" s="1146"/>
      <c r="R300" s="395"/>
      <c r="S300" s="396"/>
      <c r="T300" s="1138"/>
      <c r="U300" s="1138"/>
      <c r="V300" s="1138"/>
      <c r="W300" s="1138"/>
      <c r="X300" s="1138"/>
      <c r="Y300" s="1138"/>
      <c r="Z300" s="1138"/>
      <c r="AA300" s="1138"/>
      <c r="AB300" s="1140"/>
      <c r="AC300" s="1138"/>
      <c r="AE300" s="1149"/>
      <c r="AF300" s="1146"/>
      <c r="AG300" s="395"/>
      <c r="AH300" s="396"/>
      <c r="AI300" s="1138"/>
      <c r="AJ300" s="1138"/>
      <c r="AK300" s="1138"/>
      <c r="AL300" s="1138"/>
      <c r="AM300" s="1138"/>
      <c r="AN300" s="1138"/>
      <c r="AO300" s="1138"/>
      <c r="AP300" s="1138"/>
      <c r="AQ300" s="1140"/>
      <c r="AR300" s="1138"/>
    </row>
    <row r="301" spans="1:44" ht="15" thickBot="1">
      <c r="B301" s="574"/>
      <c r="C301" s="582"/>
      <c r="D301" s="582"/>
      <c r="E301" s="582"/>
      <c r="F301" s="582"/>
      <c r="G301" s="582"/>
      <c r="H301" s="582"/>
      <c r="I301" s="582"/>
      <c r="J301" s="582"/>
      <c r="K301" s="372"/>
      <c r="L301" s="373"/>
      <c r="M301" s="363"/>
      <c r="N301" s="363"/>
      <c r="P301" s="1149"/>
      <c r="Q301" s="1146"/>
      <c r="R301" s="395"/>
      <c r="S301" s="396"/>
      <c r="T301" s="1138"/>
      <c r="U301" s="1138"/>
      <c r="V301" s="1138"/>
      <c r="W301" s="1138"/>
      <c r="X301" s="1138"/>
      <c r="Y301" s="1138"/>
      <c r="Z301" s="1138"/>
      <c r="AA301" s="1138"/>
      <c r="AB301" s="1140"/>
      <c r="AC301" s="1138"/>
      <c r="AE301" s="1149"/>
      <c r="AF301" s="1146"/>
      <c r="AG301" s="395"/>
      <c r="AH301" s="396"/>
      <c r="AI301" s="1138"/>
      <c r="AJ301" s="1138"/>
      <c r="AK301" s="1138"/>
      <c r="AL301" s="1138"/>
      <c r="AM301" s="1138"/>
      <c r="AN301" s="1138"/>
      <c r="AO301" s="1138"/>
      <c r="AP301" s="1138"/>
      <c r="AQ301" s="1140"/>
      <c r="AR301" s="1138"/>
    </row>
    <row r="302" spans="1:44" ht="15" thickBot="1">
      <c r="B302" s="401"/>
      <c r="C302" s="583"/>
      <c r="D302" s="584"/>
      <c r="E302" s="585"/>
      <c r="F302" s="586"/>
      <c r="G302" s="406"/>
      <c r="H302" s="406"/>
      <c r="I302" s="406"/>
      <c r="J302" s="406"/>
      <c r="K302" s="407"/>
      <c r="L302" s="587"/>
      <c r="M302" s="363"/>
      <c r="N302" s="363"/>
      <c r="P302" s="1149"/>
      <c r="Q302" s="1147"/>
      <c r="R302" s="409"/>
      <c r="S302" s="410"/>
      <c r="T302" s="1139"/>
      <c r="U302" s="1139"/>
      <c r="V302" s="1139"/>
      <c r="W302" s="1139"/>
      <c r="X302" s="1139"/>
      <c r="Y302" s="1139"/>
      <c r="Z302" s="1139"/>
      <c r="AA302" s="1139"/>
      <c r="AB302" s="1141"/>
      <c r="AC302" s="1139"/>
      <c r="AE302" s="1149"/>
      <c r="AF302" s="1147"/>
      <c r="AG302" s="409"/>
      <c r="AH302" s="410"/>
      <c r="AI302" s="1139"/>
      <c r="AJ302" s="1139"/>
      <c r="AK302" s="1139"/>
      <c r="AL302" s="1139"/>
      <c r="AM302" s="1139"/>
      <c r="AN302" s="1139"/>
      <c r="AO302" s="1139"/>
      <c r="AP302" s="1139"/>
      <c r="AQ302" s="1141"/>
      <c r="AR302" s="1139"/>
    </row>
    <row r="303" spans="1:44" ht="15" thickBot="1">
      <c r="B303" s="574"/>
      <c r="C303" s="588"/>
      <c r="D303" s="588"/>
      <c r="E303" s="588"/>
      <c r="F303" s="588"/>
      <c r="G303" s="589"/>
      <c r="H303" s="589"/>
      <c r="I303" s="590"/>
      <c r="J303" s="590"/>
      <c r="K303" s="579"/>
      <c r="L303" s="580"/>
      <c r="M303" s="363"/>
      <c r="N303" s="363"/>
      <c r="P303" s="1150"/>
      <c r="Q303" s="411"/>
      <c r="R303" s="412"/>
      <c r="S303" s="413"/>
      <c r="T303" s="591"/>
      <c r="U303" s="592"/>
      <c r="V303" s="593"/>
      <c r="W303" s="592"/>
      <c r="X303" s="593"/>
      <c r="Y303" s="592"/>
      <c r="Z303" s="593"/>
      <c r="AA303" s="592"/>
      <c r="AB303" s="593"/>
      <c r="AC303" s="594"/>
      <c r="AE303" s="1150"/>
      <c r="AF303" s="411"/>
      <c r="AG303" s="412"/>
      <c r="AH303" s="413"/>
      <c r="AI303" s="591"/>
      <c r="AJ303" s="592"/>
      <c r="AK303" s="593"/>
      <c r="AL303" s="592"/>
      <c r="AM303" s="593"/>
      <c r="AN303" s="592"/>
      <c r="AO303" s="593"/>
      <c r="AP303" s="592"/>
      <c r="AQ303" s="593"/>
      <c r="AR303" s="594"/>
    </row>
    <row r="304" spans="1:44">
      <c r="B304" s="574"/>
      <c r="C304" s="582"/>
      <c r="D304" s="582"/>
      <c r="E304" s="582"/>
      <c r="F304" s="582"/>
      <c r="G304" s="595"/>
      <c r="H304" s="595"/>
      <c r="I304" s="595"/>
      <c r="J304" s="595"/>
      <c r="K304" s="596"/>
      <c r="L304" s="580"/>
      <c r="M304" s="363"/>
      <c r="N304" s="363"/>
    </row>
    <row r="305" spans="1:30">
      <c r="B305" s="574"/>
      <c r="C305" s="582"/>
      <c r="D305" s="582"/>
      <c r="E305" s="582"/>
      <c r="F305" s="582"/>
      <c r="G305" s="595"/>
      <c r="H305" s="595"/>
      <c r="I305" s="595"/>
      <c r="J305" s="595"/>
      <c r="K305" s="596"/>
      <c r="L305" s="580"/>
      <c r="M305" s="420"/>
      <c r="N305" s="363"/>
    </row>
    <row r="306" spans="1:30">
      <c r="B306" s="421"/>
      <c r="C306" s="399"/>
      <c r="D306" s="399"/>
      <c r="E306" s="399"/>
      <c r="F306" s="399"/>
      <c r="G306" s="422"/>
      <c r="H306" s="422"/>
      <c r="I306" s="422"/>
      <c r="J306" s="422"/>
      <c r="K306" s="423"/>
      <c r="L306" s="597"/>
      <c r="M306" s="420"/>
      <c r="N306" s="420"/>
    </row>
    <row r="307" spans="1:30">
      <c r="B307" s="383"/>
      <c r="C307" s="397"/>
      <c r="D307" s="397"/>
      <c r="E307" s="397"/>
      <c r="F307" s="397"/>
      <c r="G307" s="422"/>
      <c r="H307" s="425"/>
      <c r="I307" s="425"/>
      <c r="J307" s="425"/>
      <c r="K307" s="426"/>
      <c r="L307" s="427"/>
      <c r="M307" s="428"/>
      <c r="N307" s="428"/>
    </row>
    <row r="308" spans="1:30">
      <c r="B308" s="383"/>
      <c r="C308" s="397"/>
      <c r="D308" s="397"/>
      <c r="E308" s="397"/>
      <c r="F308" s="397"/>
      <c r="G308" s="425"/>
      <c r="H308" s="425"/>
      <c r="I308" s="425"/>
      <c r="J308" s="425"/>
      <c r="K308" s="423"/>
      <c r="L308" s="427"/>
      <c r="M308" s="428"/>
      <c r="N308" s="428"/>
    </row>
    <row r="309" spans="1:30">
      <c r="B309" s="383"/>
      <c r="C309" s="397"/>
      <c r="D309" s="397"/>
      <c r="E309" s="397"/>
      <c r="F309" s="397"/>
      <c r="G309" s="425"/>
      <c r="H309" s="425"/>
      <c r="I309" s="425"/>
      <c r="J309" s="425"/>
      <c r="K309" s="423"/>
      <c r="L309" s="427"/>
      <c r="M309" s="428"/>
      <c r="N309" s="428"/>
    </row>
    <row r="310" spans="1:30">
      <c r="B310" s="383"/>
      <c r="C310" s="397"/>
      <c r="D310" s="397"/>
      <c r="E310" s="397"/>
      <c r="F310" s="397"/>
      <c r="G310" s="425"/>
      <c r="H310" s="425"/>
      <c r="I310" s="425"/>
      <c r="J310" s="425"/>
      <c r="K310" s="423"/>
      <c r="L310" s="427"/>
      <c r="M310" s="428"/>
      <c r="N310" s="428"/>
    </row>
    <row r="311" spans="1:30" ht="15" thickBot="1">
      <c r="B311" s="429"/>
      <c r="C311" s="397"/>
      <c r="D311" s="397"/>
      <c r="E311" s="397"/>
      <c r="F311" s="397"/>
      <c r="G311" s="425"/>
      <c r="H311" s="425"/>
      <c r="I311" s="425"/>
      <c r="J311" s="425"/>
      <c r="K311" s="423"/>
      <c r="L311" s="427"/>
      <c r="M311" s="428"/>
      <c r="N311" s="428"/>
    </row>
    <row r="312" spans="1:30" ht="15" thickBot="1">
      <c r="B312" s="431"/>
      <c r="C312" s="598"/>
      <c r="D312" s="584"/>
      <c r="E312" s="584"/>
      <c r="F312" s="599"/>
      <c r="G312" s="434"/>
      <c r="H312" s="406"/>
      <c r="I312" s="406"/>
      <c r="J312" s="406"/>
      <c r="K312" s="407"/>
      <c r="L312" s="587"/>
      <c r="M312" s="428"/>
      <c r="N312" s="428"/>
    </row>
    <row r="313" spans="1:30">
      <c r="A313" s="435"/>
      <c r="B313" s="436"/>
      <c r="C313" s="600"/>
      <c r="D313" s="600"/>
      <c r="E313" s="600"/>
      <c r="F313" s="600"/>
      <c r="G313" s="425"/>
      <c r="H313" s="425"/>
      <c r="I313" s="425"/>
      <c r="J313" s="425"/>
      <c r="K313" s="426"/>
      <c r="L313" s="440"/>
      <c r="M313" s="420"/>
      <c r="N313" s="420"/>
    </row>
    <row r="314" spans="1:30">
      <c r="B314" s="441"/>
      <c r="C314" s="601"/>
      <c r="D314" s="601"/>
      <c r="E314" s="601"/>
      <c r="F314" s="601"/>
      <c r="G314" s="425"/>
      <c r="H314" s="425"/>
      <c r="I314" s="425"/>
      <c r="J314" s="425"/>
      <c r="K314" s="444"/>
      <c r="L314" s="373"/>
      <c r="M314" s="71"/>
      <c r="N314" s="420"/>
    </row>
    <row r="315" spans="1:30">
      <c r="B315" s="441"/>
      <c r="C315" s="601"/>
      <c r="D315" s="601"/>
      <c r="E315" s="601"/>
      <c r="F315" s="601"/>
      <c r="G315" s="425"/>
      <c r="H315" s="425"/>
      <c r="I315" s="425"/>
      <c r="J315" s="425"/>
      <c r="K315" s="444"/>
      <c r="L315" s="373"/>
      <c r="M315" s="420"/>
      <c r="N315" s="420"/>
    </row>
    <row r="316" spans="1:30">
      <c r="B316" s="383"/>
      <c r="C316" s="602"/>
      <c r="D316" s="603"/>
      <c r="E316" s="603"/>
      <c r="F316" s="604"/>
      <c r="G316" s="425"/>
      <c r="H316" s="425"/>
      <c r="I316" s="425"/>
      <c r="J316" s="425"/>
      <c r="K316" s="444"/>
      <c r="L316" s="373"/>
      <c r="M316" s="420"/>
      <c r="N316" s="420"/>
    </row>
    <row r="317" spans="1:30">
      <c r="B317" s="383"/>
      <c r="C317" s="605"/>
      <c r="D317" s="605"/>
      <c r="E317" s="605"/>
      <c r="F317" s="605"/>
      <c r="G317" s="425"/>
      <c r="H317" s="425"/>
      <c r="I317" s="425"/>
      <c r="J317" s="425"/>
      <c r="K317" s="444"/>
      <c r="L317" s="373"/>
      <c r="M317" s="450"/>
      <c r="N317" s="361"/>
      <c r="P317" s="1142"/>
      <c r="Q317" s="1143"/>
      <c r="R317" s="1143"/>
      <c r="S317" s="1143"/>
      <c r="T317" s="1143"/>
      <c r="U317" s="1144"/>
    </row>
    <row r="318" spans="1:30" ht="15" thickBot="1">
      <c r="B318" s="541"/>
      <c r="C318" s="552"/>
      <c r="D318" s="552"/>
      <c r="E318" s="552"/>
      <c r="F318" s="552"/>
      <c r="G318" s="553"/>
      <c r="H318" s="553"/>
      <c r="I318" s="553"/>
      <c r="J318" s="553"/>
      <c r="K318" s="547"/>
      <c r="L318" s="548"/>
      <c r="M318" s="450"/>
      <c r="N318" s="361"/>
      <c r="P318" s="1134"/>
      <c r="Q318" s="1135"/>
      <c r="R318" s="1135"/>
      <c r="S318" s="1135"/>
      <c r="T318" s="1135"/>
      <c r="U318" s="1136"/>
    </row>
    <row r="319" spans="1:30">
      <c r="B319" s="541"/>
      <c r="C319" s="606"/>
      <c r="D319" s="606"/>
      <c r="E319" s="606"/>
      <c r="F319" s="606"/>
      <c r="G319" s="553"/>
      <c r="H319" s="553"/>
      <c r="I319" s="553"/>
      <c r="J319" s="553"/>
      <c r="K319" s="547"/>
      <c r="L319" s="548"/>
      <c r="M319" s="363"/>
      <c r="N319" s="363"/>
      <c r="P319" s="53"/>
    </row>
    <row r="320" spans="1:30">
      <c r="B320" s="541"/>
      <c r="C320" s="607"/>
      <c r="D320" s="547"/>
      <c r="E320" s="547"/>
      <c r="F320" s="563"/>
      <c r="G320" s="550"/>
      <c r="H320" s="550"/>
      <c r="I320" s="550"/>
      <c r="J320" s="550"/>
      <c r="K320" s="547"/>
      <c r="L320" s="608"/>
      <c r="M320" s="367"/>
      <c r="N320" s="367"/>
      <c r="P320" s="46"/>
      <c r="Q320" s="46"/>
      <c r="R320" s="47"/>
      <c r="S320" s="47"/>
      <c r="T320" s="47"/>
      <c r="U320" s="48"/>
      <c r="V320" s="49"/>
      <c r="W320" s="49"/>
      <c r="X320" s="49"/>
      <c r="Y320" s="49"/>
      <c r="Z320" s="49"/>
      <c r="AA320" s="49"/>
      <c r="AB320" s="49"/>
      <c r="AC320" s="49"/>
      <c r="AD320" s="49"/>
    </row>
    <row r="321" spans="1:30" ht="15" thickBot="1">
      <c r="B321" s="566"/>
      <c r="C321" s="607"/>
      <c r="D321" s="609"/>
      <c r="E321" s="609"/>
      <c r="F321" s="610"/>
      <c r="G321" s="550"/>
      <c r="H321" s="550"/>
      <c r="I321" s="550"/>
      <c r="J321" s="550"/>
      <c r="K321" s="547"/>
      <c r="L321" s="608"/>
      <c r="M321" s="363"/>
      <c r="N321" s="363"/>
      <c r="O321" s="71"/>
      <c r="P321" s="50"/>
      <c r="Q321" s="50"/>
      <c r="R321" s="51"/>
      <c r="S321" s="51"/>
      <c r="T321" s="51"/>
      <c r="U321" s="51"/>
      <c r="V321" s="50"/>
      <c r="W321" s="50"/>
      <c r="X321" s="50"/>
      <c r="Y321" s="50"/>
      <c r="Z321" s="50"/>
      <c r="AA321" s="50"/>
      <c r="AB321" s="50"/>
      <c r="AC321" s="50"/>
      <c r="AD321" s="50"/>
    </row>
    <row r="322" spans="1:30" ht="15" thickBot="1">
      <c r="B322" s="611"/>
      <c r="C322" s="612"/>
      <c r="D322" s="613"/>
      <c r="E322" s="614"/>
      <c r="F322" s="615"/>
      <c r="G322" s="540"/>
      <c r="H322" s="540"/>
      <c r="I322" s="540"/>
      <c r="J322" s="540"/>
      <c r="K322" s="616"/>
      <c r="L322" s="617"/>
      <c r="M322" s="363"/>
      <c r="N322" s="363"/>
      <c r="O322" s="461"/>
      <c r="P322" s="56"/>
      <c r="Q322" s="56"/>
      <c r="R322" s="57"/>
      <c r="S322" s="57"/>
      <c r="T322" s="57"/>
      <c r="U322" s="56"/>
      <c r="V322" s="56"/>
      <c r="W322" s="56"/>
      <c r="X322" s="56"/>
      <c r="Y322" s="56"/>
      <c r="Z322" s="56"/>
      <c r="AA322" s="56"/>
      <c r="AB322" s="56"/>
      <c r="AC322" s="56"/>
      <c r="AD322" s="56"/>
    </row>
    <row r="323" spans="1:30">
      <c r="B323" s="556"/>
      <c r="C323" s="618"/>
      <c r="D323" s="618"/>
      <c r="E323" s="618"/>
      <c r="F323" s="618"/>
      <c r="G323" s="618"/>
      <c r="H323" s="618"/>
      <c r="I323" s="618"/>
      <c r="J323" s="618"/>
      <c r="K323" s="618"/>
      <c r="L323" s="619"/>
      <c r="M323" s="363"/>
      <c r="N323" s="363"/>
      <c r="O323" s="620"/>
      <c r="P323" s="466"/>
      <c r="Q323" s="58"/>
      <c r="R323" s="466"/>
      <c r="S323" s="58"/>
      <c r="T323" s="466"/>
      <c r="U323" s="467"/>
      <c r="V323" s="467"/>
      <c r="W323" s="467"/>
      <c r="X323" s="58"/>
      <c r="Y323" s="58"/>
      <c r="Z323" s="466"/>
      <c r="AA323" s="468"/>
      <c r="AB323" s="468"/>
      <c r="AC323" s="468"/>
      <c r="AD323" s="468"/>
    </row>
    <row r="324" spans="1:30">
      <c r="B324" s="541"/>
      <c r="C324" s="558"/>
      <c r="D324" s="558"/>
      <c r="E324" s="558"/>
      <c r="F324" s="558"/>
      <c r="G324" s="563"/>
      <c r="H324" s="563"/>
      <c r="I324" s="563"/>
      <c r="J324" s="563"/>
      <c r="K324" s="563"/>
      <c r="L324" s="548"/>
      <c r="M324" s="363"/>
      <c r="N324" s="363"/>
      <c r="O324" s="620"/>
      <c r="P324" s="466"/>
      <c r="Q324" s="58"/>
      <c r="R324" s="466"/>
      <c r="S324" s="58"/>
      <c r="T324" s="466"/>
      <c r="U324" s="467"/>
      <c r="V324" s="467"/>
      <c r="W324" s="467"/>
      <c r="X324" s="58"/>
      <c r="Y324" s="58"/>
      <c r="Z324" s="466"/>
      <c r="AA324" s="468"/>
      <c r="AB324" s="468"/>
      <c r="AC324" s="468"/>
      <c r="AD324" s="468"/>
    </row>
    <row r="325" spans="1:30">
      <c r="B325" s="541"/>
      <c r="C325" s="558"/>
      <c r="D325" s="558"/>
      <c r="E325" s="558"/>
      <c r="F325" s="558"/>
      <c r="G325" s="563"/>
      <c r="H325" s="563"/>
      <c r="I325" s="563"/>
      <c r="J325" s="563"/>
      <c r="K325" s="563"/>
      <c r="L325" s="548"/>
      <c r="M325" s="363"/>
      <c r="N325" s="363"/>
      <c r="O325" s="620"/>
      <c r="P325" s="466"/>
      <c r="Q325" s="58"/>
      <c r="R325" s="466"/>
      <c r="S325" s="58"/>
      <c r="T325" s="466"/>
      <c r="U325" s="467"/>
      <c r="V325" s="467"/>
      <c r="W325" s="467"/>
      <c r="X325" s="58"/>
      <c r="Y325" s="58"/>
      <c r="Z325" s="466"/>
      <c r="AA325" s="468"/>
      <c r="AB325" s="468"/>
      <c r="AC325" s="468"/>
      <c r="AD325" s="468"/>
    </row>
    <row r="326" spans="1:30">
      <c r="B326" s="541"/>
      <c r="C326" s="564"/>
      <c r="D326" s="564"/>
      <c r="E326" s="564"/>
      <c r="F326" s="564"/>
      <c r="G326" s="621"/>
      <c r="H326" s="621"/>
      <c r="I326" s="621"/>
      <c r="J326" s="621"/>
      <c r="K326" s="621"/>
      <c r="L326" s="548"/>
      <c r="M326" s="363"/>
      <c r="N326" s="363"/>
      <c r="O326" s="620"/>
      <c r="P326" s="466"/>
      <c r="Q326" s="58"/>
      <c r="R326" s="466"/>
      <c r="S326" s="58"/>
      <c r="T326" s="466"/>
      <c r="U326" s="467"/>
      <c r="V326" s="467"/>
      <c r="W326" s="467"/>
      <c r="X326" s="58"/>
      <c r="Y326" s="58"/>
      <c r="Z326" s="466"/>
      <c r="AA326" s="468"/>
      <c r="AB326" s="468"/>
      <c r="AC326" s="468"/>
      <c r="AD326" s="468"/>
    </row>
    <row r="327" spans="1:30">
      <c r="B327" s="566"/>
      <c r="C327" s="558"/>
      <c r="D327" s="558"/>
      <c r="E327" s="558"/>
      <c r="F327" s="558"/>
      <c r="G327" s="563"/>
      <c r="H327" s="563"/>
      <c r="I327" s="563"/>
      <c r="J327" s="563"/>
      <c r="K327" s="563"/>
      <c r="L327" s="548"/>
      <c r="M327" s="367"/>
      <c r="N327" s="367"/>
    </row>
    <row r="328" spans="1:30">
      <c r="B328" s="566"/>
      <c r="C328" s="558"/>
      <c r="D328" s="558"/>
      <c r="E328" s="558"/>
      <c r="F328" s="558"/>
      <c r="G328" s="563"/>
      <c r="H328" s="563"/>
      <c r="I328" s="563"/>
      <c r="J328" s="563"/>
      <c r="K328" s="563"/>
      <c r="L328" s="548"/>
      <c r="M328" s="363"/>
      <c r="N328" s="363"/>
    </row>
    <row r="329" spans="1:30" ht="15" thickBot="1">
      <c r="B329" s="567"/>
      <c r="C329" s="622"/>
      <c r="D329" s="622"/>
      <c r="E329" s="622"/>
      <c r="F329" s="622"/>
      <c r="G329" s="623"/>
      <c r="H329" s="623"/>
      <c r="I329" s="623"/>
      <c r="J329" s="623"/>
      <c r="K329" s="623"/>
      <c r="L329" s="624"/>
      <c r="M329" s="363"/>
      <c r="N329" s="363"/>
    </row>
    <row r="330" spans="1:30">
      <c r="B330" s="461"/>
      <c r="C330" s="483"/>
      <c r="D330" s="483"/>
      <c r="E330" s="483"/>
      <c r="F330" s="483"/>
      <c r="G330" s="483"/>
      <c r="H330" s="484"/>
      <c r="I330" s="420"/>
      <c r="J330" s="420"/>
      <c r="K330" s="484"/>
      <c r="L330" s="484"/>
      <c r="N330" s="420"/>
    </row>
    <row r="331" spans="1:30">
      <c r="B331" s="485"/>
      <c r="C331" s="486"/>
      <c r="D331" s="486"/>
      <c r="E331" s="486"/>
      <c r="F331" s="486"/>
      <c r="G331" s="486"/>
      <c r="H331" s="484"/>
      <c r="I331" s="71"/>
      <c r="J331" s="420"/>
      <c r="K331" s="484"/>
      <c r="L331" s="484"/>
      <c r="N331" s="420"/>
    </row>
    <row r="332" spans="1:30">
      <c r="B332" s="461"/>
      <c r="C332" s="359"/>
      <c r="D332" s="359"/>
      <c r="E332" s="359"/>
      <c r="F332" s="359"/>
      <c r="G332" s="359"/>
      <c r="I332" s="420"/>
      <c r="J332" s="420"/>
      <c r="N332" s="420"/>
    </row>
    <row r="333" spans="1:30">
      <c r="B333" s="461"/>
      <c r="C333" s="487"/>
      <c r="D333" s="487"/>
      <c r="E333" s="487"/>
      <c r="F333" s="487"/>
      <c r="G333" s="359"/>
      <c r="M333" s="420"/>
      <c r="N333" s="420"/>
    </row>
    <row r="336" spans="1:30">
      <c r="A336" s="488"/>
      <c r="B336" s="489"/>
      <c r="D336" s="358"/>
      <c r="E336" s="358"/>
      <c r="F336" s="358"/>
      <c r="G336" s="358"/>
      <c r="H336" s="358"/>
      <c r="I336" s="358"/>
      <c r="J336" s="358"/>
      <c r="K336" s="358"/>
    </row>
    <row r="337" spans="1:11">
      <c r="A337" s="358"/>
      <c r="B337" s="490"/>
      <c r="E337" s="358"/>
      <c r="F337" s="358"/>
      <c r="G337" s="358"/>
      <c r="H337" s="358"/>
      <c r="I337" s="358"/>
      <c r="J337" s="358"/>
      <c r="K337" s="358"/>
    </row>
    <row r="338" spans="1:11">
      <c r="A338" s="358"/>
      <c r="B338" s="490"/>
      <c r="E338" s="358"/>
      <c r="F338" s="358"/>
      <c r="G338" s="358"/>
      <c r="H338" s="358"/>
      <c r="I338" s="358"/>
      <c r="J338" s="358"/>
      <c r="K338" s="358"/>
    </row>
    <row r="339" spans="1:11">
      <c r="A339" s="358"/>
      <c r="B339" s="490"/>
      <c r="E339" s="358"/>
      <c r="F339" s="358"/>
      <c r="G339" s="358"/>
      <c r="H339" s="358"/>
      <c r="I339" s="358"/>
      <c r="J339" s="358"/>
      <c r="K339" s="358"/>
    </row>
    <row r="340" spans="1:11">
      <c r="A340" s="358"/>
      <c r="B340" s="490"/>
      <c r="E340" s="358"/>
      <c r="F340" s="358"/>
      <c r="G340" s="358"/>
      <c r="H340" s="358"/>
      <c r="I340" s="358"/>
      <c r="J340" s="358"/>
      <c r="K340" s="358"/>
    </row>
    <row r="341" spans="1:11">
      <c r="A341" s="358"/>
      <c r="B341" s="490"/>
      <c r="E341" s="358"/>
      <c r="F341" s="358"/>
      <c r="G341" s="358"/>
      <c r="H341" s="358"/>
      <c r="I341" s="358"/>
      <c r="J341" s="358"/>
      <c r="K341" s="358"/>
    </row>
    <row r="342" spans="1:11">
      <c r="A342" s="358"/>
      <c r="B342" s="490"/>
      <c r="E342" s="358"/>
      <c r="F342" s="358"/>
      <c r="G342" s="358"/>
      <c r="H342" s="358"/>
      <c r="I342" s="358"/>
      <c r="J342" s="358"/>
      <c r="K342" s="358"/>
    </row>
    <row r="343" spans="1:11">
      <c r="A343" s="358"/>
      <c r="B343" s="490"/>
      <c r="E343" s="358"/>
      <c r="F343" s="358"/>
      <c r="G343" s="358"/>
      <c r="H343" s="358"/>
      <c r="I343" s="358"/>
      <c r="J343" s="358"/>
      <c r="K343" s="358"/>
    </row>
    <row r="344" spans="1:11">
      <c r="A344" s="358"/>
      <c r="B344" s="625"/>
      <c r="E344" s="358"/>
      <c r="F344" s="358"/>
      <c r="G344" s="358"/>
      <c r="H344" s="358"/>
      <c r="I344" s="358"/>
      <c r="J344" s="358"/>
      <c r="K344" s="358"/>
    </row>
    <row r="345" spans="1:11">
      <c r="A345" s="358"/>
      <c r="B345" s="490"/>
      <c r="E345" s="358"/>
      <c r="F345" s="358"/>
      <c r="G345" s="358"/>
      <c r="H345" s="358"/>
      <c r="I345" s="358"/>
      <c r="J345" s="358"/>
      <c r="K345" s="358"/>
    </row>
    <row r="346" spans="1:11">
      <c r="A346" s="488"/>
      <c r="B346" s="489"/>
      <c r="E346" s="358"/>
      <c r="F346" s="358"/>
      <c r="G346" s="358"/>
      <c r="H346" s="358"/>
      <c r="I346" s="358"/>
      <c r="J346" s="358"/>
      <c r="K346" s="358"/>
    </row>
    <row r="347" spans="1:11">
      <c r="A347" s="496"/>
      <c r="B347" s="490"/>
      <c r="C347" s="489"/>
      <c r="E347" s="358"/>
      <c r="F347" s="358"/>
      <c r="G347" s="358"/>
      <c r="H347" s="358"/>
      <c r="I347" s="358"/>
      <c r="J347" s="358"/>
      <c r="K347" s="358"/>
    </row>
    <row r="348" spans="1:11">
      <c r="A348" s="496"/>
      <c r="B348" s="490"/>
      <c r="C348" s="489"/>
      <c r="E348" s="358"/>
      <c r="F348" s="358"/>
      <c r="G348" s="358"/>
      <c r="H348" s="358"/>
      <c r="I348" s="358"/>
      <c r="J348" s="358"/>
      <c r="K348" s="358"/>
    </row>
    <row r="349" spans="1:11">
      <c r="A349" s="496"/>
      <c r="B349" s="490"/>
      <c r="C349" s="489"/>
      <c r="E349" s="358"/>
      <c r="F349" s="358"/>
      <c r="G349" s="358"/>
      <c r="H349" s="358"/>
      <c r="I349" s="358"/>
      <c r="J349" s="358"/>
      <c r="K349" s="358"/>
    </row>
    <row r="350" spans="1:11">
      <c r="A350" s="496"/>
      <c r="B350" s="490"/>
      <c r="C350" s="489"/>
      <c r="E350" s="358"/>
      <c r="F350" s="358"/>
      <c r="G350" s="358"/>
      <c r="H350" s="358"/>
      <c r="I350" s="358"/>
      <c r="J350" s="358"/>
      <c r="K350" s="358"/>
    </row>
    <row r="351" spans="1:11" ht="15.75" customHeight="1">
      <c r="A351" s="496"/>
      <c r="B351" s="490"/>
      <c r="C351" s="489"/>
      <c r="E351" s="358"/>
      <c r="F351" s="358"/>
      <c r="G351" s="358"/>
      <c r="H351" s="358"/>
      <c r="I351" s="358"/>
      <c r="J351" s="358"/>
      <c r="K351" s="358"/>
    </row>
    <row r="352" spans="1:11" ht="15.75" customHeight="1">
      <c r="A352" s="496"/>
      <c r="B352" s="490"/>
      <c r="C352" s="489"/>
      <c r="E352" s="358"/>
      <c r="F352" s="358"/>
      <c r="G352" s="358"/>
      <c r="H352" s="358"/>
      <c r="I352" s="358"/>
      <c r="J352" s="358"/>
      <c r="K352" s="358"/>
    </row>
  </sheetData>
  <mergeCells count="395">
    <mergeCell ref="P317:U317"/>
    <mergeCell ref="P318:U318"/>
    <mergeCell ref="AM298:AM302"/>
    <mergeCell ref="AN298:AN302"/>
    <mergeCell ref="AO298:AO302"/>
    <mergeCell ref="AP298:AP302"/>
    <mergeCell ref="AQ298:AQ302"/>
    <mergeCell ref="AR298:AR302"/>
    <mergeCell ref="AC298:AC302"/>
    <mergeCell ref="AF298:AF302"/>
    <mergeCell ref="AI298:AI302"/>
    <mergeCell ref="AJ298:AJ302"/>
    <mergeCell ref="AK298:AK302"/>
    <mergeCell ref="AL298:AL302"/>
    <mergeCell ref="W298:W302"/>
    <mergeCell ref="X298:X302"/>
    <mergeCell ref="Y298:Y302"/>
    <mergeCell ref="Z298:Z302"/>
    <mergeCell ref="AA298:AA302"/>
    <mergeCell ref="AB298:AB302"/>
    <mergeCell ref="AM295:AM297"/>
    <mergeCell ref="AN295:AN297"/>
    <mergeCell ref="AO295:AO297"/>
    <mergeCell ref="AP295:AP297"/>
    <mergeCell ref="AQ295:AQ297"/>
    <mergeCell ref="AR295:AR297"/>
    <mergeCell ref="AE295:AE303"/>
    <mergeCell ref="AF295:AF297"/>
    <mergeCell ref="AI295:AI297"/>
    <mergeCell ref="AJ295:AJ297"/>
    <mergeCell ref="AK295:AK297"/>
    <mergeCell ref="AL295:AL297"/>
    <mergeCell ref="X295:X297"/>
    <mergeCell ref="Y295:Y297"/>
    <mergeCell ref="Z295:Z297"/>
    <mergeCell ref="AA295:AA297"/>
    <mergeCell ref="AB295:AB297"/>
    <mergeCell ref="AC295:AC297"/>
    <mergeCell ref="P295:P303"/>
    <mergeCell ref="Q295:Q297"/>
    <mergeCell ref="T295:T297"/>
    <mergeCell ref="U295:U297"/>
    <mergeCell ref="V295:V297"/>
    <mergeCell ref="W295:W297"/>
    <mergeCell ref="Q298:Q302"/>
    <mergeCell ref="T298:T302"/>
    <mergeCell ref="U298:U302"/>
    <mergeCell ref="V298:V302"/>
    <mergeCell ref="AQ291:AR293"/>
    <mergeCell ref="B292:B293"/>
    <mergeCell ref="C292:C293"/>
    <mergeCell ref="D292:D293"/>
    <mergeCell ref="E292:E293"/>
    <mergeCell ref="F292:F293"/>
    <mergeCell ref="G292:H292"/>
    <mergeCell ref="I292:J292"/>
    <mergeCell ref="K292:K293"/>
    <mergeCell ref="Z291:AA293"/>
    <mergeCell ref="AB291:AC293"/>
    <mergeCell ref="AH291:AH294"/>
    <mergeCell ref="AI291:AJ293"/>
    <mergeCell ref="AK291:AL293"/>
    <mergeCell ref="AM291:AN293"/>
    <mergeCell ref="AE292:AE294"/>
    <mergeCell ref="AF293:AF294"/>
    <mergeCell ref="AG293:AG294"/>
    <mergeCell ref="AN229:AN231"/>
    <mergeCell ref="AO229:AO231"/>
    <mergeCell ref="AP229:AP231"/>
    <mergeCell ref="P252:U252"/>
    <mergeCell ref="C291:L291"/>
    <mergeCell ref="S291:S294"/>
    <mergeCell ref="T291:U293"/>
    <mergeCell ref="V291:W293"/>
    <mergeCell ref="X291:Y293"/>
    <mergeCell ref="L292:L293"/>
    <mergeCell ref="P292:P294"/>
    <mergeCell ref="Q293:Q294"/>
    <mergeCell ref="R293:R294"/>
    <mergeCell ref="AO291:AP293"/>
    <mergeCell ref="P251:U251"/>
    <mergeCell ref="AF232:AF236"/>
    <mergeCell ref="AI232:AI236"/>
    <mergeCell ref="AJ232:AJ236"/>
    <mergeCell ref="AK232:AK236"/>
    <mergeCell ref="AL232:AL236"/>
    <mergeCell ref="AM232:AM236"/>
    <mergeCell ref="X232:X236"/>
    <mergeCell ref="Y232:Y236"/>
    <mergeCell ref="Z232:Z236"/>
    <mergeCell ref="AA232:AA236"/>
    <mergeCell ref="AB232:AB236"/>
    <mergeCell ref="AC232:AC236"/>
    <mergeCell ref="P229:P237"/>
    <mergeCell ref="Q229:Q231"/>
    <mergeCell ref="T229:T231"/>
    <mergeCell ref="U229:U231"/>
    <mergeCell ref="V229:V231"/>
    <mergeCell ref="W229:W231"/>
    <mergeCell ref="X229:X231"/>
    <mergeCell ref="AQ229:AQ231"/>
    <mergeCell ref="AR229:AR231"/>
    <mergeCell ref="Q232:Q236"/>
    <mergeCell ref="T232:T236"/>
    <mergeCell ref="U232:U236"/>
    <mergeCell ref="V232:V236"/>
    <mergeCell ref="W232:W236"/>
    <mergeCell ref="AF229:AF231"/>
    <mergeCell ref="AI229:AI231"/>
    <mergeCell ref="AJ229:AJ231"/>
    <mergeCell ref="AK229:AK231"/>
    <mergeCell ref="AL229:AL231"/>
    <mergeCell ref="AM229:AM231"/>
    <mergeCell ref="Y229:Y231"/>
    <mergeCell ref="Z229:Z231"/>
    <mergeCell ref="AA229:AA231"/>
    <mergeCell ref="AB229:AB231"/>
    <mergeCell ref="AC229:AC231"/>
    <mergeCell ref="AE229:AE237"/>
    <mergeCell ref="AN232:AN236"/>
    <mergeCell ref="AO232:AO236"/>
    <mergeCell ref="AP232:AP236"/>
    <mergeCell ref="AQ232:AQ236"/>
    <mergeCell ref="AR232:AR236"/>
    <mergeCell ref="AM225:AN227"/>
    <mergeCell ref="AO225:AP227"/>
    <mergeCell ref="AQ225:AR227"/>
    <mergeCell ref="B226:B227"/>
    <mergeCell ref="C226:C227"/>
    <mergeCell ref="D226:D227"/>
    <mergeCell ref="E226:E227"/>
    <mergeCell ref="F226:F227"/>
    <mergeCell ref="G226:H226"/>
    <mergeCell ref="I226:J226"/>
    <mergeCell ref="X225:Y227"/>
    <mergeCell ref="Z225:AA227"/>
    <mergeCell ref="AB225:AC227"/>
    <mergeCell ref="AH225:AH228"/>
    <mergeCell ref="AI225:AJ227"/>
    <mergeCell ref="AK225:AL227"/>
    <mergeCell ref="AE226:AE228"/>
    <mergeCell ref="R227:R228"/>
    <mergeCell ref="AF227:AF228"/>
    <mergeCell ref="AG227:AG228"/>
    <mergeCell ref="P184:U184"/>
    <mergeCell ref="P185:U185"/>
    <mergeCell ref="C225:L225"/>
    <mergeCell ref="S225:S228"/>
    <mergeCell ref="T225:U227"/>
    <mergeCell ref="V225:W227"/>
    <mergeCell ref="K226:K227"/>
    <mergeCell ref="L226:L227"/>
    <mergeCell ref="P226:P228"/>
    <mergeCell ref="Q227:Q228"/>
    <mergeCell ref="X165:X169"/>
    <mergeCell ref="Y165:Y169"/>
    <mergeCell ref="Z165:Z169"/>
    <mergeCell ref="AA165:AA169"/>
    <mergeCell ref="AB165:AB169"/>
    <mergeCell ref="AM162:AM164"/>
    <mergeCell ref="AN162:AN164"/>
    <mergeCell ref="AO162:AO164"/>
    <mergeCell ref="X162:X164"/>
    <mergeCell ref="Y162:Y164"/>
    <mergeCell ref="Z162:Z164"/>
    <mergeCell ref="AA162:AA164"/>
    <mergeCell ref="AB162:AB164"/>
    <mergeCell ref="AC162:AC164"/>
    <mergeCell ref="AM165:AM169"/>
    <mergeCell ref="AN165:AN169"/>
    <mergeCell ref="AO165:AO169"/>
    <mergeCell ref="AC165:AC169"/>
    <mergeCell ref="AF165:AF169"/>
    <mergeCell ref="AI165:AI169"/>
    <mergeCell ref="AJ165:AJ169"/>
    <mergeCell ref="AK165:AK169"/>
    <mergeCell ref="AL165:AL169"/>
    <mergeCell ref="AP162:AP164"/>
    <mergeCell ref="AQ162:AQ164"/>
    <mergeCell ref="AR162:AR164"/>
    <mergeCell ref="AE162:AE170"/>
    <mergeCell ref="AF162:AF164"/>
    <mergeCell ref="AI162:AI164"/>
    <mergeCell ref="AJ162:AJ164"/>
    <mergeCell ref="AK162:AK164"/>
    <mergeCell ref="AL162:AL164"/>
    <mergeCell ref="AP165:AP169"/>
    <mergeCell ref="AQ165:AQ169"/>
    <mergeCell ref="AR165:AR169"/>
    <mergeCell ref="P162:P170"/>
    <mergeCell ref="Q162:Q164"/>
    <mergeCell ref="T162:T164"/>
    <mergeCell ref="U162:U164"/>
    <mergeCell ref="V162:V164"/>
    <mergeCell ref="W162:W164"/>
    <mergeCell ref="Q165:Q169"/>
    <mergeCell ref="T165:T169"/>
    <mergeCell ref="U165:U169"/>
    <mergeCell ref="V165:V169"/>
    <mergeCell ref="W165:W169"/>
    <mergeCell ref="AQ158:AR160"/>
    <mergeCell ref="B159:B160"/>
    <mergeCell ref="C159:C160"/>
    <mergeCell ref="D159:D160"/>
    <mergeCell ref="E159:E160"/>
    <mergeCell ref="F159:F160"/>
    <mergeCell ref="G159:H159"/>
    <mergeCell ref="I159:J159"/>
    <mergeCell ref="K159:K160"/>
    <mergeCell ref="L159:L160"/>
    <mergeCell ref="AB158:AC160"/>
    <mergeCell ref="AH158:AH161"/>
    <mergeCell ref="AI158:AJ160"/>
    <mergeCell ref="AK158:AL160"/>
    <mergeCell ref="AM158:AN160"/>
    <mergeCell ref="AO158:AP160"/>
    <mergeCell ref="AE159:AE161"/>
    <mergeCell ref="AF160:AF161"/>
    <mergeCell ref="AG160:AG161"/>
    <mergeCell ref="C158:L158"/>
    <mergeCell ref="S158:S161"/>
    <mergeCell ref="T158:U160"/>
    <mergeCell ref="V158:W160"/>
    <mergeCell ref="X158:Y160"/>
    <mergeCell ref="Z158:AA160"/>
    <mergeCell ref="P159:P161"/>
    <mergeCell ref="Q160:Q161"/>
    <mergeCell ref="R160:R161"/>
    <mergeCell ref="P112:U112"/>
    <mergeCell ref="P113:U113"/>
    <mergeCell ref="B156:B157"/>
    <mergeCell ref="C156:M156"/>
    <mergeCell ref="P156:U156"/>
    <mergeCell ref="C157:M157"/>
    <mergeCell ref="P157:U157"/>
    <mergeCell ref="X93:X97"/>
    <mergeCell ref="Y93:Y97"/>
    <mergeCell ref="Z93:Z97"/>
    <mergeCell ref="AA93:AA97"/>
    <mergeCell ref="AB93:AB97"/>
    <mergeCell ref="AM90:AM92"/>
    <mergeCell ref="AN90:AN92"/>
    <mergeCell ref="AO90:AO92"/>
    <mergeCell ref="X90:X92"/>
    <mergeCell ref="Y90:Y92"/>
    <mergeCell ref="Z90:Z92"/>
    <mergeCell ref="AA90:AA92"/>
    <mergeCell ref="AB90:AB92"/>
    <mergeCell ref="AC90:AC92"/>
    <mergeCell ref="AM93:AM97"/>
    <mergeCell ref="AN93:AN97"/>
    <mergeCell ref="AO93:AO97"/>
    <mergeCell ref="AC93:AC97"/>
    <mergeCell ref="AF93:AF97"/>
    <mergeCell ref="AI93:AI97"/>
    <mergeCell ref="AJ93:AJ97"/>
    <mergeCell ref="AK93:AK97"/>
    <mergeCell ref="AL93:AL97"/>
    <mergeCell ref="AP90:AP92"/>
    <mergeCell ref="AQ90:AQ92"/>
    <mergeCell ref="AR90:AR92"/>
    <mergeCell ref="AE90:AE98"/>
    <mergeCell ref="AF90:AF92"/>
    <mergeCell ref="AI90:AI92"/>
    <mergeCell ref="AJ90:AJ92"/>
    <mergeCell ref="AK90:AK92"/>
    <mergeCell ref="AL90:AL92"/>
    <mergeCell ref="AP93:AP97"/>
    <mergeCell ref="AQ93:AQ97"/>
    <mergeCell ref="AR93:AR97"/>
    <mergeCell ref="P90:P98"/>
    <mergeCell ref="Q90:Q92"/>
    <mergeCell ref="T90:T92"/>
    <mergeCell ref="U90:U92"/>
    <mergeCell ref="V90:V92"/>
    <mergeCell ref="W90:W92"/>
    <mergeCell ref="Q93:Q97"/>
    <mergeCell ref="T93:T97"/>
    <mergeCell ref="U93:U97"/>
    <mergeCell ref="V93:V97"/>
    <mergeCell ref="W93:W97"/>
    <mergeCell ref="AQ86:AR88"/>
    <mergeCell ref="B87:B88"/>
    <mergeCell ref="C87:C88"/>
    <mergeCell ref="D87:D88"/>
    <mergeCell ref="E87:E88"/>
    <mergeCell ref="F87:F88"/>
    <mergeCell ref="G87:H87"/>
    <mergeCell ref="I87:J87"/>
    <mergeCell ref="K87:K88"/>
    <mergeCell ref="L87:L88"/>
    <mergeCell ref="AB86:AC88"/>
    <mergeCell ref="AH86:AH89"/>
    <mergeCell ref="AI86:AJ88"/>
    <mergeCell ref="AK86:AL88"/>
    <mergeCell ref="AM86:AN88"/>
    <mergeCell ref="AO86:AP88"/>
    <mergeCell ref="AE87:AE89"/>
    <mergeCell ref="AF88:AF89"/>
    <mergeCell ref="AG88:AG89"/>
    <mergeCell ref="C86:L86"/>
    <mergeCell ref="S86:S89"/>
    <mergeCell ref="T86:U88"/>
    <mergeCell ref="V86:W88"/>
    <mergeCell ref="X86:Y88"/>
    <mergeCell ref="Z86:AA88"/>
    <mergeCell ref="P87:P89"/>
    <mergeCell ref="Q88:Q89"/>
    <mergeCell ref="R88:R89"/>
    <mergeCell ref="C23:F27"/>
    <mergeCell ref="P33:U33"/>
    <mergeCell ref="P34:U34"/>
    <mergeCell ref="C42:F42"/>
    <mergeCell ref="B84:B85"/>
    <mergeCell ref="C84:M84"/>
    <mergeCell ref="P84:U84"/>
    <mergeCell ref="C85:M85"/>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F41F8-B94B-452E-99FA-E2C51E106595}">
  <sheetPr>
    <tabColor theme="3"/>
  </sheetPr>
  <dimension ref="A2:AR345"/>
  <sheetViews>
    <sheetView topLeftCell="B1" zoomScale="55" zoomScaleNormal="55" workbookViewId="0">
      <selection activeCell="V38" sqref="V38"/>
    </sheetView>
  </sheetViews>
  <sheetFormatPr defaultColWidth="8.77734375" defaultRowHeight="14.4" outlineLevelRow="1"/>
  <cols>
    <col min="1" max="1" width="20.5546875" style="224" customWidth="1"/>
    <col min="2" max="2" width="63.44140625" style="224" bestFit="1" customWidth="1"/>
    <col min="3" max="6" width="11" style="224" bestFit="1" customWidth="1"/>
    <col min="7" max="12" width="11" style="224" customWidth="1"/>
    <col min="13" max="13" width="8.77734375" style="224"/>
    <col min="14" max="14" width="4.44140625" style="224" customWidth="1"/>
    <col min="15" max="15" width="15.77734375" style="224" customWidth="1"/>
    <col min="16" max="16384" width="8.77734375" style="224"/>
  </cols>
  <sheetData>
    <row r="2" spans="1:44">
      <c r="B2" s="8" t="s">
        <v>826</v>
      </c>
    </row>
    <row r="4" spans="1:44" ht="25.05" customHeight="1">
      <c r="E4" s="224" t="s">
        <v>358</v>
      </c>
      <c r="F4" s="359">
        <v>7.45</v>
      </c>
      <c r="G4" s="359" t="s">
        <v>328</v>
      </c>
    </row>
    <row r="5" spans="1:44" ht="15" customHeight="1">
      <c r="A5" s="360" t="s">
        <v>827</v>
      </c>
      <c r="B5" s="1207"/>
      <c r="C5" s="1143"/>
      <c r="D5" s="1143"/>
      <c r="E5" s="1143"/>
      <c r="F5" s="1143"/>
      <c r="G5" s="1143"/>
      <c r="H5" s="1143"/>
      <c r="I5" s="1143"/>
      <c r="J5" s="1143"/>
      <c r="K5" s="1143"/>
      <c r="L5" s="1143"/>
      <c r="M5" s="1143"/>
      <c r="N5" s="361"/>
      <c r="P5" s="1143"/>
      <c r="Q5" s="1143"/>
      <c r="R5" s="1143"/>
      <c r="S5" s="1143"/>
      <c r="T5" s="1143"/>
      <c r="U5" s="1143"/>
    </row>
    <row r="6" spans="1:44" ht="15.75" customHeight="1" outlineLevel="1" thickBot="1">
      <c r="B6" s="1207"/>
      <c r="C6" s="1143"/>
      <c r="D6" s="1143"/>
      <c r="E6" s="1143"/>
      <c r="F6" s="1143"/>
      <c r="G6" s="1143"/>
      <c r="H6" s="1143"/>
      <c r="I6" s="1143"/>
      <c r="J6" s="1143"/>
      <c r="K6" s="1143"/>
      <c r="L6" s="1143"/>
      <c r="M6" s="1143"/>
      <c r="N6" s="361"/>
      <c r="P6" s="692">
        <v>1</v>
      </c>
      <c r="Q6" s="692">
        <v>2</v>
      </c>
      <c r="R6" s="692">
        <v>3</v>
      </c>
      <c r="S6" s="692">
        <v>4</v>
      </c>
      <c r="T6" s="692">
        <v>5</v>
      </c>
      <c r="U6" s="692">
        <v>6</v>
      </c>
      <c r="V6" s="692">
        <v>7</v>
      </c>
      <c r="W6" s="692">
        <v>8</v>
      </c>
      <c r="X6" s="692">
        <v>9</v>
      </c>
      <c r="Y6" s="692">
        <v>10</v>
      </c>
      <c r="Z6" s="692">
        <v>11</v>
      </c>
      <c r="AA6" s="692">
        <v>12</v>
      </c>
      <c r="AB6" s="692">
        <v>13</v>
      </c>
      <c r="AC6" s="692">
        <v>14</v>
      </c>
    </row>
    <row r="7" spans="1:44" ht="20.25" customHeight="1" outlineLevel="1" thickBot="1">
      <c r="B7" s="362" t="s">
        <v>0</v>
      </c>
      <c r="C7" s="1186" t="s">
        <v>828</v>
      </c>
      <c r="D7" s="1187"/>
      <c r="E7" s="1187"/>
      <c r="F7" s="1187"/>
      <c r="G7" s="1187"/>
      <c r="H7" s="1187"/>
      <c r="I7" s="1187"/>
      <c r="J7" s="1187"/>
      <c r="K7" s="1187"/>
      <c r="L7" s="1188"/>
      <c r="M7" s="363"/>
      <c r="N7" s="363"/>
      <c r="P7" s="364" t="s">
        <v>713</v>
      </c>
      <c r="Q7" s="365"/>
      <c r="R7" s="366"/>
      <c r="S7" s="1176" t="s">
        <v>714</v>
      </c>
      <c r="T7" s="1160" t="s">
        <v>715</v>
      </c>
      <c r="U7" s="1161"/>
      <c r="V7" s="1160" t="s">
        <v>716</v>
      </c>
      <c r="W7" s="1161"/>
      <c r="X7" s="1160" t="s">
        <v>717</v>
      </c>
      <c r="Y7" s="1161"/>
      <c r="Z7" s="1160" t="s">
        <v>718</v>
      </c>
      <c r="AA7" s="1161"/>
      <c r="AB7" s="1160" t="s">
        <v>719</v>
      </c>
      <c r="AC7" s="1161"/>
      <c r="AE7" s="364" t="s">
        <v>720</v>
      </c>
      <c r="AF7" s="365"/>
      <c r="AG7" s="366"/>
      <c r="AH7" s="1176" t="s">
        <v>714</v>
      </c>
      <c r="AI7" s="1160" t="s">
        <v>715</v>
      </c>
      <c r="AJ7" s="1161"/>
      <c r="AK7" s="1160" t="s">
        <v>716</v>
      </c>
      <c r="AL7" s="1161"/>
      <c r="AM7" s="1160" t="s">
        <v>717</v>
      </c>
      <c r="AN7" s="1161"/>
      <c r="AO7" s="1160" t="s">
        <v>718</v>
      </c>
      <c r="AP7" s="1161"/>
      <c r="AQ7" s="1160" t="s">
        <v>719</v>
      </c>
      <c r="AR7" s="1161"/>
    </row>
    <row r="8" spans="1:44" ht="15" outlineLevel="1" thickBot="1">
      <c r="B8" s="1164" t="s">
        <v>4</v>
      </c>
      <c r="C8" s="1166">
        <v>2020</v>
      </c>
      <c r="D8" s="1166">
        <v>2030</v>
      </c>
      <c r="E8" s="1166">
        <v>2040</v>
      </c>
      <c r="F8" s="1166">
        <v>2050</v>
      </c>
      <c r="G8" s="1217" t="s">
        <v>721</v>
      </c>
      <c r="H8" s="1218"/>
      <c r="I8" s="1217" t="s">
        <v>648</v>
      </c>
      <c r="J8" s="1218"/>
      <c r="K8" s="1219" t="s">
        <v>2</v>
      </c>
      <c r="L8" s="1219" t="s">
        <v>3</v>
      </c>
      <c r="M8" s="367"/>
      <c r="N8" s="367"/>
      <c r="P8" s="1180" t="s">
        <v>0</v>
      </c>
      <c r="Q8" s="368"/>
      <c r="R8" s="368"/>
      <c r="S8" s="1177"/>
      <c r="T8" s="1162"/>
      <c r="U8" s="1163"/>
      <c r="V8" s="1162"/>
      <c r="W8" s="1163"/>
      <c r="X8" s="1162"/>
      <c r="Y8" s="1163"/>
      <c r="Z8" s="1162"/>
      <c r="AA8" s="1163"/>
      <c r="AB8" s="1162"/>
      <c r="AC8" s="1163"/>
      <c r="AE8" s="1180" t="s">
        <v>0</v>
      </c>
      <c r="AF8" s="368"/>
      <c r="AG8" s="368"/>
      <c r="AH8" s="1177"/>
      <c r="AI8" s="1162"/>
      <c r="AJ8" s="1163"/>
      <c r="AK8" s="1162"/>
      <c r="AL8" s="1163"/>
      <c r="AM8" s="1162"/>
      <c r="AN8" s="1163"/>
      <c r="AO8" s="1162"/>
      <c r="AP8" s="1163"/>
      <c r="AQ8" s="1162"/>
      <c r="AR8" s="1163"/>
    </row>
    <row r="9" spans="1:44" ht="15" outlineLevel="1" thickBot="1">
      <c r="B9" s="1165"/>
      <c r="C9" s="1167"/>
      <c r="D9" s="1167"/>
      <c r="E9" s="1167"/>
      <c r="F9" s="1167"/>
      <c r="G9" s="369" t="s">
        <v>649</v>
      </c>
      <c r="H9" s="369" t="s">
        <v>650</v>
      </c>
      <c r="I9" s="369" t="s">
        <v>649</v>
      </c>
      <c r="J9" s="369" t="s">
        <v>650</v>
      </c>
      <c r="K9" s="1220"/>
      <c r="L9" s="1220"/>
      <c r="M9" s="370"/>
      <c r="N9" s="370"/>
      <c r="P9" s="1181"/>
      <c r="Q9" s="1183" t="s">
        <v>722</v>
      </c>
      <c r="R9" s="1184" t="s">
        <v>723</v>
      </c>
      <c r="S9" s="1178"/>
      <c r="T9" s="1162"/>
      <c r="U9" s="1163"/>
      <c r="V9" s="1162"/>
      <c r="W9" s="1163"/>
      <c r="X9" s="1162"/>
      <c r="Y9" s="1163"/>
      <c r="Z9" s="1162"/>
      <c r="AA9" s="1163"/>
      <c r="AB9" s="1162"/>
      <c r="AC9" s="1163"/>
      <c r="AE9" s="1181"/>
      <c r="AF9" s="1197" t="s">
        <v>722</v>
      </c>
      <c r="AG9" s="1184" t="s">
        <v>723</v>
      </c>
      <c r="AH9" s="1178"/>
      <c r="AI9" s="1162"/>
      <c r="AJ9" s="1163"/>
      <c r="AK9" s="1162"/>
      <c r="AL9" s="1163"/>
      <c r="AM9" s="1162"/>
      <c r="AN9" s="1163"/>
      <c r="AO9" s="1162"/>
      <c r="AP9" s="1163"/>
      <c r="AQ9" s="1162"/>
      <c r="AR9" s="1163"/>
    </row>
    <row r="10" spans="1:44" ht="54.6" customHeight="1" outlineLevel="1" thickBot="1">
      <c r="B10" s="371" t="s">
        <v>724</v>
      </c>
      <c r="C10" s="372">
        <v>5000</v>
      </c>
      <c r="D10" s="372">
        <v>5000</v>
      </c>
      <c r="E10" s="372">
        <v>5000</v>
      </c>
      <c r="F10" s="372">
        <v>5000</v>
      </c>
      <c r="G10" s="372">
        <v>1000</v>
      </c>
      <c r="H10" s="372">
        <v>10000</v>
      </c>
      <c r="I10" s="372">
        <v>1000</v>
      </c>
      <c r="J10" s="372">
        <v>10000</v>
      </c>
      <c r="K10" s="372"/>
      <c r="L10" s="373">
        <v>4</v>
      </c>
      <c r="M10" s="370"/>
      <c r="N10" s="370"/>
      <c r="O10" s="74"/>
      <c r="P10" s="1182"/>
      <c r="Q10" s="1179"/>
      <c r="R10" s="1185"/>
      <c r="S10" s="1179"/>
      <c r="T10" s="374" t="s">
        <v>726</v>
      </c>
      <c r="U10" s="375" t="s">
        <v>727</v>
      </c>
      <c r="V10" s="374" t="s">
        <v>726</v>
      </c>
      <c r="W10" s="375" t="s">
        <v>727</v>
      </c>
      <c r="X10" s="374" t="s">
        <v>726</v>
      </c>
      <c r="Y10" s="375" t="s">
        <v>727</v>
      </c>
      <c r="Z10" s="374" t="s">
        <v>726</v>
      </c>
      <c r="AA10" s="375" t="s">
        <v>727</v>
      </c>
      <c r="AB10" s="374" t="s">
        <v>726</v>
      </c>
      <c r="AC10" s="375" t="s">
        <v>727</v>
      </c>
      <c r="AE10" s="1182"/>
      <c r="AF10" s="1198"/>
      <c r="AG10" s="1185"/>
      <c r="AH10" s="1179"/>
      <c r="AI10" s="374" t="s">
        <v>726</v>
      </c>
      <c r="AJ10" s="375" t="s">
        <v>727</v>
      </c>
      <c r="AK10" s="374" t="s">
        <v>726</v>
      </c>
      <c r="AL10" s="375" t="s">
        <v>727</v>
      </c>
      <c r="AM10" s="374" t="s">
        <v>726</v>
      </c>
      <c r="AN10" s="375" t="s">
        <v>727</v>
      </c>
      <c r="AO10" s="374" t="s">
        <v>726</v>
      </c>
      <c r="AP10" s="375" t="s">
        <v>727</v>
      </c>
      <c r="AQ10" s="374" t="s">
        <v>726</v>
      </c>
      <c r="AR10" s="375" t="s">
        <v>727</v>
      </c>
    </row>
    <row r="11" spans="1:44" ht="24.6" customHeight="1" outlineLevel="1">
      <c r="B11" s="376" t="s">
        <v>728</v>
      </c>
      <c r="C11" s="377">
        <v>100</v>
      </c>
      <c r="D11" s="377">
        <v>100</v>
      </c>
      <c r="E11" s="378">
        <v>100</v>
      </c>
      <c r="F11" s="377">
        <v>100</v>
      </c>
      <c r="G11" s="377">
        <v>100</v>
      </c>
      <c r="H11" s="377">
        <v>100</v>
      </c>
      <c r="I11" s="377">
        <v>100</v>
      </c>
      <c r="J11" s="377">
        <v>100</v>
      </c>
      <c r="K11" s="379" t="s">
        <v>6</v>
      </c>
      <c r="L11" s="380">
        <v>2</v>
      </c>
      <c r="M11" s="370"/>
      <c r="N11" s="370"/>
      <c r="P11" s="1199" t="str">
        <f>C7</f>
        <v>Direct Firing, Electricity</v>
      </c>
      <c r="Q11" s="1154" t="s">
        <v>730</v>
      </c>
      <c r="R11" s="381" t="s">
        <v>731</v>
      </c>
      <c r="S11" s="382"/>
      <c r="T11" s="1137">
        <v>1</v>
      </c>
      <c r="U11" s="1151">
        <v>0</v>
      </c>
      <c r="V11" s="1137">
        <v>1</v>
      </c>
      <c r="W11" s="1151">
        <v>0</v>
      </c>
      <c r="X11" s="1137">
        <v>0</v>
      </c>
      <c r="Y11" s="1151">
        <v>0</v>
      </c>
      <c r="Z11" s="1137">
        <v>0.2</v>
      </c>
      <c r="AA11" s="1151">
        <v>0</v>
      </c>
      <c r="AB11" s="1137">
        <v>0.05</v>
      </c>
      <c r="AC11" s="1151">
        <v>0</v>
      </c>
      <c r="AE11" s="1148" t="str">
        <f>P11</f>
        <v>Direct Firing, Electricity</v>
      </c>
      <c r="AF11" s="1154" t="s">
        <v>730</v>
      </c>
      <c r="AG11" s="381" t="s">
        <v>731</v>
      </c>
      <c r="AH11" s="382"/>
      <c r="AI11" s="1137">
        <v>0.5</v>
      </c>
      <c r="AJ11" s="1151">
        <v>0</v>
      </c>
      <c r="AK11" s="1137">
        <v>0.5</v>
      </c>
      <c r="AL11" s="1151">
        <v>0</v>
      </c>
      <c r="AM11" s="1137">
        <v>0</v>
      </c>
      <c r="AN11" s="1151">
        <v>0</v>
      </c>
      <c r="AO11" s="1137">
        <v>0.2</v>
      </c>
      <c r="AP11" s="1151">
        <v>0</v>
      </c>
      <c r="AQ11" s="1137">
        <v>0</v>
      </c>
      <c r="AR11" s="1151">
        <v>0</v>
      </c>
    </row>
    <row r="12" spans="1:44" ht="32.549999999999997" customHeight="1" outlineLevel="1">
      <c r="B12" s="383" t="s">
        <v>732</v>
      </c>
      <c r="C12" s="384">
        <v>100</v>
      </c>
      <c r="D12" s="384">
        <v>100</v>
      </c>
      <c r="E12" s="384">
        <v>100</v>
      </c>
      <c r="F12" s="384">
        <v>100</v>
      </c>
      <c r="G12" s="385">
        <v>100</v>
      </c>
      <c r="H12" s="385">
        <v>100</v>
      </c>
      <c r="I12" s="385">
        <v>100</v>
      </c>
      <c r="J12" s="385">
        <v>100</v>
      </c>
      <c r="K12" s="386" t="s">
        <v>6</v>
      </c>
      <c r="L12" s="387">
        <v>2</v>
      </c>
      <c r="M12" s="370"/>
      <c r="N12" s="370"/>
      <c r="O12" s="71"/>
      <c r="P12" s="1195"/>
      <c r="Q12" s="1155"/>
      <c r="R12" s="388" t="s">
        <v>733</v>
      </c>
      <c r="S12" s="389"/>
      <c r="T12" s="1140"/>
      <c r="U12" s="1152"/>
      <c r="V12" s="1140"/>
      <c r="W12" s="1152"/>
      <c r="X12" s="1140"/>
      <c r="Y12" s="1152"/>
      <c r="Z12" s="1140"/>
      <c r="AA12" s="1152"/>
      <c r="AB12" s="1140"/>
      <c r="AC12" s="1152"/>
      <c r="AE12" s="1195"/>
      <c r="AF12" s="1155"/>
      <c r="AG12" s="388" t="s">
        <v>733</v>
      </c>
      <c r="AH12" s="389"/>
      <c r="AI12" s="1140"/>
      <c r="AJ12" s="1152"/>
      <c r="AK12" s="1140"/>
      <c r="AL12" s="1152"/>
      <c r="AM12" s="1140"/>
      <c r="AN12" s="1152"/>
      <c r="AO12" s="1140"/>
      <c r="AP12" s="1152"/>
      <c r="AQ12" s="1140"/>
      <c r="AR12" s="1152"/>
    </row>
    <row r="13" spans="1:44" ht="15" outlineLevel="1" thickBot="1">
      <c r="B13" s="376" t="s">
        <v>734</v>
      </c>
      <c r="C13" s="390">
        <v>0.25</v>
      </c>
      <c r="D13" s="391">
        <v>0.25</v>
      </c>
      <c r="E13" s="391">
        <v>0.25</v>
      </c>
      <c r="F13" s="392">
        <v>0.25</v>
      </c>
      <c r="G13" s="391">
        <v>0.1</v>
      </c>
      <c r="H13" s="391">
        <v>1</v>
      </c>
      <c r="I13" s="391">
        <v>0.1</v>
      </c>
      <c r="J13" s="391">
        <v>1</v>
      </c>
      <c r="K13" s="379" t="s">
        <v>59</v>
      </c>
      <c r="L13" s="380" t="s">
        <v>829</v>
      </c>
      <c r="M13" s="370"/>
      <c r="N13" s="370"/>
      <c r="O13" s="71"/>
      <c r="P13" s="1195"/>
      <c r="Q13" s="1156"/>
      <c r="R13" s="393" t="s">
        <v>735</v>
      </c>
      <c r="S13" s="394"/>
      <c r="T13" s="1141"/>
      <c r="U13" s="1153"/>
      <c r="V13" s="1141"/>
      <c r="W13" s="1153"/>
      <c r="X13" s="1141"/>
      <c r="Y13" s="1153"/>
      <c r="Z13" s="1141"/>
      <c r="AA13" s="1153"/>
      <c r="AB13" s="1141"/>
      <c r="AC13" s="1153"/>
      <c r="AE13" s="1195"/>
      <c r="AF13" s="1156"/>
      <c r="AG13" s="393" t="s">
        <v>735</v>
      </c>
      <c r="AH13" s="394"/>
      <c r="AI13" s="1141"/>
      <c r="AJ13" s="1153"/>
      <c r="AK13" s="1141"/>
      <c r="AL13" s="1153"/>
      <c r="AM13" s="1141"/>
      <c r="AN13" s="1153"/>
      <c r="AO13" s="1141"/>
      <c r="AP13" s="1153"/>
      <c r="AQ13" s="1141"/>
      <c r="AR13" s="1153"/>
    </row>
    <row r="14" spans="1:44" ht="15" customHeight="1" outlineLevel="1">
      <c r="B14" s="376" t="s">
        <v>657</v>
      </c>
      <c r="C14" s="390">
        <v>0</v>
      </c>
      <c r="D14" s="390">
        <v>0</v>
      </c>
      <c r="E14" s="390">
        <v>0</v>
      </c>
      <c r="F14" s="390">
        <v>0</v>
      </c>
      <c r="G14" s="390">
        <v>0</v>
      </c>
      <c r="H14" s="390">
        <v>0.5</v>
      </c>
      <c r="I14" s="390">
        <v>0</v>
      </c>
      <c r="J14" s="390">
        <v>0.5</v>
      </c>
      <c r="K14" s="379" t="s">
        <v>25</v>
      </c>
      <c r="L14" s="380">
        <v>4</v>
      </c>
      <c r="M14" s="370"/>
      <c r="N14" s="370"/>
      <c r="O14" s="71"/>
      <c r="P14" s="1195"/>
      <c r="Q14" s="1154" t="s">
        <v>736</v>
      </c>
      <c r="R14" s="395" t="s">
        <v>737</v>
      </c>
      <c r="S14" s="396" t="s">
        <v>738</v>
      </c>
      <c r="T14" s="1137">
        <v>1</v>
      </c>
      <c r="U14" s="1137">
        <v>0</v>
      </c>
      <c r="V14" s="1137">
        <v>1</v>
      </c>
      <c r="W14" s="1137">
        <v>0</v>
      </c>
      <c r="X14" s="1137">
        <v>0.5</v>
      </c>
      <c r="Y14" s="1137">
        <v>0</v>
      </c>
      <c r="Z14" s="1137">
        <v>1</v>
      </c>
      <c r="AA14" s="1137">
        <v>0</v>
      </c>
      <c r="AB14" s="1137">
        <v>0</v>
      </c>
      <c r="AC14" s="1137">
        <v>0</v>
      </c>
      <c r="AE14" s="1195"/>
      <c r="AF14" s="1154" t="s">
        <v>736</v>
      </c>
      <c r="AG14" s="395" t="s">
        <v>737</v>
      </c>
      <c r="AH14" s="396" t="s">
        <v>738</v>
      </c>
      <c r="AI14" s="1137">
        <v>0.5</v>
      </c>
      <c r="AJ14" s="1137">
        <v>0</v>
      </c>
      <c r="AK14" s="1137">
        <v>0.5</v>
      </c>
      <c r="AL14" s="1137">
        <v>0</v>
      </c>
      <c r="AM14" s="1137">
        <v>0.25</v>
      </c>
      <c r="AN14" s="1137">
        <v>0</v>
      </c>
      <c r="AO14" s="1137">
        <v>0.4</v>
      </c>
      <c r="AP14" s="1137">
        <v>0</v>
      </c>
      <c r="AQ14" s="1137">
        <v>0</v>
      </c>
      <c r="AR14" s="1137">
        <v>0</v>
      </c>
    </row>
    <row r="15" spans="1:44" outlineLevel="1">
      <c r="B15" s="376" t="s">
        <v>658</v>
      </c>
      <c r="C15" s="390">
        <v>0</v>
      </c>
      <c r="D15" s="390">
        <v>0</v>
      </c>
      <c r="E15" s="390">
        <v>0</v>
      </c>
      <c r="F15" s="390">
        <v>0</v>
      </c>
      <c r="G15" s="390">
        <v>0</v>
      </c>
      <c r="H15" s="390">
        <v>1</v>
      </c>
      <c r="I15" s="390">
        <v>0</v>
      </c>
      <c r="J15" s="390">
        <v>1</v>
      </c>
      <c r="K15" s="379" t="s">
        <v>25</v>
      </c>
      <c r="L15" s="380">
        <v>4</v>
      </c>
      <c r="M15" s="367"/>
      <c r="N15" s="367"/>
      <c r="O15" s="71"/>
      <c r="P15" s="1195"/>
      <c r="Q15" s="1155"/>
      <c r="R15" s="395" t="s">
        <v>739</v>
      </c>
      <c r="S15" s="396" t="s">
        <v>738</v>
      </c>
      <c r="T15" s="1138"/>
      <c r="U15" s="1138"/>
      <c r="V15" s="1138"/>
      <c r="W15" s="1138"/>
      <c r="X15" s="1138"/>
      <c r="Y15" s="1138"/>
      <c r="Z15" s="1138"/>
      <c r="AA15" s="1138"/>
      <c r="AB15" s="1138"/>
      <c r="AC15" s="1138"/>
      <c r="AE15" s="1195"/>
      <c r="AF15" s="1155"/>
      <c r="AG15" s="395" t="s">
        <v>739</v>
      </c>
      <c r="AH15" s="396" t="s">
        <v>738</v>
      </c>
      <c r="AI15" s="1138"/>
      <c r="AJ15" s="1138"/>
      <c r="AK15" s="1138"/>
      <c r="AL15" s="1138"/>
      <c r="AM15" s="1138"/>
      <c r="AN15" s="1138"/>
      <c r="AO15" s="1138"/>
      <c r="AP15" s="1138"/>
      <c r="AQ15" s="1138"/>
      <c r="AR15" s="1138"/>
    </row>
    <row r="16" spans="1:44" outlineLevel="1">
      <c r="B16" s="383" t="s">
        <v>11</v>
      </c>
      <c r="C16" s="397">
        <v>12.5</v>
      </c>
      <c r="D16" s="397">
        <v>12.5</v>
      </c>
      <c r="E16" s="397">
        <v>12.5</v>
      </c>
      <c r="F16" s="397">
        <v>12.5</v>
      </c>
      <c r="G16" s="398">
        <v>10</v>
      </c>
      <c r="H16" s="398">
        <v>15</v>
      </c>
      <c r="I16" s="398">
        <v>10</v>
      </c>
      <c r="J16" s="398">
        <v>15</v>
      </c>
      <c r="K16" s="372"/>
      <c r="L16" s="373">
        <v>4</v>
      </c>
      <c r="M16" s="363"/>
      <c r="N16" s="363"/>
      <c r="P16" s="1195"/>
      <c r="Q16" s="1155"/>
      <c r="R16" s="395" t="s">
        <v>741</v>
      </c>
      <c r="S16" s="396" t="s">
        <v>738</v>
      </c>
      <c r="T16" s="1138"/>
      <c r="U16" s="1138"/>
      <c r="V16" s="1138"/>
      <c r="W16" s="1138"/>
      <c r="X16" s="1138"/>
      <c r="Y16" s="1138"/>
      <c r="Z16" s="1138"/>
      <c r="AA16" s="1138"/>
      <c r="AB16" s="1138"/>
      <c r="AC16" s="1138"/>
      <c r="AE16" s="1195"/>
      <c r="AF16" s="1155"/>
      <c r="AG16" s="395" t="s">
        <v>741</v>
      </c>
      <c r="AH16" s="396" t="s">
        <v>738</v>
      </c>
      <c r="AI16" s="1138"/>
      <c r="AJ16" s="1138"/>
      <c r="AK16" s="1138"/>
      <c r="AL16" s="1138"/>
      <c r="AM16" s="1138"/>
      <c r="AN16" s="1138"/>
      <c r="AO16" s="1138"/>
      <c r="AP16" s="1138"/>
      <c r="AQ16" s="1138"/>
      <c r="AR16" s="1138"/>
    </row>
    <row r="17" spans="1:44" ht="15" outlineLevel="1" thickBot="1">
      <c r="B17" s="376" t="s">
        <v>273</v>
      </c>
      <c r="C17" s="399">
        <v>0.04</v>
      </c>
      <c r="D17" s="399">
        <v>0.04</v>
      </c>
      <c r="E17" s="399">
        <v>0.04</v>
      </c>
      <c r="F17" s="399">
        <v>0.04</v>
      </c>
      <c r="G17" s="399">
        <v>0.02</v>
      </c>
      <c r="H17" s="399">
        <v>0.06</v>
      </c>
      <c r="I17" s="399">
        <v>0.02</v>
      </c>
      <c r="J17" s="399">
        <v>0.06</v>
      </c>
      <c r="K17" s="372"/>
      <c r="L17" s="400">
        <v>5</v>
      </c>
      <c r="M17" s="363"/>
      <c r="N17" s="363"/>
      <c r="P17" s="1195"/>
      <c r="Q17" s="1155"/>
      <c r="R17" s="395" t="s">
        <v>742</v>
      </c>
      <c r="S17" s="396" t="s">
        <v>738</v>
      </c>
      <c r="T17" s="1138"/>
      <c r="U17" s="1138"/>
      <c r="V17" s="1138"/>
      <c r="W17" s="1138"/>
      <c r="X17" s="1138"/>
      <c r="Y17" s="1138"/>
      <c r="Z17" s="1138"/>
      <c r="AA17" s="1138"/>
      <c r="AB17" s="1138"/>
      <c r="AC17" s="1138"/>
      <c r="AE17" s="1195"/>
      <c r="AF17" s="1155"/>
      <c r="AG17" s="395" t="s">
        <v>742</v>
      </c>
      <c r="AH17" s="396" t="s">
        <v>738</v>
      </c>
      <c r="AI17" s="1138"/>
      <c r="AJ17" s="1138"/>
      <c r="AK17" s="1138"/>
      <c r="AL17" s="1138"/>
      <c r="AM17" s="1138"/>
      <c r="AN17" s="1138"/>
      <c r="AO17" s="1138"/>
      <c r="AP17" s="1138"/>
      <c r="AQ17" s="1138"/>
      <c r="AR17" s="1138"/>
    </row>
    <row r="18" spans="1:44" ht="15" outlineLevel="1" thickBot="1">
      <c r="B18" s="401" t="s">
        <v>743</v>
      </c>
      <c r="C18" s="402"/>
      <c r="D18" s="403"/>
      <c r="E18" s="404"/>
      <c r="F18" s="405"/>
      <c r="G18" s="406"/>
      <c r="H18" s="406"/>
      <c r="I18" s="406"/>
      <c r="J18" s="406"/>
      <c r="K18" s="407"/>
      <c r="L18" s="408"/>
      <c r="M18" s="363"/>
      <c r="N18" s="363"/>
      <c r="P18" s="1195"/>
      <c r="Q18" s="1155"/>
      <c r="R18" s="409" t="s">
        <v>744</v>
      </c>
      <c r="S18" s="410" t="s">
        <v>738</v>
      </c>
      <c r="T18" s="1139"/>
      <c r="U18" s="1139"/>
      <c r="V18" s="1139"/>
      <c r="W18" s="1139"/>
      <c r="X18" s="1139"/>
      <c r="Y18" s="1139"/>
      <c r="Z18" s="1139"/>
      <c r="AA18" s="1139"/>
      <c r="AB18" s="1139"/>
      <c r="AC18" s="1139"/>
      <c r="AE18" s="1195"/>
      <c r="AF18" s="1155"/>
      <c r="AG18" s="409" t="s">
        <v>744</v>
      </c>
      <c r="AH18" s="410" t="s">
        <v>738</v>
      </c>
      <c r="AI18" s="1139"/>
      <c r="AJ18" s="1139"/>
      <c r="AK18" s="1139"/>
      <c r="AL18" s="1139"/>
      <c r="AM18" s="1139"/>
      <c r="AN18" s="1139"/>
      <c r="AO18" s="1139"/>
      <c r="AP18" s="1139"/>
      <c r="AQ18" s="1139"/>
      <c r="AR18" s="1139"/>
    </row>
    <row r="19" spans="1:44" ht="29.4" outlineLevel="1" thickBot="1">
      <c r="B19" s="376" t="s">
        <v>663</v>
      </c>
      <c r="C19" s="390">
        <v>15</v>
      </c>
      <c r="D19" s="390">
        <v>15</v>
      </c>
      <c r="E19" s="390">
        <v>15</v>
      </c>
      <c r="F19" s="390">
        <v>15</v>
      </c>
      <c r="G19" s="391"/>
      <c r="H19" s="391"/>
      <c r="I19" s="391"/>
      <c r="J19" s="391"/>
      <c r="K19" s="379" t="s">
        <v>16</v>
      </c>
      <c r="L19" s="380">
        <v>4</v>
      </c>
      <c r="M19" s="363"/>
      <c r="N19" s="363"/>
      <c r="P19" s="1196"/>
      <c r="Q19" s="411" t="s">
        <v>745</v>
      </c>
      <c r="R19" s="412" t="s">
        <v>746</v>
      </c>
      <c r="S19" s="413" t="s">
        <v>738</v>
      </c>
      <c r="T19" s="414">
        <v>0</v>
      </c>
      <c r="U19" s="415">
        <v>0</v>
      </c>
      <c r="V19" s="416">
        <v>0</v>
      </c>
      <c r="W19" s="415">
        <v>0</v>
      </c>
      <c r="X19" s="416">
        <v>0</v>
      </c>
      <c r="Y19" s="415">
        <v>0</v>
      </c>
      <c r="Z19" s="416">
        <v>0</v>
      </c>
      <c r="AA19" s="415">
        <v>0</v>
      </c>
      <c r="AB19" s="416">
        <v>0</v>
      </c>
      <c r="AC19" s="417">
        <v>0</v>
      </c>
      <c r="AE19" s="1196"/>
      <c r="AF19" s="411" t="s">
        <v>745</v>
      </c>
      <c r="AG19" s="412" t="s">
        <v>746</v>
      </c>
      <c r="AH19" s="413" t="s">
        <v>738</v>
      </c>
      <c r="AI19" s="414">
        <v>0</v>
      </c>
      <c r="AJ19" s="415">
        <v>0</v>
      </c>
      <c r="AK19" s="416">
        <v>0</v>
      </c>
      <c r="AL19" s="415">
        <v>0</v>
      </c>
      <c r="AM19" s="416">
        <v>0</v>
      </c>
      <c r="AN19" s="415">
        <v>0</v>
      </c>
      <c r="AO19" s="416">
        <v>0</v>
      </c>
      <c r="AP19" s="415">
        <v>0</v>
      </c>
      <c r="AQ19" s="416">
        <v>0</v>
      </c>
      <c r="AR19" s="417">
        <v>0</v>
      </c>
    </row>
    <row r="20" spans="1:44" outlineLevel="1">
      <c r="B20" s="376" t="s">
        <v>664</v>
      </c>
      <c r="C20" s="390">
        <v>0.01</v>
      </c>
      <c r="D20" s="390">
        <v>0.01</v>
      </c>
      <c r="E20" s="390">
        <v>0.01</v>
      </c>
      <c r="F20" s="390">
        <v>0.01</v>
      </c>
      <c r="G20" s="418"/>
      <c r="H20" s="418"/>
      <c r="I20" s="418"/>
      <c r="J20" s="418"/>
      <c r="K20" s="419"/>
      <c r="L20" s="380">
        <v>5</v>
      </c>
      <c r="M20" s="363"/>
      <c r="N20" s="363"/>
    </row>
    <row r="21" spans="1:44" outlineLevel="1">
      <c r="B21" s="376" t="s">
        <v>666</v>
      </c>
      <c r="C21" s="390">
        <v>0.01</v>
      </c>
      <c r="D21" s="390">
        <v>0.01</v>
      </c>
      <c r="E21" s="390">
        <v>0.01</v>
      </c>
      <c r="F21" s="390">
        <v>0.01</v>
      </c>
      <c r="G21" s="418"/>
      <c r="H21" s="418"/>
      <c r="I21" s="418"/>
      <c r="J21" s="418"/>
      <c r="K21" s="419"/>
      <c r="L21" s="380">
        <v>5</v>
      </c>
      <c r="M21" s="420"/>
      <c r="N21" s="363"/>
    </row>
    <row r="22" spans="1:44" outlineLevel="1">
      <c r="B22" s="421" t="s">
        <v>12</v>
      </c>
      <c r="C22" s="399"/>
      <c r="D22" s="399"/>
      <c r="E22" s="399"/>
      <c r="F22" s="399"/>
      <c r="G22" s="422"/>
      <c r="H22" s="422"/>
      <c r="I22" s="422"/>
      <c r="J22" s="422"/>
      <c r="K22" s="423"/>
      <c r="L22" s="424"/>
      <c r="M22" s="420"/>
      <c r="N22" s="420"/>
    </row>
    <row r="23" spans="1:44" ht="38.25" customHeight="1" outlineLevel="1">
      <c r="B23" s="383" t="s">
        <v>747</v>
      </c>
      <c r="C23" s="1231" t="s">
        <v>669</v>
      </c>
      <c r="D23" s="1232"/>
      <c r="E23" s="1232"/>
      <c r="F23" s="1233"/>
      <c r="G23" s="422"/>
      <c r="H23" s="425"/>
      <c r="I23" s="425"/>
      <c r="J23" s="425"/>
      <c r="K23" s="426"/>
      <c r="L23" s="427"/>
      <c r="M23" s="428"/>
      <c r="N23" s="428"/>
    </row>
    <row r="24" spans="1:44" outlineLevel="1">
      <c r="B24" s="383" t="s">
        <v>749</v>
      </c>
      <c r="C24" s="1234"/>
      <c r="D24" s="1251"/>
      <c r="E24" s="1251"/>
      <c r="F24" s="1236"/>
      <c r="G24" s="425"/>
      <c r="H24" s="425"/>
      <c r="I24" s="425"/>
      <c r="J24" s="425"/>
      <c r="K24" s="423"/>
      <c r="L24" s="427"/>
      <c r="M24" s="428"/>
      <c r="N24" s="428"/>
    </row>
    <row r="25" spans="1:44" ht="15.6" outlineLevel="1">
      <c r="B25" s="383" t="s">
        <v>750</v>
      </c>
      <c r="C25" s="1234"/>
      <c r="D25" s="1251"/>
      <c r="E25" s="1251"/>
      <c r="F25" s="1236"/>
      <c r="G25" s="425"/>
      <c r="H25" s="425"/>
      <c r="I25" s="425"/>
      <c r="J25" s="425"/>
      <c r="K25" s="423"/>
      <c r="L25" s="427"/>
      <c r="M25" s="428"/>
      <c r="N25" s="428"/>
    </row>
    <row r="26" spans="1:44" outlineLevel="1">
      <c r="B26" s="383" t="s">
        <v>366</v>
      </c>
      <c r="C26" s="1234"/>
      <c r="D26" s="1251"/>
      <c r="E26" s="1251"/>
      <c r="F26" s="1236"/>
      <c r="G26" s="425"/>
      <c r="H26" s="425"/>
      <c r="I26" s="425"/>
      <c r="J26" s="425"/>
      <c r="K26" s="423"/>
      <c r="L26" s="427"/>
      <c r="M26" s="428"/>
      <c r="N26" s="428"/>
    </row>
    <row r="27" spans="1:44" ht="15" outlineLevel="1" thickBot="1">
      <c r="B27" s="429" t="s">
        <v>367</v>
      </c>
      <c r="C27" s="1237"/>
      <c r="D27" s="1238"/>
      <c r="E27" s="1238"/>
      <c r="F27" s="1239"/>
      <c r="G27" s="425"/>
      <c r="H27" s="425"/>
      <c r="I27" s="425"/>
      <c r="J27" s="425"/>
      <c r="K27" s="423"/>
      <c r="L27" s="427"/>
      <c r="M27" s="428"/>
      <c r="N27" s="428"/>
    </row>
    <row r="28" spans="1:44" ht="15" outlineLevel="1" thickBot="1">
      <c r="B28" s="431" t="s">
        <v>674</v>
      </c>
      <c r="C28" s="432"/>
      <c r="D28" s="403"/>
      <c r="E28" s="403"/>
      <c r="F28" s="433"/>
      <c r="G28" s="434"/>
      <c r="H28" s="406"/>
      <c r="I28" s="406"/>
      <c r="J28" s="406"/>
      <c r="K28" s="407"/>
      <c r="L28" s="408"/>
      <c r="M28" s="428"/>
      <c r="N28" s="428"/>
    </row>
    <row r="29" spans="1:44" ht="52.05" customHeight="1" outlineLevel="1">
      <c r="A29" s="435"/>
      <c r="B29" s="436" t="s">
        <v>751</v>
      </c>
      <c r="C29" s="437">
        <v>0.06</v>
      </c>
      <c r="D29" s="438">
        <v>0.06</v>
      </c>
      <c r="E29" s="438">
        <v>0.06</v>
      </c>
      <c r="F29" s="439">
        <v>0.06</v>
      </c>
      <c r="G29" s="425"/>
      <c r="H29" s="425"/>
      <c r="I29" s="425"/>
      <c r="J29" s="425"/>
      <c r="K29" s="426" t="s">
        <v>76</v>
      </c>
      <c r="L29" s="440" t="s">
        <v>67</v>
      </c>
      <c r="M29" s="420"/>
      <c r="N29" s="420"/>
    </row>
    <row r="30" spans="1:44" outlineLevel="1">
      <c r="B30" s="441" t="s">
        <v>754</v>
      </c>
      <c r="C30" s="627">
        <v>66.666666666666657</v>
      </c>
      <c r="D30" s="443">
        <v>66.666666666666657</v>
      </c>
      <c r="E30" s="443">
        <v>66.666666666666657</v>
      </c>
      <c r="F30" s="443">
        <v>66.666666666666657</v>
      </c>
      <c r="G30" s="425"/>
      <c r="H30" s="425"/>
      <c r="I30" s="425"/>
      <c r="J30" s="425"/>
      <c r="K30" s="444"/>
      <c r="L30" s="373">
        <v>5</v>
      </c>
      <c r="M30" s="71"/>
      <c r="N30" s="420"/>
    </row>
    <row r="31" spans="1:44" outlineLevel="1">
      <c r="B31" s="441" t="s">
        <v>755</v>
      </c>
      <c r="C31" s="627">
        <v>33.333333333333343</v>
      </c>
      <c r="D31" s="627">
        <v>33.333333333333343</v>
      </c>
      <c r="E31" s="627">
        <v>33.333333333333343</v>
      </c>
      <c r="F31" s="627">
        <v>33.333333333333343</v>
      </c>
      <c r="G31" s="425"/>
      <c r="H31" s="425"/>
      <c r="I31" s="425"/>
      <c r="J31" s="425"/>
      <c r="K31" s="444"/>
      <c r="L31" s="373">
        <v>5</v>
      </c>
      <c r="M31" s="420"/>
      <c r="N31" s="420"/>
    </row>
    <row r="32" spans="1:44" ht="26.4" outlineLevel="1">
      <c r="B32" s="383" t="s">
        <v>756</v>
      </c>
      <c r="C32" s="445">
        <f>0/1000</f>
        <v>0</v>
      </c>
      <c r="D32" s="446">
        <f>0/1000</f>
        <v>0</v>
      </c>
      <c r="E32" s="446">
        <f>0/1000</f>
        <v>0</v>
      </c>
      <c r="F32" s="447">
        <f>0/1000</f>
        <v>0</v>
      </c>
      <c r="G32" s="425"/>
      <c r="H32" s="425"/>
      <c r="I32" s="425"/>
      <c r="J32" s="425"/>
      <c r="K32" s="448" t="s">
        <v>25</v>
      </c>
      <c r="L32" s="373">
        <v>4</v>
      </c>
      <c r="M32" s="420"/>
      <c r="N32" s="420"/>
    </row>
    <row r="33" spans="2:30" ht="37.049999999999997" customHeight="1" outlineLevel="1" thickBot="1">
      <c r="B33" s="383" t="s">
        <v>757</v>
      </c>
      <c r="C33" s="449">
        <f>0.1825/3.6</f>
        <v>5.0694444444444445E-2</v>
      </c>
      <c r="D33" s="449">
        <f>0.1875/3.6</f>
        <v>5.2083333333333329E-2</v>
      </c>
      <c r="E33" s="449">
        <f>0.19/3.6</f>
        <v>5.2777777777777778E-2</v>
      </c>
      <c r="F33" s="449">
        <f>0.19/3.6</f>
        <v>5.2777777777777778E-2</v>
      </c>
      <c r="G33" s="425"/>
      <c r="H33" s="425"/>
      <c r="I33" s="425"/>
      <c r="J33" s="425"/>
      <c r="K33" s="448"/>
      <c r="L33" s="373" t="s">
        <v>69</v>
      </c>
      <c r="M33" s="450"/>
      <c r="N33" s="361"/>
      <c r="P33" s="1142">
        <f>C33</f>
        <v>5.0694444444444445E-2</v>
      </c>
      <c r="Q33" s="1143"/>
      <c r="R33" s="1143"/>
      <c r="S33" s="1143"/>
      <c r="T33" s="1143"/>
      <c r="U33" s="1144"/>
    </row>
    <row r="34" spans="2:30" ht="15.75" customHeight="1" outlineLevel="1" thickBot="1">
      <c r="B34" s="451" t="s">
        <v>758</v>
      </c>
      <c r="C34" s="452">
        <v>0.1825</v>
      </c>
      <c r="D34" s="452">
        <v>0.1875</v>
      </c>
      <c r="E34" s="452">
        <v>0.19</v>
      </c>
      <c r="F34" s="452">
        <v>0.19</v>
      </c>
      <c r="G34" s="453"/>
      <c r="H34" s="453"/>
      <c r="I34" s="453"/>
      <c r="J34" s="453"/>
      <c r="K34" s="379" t="s">
        <v>20</v>
      </c>
      <c r="L34" s="380">
        <v>5</v>
      </c>
      <c r="M34" s="450"/>
      <c r="N34" s="361"/>
      <c r="P34" s="1134">
        <f>C34</f>
        <v>0.1825</v>
      </c>
      <c r="Q34" s="1135"/>
      <c r="R34" s="1135"/>
      <c r="S34" s="1135"/>
      <c r="T34" s="1135"/>
      <c r="U34" s="1136"/>
    </row>
    <row r="35" spans="2:30" outlineLevel="1">
      <c r="B35" s="451" t="s">
        <v>759</v>
      </c>
      <c r="C35" s="454">
        <v>0</v>
      </c>
      <c r="D35" s="454">
        <v>0</v>
      </c>
      <c r="E35" s="454">
        <v>0</v>
      </c>
      <c r="F35" s="454">
        <v>0</v>
      </c>
      <c r="G35" s="453"/>
      <c r="H35" s="453"/>
      <c r="I35" s="453"/>
      <c r="J35" s="453"/>
      <c r="K35" s="455" t="s">
        <v>25</v>
      </c>
      <c r="L35" s="380">
        <v>4</v>
      </c>
      <c r="M35" s="363"/>
      <c r="N35" s="363"/>
      <c r="P35" s="53" t="s">
        <v>357</v>
      </c>
    </row>
    <row r="36" spans="2:30" ht="27.6" outlineLevel="1">
      <c r="B36" s="441"/>
      <c r="C36" s="456"/>
      <c r="D36" s="456"/>
      <c r="E36" s="456"/>
      <c r="F36" s="456"/>
      <c r="G36" s="425"/>
      <c r="H36" s="425"/>
      <c r="I36" s="425"/>
      <c r="J36" s="425"/>
      <c r="K36" s="444"/>
      <c r="L36" s="424"/>
      <c r="M36" s="367"/>
      <c r="N36" s="367"/>
      <c r="P36" s="46" t="s">
        <v>335</v>
      </c>
      <c r="Q36" s="46" t="s">
        <v>336</v>
      </c>
      <c r="R36" s="47" t="s">
        <v>337</v>
      </c>
      <c r="S36" s="47" t="s">
        <v>338</v>
      </c>
      <c r="T36" s="47" t="s">
        <v>339</v>
      </c>
      <c r="U36" s="48" t="s">
        <v>340</v>
      </c>
      <c r="V36" s="49" t="s">
        <v>341</v>
      </c>
      <c r="W36" s="49" t="s">
        <v>342</v>
      </c>
      <c r="X36" s="49" t="s">
        <v>343</v>
      </c>
      <c r="Y36" s="49" t="s">
        <v>344</v>
      </c>
      <c r="Z36" s="49" t="s">
        <v>345</v>
      </c>
      <c r="AA36" s="49" t="s">
        <v>346</v>
      </c>
      <c r="AB36" s="49" t="s">
        <v>347</v>
      </c>
      <c r="AC36" s="49" t="s">
        <v>348</v>
      </c>
      <c r="AD36" s="49" t="s">
        <v>349</v>
      </c>
    </row>
    <row r="37" spans="2:30" ht="35.1" customHeight="1" outlineLevel="1" thickBot="1">
      <c r="B37" s="441"/>
      <c r="C37" s="442"/>
      <c r="D37" s="457"/>
      <c r="E37" s="457"/>
      <c r="F37" s="458"/>
      <c r="G37" s="425"/>
      <c r="H37" s="425"/>
      <c r="I37" s="425"/>
      <c r="J37" s="425"/>
      <c r="K37" s="448"/>
      <c r="L37" s="424"/>
      <c r="M37" s="363"/>
      <c r="N37" s="363"/>
      <c r="P37" s="50"/>
      <c r="Q37" s="50"/>
      <c r="R37" s="51"/>
      <c r="S37" s="51"/>
      <c r="T37" s="51"/>
      <c r="U37" s="51" t="s">
        <v>760</v>
      </c>
      <c r="V37" s="50" t="s">
        <v>761</v>
      </c>
      <c r="W37" s="50"/>
      <c r="X37" s="50"/>
      <c r="Y37" s="50"/>
      <c r="Z37" s="50"/>
      <c r="AA37" s="50"/>
      <c r="AB37" s="50"/>
      <c r="AC37" s="50"/>
      <c r="AD37" s="50"/>
    </row>
    <row r="38" spans="2:30" ht="73.05" customHeight="1" outlineLevel="1" thickBot="1">
      <c r="B38" s="401" t="s">
        <v>682</v>
      </c>
      <c r="C38" s="402"/>
      <c r="D38" s="403"/>
      <c r="E38" s="404"/>
      <c r="F38" s="405"/>
      <c r="G38" s="406"/>
      <c r="H38" s="406"/>
      <c r="I38" s="406"/>
      <c r="J38" s="406"/>
      <c r="K38" s="459"/>
      <c r="L38" s="460"/>
      <c r="M38" s="363"/>
      <c r="N38" s="363"/>
      <c r="O38" s="461" t="s">
        <v>732</v>
      </c>
      <c r="P38" s="56"/>
      <c r="Q38" s="56"/>
      <c r="R38" s="57"/>
      <c r="S38" s="57"/>
      <c r="T38" s="57"/>
      <c r="U38" s="56" t="s">
        <v>350</v>
      </c>
      <c r="V38" s="56" t="s">
        <v>326</v>
      </c>
      <c r="W38" s="56" t="s">
        <v>327</v>
      </c>
      <c r="X38" s="56" t="s">
        <v>351</v>
      </c>
      <c r="Y38" s="56" t="s">
        <v>351</v>
      </c>
      <c r="Z38" s="56" t="s">
        <v>352</v>
      </c>
      <c r="AA38" s="56" t="s">
        <v>352</v>
      </c>
      <c r="AB38" s="56" t="s">
        <v>352</v>
      </c>
      <c r="AC38" s="56" t="s">
        <v>352</v>
      </c>
      <c r="AD38" s="56" t="s">
        <v>352</v>
      </c>
    </row>
    <row r="39" spans="2:30" outlineLevel="1">
      <c r="B39" s="451" t="s">
        <v>762</v>
      </c>
      <c r="C39" s="462" t="s">
        <v>36</v>
      </c>
      <c r="D39" s="462" t="s">
        <v>36</v>
      </c>
      <c r="E39" s="462" t="s">
        <v>36</v>
      </c>
      <c r="F39" s="462" t="s">
        <v>36</v>
      </c>
      <c r="G39" s="463"/>
      <c r="H39" s="463"/>
      <c r="I39" s="463"/>
      <c r="J39" s="463"/>
      <c r="K39" s="463" t="s">
        <v>33</v>
      </c>
      <c r="L39" s="464"/>
      <c r="M39" s="363"/>
      <c r="N39" s="363"/>
      <c r="O39" s="465">
        <f>C12</f>
        <v>100</v>
      </c>
      <c r="P39" s="466">
        <f>C8</f>
        <v>2020</v>
      </c>
      <c r="Q39" s="58">
        <f>P39</f>
        <v>2020</v>
      </c>
      <c r="R39" s="466">
        <f>O39/100</f>
        <v>1</v>
      </c>
      <c r="S39" s="58"/>
      <c r="T39" s="466">
        <f>C16</f>
        <v>12.5</v>
      </c>
      <c r="U39" s="467">
        <f>C46</f>
        <v>447</v>
      </c>
      <c r="V39" s="467">
        <f>C48</f>
        <v>0</v>
      </c>
      <c r="W39" s="690">
        <f>C49</f>
        <v>0.37767361111111114</v>
      </c>
      <c r="X39" s="58"/>
      <c r="Y39" s="58"/>
      <c r="Z39" s="466" t="str">
        <f>C23</f>
        <v>Cf. the utilized electricity</v>
      </c>
      <c r="AA39" s="468">
        <f>C25</f>
        <v>0</v>
      </c>
      <c r="AB39" s="468">
        <f>C26</f>
        <v>0</v>
      </c>
      <c r="AC39" s="468">
        <f>C27</f>
        <v>0</v>
      </c>
      <c r="AD39" s="468">
        <f>C24</f>
        <v>0</v>
      </c>
    </row>
    <row r="40" spans="2:30" ht="14.55" customHeight="1" outlineLevel="1">
      <c r="B40" s="376" t="s">
        <v>763</v>
      </c>
      <c r="C40" s="469" t="s">
        <v>36</v>
      </c>
      <c r="D40" s="470" t="s">
        <v>36</v>
      </c>
      <c r="E40" s="470" t="s">
        <v>36</v>
      </c>
      <c r="F40" s="471" t="s">
        <v>36</v>
      </c>
      <c r="G40" s="471"/>
      <c r="H40" s="471"/>
      <c r="I40" s="471"/>
      <c r="J40" s="471"/>
      <c r="K40" s="472"/>
      <c r="L40" s="464"/>
      <c r="M40" s="363"/>
      <c r="N40" s="363"/>
      <c r="O40" s="465">
        <f>D12</f>
        <v>100</v>
      </c>
      <c r="P40" s="466">
        <f>D8</f>
        <v>2030</v>
      </c>
      <c r="Q40" s="58"/>
      <c r="R40" s="466">
        <f>O40/100</f>
        <v>1</v>
      </c>
      <c r="S40" s="58"/>
      <c r="T40" s="466">
        <f>D16</f>
        <v>12.5</v>
      </c>
      <c r="U40" s="467">
        <f>D46</f>
        <v>447</v>
      </c>
      <c r="V40" s="467">
        <f>D48</f>
        <v>0</v>
      </c>
      <c r="W40" s="690">
        <f>D49</f>
        <v>0.38802083333333331</v>
      </c>
      <c r="X40" s="58"/>
      <c r="Y40" s="58"/>
      <c r="Z40" s="466">
        <f>D23</f>
        <v>0</v>
      </c>
      <c r="AA40" s="468">
        <f>D25</f>
        <v>0</v>
      </c>
      <c r="AB40" s="468">
        <f>D26</f>
        <v>0</v>
      </c>
      <c r="AC40" s="468">
        <f>D27</f>
        <v>0</v>
      </c>
      <c r="AD40" s="468">
        <f>D24</f>
        <v>0</v>
      </c>
    </row>
    <row r="41" spans="2:30" outlineLevel="1">
      <c r="B41" s="376" t="s">
        <v>764</v>
      </c>
      <c r="C41" s="469" t="s">
        <v>36</v>
      </c>
      <c r="D41" s="470" t="s">
        <v>36</v>
      </c>
      <c r="E41" s="470" t="s">
        <v>36</v>
      </c>
      <c r="F41" s="471" t="s">
        <v>36</v>
      </c>
      <c r="G41" s="453"/>
      <c r="H41" s="453"/>
      <c r="I41" s="453"/>
      <c r="J41" s="453"/>
      <c r="K41" s="453"/>
      <c r="L41" s="380"/>
      <c r="M41" s="363"/>
      <c r="N41" s="363"/>
      <c r="O41" s="465">
        <f>E12</f>
        <v>100</v>
      </c>
      <c r="P41" s="466">
        <f>E8</f>
        <v>2040</v>
      </c>
      <c r="Q41" s="58"/>
      <c r="R41" s="466">
        <f>O41/100</f>
        <v>1</v>
      </c>
      <c r="S41" s="58"/>
      <c r="T41" s="466">
        <f>E16</f>
        <v>12.5</v>
      </c>
      <c r="U41" s="467">
        <f>E46</f>
        <v>447</v>
      </c>
      <c r="V41" s="467">
        <f>E48</f>
        <v>0</v>
      </c>
      <c r="W41" s="690">
        <f>E49</f>
        <v>0.39319444444444446</v>
      </c>
      <c r="X41" s="58"/>
      <c r="Y41" s="58"/>
      <c r="Z41" s="466">
        <f>E23</f>
        <v>0</v>
      </c>
      <c r="AA41" s="468">
        <f>E25</f>
        <v>0</v>
      </c>
      <c r="AB41" s="468">
        <f>E26</f>
        <v>0</v>
      </c>
      <c r="AC41" s="468">
        <f>E27</f>
        <v>0</v>
      </c>
      <c r="AD41" s="468">
        <f>E24</f>
        <v>0</v>
      </c>
    </row>
    <row r="42" spans="2:30" outlineLevel="1">
      <c r="B42" s="376" t="s">
        <v>765</v>
      </c>
      <c r="C42" s="1240" t="s">
        <v>669</v>
      </c>
      <c r="D42" s="1241"/>
      <c r="E42" s="1241"/>
      <c r="F42" s="1242"/>
      <c r="G42" s="474"/>
      <c r="H42" s="474"/>
      <c r="I42" s="474"/>
      <c r="J42" s="474"/>
      <c r="K42" s="474"/>
      <c r="L42" s="380"/>
      <c r="M42" s="363"/>
      <c r="N42" s="363"/>
      <c r="O42" s="465">
        <f>F12</f>
        <v>100</v>
      </c>
      <c r="P42" s="466">
        <f>F8</f>
        <v>2050</v>
      </c>
      <c r="Q42" s="58"/>
      <c r="R42" s="466">
        <f>O42/100</f>
        <v>1</v>
      </c>
      <c r="S42" s="58"/>
      <c r="T42" s="466">
        <f>F16</f>
        <v>12.5</v>
      </c>
      <c r="U42" s="467">
        <f>F46</f>
        <v>447</v>
      </c>
      <c r="V42" s="467">
        <f>F48</f>
        <v>0</v>
      </c>
      <c r="W42" s="690">
        <f>F49</f>
        <v>0.39319444444444446</v>
      </c>
      <c r="X42" s="58"/>
      <c r="Y42" s="58"/>
      <c r="Z42" s="466">
        <f>F23</f>
        <v>0</v>
      </c>
      <c r="AA42" s="468">
        <f>F25</f>
        <v>0</v>
      </c>
      <c r="AB42" s="468">
        <f>F26</f>
        <v>0</v>
      </c>
      <c r="AC42" s="468">
        <f>F27</f>
        <v>0</v>
      </c>
      <c r="AD42" s="468">
        <f>F24</f>
        <v>0</v>
      </c>
    </row>
    <row r="43" spans="2:30" outlineLevel="1">
      <c r="B43" s="475" t="s">
        <v>766</v>
      </c>
      <c r="C43" s="469" t="s">
        <v>36</v>
      </c>
      <c r="D43" s="470" t="s">
        <v>36</v>
      </c>
      <c r="E43" s="470" t="s">
        <v>36</v>
      </c>
      <c r="F43" s="471" t="s">
        <v>36</v>
      </c>
      <c r="G43" s="474"/>
      <c r="H43" s="474"/>
      <c r="I43" s="474"/>
      <c r="J43" s="474"/>
      <c r="K43" s="474"/>
      <c r="L43" s="476"/>
      <c r="M43" s="367"/>
      <c r="N43" s="367"/>
    </row>
    <row r="44" spans="2:30" outlineLevel="1">
      <c r="B44" s="475" t="s">
        <v>767</v>
      </c>
      <c r="C44" s="469" t="s">
        <v>36</v>
      </c>
      <c r="D44" s="470" t="s">
        <v>36</v>
      </c>
      <c r="E44" s="470" t="s">
        <v>36</v>
      </c>
      <c r="F44" s="471" t="s">
        <v>36</v>
      </c>
      <c r="G44" s="474"/>
      <c r="H44" s="474"/>
      <c r="I44" s="474"/>
      <c r="J44" s="474"/>
      <c r="K44" s="474"/>
      <c r="L44" s="476"/>
      <c r="M44" s="363"/>
      <c r="N44" s="363"/>
    </row>
    <row r="45" spans="2:30" ht="15" outlineLevel="1" thickBot="1">
      <c r="B45" s="477" t="s">
        <v>768</v>
      </c>
      <c r="C45" s="478" t="s">
        <v>36</v>
      </c>
      <c r="D45" s="479" t="s">
        <v>36</v>
      </c>
      <c r="E45" s="479" t="s">
        <v>36</v>
      </c>
      <c r="F45" s="480" t="s">
        <v>36</v>
      </c>
      <c r="G45" s="481"/>
      <c r="H45" s="481"/>
      <c r="I45" s="481"/>
      <c r="J45" s="481"/>
      <c r="K45" s="481"/>
      <c r="L45" s="482"/>
      <c r="M45" s="363"/>
      <c r="N45" s="363"/>
    </row>
    <row r="46" spans="2:30" ht="57.6" outlineLevel="1">
      <c r="B46" s="461" t="s">
        <v>769</v>
      </c>
      <c r="C46" s="483">
        <f>C29*$F$4*1000</f>
        <v>447</v>
      </c>
      <c r="D46" s="483">
        <f t="shared" ref="D46:F46" si="0">D29*$F$4*1000</f>
        <v>447</v>
      </c>
      <c r="E46" s="483">
        <f t="shared" si="0"/>
        <v>447</v>
      </c>
      <c r="F46" s="483">
        <f t="shared" si="0"/>
        <v>447</v>
      </c>
      <c r="G46" s="483"/>
      <c r="H46" s="484"/>
      <c r="I46" s="420" t="s">
        <v>332</v>
      </c>
      <c r="J46" s="420"/>
      <c r="K46" s="484"/>
      <c r="L46" s="484"/>
      <c r="N46" s="420"/>
    </row>
    <row r="47" spans="2:30" outlineLevel="1">
      <c r="B47" s="485" t="s">
        <v>770</v>
      </c>
      <c r="C47" s="486">
        <f>C46*$I47</f>
        <v>223500</v>
      </c>
      <c r="D47" s="486">
        <f>D46*$I47</f>
        <v>223500</v>
      </c>
      <c r="E47" s="486">
        <f>E46*$I47</f>
        <v>223500</v>
      </c>
      <c r="F47" s="486">
        <f>F46*$I47</f>
        <v>223500</v>
      </c>
      <c r="G47" s="486"/>
      <c r="H47" s="484"/>
      <c r="I47" s="71">
        <v>500</v>
      </c>
      <c r="J47" s="420" t="s">
        <v>330</v>
      </c>
      <c r="K47" s="484"/>
      <c r="L47" s="484"/>
      <c r="N47" s="420"/>
    </row>
    <row r="48" spans="2:30" ht="43.2" outlineLevel="1">
      <c r="B48" s="461" t="s">
        <v>771</v>
      </c>
      <c r="C48" s="359">
        <f>C32*$F$4</f>
        <v>0</v>
      </c>
      <c r="D48" s="359">
        <f t="shared" ref="D48:F49" si="1">D32*$F$4</f>
        <v>0</v>
      </c>
      <c r="E48" s="359">
        <f t="shared" si="1"/>
        <v>0</v>
      </c>
      <c r="F48" s="359">
        <f t="shared" si="1"/>
        <v>0</v>
      </c>
      <c r="G48" s="359"/>
      <c r="I48" s="420" t="s">
        <v>333</v>
      </c>
      <c r="J48" s="420"/>
      <c r="N48" s="420"/>
    </row>
    <row r="49" spans="2:14" ht="43.2" outlineLevel="1">
      <c r="B49" s="461" t="s">
        <v>772</v>
      </c>
      <c r="C49" s="487">
        <f>C33*$F$4</f>
        <v>0.37767361111111114</v>
      </c>
      <c r="D49" s="487">
        <f t="shared" si="1"/>
        <v>0.38802083333333331</v>
      </c>
      <c r="E49" s="487">
        <f t="shared" si="1"/>
        <v>0.39319444444444446</v>
      </c>
      <c r="F49" s="487">
        <f t="shared" si="1"/>
        <v>0.39319444444444446</v>
      </c>
      <c r="G49" s="359"/>
      <c r="M49" s="420"/>
      <c r="N49" s="420"/>
    </row>
    <row r="50" spans="2:14" outlineLevel="1"/>
    <row r="51" spans="2:14" outlineLevel="1"/>
    <row r="52" spans="2:14" outlineLevel="1"/>
    <row r="53" spans="2:14" outlineLevel="1"/>
    <row r="54" spans="2:14" outlineLevel="1">
      <c r="E54" s="358"/>
      <c r="F54" s="358"/>
      <c r="G54" s="358"/>
      <c r="H54" s="358"/>
      <c r="I54" s="358"/>
      <c r="J54" s="358"/>
      <c r="K54" s="358"/>
      <c r="L54" s="358"/>
    </row>
    <row r="55" spans="2:14" outlineLevel="1">
      <c r="B55" s="488" t="s">
        <v>773</v>
      </c>
      <c r="C55" s="489"/>
      <c r="E55" s="358"/>
      <c r="F55" s="358"/>
      <c r="G55" s="358"/>
      <c r="H55" s="358"/>
      <c r="I55" s="358"/>
      <c r="J55" s="358"/>
      <c r="K55" s="358"/>
      <c r="L55" s="358"/>
    </row>
    <row r="56" spans="2:14" outlineLevel="1">
      <c r="B56" s="358">
        <v>1</v>
      </c>
      <c r="C56" s="490" t="s">
        <v>813</v>
      </c>
      <c r="F56" s="358"/>
      <c r="G56" s="358"/>
      <c r="H56" s="358"/>
      <c r="I56" s="358"/>
      <c r="J56" s="358"/>
      <c r="K56" s="358"/>
      <c r="L56" s="358"/>
    </row>
    <row r="57" spans="2:14" outlineLevel="1">
      <c r="B57" s="358">
        <v>2</v>
      </c>
      <c r="C57" s="490" t="s">
        <v>814</v>
      </c>
      <c r="F57" s="358"/>
      <c r="G57" s="358"/>
      <c r="H57" s="358"/>
      <c r="I57" s="358"/>
      <c r="J57" s="358"/>
      <c r="K57" s="358"/>
      <c r="L57" s="358"/>
    </row>
    <row r="58" spans="2:14" outlineLevel="1">
      <c r="B58" s="358">
        <v>3</v>
      </c>
      <c r="C58" s="490" t="s">
        <v>781</v>
      </c>
      <c r="F58" s="358"/>
      <c r="G58" s="358"/>
      <c r="H58" s="358"/>
      <c r="I58" s="358"/>
      <c r="J58" s="358"/>
      <c r="K58" s="358"/>
      <c r="L58" s="358"/>
    </row>
    <row r="59" spans="2:14" outlineLevel="1">
      <c r="B59" s="358">
        <v>4</v>
      </c>
      <c r="C59" s="490" t="s">
        <v>830</v>
      </c>
      <c r="F59" s="358"/>
      <c r="G59" s="358"/>
      <c r="H59" s="358"/>
      <c r="I59" s="358"/>
      <c r="J59" s="358"/>
      <c r="K59" s="358"/>
      <c r="L59" s="358"/>
    </row>
    <row r="60" spans="2:14" outlineLevel="1">
      <c r="B60" s="358">
        <v>5</v>
      </c>
      <c r="C60" s="490" t="s">
        <v>818</v>
      </c>
      <c r="F60" s="358"/>
      <c r="G60" s="358"/>
      <c r="H60" s="358"/>
      <c r="I60" s="358"/>
      <c r="J60" s="358"/>
      <c r="K60" s="358"/>
      <c r="L60" s="358"/>
    </row>
    <row r="61" spans="2:14" outlineLevel="1">
      <c r="B61" s="358">
        <v>6</v>
      </c>
      <c r="C61" s="490" t="s">
        <v>819</v>
      </c>
      <c r="F61" s="358"/>
      <c r="G61" s="358"/>
      <c r="H61" s="358"/>
      <c r="I61" s="358"/>
      <c r="J61" s="358"/>
      <c r="K61" s="358"/>
      <c r="L61" s="358"/>
    </row>
    <row r="62" spans="2:14" outlineLevel="1">
      <c r="B62" s="358">
        <v>7</v>
      </c>
      <c r="C62" s="490" t="s">
        <v>820</v>
      </c>
      <c r="F62" s="358"/>
      <c r="G62" s="358"/>
      <c r="H62" s="358"/>
      <c r="I62" s="358"/>
      <c r="J62" s="358"/>
      <c r="K62" s="358"/>
      <c r="L62" s="358"/>
    </row>
    <row r="63" spans="2:14" outlineLevel="1">
      <c r="B63" s="488" t="s">
        <v>783</v>
      </c>
      <c r="C63" s="489"/>
      <c r="D63" s="489"/>
      <c r="F63" s="358"/>
      <c r="G63" s="358"/>
      <c r="H63" s="358"/>
      <c r="I63" s="358"/>
      <c r="J63" s="358"/>
      <c r="K63" s="358"/>
      <c r="L63" s="358"/>
    </row>
    <row r="64" spans="2:14" outlineLevel="1">
      <c r="B64" s="496" t="s">
        <v>6</v>
      </c>
      <c r="C64" s="490" t="s">
        <v>831</v>
      </c>
      <c r="D64" s="489"/>
      <c r="F64" s="358"/>
      <c r="G64" s="358"/>
      <c r="H64" s="358"/>
      <c r="I64" s="358"/>
      <c r="J64" s="358"/>
      <c r="K64" s="358"/>
      <c r="L64" s="358"/>
    </row>
    <row r="65" spans="1:44" outlineLevel="1">
      <c r="B65" s="496" t="s">
        <v>59</v>
      </c>
      <c r="C65" s="490" t="s">
        <v>832</v>
      </c>
      <c r="D65" s="489"/>
      <c r="F65" s="358"/>
      <c r="G65" s="358"/>
      <c r="H65" s="358"/>
      <c r="I65" s="358"/>
      <c r="J65" s="358"/>
      <c r="K65" s="358"/>
      <c r="L65" s="358"/>
    </row>
    <row r="66" spans="1:44" outlineLevel="1">
      <c r="B66" s="496" t="s">
        <v>16</v>
      </c>
      <c r="C66" s="490" t="s">
        <v>833</v>
      </c>
      <c r="D66" s="489"/>
      <c r="F66" s="358"/>
      <c r="G66" s="358"/>
      <c r="H66" s="358"/>
      <c r="I66" s="358"/>
      <c r="J66" s="358"/>
      <c r="K66" s="358"/>
      <c r="L66" s="358"/>
    </row>
    <row r="67" spans="1:44" outlineLevel="1">
      <c r="B67" s="496" t="s">
        <v>20</v>
      </c>
      <c r="C67" s="490" t="s">
        <v>824</v>
      </c>
      <c r="D67" s="489"/>
      <c r="F67" s="358"/>
      <c r="G67" s="358"/>
      <c r="H67" s="358"/>
      <c r="I67" s="358"/>
      <c r="J67" s="358"/>
      <c r="K67" s="358"/>
      <c r="L67" s="358"/>
    </row>
    <row r="68" spans="1:44" outlineLevel="1">
      <c r="B68" s="496" t="s">
        <v>76</v>
      </c>
      <c r="C68" s="628" t="s">
        <v>834</v>
      </c>
      <c r="D68" s="489"/>
      <c r="F68" s="358"/>
      <c r="G68" s="358"/>
      <c r="H68" s="358"/>
      <c r="I68" s="358"/>
      <c r="J68" s="358"/>
      <c r="K68" s="358"/>
      <c r="L68" s="358"/>
    </row>
    <row r="69" spans="1:44" outlineLevel="1">
      <c r="B69" s="496" t="s">
        <v>25</v>
      </c>
      <c r="C69" s="490" t="s">
        <v>835</v>
      </c>
      <c r="D69" s="489"/>
      <c r="F69" s="358"/>
      <c r="G69" s="358"/>
      <c r="H69" s="358"/>
      <c r="I69" s="358"/>
      <c r="J69" s="358"/>
      <c r="K69" s="358"/>
      <c r="L69" s="358"/>
    </row>
    <row r="70" spans="1:44" outlineLevel="1">
      <c r="B70" s="496" t="s">
        <v>33</v>
      </c>
      <c r="C70" s="490" t="s">
        <v>825</v>
      </c>
      <c r="D70" s="489"/>
      <c r="G70" s="358"/>
      <c r="H70" s="358"/>
      <c r="I70" s="358"/>
      <c r="J70" s="358"/>
      <c r="K70" s="358"/>
      <c r="L70" s="358"/>
    </row>
    <row r="71" spans="1:44" outlineLevel="1">
      <c r="B71" s="496"/>
      <c r="C71" s="489"/>
      <c r="E71" s="490"/>
      <c r="F71" s="490"/>
    </row>
    <row r="72" spans="1:44" outlineLevel="1"/>
    <row r="73" spans="1:44" outlineLevel="1"/>
    <row r="74" spans="1:44" outlineLevel="1"/>
    <row r="77" spans="1:44">
      <c r="A77" s="360"/>
      <c r="B77" s="1207"/>
      <c r="C77" s="1143"/>
      <c r="D77" s="1143"/>
      <c r="E77" s="1143"/>
      <c r="F77" s="1143"/>
      <c r="G77" s="1143"/>
      <c r="H77" s="1143"/>
      <c r="I77" s="1143"/>
      <c r="J77" s="1143"/>
      <c r="K77" s="1143"/>
      <c r="L77" s="1143"/>
      <c r="M77" s="1143"/>
      <c r="N77" s="361"/>
      <c r="P77" s="1143"/>
      <c r="Q77" s="1143"/>
      <c r="R77" s="1143"/>
      <c r="S77" s="1143"/>
      <c r="T77" s="1143"/>
      <c r="U77" s="1143"/>
    </row>
    <row r="78" spans="1:44" ht="15" outlineLevel="1" thickBot="1">
      <c r="B78" s="1207"/>
      <c r="C78" s="1143"/>
      <c r="D78" s="1143"/>
      <c r="E78" s="1143"/>
      <c r="F78" s="1143"/>
      <c r="G78" s="1143"/>
      <c r="H78" s="1143"/>
      <c r="I78" s="1143"/>
      <c r="J78" s="1143"/>
      <c r="K78" s="1143"/>
      <c r="L78" s="1143"/>
      <c r="M78" s="1143"/>
      <c r="N78" s="361"/>
      <c r="P78" s="1143"/>
      <c r="Q78" s="1143"/>
      <c r="R78" s="1143"/>
      <c r="S78" s="1143"/>
      <c r="T78" s="1143"/>
      <c r="U78" s="1143"/>
    </row>
    <row r="79" spans="1:44" ht="20.55" customHeight="1" outlineLevel="1" thickBot="1">
      <c r="B79" s="362"/>
      <c r="C79" s="1186"/>
      <c r="D79" s="1205"/>
      <c r="E79" s="1205"/>
      <c r="F79" s="1205"/>
      <c r="G79" s="1205"/>
      <c r="H79" s="1205"/>
      <c r="I79" s="1205"/>
      <c r="J79" s="1205"/>
      <c r="K79" s="1205"/>
      <c r="L79" s="1206"/>
      <c r="M79" s="363"/>
      <c r="N79" s="363"/>
      <c r="P79" s="364"/>
      <c r="Q79" s="365"/>
      <c r="R79" s="366"/>
      <c r="S79" s="1176"/>
      <c r="T79" s="1160"/>
      <c r="U79" s="1161"/>
      <c r="V79" s="1160"/>
      <c r="W79" s="1161"/>
      <c r="X79" s="1160"/>
      <c r="Y79" s="1161"/>
      <c r="Z79" s="1160"/>
      <c r="AA79" s="1161"/>
      <c r="AB79" s="1160"/>
      <c r="AC79" s="1161"/>
      <c r="AE79" s="364"/>
      <c r="AF79" s="365"/>
      <c r="AG79" s="366"/>
      <c r="AH79" s="1176"/>
      <c r="AI79" s="1160"/>
      <c r="AJ79" s="1161"/>
      <c r="AK79" s="1160"/>
      <c r="AL79" s="1161"/>
      <c r="AM79" s="1160"/>
      <c r="AN79" s="1161"/>
      <c r="AO79" s="1160"/>
      <c r="AP79" s="1161"/>
      <c r="AQ79" s="1160"/>
      <c r="AR79" s="1161"/>
    </row>
    <row r="80" spans="1:44" ht="15" customHeight="1" outlineLevel="1" thickBot="1">
      <c r="B80" s="1164"/>
      <c r="C80" s="1166"/>
      <c r="D80" s="1166"/>
      <c r="E80" s="1166"/>
      <c r="F80" s="1166"/>
      <c r="G80" s="1200"/>
      <c r="H80" s="1201"/>
      <c r="I80" s="1200"/>
      <c r="J80" s="1201"/>
      <c r="K80" s="1202"/>
      <c r="L80" s="1202"/>
      <c r="M80" s="367"/>
      <c r="N80" s="367"/>
      <c r="P80" s="1180"/>
      <c r="Q80" s="368"/>
      <c r="R80" s="368"/>
      <c r="S80" s="1177"/>
      <c r="T80" s="1162"/>
      <c r="U80" s="1163"/>
      <c r="V80" s="1162"/>
      <c r="W80" s="1163"/>
      <c r="X80" s="1162"/>
      <c r="Y80" s="1163"/>
      <c r="Z80" s="1162"/>
      <c r="AA80" s="1163"/>
      <c r="AB80" s="1162"/>
      <c r="AC80" s="1163"/>
      <c r="AE80" s="1180"/>
      <c r="AF80" s="368"/>
      <c r="AG80" s="368"/>
      <c r="AH80" s="1177"/>
      <c r="AI80" s="1162"/>
      <c r="AJ80" s="1163"/>
      <c r="AK80" s="1162"/>
      <c r="AL80" s="1163"/>
      <c r="AM80" s="1162"/>
      <c r="AN80" s="1163"/>
      <c r="AO80" s="1162"/>
      <c r="AP80" s="1163"/>
      <c r="AQ80" s="1162"/>
      <c r="AR80" s="1163"/>
    </row>
    <row r="81" spans="2:44" ht="15" customHeight="1" outlineLevel="1" thickBot="1">
      <c r="B81" s="1165"/>
      <c r="C81" s="1167"/>
      <c r="D81" s="1167"/>
      <c r="E81" s="1167"/>
      <c r="F81" s="1167"/>
      <c r="G81" s="499"/>
      <c r="H81" s="499"/>
      <c r="I81" s="499"/>
      <c r="J81" s="499"/>
      <c r="K81" s="1203"/>
      <c r="L81" s="1203"/>
      <c r="M81" s="370"/>
      <c r="N81" s="370"/>
      <c r="P81" s="1181"/>
      <c r="Q81" s="1183"/>
      <c r="R81" s="1184"/>
      <c r="S81" s="1178"/>
      <c r="T81" s="1162"/>
      <c r="U81" s="1163"/>
      <c r="V81" s="1162"/>
      <c r="W81" s="1163"/>
      <c r="X81" s="1162"/>
      <c r="Y81" s="1163"/>
      <c r="Z81" s="1162"/>
      <c r="AA81" s="1163"/>
      <c r="AB81" s="1162"/>
      <c r="AC81" s="1163"/>
      <c r="AE81" s="1181"/>
      <c r="AF81" s="1197"/>
      <c r="AG81" s="1184"/>
      <c r="AH81" s="1178"/>
      <c r="AI81" s="1162"/>
      <c r="AJ81" s="1163"/>
      <c r="AK81" s="1162"/>
      <c r="AL81" s="1163"/>
      <c r="AM81" s="1162"/>
      <c r="AN81" s="1163"/>
      <c r="AO81" s="1162"/>
      <c r="AP81" s="1163"/>
      <c r="AQ81" s="1162"/>
      <c r="AR81" s="1163"/>
    </row>
    <row r="82" spans="2:44" ht="15" outlineLevel="1" thickBot="1">
      <c r="B82" s="371"/>
      <c r="C82" s="372"/>
      <c r="D82" s="372"/>
      <c r="E82" s="372"/>
      <c r="F82" s="372"/>
      <c r="G82" s="372"/>
      <c r="H82" s="372"/>
      <c r="I82" s="372"/>
      <c r="J82" s="372"/>
      <c r="K82" s="372"/>
      <c r="L82" s="373"/>
      <c r="M82" s="370"/>
      <c r="N82" s="370"/>
      <c r="O82" s="74"/>
      <c r="P82" s="1182"/>
      <c r="Q82" s="1179"/>
      <c r="R82" s="1185"/>
      <c r="S82" s="1179"/>
      <c r="T82" s="374"/>
      <c r="U82" s="375"/>
      <c r="V82" s="374"/>
      <c r="W82" s="375"/>
      <c r="X82" s="374"/>
      <c r="Y82" s="375"/>
      <c r="Z82" s="374"/>
      <c r="AA82" s="375"/>
      <c r="AB82" s="374"/>
      <c r="AC82" s="375"/>
      <c r="AE82" s="1182"/>
      <c r="AF82" s="1198"/>
      <c r="AG82" s="1185"/>
      <c r="AH82" s="1179"/>
      <c r="AI82" s="374"/>
      <c r="AJ82" s="375"/>
      <c r="AK82" s="374"/>
      <c r="AL82" s="375"/>
      <c r="AM82" s="374"/>
      <c r="AN82" s="375"/>
      <c r="AO82" s="374"/>
      <c r="AP82" s="375"/>
      <c r="AQ82" s="374"/>
      <c r="AR82" s="375"/>
    </row>
    <row r="83" spans="2:44" ht="15" customHeight="1" outlineLevel="1">
      <c r="B83" s="500"/>
      <c r="C83" s="501"/>
      <c r="D83" s="501"/>
      <c r="E83" s="502"/>
      <c r="F83" s="501"/>
      <c r="G83" s="501"/>
      <c r="H83" s="501"/>
      <c r="I83" s="501"/>
      <c r="J83" s="501"/>
      <c r="K83" s="503"/>
      <c r="L83" s="504"/>
      <c r="M83" s="370"/>
      <c r="N83" s="370"/>
      <c r="P83" s="1148"/>
      <c r="Q83" s="1154"/>
      <c r="R83" s="381"/>
      <c r="S83" s="382"/>
      <c r="T83" s="1137"/>
      <c r="U83" s="1151"/>
      <c r="V83" s="1137"/>
      <c r="W83" s="1151"/>
      <c r="X83" s="1137"/>
      <c r="Y83" s="1151"/>
      <c r="Z83" s="1137"/>
      <c r="AA83" s="1151"/>
      <c r="AB83" s="1137"/>
      <c r="AC83" s="1151"/>
      <c r="AE83" s="1148"/>
      <c r="AF83" s="1154"/>
      <c r="AG83" s="381"/>
      <c r="AH83" s="382"/>
      <c r="AI83" s="1137"/>
      <c r="AJ83" s="1151"/>
      <c r="AK83" s="1137"/>
      <c r="AL83" s="1151"/>
      <c r="AM83" s="1137"/>
      <c r="AN83" s="1151"/>
      <c r="AO83" s="1137"/>
      <c r="AP83" s="1151"/>
      <c r="AQ83" s="1137"/>
      <c r="AR83" s="1151"/>
    </row>
    <row r="84" spans="2:44" outlineLevel="1">
      <c r="B84" s="383"/>
      <c r="C84" s="384"/>
      <c r="D84" s="384"/>
      <c r="E84" s="384"/>
      <c r="F84" s="384"/>
      <c r="G84" s="505"/>
      <c r="H84" s="505"/>
      <c r="I84" s="505"/>
      <c r="J84" s="505"/>
      <c r="K84" s="372"/>
      <c r="L84" s="373"/>
      <c r="M84" s="370"/>
      <c r="N84" s="370"/>
      <c r="O84" s="71"/>
      <c r="P84" s="1195"/>
      <c r="Q84" s="1155"/>
      <c r="R84" s="388"/>
      <c r="S84" s="389"/>
      <c r="T84" s="1140"/>
      <c r="U84" s="1152"/>
      <c r="V84" s="1140"/>
      <c r="W84" s="1152"/>
      <c r="X84" s="1140"/>
      <c r="Y84" s="1152"/>
      <c r="Z84" s="1140"/>
      <c r="AA84" s="1152"/>
      <c r="AB84" s="1140"/>
      <c r="AC84" s="1152"/>
      <c r="AE84" s="1195"/>
      <c r="AF84" s="1155"/>
      <c r="AG84" s="388"/>
      <c r="AH84" s="389"/>
      <c r="AI84" s="1140"/>
      <c r="AJ84" s="1152"/>
      <c r="AK84" s="1140"/>
      <c r="AL84" s="1152"/>
      <c r="AM84" s="1140"/>
      <c r="AN84" s="1152"/>
      <c r="AO84" s="1140"/>
      <c r="AP84" s="1152"/>
      <c r="AQ84" s="1140"/>
      <c r="AR84" s="1152"/>
    </row>
    <row r="85" spans="2:44" ht="15" outlineLevel="1" thickBot="1">
      <c r="B85" s="500"/>
      <c r="C85" s="506"/>
      <c r="D85" s="507"/>
      <c r="E85" s="507"/>
      <c r="F85" s="508"/>
      <c r="G85" s="507"/>
      <c r="H85" s="507"/>
      <c r="I85" s="507"/>
      <c r="J85" s="507"/>
      <c r="K85" s="503"/>
      <c r="L85" s="504"/>
      <c r="M85" s="370"/>
      <c r="N85" s="370"/>
      <c r="O85" s="71"/>
      <c r="P85" s="1195"/>
      <c r="Q85" s="1156"/>
      <c r="R85" s="393"/>
      <c r="S85" s="394"/>
      <c r="T85" s="1141"/>
      <c r="U85" s="1153"/>
      <c r="V85" s="1141"/>
      <c r="W85" s="1153"/>
      <c r="X85" s="1141"/>
      <c r="Y85" s="1153"/>
      <c r="Z85" s="1141"/>
      <c r="AA85" s="1153"/>
      <c r="AB85" s="1141"/>
      <c r="AC85" s="1153"/>
      <c r="AE85" s="1195"/>
      <c r="AF85" s="1156"/>
      <c r="AG85" s="393"/>
      <c r="AH85" s="394"/>
      <c r="AI85" s="1141"/>
      <c r="AJ85" s="1153"/>
      <c r="AK85" s="1141"/>
      <c r="AL85" s="1153"/>
      <c r="AM85" s="1141"/>
      <c r="AN85" s="1153"/>
      <c r="AO85" s="1141"/>
      <c r="AP85" s="1153"/>
      <c r="AQ85" s="1141"/>
      <c r="AR85" s="1153"/>
    </row>
    <row r="86" spans="2:44" ht="15" customHeight="1" outlineLevel="1">
      <c r="B86" s="500"/>
      <c r="C86" s="506"/>
      <c r="D86" s="506"/>
      <c r="E86" s="506"/>
      <c r="F86" s="506"/>
      <c r="G86" s="506"/>
      <c r="H86" s="506"/>
      <c r="I86" s="506"/>
      <c r="J86" s="506"/>
      <c r="K86" s="503"/>
      <c r="L86" s="504"/>
      <c r="M86" s="370"/>
      <c r="N86" s="370"/>
      <c r="O86" s="71"/>
      <c r="P86" s="1195"/>
      <c r="Q86" s="1154"/>
      <c r="R86" s="395"/>
      <c r="S86" s="396"/>
      <c r="T86" s="1137"/>
      <c r="U86" s="1137"/>
      <c r="V86" s="1137"/>
      <c r="W86" s="1137"/>
      <c r="X86" s="1137"/>
      <c r="Y86" s="1137"/>
      <c r="Z86" s="1137"/>
      <c r="AA86" s="1137"/>
      <c r="AB86" s="1137"/>
      <c r="AC86" s="1137"/>
      <c r="AE86" s="1195"/>
      <c r="AF86" s="1154"/>
      <c r="AG86" s="395"/>
      <c r="AH86" s="396"/>
      <c r="AI86" s="1137"/>
      <c r="AJ86" s="1137"/>
      <c r="AK86" s="1137"/>
      <c r="AL86" s="1137"/>
      <c r="AM86" s="1137"/>
      <c r="AN86" s="1137"/>
      <c r="AO86" s="1137"/>
      <c r="AP86" s="1137"/>
      <c r="AQ86" s="1137"/>
      <c r="AR86" s="1137"/>
    </row>
    <row r="87" spans="2:44" outlineLevel="1">
      <c r="B87" s="500"/>
      <c r="C87" s="506"/>
      <c r="D87" s="506"/>
      <c r="E87" s="506"/>
      <c r="F87" s="506"/>
      <c r="G87" s="506"/>
      <c r="H87" s="506"/>
      <c r="I87" s="506"/>
      <c r="J87" s="506"/>
      <c r="K87" s="503"/>
      <c r="L87" s="504"/>
      <c r="M87" s="367"/>
      <c r="N87" s="367"/>
      <c r="O87" s="71"/>
      <c r="P87" s="1195"/>
      <c r="Q87" s="1155"/>
      <c r="R87" s="395"/>
      <c r="S87" s="396"/>
      <c r="T87" s="1138"/>
      <c r="U87" s="1138"/>
      <c r="V87" s="1138"/>
      <c r="W87" s="1138"/>
      <c r="X87" s="1138"/>
      <c r="Y87" s="1138"/>
      <c r="Z87" s="1138"/>
      <c r="AA87" s="1138"/>
      <c r="AB87" s="1138"/>
      <c r="AC87" s="1138"/>
      <c r="AE87" s="1195"/>
      <c r="AF87" s="1155"/>
      <c r="AG87" s="395"/>
      <c r="AH87" s="396"/>
      <c r="AI87" s="1138"/>
      <c r="AJ87" s="1138"/>
      <c r="AK87" s="1138"/>
      <c r="AL87" s="1138"/>
      <c r="AM87" s="1138"/>
      <c r="AN87" s="1138"/>
      <c r="AO87" s="1138"/>
      <c r="AP87" s="1138"/>
      <c r="AQ87" s="1138"/>
      <c r="AR87" s="1138"/>
    </row>
    <row r="88" spans="2:44" outlineLevel="1">
      <c r="B88" s="383"/>
      <c r="C88" s="397"/>
      <c r="D88" s="397"/>
      <c r="E88" s="397"/>
      <c r="F88" s="397"/>
      <c r="G88" s="399"/>
      <c r="H88" s="399"/>
      <c r="I88" s="399"/>
      <c r="J88" s="399"/>
      <c r="K88" s="372"/>
      <c r="L88" s="373"/>
      <c r="M88" s="363"/>
      <c r="N88" s="363"/>
      <c r="P88" s="1195"/>
      <c r="Q88" s="1155"/>
      <c r="R88" s="395"/>
      <c r="S88" s="396"/>
      <c r="T88" s="1138"/>
      <c r="U88" s="1138"/>
      <c r="V88" s="1138"/>
      <c r="W88" s="1138"/>
      <c r="X88" s="1138"/>
      <c r="Y88" s="1138"/>
      <c r="Z88" s="1138"/>
      <c r="AA88" s="1138"/>
      <c r="AB88" s="1138"/>
      <c r="AC88" s="1138"/>
      <c r="AE88" s="1195"/>
      <c r="AF88" s="1155"/>
      <c r="AG88" s="395"/>
      <c r="AH88" s="396"/>
      <c r="AI88" s="1138"/>
      <c r="AJ88" s="1138"/>
      <c r="AK88" s="1138"/>
      <c r="AL88" s="1138"/>
      <c r="AM88" s="1138"/>
      <c r="AN88" s="1138"/>
      <c r="AO88" s="1138"/>
      <c r="AP88" s="1138"/>
      <c r="AQ88" s="1138"/>
      <c r="AR88" s="1138"/>
    </row>
    <row r="89" spans="2:44" ht="15" outlineLevel="1" thickBot="1">
      <c r="B89" s="500"/>
      <c r="C89" s="506"/>
      <c r="D89" s="506"/>
      <c r="E89" s="506"/>
      <c r="F89" s="506"/>
      <c r="G89" s="506"/>
      <c r="H89" s="506"/>
      <c r="I89" s="506"/>
      <c r="J89" s="506"/>
      <c r="K89" s="372"/>
      <c r="L89" s="400"/>
      <c r="M89" s="363"/>
      <c r="N89" s="363"/>
      <c r="P89" s="1195"/>
      <c r="Q89" s="1155"/>
      <c r="R89" s="395"/>
      <c r="S89" s="396"/>
      <c r="T89" s="1138"/>
      <c r="U89" s="1138"/>
      <c r="V89" s="1138"/>
      <c r="W89" s="1138"/>
      <c r="X89" s="1138"/>
      <c r="Y89" s="1138"/>
      <c r="Z89" s="1138"/>
      <c r="AA89" s="1138"/>
      <c r="AB89" s="1138"/>
      <c r="AC89" s="1138"/>
      <c r="AE89" s="1195"/>
      <c r="AF89" s="1155"/>
      <c r="AG89" s="395"/>
      <c r="AH89" s="396"/>
      <c r="AI89" s="1138"/>
      <c r="AJ89" s="1138"/>
      <c r="AK89" s="1138"/>
      <c r="AL89" s="1138"/>
      <c r="AM89" s="1138"/>
      <c r="AN89" s="1138"/>
      <c r="AO89" s="1138"/>
      <c r="AP89" s="1138"/>
      <c r="AQ89" s="1138"/>
      <c r="AR89" s="1138"/>
    </row>
    <row r="90" spans="2:44" ht="15" outlineLevel="1" thickBot="1">
      <c r="B90" s="401"/>
      <c r="C90" s="402"/>
      <c r="D90" s="403"/>
      <c r="E90" s="404"/>
      <c r="F90" s="405"/>
      <c r="G90" s="406"/>
      <c r="H90" s="406"/>
      <c r="I90" s="406"/>
      <c r="J90" s="406"/>
      <c r="K90" s="407"/>
      <c r="L90" s="408"/>
      <c r="M90" s="363"/>
      <c r="N90" s="363"/>
      <c r="P90" s="1195"/>
      <c r="Q90" s="1155"/>
      <c r="R90" s="409"/>
      <c r="S90" s="410"/>
      <c r="T90" s="1139"/>
      <c r="U90" s="1139"/>
      <c r="V90" s="1139"/>
      <c r="W90" s="1139"/>
      <c r="X90" s="1139"/>
      <c r="Y90" s="1139"/>
      <c r="Z90" s="1139"/>
      <c r="AA90" s="1139"/>
      <c r="AB90" s="1139"/>
      <c r="AC90" s="1139"/>
      <c r="AE90" s="1195"/>
      <c r="AF90" s="1155"/>
      <c r="AG90" s="409"/>
      <c r="AH90" s="410"/>
      <c r="AI90" s="1139"/>
      <c r="AJ90" s="1139"/>
      <c r="AK90" s="1139"/>
      <c r="AL90" s="1139"/>
      <c r="AM90" s="1139"/>
      <c r="AN90" s="1139"/>
      <c r="AO90" s="1139"/>
      <c r="AP90" s="1139"/>
      <c r="AQ90" s="1139"/>
      <c r="AR90" s="1139"/>
    </row>
    <row r="91" spans="2:44" ht="15" outlineLevel="1" thickBot="1">
      <c r="B91" s="500"/>
      <c r="C91" s="506"/>
      <c r="D91" s="506"/>
      <c r="E91" s="506"/>
      <c r="F91" s="506"/>
      <c r="G91" s="507"/>
      <c r="H91" s="507"/>
      <c r="I91" s="507"/>
      <c r="J91" s="507"/>
      <c r="K91" s="503"/>
      <c r="L91" s="504"/>
      <c r="M91" s="363"/>
      <c r="N91" s="363"/>
      <c r="P91" s="1196"/>
      <c r="Q91" s="411"/>
      <c r="R91" s="412"/>
      <c r="S91" s="413"/>
      <c r="T91" s="414"/>
      <c r="U91" s="415"/>
      <c r="V91" s="416"/>
      <c r="W91" s="415"/>
      <c r="X91" s="416"/>
      <c r="Y91" s="415"/>
      <c r="Z91" s="416"/>
      <c r="AA91" s="415"/>
      <c r="AB91" s="416"/>
      <c r="AC91" s="417"/>
      <c r="AE91" s="1196"/>
      <c r="AF91" s="411"/>
      <c r="AG91" s="412"/>
      <c r="AH91" s="413"/>
      <c r="AI91" s="414"/>
      <c r="AJ91" s="415"/>
      <c r="AK91" s="414"/>
      <c r="AL91" s="415"/>
      <c r="AM91" s="414"/>
      <c r="AN91" s="415"/>
      <c r="AO91" s="414"/>
      <c r="AP91" s="415"/>
      <c r="AQ91" s="414"/>
      <c r="AR91" s="417"/>
    </row>
    <row r="92" spans="2:44" outlineLevel="1">
      <c r="B92" s="500"/>
      <c r="C92" s="506"/>
      <c r="D92" s="506"/>
      <c r="E92" s="506"/>
      <c r="F92" s="506"/>
      <c r="G92" s="509"/>
      <c r="H92" s="509"/>
      <c r="I92" s="509"/>
      <c r="J92" s="509"/>
      <c r="K92" s="510"/>
      <c r="L92" s="504"/>
      <c r="M92" s="363"/>
      <c r="N92" s="363"/>
    </row>
    <row r="93" spans="2:44" outlineLevel="1">
      <c r="B93" s="500"/>
      <c r="C93" s="506"/>
      <c r="D93" s="506"/>
      <c r="E93" s="506"/>
      <c r="F93" s="506"/>
      <c r="G93" s="509"/>
      <c r="H93" s="509"/>
      <c r="I93" s="509"/>
      <c r="J93" s="509"/>
      <c r="K93" s="510"/>
      <c r="L93" s="504"/>
      <c r="M93" s="420"/>
      <c r="N93" s="363"/>
    </row>
    <row r="94" spans="2:44" outlineLevel="1">
      <c r="B94" s="421"/>
      <c r="C94" s="399"/>
      <c r="D94" s="399"/>
      <c r="E94" s="399"/>
      <c r="F94" s="399"/>
      <c r="G94" s="422"/>
      <c r="H94" s="422"/>
      <c r="I94" s="422"/>
      <c r="J94" s="422"/>
      <c r="K94" s="423"/>
      <c r="L94" s="424"/>
      <c r="M94" s="420"/>
      <c r="N94" s="420"/>
    </row>
    <row r="95" spans="2:44" outlineLevel="1">
      <c r="B95" s="383"/>
      <c r="C95" s="397"/>
      <c r="D95" s="397"/>
      <c r="E95" s="397"/>
      <c r="F95" s="397"/>
      <c r="G95" s="422"/>
      <c r="H95" s="425"/>
      <c r="I95" s="425"/>
      <c r="J95" s="425"/>
      <c r="K95" s="426"/>
      <c r="L95" s="427"/>
      <c r="M95" s="428"/>
      <c r="N95" s="428"/>
    </row>
    <row r="96" spans="2:44" outlineLevel="1">
      <c r="B96" s="383"/>
      <c r="C96" s="397"/>
      <c r="D96" s="397"/>
      <c r="E96" s="397"/>
      <c r="F96" s="397"/>
      <c r="G96" s="425"/>
      <c r="H96" s="425"/>
      <c r="I96" s="425"/>
      <c r="J96" s="425"/>
      <c r="K96" s="423"/>
      <c r="L96" s="427"/>
      <c r="M96" s="428"/>
      <c r="N96" s="428"/>
    </row>
    <row r="97" spans="1:30" outlineLevel="1">
      <c r="B97" s="383"/>
      <c r="C97" s="397"/>
      <c r="D97" s="397"/>
      <c r="E97" s="397"/>
      <c r="F97" s="397"/>
      <c r="G97" s="425"/>
      <c r="H97" s="425"/>
      <c r="I97" s="425"/>
      <c r="J97" s="425"/>
      <c r="K97" s="423"/>
      <c r="L97" s="427"/>
      <c r="M97" s="428"/>
      <c r="N97" s="428"/>
    </row>
    <row r="98" spans="1:30" outlineLevel="1">
      <c r="B98" s="383"/>
      <c r="C98" s="397"/>
      <c r="D98" s="397"/>
      <c r="E98" s="397"/>
      <c r="F98" s="397"/>
      <c r="G98" s="425"/>
      <c r="H98" s="425"/>
      <c r="I98" s="425"/>
      <c r="J98" s="425"/>
      <c r="K98" s="423"/>
      <c r="L98" s="427"/>
      <c r="M98" s="428"/>
      <c r="N98" s="428"/>
    </row>
    <row r="99" spans="1:30" ht="15" outlineLevel="1" thickBot="1">
      <c r="B99" s="429"/>
      <c r="C99" s="430"/>
      <c r="D99" s="430"/>
      <c r="E99" s="430"/>
      <c r="F99" s="430"/>
      <c r="G99" s="425"/>
      <c r="H99" s="425"/>
      <c r="I99" s="425"/>
      <c r="J99" s="425"/>
      <c r="K99" s="423"/>
      <c r="L99" s="427"/>
      <c r="M99" s="428"/>
      <c r="N99" s="428"/>
    </row>
    <row r="100" spans="1:30" ht="15" outlineLevel="1" thickBot="1">
      <c r="B100" s="431"/>
      <c r="C100" s="432"/>
      <c r="D100" s="403"/>
      <c r="E100" s="403"/>
      <c r="F100" s="433"/>
      <c r="G100" s="434"/>
      <c r="H100" s="406"/>
      <c r="I100" s="406"/>
      <c r="J100" s="406"/>
      <c r="K100" s="407"/>
      <c r="L100" s="408"/>
      <c r="M100" s="428"/>
      <c r="N100" s="428"/>
    </row>
    <row r="101" spans="1:30" outlineLevel="1">
      <c r="A101" s="435"/>
      <c r="B101" s="436"/>
      <c r="C101" s="511"/>
      <c r="D101" s="512"/>
      <c r="E101" s="512"/>
      <c r="F101" s="513"/>
      <c r="G101" s="425"/>
      <c r="H101" s="425"/>
      <c r="I101" s="425"/>
      <c r="J101" s="425"/>
      <c r="K101" s="426"/>
      <c r="L101" s="440"/>
      <c r="M101" s="420"/>
      <c r="N101" s="420"/>
    </row>
    <row r="102" spans="1:30" outlineLevel="1">
      <c r="B102" s="441"/>
      <c r="C102" s="442"/>
      <c r="D102" s="442"/>
      <c r="E102" s="442"/>
      <c r="F102" s="442"/>
      <c r="G102" s="425"/>
      <c r="H102" s="425"/>
      <c r="I102" s="425"/>
      <c r="J102" s="425"/>
      <c r="K102" s="444"/>
      <c r="L102" s="373"/>
      <c r="M102" s="71"/>
      <c r="N102" s="420"/>
    </row>
    <row r="103" spans="1:30" outlineLevel="1">
      <c r="B103" s="441"/>
      <c r="C103" s="442"/>
      <c r="D103" s="442"/>
      <c r="E103" s="442"/>
      <c r="F103" s="442"/>
      <c r="G103" s="425"/>
      <c r="H103" s="425"/>
      <c r="I103" s="425"/>
      <c r="J103" s="425"/>
      <c r="K103" s="444"/>
      <c r="L103" s="373"/>
      <c r="M103" s="420"/>
      <c r="N103" s="420"/>
    </row>
    <row r="104" spans="1:30" outlineLevel="1">
      <c r="B104" s="383"/>
      <c r="C104" s="445"/>
      <c r="D104" s="446"/>
      <c r="E104" s="446"/>
      <c r="F104" s="447"/>
      <c r="G104" s="425"/>
      <c r="H104" s="425"/>
      <c r="I104" s="425"/>
      <c r="J104" s="425"/>
      <c r="K104" s="448"/>
      <c r="L104" s="373"/>
      <c r="M104" s="420"/>
      <c r="N104" s="420"/>
    </row>
    <row r="105" spans="1:30" outlineLevel="1">
      <c r="B105" s="383"/>
      <c r="C105" s="449"/>
      <c r="D105" s="449"/>
      <c r="E105" s="449"/>
      <c r="F105" s="449"/>
      <c r="G105" s="425"/>
      <c r="H105" s="425"/>
      <c r="I105" s="425"/>
      <c r="J105" s="425"/>
      <c r="K105" s="448"/>
      <c r="L105" s="373"/>
      <c r="M105" s="450"/>
      <c r="N105" s="361"/>
      <c r="P105" s="1142"/>
      <c r="Q105" s="1143"/>
      <c r="R105" s="1143"/>
      <c r="S105" s="1143"/>
      <c r="T105" s="1143"/>
      <c r="U105" s="1144"/>
    </row>
    <row r="106" spans="1:30" ht="15" outlineLevel="1" thickBot="1">
      <c r="B106" s="500"/>
      <c r="C106" s="514"/>
      <c r="D106" s="514"/>
      <c r="E106" s="514"/>
      <c r="F106" s="514"/>
      <c r="G106" s="515"/>
      <c r="H106" s="515"/>
      <c r="I106" s="515"/>
      <c r="J106" s="515"/>
      <c r="K106" s="503"/>
      <c r="L106" s="504"/>
      <c r="M106" s="450"/>
      <c r="N106" s="361"/>
      <c r="P106" s="1134"/>
      <c r="Q106" s="1135"/>
      <c r="R106" s="1135"/>
      <c r="S106" s="1135"/>
      <c r="T106" s="1135"/>
      <c r="U106" s="1136"/>
    </row>
    <row r="107" spans="1:30" outlineLevel="1">
      <c r="B107" s="500"/>
      <c r="C107" s="516"/>
      <c r="D107" s="516"/>
      <c r="E107" s="516"/>
      <c r="F107" s="516"/>
      <c r="G107" s="515"/>
      <c r="H107" s="515"/>
      <c r="I107" s="515"/>
      <c r="J107" s="515"/>
      <c r="K107" s="517"/>
      <c r="L107" s="504"/>
      <c r="M107" s="363"/>
      <c r="N107" s="363"/>
      <c r="P107" s="53"/>
    </row>
    <row r="108" spans="1:30" outlineLevel="1">
      <c r="B108" s="441"/>
      <c r="C108" s="518"/>
      <c r="D108" s="518"/>
      <c r="E108" s="518"/>
      <c r="F108" s="518"/>
      <c r="G108" s="425"/>
      <c r="H108" s="425"/>
      <c r="I108" s="425"/>
      <c r="J108" s="425"/>
      <c r="K108" s="444"/>
      <c r="L108" s="424"/>
      <c r="M108" s="367"/>
      <c r="N108" s="367"/>
      <c r="P108" s="46"/>
      <c r="Q108" s="46"/>
      <c r="R108" s="47"/>
      <c r="S108" s="47"/>
      <c r="T108" s="47"/>
      <c r="U108" s="48"/>
      <c r="V108" s="49"/>
      <c r="W108" s="49"/>
      <c r="X108" s="49"/>
      <c r="Y108" s="49"/>
      <c r="Z108" s="49"/>
      <c r="AA108" s="49"/>
      <c r="AB108" s="49"/>
      <c r="AC108" s="49"/>
      <c r="AD108" s="49"/>
    </row>
    <row r="109" spans="1:30" ht="15" outlineLevel="1" thickBot="1">
      <c r="B109" s="519"/>
      <c r="C109" s="442"/>
      <c r="D109" s="520"/>
      <c r="E109" s="520"/>
      <c r="F109" s="521"/>
      <c r="G109" s="425"/>
      <c r="H109" s="425"/>
      <c r="I109" s="425"/>
      <c r="J109" s="425"/>
      <c r="K109" s="448"/>
      <c r="L109" s="424"/>
      <c r="M109" s="363"/>
      <c r="N109" s="363"/>
      <c r="P109" s="50"/>
      <c r="Q109" s="50"/>
      <c r="R109" s="51"/>
      <c r="S109" s="51"/>
      <c r="T109" s="51"/>
      <c r="U109" s="51"/>
      <c r="V109" s="50"/>
      <c r="W109" s="50"/>
      <c r="X109" s="50"/>
      <c r="Y109" s="50"/>
      <c r="Z109" s="50"/>
      <c r="AA109" s="50"/>
      <c r="AB109" s="50"/>
      <c r="AC109" s="50"/>
      <c r="AD109" s="50"/>
    </row>
    <row r="110" spans="1:30" ht="15" outlineLevel="1" thickBot="1">
      <c r="B110" s="401"/>
      <c r="C110" s="402"/>
      <c r="D110" s="403"/>
      <c r="E110" s="404"/>
      <c r="F110" s="405"/>
      <c r="G110" s="406"/>
      <c r="H110" s="406"/>
      <c r="I110" s="406"/>
      <c r="J110" s="406"/>
      <c r="K110" s="459"/>
      <c r="L110" s="460"/>
      <c r="M110" s="363"/>
      <c r="N110" s="363"/>
      <c r="O110" s="461"/>
      <c r="P110" s="56"/>
      <c r="Q110" s="56"/>
      <c r="R110" s="57"/>
      <c r="S110" s="57"/>
      <c r="T110" s="57"/>
      <c r="U110" s="56"/>
      <c r="V110" s="56"/>
      <c r="W110" s="56"/>
      <c r="X110" s="56"/>
      <c r="Y110" s="56"/>
      <c r="Z110" s="56"/>
      <c r="AA110" s="56"/>
      <c r="AB110" s="56"/>
      <c r="AC110" s="56"/>
      <c r="AD110" s="56"/>
    </row>
    <row r="111" spans="1:30" outlineLevel="1">
      <c r="B111" s="522"/>
      <c r="C111" s="523"/>
      <c r="D111" s="523"/>
      <c r="E111" s="523"/>
      <c r="F111" s="523"/>
      <c r="G111" s="524"/>
      <c r="H111" s="524"/>
      <c r="I111" s="524"/>
      <c r="J111" s="524"/>
      <c r="K111" s="524"/>
      <c r="L111" s="525"/>
      <c r="M111" s="363"/>
      <c r="N111" s="363"/>
      <c r="O111" s="465"/>
      <c r="P111" s="466"/>
      <c r="Q111" s="58"/>
      <c r="R111" s="466"/>
      <c r="S111" s="58"/>
      <c r="T111" s="466"/>
      <c r="U111" s="467"/>
      <c r="V111" s="467"/>
      <c r="W111" s="467"/>
      <c r="X111" s="58"/>
      <c r="Y111" s="58"/>
      <c r="Z111" s="466"/>
      <c r="AA111" s="468"/>
      <c r="AB111" s="468"/>
      <c r="AC111" s="468"/>
      <c r="AD111" s="468"/>
    </row>
    <row r="112" spans="1:30" outlineLevel="1">
      <c r="B112" s="500"/>
      <c r="C112" s="526"/>
      <c r="D112" s="527"/>
      <c r="E112" s="527"/>
      <c r="F112" s="528"/>
      <c r="G112" s="528"/>
      <c r="H112" s="528"/>
      <c r="I112" s="528"/>
      <c r="J112" s="528"/>
      <c r="K112" s="529"/>
      <c r="L112" s="525"/>
      <c r="M112" s="363"/>
      <c r="N112" s="363"/>
      <c r="O112" s="465"/>
      <c r="P112" s="466"/>
      <c r="Q112" s="58"/>
      <c r="R112" s="466"/>
      <c r="S112" s="58"/>
      <c r="T112" s="466"/>
      <c r="U112" s="467"/>
      <c r="V112" s="467"/>
      <c r="W112" s="467"/>
      <c r="X112" s="58"/>
      <c r="Y112" s="58"/>
      <c r="Z112" s="466"/>
      <c r="AA112" s="468"/>
      <c r="AB112" s="468"/>
      <c r="AC112" s="468"/>
      <c r="AD112" s="468"/>
    </row>
    <row r="113" spans="2:30" outlineLevel="1">
      <c r="B113" s="500"/>
      <c r="C113" s="526"/>
      <c r="D113" s="527"/>
      <c r="E113" s="527"/>
      <c r="F113" s="528"/>
      <c r="G113" s="515"/>
      <c r="H113" s="515"/>
      <c r="I113" s="515"/>
      <c r="J113" s="515"/>
      <c r="K113" s="515"/>
      <c r="L113" s="504"/>
      <c r="M113" s="363"/>
      <c r="N113" s="363"/>
      <c r="O113" s="465"/>
      <c r="P113" s="466"/>
      <c r="Q113" s="58"/>
      <c r="R113" s="466"/>
      <c r="S113" s="58"/>
      <c r="T113" s="466"/>
      <c r="U113" s="467"/>
      <c r="V113" s="467"/>
      <c r="W113" s="467"/>
      <c r="X113" s="58"/>
      <c r="Y113" s="58"/>
      <c r="Z113" s="466"/>
      <c r="AA113" s="468"/>
      <c r="AB113" s="468"/>
      <c r="AC113" s="468"/>
      <c r="AD113" s="468"/>
    </row>
    <row r="114" spans="2:30" outlineLevel="1">
      <c r="B114" s="500"/>
      <c r="C114" s="530"/>
      <c r="D114" s="530"/>
      <c r="E114" s="530"/>
      <c r="F114" s="530"/>
      <c r="G114" s="531"/>
      <c r="H114" s="531"/>
      <c r="I114" s="531"/>
      <c r="J114" s="531"/>
      <c r="K114" s="531"/>
      <c r="L114" s="504"/>
      <c r="M114" s="363"/>
      <c r="N114" s="363"/>
      <c r="O114" s="465"/>
      <c r="P114" s="466"/>
      <c r="Q114" s="58"/>
      <c r="R114" s="466"/>
      <c r="S114" s="58"/>
      <c r="T114" s="466"/>
      <c r="U114" s="467"/>
      <c r="V114" s="467"/>
      <c r="W114" s="467"/>
      <c r="X114" s="58"/>
      <c r="Y114" s="58"/>
      <c r="Z114" s="466"/>
      <c r="AA114" s="468"/>
      <c r="AB114" s="468"/>
      <c r="AC114" s="468"/>
      <c r="AD114" s="468"/>
    </row>
    <row r="115" spans="2:30" outlineLevel="1">
      <c r="B115" s="532"/>
      <c r="C115" s="526"/>
      <c r="D115" s="527"/>
      <c r="E115" s="527"/>
      <c r="F115" s="528"/>
      <c r="G115" s="531"/>
      <c r="H115" s="531"/>
      <c r="I115" s="531"/>
      <c r="J115" s="531"/>
      <c r="K115" s="531"/>
      <c r="L115" s="533"/>
      <c r="M115" s="367"/>
      <c r="N115" s="367"/>
    </row>
    <row r="116" spans="2:30" outlineLevel="1">
      <c r="B116" s="532"/>
      <c r="C116" s="526"/>
      <c r="D116" s="527"/>
      <c r="E116" s="527"/>
      <c r="F116" s="528"/>
      <c r="G116" s="531"/>
      <c r="H116" s="531"/>
      <c r="I116" s="531"/>
      <c r="J116" s="531"/>
      <c r="K116" s="531"/>
      <c r="L116" s="533"/>
      <c r="M116" s="363"/>
      <c r="N116" s="363"/>
    </row>
    <row r="117" spans="2:30" ht="15" outlineLevel="1" thickBot="1">
      <c r="B117" s="534"/>
      <c r="C117" s="535"/>
      <c r="D117" s="536"/>
      <c r="E117" s="536"/>
      <c r="F117" s="537"/>
      <c r="G117" s="538"/>
      <c r="H117" s="538"/>
      <c r="I117" s="538"/>
      <c r="J117" s="538"/>
      <c r="K117" s="538"/>
      <c r="L117" s="539"/>
      <c r="M117" s="363"/>
      <c r="N117" s="363"/>
    </row>
    <row r="118" spans="2:30" outlineLevel="1">
      <c r="B118" s="461"/>
      <c r="C118" s="483"/>
      <c r="D118" s="483"/>
      <c r="E118" s="483"/>
      <c r="F118" s="483"/>
      <c r="G118" s="483"/>
      <c r="H118" s="484"/>
      <c r="I118" s="420"/>
      <c r="J118" s="420"/>
      <c r="K118" s="484"/>
      <c r="L118" s="484"/>
      <c r="N118" s="420"/>
    </row>
    <row r="119" spans="2:30" outlineLevel="1">
      <c r="B119" s="485"/>
      <c r="C119" s="486"/>
      <c r="D119" s="486"/>
      <c r="E119" s="486"/>
      <c r="F119" s="486"/>
      <c r="G119" s="486"/>
      <c r="H119" s="484"/>
      <c r="I119" s="71"/>
      <c r="J119" s="420"/>
      <c r="K119" s="484"/>
      <c r="L119" s="484"/>
      <c r="N119" s="420"/>
    </row>
    <row r="120" spans="2:30" outlineLevel="1">
      <c r="B120" s="461"/>
      <c r="C120" s="359"/>
      <c r="D120" s="359"/>
      <c r="E120" s="359"/>
      <c r="F120" s="359"/>
      <c r="G120" s="359"/>
      <c r="I120" s="420"/>
      <c r="J120" s="420"/>
      <c r="N120" s="420"/>
    </row>
    <row r="121" spans="2:30" outlineLevel="1">
      <c r="B121" s="461"/>
      <c r="C121" s="487"/>
      <c r="D121" s="487"/>
      <c r="E121" s="487"/>
      <c r="F121" s="487"/>
      <c r="G121" s="359"/>
      <c r="M121" s="420"/>
      <c r="N121" s="420"/>
    </row>
    <row r="122" spans="2:30" outlineLevel="1"/>
    <row r="123" spans="2:30" outlineLevel="1"/>
    <row r="124" spans="2:30" outlineLevel="1"/>
    <row r="125" spans="2:30" outlineLevel="1"/>
    <row r="126" spans="2:30" outlineLevel="1">
      <c r="B126" s="488"/>
      <c r="C126" s="489"/>
      <c r="D126" s="490"/>
      <c r="E126" s="490"/>
      <c r="F126" s="490"/>
    </row>
    <row r="127" spans="2:30" outlineLevel="1">
      <c r="B127" s="491"/>
      <c r="C127" s="492"/>
      <c r="E127" s="490"/>
      <c r="F127" s="490"/>
    </row>
    <row r="128" spans="2:30" outlineLevel="1">
      <c r="B128" s="491"/>
      <c r="C128" s="493"/>
      <c r="E128" s="490"/>
      <c r="F128" s="490"/>
    </row>
    <row r="129" spans="2:6" outlineLevel="1">
      <c r="B129" s="491"/>
      <c r="C129" s="493"/>
      <c r="E129" s="490"/>
      <c r="F129" s="490"/>
    </row>
    <row r="130" spans="2:6" outlineLevel="1">
      <c r="B130" s="491"/>
      <c r="C130" s="493"/>
      <c r="E130" s="490"/>
      <c r="F130" s="490"/>
    </row>
    <row r="131" spans="2:6" outlineLevel="1">
      <c r="B131" s="358"/>
      <c r="C131" s="494"/>
      <c r="D131" s="490"/>
      <c r="E131" s="490"/>
      <c r="F131" s="490"/>
    </row>
    <row r="132" spans="2:6" outlineLevel="1">
      <c r="B132" s="358"/>
      <c r="C132" s="492"/>
      <c r="D132" s="490"/>
      <c r="E132" s="490"/>
      <c r="F132" s="490"/>
    </row>
    <row r="133" spans="2:6" outlineLevel="1">
      <c r="B133" s="358"/>
      <c r="C133" s="495"/>
      <c r="D133" s="490"/>
      <c r="E133" s="490"/>
      <c r="F133" s="490"/>
    </row>
    <row r="134" spans="2:6" outlineLevel="1">
      <c r="B134" s="358"/>
      <c r="C134" s="495"/>
      <c r="D134" s="490"/>
      <c r="E134" s="490"/>
      <c r="F134" s="490"/>
    </row>
    <row r="135" spans="2:6" outlineLevel="1">
      <c r="B135" s="358"/>
      <c r="C135" s="489"/>
      <c r="D135" s="490"/>
      <c r="E135" s="490"/>
      <c r="F135" s="490"/>
    </row>
    <row r="136" spans="2:6" outlineLevel="1">
      <c r="B136" s="358"/>
      <c r="C136" s="490"/>
      <c r="D136" s="490"/>
      <c r="E136" s="490"/>
      <c r="F136" s="490"/>
    </row>
    <row r="137" spans="2:6" outlineLevel="1">
      <c r="B137" s="488"/>
      <c r="C137" s="489"/>
      <c r="D137" s="490"/>
      <c r="E137" s="490"/>
      <c r="F137" s="490"/>
    </row>
    <row r="138" spans="2:6" outlineLevel="1">
      <c r="B138" s="496"/>
      <c r="C138" s="497"/>
      <c r="E138" s="490"/>
      <c r="F138" s="490"/>
    </row>
    <row r="139" spans="2:6" outlineLevel="1">
      <c r="B139" s="496" t="s">
        <v>59</v>
      </c>
      <c r="C139" s="489" t="s">
        <v>785</v>
      </c>
      <c r="E139" s="490"/>
      <c r="F139" s="490"/>
    </row>
    <row r="140" spans="2:6" outlineLevel="1">
      <c r="B140" s="496" t="s">
        <v>16</v>
      </c>
      <c r="C140" s="489" t="s">
        <v>786</v>
      </c>
      <c r="E140" s="490"/>
      <c r="F140" s="490"/>
    </row>
    <row r="141" spans="2:6" outlineLevel="1">
      <c r="B141" s="496" t="s">
        <v>20</v>
      </c>
      <c r="C141" s="489" t="s">
        <v>787</v>
      </c>
      <c r="E141" s="490"/>
      <c r="F141" s="490"/>
    </row>
    <row r="142" spans="2:6" outlineLevel="1">
      <c r="B142" s="496" t="s">
        <v>76</v>
      </c>
      <c r="C142" s="498" t="s">
        <v>788</v>
      </c>
      <c r="E142" s="490"/>
      <c r="F142" s="490"/>
    </row>
    <row r="143" spans="2:6" outlineLevel="1">
      <c r="B143" s="496" t="s">
        <v>25</v>
      </c>
      <c r="C143" s="489" t="s">
        <v>789</v>
      </c>
      <c r="E143" s="490"/>
      <c r="F143" s="490"/>
    </row>
    <row r="144" spans="2:6" outlineLevel="1"/>
    <row r="145" spans="1:44" outlineLevel="1">
      <c r="M145" s="214"/>
    </row>
    <row r="146" spans="1:44" outlineLevel="1"/>
    <row r="149" spans="1:44">
      <c r="A149" s="360"/>
      <c r="B149" s="1207"/>
      <c r="C149" s="1143"/>
      <c r="D149" s="1143"/>
      <c r="E149" s="1143"/>
      <c r="F149" s="1143"/>
      <c r="G149" s="1143"/>
      <c r="H149" s="1143"/>
      <c r="I149" s="1143"/>
      <c r="J149" s="1143"/>
      <c r="K149" s="1143"/>
      <c r="L149" s="1143"/>
      <c r="M149" s="1143"/>
      <c r="N149" s="361"/>
      <c r="P149" s="1143"/>
      <c r="Q149" s="1143"/>
      <c r="R149" s="1143"/>
      <c r="S149" s="1143"/>
      <c r="T149" s="1143"/>
      <c r="U149" s="1143"/>
    </row>
    <row r="150" spans="1:44" ht="15" outlineLevel="1" thickBot="1">
      <c r="B150" s="1207"/>
      <c r="C150" s="1143"/>
      <c r="D150" s="1143"/>
      <c r="E150" s="1143"/>
      <c r="F150" s="1143"/>
      <c r="G150" s="1143"/>
      <c r="H150" s="1143"/>
      <c r="I150" s="1143"/>
      <c r="J150" s="1143"/>
      <c r="K150" s="1143"/>
      <c r="L150" s="1143"/>
      <c r="M150" s="1143"/>
      <c r="N150" s="361"/>
      <c r="P150" s="1143"/>
      <c r="Q150" s="1143"/>
      <c r="R150" s="1143"/>
      <c r="S150" s="1143"/>
      <c r="T150" s="1143"/>
      <c r="U150" s="1143"/>
    </row>
    <row r="151" spans="1:44" ht="20.55" customHeight="1" outlineLevel="1" thickBot="1">
      <c r="B151" s="362"/>
      <c r="C151" s="1186"/>
      <c r="D151" s="1205"/>
      <c r="E151" s="1205"/>
      <c r="F151" s="1205"/>
      <c r="G151" s="1205"/>
      <c r="H151" s="1205"/>
      <c r="I151" s="1205"/>
      <c r="J151" s="1205"/>
      <c r="K151" s="1205"/>
      <c r="L151" s="1206"/>
      <c r="M151" s="363"/>
      <c r="N151" s="363"/>
      <c r="P151" s="364"/>
      <c r="Q151" s="365"/>
      <c r="R151" s="366"/>
      <c r="S151" s="1176"/>
      <c r="T151" s="1160"/>
      <c r="U151" s="1161"/>
      <c r="V151" s="1160"/>
      <c r="W151" s="1161"/>
      <c r="X151" s="1160"/>
      <c r="Y151" s="1161"/>
      <c r="Z151" s="1160"/>
      <c r="AA151" s="1161"/>
      <c r="AB151" s="1160"/>
      <c r="AC151" s="1161"/>
      <c r="AE151" s="364"/>
      <c r="AF151" s="365"/>
      <c r="AG151" s="366"/>
      <c r="AH151" s="1176"/>
      <c r="AI151" s="1160"/>
      <c r="AJ151" s="1161"/>
      <c r="AK151" s="1160"/>
      <c r="AL151" s="1161"/>
      <c r="AM151" s="1160"/>
      <c r="AN151" s="1161"/>
      <c r="AO151" s="1160"/>
      <c r="AP151" s="1161"/>
      <c r="AQ151" s="1160"/>
      <c r="AR151" s="1161"/>
    </row>
    <row r="152" spans="1:44" ht="15" customHeight="1" outlineLevel="1" thickBot="1">
      <c r="B152" s="1164"/>
      <c r="C152" s="1166"/>
      <c r="D152" s="1166"/>
      <c r="E152" s="1166"/>
      <c r="F152" s="1166"/>
      <c r="G152" s="1221"/>
      <c r="H152" s="1222"/>
      <c r="I152" s="1221"/>
      <c r="J152" s="1222"/>
      <c r="K152" s="1189"/>
      <c r="L152" s="1189"/>
      <c r="M152" s="367"/>
      <c r="N152" s="367"/>
      <c r="P152" s="1180"/>
      <c r="Q152" s="368"/>
      <c r="R152" s="368"/>
      <c r="S152" s="1177"/>
      <c r="T152" s="1162"/>
      <c r="U152" s="1163"/>
      <c r="V152" s="1162"/>
      <c r="W152" s="1163"/>
      <c r="X152" s="1162"/>
      <c r="Y152" s="1163"/>
      <c r="Z152" s="1162"/>
      <c r="AA152" s="1163"/>
      <c r="AB152" s="1162"/>
      <c r="AC152" s="1163"/>
      <c r="AE152" s="1180"/>
      <c r="AF152" s="368"/>
      <c r="AG152" s="368"/>
      <c r="AH152" s="1177"/>
      <c r="AI152" s="1162"/>
      <c r="AJ152" s="1163"/>
      <c r="AK152" s="1162"/>
      <c r="AL152" s="1163"/>
      <c r="AM152" s="1162"/>
      <c r="AN152" s="1163"/>
      <c r="AO152" s="1162"/>
      <c r="AP152" s="1163"/>
      <c r="AQ152" s="1162"/>
      <c r="AR152" s="1163"/>
    </row>
    <row r="153" spans="1:44" ht="15" customHeight="1" outlineLevel="1" thickBot="1">
      <c r="B153" s="1165"/>
      <c r="C153" s="1167"/>
      <c r="D153" s="1167"/>
      <c r="E153" s="1167"/>
      <c r="F153" s="1167"/>
      <c r="G153" s="540"/>
      <c r="H153" s="540"/>
      <c r="I153" s="540"/>
      <c r="J153" s="540"/>
      <c r="K153" s="1190"/>
      <c r="L153" s="1190"/>
      <c r="M153" s="370"/>
      <c r="N153" s="370"/>
      <c r="P153" s="1181"/>
      <c r="Q153" s="1183"/>
      <c r="R153" s="1184"/>
      <c r="S153" s="1178"/>
      <c r="T153" s="1162"/>
      <c r="U153" s="1163"/>
      <c r="V153" s="1162"/>
      <c r="W153" s="1163"/>
      <c r="X153" s="1162"/>
      <c r="Y153" s="1163"/>
      <c r="Z153" s="1162"/>
      <c r="AA153" s="1163"/>
      <c r="AB153" s="1162"/>
      <c r="AC153" s="1163"/>
      <c r="AE153" s="1181"/>
      <c r="AF153" s="1197"/>
      <c r="AG153" s="1184"/>
      <c r="AH153" s="1178"/>
      <c r="AI153" s="1162"/>
      <c r="AJ153" s="1163"/>
      <c r="AK153" s="1162"/>
      <c r="AL153" s="1163"/>
      <c r="AM153" s="1162"/>
      <c r="AN153" s="1163"/>
      <c r="AO153" s="1162"/>
      <c r="AP153" s="1163"/>
      <c r="AQ153" s="1162"/>
      <c r="AR153" s="1163"/>
    </row>
    <row r="154" spans="1:44" ht="15" outlineLevel="1" thickBot="1">
      <c r="B154" s="371"/>
      <c r="C154" s="372"/>
      <c r="D154" s="372"/>
      <c r="E154" s="372"/>
      <c r="F154" s="372"/>
      <c r="G154" s="372"/>
      <c r="H154" s="372"/>
      <c r="I154" s="372"/>
      <c r="J154" s="372"/>
      <c r="K154" s="372"/>
      <c r="L154" s="373"/>
      <c r="M154" s="370"/>
      <c r="N154" s="370"/>
      <c r="O154" s="74"/>
      <c r="P154" s="1182"/>
      <c r="Q154" s="1179"/>
      <c r="R154" s="1185"/>
      <c r="S154" s="1179"/>
      <c r="T154" s="374"/>
      <c r="U154" s="375"/>
      <c r="V154" s="374"/>
      <c r="W154" s="375"/>
      <c r="X154" s="374"/>
      <c r="Y154" s="375"/>
      <c r="Z154" s="374"/>
      <c r="AA154" s="375"/>
      <c r="AB154" s="374"/>
      <c r="AC154" s="375"/>
      <c r="AE154" s="1182"/>
      <c r="AF154" s="1198"/>
      <c r="AG154" s="1185"/>
      <c r="AH154" s="1179"/>
      <c r="AI154" s="374"/>
      <c r="AJ154" s="375"/>
      <c r="AK154" s="374"/>
      <c r="AL154" s="375"/>
      <c r="AM154" s="374"/>
      <c r="AN154" s="375"/>
      <c r="AO154" s="374"/>
      <c r="AP154" s="375"/>
      <c r="AQ154" s="374"/>
      <c r="AR154" s="375"/>
    </row>
    <row r="155" spans="1:44" ht="14.55" customHeight="1" outlineLevel="1">
      <c r="B155" s="541"/>
      <c r="C155" s="542"/>
      <c r="D155" s="542"/>
      <c r="E155" s="543"/>
      <c r="F155" s="542"/>
      <c r="G155" s="542"/>
      <c r="H155" s="542"/>
      <c r="I155" s="542"/>
      <c r="J155" s="542"/>
      <c r="K155" s="372"/>
      <c r="L155" s="373"/>
      <c r="M155" s="370"/>
      <c r="N155" s="370"/>
      <c r="P155" s="1148"/>
      <c r="Q155" s="1154"/>
      <c r="R155" s="381"/>
      <c r="S155" s="382"/>
      <c r="T155" s="1137"/>
      <c r="U155" s="1151"/>
      <c r="V155" s="1137"/>
      <c r="W155" s="1151"/>
      <c r="X155" s="1137"/>
      <c r="Y155" s="1151"/>
      <c r="Z155" s="1137"/>
      <c r="AA155" s="1151"/>
      <c r="AB155" s="1137"/>
      <c r="AC155" s="1151"/>
      <c r="AE155" s="1148"/>
      <c r="AF155" s="1154"/>
      <c r="AG155" s="381"/>
      <c r="AH155" s="382"/>
      <c r="AI155" s="1137"/>
      <c r="AJ155" s="1151"/>
      <c r="AK155" s="1137"/>
      <c r="AL155" s="1151"/>
      <c r="AM155" s="1137"/>
      <c r="AN155" s="1151"/>
      <c r="AO155" s="1137"/>
      <c r="AP155" s="1151"/>
      <c r="AQ155" s="1137"/>
      <c r="AR155" s="1151"/>
    </row>
    <row r="156" spans="1:44" outlineLevel="1">
      <c r="B156" s="383"/>
      <c r="C156" s="384"/>
      <c r="D156" s="384"/>
      <c r="E156" s="384"/>
      <c r="F156" s="384"/>
      <c r="G156" s="505"/>
      <c r="H156" s="505"/>
      <c r="I156" s="505"/>
      <c r="J156" s="505"/>
      <c r="K156" s="372"/>
      <c r="L156" s="373"/>
      <c r="M156" s="370"/>
      <c r="N156" s="370"/>
      <c r="O156" s="71"/>
      <c r="P156" s="1195"/>
      <c r="Q156" s="1155"/>
      <c r="R156" s="388"/>
      <c r="S156" s="389"/>
      <c r="T156" s="1140"/>
      <c r="U156" s="1152"/>
      <c r="V156" s="1140"/>
      <c r="W156" s="1152"/>
      <c r="X156" s="1140"/>
      <c r="Y156" s="1152"/>
      <c r="Z156" s="1140"/>
      <c r="AA156" s="1152"/>
      <c r="AB156" s="1140"/>
      <c r="AC156" s="1152"/>
      <c r="AE156" s="1195"/>
      <c r="AF156" s="1155"/>
      <c r="AG156" s="388"/>
      <c r="AH156" s="389"/>
      <c r="AI156" s="1140"/>
      <c r="AJ156" s="1152"/>
      <c r="AK156" s="1140"/>
      <c r="AL156" s="1152"/>
      <c r="AM156" s="1140"/>
      <c r="AN156" s="1152"/>
      <c r="AO156" s="1140"/>
      <c r="AP156" s="1152"/>
      <c r="AQ156" s="1140"/>
      <c r="AR156" s="1152"/>
    </row>
    <row r="157" spans="1:44" ht="15" outlineLevel="1" thickBot="1">
      <c r="B157" s="541"/>
      <c r="C157" s="544"/>
      <c r="D157" s="545"/>
      <c r="E157" s="545"/>
      <c r="F157" s="546"/>
      <c r="G157" s="545"/>
      <c r="H157" s="545"/>
      <c r="I157" s="545"/>
      <c r="J157" s="545"/>
      <c r="K157" s="547"/>
      <c r="L157" s="548"/>
      <c r="M157" s="370"/>
      <c r="N157" s="370"/>
      <c r="O157" s="71"/>
      <c r="P157" s="1195"/>
      <c r="Q157" s="1156"/>
      <c r="R157" s="393"/>
      <c r="S157" s="394"/>
      <c r="T157" s="1141"/>
      <c r="U157" s="1153"/>
      <c r="V157" s="1141"/>
      <c r="W157" s="1153"/>
      <c r="X157" s="1141"/>
      <c r="Y157" s="1153"/>
      <c r="Z157" s="1141"/>
      <c r="AA157" s="1153"/>
      <c r="AB157" s="1141"/>
      <c r="AC157" s="1153"/>
      <c r="AE157" s="1195"/>
      <c r="AF157" s="1156"/>
      <c r="AG157" s="393"/>
      <c r="AH157" s="394"/>
      <c r="AI157" s="1141"/>
      <c r="AJ157" s="1153"/>
      <c r="AK157" s="1141"/>
      <c r="AL157" s="1153"/>
      <c r="AM157" s="1141"/>
      <c r="AN157" s="1153"/>
      <c r="AO157" s="1141"/>
      <c r="AP157" s="1153"/>
      <c r="AQ157" s="1141"/>
      <c r="AR157" s="1153"/>
    </row>
    <row r="158" spans="1:44" ht="14.55" customHeight="1" outlineLevel="1">
      <c r="B158" s="541"/>
      <c r="C158" s="544"/>
      <c r="D158" s="544"/>
      <c r="E158" s="544"/>
      <c r="F158" s="544"/>
      <c r="G158" s="544"/>
      <c r="H158" s="544"/>
      <c r="I158" s="544"/>
      <c r="J158" s="544"/>
      <c r="K158" s="547"/>
      <c r="L158" s="548"/>
      <c r="M158" s="370"/>
      <c r="N158" s="370"/>
      <c r="O158" s="71"/>
      <c r="P158" s="1195"/>
      <c r="Q158" s="1154"/>
      <c r="R158" s="395"/>
      <c r="S158" s="396"/>
      <c r="T158" s="1137"/>
      <c r="U158" s="1137"/>
      <c r="V158" s="1137"/>
      <c r="W158" s="1137"/>
      <c r="X158" s="1137"/>
      <c r="Y158" s="1137"/>
      <c r="Z158" s="1137"/>
      <c r="AA158" s="1137"/>
      <c r="AB158" s="1137"/>
      <c r="AC158" s="1137"/>
      <c r="AE158" s="1195"/>
      <c r="AF158" s="1154"/>
      <c r="AG158" s="395"/>
      <c r="AH158" s="396"/>
      <c r="AI158" s="1137"/>
      <c r="AJ158" s="1137"/>
      <c r="AK158" s="1137"/>
      <c r="AL158" s="1137"/>
      <c r="AM158" s="1137"/>
      <c r="AN158" s="1137"/>
      <c r="AO158" s="1137"/>
      <c r="AP158" s="1137"/>
      <c r="AQ158" s="1137"/>
      <c r="AR158" s="1137"/>
    </row>
    <row r="159" spans="1:44" outlineLevel="1">
      <c r="B159" s="541"/>
      <c r="C159" s="544"/>
      <c r="D159" s="544"/>
      <c r="E159" s="544"/>
      <c r="F159" s="544"/>
      <c r="G159" s="544"/>
      <c r="H159" s="544"/>
      <c r="I159" s="544"/>
      <c r="J159" s="544"/>
      <c r="K159" s="547"/>
      <c r="L159" s="548"/>
      <c r="M159" s="367"/>
      <c r="N159" s="367"/>
      <c r="O159" s="71"/>
      <c r="P159" s="1195"/>
      <c r="Q159" s="1155"/>
      <c r="R159" s="395"/>
      <c r="S159" s="396"/>
      <c r="T159" s="1138"/>
      <c r="U159" s="1138"/>
      <c r="V159" s="1138"/>
      <c r="W159" s="1138"/>
      <c r="X159" s="1138"/>
      <c r="Y159" s="1138"/>
      <c r="Z159" s="1138"/>
      <c r="AA159" s="1138"/>
      <c r="AB159" s="1138"/>
      <c r="AC159" s="1138"/>
      <c r="AE159" s="1195"/>
      <c r="AF159" s="1155"/>
      <c r="AG159" s="395"/>
      <c r="AH159" s="396"/>
      <c r="AI159" s="1138"/>
      <c r="AJ159" s="1138"/>
      <c r="AK159" s="1138"/>
      <c r="AL159" s="1138"/>
      <c r="AM159" s="1138"/>
      <c r="AN159" s="1138"/>
      <c r="AO159" s="1138"/>
      <c r="AP159" s="1138"/>
      <c r="AQ159" s="1138"/>
      <c r="AR159" s="1138"/>
    </row>
    <row r="160" spans="1:44" outlineLevel="1">
      <c r="B160" s="383"/>
      <c r="C160" s="397"/>
      <c r="D160" s="397"/>
      <c r="E160" s="397"/>
      <c r="F160" s="399"/>
      <c r="G160" s="399"/>
      <c r="H160" s="399"/>
      <c r="I160" s="399"/>
      <c r="J160" s="399"/>
      <c r="K160" s="372"/>
      <c r="L160" s="373"/>
      <c r="M160" s="363"/>
      <c r="N160" s="363"/>
      <c r="P160" s="1195"/>
      <c r="Q160" s="1155"/>
      <c r="R160" s="395"/>
      <c r="S160" s="396"/>
      <c r="T160" s="1138"/>
      <c r="U160" s="1138"/>
      <c r="V160" s="1138"/>
      <c r="W160" s="1138"/>
      <c r="X160" s="1138"/>
      <c r="Y160" s="1138"/>
      <c r="Z160" s="1138"/>
      <c r="AA160" s="1138"/>
      <c r="AB160" s="1138"/>
      <c r="AC160" s="1138"/>
      <c r="AE160" s="1195"/>
      <c r="AF160" s="1155"/>
      <c r="AG160" s="395"/>
      <c r="AH160" s="396"/>
      <c r="AI160" s="1138"/>
      <c r="AJ160" s="1138"/>
      <c r="AK160" s="1138"/>
      <c r="AL160" s="1138"/>
      <c r="AM160" s="1138"/>
      <c r="AN160" s="1138"/>
      <c r="AO160" s="1138"/>
      <c r="AP160" s="1138"/>
      <c r="AQ160" s="1138"/>
      <c r="AR160" s="1138"/>
    </row>
    <row r="161" spans="1:44" ht="15" outlineLevel="1" thickBot="1">
      <c r="B161" s="541"/>
      <c r="C161" s="544"/>
      <c r="D161" s="544"/>
      <c r="E161" s="544"/>
      <c r="F161" s="544"/>
      <c r="G161" s="544"/>
      <c r="H161" s="544"/>
      <c r="I161" s="544"/>
      <c r="J161" s="544"/>
      <c r="K161" s="372"/>
      <c r="L161" s="400"/>
      <c r="M161" s="363"/>
      <c r="N161" s="363"/>
      <c r="P161" s="1195"/>
      <c r="Q161" s="1155"/>
      <c r="R161" s="395"/>
      <c r="S161" s="396"/>
      <c r="T161" s="1138"/>
      <c r="U161" s="1138"/>
      <c r="V161" s="1138"/>
      <c r="W161" s="1138"/>
      <c r="X161" s="1138"/>
      <c r="Y161" s="1138"/>
      <c r="Z161" s="1138"/>
      <c r="AA161" s="1138"/>
      <c r="AB161" s="1138"/>
      <c r="AC161" s="1138"/>
      <c r="AE161" s="1195"/>
      <c r="AF161" s="1155"/>
      <c r="AG161" s="395"/>
      <c r="AH161" s="396"/>
      <c r="AI161" s="1138"/>
      <c r="AJ161" s="1138"/>
      <c r="AK161" s="1138"/>
      <c r="AL161" s="1138"/>
      <c r="AM161" s="1138"/>
      <c r="AN161" s="1138"/>
      <c r="AO161" s="1138"/>
      <c r="AP161" s="1138"/>
      <c r="AQ161" s="1138"/>
      <c r="AR161" s="1138"/>
    </row>
    <row r="162" spans="1:44" ht="15" outlineLevel="1" thickBot="1">
      <c r="B162" s="401"/>
      <c r="C162" s="402"/>
      <c r="D162" s="403"/>
      <c r="E162" s="404"/>
      <c r="F162" s="405"/>
      <c r="G162" s="406"/>
      <c r="H162" s="406"/>
      <c r="I162" s="406"/>
      <c r="J162" s="406"/>
      <c r="K162" s="407"/>
      <c r="L162" s="408"/>
      <c r="M162" s="363"/>
      <c r="N162" s="363"/>
      <c r="P162" s="1195"/>
      <c r="Q162" s="1155"/>
      <c r="R162" s="409"/>
      <c r="S162" s="410"/>
      <c r="T162" s="1139"/>
      <c r="U162" s="1139"/>
      <c r="V162" s="1139"/>
      <c r="W162" s="1139"/>
      <c r="X162" s="1139"/>
      <c r="Y162" s="1139"/>
      <c r="Z162" s="1139"/>
      <c r="AA162" s="1139"/>
      <c r="AB162" s="1139"/>
      <c r="AC162" s="1139"/>
      <c r="AE162" s="1195"/>
      <c r="AF162" s="1155"/>
      <c r="AG162" s="409"/>
      <c r="AH162" s="410"/>
      <c r="AI162" s="1139"/>
      <c r="AJ162" s="1139"/>
      <c r="AK162" s="1139"/>
      <c r="AL162" s="1139"/>
      <c r="AM162" s="1139"/>
      <c r="AN162" s="1139"/>
      <c r="AO162" s="1139"/>
      <c r="AP162" s="1139"/>
      <c r="AQ162" s="1139"/>
      <c r="AR162" s="1139"/>
    </row>
    <row r="163" spans="1:44" ht="15" outlineLevel="1" thickBot="1">
      <c r="B163" s="541"/>
      <c r="C163" s="544"/>
      <c r="D163" s="544"/>
      <c r="E163" s="544"/>
      <c r="F163" s="544"/>
      <c r="G163" s="545"/>
      <c r="H163" s="545"/>
      <c r="I163" s="545"/>
      <c r="J163" s="545"/>
      <c r="K163" s="547"/>
      <c r="L163" s="548"/>
      <c r="M163" s="363"/>
      <c r="N163" s="363"/>
      <c r="P163" s="1196"/>
      <c r="Q163" s="411"/>
      <c r="R163" s="412"/>
      <c r="S163" s="413"/>
      <c r="T163" s="414"/>
      <c r="U163" s="415"/>
      <c r="V163" s="416"/>
      <c r="W163" s="415"/>
      <c r="X163" s="416"/>
      <c r="Y163" s="415"/>
      <c r="Z163" s="416"/>
      <c r="AA163" s="415"/>
      <c r="AB163" s="416"/>
      <c r="AC163" s="417"/>
      <c r="AE163" s="1196"/>
      <c r="AF163" s="411"/>
      <c r="AG163" s="412"/>
      <c r="AH163" s="413"/>
      <c r="AI163" s="414"/>
      <c r="AJ163" s="415"/>
      <c r="AK163" s="416"/>
      <c r="AL163" s="415"/>
      <c r="AM163" s="416"/>
      <c r="AN163" s="415"/>
      <c r="AO163" s="416"/>
      <c r="AP163" s="415"/>
      <c r="AQ163" s="416"/>
      <c r="AR163" s="417"/>
    </row>
    <row r="164" spans="1:44" outlineLevel="1">
      <c r="B164" s="541"/>
      <c r="C164" s="544"/>
      <c r="D164" s="544"/>
      <c r="E164" s="544"/>
      <c r="F164" s="544"/>
      <c r="G164" s="549"/>
      <c r="H164" s="549"/>
      <c r="I164" s="549"/>
      <c r="J164" s="549"/>
      <c r="K164" s="550"/>
      <c r="L164" s="548"/>
      <c r="M164" s="363"/>
      <c r="N164" s="363"/>
    </row>
    <row r="165" spans="1:44" outlineLevel="1">
      <c r="B165" s="541"/>
      <c r="C165" s="544"/>
      <c r="D165" s="544"/>
      <c r="E165" s="544"/>
      <c r="F165" s="544"/>
      <c r="G165" s="549"/>
      <c r="H165" s="549"/>
      <c r="I165" s="549"/>
      <c r="J165" s="549"/>
      <c r="K165" s="550"/>
      <c r="L165" s="548"/>
      <c r="M165" s="420"/>
      <c r="N165" s="363"/>
    </row>
    <row r="166" spans="1:44" outlineLevel="1">
      <c r="B166" s="421"/>
      <c r="C166" s="399"/>
      <c r="D166" s="399"/>
      <c r="E166" s="399"/>
      <c r="F166" s="399"/>
      <c r="G166" s="422"/>
      <c r="H166" s="422"/>
      <c r="I166" s="422"/>
      <c r="J166" s="422"/>
      <c r="K166" s="423"/>
      <c r="L166" s="424"/>
      <c r="M166" s="420"/>
      <c r="N166" s="420"/>
    </row>
    <row r="167" spans="1:44" outlineLevel="1">
      <c r="B167" s="383"/>
      <c r="C167" s="397"/>
      <c r="D167" s="397"/>
      <c r="E167" s="397"/>
      <c r="F167" s="397"/>
      <c r="G167" s="422"/>
      <c r="H167" s="425"/>
      <c r="I167" s="425"/>
      <c r="J167" s="425"/>
      <c r="K167" s="426"/>
      <c r="L167" s="427"/>
      <c r="M167" s="428"/>
      <c r="N167" s="428"/>
    </row>
    <row r="168" spans="1:44" outlineLevel="1">
      <c r="B168" s="383"/>
      <c r="C168" s="397"/>
      <c r="D168" s="397"/>
      <c r="E168" s="397"/>
      <c r="F168" s="397"/>
      <c r="G168" s="425"/>
      <c r="H168" s="425"/>
      <c r="I168" s="425"/>
      <c r="J168" s="425"/>
      <c r="K168" s="423"/>
      <c r="L168" s="427"/>
      <c r="M168" s="428"/>
      <c r="N168" s="428"/>
    </row>
    <row r="169" spans="1:44" outlineLevel="1">
      <c r="B169" s="383"/>
      <c r="C169" s="397"/>
      <c r="D169" s="397"/>
      <c r="E169" s="397"/>
      <c r="F169" s="397"/>
      <c r="G169" s="425"/>
      <c r="H169" s="425"/>
      <c r="I169" s="425"/>
      <c r="J169" s="425"/>
      <c r="K169" s="423"/>
      <c r="L169" s="427"/>
      <c r="M169" s="428"/>
      <c r="N169" s="428"/>
    </row>
    <row r="170" spans="1:44" outlineLevel="1">
      <c r="B170" s="383"/>
      <c r="C170" s="397"/>
      <c r="D170" s="397"/>
      <c r="E170" s="397"/>
      <c r="F170" s="397"/>
      <c r="G170" s="425"/>
      <c r="H170" s="425"/>
      <c r="I170" s="425"/>
      <c r="J170" s="425"/>
      <c r="K170" s="423"/>
      <c r="L170" s="427"/>
      <c r="M170" s="428"/>
      <c r="N170" s="428"/>
    </row>
    <row r="171" spans="1:44" ht="15" outlineLevel="1" thickBot="1">
      <c r="B171" s="429"/>
      <c r="C171" s="430"/>
      <c r="D171" s="430"/>
      <c r="E171" s="430"/>
      <c r="F171" s="430"/>
      <c r="G171" s="425"/>
      <c r="H171" s="425"/>
      <c r="I171" s="425"/>
      <c r="J171" s="425"/>
      <c r="K171" s="423"/>
      <c r="L171" s="427"/>
      <c r="M171" s="428"/>
      <c r="N171" s="428"/>
    </row>
    <row r="172" spans="1:44" ht="15" outlineLevel="1" thickBot="1">
      <c r="B172" s="431"/>
      <c r="C172" s="432"/>
      <c r="D172" s="403"/>
      <c r="E172" s="403"/>
      <c r="F172" s="433"/>
      <c r="G172" s="434"/>
      <c r="H172" s="406"/>
      <c r="I172" s="406"/>
      <c r="J172" s="406"/>
      <c r="K172" s="407"/>
      <c r="L172" s="408"/>
      <c r="M172" s="428"/>
      <c r="N172" s="428"/>
    </row>
    <row r="173" spans="1:44" outlineLevel="1">
      <c r="A173" s="435"/>
      <c r="B173" s="436"/>
      <c r="C173" s="551"/>
      <c r="D173" s="438"/>
      <c r="E173" s="438"/>
      <c r="F173" s="439"/>
      <c r="G173" s="425"/>
      <c r="H173" s="425"/>
      <c r="I173" s="425"/>
      <c r="J173" s="425"/>
      <c r="K173" s="426"/>
      <c r="L173" s="440"/>
      <c r="M173" s="420"/>
      <c r="N173" s="420"/>
    </row>
    <row r="174" spans="1:44" outlineLevel="1">
      <c r="B174" s="441"/>
      <c r="C174" s="442"/>
      <c r="D174" s="443"/>
      <c r="E174" s="443"/>
      <c r="F174" s="443"/>
      <c r="G174" s="425"/>
      <c r="H174" s="425"/>
      <c r="I174" s="425"/>
      <c r="J174" s="425"/>
      <c r="K174" s="444"/>
      <c r="L174" s="373"/>
      <c r="M174" s="71"/>
      <c r="N174" s="420"/>
    </row>
    <row r="175" spans="1:44" outlineLevel="1">
      <c r="B175" s="441"/>
      <c r="C175" s="442"/>
      <c r="D175" s="442"/>
      <c r="E175" s="442"/>
      <c r="F175" s="442"/>
      <c r="G175" s="425"/>
      <c r="H175" s="425"/>
      <c r="I175" s="425"/>
      <c r="J175" s="425"/>
      <c r="K175" s="444"/>
      <c r="L175" s="373"/>
      <c r="M175" s="420"/>
      <c r="N175" s="420"/>
    </row>
    <row r="176" spans="1:44" outlineLevel="1">
      <c r="B176" s="383"/>
      <c r="C176" s="445"/>
      <c r="D176" s="446"/>
      <c r="E176" s="446"/>
      <c r="F176" s="447"/>
      <c r="G176" s="425"/>
      <c r="H176" s="425"/>
      <c r="I176" s="425"/>
      <c r="J176" s="425"/>
      <c r="K176" s="448"/>
      <c r="L176" s="373"/>
      <c r="M176" s="420"/>
      <c r="N176" s="420"/>
    </row>
    <row r="177" spans="2:30" outlineLevel="1">
      <c r="B177" s="383"/>
      <c r="C177" s="449"/>
      <c r="D177" s="449"/>
      <c r="E177" s="449"/>
      <c r="F177" s="449"/>
      <c r="G177" s="425"/>
      <c r="H177" s="425"/>
      <c r="I177" s="425"/>
      <c r="J177" s="425"/>
      <c r="K177" s="448"/>
      <c r="L177" s="373"/>
      <c r="M177" s="450"/>
      <c r="N177" s="361"/>
      <c r="P177" s="1142"/>
      <c r="Q177" s="1143"/>
      <c r="R177" s="1143"/>
      <c r="S177" s="1143"/>
      <c r="T177" s="1143"/>
      <c r="U177" s="1144"/>
    </row>
    <row r="178" spans="2:30" ht="15" outlineLevel="1" thickBot="1">
      <c r="B178" s="541"/>
      <c r="C178" s="552"/>
      <c r="D178" s="552"/>
      <c r="E178" s="552"/>
      <c r="F178" s="552"/>
      <c r="G178" s="553"/>
      <c r="H178" s="553"/>
      <c r="I178" s="553"/>
      <c r="J178" s="553"/>
      <c r="K178" s="547"/>
      <c r="L178" s="548"/>
      <c r="M178" s="450"/>
      <c r="N178" s="361"/>
      <c r="P178" s="1134"/>
      <c r="Q178" s="1135"/>
      <c r="R178" s="1135"/>
      <c r="S178" s="1135"/>
      <c r="T178" s="1135"/>
      <c r="U178" s="1136"/>
    </row>
    <row r="179" spans="2:30" outlineLevel="1">
      <c r="B179" s="541"/>
      <c r="C179" s="554"/>
      <c r="D179" s="554"/>
      <c r="E179" s="554"/>
      <c r="F179" s="554"/>
      <c r="G179" s="553"/>
      <c r="H179" s="553"/>
      <c r="I179" s="553"/>
      <c r="J179" s="553"/>
      <c r="K179" s="555"/>
      <c r="L179" s="548"/>
      <c r="M179" s="363"/>
      <c r="N179" s="363"/>
      <c r="P179" s="53"/>
    </row>
    <row r="180" spans="2:30" outlineLevel="1">
      <c r="B180" s="441"/>
      <c r="C180" s="456"/>
      <c r="D180" s="456"/>
      <c r="E180" s="456"/>
      <c r="F180" s="456"/>
      <c r="G180" s="425"/>
      <c r="H180" s="425"/>
      <c r="I180" s="425"/>
      <c r="J180" s="425"/>
      <c r="K180" s="444"/>
      <c r="L180" s="424"/>
      <c r="M180" s="367"/>
      <c r="N180" s="367"/>
      <c r="P180" s="46"/>
      <c r="Q180" s="46"/>
      <c r="R180" s="47"/>
      <c r="S180" s="47"/>
      <c r="T180" s="47"/>
      <c r="U180" s="48"/>
      <c r="V180" s="49"/>
      <c r="W180" s="49"/>
      <c r="X180" s="49"/>
      <c r="Y180" s="49"/>
      <c r="Z180" s="49"/>
      <c r="AA180" s="49"/>
      <c r="AB180" s="49"/>
      <c r="AC180" s="49"/>
      <c r="AD180" s="49"/>
    </row>
    <row r="181" spans="2:30" ht="15" outlineLevel="1" thickBot="1">
      <c r="B181" s="441"/>
      <c r="C181" s="442"/>
      <c r="D181" s="457"/>
      <c r="E181" s="457"/>
      <c r="F181" s="458"/>
      <c r="G181" s="425"/>
      <c r="H181" s="425"/>
      <c r="I181" s="425"/>
      <c r="J181" s="425"/>
      <c r="K181" s="448"/>
      <c r="L181" s="424"/>
      <c r="M181" s="363"/>
      <c r="N181" s="363"/>
      <c r="P181" s="50"/>
      <c r="Q181" s="50"/>
      <c r="R181" s="51"/>
      <c r="S181" s="51"/>
      <c r="T181" s="51"/>
      <c r="U181" s="51"/>
      <c r="V181" s="50"/>
      <c r="W181" s="50"/>
      <c r="X181" s="50"/>
      <c r="Y181" s="50"/>
      <c r="Z181" s="50"/>
      <c r="AA181" s="50"/>
      <c r="AB181" s="50"/>
      <c r="AC181" s="50"/>
      <c r="AD181" s="50"/>
    </row>
    <row r="182" spans="2:30" ht="15" outlineLevel="1" thickBot="1">
      <c r="B182" s="401"/>
      <c r="C182" s="402"/>
      <c r="D182" s="403"/>
      <c r="E182" s="404"/>
      <c r="F182" s="405"/>
      <c r="G182" s="406"/>
      <c r="H182" s="406"/>
      <c r="I182" s="406"/>
      <c r="J182" s="406"/>
      <c r="K182" s="459"/>
      <c r="L182" s="460"/>
      <c r="M182" s="363"/>
      <c r="N182" s="363"/>
      <c r="O182" s="461"/>
      <c r="P182" s="56"/>
      <c r="Q182" s="56"/>
      <c r="R182" s="57"/>
      <c r="S182" s="57"/>
      <c r="T182" s="57"/>
      <c r="U182" s="56"/>
      <c r="V182" s="56"/>
      <c r="W182" s="56"/>
      <c r="X182" s="56"/>
      <c r="Y182" s="56"/>
      <c r="Z182" s="56"/>
      <c r="AA182" s="56"/>
      <c r="AB182" s="56"/>
      <c r="AC182" s="56"/>
      <c r="AD182" s="56"/>
    </row>
    <row r="183" spans="2:30" outlineLevel="1">
      <c r="B183" s="556"/>
      <c r="C183" s="557"/>
      <c r="D183" s="557"/>
      <c r="E183" s="557"/>
      <c r="F183" s="557"/>
      <c r="G183" s="558"/>
      <c r="H183" s="558"/>
      <c r="I183" s="558"/>
      <c r="J183" s="558"/>
      <c r="K183" s="558"/>
      <c r="L183" s="559"/>
      <c r="M183" s="363"/>
      <c r="N183" s="363"/>
      <c r="O183" s="465"/>
      <c r="P183" s="466"/>
      <c r="Q183" s="58"/>
      <c r="R183" s="466"/>
      <c r="S183" s="58"/>
      <c r="T183" s="466"/>
      <c r="U183" s="467"/>
      <c r="V183" s="467"/>
      <c r="W183" s="467"/>
      <c r="X183" s="58"/>
      <c r="Y183" s="58"/>
      <c r="Z183" s="466"/>
      <c r="AA183" s="468"/>
      <c r="AB183" s="468"/>
      <c r="AC183" s="468"/>
      <c r="AD183" s="468"/>
    </row>
    <row r="184" spans="2:30" outlineLevel="1">
      <c r="B184" s="541"/>
      <c r="C184" s="560"/>
      <c r="D184" s="561"/>
      <c r="E184" s="561"/>
      <c r="F184" s="562"/>
      <c r="G184" s="562"/>
      <c r="H184" s="562"/>
      <c r="I184" s="562"/>
      <c r="J184" s="562"/>
      <c r="K184" s="563"/>
      <c r="L184" s="559"/>
      <c r="M184" s="363"/>
      <c r="N184" s="363"/>
      <c r="O184" s="465"/>
      <c r="P184" s="466"/>
      <c r="Q184" s="58"/>
      <c r="R184" s="466"/>
      <c r="S184" s="58"/>
      <c r="T184" s="466"/>
      <c r="U184" s="467"/>
      <c r="V184" s="467"/>
      <c r="W184" s="467"/>
      <c r="X184" s="58"/>
      <c r="Y184" s="58"/>
      <c r="Z184" s="466"/>
      <c r="AA184" s="468"/>
      <c r="AB184" s="468"/>
      <c r="AC184" s="468"/>
      <c r="AD184" s="468"/>
    </row>
    <row r="185" spans="2:30" outlineLevel="1">
      <c r="B185" s="541"/>
      <c r="C185" s="560"/>
      <c r="D185" s="561"/>
      <c r="E185" s="561"/>
      <c r="F185" s="562"/>
      <c r="G185" s="562"/>
      <c r="H185" s="562"/>
      <c r="I185" s="562"/>
      <c r="J185" s="562"/>
      <c r="K185" s="563"/>
      <c r="L185" s="559"/>
      <c r="M185" s="363"/>
      <c r="N185" s="363"/>
      <c r="O185" s="465"/>
      <c r="P185" s="466"/>
      <c r="Q185" s="58"/>
      <c r="R185" s="466"/>
      <c r="S185" s="58"/>
      <c r="T185" s="466"/>
      <c r="U185" s="467"/>
      <c r="V185" s="467"/>
      <c r="W185" s="467"/>
      <c r="X185" s="58"/>
      <c r="Y185" s="58"/>
      <c r="Z185" s="466"/>
      <c r="AA185" s="468"/>
      <c r="AB185" s="468"/>
      <c r="AC185" s="468"/>
      <c r="AD185" s="468"/>
    </row>
    <row r="186" spans="2:30" outlineLevel="1">
      <c r="B186" s="541"/>
      <c r="C186" s="564"/>
      <c r="D186" s="564"/>
      <c r="E186" s="564"/>
      <c r="F186" s="564"/>
      <c r="G186" s="565"/>
      <c r="H186" s="565"/>
      <c r="I186" s="565"/>
      <c r="J186" s="565"/>
      <c r="K186" s="565"/>
      <c r="L186" s="548"/>
      <c r="M186" s="363"/>
      <c r="N186" s="363"/>
      <c r="O186" s="465"/>
      <c r="P186" s="466"/>
      <c r="Q186" s="58"/>
      <c r="R186" s="466"/>
      <c r="S186" s="58"/>
      <c r="T186" s="466"/>
      <c r="U186" s="467"/>
      <c r="V186" s="467"/>
      <c r="W186" s="467"/>
      <c r="X186" s="58"/>
      <c r="Y186" s="58"/>
      <c r="Z186" s="466"/>
      <c r="AA186" s="468"/>
      <c r="AB186" s="468"/>
      <c r="AC186" s="468"/>
      <c r="AD186" s="468"/>
    </row>
    <row r="187" spans="2:30" outlineLevel="1">
      <c r="B187" s="566"/>
      <c r="C187" s="560"/>
      <c r="D187" s="561"/>
      <c r="E187" s="561"/>
      <c r="F187" s="562"/>
      <c r="G187" s="562"/>
      <c r="H187" s="562"/>
      <c r="I187" s="562"/>
      <c r="J187" s="562"/>
      <c r="K187" s="563"/>
      <c r="L187" s="559"/>
      <c r="M187" s="367"/>
      <c r="N187" s="367"/>
    </row>
    <row r="188" spans="2:30" outlineLevel="1">
      <c r="B188" s="566"/>
      <c r="C188" s="560"/>
      <c r="D188" s="561"/>
      <c r="E188" s="561"/>
      <c r="F188" s="562"/>
      <c r="G188" s="562"/>
      <c r="H188" s="562"/>
      <c r="I188" s="562"/>
      <c r="J188" s="562"/>
      <c r="K188" s="563"/>
      <c r="L188" s="559"/>
      <c r="M188" s="363"/>
      <c r="N188" s="363"/>
    </row>
    <row r="189" spans="2:30" ht="15" outlineLevel="1" thickBot="1">
      <c r="B189" s="567"/>
      <c r="C189" s="568"/>
      <c r="D189" s="568"/>
      <c r="E189" s="568"/>
      <c r="F189" s="568"/>
      <c r="G189" s="568"/>
      <c r="H189" s="568"/>
      <c r="I189" s="568"/>
      <c r="J189" s="568"/>
      <c r="K189" s="568"/>
      <c r="L189" s="569"/>
      <c r="M189" s="363"/>
      <c r="N189" s="363"/>
    </row>
    <row r="190" spans="2:30" outlineLevel="1">
      <c r="B190" s="461"/>
      <c r="C190" s="483"/>
      <c r="D190" s="483"/>
      <c r="E190" s="483"/>
      <c r="F190" s="483"/>
      <c r="G190" s="483"/>
      <c r="H190" s="484"/>
      <c r="I190" s="420"/>
      <c r="J190" s="420"/>
      <c r="K190" s="484"/>
      <c r="L190" s="484"/>
      <c r="N190" s="420"/>
    </row>
    <row r="191" spans="2:30" outlineLevel="1">
      <c r="B191" s="485"/>
      <c r="C191" s="486"/>
      <c r="D191" s="486"/>
      <c r="E191" s="486"/>
      <c r="F191" s="486"/>
      <c r="G191" s="486"/>
      <c r="H191" s="484"/>
      <c r="I191" s="71"/>
      <c r="J191" s="420"/>
      <c r="K191" s="484"/>
      <c r="L191" s="484"/>
      <c r="N191" s="420"/>
    </row>
    <row r="192" spans="2:30" outlineLevel="1">
      <c r="B192" s="461"/>
      <c r="C192" s="359"/>
      <c r="D192" s="359"/>
      <c r="E192" s="359"/>
      <c r="F192" s="359"/>
      <c r="G192" s="359"/>
      <c r="I192" s="420"/>
      <c r="J192" s="420"/>
      <c r="N192" s="420"/>
    </row>
    <row r="193" spans="1:16" outlineLevel="1">
      <c r="B193" s="461"/>
      <c r="C193" s="487"/>
      <c r="D193" s="487"/>
      <c r="E193" s="487"/>
      <c r="F193" s="487"/>
      <c r="G193" s="359"/>
      <c r="M193" s="420"/>
      <c r="N193" s="420"/>
    </row>
    <row r="194" spans="1:16" outlineLevel="1"/>
    <row r="195" spans="1:16" outlineLevel="1">
      <c r="A195" s="488"/>
      <c r="B195" s="489"/>
      <c r="D195" s="490"/>
      <c r="E195" s="490"/>
      <c r="F195" s="490"/>
      <c r="G195" s="358"/>
      <c r="H195" s="358"/>
      <c r="I195" s="358"/>
      <c r="J195" s="358"/>
      <c r="K195" s="358"/>
      <c r="L195" s="358"/>
      <c r="N195" s="570"/>
      <c r="O195" s="489"/>
      <c r="P195" s="490"/>
    </row>
    <row r="196" spans="1:16" outlineLevel="1">
      <c r="A196" s="491"/>
      <c r="B196" s="492"/>
      <c r="D196" s="490"/>
      <c r="E196" s="490"/>
      <c r="F196" s="490"/>
      <c r="G196" s="358"/>
      <c r="H196" s="358"/>
      <c r="I196" s="358"/>
      <c r="J196" s="358"/>
      <c r="K196" s="358"/>
      <c r="L196" s="358"/>
      <c r="N196" s="570"/>
      <c r="O196" s="489"/>
      <c r="P196" s="490"/>
    </row>
    <row r="197" spans="1:16" outlineLevel="1">
      <c r="A197" s="491"/>
      <c r="B197" s="493"/>
      <c r="D197" s="490"/>
      <c r="E197" s="490"/>
      <c r="F197" s="490"/>
      <c r="G197" s="358"/>
      <c r="H197" s="358"/>
      <c r="I197" s="358"/>
      <c r="J197" s="358"/>
      <c r="K197" s="358"/>
      <c r="L197" s="358"/>
      <c r="N197" s="570"/>
      <c r="O197" s="489"/>
      <c r="P197" s="490"/>
    </row>
    <row r="198" spans="1:16" outlineLevel="1">
      <c r="A198" s="491"/>
      <c r="B198" s="493"/>
      <c r="D198" s="490"/>
      <c r="E198" s="490"/>
      <c r="F198" s="490"/>
      <c r="G198" s="358"/>
      <c r="H198" s="358"/>
      <c r="I198" s="358"/>
      <c r="J198" s="358"/>
      <c r="K198" s="358"/>
      <c r="L198" s="358"/>
      <c r="N198" s="570"/>
      <c r="O198" s="489"/>
      <c r="P198" s="490"/>
    </row>
    <row r="199" spans="1:16" outlineLevel="1">
      <c r="A199" s="491"/>
      <c r="B199" s="493"/>
      <c r="D199" s="490"/>
      <c r="E199" s="490"/>
      <c r="F199" s="490"/>
      <c r="G199" s="358"/>
      <c r="H199" s="358"/>
      <c r="I199" s="358"/>
      <c r="J199" s="358"/>
      <c r="K199" s="358"/>
      <c r="L199" s="358"/>
      <c r="N199" s="570"/>
      <c r="O199" s="489"/>
      <c r="P199" s="490"/>
    </row>
    <row r="200" spans="1:16" outlineLevel="1">
      <c r="A200" s="358"/>
      <c r="B200" s="494"/>
      <c r="D200" s="490"/>
      <c r="E200" s="490"/>
      <c r="F200" s="490"/>
      <c r="G200" s="358"/>
      <c r="H200" s="358"/>
      <c r="I200" s="358"/>
      <c r="J200" s="358"/>
      <c r="K200" s="358"/>
      <c r="L200" s="358"/>
    </row>
    <row r="201" spans="1:16" outlineLevel="1">
      <c r="A201" s="358"/>
      <c r="B201" s="492"/>
      <c r="D201" s="490"/>
      <c r="E201" s="490"/>
      <c r="F201" s="490"/>
      <c r="G201" s="358"/>
      <c r="H201" s="358"/>
      <c r="I201" s="358"/>
      <c r="J201" s="358"/>
      <c r="K201" s="358"/>
      <c r="L201" s="358"/>
    </row>
    <row r="202" spans="1:16" outlineLevel="1">
      <c r="A202" s="358"/>
      <c r="B202" s="495"/>
      <c r="D202" s="490"/>
      <c r="E202" s="490"/>
      <c r="F202" s="490"/>
      <c r="G202" s="358"/>
      <c r="H202" s="358"/>
      <c r="I202" s="358"/>
      <c r="J202" s="358"/>
      <c r="K202" s="358"/>
      <c r="L202" s="358"/>
    </row>
    <row r="203" spans="1:16" outlineLevel="1">
      <c r="A203" s="358"/>
      <c r="B203" s="495"/>
      <c r="D203" s="490"/>
      <c r="E203" s="490"/>
      <c r="F203" s="490"/>
      <c r="G203" s="358"/>
      <c r="H203" s="358"/>
      <c r="I203" s="358"/>
      <c r="J203" s="358"/>
      <c r="K203" s="358"/>
      <c r="L203" s="358"/>
    </row>
    <row r="204" spans="1:16" outlineLevel="1">
      <c r="A204" s="358"/>
      <c r="B204" s="489"/>
      <c r="D204" s="490"/>
      <c r="E204" s="490"/>
      <c r="F204" s="490"/>
      <c r="G204" s="358"/>
      <c r="H204" s="358"/>
      <c r="I204" s="358"/>
      <c r="J204" s="358"/>
      <c r="K204" s="358"/>
      <c r="L204" s="358"/>
    </row>
    <row r="205" spans="1:16" outlineLevel="1">
      <c r="A205" s="358"/>
      <c r="B205" s="490"/>
      <c r="D205" s="490"/>
      <c r="E205" s="490"/>
      <c r="F205" s="490"/>
      <c r="G205" s="358"/>
      <c r="H205" s="358"/>
      <c r="I205" s="358"/>
      <c r="J205" s="358"/>
      <c r="K205" s="358"/>
      <c r="L205" s="358"/>
    </row>
    <row r="206" spans="1:16" outlineLevel="1">
      <c r="A206" s="488"/>
      <c r="B206" s="489"/>
      <c r="D206" s="490"/>
      <c r="E206" s="490"/>
      <c r="F206" s="490"/>
      <c r="G206" s="358"/>
      <c r="H206" s="358"/>
      <c r="I206" s="358"/>
      <c r="J206" s="358"/>
      <c r="K206" s="358"/>
      <c r="L206" s="358"/>
    </row>
    <row r="207" spans="1:16" outlineLevel="1">
      <c r="A207" s="496"/>
      <c r="B207" s="497"/>
      <c r="C207" s="490"/>
      <c r="D207" s="490"/>
      <c r="E207" s="490"/>
      <c r="F207" s="490"/>
      <c r="G207" s="358"/>
      <c r="H207" s="358"/>
      <c r="I207" s="358"/>
      <c r="J207" s="358"/>
      <c r="K207" s="358"/>
      <c r="L207" s="358"/>
      <c r="N207" s="570"/>
      <c r="O207" s="489"/>
      <c r="P207" s="490"/>
    </row>
    <row r="208" spans="1:16" outlineLevel="1">
      <c r="A208" s="496"/>
      <c r="B208" s="489"/>
      <c r="C208" s="490"/>
      <c r="D208" s="490"/>
      <c r="E208" s="490"/>
      <c r="F208" s="490"/>
      <c r="G208" s="358"/>
      <c r="H208" s="358"/>
      <c r="I208" s="358"/>
      <c r="J208" s="358"/>
      <c r="K208" s="358"/>
      <c r="L208" s="358"/>
      <c r="N208" s="571"/>
      <c r="O208" s="489"/>
      <c r="P208" s="490"/>
    </row>
    <row r="209" spans="1:44" outlineLevel="1">
      <c r="A209" s="496"/>
      <c r="B209" s="489"/>
      <c r="C209" s="490"/>
      <c r="D209" s="490"/>
      <c r="E209" s="490"/>
      <c r="F209" s="490"/>
      <c r="G209" s="358"/>
      <c r="H209" s="358"/>
      <c r="I209" s="358"/>
      <c r="J209" s="358"/>
      <c r="K209" s="358"/>
      <c r="L209" s="358"/>
      <c r="N209" s="572"/>
      <c r="O209" s="489"/>
      <c r="P209" s="490"/>
    </row>
    <row r="210" spans="1:44" outlineLevel="1">
      <c r="A210" s="496"/>
      <c r="B210" s="489"/>
      <c r="C210" s="490"/>
      <c r="D210" s="490"/>
      <c r="E210" s="490"/>
      <c r="F210" s="490"/>
      <c r="G210" s="358"/>
      <c r="H210" s="358"/>
      <c r="I210" s="358"/>
      <c r="J210" s="358"/>
      <c r="K210" s="358"/>
      <c r="L210" s="358"/>
      <c r="N210" s="573"/>
      <c r="O210" s="489"/>
      <c r="P210" s="490"/>
    </row>
    <row r="211" spans="1:44" outlineLevel="1">
      <c r="A211" s="496"/>
      <c r="B211" s="498"/>
      <c r="C211" s="490"/>
      <c r="D211" s="490"/>
      <c r="E211" s="490"/>
      <c r="F211" s="490"/>
      <c r="G211" s="358"/>
      <c r="H211" s="358"/>
      <c r="I211" s="358"/>
      <c r="J211" s="358"/>
      <c r="K211" s="358"/>
      <c r="L211" s="358"/>
      <c r="N211" s="573"/>
      <c r="O211" s="490"/>
      <c r="P211" s="490"/>
    </row>
    <row r="212" spans="1:44" outlineLevel="1">
      <c r="A212" s="496"/>
      <c r="B212" s="489"/>
      <c r="C212" s="490"/>
      <c r="D212" s="490"/>
      <c r="E212" s="490"/>
      <c r="F212" s="490"/>
      <c r="G212" s="358"/>
      <c r="H212" s="358"/>
      <c r="I212" s="358"/>
      <c r="J212" s="358"/>
      <c r="K212" s="358"/>
      <c r="L212" s="358"/>
      <c r="N212" s="489"/>
      <c r="O212" s="490"/>
      <c r="P212" s="490"/>
    </row>
    <row r="213" spans="1:44" outlineLevel="1">
      <c r="A213" s="496"/>
      <c r="B213" s="489"/>
      <c r="C213" s="490"/>
      <c r="D213" s="490"/>
      <c r="E213" s="490"/>
      <c r="F213" s="490"/>
      <c r="G213" s="358"/>
      <c r="H213" s="358"/>
      <c r="I213" s="358"/>
      <c r="J213" s="358"/>
      <c r="K213" s="358"/>
      <c r="L213" s="358"/>
      <c r="N213" s="490"/>
      <c r="O213" s="490"/>
      <c r="P213" s="490"/>
    </row>
    <row r="214" spans="1:44" outlineLevel="1"/>
    <row r="215" spans="1:44" outlineLevel="1"/>
    <row r="217" spans="1:44" ht="15" thickBot="1">
      <c r="A217" s="360"/>
    </row>
    <row r="218" spans="1:44" ht="20.55" customHeight="1" outlineLevel="1" thickBot="1">
      <c r="B218" s="362"/>
      <c r="C218" s="1186"/>
      <c r="D218" s="1205"/>
      <c r="E218" s="1205"/>
      <c r="F218" s="1205"/>
      <c r="G218" s="1205"/>
      <c r="H218" s="1205"/>
      <c r="I218" s="1205"/>
      <c r="J218" s="1205"/>
      <c r="K218" s="1205"/>
      <c r="L218" s="1206"/>
      <c r="M218" s="363"/>
      <c r="N218" s="363"/>
      <c r="P218" s="364"/>
      <c r="Q218" s="365"/>
      <c r="R218" s="366"/>
      <c r="S218" s="1176"/>
      <c r="T218" s="1160"/>
      <c r="U218" s="1161"/>
      <c r="V218" s="1160"/>
      <c r="W218" s="1161"/>
      <c r="X218" s="1160"/>
      <c r="Y218" s="1161"/>
      <c r="Z218" s="1160"/>
      <c r="AA218" s="1161"/>
      <c r="AB218" s="1160"/>
      <c r="AC218" s="1161"/>
      <c r="AE218" s="364"/>
      <c r="AF218" s="365"/>
      <c r="AG218" s="366"/>
      <c r="AH218" s="1176"/>
      <c r="AI218" s="1160"/>
      <c r="AJ218" s="1161"/>
      <c r="AK218" s="1160"/>
      <c r="AL218" s="1161"/>
      <c r="AM218" s="1160"/>
      <c r="AN218" s="1161"/>
      <c r="AO218" s="1160"/>
      <c r="AP218" s="1161"/>
      <c r="AQ218" s="1160"/>
      <c r="AR218" s="1161"/>
    </row>
    <row r="219" spans="1:44" ht="15" customHeight="1" outlineLevel="1" thickBot="1">
      <c r="B219" s="1164"/>
      <c r="C219" s="1166"/>
      <c r="D219" s="1166"/>
      <c r="E219" s="1166"/>
      <c r="F219" s="1166"/>
      <c r="G219" s="1168"/>
      <c r="H219" s="1169"/>
      <c r="I219" s="1168"/>
      <c r="J219" s="1169"/>
      <c r="K219" s="1189"/>
      <c r="L219" s="1189"/>
      <c r="M219" s="367"/>
      <c r="N219" s="367"/>
      <c r="P219" s="1180"/>
      <c r="Q219" s="368"/>
      <c r="R219" s="368"/>
      <c r="S219" s="1177"/>
      <c r="T219" s="1162"/>
      <c r="U219" s="1163"/>
      <c r="V219" s="1162"/>
      <c r="W219" s="1163"/>
      <c r="X219" s="1162"/>
      <c r="Y219" s="1163"/>
      <c r="Z219" s="1162"/>
      <c r="AA219" s="1163"/>
      <c r="AB219" s="1162"/>
      <c r="AC219" s="1163"/>
      <c r="AE219" s="1180"/>
      <c r="AF219" s="368"/>
      <c r="AG219" s="368"/>
      <c r="AH219" s="1177"/>
      <c r="AI219" s="1162"/>
      <c r="AJ219" s="1163"/>
      <c r="AK219" s="1162"/>
      <c r="AL219" s="1163"/>
      <c r="AM219" s="1162"/>
      <c r="AN219" s="1163"/>
      <c r="AO219" s="1162"/>
      <c r="AP219" s="1163"/>
      <c r="AQ219" s="1162"/>
      <c r="AR219" s="1163"/>
    </row>
    <row r="220" spans="1:44" ht="15" customHeight="1" outlineLevel="1" thickBot="1">
      <c r="B220" s="1165"/>
      <c r="C220" s="1167"/>
      <c r="D220" s="1167"/>
      <c r="E220" s="1167"/>
      <c r="F220" s="1167"/>
      <c r="G220" s="406"/>
      <c r="H220" s="406"/>
      <c r="I220" s="406"/>
      <c r="J220" s="406"/>
      <c r="K220" s="1190"/>
      <c r="L220" s="1190"/>
      <c r="M220" s="370"/>
      <c r="N220" s="370"/>
      <c r="P220" s="1181"/>
      <c r="Q220" s="1183"/>
      <c r="R220" s="1184"/>
      <c r="S220" s="1178"/>
      <c r="T220" s="1162"/>
      <c r="U220" s="1163"/>
      <c r="V220" s="1162"/>
      <c r="W220" s="1163"/>
      <c r="X220" s="1162"/>
      <c r="Y220" s="1163"/>
      <c r="Z220" s="1162"/>
      <c r="AA220" s="1163"/>
      <c r="AB220" s="1162"/>
      <c r="AC220" s="1163"/>
      <c r="AE220" s="1181"/>
      <c r="AF220" s="1197"/>
      <c r="AG220" s="1184"/>
      <c r="AH220" s="1178"/>
      <c r="AI220" s="1162"/>
      <c r="AJ220" s="1163"/>
      <c r="AK220" s="1162"/>
      <c r="AL220" s="1163"/>
      <c r="AM220" s="1162"/>
      <c r="AN220" s="1163"/>
      <c r="AO220" s="1162"/>
      <c r="AP220" s="1163"/>
      <c r="AQ220" s="1162"/>
      <c r="AR220" s="1163"/>
    </row>
    <row r="221" spans="1:44" ht="15" outlineLevel="1" thickBot="1">
      <c r="B221" s="371"/>
      <c r="C221" s="372"/>
      <c r="D221" s="372"/>
      <c r="E221" s="372"/>
      <c r="F221" s="372"/>
      <c r="G221" s="372"/>
      <c r="H221" s="372"/>
      <c r="I221" s="372"/>
      <c r="J221" s="372"/>
      <c r="K221" s="372"/>
      <c r="L221" s="373"/>
      <c r="M221" s="370"/>
      <c r="N221" s="370"/>
      <c r="O221" s="74"/>
      <c r="P221" s="1182"/>
      <c r="Q221" s="1179"/>
      <c r="R221" s="1185"/>
      <c r="S221" s="1179"/>
      <c r="T221" s="374"/>
      <c r="U221" s="375"/>
      <c r="V221" s="374"/>
      <c r="W221" s="375"/>
      <c r="X221" s="374"/>
      <c r="Y221" s="375"/>
      <c r="Z221" s="374"/>
      <c r="AA221" s="375"/>
      <c r="AB221" s="374"/>
      <c r="AC221" s="375"/>
      <c r="AE221" s="1182"/>
      <c r="AF221" s="1198"/>
      <c r="AG221" s="1185"/>
      <c r="AH221" s="1179"/>
      <c r="AI221" s="374"/>
      <c r="AJ221" s="375"/>
      <c r="AK221" s="374"/>
      <c r="AL221" s="375"/>
      <c r="AM221" s="374"/>
      <c r="AN221" s="375"/>
      <c r="AO221" s="374"/>
      <c r="AP221" s="375"/>
      <c r="AQ221" s="374"/>
      <c r="AR221" s="375"/>
    </row>
    <row r="222" spans="1:44" ht="14.55" customHeight="1" outlineLevel="1">
      <c r="B222" s="541"/>
      <c r="C222" s="542"/>
      <c r="D222" s="542"/>
      <c r="E222" s="543"/>
      <c r="F222" s="542"/>
      <c r="G222" s="542"/>
      <c r="H222" s="542"/>
      <c r="I222" s="542"/>
      <c r="J222" s="542"/>
      <c r="K222" s="547"/>
      <c r="L222" s="548"/>
      <c r="M222" s="370"/>
      <c r="N222" s="370"/>
      <c r="P222" s="1148"/>
      <c r="Q222" s="1154"/>
      <c r="R222" s="381"/>
      <c r="S222" s="382"/>
      <c r="T222" s="1137"/>
      <c r="U222" s="1151"/>
      <c r="V222" s="1137"/>
      <c r="W222" s="1151"/>
      <c r="X222" s="1137"/>
      <c r="Y222" s="1151"/>
      <c r="Z222" s="1137"/>
      <c r="AA222" s="1151"/>
      <c r="AB222" s="1137"/>
      <c r="AC222" s="1151"/>
      <c r="AE222" s="1148"/>
      <c r="AF222" s="1154"/>
      <c r="AG222" s="381"/>
      <c r="AH222" s="382"/>
      <c r="AI222" s="1137"/>
      <c r="AJ222" s="1151"/>
      <c r="AK222" s="1137"/>
      <c r="AL222" s="1151"/>
      <c r="AM222" s="1137"/>
      <c r="AN222" s="1151"/>
      <c r="AO222" s="1137"/>
      <c r="AP222" s="1151"/>
      <c r="AQ222" s="1137"/>
      <c r="AR222" s="1151"/>
    </row>
    <row r="223" spans="1:44" outlineLevel="1">
      <c r="B223" s="383"/>
      <c r="C223" s="384"/>
      <c r="D223" s="384"/>
      <c r="E223" s="384"/>
      <c r="F223" s="384"/>
      <c r="G223" s="505"/>
      <c r="H223" s="505"/>
      <c r="I223" s="505"/>
      <c r="J223" s="505"/>
      <c r="K223" s="372"/>
      <c r="L223" s="373"/>
      <c r="M223" s="370"/>
      <c r="N223" s="370"/>
      <c r="O223" s="71"/>
      <c r="P223" s="1195"/>
      <c r="Q223" s="1155"/>
      <c r="R223" s="388"/>
      <c r="S223" s="389"/>
      <c r="T223" s="1140"/>
      <c r="U223" s="1152"/>
      <c r="V223" s="1140"/>
      <c r="W223" s="1152"/>
      <c r="X223" s="1140"/>
      <c r="Y223" s="1152"/>
      <c r="Z223" s="1140"/>
      <c r="AA223" s="1152"/>
      <c r="AB223" s="1140"/>
      <c r="AC223" s="1152"/>
      <c r="AE223" s="1195"/>
      <c r="AF223" s="1155"/>
      <c r="AG223" s="388"/>
      <c r="AH223" s="389"/>
      <c r="AI223" s="1140"/>
      <c r="AJ223" s="1152"/>
      <c r="AK223" s="1140"/>
      <c r="AL223" s="1152"/>
      <c r="AM223" s="1140"/>
      <c r="AN223" s="1152"/>
      <c r="AO223" s="1140"/>
      <c r="AP223" s="1152"/>
      <c r="AQ223" s="1140"/>
      <c r="AR223" s="1152"/>
    </row>
    <row r="224" spans="1:44" ht="15" outlineLevel="1" thickBot="1">
      <c r="B224" s="541"/>
      <c r="C224" s="544"/>
      <c r="D224" s="545"/>
      <c r="E224" s="545"/>
      <c r="F224" s="546"/>
      <c r="G224" s="545"/>
      <c r="H224" s="545"/>
      <c r="I224" s="545"/>
      <c r="J224" s="545"/>
      <c r="K224" s="547"/>
      <c r="L224" s="548"/>
      <c r="M224" s="370"/>
      <c r="N224" s="370"/>
      <c r="O224" s="71"/>
      <c r="P224" s="1195"/>
      <c r="Q224" s="1156"/>
      <c r="R224" s="393"/>
      <c r="S224" s="394"/>
      <c r="T224" s="1141"/>
      <c r="U224" s="1153"/>
      <c r="V224" s="1141"/>
      <c r="W224" s="1153"/>
      <c r="X224" s="1141"/>
      <c r="Y224" s="1153"/>
      <c r="Z224" s="1141"/>
      <c r="AA224" s="1153"/>
      <c r="AB224" s="1141"/>
      <c r="AC224" s="1153"/>
      <c r="AE224" s="1195"/>
      <c r="AF224" s="1156"/>
      <c r="AG224" s="393"/>
      <c r="AH224" s="394"/>
      <c r="AI224" s="1141"/>
      <c r="AJ224" s="1153"/>
      <c r="AK224" s="1141"/>
      <c r="AL224" s="1153"/>
      <c r="AM224" s="1141"/>
      <c r="AN224" s="1153"/>
      <c r="AO224" s="1141"/>
      <c r="AP224" s="1153"/>
      <c r="AQ224" s="1141"/>
      <c r="AR224" s="1153"/>
    </row>
    <row r="225" spans="1:44" ht="14.55" customHeight="1" outlineLevel="1">
      <c r="B225" s="541"/>
      <c r="C225" s="544"/>
      <c r="D225" s="544"/>
      <c r="E225" s="544"/>
      <c r="F225" s="544"/>
      <c r="G225" s="544"/>
      <c r="H225" s="544"/>
      <c r="I225" s="544"/>
      <c r="J225" s="544"/>
      <c r="K225" s="547"/>
      <c r="L225" s="548"/>
      <c r="M225" s="370"/>
      <c r="N225" s="370"/>
      <c r="O225" s="71"/>
      <c r="P225" s="1195"/>
      <c r="Q225" s="1154"/>
      <c r="R225" s="395"/>
      <c r="S225" s="396"/>
      <c r="T225" s="1137"/>
      <c r="U225" s="1137"/>
      <c r="V225" s="1137"/>
      <c r="W225" s="1137"/>
      <c r="X225" s="1137"/>
      <c r="Y225" s="1137"/>
      <c r="Z225" s="1137"/>
      <c r="AA225" s="1137"/>
      <c r="AB225" s="1137"/>
      <c r="AC225" s="1137"/>
      <c r="AE225" s="1195"/>
      <c r="AF225" s="1154"/>
      <c r="AG225" s="395"/>
      <c r="AH225" s="396"/>
      <c r="AI225" s="1137"/>
      <c r="AJ225" s="1137"/>
      <c r="AK225" s="1137"/>
      <c r="AL225" s="1137"/>
      <c r="AM225" s="1137"/>
      <c r="AN225" s="1137"/>
      <c r="AO225" s="1137"/>
      <c r="AP225" s="1137"/>
      <c r="AQ225" s="1137"/>
      <c r="AR225" s="1137"/>
    </row>
    <row r="226" spans="1:44" outlineLevel="1">
      <c r="B226" s="541"/>
      <c r="C226" s="544"/>
      <c r="D226" s="544"/>
      <c r="E226" s="544"/>
      <c r="F226" s="544"/>
      <c r="G226" s="544"/>
      <c r="H226" s="544"/>
      <c r="I226" s="544"/>
      <c r="J226" s="544"/>
      <c r="K226" s="547"/>
      <c r="L226" s="548"/>
      <c r="M226" s="367"/>
      <c r="N226" s="367"/>
      <c r="O226" s="71"/>
      <c r="P226" s="1195"/>
      <c r="Q226" s="1155"/>
      <c r="R226" s="395"/>
      <c r="S226" s="396"/>
      <c r="T226" s="1138"/>
      <c r="U226" s="1138"/>
      <c r="V226" s="1138"/>
      <c r="W226" s="1138"/>
      <c r="X226" s="1138"/>
      <c r="Y226" s="1138"/>
      <c r="Z226" s="1138"/>
      <c r="AA226" s="1138"/>
      <c r="AB226" s="1138"/>
      <c r="AC226" s="1138"/>
      <c r="AE226" s="1195"/>
      <c r="AF226" s="1155"/>
      <c r="AG226" s="395"/>
      <c r="AH226" s="396"/>
      <c r="AI226" s="1138"/>
      <c r="AJ226" s="1138"/>
      <c r="AK226" s="1138"/>
      <c r="AL226" s="1138"/>
      <c r="AM226" s="1138"/>
      <c r="AN226" s="1138"/>
      <c r="AO226" s="1138"/>
      <c r="AP226" s="1138"/>
      <c r="AQ226" s="1138"/>
      <c r="AR226" s="1138"/>
    </row>
    <row r="227" spans="1:44" outlineLevel="1">
      <c r="B227" s="383"/>
      <c r="C227" s="397"/>
      <c r="D227" s="397"/>
      <c r="E227" s="397"/>
      <c r="F227" s="397"/>
      <c r="G227" s="399"/>
      <c r="H227" s="399"/>
      <c r="I227" s="399"/>
      <c r="J227" s="399"/>
      <c r="K227" s="372"/>
      <c r="L227" s="373"/>
      <c r="M227" s="363"/>
      <c r="N227" s="363"/>
      <c r="P227" s="1195"/>
      <c r="Q227" s="1155"/>
      <c r="R227" s="395"/>
      <c r="S227" s="396"/>
      <c r="T227" s="1138"/>
      <c r="U227" s="1138"/>
      <c r="V227" s="1138"/>
      <c r="W227" s="1138"/>
      <c r="X227" s="1138"/>
      <c r="Y227" s="1138"/>
      <c r="Z227" s="1138"/>
      <c r="AA227" s="1138"/>
      <c r="AB227" s="1138"/>
      <c r="AC227" s="1138"/>
      <c r="AE227" s="1195"/>
      <c r="AF227" s="1155"/>
      <c r="AG227" s="395"/>
      <c r="AH227" s="396"/>
      <c r="AI227" s="1138"/>
      <c r="AJ227" s="1138"/>
      <c r="AK227" s="1138"/>
      <c r="AL227" s="1138"/>
      <c r="AM227" s="1138"/>
      <c r="AN227" s="1138"/>
      <c r="AO227" s="1138"/>
      <c r="AP227" s="1138"/>
      <c r="AQ227" s="1138"/>
      <c r="AR227" s="1138"/>
    </row>
    <row r="228" spans="1:44" ht="15" outlineLevel="1" thickBot="1">
      <c r="B228" s="541"/>
      <c r="C228" s="544"/>
      <c r="D228" s="544"/>
      <c r="E228" s="544"/>
      <c r="F228" s="544"/>
      <c r="G228" s="544"/>
      <c r="H228" s="544"/>
      <c r="I228" s="544"/>
      <c r="J228" s="544"/>
      <c r="K228" s="547"/>
      <c r="L228" s="559"/>
      <c r="M228" s="363"/>
      <c r="N228" s="363"/>
      <c r="P228" s="1195"/>
      <c r="Q228" s="1155"/>
      <c r="R228" s="395"/>
      <c r="S228" s="396"/>
      <c r="T228" s="1138"/>
      <c r="U228" s="1138"/>
      <c r="V228" s="1138"/>
      <c r="W228" s="1138"/>
      <c r="X228" s="1138"/>
      <c r="Y228" s="1138"/>
      <c r="Z228" s="1138"/>
      <c r="AA228" s="1138"/>
      <c r="AB228" s="1138"/>
      <c r="AC228" s="1138"/>
      <c r="AE228" s="1195"/>
      <c r="AF228" s="1155"/>
      <c r="AG228" s="395"/>
      <c r="AH228" s="396"/>
      <c r="AI228" s="1138"/>
      <c r="AJ228" s="1138"/>
      <c r="AK228" s="1138"/>
      <c r="AL228" s="1138"/>
      <c r="AM228" s="1138"/>
      <c r="AN228" s="1138"/>
      <c r="AO228" s="1138"/>
      <c r="AP228" s="1138"/>
      <c r="AQ228" s="1138"/>
      <c r="AR228" s="1138"/>
    </row>
    <row r="229" spans="1:44" ht="15" outlineLevel="1" thickBot="1">
      <c r="B229" s="401"/>
      <c r="C229" s="402"/>
      <c r="D229" s="403"/>
      <c r="E229" s="404"/>
      <c r="F229" s="405"/>
      <c r="G229" s="406"/>
      <c r="H229" s="406"/>
      <c r="I229" s="406"/>
      <c r="J229" s="406"/>
      <c r="K229" s="407"/>
      <c r="L229" s="408"/>
      <c r="M229" s="363"/>
      <c r="N229" s="363"/>
      <c r="P229" s="1195"/>
      <c r="Q229" s="1155"/>
      <c r="R229" s="409"/>
      <c r="S229" s="410"/>
      <c r="T229" s="1139"/>
      <c r="U229" s="1139"/>
      <c r="V229" s="1139"/>
      <c r="W229" s="1139"/>
      <c r="X229" s="1139"/>
      <c r="Y229" s="1139"/>
      <c r="Z229" s="1139"/>
      <c r="AA229" s="1139"/>
      <c r="AB229" s="1139"/>
      <c r="AC229" s="1139"/>
      <c r="AE229" s="1195"/>
      <c r="AF229" s="1155"/>
      <c r="AG229" s="409"/>
      <c r="AH229" s="410"/>
      <c r="AI229" s="1139"/>
      <c r="AJ229" s="1139"/>
      <c r="AK229" s="1139"/>
      <c r="AL229" s="1139"/>
      <c r="AM229" s="1139"/>
      <c r="AN229" s="1139"/>
      <c r="AO229" s="1139"/>
      <c r="AP229" s="1139"/>
      <c r="AQ229" s="1139"/>
      <c r="AR229" s="1139"/>
    </row>
    <row r="230" spans="1:44" ht="15" outlineLevel="1" thickBot="1">
      <c r="B230" s="541"/>
      <c r="C230" s="544"/>
      <c r="D230" s="544"/>
      <c r="E230" s="544"/>
      <c r="F230" s="544"/>
      <c r="G230" s="545"/>
      <c r="H230" s="545"/>
      <c r="I230" s="545"/>
      <c r="J230" s="545"/>
      <c r="K230" s="547"/>
      <c r="L230" s="548"/>
      <c r="M230" s="363"/>
      <c r="N230" s="363"/>
      <c r="P230" s="1196"/>
      <c r="Q230" s="411"/>
      <c r="R230" s="412"/>
      <c r="S230" s="413"/>
      <c r="T230" s="414"/>
      <c r="U230" s="415"/>
      <c r="V230" s="414"/>
      <c r="W230" s="415"/>
      <c r="X230" s="414"/>
      <c r="Y230" s="415"/>
      <c r="Z230" s="414"/>
      <c r="AA230" s="415"/>
      <c r="AB230" s="414"/>
      <c r="AC230" s="417"/>
      <c r="AE230" s="1196"/>
      <c r="AF230" s="411"/>
      <c r="AG230" s="412"/>
      <c r="AH230" s="413"/>
      <c r="AI230" s="414"/>
      <c r="AJ230" s="415"/>
      <c r="AK230" s="414"/>
      <c r="AL230" s="415"/>
      <c r="AM230" s="414"/>
      <c r="AN230" s="415"/>
      <c r="AO230" s="414"/>
      <c r="AP230" s="415"/>
      <c r="AQ230" s="414"/>
      <c r="AR230" s="417"/>
    </row>
    <row r="231" spans="1:44" outlineLevel="1">
      <c r="B231" s="541"/>
      <c r="C231" s="544"/>
      <c r="D231" s="544"/>
      <c r="E231" s="544"/>
      <c r="F231" s="544"/>
      <c r="G231" s="549"/>
      <c r="H231" s="549"/>
      <c r="I231" s="549"/>
      <c r="J231" s="549"/>
      <c r="K231" s="550"/>
      <c r="L231" s="548"/>
      <c r="M231" s="363"/>
      <c r="N231" s="363"/>
    </row>
    <row r="232" spans="1:44" outlineLevel="1">
      <c r="B232" s="541"/>
      <c r="C232" s="544"/>
      <c r="D232" s="544"/>
      <c r="E232" s="544"/>
      <c r="F232" s="544"/>
      <c r="G232" s="549"/>
      <c r="H232" s="549"/>
      <c r="I232" s="549"/>
      <c r="J232" s="549"/>
      <c r="K232" s="550"/>
      <c r="L232" s="548"/>
      <c r="M232" s="420"/>
      <c r="N232" s="363"/>
    </row>
    <row r="233" spans="1:44" outlineLevel="1">
      <c r="B233" s="421"/>
      <c r="C233" s="399"/>
      <c r="D233" s="399"/>
      <c r="E233" s="399"/>
      <c r="F233" s="399"/>
      <c r="G233" s="422"/>
      <c r="H233" s="422"/>
      <c r="I233" s="422"/>
      <c r="J233" s="422"/>
      <c r="K233" s="423"/>
      <c r="L233" s="424"/>
      <c r="M233" s="420"/>
      <c r="N233" s="420"/>
    </row>
    <row r="234" spans="1:44" outlineLevel="1">
      <c r="B234" s="383"/>
      <c r="C234" s="397"/>
      <c r="D234" s="397"/>
      <c r="E234" s="397"/>
      <c r="F234" s="397"/>
      <c r="G234" s="422"/>
      <c r="H234" s="425"/>
      <c r="I234" s="425"/>
      <c r="J234" s="425"/>
      <c r="K234" s="426"/>
      <c r="L234" s="427"/>
      <c r="M234" s="428"/>
      <c r="N234" s="428"/>
    </row>
    <row r="235" spans="1:44" outlineLevel="1">
      <c r="B235" s="383"/>
      <c r="C235" s="397"/>
      <c r="D235" s="397"/>
      <c r="E235" s="397"/>
      <c r="F235" s="397"/>
      <c r="G235" s="425"/>
      <c r="H235" s="425"/>
      <c r="I235" s="425"/>
      <c r="J235" s="425"/>
      <c r="K235" s="423"/>
      <c r="L235" s="427"/>
      <c r="M235" s="428"/>
      <c r="N235" s="428"/>
    </row>
    <row r="236" spans="1:44" outlineLevel="1">
      <c r="B236" s="383"/>
      <c r="C236" s="397"/>
      <c r="D236" s="397"/>
      <c r="E236" s="397"/>
      <c r="F236" s="397"/>
      <c r="G236" s="425"/>
      <c r="H236" s="425"/>
      <c r="I236" s="425"/>
      <c r="J236" s="425"/>
      <c r="K236" s="423"/>
      <c r="L236" s="427"/>
      <c r="M236" s="428"/>
      <c r="N236" s="428"/>
    </row>
    <row r="237" spans="1:44" outlineLevel="1">
      <c r="B237" s="383"/>
      <c r="C237" s="397"/>
      <c r="D237" s="397"/>
      <c r="E237" s="397"/>
      <c r="F237" s="397"/>
      <c r="G237" s="425"/>
      <c r="H237" s="425"/>
      <c r="I237" s="425"/>
      <c r="J237" s="425"/>
      <c r="K237" s="423"/>
      <c r="L237" s="427"/>
      <c r="M237" s="428"/>
      <c r="N237" s="428"/>
    </row>
    <row r="238" spans="1:44" ht="15" outlineLevel="1" thickBot="1">
      <c r="B238" s="429"/>
      <c r="C238" s="430"/>
      <c r="D238" s="430"/>
      <c r="E238" s="430"/>
      <c r="F238" s="430"/>
      <c r="G238" s="425"/>
      <c r="H238" s="425"/>
      <c r="I238" s="425"/>
      <c r="J238" s="425"/>
      <c r="K238" s="423"/>
      <c r="L238" s="427"/>
      <c r="M238" s="428"/>
      <c r="N238" s="428"/>
    </row>
    <row r="239" spans="1:44" ht="15" outlineLevel="1" thickBot="1">
      <c r="B239" s="431"/>
      <c r="C239" s="432"/>
      <c r="D239" s="403"/>
      <c r="E239" s="403"/>
      <c r="F239" s="433"/>
      <c r="G239" s="434"/>
      <c r="H239" s="406"/>
      <c r="I239" s="406"/>
      <c r="J239" s="406"/>
      <c r="K239" s="407"/>
      <c r="L239" s="408"/>
      <c r="M239" s="428"/>
      <c r="N239" s="428"/>
    </row>
    <row r="240" spans="1:44" outlineLevel="1">
      <c r="A240" s="435"/>
      <c r="B240" s="436"/>
      <c r="C240" s="551"/>
      <c r="D240" s="512"/>
      <c r="E240" s="512"/>
      <c r="F240" s="513"/>
      <c r="G240" s="425"/>
      <c r="H240" s="425"/>
      <c r="I240" s="425"/>
      <c r="J240" s="425"/>
      <c r="K240" s="426"/>
      <c r="L240" s="440"/>
      <c r="M240" s="420"/>
      <c r="N240" s="420"/>
    </row>
    <row r="241" spans="2:30" outlineLevel="1">
      <c r="B241" s="441"/>
      <c r="C241" s="443"/>
      <c r="D241" s="442"/>
      <c r="E241" s="442"/>
      <c r="F241" s="442"/>
      <c r="G241" s="425"/>
      <c r="H241" s="425"/>
      <c r="I241" s="425"/>
      <c r="J241" s="425"/>
      <c r="K241" s="444"/>
      <c r="L241" s="373"/>
      <c r="M241" s="71"/>
      <c r="N241" s="420"/>
    </row>
    <row r="242" spans="2:30" outlineLevel="1">
      <c r="B242" s="441"/>
      <c r="C242" s="443"/>
      <c r="D242" s="443"/>
      <c r="E242" s="443"/>
      <c r="F242" s="443"/>
      <c r="G242" s="425"/>
      <c r="H242" s="425"/>
      <c r="I242" s="425"/>
      <c r="J242" s="425"/>
      <c r="K242" s="444"/>
      <c r="L242" s="373"/>
      <c r="M242" s="420"/>
      <c r="N242" s="420"/>
    </row>
    <row r="243" spans="2:30" outlineLevel="1">
      <c r="B243" s="383"/>
      <c r="C243" s="445"/>
      <c r="D243" s="446"/>
      <c r="E243" s="446"/>
      <c r="F243" s="447"/>
      <c r="G243" s="425"/>
      <c r="H243" s="425"/>
      <c r="I243" s="425"/>
      <c r="J243" s="425"/>
      <c r="K243" s="448"/>
      <c r="L243" s="373"/>
      <c r="M243" s="420"/>
      <c r="N243" s="420"/>
    </row>
    <row r="244" spans="2:30" outlineLevel="1">
      <c r="B244" s="383"/>
      <c r="C244" s="449"/>
      <c r="D244" s="449"/>
      <c r="E244" s="449"/>
      <c r="F244" s="449"/>
      <c r="G244" s="425"/>
      <c r="H244" s="425"/>
      <c r="I244" s="425"/>
      <c r="J244" s="425"/>
      <c r="K244" s="448"/>
      <c r="L244" s="373"/>
      <c r="M244" s="450"/>
      <c r="N244" s="361"/>
      <c r="P244" s="1142"/>
      <c r="Q244" s="1143"/>
      <c r="R244" s="1143"/>
      <c r="S244" s="1143"/>
      <c r="T244" s="1143"/>
      <c r="U244" s="1144"/>
    </row>
    <row r="245" spans="2:30" ht="15" outlineLevel="1" thickBot="1">
      <c r="B245" s="541"/>
      <c r="C245" s="552"/>
      <c r="D245" s="552"/>
      <c r="E245" s="552"/>
      <c r="F245" s="552"/>
      <c r="G245" s="425"/>
      <c r="H245" s="425"/>
      <c r="I245" s="425"/>
      <c r="J245" s="425"/>
      <c r="K245" s="444"/>
      <c r="L245" s="373"/>
      <c r="M245" s="450"/>
      <c r="N245" s="361"/>
      <c r="P245" s="1134"/>
      <c r="Q245" s="1135"/>
      <c r="R245" s="1135"/>
      <c r="S245" s="1135"/>
      <c r="T245" s="1135"/>
      <c r="U245" s="1136"/>
    </row>
    <row r="246" spans="2:30" outlineLevel="1">
      <c r="B246" s="541"/>
      <c r="C246" s="554"/>
      <c r="D246" s="554"/>
      <c r="E246" s="554"/>
      <c r="F246" s="554"/>
      <c r="G246" s="425"/>
      <c r="H246" s="425"/>
      <c r="I246" s="425"/>
      <c r="J246" s="425"/>
      <c r="K246" s="448"/>
      <c r="L246" s="373"/>
      <c r="M246" s="363"/>
      <c r="N246" s="363"/>
      <c r="P246" s="53"/>
    </row>
    <row r="247" spans="2:30" outlineLevel="1">
      <c r="B247" s="441"/>
      <c r="C247" s="518"/>
      <c r="D247" s="518"/>
      <c r="E247" s="518"/>
      <c r="F247" s="518"/>
      <c r="G247" s="425"/>
      <c r="H247" s="425"/>
      <c r="I247" s="425"/>
      <c r="J247" s="425"/>
      <c r="K247" s="444"/>
      <c r="L247" s="424"/>
      <c r="M247" s="367"/>
      <c r="N247" s="367"/>
      <c r="P247" s="46"/>
      <c r="Q247" s="46"/>
      <c r="R247" s="47"/>
      <c r="S247" s="47"/>
      <c r="T247" s="47"/>
      <c r="U247" s="48"/>
      <c r="V247" s="49"/>
      <c r="W247" s="49"/>
      <c r="X247" s="49"/>
      <c r="Y247" s="49"/>
      <c r="Z247" s="49"/>
      <c r="AA247" s="49"/>
      <c r="AB247" s="49"/>
      <c r="AC247" s="49"/>
      <c r="AD247" s="49"/>
    </row>
    <row r="248" spans="2:30" ht="15" outlineLevel="1" thickBot="1">
      <c r="B248" s="519"/>
      <c r="C248" s="442"/>
      <c r="D248" s="520"/>
      <c r="E248" s="520"/>
      <c r="F248" s="521"/>
      <c r="G248" s="425"/>
      <c r="H248" s="425"/>
      <c r="I248" s="425"/>
      <c r="J248" s="425"/>
      <c r="K248" s="448"/>
      <c r="L248" s="424"/>
      <c r="M248" s="363"/>
      <c r="N248" s="363"/>
      <c r="P248" s="50"/>
      <c r="Q248" s="50"/>
      <c r="R248" s="51"/>
      <c r="S248" s="51"/>
      <c r="T248" s="51"/>
      <c r="U248" s="51"/>
      <c r="V248" s="50"/>
      <c r="W248" s="50"/>
      <c r="X248" s="50"/>
      <c r="Y248" s="50"/>
      <c r="Z248" s="50"/>
      <c r="AA248" s="50"/>
      <c r="AB248" s="50"/>
      <c r="AC248" s="50"/>
      <c r="AD248" s="50"/>
    </row>
    <row r="249" spans="2:30" ht="15" outlineLevel="1" thickBot="1">
      <c r="B249" s="401"/>
      <c r="C249" s="402"/>
      <c r="D249" s="403"/>
      <c r="E249" s="404"/>
      <c r="F249" s="405"/>
      <c r="G249" s="406"/>
      <c r="H249" s="406"/>
      <c r="I249" s="406"/>
      <c r="J249" s="406"/>
      <c r="K249" s="459"/>
      <c r="L249" s="460"/>
      <c r="M249" s="363"/>
      <c r="N249" s="363"/>
      <c r="O249" s="461"/>
      <c r="P249" s="56"/>
      <c r="Q249" s="56"/>
      <c r="R249" s="57"/>
      <c r="S249" s="57"/>
      <c r="T249" s="57"/>
      <c r="U249" s="56"/>
      <c r="V249" s="56"/>
      <c r="W249" s="56"/>
      <c r="X249" s="56"/>
      <c r="Y249" s="56"/>
      <c r="Z249" s="56"/>
      <c r="AA249" s="56"/>
      <c r="AB249" s="56"/>
      <c r="AC249" s="56"/>
      <c r="AD249" s="56"/>
    </row>
    <row r="250" spans="2:30" outlineLevel="1">
      <c r="B250" s="556"/>
      <c r="C250" s="557"/>
      <c r="D250" s="557"/>
      <c r="E250" s="557"/>
      <c r="F250" s="557"/>
      <c r="G250" s="558"/>
      <c r="H250" s="558"/>
      <c r="I250" s="558"/>
      <c r="J250" s="558"/>
      <c r="K250" s="558"/>
      <c r="L250" s="559"/>
      <c r="M250" s="363"/>
      <c r="N250" s="363"/>
      <c r="O250" s="465"/>
      <c r="P250" s="466"/>
      <c r="Q250" s="58"/>
      <c r="R250" s="466"/>
      <c r="S250" s="58"/>
      <c r="T250" s="466"/>
      <c r="U250" s="467"/>
      <c r="V250" s="467"/>
      <c r="W250" s="467"/>
      <c r="X250" s="58"/>
      <c r="Y250" s="58"/>
      <c r="Z250" s="466"/>
      <c r="AA250" s="468"/>
      <c r="AB250" s="468"/>
      <c r="AC250" s="468"/>
      <c r="AD250" s="468"/>
    </row>
    <row r="251" spans="2:30" outlineLevel="1">
      <c r="B251" s="541"/>
      <c r="C251" s="560"/>
      <c r="D251" s="561"/>
      <c r="E251" s="561"/>
      <c r="F251" s="562"/>
      <c r="G251" s="562"/>
      <c r="H251" s="562"/>
      <c r="I251" s="562"/>
      <c r="J251" s="562"/>
      <c r="K251" s="563"/>
      <c r="L251" s="559"/>
      <c r="M251" s="363"/>
      <c r="N251" s="363"/>
      <c r="O251" s="465"/>
      <c r="P251" s="466"/>
      <c r="Q251" s="58"/>
      <c r="R251" s="466"/>
      <c r="S251" s="58"/>
      <c r="T251" s="466"/>
      <c r="U251" s="467"/>
      <c r="V251" s="467"/>
      <c r="W251" s="467"/>
      <c r="X251" s="58"/>
      <c r="Y251" s="58"/>
      <c r="Z251" s="466"/>
      <c r="AA251" s="468"/>
      <c r="AB251" s="468"/>
      <c r="AC251" s="468"/>
      <c r="AD251" s="468"/>
    </row>
    <row r="252" spans="2:30" outlineLevel="1">
      <c r="B252" s="541"/>
      <c r="C252" s="560"/>
      <c r="D252" s="561"/>
      <c r="E252" s="561"/>
      <c r="F252" s="562"/>
      <c r="G252" s="562"/>
      <c r="H252" s="562"/>
      <c r="I252" s="562"/>
      <c r="J252" s="562"/>
      <c r="K252" s="563"/>
      <c r="L252" s="559"/>
      <c r="M252" s="363"/>
      <c r="N252" s="363"/>
      <c r="O252" s="465"/>
      <c r="P252" s="466"/>
      <c r="Q252" s="58"/>
      <c r="R252" s="466"/>
      <c r="S252" s="58"/>
      <c r="T252" s="466"/>
      <c r="U252" s="467"/>
      <c r="V252" s="467"/>
      <c r="W252" s="467"/>
      <c r="X252" s="58"/>
      <c r="Y252" s="58"/>
      <c r="Z252" s="466"/>
      <c r="AA252" s="468"/>
      <c r="AB252" s="468"/>
      <c r="AC252" s="468"/>
      <c r="AD252" s="468"/>
    </row>
    <row r="253" spans="2:30" outlineLevel="1">
      <c r="B253" s="541"/>
      <c r="C253" s="564"/>
      <c r="D253" s="564"/>
      <c r="E253" s="564"/>
      <c r="F253" s="564"/>
      <c r="G253" s="565"/>
      <c r="H253" s="565"/>
      <c r="I253" s="565"/>
      <c r="J253" s="565"/>
      <c r="K253" s="565"/>
      <c r="L253" s="548"/>
      <c r="M253" s="363"/>
      <c r="N253" s="363"/>
      <c r="O253" s="465"/>
      <c r="P253" s="466"/>
      <c r="Q253" s="58"/>
      <c r="R253" s="466"/>
      <c r="S253" s="58"/>
      <c r="T253" s="466"/>
      <c r="U253" s="467"/>
      <c r="V253" s="467"/>
      <c r="W253" s="467"/>
      <c r="X253" s="58"/>
      <c r="Y253" s="58"/>
      <c r="Z253" s="466"/>
      <c r="AA253" s="468"/>
      <c r="AB253" s="468"/>
      <c r="AC253" s="468"/>
      <c r="AD253" s="468"/>
    </row>
    <row r="254" spans="2:30" outlineLevel="1">
      <c r="B254" s="566"/>
      <c r="C254" s="560"/>
      <c r="D254" s="561"/>
      <c r="E254" s="561"/>
      <c r="F254" s="562"/>
      <c r="G254" s="562"/>
      <c r="H254" s="562"/>
      <c r="I254" s="562"/>
      <c r="J254" s="562"/>
      <c r="K254" s="563"/>
      <c r="L254" s="559"/>
      <c r="M254" s="367"/>
      <c r="N254" s="367"/>
    </row>
    <row r="255" spans="2:30" outlineLevel="1">
      <c r="B255" s="566"/>
      <c r="C255" s="560"/>
      <c r="D255" s="561"/>
      <c r="E255" s="561"/>
      <c r="F255" s="562"/>
      <c r="G255" s="562"/>
      <c r="H255" s="562"/>
      <c r="I255" s="562"/>
      <c r="J255" s="562"/>
      <c r="K255" s="563"/>
      <c r="L255" s="559"/>
      <c r="M255" s="363"/>
      <c r="N255" s="363"/>
    </row>
    <row r="256" spans="2:30" ht="15" outlineLevel="1" thickBot="1">
      <c r="B256" s="567"/>
      <c r="C256" s="568"/>
      <c r="D256" s="568"/>
      <c r="E256" s="568"/>
      <c r="F256" s="568"/>
      <c r="G256" s="568"/>
      <c r="H256" s="568"/>
      <c r="I256" s="568"/>
      <c r="J256" s="568"/>
      <c r="K256" s="568"/>
      <c r="L256" s="569"/>
      <c r="M256" s="363"/>
      <c r="N256" s="363"/>
    </row>
    <row r="257" spans="1:15" outlineLevel="1">
      <c r="B257" s="461"/>
      <c r="C257" s="483"/>
      <c r="D257" s="483"/>
      <c r="E257" s="483"/>
      <c r="F257" s="483"/>
      <c r="G257" s="483"/>
      <c r="H257" s="484"/>
      <c r="I257" s="420"/>
      <c r="J257" s="420"/>
      <c r="K257" s="484"/>
      <c r="L257" s="484"/>
      <c r="N257" s="420"/>
    </row>
    <row r="258" spans="1:15" outlineLevel="1">
      <c r="B258" s="485"/>
      <c r="C258" s="486"/>
      <c r="D258" s="486"/>
      <c r="E258" s="486"/>
      <c r="F258" s="486"/>
      <c r="G258" s="486"/>
      <c r="H258" s="484"/>
      <c r="I258" s="71"/>
      <c r="J258" s="420"/>
      <c r="K258" s="484"/>
      <c r="L258" s="484"/>
      <c r="N258" s="420"/>
    </row>
    <row r="259" spans="1:15" outlineLevel="1">
      <c r="B259" s="461"/>
      <c r="C259" s="359"/>
      <c r="D259" s="359"/>
      <c r="E259" s="359"/>
      <c r="F259" s="359"/>
      <c r="G259" s="359"/>
      <c r="I259" s="420"/>
      <c r="J259" s="420"/>
      <c r="N259" s="420"/>
    </row>
    <row r="260" spans="1:15" outlineLevel="1">
      <c r="B260" s="461"/>
      <c r="C260" s="487"/>
      <c r="D260" s="487"/>
      <c r="E260" s="487"/>
      <c r="F260" s="487"/>
      <c r="G260" s="359"/>
      <c r="M260" s="420"/>
      <c r="N260" s="420"/>
    </row>
    <row r="261" spans="1:15" outlineLevel="1"/>
    <row r="262" spans="1:15" outlineLevel="1">
      <c r="A262" s="488"/>
      <c r="B262" s="489"/>
      <c r="D262" s="490"/>
      <c r="E262" s="490"/>
      <c r="F262" s="490"/>
      <c r="G262" s="358"/>
      <c r="H262" s="358"/>
      <c r="I262" s="358"/>
      <c r="J262" s="358"/>
      <c r="K262" s="358"/>
      <c r="L262" s="358"/>
    </row>
    <row r="263" spans="1:15" outlineLevel="1">
      <c r="A263" s="491"/>
      <c r="B263" s="492"/>
      <c r="D263" s="490"/>
      <c r="E263" s="490"/>
      <c r="F263" s="490"/>
      <c r="G263" s="358"/>
      <c r="H263" s="358"/>
      <c r="I263" s="358"/>
      <c r="J263" s="358"/>
      <c r="K263" s="358"/>
      <c r="L263" s="358"/>
    </row>
    <row r="264" spans="1:15" outlineLevel="1">
      <c r="A264" s="491"/>
      <c r="B264" s="493"/>
      <c r="D264" s="490"/>
      <c r="E264" s="490"/>
      <c r="F264" s="490"/>
      <c r="G264" s="358"/>
      <c r="H264" s="358"/>
      <c r="I264" s="358"/>
      <c r="J264" s="358"/>
      <c r="K264" s="358"/>
      <c r="L264" s="358"/>
    </row>
    <row r="265" spans="1:15" outlineLevel="1">
      <c r="A265" s="491"/>
      <c r="B265" s="493"/>
      <c r="D265" s="490"/>
      <c r="E265" s="490"/>
      <c r="F265" s="490"/>
      <c r="G265" s="358"/>
      <c r="H265" s="358"/>
      <c r="I265" s="358"/>
      <c r="J265" s="358"/>
      <c r="K265" s="358"/>
      <c r="L265" s="358"/>
    </row>
    <row r="266" spans="1:15" outlineLevel="1">
      <c r="A266" s="491"/>
      <c r="B266" s="493"/>
      <c r="D266" s="490"/>
      <c r="E266" s="490"/>
      <c r="F266" s="490"/>
      <c r="G266" s="358"/>
      <c r="H266" s="358"/>
      <c r="I266" s="358"/>
      <c r="J266" s="358"/>
      <c r="K266" s="358"/>
      <c r="L266" s="358"/>
    </row>
    <row r="267" spans="1:15" outlineLevel="1">
      <c r="A267" s="358"/>
      <c r="B267" s="494"/>
      <c r="D267" s="490"/>
      <c r="E267" s="490"/>
      <c r="F267" s="490"/>
      <c r="G267" s="358"/>
      <c r="H267" s="358"/>
      <c r="I267" s="358"/>
      <c r="J267" s="358"/>
      <c r="K267" s="358"/>
      <c r="L267" s="358"/>
      <c r="M267" s="570"/>
      <c r="N267" s="489"/>
      <c r="O267" s="490"/>
    </row>
    <row r="268" spans="1:15" outlineLevel="1">
      <c r="A268" s="358"/>
      <c r="B268" s="492"/>
      <c r="D268" s="490"/>
      <c r="E268" s="490"/>
      <c r="F268" s="490"/>
      <c r="G268" s="358"/>
      <c r="H268" s="358"/>
      <c r="I268" s="358"/>
      <c r="J268" s="358"/>
      <c r="K268" s="358"/>
      <c r="L268" s="358"/>
      <c r="O268" s="490"/>
    </row>
    <row r="269" spans="1:15" outlineLevel="1">
      <c r="A269" s="358"/>
      <c r="B269" s="495"/>
      <c r="D269" s="490"/>
      <c r="E269" s="490"/>
      <c r="F269" s="490"/>
      <c r="G269" s="358"/>
      <c r="H269" s="358"/>
      <c r="I269" s="358"/>
      <c r="J269" s="358"/>
      <c r="K269" s="358"/>
      <c r="L269" s="358"/>
      <c r="O269" s="490"/>
    </row>
    <row r="270" spans="1:15" outlineLevel="1">
      <c r="A270" s="358"/>
      <c r="B270" s="495"/>
      <c r="D270" s="490"/>
      <c r="E270" s="490"/>
      <c r="F270" s="490"/>
      <c r="G270" s="358"/>
      <c r="H270" s="358"/>
      <c r="I270" s="358"/>
      <c r="J270" s="358"/>
      <c r="K270" s="358"/>
      <c r="L270" s="358"/>
      <c r="O270" s="490"/>
    </row>
    <row r="271" spans="1:15" outlineLevel="1">
      <c r="A271" s="358"/>
      <c r="B271" s="489"/>
      <c r="D271" s="490"/>
      <c r="E271" s="490"/>
      <c r="F271" s="490"/>
      <c r="G271" s="358"/>
      <c r="H271" s="358"/>
      <c r="I271" s="358"/>
      <c r="J271" s="358"/>
      <c r="K271" s="358"/>
      <c r="L271" s="358"/>
      <c r="O271" s="490"/>
    </row>
    <row r="272" spans="1:15" outlineLevel="1">
      <c r="A272" s="358"/>
      <c r="B272" s="490"/>
      <c r="D272" s="490"/>
      <c r="E272" s="490"/>
      <c r="F272" s="490"/>
      <c r="G272" s="358"/>
      <c r="H272" s="358"/>
      <c r="I272" s="358"/>
      <c r="J272" s="358"/>
      <c r="K272" s="358"/>
      <c r="L272" s="358"/>
      <c r="O272" s="490"/>
    </row>
    <row r="273" spans="1:44" outlineLevel="1">
      <c r="A273" s="488"/>
      <c r="B273" s="489"/>
      <c r="D273" s="490"/>
      <c r="E273" s="490"/>
      <c r="F273" s="490"/>
      <c r="G273" s="358"/>
      <c r="H273" s="358"/>
      <c r="I273" s="358"/>
      <c r="J273" s="358"/>
      <c r="K273" s="358"/>
      <c r="L273" s="358"/>
      <c r="O273" s="490"/>
    </row>
    <row r="274" spans="1:44" outlineLevel="1">
      <c r="A274" s="496"/>
      <c r="B274" s="497"/>
      <c r="D274" s="490"/>
      <c r="E274" s="490"/>
      <c r="F274" s="490"/>
      <c r="G274" s="358"/>
      <c r="H274" s="358"/>
      <c r="I274" s="358"/>
      <c r="J274" s="358"/>
      <c r="K274" s="358"/>
      <c r="L274" s="358"/>
      <c r="M274" s="570"/>
      <c r="N274" s="489"/>
      <c r="O274" s="490"/>
    </row>
    <row r="275" spans="1:44" outlineLevel="1">
      <c r="A275" s="496"/>
      <c r="B275" s="489"/>
      <c r="D275" s="490"/>
      <c r="E275" s="490"/>
      <c r="F275" s="490"/>
      <c r="G275" s="358"/>
      <c r="H275" s="358"/>
      <c r="I275" s="358"/>
      <c r="J275" s="358"/>
      <c r="K275" s="358"/>
      <c r="L275" s="358"/>
      <c r="M275" s="571"/>
      <c r="N275" s="489"/>
      <c r="O275" s="490"/>
    </row>
    <row r="276" spans="1:44" outlineLevel="1">
      <c r="A276" s="496"/>
      <c r="B276" s="489"/>
      <c r="D276" s="490"/>
      <c r="E276" s="490"/>
      <c r="F276" s="490"/>
      <c r="G276" s="358"/>
      <c r="H276" s="358"/>
      <c r="I276" s="358"/>
      <c r="J276" s="358"/>
      <c r="K276" s="358"/>
      <c r="L276" s="358"/>
      <c r="M276" s="572"/>
      <c r="N276" s="489"/>
      <c r="O276" s="490"/>
    </row>
    <row r="277" spans="1:44" outlineLevel="1">
      <c r="A277" s="496"/>
      <c r="B277" s="498"/>
      <c r="D277" s="490"/>
      <c r="E277" s="490"/>
      <c r="F277" s="490"/>
      <c r="G277" s="358"/>
      <c r="H277" s="358"/>
      <c r="I277" s="358"/>
      <c r="J277" s="358"/>
      <c r="K277" s="358"/>
      <c r="L277" s="358"/>
      <c r="M277" s="573"/>
      <c r="N277" s="489"/>
      <c r="O277" s="490"/>
    </row>
    <row r="278" spans="1:44" outlineLevel="1">
      <c r="A278" s="496"/>
      <c r="B278" s="489"/>
      <c r="D278" s="490"/>
      <c r="E278" s="490"/>
      <c r="F278" s="490"/>
      <c r="G278" s="358"/>
      <c r="H278" s="358"/>
      <c r="I278" s="358"/>
      <c r="J278" s="358"/>
      <c r="K278" s="358"/>
      <c r="L278" s="358"/>
      <c r="M278" s="573"/>
      <c r="N278" s="490"/>
      <c r="O278" s="490"/>
    </row>
    <row r="279" spans="1:44" outlineLevel="1">
      <c r="A279" s="496"/>
      <c r="B279" s="489"/>
      <c r="D279" s="490"/>
      <c r="E279" s="490"/>
      <c r="F279" s="490"/>
      <c r="G279" s="358"/>
      <c r="H279" s="358"/>
      <c r="I279" s="358"/>
      <c r="J279" s="358"/>
      <c r="K279" s="358"/>
      <c r="L279" s="358"/>
      <c r="M279" s="489"/>
      <c r="N279" s="490"/>
      <c r="O279" s="490"/>
    </row>
    <row r="280" spans="1:44" outlineLevel="1"/>
    <row r="283" spans="1:44" ht="15" thickBot="1">
      <c r="A283" s="360"/>
    </row>
    <row r="284" spans="1:44" ht="20.55" customHeight="1" thickBot="1">
      <c r="B284" s="362"/>
      <c r="C284" s="1186"/>
      <c r="D284" s="1187"/>
      <c r="E284" s="1187"/>
      <c r="F284" s="1187"/>
      <c r="G284" s="1187"/>
      <c r="H284" s="1187"/>
      <c r="I284" s="1187"/>
      <c r="J284" s="1187"/>
      <c r="K284" s="1187"/>
      <c r="L284" s="1188"/>
      <c r="M284" s="363"/>
      <c r="N284" s="363"/>
      <c r="P284" s="364"/>
      <c r="Q284" s="365"/>
      <c r="R284" s="366"/>
      <c r="S284" s="1176"/>
      <c r="T284" s="1160"/>
      <c r="U284" s="1161"/>
      <c r="V284" s="1160"/>
      <c r="W284" s="1161"/>
      <c r="X284" s="1160"/>
      <c r="Y284" s="1161"/>
      <c r="Z284" s="1160"/>
      <c r="AA284" s="1161"/>
      <c r="AB284" s="1160"/>
      <c r="AC284" s="1161"/>
      <c r="AE284" s="364"/>
      <c r="AF284" s="365"/>
      <c r="AG284" s="366"/>
      <c r="AH284" s="1176"/>
      <c r="AI284" s="1160"/>
      <c r="AJ284" s="1161"/>
      <c r="AK284" s="1160"/>
      <c r="AL284" s="1161"/>
      <c r="AM284" s="1160"/>
      <c r="AN284" s="1161"/>
      <c r="AO284" s="1160"/>
      <c r="AP284" s="1161"/>
      <c r="AQ284" s="1160"/>
      <c r="AR284" s="1161"/>
    </row>
    <row r="285" spans="1:44" ht="15" customHeight="1" thickBot="1">
      <c r="B285" s="1164"/>
      <c r="C285" s="1166"/>
      <c r="D285" s="1166"/>
      <c r="E285" s="1166"/>
      <c r="F285" s="1166"/>
      <c r="G285" s="1168"/>
      <c r="H285" s="1169"/>
      <c r="I285" s="1168"/>
      <c r="J285" s="1169"/>
      <c r="K285" s="1189"/>
      <c r="L285" s="1189"/>
      <c r="M285" s="367"/>
      <c r="N285" s="367"/>
      <c r="P285" s="1180"/>
      <c r="Q285" s="368"/>
      <c r="R285" s="368"/>
      <c r="S285" s="1177"/>
      <c r="T285" s="1162"/>
      <c r="U285" s="1163"/>
      <c r="V285" s="1162"/>
      <c r="W285" s="1163"/>
      <c r="X285" s="1162"/>
      <c r="Y285" s="1163"/>
      <c r="Z285" s="1162"/>
      <c r="AA285" s="1163"/>
      <c r="AB285" s="1162"/>
      <c r="AC285" s="1163"/>
      <c r="AE285" s="1180"/>
      <c r="AF285" s="368"/>
      <c r="AG285" s="368"/>
      <c r="AH285" s="1177"/>
      <c r="AI285" s="1162"/>
      <c r="AJ285" s="1163"/>
      <c r="AK285" s="1162"/>
      <c r="AL285" s="1163"/>
      <c r="AM285" s="1162"/>
      <c r="AN285" s="1163"/>
      <c r="AO285" s="1162"/>
      <c r="AP285" s="1163"/>
      <c r="AQ285" s="1162"/>
      <c r="AR285" s="1163"/>
    </row>
    <row r="286" spans="1:44" ht="15" customHeight="1" thickBot="1">
      <c r="B286" s="1165"/>
      <c r="C286" s="1167"/>
      <c r="D286" s="1167"/>
      <c r="E286" s="1167"/>
      <c r="F286" s="1167"/>
      <c r="G286" s="406"/>
      <c r="H286" s="406"/>
      <c r="I286" s="406"/>
      <c r="J286" s="406"/>
      <c r="K286" s="1190"/>
      <c r="L286" s="1190"/>
      <c r="M286" s="370"/>
      <c r="N286" s="370"/>
      <c r="P286" s="1181"/>
      <c r="Q286" s="1183"/>
      <c r="R286" s="1184"/>
      <c r="S286" s="1178"/>
      <c r="T286" s="1162"/>
      <c r="U286" s="1163"/>
      <c r="V286" s="1162"/>
      <c r="W286" s="1163"/>
      <c r="X286" s="1162"/>
      <c r="Y286" s="1163"/>
      <c r="Z286" s="1162"/>
      <c r="AA286" s="1163"/>
      <c r="AB286" s="1162"/>
      <c r="AC286" s="1163"/>
      <c r="AE286" s="1181"/>
      <c r="AF286" s="1183"/>
      <c r="AG286" s="1184"/>
      <c r="AH286" s="1178"/>
      <c r="AI286" s="1162"/>
      <c r="AJ286" s="1163"/>
      <c r="AK286" s="1162"/>
      <c r="AL286" s="1163"/>
      <c r="AM286" s="1162"/>
      <c r="AN286" s="1163"/>
      <c r="AO286" s="1162"/>
      <c r="AP286" s="1163"/>
      <c r="AQ286" s="1162"/>
      <c r="AR286" s="1163"/>
    </row>
    <row r="287" spans="1:44" ht="15" thickBot="1">
      <c r="B287" s="371"/>
      <c r="C287" s="372"/>
      <c r="D287" s="372"/>
      <c r="E287" s="372"/>
      <c r="F287" s="372"/>
      <c r="G287" s="372"/>
      <c r="H287" s="372"/>
      <c r="I287" s="372"/>
      <c r="J287" s="372"/>
      <c r="K287" s="372"/>
      <c r="L287" s="373"/>
      <c r="M287" s="370"/>
      <c r="N287" s="370"/>
      <c r="O287" s="74"/>
      <c r="P287" s="1182"/>
      <c r="Q287" s="1179"/>
      <c r="R287" s="1185"/>
      <c r="S287" s="1179"/>
      <c r="T287" s="374"/>
      <c r="U287" s="375"/>
      <c r="V287" s="374"/>
      <c r="W287" s="375"/>
      <c r="X287" s="374"/>
      <c r="Y287" s="375"/>
      <c r="Z287" s="374"/>
      <c r="AA287" s="375"/>
      <c r="AB287" s="374"/>
      <c r="AC287" s="375"/>
      <c r="AE287" s="1182"/>
      <c r="AF287" s="1179"/>
      <c r="AG287" s="1185"/>
      <c r="AH287" s="1179"/>
      <c r="AI287" s="374"/>
      <c r="AJ287" s="375"/>
      <c r="AK287" s="374"/>
      <c r="AL287" s="375"/>
      <c r="AM287" s="374"/>
      <c r="AN287" s="375"/>
      <c r="AO287" s="374"/>
      <c r="AP287" s="375"/>
      <c r="AQ287" s="374"/>
      <c r="AR287" s="375"/>
    </row>
    <row r="288" spans="1:44" ht="14.55" customHeight="1">
      <c r="B288" s="574"/>
      <c r="C288" s="575"/>
      <c r="D288" s="575"/>
      <c r="E288" s="575"/>
      <c r="F288" s="575"/>
      <c r="G288" s="576"/>
      <c r="H288" s="576"/>
      <c r="I288" s="576"/>
      <c r="J288" s="576"/>
      <c r="K288" s="372"/>
      <c r="L288" s="373"/>
      <c r="M288" s="370"/>
      <c r="N288" s="370"/>
      <c r="P288" s="1148"/>
      <c r="Q288" s="1154"/>
      <c r="R288" s="381"/>
      <c r="S288" s="382"/>
      <c r="T288" s="1137"/>
      <c r="U288" s="1151"/>
      <c r="V288" s="1137"/>
      <c r="W288" s="1151"/>
      <c r="X288" s="1137"/>
      <c r="Y288" s="1151"/>
      <c r="Z288" s="1137"/>
      <c r="AA288" s="1151"/>
      <c r="AB288" s="1157"/>
      <c r="AC288" s="1151"/>
      <c r="AE288" s="1148"/>
      <c r="AF288" s="1154"/>
      <c r="AG288" s="381"/>
      <c r="AH288" s="382"/>
      <c r="AI288" s="1137"/>
      <c r="AJ288" s="1151"/>
      <c r="AK288" s="1137"/>
      <c r="AL288" s="1151"/>
      <c r="AM288" s="1137"/>
      <c r="AN288" s="1151"/>
      <c r="AO288" s="1137"/>
      <c r="AP288" s="1151"/>
      <c r="AQ288" s="1157"/>
      <c r="AR288" s="1151"/>
    </row>
    <row r="289" spans="2:44">
      <c r="B289" s="383"/>
      <c r="C289" s="577"/>
      <c r="D289" s="577"/>
      <c r="E289" s="577"/>
      <c r="F289" s="577"/>
      <c r="G289" s="576"/>
      <c r="H289" s="576"/>
      <c r="I289" s="576"/>
      <c r="J289" s="576"/>
      <c r="K289" s="372"/>
      <c r="L289" s="373"/>
      <c r="M289" s="370"/>
      <c r="N289" s="370"/>
      <c r="O289" s="71"/>
      <c r="P289" s="1149"/>
      <c r="Q289" s="1155"/>
      <c r="R289" s="388"/>
      <c r="S289" s="389"/>
      <c r="T289" s="1140"/>
      <c r="U289" s="1152"/>
      <c r="V289" s="1140"/>
      <c r="W289" s="1152"/>
      <c r="X289" s="1140"/>
      <c r="Y289" s="1152"/>
      <c r="Z289" s="1140"/>
      <c r="AA289" s="1152"/>
      <c r="AB289" s="1158"/>
      <c r="AC289" s="1152"/>
      <c r="AE289" s="1149"/>
      <c r="AF289" s="1155"/>
      <c r="AG289" s="388"/>
      <c r="AH289" s="389"/>
      <c r="AI289" s="1140"/>
      <c r="AJ289" s="1152"/>
      <c r="AK289" s="1140"/>
      <c r="AL289" s="1152"/>
      <c r="AM289" s="1140"/>
      <c r="AN289" s="1152"/>
      <c r="AO289" s="1140"/>
      <c r="AP289" s="1152"/>
      <c r="AQ289" s="1158"/>
      <c r="AR289" s="1152"/>
    </row>
    <row r="290" spans="2:44" ht="15" thickBot="1">
      <c r="B290" s="574"/>
      <c r="C290" s="578"/>
      <c r="D290" s="578"/>
      <c r="E290" s="578"/>
      <c r="F290" s="578"/>
      <c r="G290" s="578"/>
      <c r="H290" s="578"/>
      <c r="I290" s="578"/>
      <c r="J290" s="578"/>
      <c r="K290" s="579"/>
      <c r="L290" s="580"/>
      <c r="M290" s="370"/>
      <c r="N290" s="370"/>
      <c r="O290" s="71"/>
      <c r="P290" s="1149"/>
      <c r="Q290" s="1156"/>
      <c r="R290" s="393"/>
      <c r="S290" s="394"/>
      <c r="T290" s="1141"/>
      <c r="U290" s="1153"/>
      <c r="V290" s="1141"/>
      <c r="W290" s="1153"/>
      <c r="X290" s="1141"/>
      <c r="Y290" s="1153"/>
      <c r="Z290" s="1141"/>
      <c r="AA290" s="1153"/>
      <c r="AB290" s="1159"/>
      <c r="AC290" s="1153"/>
      <c r="AE290" s="1149"/>
      <c r="AF290" s="1156"/>
      <c r="AG290" s="393"/>
      <c r="AH290" s="394"/>
      <c r="AI290" s="1141"/>
      <c r="AJ290" s="1153"/>
      <c r="AK290" s="1141"/>
      <c r="AL290" s="1153"/>
      <c r="AM290" s="1141"/>
      <c r="AN290" s="1153"/>
      <c r="AO290" s="1141"/>
      <c r="AP290" s="1153"/>
      <c r="AQ290" s="1159"/>
      <c r="AR290" s="1153"/>
    </row>
    <row r="291" spans="2:44" ht="14.55" customHeight="1">
      <c r="B291" s="574"/>
      <c r="C291" s="581"/>
      <c r="D291" s="581"/>
      <c r="E291" s="581"/>
      <c r="F291" s="581"/>
      <c r="G291" s="581"/>
      <c r="H291" s="581"/>
      <c r="I291" s="581"/>
      <c r="J291" s="581"/>
      <c r="K291" s="579"/>
      <c r="L291" s="580"/>
      <c r="M291" s="370"/>
      <c r="N291" s="370"/>
      <c r="O291" s="71"/>
      <c r="P291" s="1149"/>
      <c r="Q291" s="1145"/>
      <c r="R291" s="395"/>
      <c r="S291" s="396"/>
      <c r="T291" s="1137"/>
      <c r="U291" s="1137"/>
      <c r="V291" s="1137"/>
      <c r="W291" s="1137"/>
      <c r="X291" s="1137"/>
      <c r="Y291" s="1137"/>
      <c r="Z291" s="1137"/>
      <c r="AA291" s="1137"/>
      <c r="AB291" s="1137"/>
      <c r="AC291" s="1137"/>
      <c r="AE291" s="1149"/>
      <c r="AF291" s="1145"/>
      <c r="AG291" s="395"/>
      <c r="AH291" s="396"/>
      <c r="AI291" s="1137"/>
      <c r="AJ291" s="1137"/>
      <c r="AK291" s="1137"/>
      <c r="AL291" s="1137"/>
      <c r="AM291" s="1137"/>
      <c r="AN291" s="1137"/>
      <c r="AO291" s="1137"/>
      <c r="AP291" s="1137"/>
      <c r="AQ291" s="1137"/>
      <c r="AR291" s="1137"/>
    </row>
    <row r="292" spans="2:44">
      <c r="B292" s="574"/>
      <c r="C292" s="582"/>
      <c r="D292" s="582"/>
      <c r="E292" s="582"/>
      <c r="F292" s="582"/>
      <c r="G292" s="582"/>
      <c r="H292" s="582"/>
      <c r="I292" s="582"/>
      <c r="J292" s="582"/>
      <c r="K292" s="579"/>
      <c r="L292" s="580"/>
      <c r="M292" s="367"/>
      <c r="N292" s="367"/>
      <c r="O292" s="71"/>
      <c r="P292" s="1149"/>
      <c r="Q292" s="1146"/>
      <c r="R292" s="395"/>
      <c r="S292" s="396"/>
      <c r="T292" s="1138"/>
      <c r="U292" s="1138"/>
      <c r="V292" s="1138"/>
      <c r="W292" s="1138"/>
      <c r="X292" s="1138"/>
      <c r="Y292" s="1138"/>
      <c r="Z292" s="1138"/>
      <c r="AA292" s="1138"/>
      <c r="AB292" s="1140"/>
      <c r="AC292" s="1138"/>
      <c r="AE292" s="1149"/>
      <c r="AF292" s="1146"/>
      <c r="AG292" s="395"/>
      <c r="AH292" s="396"/>
      <c r="AI292" s="1138"/>
      <c r="AJ292" s="1138"/>
      <c r="AK292" s="1138"/>
      <c r="AL292" s="1138"/>
      <c r="AM292" s="1138"/>
      <c r="AN292" s="1138"/>
      <c r="AO292" s="1138"/>
      <c r="AP292" s="1138"/>
      <c r="AQ292" s="1140"/>
      <c r="AR292" s="1138"/>
    </row>
    <row r="293" spans="2:44">
      <c r="B293" s="383"/>
      <c r="C293" s="397"/>
      <c r="D293" s="397"/>
      <c r="E293" s="397"/>
      <c r="F293" s="397"/>
      <c r="G293" s="398"/>
      <c r="H293" s="398"/>
      <c r="I293" s="398"/>
      <c r="J293" s="398"/>
      <c r="K293" s="372"/>
      <c r="L293" s="373"/>
      <c r="M293" s="363"/>
      <c r="N293" s="363"/>
      <c r="P293" s="1149"/>
      <c r="Q293" s="1146"/>
      <c r="R293" s="395"/>
      <c r="S293" s="396"/>
      <c r="T293" s="1138"/>
      <c r="U293" s="1138"/>
      <c r="V293" s="1138"/>
      <c r="W293" s="1138"/>
      <c r="X293" s="1138"/>
      <c r="Y293" s="1138"/>
      <c r="Z293" s="1138"/>
      <c r="AA293" s="1138"/>
      <c r="AB293" s="1140"/>
      <c r="AC293" s="1138"/>
      <c r="AE293" s="1149"/>
      <c r="AF293" s="1146"/>
      <c r="AG293" s="395"/>
      <c r="AH293" s="396"/>
      <c r="AI293" s="1138"/>
      <c r="AJ293" s="1138"/>
      <c r="AK293" s="1138"/>
      <c r="AL293" s="1138"/>
      <c r="AM293" s="1138"/>
      <c r="AN293" s="1138"/>
      <c r="AO293" s="1138"/>
      <c r="AP293" s="1138"/>
      <c r="AQ293" s="1140"/>
      <c r="AR293" s="1138"/>
    </row>
    <row r="294" spans="2:44" ht="15" thickBot="1">
      <c r="B294" s="574"/>
      <c r="C294" s="582"/>
      <c r="D294" s="582"/>
      <c r="E294" s="582"/>
      <c r="F294" s="582"/>
      <c r="G294" s="582"/>
      <c r="H294" s="582"/>
      <c r="I294" s="582"/>
      <c r="J294" s="582"/>
      <c r="K294" s="372"/>
      <c r="L294" s="373"/>
      <c r="M294" s="363"/>
      <c r="N294" s="363"/>
      <c r="P294" s="1149"/>
      <c r="Q294" s="1146"/>
      <c r="R294" s="395"/>
      <c r="S294" s="396"/>
      <c r="T294" s="1138"/>
      <c r="U294" s="1138"/>
      <c r="V294" s="1138"/>
      <c r="W294" s="1138"/>
      <c r="X294" s="1138"/>
      <c r="Y294" s="1138"/>
      <c r="Z294" s="1138"/>
      <c r="AA294" s="1138"/>
      <c r="AB294" s="1140"/>
      <c r="AC294" s="1138"/>
      <c r="AE294" s="1149"/>
      <c r="AF294" s="1146"/>
      <c r="AG294" s="395"/>
      <c r="AH294" s="396"/>
      <c r="AI294" s="1138"/>
      <c r="AJ294" s="1138"/>
      <c r="AK294" s="1138"/>
      <c r="AL294" s="1138"/>
      <c r="AM294" s="1138"/>
      <c r="AN294" s="1138"/>
      <c r="AO294" s="1138"/>
      <c r="AP294" s="1138"/>
      <c r="AQ294" s="1140"/>
      <c r="AR294" s="1138"/>
    </row>
    <row r="295" spans="2:44" ht="15" thickBot="1">
      <c r="B295" s="401"/>
      <c r="C295" s="583"/>
      <c r="D295" s="584"/>
      <c r="E295" s="585"/>
      <c r="F295" s="586"/>
      <c r="G295" s="406"/>
      <c r="H295" s="406"/>
      <c r="I295" s="406"/>
      <c r="J295" s="406"/>
      <c r="K295" s="407"/>
      <c r="L295" s="587"/>
      <c r="M295" s="363"/>
      <c r="N295" s="363"/>
      <c r="P295" s="1149"/>
      <c r="Q295" s="1147"/>
      <c r="R295" s="409"/>
      <c r="S295" s="410"/>
      <c r="T295" s="1139"/>
      <c r="U295" s="1139"/>
      <c r="V295" s="1139"/>
      <c r="W295" s="1139"/>
      <c r="X295" s="1139"/>
      <c r="Y295" s="1139"/>
      <c r="Z295" s="1139"/>
      <c r="AA295" s="1139"/>
      <c r="AB295" s="1141"/>
      <c r="AC295" s="1139"/>
      <c r="AE295" s="1149"/>
      <c r="AF295" s="1147"/>
      <c r="AG295" s="409"/>
      <c r="AH295" s="410"/>
      <c r="AI295" s="1139"/>
      <c r="AJ295" s="1139"/>
      <c r="AK295" s="1139"/>
      <c r="AL295" s="1139"/>
      <c r="AM295" s="1139"/>
      <c r="AN295" s="1139"/>
      <c r="AO295" s="1139"/>
      <c r="AP295" s="1139"/>
      <c r="AQ295" s="1141"/>
      <c r="AR295" s="1139"/>
    </row>
    <row r="296" spans="2:44" ht="15" thickBot="1">
      <c r="B296" s="574"/>
      <c r="C296" s="588"/>
      <c r="D296" s="588"/>
      <c r="E296" s="588"/>
      <c r="F296" s="588"/>
      <c r="G296" s="589"/>
      <c r="H296" s="589"/>
      <c r="I296" s="590"/>
      <c r="J296" s="590"/>
      <c r="K296" s="579"/>
      <c r="L296" s="580"/>
      <c r="M296" s="363"/>
      <c r="N296" s="363"/>
      <c r="P296" s="1150"/>
      <c r="Q296" s="411"/>
      <c r="R296" s="412"/>
      <c r="S296" s="413"/>
      <c r="T296" s="591"/>
      <c r="U296" s="592"/>
      <c r="V296" s="593"/>
      <c r="W296" s="592"/>
      <c r="X296" s="593"/>
      <c r="Y296" s="592"/>
      <c r="Z296" s="593"/>
      <c r="AA296" s="592"/>
      <c r="AB296" s="593"/>
      <c r="AC296" s="594"/>
      <c r="AE296" s="1150"/>
      <c r="AF296" s="411"/>
      <c r="AG296" s="412"/>
      <c r="AH296" s="413"/>
      <c r="AI296" s="591"/>
      <c r="AJ296" s="592"/>
      <c r="AK296" s="593"/>
      <c r="AL296" s="592"/>
      <c r="AM296" s="593"/>
      <c r="AN296" s="592"/>
      <c r="AO296" s="593"/>
      <c r="AP296" s="592"/>
      <c r="AQ296" s="593"/>
      <c r="AR296" s="594"/>
    </row>
    <row r="297" spans="2:44">
      <c r="B297" s="574"/>
      <c r="C297" s="582"/>
      <c r="D297" s="582"/>
      <c r="E297" s="582"/>
      <c r="F297" s="582"/>
      <c r="G297" s="595"/>
      <c r="H297" s="595"/>
      <c r="I297" s="595"/>
      <c r="J297" s="595"/>
      <c r="K297" s="596"/>
      <c r="L297" s="580"/>
      <c r="M297" s="363"/>
      <c r="N297" s="363"/>
    </row>
    <row r="298" spans="2:44">
      <c r="B298" s="574"/>
      <c r="C298" s="582"/>
      <c r="D298" s="582"/>
      <c r="E298" s="582"/>
      <c r="F298" s="582"/>
      <c r="G298" s="595"/>
      <c r="H298" s="595"/>
      <c r="I298" s="595"/>
      <c r="J298" s="595"/>
      <c r="K298" s="596"/>
      <c r="L298" s="580"/>
      <c r="M298" s="420"/>
      <c r="N298" s="363"/>
    </row>
    <row r="299" spans="2:44">
      <c r="B299" s="421"/>
      <c r="C299" s="399"/>
      <c r="D299" s="399"/>
      <c r="E299" s="399"/>
      <c r="F299" s="399"/>
      <c r="G299" s="422"/>
      <c r="H299" s="422"/>
      <c r="I299" s="422"/>
      <c r="J299" s="422"/>
      <c r="K299" s="423"/>
      <c r="L299" s="597"/>
      <c r="M299" s="420"/>
      <c r="N299" s="420"/>
    </row>
    <row r="300" spans="2:44">
      <c r="B300" s="383"/>
      <c r="C300" s="397"/>
      <c r="D300" s="397"/>
      <c r="E300" s="397"/>
      <c r="F300" s="397"/>
      <c r="G300" s="422"/>
      <c r="H300" s="425"/>
      <c r="I300" s="425"/>
      <c r="J300" s="425"/>
      <c r="K300" s="426"/>
      <c r="L300" s="427"/>
      <c r="M300" s="428"/>
      <c r="N300" s="428"/>
    </row>
    <row r="301" spans="2:44">
      <c r="B301" s="383"/>
      <c r="C301" s="397"/>
      <c r="D301" s="397"/>
      <c r="E301" s="397"/>
      <c r="F301" s="397"/>
      <c r="G301" s="425"/>
      <c r="H301" s="425"/>
      <c r="I301" s="425"/>
      <c r="J301" s="425"/>
      <c r="K301" s="423"/>
      <c r="L301" s="427"/>
      <c r="M301" s="428"/>
      <c r="N301" s="428"/>
    </row>
    <row r="302" spans="2:44">
      <c r="B302" s="383"/>
      <c r="C302" s="397"/>
      <c r="D302" s="397"/>
      <c r="E302" s="397"/>
      <c r="F302" s="397"/>
      <c r="G302" s="425"/>
      <c r="H302" s="425"/>
      <c r="I302" s="425"/>
      <c r="J302" s="425"/>
      <c r="K302" s="423"/>
      <c r="L302" s="427"/>
      <c r="M302" s="428"/>
      <c r="N302" s="428"/>
    </row>
    <row r="303" spans="2:44">
      <c r="B303" s="383"/>
      <c r="C303" s="397"/>
      <c r="D303" s="397"/>
      <c r="E303" s="397"/>
      <c r="F303" s="397"/>
      <c r="G303" s="425"/>
      <c r="H303" s="425"/>
      <c r="I303" s="425"/>
      <c r="J303" s="425"/>
      <c r="K303" s="423"/>
      <c r="L303" s="427"/>
      <c r="M303" s="428"/>
      <c r="N303" s="428"/>
    </row>
    <row r="304" spans="2:44" ht="15" thickBot="1">
      <c r="B304" s="429"/>
      <c r="C304" s="397"/>
      <c r="D304" s="397"/>
      <c r="E304" s="397"/>
      <c r="F304" s="397"/>
      <c r="G304" s="425"/>
      <c r="H304" s="425"/>
      <c r="I304" s="425"/>
      <c r="J304" s="425"/>
      <c r="K304" s="423"/>
      <c r="L304" s="427"/>
      <c r="M304" s="428"/>
      <c r="N304" s="428"/>
    </row>
    <row r="305" spans="1:30" ht="15" thickBot="1">
      <c r="B305" s="431"/>
      <c r="C305" s="598"/>
      <c r="D305" s="584"/>
      <c r="E305" s="584"/>
      <c r="F305" s="599"/>
      <c r="G305" s="434"/>
      <c r="H305" s="406"/>
      <c r="I305" s="406"/>
      <c r="J305" s="406"/>
      <c r="K305" s="407"/>
      <c r="L305" s="587"/>
      <c r="M305" s="428"/>
      <c r="N305" s="428"/>
    </row>
    <row r="306" spans="1:30">
      <c r="A306" s="435"/>
      <c r="B306" s="436"/>
      <c r="C306" s="600"/>
      <c r="D306" s="600"/>
      <c r="E306" s="600"/>
      <c r="F306" s="600"/>
      <c r="G306" s="425"/>
      <c r="H306" s="425"/>
      <c r="I306" s="425"/>
      <c r="J306" s="425"/>
      <c r="K306" s="426"/>
      <c r="L306" s="440"/>
      <c r="M306" s="420"/>
      <c r="N306" s="420"/>
    </row>
    <row r="307" spans="1:30">
      <c r="B307" s="441"/>
      <c r="C307" s="601"/>
      <c r="D307" s="601"/>
      <c r="E307" s="601"/>
      <c r="F307" s="601"/>
      <c r="G307" s="425"/>
      <c r="H307" s="425"/>
      <c r="I307" s="425"/>
      <c r="J307" s="425"/>
      <c r="K307" s="444"/>
      <c r="L307" s="373"/>
      <c r="M307" s="71"/>
      <c r="N307" s="420"/>
    </row>
    <row r="308" spans="1:30">
      <c r="B308" s="441"/>
      <c r="C308" s="601"/>
      <c r="D308" s="601"/>
      <c r="E308" s="601"/>
      <c r="F308" s="601"/>
      <c r="G308" s="425"/>
      <c r="H308" s="425"/>
      <c r="I308" s="425"/>
      <c r="J308" s="425"/>
      <c r="K308" s="444"/>
      <c r="L308" s="373"/>
      <c r="M308" s="420"/>
      <c r="N308" s="420"/>
    </row>
    <row r="309" spans="1:30">
      <c r="B309" s="383"/>
      <c r="C309" s="602"/>
      <c r="D309" s="603"/>
      <c r="E309" s="603"/>
      <c r="F309" s="604"/>
      <c r="G309" s="425"/>
      <c r="H309" s="425"/>
      <c r="I309" s="425"/>
      <c r="J309" s="425"/>
      <c r="K309" s="444"/>
      <c r="L309" s="373"/>
      <c r="M309" s="420"/>
      <c r="N309" s="420"/>
    </row>
    <row r="310" spans="1:30">
      <c r="B310" s="383"/>
      <c r="C310" s="605"/>
      <c r="D310" s="605"/>
      <c r="E310" s="605"/>
      <c r="F310" s="605"/>
      <c r="G310" s="425"/>
      <c r="H310" s="425"/>
      <c r="I310" s="425"/>
      <c r="J310" s="425"/>
      <c r="K310" s="444"/>
      <c r="L310" s="373"/>
      <c r="M310" s="450"/>
      <c r="N310" s="361"/>
      <c r="P310" s="1142"/>
      <c r="Q310" s="1143"/>
      <c r="R310" s="1143"/>
      <c r="S310" s="1143"/>
      <c r="T310" s="1143"/>
      <c r="U310" s="1144"/>
    </row>
    <row r="311" spans="1:30" ht="15" thickBot="1">
      <c r="B311" s="541"/>
      <c r="C311" s="552"/>
      <c r="D311" s="552"/>
      <c r="E311" s="552"/>
      <c r="F311" s="552"/>
      <c r="G311" s="553"/>
      <c r="H311" s="553"/>
      <c r="I311" s="553"/>
      <c r="J311" s="553"/>
      <c r="K311" s="547"/>
      <c r="L311" s="548"/>
      <c r="M311" s="450"/>
      <c r="N311" s="361"/>
      <c r="P311" s="1134"/>
      <c r="Q311" s="1135"/>
      <c r="R311" s="1135"/>
      <c r="S311" s="1135"/>
      <c r="T311" s="1135"/>
      <c r="U311" s="1136"/>
    </row>
    <row r="312" spans="1:30">
      <c r="B312" s="541"/>
      <c r="C312" s="606"/>
      <c r="D312" s="606"/>
      <c r="E312" s="606"/>
      <c r="F312" s="606"/>
      <c r="G312" s="553"/>
      <c r="H312" s="553"/>
      <c r="I312" s="553"/>
      <c r="J312" s="553"/>
      <c r="K312" s="547"/>
      <c r="L312" s="548"/>
      <c r="M312" s="363"/>
      <c r="N312" s="363"/>
      <c r="P312" s="53"/>
    </row>
    <row r="313" spans="1:30">
      <c r="B313" s="541"/>
      <c r="C313" s="607"/>
      <c r="D313" s="547"/>
      <c r="E313" s="547"/>
      <c r="F313" s="563"/>
      <c r="G313" s="550"/>
      <c r="H313" s="550"/>
      <c r="I313" s="550"/>
      <c r="J313" s="550"/>
      <c r="K313" s="547"/>
      <c r="L313" s="608"/>
      <c r="M313" s="367"/>
      <c r="N313" s="367"/>
      <c r="P313" s="46"/>
      <c r="Q313" s="46"/>
      <c r="R313" s="47"/>
      <c r="S313" s="47"/>
      <c r="T313" s="47"/>
      <c r="U313" s="48"/>
      <c r="V313" s="49"/>
      <c r="W313" s="49"/>
      <c r="X313" s="49"/>
      <c r="Y313" s="49"/>
      <c r="Z313" s="49"/>
      <c r="AA313" s="49"/>
      <c r="AB313" s="49"/>
      <c r="AC313" s="49"/>
      <c r="AD313" s="49"/>
    </row>
    <row r="314" spans="1:30" ht="15" thickBot="1">
      <c r="B314" s="566"/>
      <c r="C314" s="607"/>
      <c r="D314" s="609"/>
      <c r="E314" s="609"/>
      <c r="F314" s="610"/>
      <c r="G314" s="550"/>
      <c r="H314" s="550"/>
      <c r="I314" s="550"/>
      <c r="J314" s="550"/>
      <c r="K314" s="547"/>
      <c r="L314" s="608"/>
      <c r="M314" s="363"/>
      <c r="N314" s="363"/>
      <c r="O314" s="71"/>
      <c r="P314" s="50"/>
      <c r="Q314" s="50"/>
      <c r="R314" s="51"/>
      <c r="S314" s="51"/>
      <c r="T314" s="51"/>
      <c r="U314" s="51"/>
      <c r="V314" s="50"/>
      <c r="W314" s="50"/>
      <c r="X314" s="50"/>
      <c r="Y314" s="50"/>
      <c r="Z314" s="50"/>
      <c r="AA314" s="50"/>
      <c r="AB314" s="50"/>
      <c r="AC314" s="50"/>
      <c r="AD314" s="50"/>
    </row>
    <row r="315" spans="1:30" ht="15" thickBot="1">
      <c r="B315" s="611"/>
      <c r="C315" s="612"/>
      <c r="D315" s="613"/>
      <c r="E315" s="614"/>
      <c r="F315" s="615"/>
      <c r="G315" s="540"/>
      <c r="H315" s="540"/>
      <c r="I315" s="540"/>
      <c r="J315" s="540"/>
      <c r="K315" s="616"/>
      <c r="L315" s="617"/>
      <c r="M315" s="363"/>
      <c r="N315" s="363"/>
      <c r="O315" s="461"/>
      <c r="P315" s="56"/>
      <c r="Q315" s="56"/>
      <c r="R315" s="57"/>
      <c r="S315" s="57"/>
      <c r="T315" s="57"/>
      <c r="U315" s="56"/>
      <c r="V315" s="56"/>
      <c r="W315" s="56"/>
      <c r="X315" s="56"/>
      <c r="Y315" s="56"/>
      <c r="Z315" s="56"/>
      <c r="AA315" s="56"/>
      <c r="AB315" s="56"/>
      <c r="AC315" s="56"/>
      <c r="AD315" s="56"/>
    </row>
    <row r="316" spans="1:30">
      <c r="B316" s="556"/>
      <c r="C316" s="618"/>
      <c r="D316" s="618"/>
      <c r="E316" s="618"/>
      <c r="F316" s="618"/>
      <c r="G316" s="618"/>
      <c r="H316" s="618"/>
      <c r="I316" s="618"/>
      <c r="J316" s="618"/>
      <c r="K316" s="618"/>
      <c r="L316" s="619"/>
      <c r="M316" s="363"/>
      <c r="N316" s="363"/>
      <c r="O316" s="620"/>
      <c r="P316" s="466"/>
      <c r="Q316" s="58"/>
      <c r="R316" s="466"/>
      <c r="S316" s="58"/>
      <c r="T316" s="466"/>
      <c r="U316" s="467"/>
      <c r="V316" s="467"/>
      <c r="W316" s="467"/>
      <c r="X316" s="58"/>
      <c r="Y316" s="58"/>
      <c r="Z316" s="466"/>
      <c r="AA316" s="468"/>
      <c r="AB316" s="468"/>
      <c r="AC316" s="468"/>
      <c r="AD316" s="468"/>
    </row>
    <row r="317" spans="1:30">
      <c r="B317" s="541"/>
      <c r="C317" s="558"/>
      <c r="D317" s="558"/>
      <c r="E317" s="558"/>
      <c r="F317" s="558"/>
      <c r="G317" s="563"/>
      <c r="H317" s="563"/>
      <c r="I317" s="563"/>
      <c r="J317" s="563"/>
      <c r="K317" s="563"/>
      <c r="L317" s="548"/>
      <c r="M317" s="363"/>
      <c r="N317" s="363"/>
      <c r="O317" s="620"/>
      <c r="P317" s="466"/>
      <c r="Q317" s="58"/>
      <c r="R317" s="466"/>
      <c r="S317" s="58"/>
      <c r="T317" s="466"/>
      <c r="U317" s="467"/>
      <c r="V317" s="467"/>
      <c r="W317" s="467"/>
      <c r="X317" s="58"/>
      <c r="Y317" s="58"/>
      <c r="Z317" s="466"/>
      <c r="AA317" s="468"/>
      <c r="AB317" s="468"/>
      <c r="AC317" s="468"/>
      <c r="AD317" s="468"/>
    </row>
    <row r="318" spans="1:30">
      <c r="B318" s="541"/>
      <c r="C318" s="558"/>
      <c r="D318" s="558"/>
      <c r="E318" s="558"/>
      <c r="F318" s="558"/>
      <c r="G318" s="563"/>
      <c r="H318" s="563"/>
      <c r="I318" s="563"/>
      <c r="J318" s="563"/>
      <c r="K318" s="563"/>
      <c r="L318" s="548"/>
      <c r="M318" s="363"/>
      <c r="N318" s="363"/>
      <c r="O318" s="620"/>
      <c r="P318" s="466"/>
      <c r="Q318" s="58"/>
      <c r="R318" s="466"/>
      <c r="S318" s="58"/>
      <c r="T318" s="466"/>
      <c r="U318" s="467"/>
      <c r="V318" s="467"/>
      <c r="W318" s="467"/>
      <c r="X318" s="58"/>
      <c r="Y318" s="58"/>
      <c r="Z318" s="466"/>
      <c r="AA318" s="468"/>
      <c r="AB318" s="468"/>
      <c r="AC318" s="468"/>
      <c r="AD318" s="468"/>
    </row>
    <row r="319" spans="1:30">
      <c r="B319" s="541"/>
      <c r="C319" s="564"/>
      <c r="D319" s="564"/>
      <c r="E319" s="564"/>
      <c r="F319" s="564"/>
      <c r="G319" s="621"/>
      <c r="H319" s="621"/>
      <c r="I319" s="621"/>
      <c r="J319" s="621"/>
      <c r="K319" s="621"/>
      <c r="L319" s="548"/>
      <c r="M319" s="363"/>
      <c r="N319" s="363"/>
      <c r="O319" s="620"/>
      <c r="P319" s="466"/>
      <c r="Q319" s="58"/>
      <c r="R319" s="466"/>
      <c r="S319" s="58"/>
      <c r="T319" s="466"/>
      <c r="U319" s="467"/>
      <c r="V319" s="467"/>
      <c r="W319" s="467"/>
      <c r="X319" s="58"/>
      <c r="Y319" s="58"/>
      <c r="Z319" s="466"/>
      <c r="AA319" s="468"/>
      <c r="AB319" s="468"/>
      <c r="AC319" s="468"/>
      <c r="AD319" s="468"/>
    </row>
    <row r="320" spans="1:30">
      <c r="B320" s="566"/>
      <c r="C320" s="558"/>
      <c r="D320" s="558"/>
      <c r="E320" s="558"/>
      <c r="F320" s="558"/>
      <c r="G320" s="563"/>
      <c r="H320" s="563"/>
      <c r="I320" s="563"/>
      <c r="J320" s="563"/>
      <c r="K320" s="563"/>
      <c r="L320" s="548"/>
      <c r="M320" s="367"/>
      <c r="N320" s="367"/>
    </row>
    <row r="321" spans="1:14">
      <c r="B321" s="566"/>
      <c r="C321" s="558"/>
      <c r="D321" s="558"/>
      <c r="E321" s="558"/>
      <c r="F321" s="558"/>
      <c r="G321" s="563"/>
      <c r="H321" s="563"/>
      <c r="I321" s="563"/>
      <c r="J321" s="563"/>
      <c r="K321" s="563"/>
      <c r="L321" s="548"/>
      <c r="M321" s="363"/>
      <c r="N321" s="363"/>
    </row>
    <row r="322" spans="1:14" ht="15" thickBot="1">
      <c r="B322" s="567"/>
      <c r="C322" s="622"/>
      <c r="D322" s="622"/>
      <c r="E322" s="622"/>
      <c r="F322" s="622"/>
      <c r="G322" s="623"/>
      <c r="H322" s="623"/>
      <c r="I322" s="623"/>
      <c r="J322" s="623"/>
      <c r="K322" s="623"/>
      <c r="L322" s="624"/>
      <c r="M322" s="363"/>
      <c r="N322" s="363"/>
    </row>
    <row r="323" spans="1:14">
      <c r="B323" s="461"/>
      <c r="C323" s="483"/>
      <c r="D323" s="483"/>
      <c r="E323" s="483"/>
      <c r="F323" s="483"/>
      <c r="G323" s="483"/>
      <c r="H323" s="484"/>
      <c r="I323" s="420"/>
      <c r="J323" s="420"/>
      <c r="K323" s="484"/>
      <c r="L323" s="484"/>
      <c r="N323" s="420"/>
    </row>
    <row r="324" spans="1:14">
      <c r="B324" s="485"/>
      <c r="C324" s="486"/>
      <c r="D324" s="486"/>
      <c r="E324" s="486"/>
      <c r="F324" s="486"/>
      <c r="G324" s="486"/>
      <c r="H324" s="484"/>
      <c r="I324" s="71"/>
      <c r="J324" s="420"/>
      <c r="K324" s="484"/>
      <c r="L324" s="484"/>
      <c r="N324" s="420"/>
    </row>
    <row r="325" spans="1:14">
      <c r="B325" s="461"/>
      <c r="C325" s="359"/>
      <c r="D325" s="359"/>
      <c r="E325" s="359"/>
      <c r="F325" s="359"/>
      <c r="G325" s="359"/>
      <c r="I325" s="420"/>
      <c r="J325" s="420"/>
      <c r="N325" s="420"/>
    </row>
    <row r="326" spans="1:14">
      <c r="B326" s="461"/>
      <c r="C326" s="487"/>
      <c r="D326" s="487"/>
      <c r="E326" s="487"/>
      <c r="F326" s="487"/>
      <c r="G326" s="359"/>
      <c r="M326" s="420"/>
      <c r="N326" s="420"/>
    </row>
    <row r="329" spans="1:14">
      <c r="A329" s="488"/>
      <c r="B329" s="489"/>
      <c r="D329" s="358"/>
      <c r="E329" s="358"/>
      <c r="F329" s="358"/>
      <c r="G329" s="358"/>
      <c r="H329" s="358"/>
      <c r="I329" s="358"/>
      <c r="J329" s="358"/>
      <c r="K329" s="358"/>
    </row>
    <row r="330" spans="1:14">
      <c r="A330" s="358"/>
      <c r="B330" s="490"/>
      <c r="E330" s="358"/>
      <c r="F330" s="358"/>
      <c r="G330" s="358"/>
      <c r="H330" s="358"/>
      <c r="I330" s="358"/>
      <c r="J330" s="358"/>
      <c r="K330" s="358"/>
    </row>
    <row r="331" spans="1:14">
      <c r="A331" s="358"/>
      <c r="B331" s="490"/>
      <c r="E331" s="358"/>
      <c r="F331" s="358"/>
      <c r="G331" s="358"/>
      <c r="H331" s="358"/>
      <c r="I331" s="358"/>
      <c r="J331" s="358"/>
      <c r="K331" s="358"/>
    </row>
    <row r="332" spans="1:14">
      <c r="A332" s="358"/>
      <c r="B332" s="490"/>
      <c r="E332" s="358"/>
      <c r="F332" s="358"/>
      <c r="G332" s="358"/>
      <c r="H332" s="358"/>
      <c r="I332" s="358"/>
      <c r="J332" s="358"/>
      <c r="K332" s="358"/>
    </row>
    <row r="333" spans="1:14">
      <c r="A333" s="358"/>
      <c r="B333" s="490"/>
      <c r="E333" s="358"/>
      <c r="F333" s="358"/>
      <c r="G333" s="358"/>
      <c r="H333" s="358"/>
      <c r="I333" s="358"/>
      <c r="J333" s="358"/>
      <c r="K333" s="358"/>
    </row>
    <row r="334" spans="1:14">
      <c r="A334" s="358"/>
      <c r="B334" s="490"/>
      <c r="E334" s="358"/>
      <c r="F334" s="358"/>
      <c r="G334" s="358"/>
      <c r="H334" s="358"/>
      <c r="I334" s="358"/>
      <c r="J334" s="358"/>
      <c r="K334" s="358"/>
    </row>
    <row r="335" spans="1:14">
      <c r="A335" s="358"/>
      <c r="B335" s="490"/>
      <c r="E335" s="358"/>
      <c r="F335" s="358"/>
      <c r="G335" s="358"/>
      <c r="H335" s="358"/>
      <c r="I335" s="358"/>
      <c r="J335" s="358"/>
      <c r="K335" s="358"/>
    </row>
    <row r="336" spans="1:14">
      <c r="A336" s="358"/>
      <c r="B336" s="490"/>
      <c r="E336" s="358"/>
      <c r="F336" s="358"/>
      <c r="G336" s="358"/>
      <c r="H336" s="358"/>
      <c r="I336" s="358"/>
      <c r="J336" s="358"/>
      <c r="K336" s="358"/>
    </row>
    <row r="337" spans="1:11">
      <c r="A337" s="358"/>
      <c r="B337" s="625"/>
      <c r="E337" s="358"/>
      <c r="F337" s="358"/>
      <c r="G337" s="358"/>
      <c r="H337" s="358"/>
      <c r="I337" s="358"/>
      <c r="J337" s="358"/>
      <c r="K337" s="358"/>
    </row>
    <row r="338" spans="1:11">
      <c r="A338" s="358"/>
      <c r="B338" s="490"/>
      <c r="E338" s="358"/>
      <c r="F338" s="358"/>
      <c r="G338" s="358"/>
      <c r="H338" s="358"/>
      <c r="I338" s="358"/>
      <c r="J338" s="358"/>
      <c r="K338" s="358"/>
    </row>
    <row r="339" spans="1:11">
      <c r="A339" s="488"/>
      <c r="B339" s="489"/>
      <c r="E339" s="358"/>
      <c r="F339" s="358"/>
      <c r="G339" s="358"/>
      <c r="H339" s="358"/>
      <c r="I339" s="358"/>
      <c r="J339" s="358"/>
      <c r="K339" s="358"/>
    </row>
    <row r="340" spans="1:11">
      <c r="A340" s="496"/>
      <c r="B340" s="490"/>
      <c r="C340" s="489"/>
      <c r="E340" s="358"/>
      <c r="F340" s="358"/>
      <c r="G340" s="358"/>
      <c r="H340" s="358"/>
      <c r="I340" s="358"/>
      <c r="J340" s="358"/>
      <c r="K340" s="358"/>
    </row>
    <row r="341" spans="1:11">
      <c r="A341" s="496"/>
      <c r="B341" s="490"/>
      <c r="C341" s="489"/>
      <c r="E341" s="358"/>
      <c r="F341" s="358"/>
      <c r="G341" s="358"/>
      <c r="H341" s="358"/>
      <c r="I341" s="358"/>
      <c r="J341" s="358"/>
      <c r="K341" s="358"/>
    </row>
    <row r="342" spans="1:11">
      <c r="A342" s="496"/>
      <c r="B342" s="490"/>
      <c r="C342" s="489"/>
      <c r="E342" s="358"/>
      <c r="F342" s="358"/>
      <c r="G342" s="358"/>
      <c r="H342" s="358"/>
      <c r="I342" s="358"/>
      <c r="J342" s="358"/>
      <c r="K342" s="358"/>
    </row>
    <row r="343" spans="1:11">
      <c r="A343" s="496"/>
      <c r="B343" s="490"/>
      <c r="C343" s="489"/>
      <c r="E343" s="358"/>
      <c r="F343" s="358"/>
      <c r="G343" s="358"/>
      <c r="H343" s="358"/>
      <c r="I343" s="358"/>
      <c r="J343" s="358"/>
      <c r="K343" s="358"/>
    </row>
    <row r="344" spans="1:11" ht="15.75" customHeight="1">
      <c r="A344" s="496"/>
      <c r="B344" s="490"/>
      <c r="C344" s="489"/>
      <c r="E344" s="358"/>
      <c r="F344" s="358"/>
      <c r="G344" s="358"/>
      <c r="H344" s="358"/>
      <c r="I344" s="358"/>
      <c r="J344" s="358"/>
      <c r="K344" s="358"/>
    </row>
    <row r="345" spans="1:11" ht="15.75" customHeight="1">
      <c r="A345" s="496"/>
      <c r="B345" s="490"/>
      <c r="C345" s="489"/>
      <c r="E345" s="358"/>
      <c r="F345" s="358"/>
      <c r="G345" s="358"/>
      <c r="H345" s="358"/>
      <c r="I345" s="358"/>
      <c r="J345" s="358"/>
      <c r="K345" s="358"/>
    </row>
  </sheetData>
  <mergeCells count="396">
    <mergeCell ref="P310:U310"/>
    <mergeCell ref="P311:U311"/>
    <mergeCell ref="AM291:AM295"/>
    <mergeCell ref="AN291:AN295"/>
    <mergeCell ref="AO291:AO295"/>
    <mergeCell ref="AP291:AP295"/>
    <mergeCell ref="AQ291:AQ295"/>
    <mergeCell ref="AR291:AR295"/>
    <mergeCell ref="AC291:AC295"/>
    <mergeCell ref="AF291:AF295"/>
    <mergeCell ref="AI291:AI295"/>
    <mergeCell ref="AJ291:AJ295"/>
    <mergeCell ref="AK291:AK295"/>
    <mergeCell ref="AL291:AL295"/>
    <mergeCell ref="W291:W295"/>
    <mergeCell ref="X291:X295"/>
    <mergeCell ref="Y291:Y295"/>
    <mergeCell ref="Z291:Z295"/>
    <mergeCell ref="AA291:AA295"/>
    <mergeCell ref="AB291:AB295"/>
    <mergeCell ref="AM288:AM290"/>
    <mergeCell ref="AN288:AN290"/>
    <mergeCell ref="AO288:AO290"/>
    <mergeCell ref="AP288:AP290"/>
    <mergeCell ref="AQ288:AQ290"/>
    <mergeCell ref="AR288:AR290"/>
    <mergeCell ref="AE288:AE296"/>
    <mergeCell ref="AF288:AF290"/>
    <mergeCell ref="AI288:AI290"/>
    <mergeCell ref="AJ288:AJ290"/>
    <mergeCell ref="AK288:AK290"/>
    <mergeCell ref="AL288:AL290"/>
    <mergeCell ref="X288:X290"/>
    <mergeCell ref="Y288:Y290"/>
    <mergeCell ref="Z288:Z290"/>
    <mergeCell ref="AA288:AA290"/>
    <mergeCell ref="AB288:AB290"/>
    <mergeCell ref="AC288:AC290"/>
    <mergeCell ref="P288:P296"/>
    <mergeCell ref="Q288:Q290"/>
    <mergeCell ref="T288:T290"/>
    <mergeCell ref="U288:U290"/>
    <mergeCell ref="V288:V290"/>
    <mergeCell ref="W288:W290"/>
    <mergeCell ref="Q291:Q295"/>
    <mergeCell ref="T291:T295"/>
    <mergeCell ref="U291:U295"/>
    <mergeCell ref="V291:V295"/>
    <mergeCell ref="AQ284:AR286"/>
    <mergeCell ref="B285:B286"/>
    <mergeCell ref="C285:C286"/>
    <mergeCell ref="D285:D286"/>
    <mergeCell ref="E285:E286"/>
    <mergeCell ref="F285:F286"/>
    <mergeCell ref="G285:H285"/>
    <mergeCell ref="I285:J285"/>
    <mergeCell ref="K285:K286"/>
    <mergeCell ref="Z284:AA286"/>
    <mergeCell ref="AB284:AC286"/>
    <mergeCell ref="AH284:AH287"/>
    <mergeCell ref="AI284:AJ286"/>
    <mergeCell ref="AK284:AL286"/>
    <mergeCell ref="AM284:AN286"/>
    <mergeCell ref="AE285:AE287"/>
    <mergeCell ref="AF286:AF287"/>
    <mergeCell ref="AG286:AG287"/>
    <mergeCell ref="AN222:AN224"/>
    <mergeCell ref="AO222:AO224"/>
    <mergeCell ref="AP222:AP224"/>
    <mergeCell ref="P245:U245"/>
    <mergeCell ref="C284:L284"/>
    <mergeCell ref="S284:S287"/>
    <mergeCell ref="T284:U286"/>
    <mergeCell ref="V284:W286"/>
    <mergeCell ref="X284:Y286"/>
    <mergeCell ref="L285:L286"/>
    <mergeCell ref="P285:P287"/>
    <mergeCell ref="Q286:Q287"/>
    <mergeCell ref="R286:R287"/>
    <mergeCell ref="AO284:AP286"/>
    <mergeCell ref="P244:U244"/>
    <mergeCell ref="AF225:AF229"/>
    <mergeCell ref="AI225:AI229"/>
    <mergeCell ref="AJ225:AJ229"/>
    <mergeCell ref="AK225:AK229"/>
    <mergeCell ref="AL225:AL229"/>
    <mergeCell ref="AM225:AM229"/>
    <mergeCell ref="X225:X229"/>
    <mergeCell ref="Y225:Y229"/>
    <mergeCell ref="Z225:Z229"/>
    <mergeCell ref="AA225:AA229"/>
    <mergeCell ref="AB225:AB229"/>
    <mergeCell ref="AC225:AC229"/>
    <mergeCell ref="P222:P230"/>
    <mergeCell ref="Q222:Q224"/>
    <mergeCell ref="T222:T224"/>
    <mergeCell ref="U222:U224"/>
    <mergeCell ref="V222:V224"/>
    <mergeCell ref="W222:W224"/>
    <mergeCell ref="X222:X224"/>
    <mergeCell ref="AQ222:AQ224"/>
    <mergeCell ref="AR222:AR224"/>
    <mergeCell ref="Q225:Q229"/>
    <mergeCell ref="T225:T229"/>
    <mergeCell ref="U225:U229"/>
    <mergeCell ref="V225:V229"/>
    <mergeCell ref="W225:W229"/>
    <mergeCell ref="AF222:AF224"/>
    <mergeCell ref="AI222:AI224"/>
    <mergeCell ref="AJ222:AJ224"/>
    <mergeCell ref="AK222:AK224"/>
    <mergeCell ref="AL222:AL224"/>
    <mergeCell ref="AM222:AM224"/>
    <mergeCell ref="Y222:Y224"/>
    <mergeCell ref="Z222:Z224"/>
    <mergeCell ref="AA222:AA224"/>
    <mergeCell ref="AB222:AB224"/>
    <mergeCell ref="AC222:AC224"/>
    <mergeCell ref="AE222:AE230"/>
    <mergeCell ref="AN225:AN229"/>
    <mergeCell ref="AO225:AO229"/>
    <mergeCell ref="AP225:AP229"/>
    <mergeCell ref="AQ225:AQ229"/>
    <mergeCell ref="AR225:AR229"/>
    <mergeCell ref="AM218:AN220"/>
    <mergeCell ref="AO218:AP220"/>
    <mergeCell ref="AQ218:AR220"/>
    <mergeCell ref="B219:B220"/>
    <mergeCell ref="C219:C220"/>
    <mergeCell ref="D219:D220"/>
    <mergeCell ref="E219:E220"/>
    <mergeCell ref="F219:F220"/>
    <mergeCell ref="G219:H219"/>
    <mergeCell ref="I219:J219"/>
    <mergeCell ref="X218:Y220"/>
    <mergeCell ref="Z218:AA220"/>
    <mergeCell ref="AB218:AC220"/>
    <mergeCell ref="AH218:AH221"/>
    <mergeCell ref="AI218:AJ220"/>
    <mergeCell ref="AK218:AL220"/>
    <mergeCell ref="AE219:AE221"/>
    <mergeCell ref="R220:R221"/>
    <mergeCell ref="AF220:AF221"/>
    <mergeCell ref="AG220:AG221"/>
    <mergeCell ref="P177:U177"/>
    <mergeCell ref="P178:U178"/>
    <mergeCell ref="C218:L218"/>
    <mergeCell ref="S218:S221"/>
    <mergeCell ref="T218:U220"/>
    <mergeCell ref="V218:W220"/>
    <mergeCell ref="K219:K220"/>
    <mergeCell ref="L219:L220"/>
    <mergeCell ref="P219:P221"/>
    <mergeCell ref="Q220:Q221"/>
    <mergeCell ref="X158:X162"/>
    <mergeCell ref="Y158:Y162"/>
    <mergeCell ref="Z158:Z162"/>
    <mergeCell ref="AA158:AA162"/>
    <mergeCell ref="AB158:AB162"/>
    <mergeCell ref="AM155:AM157"/>
    <mergeCell ref="AN155:AN157"/>
    <mergeCell ref="AO155:AO157"/>
    <mergeCell ref="X155:X157"/>
    <mergeCell ref="Y155:Y157"/>
    <mergeCell ref="Z155:Z157"/>
    <mergeCell ref="AA155:AA157"/>
    <mergeCell ref="AB155:AB157"/>
    <mergeCell ref="AC155:AC157"/>
    <mergeCell ref="AM158:AM162"/>
    <mergeCell ref="AN158:AN162"/>
    <mergeCell ref="AO158:AO162"/>
    <mergeCell ref="AC158:AC162"/>
    <mergeCell ref="AF158:AF162"/>
    <mergeCell ref="AI158:AI162"/>
    <mergeCell ref="AJ158:AJ162"/>
    <mergeCell ref="AK158:AK162"/>
    <mergeCell ref="AL158:AL162"/>
    <mergeCell ref="AP155:AP157"/>
    <mergeCell ref="AQ155:AQ157"/>
    <mergeCell ref="AR155:AR157"/>
    <mergeCell ref="AE155:AE163"/>
    <mergeCell ref="AF155:AF157"/>
    <mergeCell ref="AI155:AI157"/>
    <mergeCell ref="AJ155:AJ157"/>
    <mergeCell ref="AK155:AK157"/>
    <mergeCell ref="AL155:AL157"/>
    <mergeCell ref="AP158:AP162"/>
    <mergeCell ref="AQ158:AQ162"/>
    <mergeCell ref="AR158:AR162"/>
    <mergeCell ref="P155:P163"/>
    <mergeCell ref="Q155:Q157"/>
    <mergeCell ref="T155:T157"/>
    <mergeCell ref="U155:U157"/>
    <mergeCell ref="V155:V157"/>
    <mergeCell ref="W155:W157"/>
    <mergeCell ref="Q158:Q162"/>
    <mergeCell ref="T158:T162"/>
    <mergeCell ref="U158:U162"/>
    <mergeCell ref="V158:V162"/>
    <mergeCell ref="W158:W162"/>
    <mergeCell ref="AQ151:AR153"/>
    <mergeCell ref="B152:B153"/>
    <mergeCell ref="C152:C153"/>
    <mergeCell ref="D152:D153"/>
    <mergeCell ref="E152:E153"/>
    <mergeCell ref="F152:F153"/>
    <mergeCell ref="G152:H152"/>
    <mergeCell ref="I152:J152"/>
    <mergeCell ref="K152:K153"/>
    <mergeCell ref="L152:L153"/>
    <mergeCell ref="AB151:AC153"/>
    <mergeCell ref="AH151:AH154"/>
    <mergeCell ref="AI151:AJ153"/>
    <mergeCell ref="AK151:AL153"/>
    <mergeCell ref="AM151:AN153"/>
    <mergeCell ref="AO151:AP153"/>
    <mergeCell ref="AE152:AE154"/>
    <mergeCell ref="AF153:AF154"/>
    <mergeCell ref="AG153:AG154"/>
    <mergeCell ref="C151:L151"/>
    <mergeCell ref="S151:S154"/>
    <mergeCell ref="T151:U153"/>
    <mergeCell ref="V151:W153"/>
    <mergeCell ref="X151:Y153"/>
    <mergeCell ref="Z151:AA153"/>
    <mergeCell ref="P152:P154"/>
    <mergeCell ref="Q153:Q154"/>
    <mergeCell ref="R153:R154"/>
    <mergeCell ref="P105:U105"/>
    <mergeCell ref="P106:U106"/>
    <mergeCell ref="B149:B150"/>
    <mergeCell ref="C149:M149"/>
    <mergeCell ref="P149:U149"/>
    <mergeCell ref="C150:M150"/>
    <mergeCell ref="P150:U150"/>
    <mergeCell ref="X86:X90"/>
    <mergeCell ref="Y86:Y90"/>
    <mergeCell ref="Z86:Z90"/>
    <mergeCell ref="AA86:AA90"/>
    <mergeCell ref="AB86:AB90"/>
    <mergeCell ref="AM83:AM85"/>
    <mergeCell ref="AN83:AN85"/>
    <mergeCell ref="AO83:AO85"/>
    <mergeCell ref="X83:X85"/>
    <mergeCell ref="Y83:Y85"/>
    <mergeCell ref="Z83:Z85"/>
    <mergeCell ref="AA83:AA85"/>
    <mergeCell ref="AB83:AB85"/>
    <mergeCell ref="AC83:AC85"/>
    <mergeCell ref="AM86:AM90"/>
    <mergeCell ref="AN86:AN90"/>
    <mergeCell ref="AO86:AO90"/>
    <mergeCell ref="AC86:AC90"/>
    <mergeCell ref="AF86:AF90"/>
    <mergeCell ref="AI86:AI90"/>
    <mergeCell ref="AJ86:AJ90"/>
    <mergeCell ref="AK86:AK90"/>
    <mergeCell ref="AL86:AL90"/>
    <mergeCell ref="AP83:AP85"/>
    <mergeCell ref="AQ83:AQ85"/>
    <mergeCell ref="AR83:AR85"/>
    <mergeCell ref="AE83:AE91"/>
    <mergeCell ref="AF83:AF85"/>
    <mergeCell ref="AI83:AI85"/>
    <mergeCell ref="AJ83:AJ85"/>
    <mergeCell ref="AK83:AK85"/>
    <mergeCell ref="AL83:AL85"/>
    <mergeCell ref="AP86:AP90"/>
    <mergeCell ref="AQ86:AQ90"/>
    <mergeCell ref="AR86:AR90"/>
    <mergeCell ref="P83:P91"/>
    <mergeCell ref="Q83:Q85"/>
    <mergeCell ref="T83:T85"/>
    <mergeCell ref="U83:U85"/>
    <mergeCell ref="V83:V85"/>
    <mergeCell ref="W83:W85"/>
    <mergeCell ref="Q86:Q90"/>
    <mergeCell ref="T86:T90"/>
    <mergeCell ref="U86:U90"/>
    <mergeCell ref="V86:V90"/>
    <mergeCell ref="W86:W90"/>
    <mergeCell ref="AQ79:AR81"/>
    <mergeCell ref="B80:B81"/>
    <mergeCell ref="C80:C81"/>
    <mergeCell ref="D80:D81"/>
    <mergeCell ref="E80:E81"/>
    <mergeCell ref="F80:F81"/>
    <mergeCell ref="G80:H80"/>
    <mergeCell ref="I80:J80"/>
    <mergeCell ref="K80:K81"/>
    <mergeCell ref="L80:L81"/>
    <mergeCell ref="AB79:AC81"/>
    <mergeCell ref="AH79:AH82"/>
    <mergeCell ref="AI79:AJ81"/>
    <mergeCell ref="AK79:AL81"/>
    <mergeCell ref="AM79:AN81"/>
    <mergeCell ref="AO79:AP81"/>
    <mergeCell ref="AE80:AE82"/>
    <mergeCell ref="AF81:AF82"/>
    <mergeCell ref="AG81:AG82"/>
    <mergeCell ref="C79:L79"/>
    <mergeCell ref="S79:S82"/>
    <mergeCell ref="T79:U81"/>
    <mergeCell ref="V79:W81"/>
    <mergeCell ref="X79:Y81"/>
    <mergeCell ref="Z79:AA81"/>
    <mergeCell ref="P80:P82"/>
    <mergeCell ref="Q81:Q82"/>
    <mergeCell ref="R81:R82"/>
    <mergeCell ref="C23:F27"/>
    <mergeCell ref="P33:U33"/>
    <mergeCell ref="P34:U34"/>
    <mergeCell ref="C42:F42"/>
    <mergeCell ref="B77:B78"/>
    <mergeCell ref="C77:M77"/>
    <mergeCell ref="P77:U77"/>
    <mergeCell ref="C78:M78"/>
    <mergeCell ref="P78:U78"/>
    <mergeCell ref="X14:X18"/>
    <mergeCell ref="Y14:Y18"/>
    <mergeCell ref="Z14:Z18"/>
    <mergeCell ref="AA14:AA18"/>
    <mergeCell ref="AB14:AB18"/>
    <mergeCell ref="AM11:AM13"/>
    <mergeCell ref="AN11:AN13"/>
    <mergeCell ref="AO11:AO13"/>
    <mergeCell ref="X11:X13"/>
    <mergeCell ref="Y11:Y13"/>
    <mergeCell ref="Z11:Z13"/>
    <mergeCell ref="AA11:AA13"/>
    <mergeCell ref="AB11:AB13"/>
    <mergeCell ref="AC11:AC13"/>
    <mergeCell ref="AM14:AM18"/>
    <mergeCell ref="AN14:AN18"/>
    <mergeCell ref="AO14:AO18"/>
    <mergeCell ref="AC14:AC18"/>
    <mergeCell ref="AF14:AF18"/>
    <mergeCell ref="AI14:AI18"/>
    <mergeCell ref="AJ14:AJ18"/>
    <mergeCell ref="AK14:AK18"/>
    <mergeCell ref="AL14:AL18"/>
    <mergeCell ref="AP11:AP13"/>
    <mergeCell ref="AQ11:AQ13"/>
    <mergeCell ref="AR11:AR13"/>
    <mergeCell ref="AE11:AE19"/>
    <mergeCell ref="AF11:AF13"/>
    <mergeCell ref="AI11:AI13"/>
    <mergeCell ref="AJ11:AJ13"/>
    <mergeCell ref="AK11:AK13"/>
    <mergeCell ref="AL11:AL13"/>
    <mergeCell ref="AP14:AP18"/>
    <mergeCell ref="AQ14:AQ18"/>
    <mergeCell ref="AR14:AR18"/>
    <mergeCell ref="P11:P19"/>
    <mergeCell ref="Q11:Q13"/>
    <mergeCell ref="T11:T13"/>
    <mergeCell ref="U11:U13"/>
    <mergeCell ref="V11:V13"/>
    <mergeCell ref="W11:W13"/>
    <mergeCell ref="Q14:Q18"/>
    <mergeCell ref="T14:T18"/>
    <mergeCell ref="U14:U18"/>
    <mergeCell ref="V14:V18"/>
    <mergeCell ref="W14:W18"/>
    <mergeCell ref="AQ7:AR9"/>
    <mergeCell ref="B8:B9"/>
    <mergeCell ref="C8:C9"/>
    <mergeCell ref="D8:D9"/>
    <mergeCell ref="E8:E9"/>
    <mergeCell ref="F8:F9"/>
    <mergeCell ref="G8:H8"/>
    <mergeCell ref="V7:W9"/>
    <mergeCell ref="X7:Y9"/>
    <mergeCell ref="Z7:AA9"/>
    <mergeCell ref="AB7:AC9"/>
    <mergeCell ref="AH7:AH10"/>
    <mergeCell ref="AI7:AJ9"/>
    <mergeCell ref="AG9:AG10"/>
    <mergeCell ref="L8:L9"/>
    <mergeCell ref="P8:P10"/>
    <mergeCell ref="AE8:AE10"/>
    <mergeCell ref="Q9:Q10"/>
    <mergeCell ref="R9:R10"/>
    <mergeCell ref="AF9:AF10"/>
    <mergeCell ref="AK7:AL9"/>
    <mergeCell ref="AM7:AN9"/>
    <mergeCell ref="AO7:AP9"/>
    <mergeCell ref="B5:B6"/>
    <mergeCell ref="C5:M5"/>
    <mergeCell ref="P5:U5"/>
    <mergeCell ref="C6:M6"/>
    <mergeCell ref="C7:L7"/>
    <mergeCell ref="S7:S10"/>
    <mergeCell ref="T7:U9"/>
    <mergeCell ref="I8:J8"/>
    <mergeCell ref="K8:K9"/>
  </mergeCells>
  <hyperlinks>
    <hyperlink ref="C7" location="INDEX" display="Direct Firing, Electricity" xr:uid="{E2F4C899-B6B0-404D-8875-794B386924BE}"/>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tabColor theme="3"/>
  </sheetPr>
  <dimension ref="B3:H156"/>
  <sheetViews>
    <sheetView topLeftCell="A19" workbookViewId="0">
      <selection activeCell="F153" sqref="F153"/>
    </sheetView>
  </sheetViews>
  <sheetFormatPr defaultRowHeight="14.4"/>
  <cols>
    <col min="2" max="2" width="36.77734375" customWidth="1"/>
  </cols>
  <sheetData>
    <row r="3" spans="2:8">
      <c r="B3" s="8" t="s">
        <v>309</v>
      </c>
    </row>
    <row r="5" spans="2:8" ht="15" thickBot="1"/>
    <row r="6" spans="2:8">
      <c r="B6" s="1257" t="s">
        <v>0</v>
      </c>
      <c r="C6" s="1259" t="s">
        <v>58</v>
      </c>
      <c r="D6" s="1260"/>
      <c r="E6" s="1260"/>
      <c r="F6" s="1260"/>
      <c r="G6" s="1260"/>
      <c r="H6" s="1261"/>
    </row>
    <row r="7" spans="2:8" ht="15" thickBot="1">
      <c r="B7" s="1258"/>
      <c r="C7" s="1134" t="s">
        <v>38</v>
      </c>
      <c r="D7" s="1135"/>
      <c r="E7" s="1135"/>
      <c r="F7" s="1135"/>
      <c r="G7" s="1135"/>
      <c r="H7" s="1136"/>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
        <v>10</v>
      </c>
      <c r="D10" s="2">
        <v>10</v>
      </c>
      <c r="E10" s="2">
        <v>10</v>
      </c>
      <c r="F10" s="2">
        <v>10</v>
      </c>
      <c r="G10" s="2" t="s">
        <v>51</v>
      </c>
      <c r="H10" s="2"/>
    </row>
    <row r="11" spans="2:8" ht="24.6" thickBot="1">
      <c r="B11" s="1" t="s">
        <v>7</v>
      </c>
      <c r="C11" s="2">
        <v>100</v>
      </c>
      <c r="D11" s="2">
        <v>100</v>
      </c>
      <c r="E11" s="2">
        <v>100</v>
      </c>
      <c r="F11" s="2">
        <v>100</v>
      </c>
      <c r="G11" s="2"/>
      <c r="H11" s="2"/>
    </row>
    <row r="12" spans="2:8" ht="24.6" thickBot="1">
      <c r="B12" s="1" t="s">
        <v>8</v>
      </c>
      <c r="C12" s="2">
        <v>100</v>
      </c>
      <c r="D12" s="2">
        <v>100</v>
      </c>
      <c r="E12" s="2">
        <v>100</v>
      </c>
      <c r="F12" s="2">
        <v>100</v>
      </c>
      <c r="G12" s="2"/>
      <c r="H12" s="2"/>
    </row>
    <row r="13" spans="2:8" ht="15" thickBot="1">
      <c r="B13" s="1" t="s">
        <v>9</v>
      </c>
      <c r="C13" s="2">
        <v>98</v>
      </c>
      <c r="D13" s="2">
        <v>98</v>
      </c>
      <c r="E13" s="2">
        <v>98</v>
      </c>
      <c r="F13" s="2">
        <v>98</v>
      </c>
      <c r="G13" s="2" t="s">
        <v>59</v>
      </c>
      <c r="H13" s="2"/>
    </row>
    <row r="14" spans="2:8" ht="15" thickBot="1">
      <c r="B14" s="1" t="s">
        <v>11</v>
      </c>
      <c r="C14" s="2">
        <v>20</v>
      </c>
      <c r="D14" s="2">
        <v>20</v>
      </c>
      <c r="E14" s="2">
        <v>20</v>
      </c>
      <c r="F14" s="2">
        <v>20</v>
      </c>
      <c r="G14" s="2"/>
      <c r="H14" s="2"/>
    </row>
    <row r="15" spans="2:8" ht="15" thickBot="1">
      <c r="B15" s="3" t="s">
        <v>12</v>
      </c>
      <c r="C15" s="4"/>
      <c r="D15" s="4"/>
      <c r="E15" s="4"/>
      <c r="F15" s="4"/>
      <c r="G15" s="4"/>
      <c r="H15" s="5"/>
    </row>
    <row r="16" spans="2:8" ht="15.6" thickBot="1">
      <c r="B16" s="1" t="s">
        <v>13</v>
      </c>
      <c r="C16" s="35">
        <v>0</v>
      </c>
      <c r="D16" s="35">
        <v>0</v>
      </c>
      <c r="E16" s="35">
        <v>0</v>
      </c>
      <c r="F16" s="35">
        <v>0</v>
      </c>
      <c r="G16" s="2"/>
      <c r="H16" s="2"/>
    </row>
    <row r="17" spans="2:8" ht="15.6" thickBot="1">
      <c r="B17" s="1" t="s">
        <v>15</v>
      </c>
      <c r="C17" s="35">
        <v>0</v>
      </c>
      <c r="D17" s="35">
        <v>0</v>
      </c>
      <c r="E17" s="35">
        <v>0</v>
      </c>
      <c r="F17" s="35">
        <v>0</v>
      </c>
      <c r="G17" s="2"/>
      <c r="H17" s="2"/>
    </row>
    <row r="18" spans="2:8" ht="15.6" thickBot="1">
      <c r="B18" s="1" t="s">
        <v>17</v>
      </c>
      <c r="C18" s="35">
        <v>0</v>
      </c>
      <c r="D18" s="35">
        <v>0</v>
      </c>
      <c r="E18" s="35">
        <v>0</v>
      </c>
      <c r="F18" s="35">
        <v>0</v>
      </c>
      <c r="G18" s="2"/>
      <c r="H18" s="2"/>
    </row>
    <row r="19" spans="2:8" ht="15.6" thickBot="1">
      <c r="B19" s="1" t="s">
        <v>18</v>
      </c>
      <c r="C19" s="35">
        <v>0</v>
      </c>
      <c r="D19" s="35">
        <v>0</v>
      </c>
      <c r="E19" s="35">
        <v>0</v>
      </c>
      <c r="F19" s="35">
        <v>0</v>
      </c>
      <c r="G19" s="2"/>
      <c r="H19" s="2"/>
    </row>
    <row r="20" spans="2:8" ht="15" thickBot="1">
      <c r="B20" s="1" t="s">
        <v>19</v>
      </c>
      <c r="C20" s="35">
        <v>0</v>
      </c>
      <c r="D20" s="35">
        <v>0</v>
      </c>
      <c r="E20" s="35">
        <v>0</v>
      </c>
      <c r="F20" s="35">
        <v>0</v>
      </c>
      <c r="G20" s="2"/>
      <c r="H20" s="2"/>
    </row>
    <row r="21" spans="2:8" ht="15" thickBot="1">
      <c r="B21" s="3" t="s">
        <v>22</v>
      </c>
      <c r="C21" s="4"/>
      <c r="D21" s="4"/>
      <c r="E21" s="4"/>
      <c r="F21" s="4"/>
      <c r="G21" s="4"/>
      <c r="H21" s="5"/>
    </row>
    <row r="22" spans="2:8" ht="15" thickBot="1">
      <c r="B22" s="1" t="s">
        <v>23</v>
      </c>
      <c r="C22" s="2"/>
      <c r="D22" s="2"/>
      <c r="E22" s="2"/>
      <c r="F22" s="2"/>
      <c r="G22" s="2"/>
      <c r="H22" s="2"/>
    </row>
    <row r="23" spans="2:8">
      <c r="B23" s="6" t="s">
        <v>24</v>
      </c>
      <c r="C23" s="7" t="s">
        <v>60</v>
      </c>
      <c r="D23" s="7" t="s">
        <v>60</v>
      </c>
      <c r="E23" s="7" t="s">
        <v>60</v>
      </c>
      <c r="F23" s="7" t="s">
        <v>60</v>
      </c>
      <c r="G23" s="7" t="s">
        <v>16</v>
      </c>
      <c r="H23" s="7" t="s">
        <v>61</v>
      </c>
    </row>
    <row r="24" spans="2:8">
      <c r="B24" s="6" t="s">
        <v>26</v>
      </c>
      <c r="C24" s="7" t="s">
        <v>62</v>
      </c>
      <c r="D24" s="7" t="s">
        <v>62</v>
      </c>
      <c r="E24" s="7" t="s">
        <v>62</v>
      </c>
      <c r="F24" s="7" t="s">
        <v>62</v>
      </c>
      <c r="G24" s="7"/>
      <c r="H24" s="7"/>
    </row>
    <row r="25" spans="2:8" ht="15" thickBot="1">
      <c r="B25" s="1" t="s">
        <v>28</v>
      </c>
      <c r="C25" s="2" t="s">
        <v>63</v>
      </c>
      <c r="D25" s="2" t="s">
        <v>63</v>
      </c>
      <c r="E25" s="2" t="s">
        <v>63</v>
      </c>
      <c r="F25" s="2" t="s">
        <v>63</v>
      </c>
      <c r="G25" s="2"/>
      <c r="H25" s="2"/>
    </row>
    <row r="26" spans="2:8" ht="24.6" thickBot="1">
      <c r="B26" s="1" t="s">
        <v>30</v>
      </c>
      <c r="C26" s="2">
        <v>3</v>
      </c>
      <c r="D26" s="2">
        <v>3</v>
      </c>
      <c r="E26" s="2">
        <v>3</v>
      </c>
      <c r="F26" s="2">
        <v>3</v>
      </c>
      <c r="G26" s="2" t="s">
        <v>20</v>
      </c>
      <c r="H26" s="2"/>
    </row>
    <row r="27" spans="2:8" ht="15" thickBot="1">
      <c r="B27" s="1" t="s">
        <v>64</v>
      </c>
      <c r="C27" s="2">
        <v>150</v>
      </c>
      <c r="D27" s="2">
        <v>150</v>
      </c>
      <c r="E27" s="2">
        <v>150</v>
      </c>
      <c r="F27" s="2">
        <v>150</v>
      </c>
      <c r="G27" s="2" t="s">
        <v>25</v>
      </c>
      <c r="H27" s="2">
        <v>7</v>
      </c>
    </row>
    <row r="28" spans="2:8" ht="15" thickBot="1">
      <c r="B28" s="1" t="s">
        <v>31</v>
      </c>
      <c r="C28" s="2"/>
      <c r="D28" s="2"/>
      <c r="E28" s="2"/>
      <c r="F28" s="2"/>
      <c r="G28" s="2"/>
      <c r="H28" s="2"/>
    </row>
    <row r="32" spans="2:8" ht="15" thickBot="1"/>
    <row r="33" spans="2:8" ht="15" customHeight="1">
      <c r="B33" s="1257" t="s">
        <v>0</v>
      </c>
      <c r="C33" s="1259" t="s">
        <v>58</v>
      </c>
      <c r="D33" s="1260"/>
      <c r="E33" s="1260"/>
      <c r="F33" s="1260"/>
      <c r="G33" s="1260"/>
      <c r="H33" s="1261"/>
    </row>
    <row r="34" spans="2:8" ht="15.75" customHeight="1" thickBot="1">
      <c r="B34" s="1258"/>
      <c r="C34" s="1134" t="s">
        <v>53</v>
      </c>
      <c r="D34" s="1135"/>
      <c r="E34" s="1135"/>
      <c r="F34" s="1135"/>
      <c r="G34" s="1135"/>
      <c r="H34" s="1136"/>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
        <v>250</v>
      </c>
      <c r="D37" s="2">
        <v>250</v>
      </c>
      <c r="E37" s="2">
        <v>250</v>
      </c>
      <c r="F37" s="2">
        <v>250</v>
      </c>
      <c r="G37" s="2" t="s">
        <v>6</v>
      </c>
      <c r="H37" s="2"/>
    </row>
    <row r="38" spans="2:8" ht="24.6" thickBot="1">
      <c r="B38" s="1" t="s">
        <v>7</v>
      </c>
      <c r="C38" s="2">
        <v>100</v>
      </c>
      <c r="D38" s="2">
        <v>100</v>
      </c>
      <c r="E38" s="2">
        <v>100</v>
      </c>
      <c r="F38" s="2">
        <v>100</v>
      </c>
      <c r="G38" s="2"/>
      <c r="H38" s="2"/>
    </row>
    <row r="39" spans="2:8" ht="24.6" thickBot="1">
      <c r="B39" s="1" t="s">
        <v>8</v>
      </c>
      <c r="C39" s="2">
        <v>100</v>
      </c>
      <c r="D39" s="2">
        <v>100</v>
      </c>
      <c r="E39" s="2">
        <v>100</v>
      </c>
      <c r="F39" s="2">
        <v>100</v>
      </c>
      <c r="G39" s="2"/>
      <c r="H39" s="2"/>
    </row>
    <row r="40" spans="2:8" ht="15" thickBot="1">
      <c r="B40" s="1" t="s">
        <v>9</v>
      </c>
      <c r="C40" s="2">
        <v>100</v>
      </c>
      <c r="D40" s="2">
        <v>100</v>
      </c>
      <c r="E40" s="2">
        <v>100</v>
      </c>
      <c r="F40" s="2">
        <v>100</v>
      </c>
      <c r="G40" s="2" t="s">
        <v>59</v>
      </c>
      <c r="H40" s="2"/>
    </row>
    <row r="41" spans="2:8" ht="15" thickBot="1">
      <c r="B41" s="1" t="s">
        <v>11</v>
      </c>
      <c r="C41" s="2">
        <v>20</v>
      </c>
      <c r="D41" s="2">
        <v>20</v>
      </c>
      <c r="E41" s="2">
        <v>20</v>
      </c>
      <c r="F41" s="2">
        <v>20</v>
      </c>
      <c r="G41" s="2"/>
      <c r="H41" s="2"/>
    </row>
    <row r="42" spans="2:8" ht="15" thickBot="1">
      <c r="B42" s="3" t="s">
        <v>12</v>
      </c>
      <c r="C42" s="4"/>
      <c r="D42" s="4"/>
      <c r="E42" s="4"/>
      <c r="F42" s="4"/>
      <c r="G42" s="4"/>
      <c r="H42" s="5"/>
    </row>
    <row r="43" spans="2:8" ht="15.6" thickBot="1">
      <c r="B43" s="1" t="s">
        <v>13</v>
      </c>
      <c r="C43" s="35">
        <v>0</v>
      </c>
      <c r="D43" s="35">
        <v>0</v>
      </c>
      <c r="E43" s="35">
        <v>0</v>
      </c>
      <c r="F43" s="35">
        <v>0</v>
      </c>
      <c r="G43" s="2"/>
      <c r="H43" s="2"/>
    </row>
    <row r="44" spans="2:8" ht="15.6" thickBot="1">
      <c r="B44" s="1" t="s">
        <v>15</v>
      </c>
      <c r="C44" s="35">
        <v>0</v>
      </c>
      <c r="D44" s="35">
        <v>0</v>
      </c>
      <c r="E44" s="35">
        <v>0</v>
      </c>
      <c r="F44" s="35">
        <v>0</v>
      </c>
      <c r="G44" s="2"/>
      <c r="H44" s="2"/>
    </row>
    <row r="45" spans="2:8" ht="15.6" thickBot="1">
      <c r="B45" s="1" t="s">
        <v>17</v>
      </c>
      <c r="C45" s="35">
        <v>0</v>
      </c>
      <c r="D45" s="35">
        <v>0</v>
      </c>
      <c r="E45" s="35">
        <v>0</v>
      </c>
      <c r="F45" s="35">
        <v>0</v>
      </c>
      <c r="G45" s="2"/>
      <c r="H45" s="2"/>
    </row>
    <row r="46" spans="2:8" ht="15.6" thickBot="1">
      <c r="B46" s="1" t="s">
        <v>18</v>
      </c>
      <c r="C46" s="35">
        <v>0</v>
      </c>
      <c r="D46" s="35">
        <v>0</v>
      </c>
      <c r="E46" s="35">
        <v>0</v>
      </c>
      <c r="F46" s="35">
        <v>0</v>
      </c>
      <c r="G46" s="2"/>
      <c r="H46" s="2"/>
    </row>
    <row r="47" spans="2:8" ht="15" thickBot="1">
      <c r="B47" s="1" t="s">
        <v>19</v>
      </c>
      <c r="C47" s="35">
        <v>0</v>
      </c>
      <c r="D47" s="35">
        <v>0</v>
      </c>
      <c r="E47" s="35">
        <v>0</v>
      </c>
      <c r="F47" s="35">
        <v>0</v>
      </c>
      <c r="G47" s="2"/>
      <c r="H47" s="2"/>
    </row>
    <row r="48" spans="2:8" ht="15" thickBot="1">
      <c r="B48" s="3" t="s">
        <v>22</v>
      </c>
      <c r="C48" s="4"/>
      <c r="D48" s="4"/>
      <c r="E48" s="4"/>
      <c r="F48" s="4"/>
      <c r="G48" s="4"/>
      <c r="H48" s="5"/>
    </row>
    <row r="49" spans="2:8" ht="15" thickBot="1">
      <c r="B49" s="1" t="s">
        <v>23</v>
      </c>
      <c r="C49" s="2">
        <v>7.0000000000000007E-2</v>
      </c>
      <c r="D49" s="2">
        <v>7.0000000000000007E-2</v>
      </c>
      <c r="E49" s="2">
        <v>7.0000000000000007E-2</v>
      </c>
      <c r="F49" s="2">
        <v>7.0000000000000007E-2</v>
      </c>
      <c r="G49" s="2" t="s">
        <v>33</v>
      </c>
      <c r="H49" s="2" t="s">
        <v>65</v>
      </c>
    </row>
    <row r="50" spans="2:8">
      <c r="B50" s="6" t="s">
        <v>24</v>
      </c>
      <c r="C50" s="7"/>
      <c r="D50" s="7"/>
      <c r="E50" s="7"/>
      <c r="F50" s="7"/>
      <c r="G50" s="7"/>
      <c r="H50" s="7"/>
    </row>
    <row r="51" spans="2:8">
      <c r="B51" s="6" t="s">
        <v>26</v>
      </c>
      <c r="C51" s="7" t="s">
        <v>27</v>
      </c>
      <c r="D51" s="7">
        <v>70</v>
      </c>
      <c r="E51" s="7">
        <v>70</v>
      </c>
      <c r="F51" s="7">
        <v>70</v>
      </c>
      <c r="G51" s="7"/>
      <c r="H51" s="7"/>
    </row>
    <row r="52" spans="2:8" ht="15" thickBot="1">
      <c r="B52" s="1" t="s">
        <v>28</v>
      </c>
      <c r="C52" s="2" t="s">
        <v>29</v>
      </c>
      <c r="D52" s="2">
        <v>30</v>
      </c>
      <c r="E52" s="2">
        <v>30</v>
      </c>
      <c r="F52" s="2">
        <v>30</v>
      </c>
      <c r="G52" s="2"/>
      <c r="H52" s="2"/>
    </row>
    <row r="53" spans="2:8" ht="24.6" thickBot="1">
      <c r="B53" s="1" t="s">
        <v>30</v>
      </c>
      <c r="C53" s="2">
        <v>4</v>
      </c>
      <c r="D53" s="2">
        <v>4</v>
      </c>
      <c r="E53" s="2">
        <v>4</v>
      </c>
      <c r="F53" s="2">
        <v>4</v>
      </c>
      <c r="G53" s="2" t="s">
        <v>20</v>
      </c>
      <c r="H53" s="2"/>
    </row>
    <row r="54" spans="2:8" ht="15" thickBot="1">
      <c r="B54" s="1" t="s">
        <v>64</v>
      </c>
      <c r="C54" s="10">
        <v>1250</v>
      </c>
      <c r="D54" s="10">
        <v>1250</v>
      </c>
      <c r="E54" s="10">
        <v>1250</v>
      </c>
      <c r="F54" s="10">
        <v>1250</v>
      </c>
      <c r="G54" s="2"/>
      <c r="H54" s="2">
        <v>7</v>
      </c>
    </row>
    <row r="55" spans="2:8" ht="15" thickBot="1">
      <c r="B55" s="1" t="s">
        <v>31</v>
      </c>
      <c r="C55" s="2"/>
      <c r="D55" s="2"/>
      <c r="E55" s="2"/>
      <c r="F55" s="2"/>
      <c r="G55" s="2"/>
      <c r="H55" s="2"/>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6">
    <tabColor theme="3"/>
  </sheetPr>
  <dimension ref="B3:M61"/>
  <sheetViews>
    <sheetView topLeftCell="A31" workbookViewId="0">
      <selection activeCell="C60" sqref="C60"/>
    </sheetView>
  </sheetViews>
  <sheetFormatPr defaultRowHeight="14.4"/>
  <cols>
    <col min="2" max="2" width="36.77734375" customWidth="1"/>
    <col min="12" max="12" width="14.77734375" customWidth="1"/>
    <col min="13" max="13" width="18.77734375" customWidth="1"/>
  </cols>
  <sheetData>
    <row r="3" spans="2:13">
      <c r="B3" s="8" t="s">
        <v>323</v>
      </c>
    </row>
    <row r="5" spans="2:13" ht="15" thickBot="1"/>
    <row r="6" spans="2:13" ht="15" thickBot="1">
      <c r="B6" s="24" t="s">
        <v>0</v>
      </c>
      <c r="C6" s="1262" t="s">
        <v>238</v>
      </c>
      <c r="D6" s="1263"/>
      <c r="E6" s="1263"/>
      <c r="F6" s="1263"/>
      <c r="G6" s="1263"/>
      <c r="H6" s="1264"/>
      <c r="L6" s="224" t="s">
        <v>628</v>
      </c>
      <c r="M6" s="224"/>
    </row>
    <row r="7" spans="2:13" ht="15" thickBot="1">
      <c r="B7" s="1"/>
      <c r="C7" s="2">
        <v>2015</v>
      </c>
      <c r="D7" s="2">
        <v>2020</v>
      </c>
      <c r="E7" s="2">
        <v>2030</v>
      </c>
      <c r="F7" s="2">
        <v>2050</v>
      </c>
      <c r="G7" s="2" t="s">
        <v>2</v>
      </c>
      <c r="H7" s="2" t="s">
        <v>3</v>
      </c>
      <c r="L7" s="224"/>
      <c r="M7" s="224"/>
    </row>
    <row r="8" spans="2:13" ht="27.6" thickBot="1">
      <c r="B8" s="3" t="s">
        <v>4</v>
      </c>
      <c r="C8" s="4"/>
      <c r="D8" s="4"/>
      <c r="E8" s="4"/>
      <c r="F8" s="4"/>
      <c r="G8" s="4"/>
      <c r="H8" s="5"/>
      <c r="L8" s="302" t="s">
        <v>626</v>
      </c>
      <c r="M8" s="302" t="s">
        <v>627</v>
      </c>
    </row>
    <row r="9" spans="2:13" ht="15" thickBot="1">
      <c r="B9" s="1" t="s">
        <v>239</v>
      </c>
      <c r="C9" s="2">
        <v>120</v>
      </c>
      <c r="D9" s="2">
        <v>120</v>
      </c>
      <c r="E9" s="2">
        <v>120</v>
      </c>
      <c r="F9" s="2">
        <v>120</v>
      </c>
      <c r="G9" s="2" t="s">
        <v>6</v>
      </c>
      <c r="H9" s="2">
        <v>1</v>
      </c>
      <c r="L9" s="224">
        <v>250</v>
      </c>
      <c r="M9" s="224">
        <f>L9*7.45*3.6*8760/1000000000</f>
        <v>5.8735799999999998E-2</v>
      </c>
    </row>
    <row r="10" spans="2:13" ht="15" thickBot="1">
      <c r="B10" s="1" t="s">
        <v>240</v>
      </c>
      <c r="C10" s="2">
        <v>15</v>
      </c>
      <c r="D10" s="2">
        <v>15</v>
      </c>
      <c r="E10" s="2">
        <v>15</v>
      </c>
      <c r="F10" s="2">
        <v>15</v>
      </c>
      <c r="G10" s="2" t="s">
        <v>59</v>
      </c>
      <c r="H10" s="2">
        <v>1</v>
      </c>
      <c r="L10" s="224"/>
      <c r="M10" s="224"/>
    </row>
    <row r="11" spans="2:13" ht="15" thickBot="1">
      <c r="B11" s="1" t="s">
        <v>241</v>
      </c>
      <c r="C11" s="2">
        <v>141</v>
      </c>
      <c r="D11" s="2">
        <v>141</v>
      </c>
      <c r="E11" s="2">
        <v>141</v>
      </c>
      <c r="F11" s="2">
        <v>141</v>
      </c>
      <c r="G11" s="2" t="s">
        <v>6</v>
      </c>
      <c r="H11" s="2">
        <v>1</v>
      </c>
    </row>
    <row r="12" spans="2:13" ht="15" thickBot="1">
      <c r="B12" s="1" t="s">
        <v>242</v>
      </c>
      <c r="C12" s="2" t="s">
        <v>243</v>
      </c>
      <c r="D12" s="2" t="s">
        <v>243</v>
      </c>
      <c r="E12" s="2" t="s">
        <v>243</v>
      </c>
      <c r="F12" s="2" t="s">
        <v>243</v>
      </c>
      <c r="G12" s="2"/>
      <c r="H12" s="2">
        <v>2</v>
      </c>
    </row>
    <row r="13" spans="2:13" ht="15" thickBot="1">
      <c r="B13" s="1" t="s">
        <v>11</v>
      </c>
      <c r="C13" s="2" t="s">
        <v>186</v>
      </c>
      <c r="D13" s="2" t="s">
        <v>186</v>
      </c>
      <c r="E13" s="2" t="s">
        <v>186</v>
      </c>
      <c r="F13" s="2" t="s">
        <v>186</v>
      </c>
      <c r="G13" s="2"/>
      <c r="H13" s="2">
        <v>3</v>
      </c>
    </row>
    <row r="14" spans="2:13" ht="15" thickBot="1">
      <c r="B14" s="3" t="s">
        <v>22</v>
      </c>
      <c r="C14" s="4"/>
      <c r="D14" s="4"/>
      <c r="E14" s="4"/>
      <c r="F14" s="4"/>
      <c r="G14" s="4"/>
      <c r="H14" s="5"/>
    </row>
    <row r="15" spans="2:13" ht="15" thickBot="1">
      <c r="B15" s="1" t="s">
        <v>244</v>
      </c>
      <c r="C15" s="2" t="s">
        <v>245</v>
      </c>
      <c r="D15" s="2" t="s">
        <v>245</v>
      </c>
      <c r="E15" s="2" t="s">
        <v>245</v>
      </c>
      <c r="F15" s="2" t="s">
        <v>245</v>
      </c>
      <c r="G15" s="2" t="s">
        <v>16</v>
      </c>
      <c r="H15" s="2">
        <v>1</v>
      </c>
    </row>
    <row r="16" spans="2:13" ht="15" thickBot="1">
      <c r="B16" s="1" t="s">
        <v>246</v>
      </c>
      <c r="C16" s="2">
        <v>250</v>
      </c>
      <c r="D16" s="2">
        <v>250</v>
      </c>
      <c r="E16" s="2">
        <v>250</v>
      </c>
      <c r="F16" s="2">
        <v>250</v>
      </c>
      <c r="G16" s="2"/>
      <c r="H16" s="2">
        <v>4</v>
      </c>
    </row>
    <row r="20" spans="2:8" ht="15" thickBot="1"/>
    <row r="21" spans="2:8" ht="15" thickBot="1">
      <c r="B21" s="24" t="s">
        <v>0</v>
      </c>
      <c r="C21" s="1262" t="s">
        <v>247</v>
      </c>
      <c r="D21" s="1263"/>
      <c r="E21" s="1263"/>
      <c r="F21" s="1263"/>
      <c r="G21" s="1263"/>
      <c r="H21" s="1264"/>
    </row>
    <row r="22" spans="2:8" ht="15" thickBot="1">
      <c r="B22" s="1"/>
      <c r="C22" s="2">
        <v>2015</v>
      </c>
      <c r="D22" s="2">
        <v>2020</v>
      </c>
      <c r="E22" s="2">
        <v>2030</v>
      </c>
      <c r="F22" s="2">
        <v>2050</v>
      </c>
      <c r="G22" s="2" t="s">
        <v>2</v>
      </c>
      <c r="H22" s="2" t="s">
        <v>3</v>
      </c>
    </row>
    <row r="23" spans="2:8" ht="15" thickBot="1">
      <c r="B23" s="3" t="s">
        <v>4</v>
      </c>
      <c r="C23" s="4"/>
      <c r="D23" s="4"/>
      <c r="E23" s="4"/>
      <c r="F23" s="4"/>
      <c r="G23" s="4"/>
      <c r="H23" s="5"/>
    </row>
    <row r="24" spans="2:8" ht="15" thickBot="1">
      <c r="B24" s="1" t="s">
        <v>239</v>
      </c>
      <c r="C24" s="2" t="s">
        <v>160</v>
      </c>
      <c r="D24" s="2" t="s">
        <v>160</v>
      </c>
      <c r="E24" s="2" t="s">
        <v>160</v>
      </c>
      <c r="F24" s="2" t="s">
        <v>160</v>
      </c>
      <c r="G24" s="2" t="s">
        <v>6</v>
      </c>
      <c r="H24" s="2">
        <v>1</v>
      </c>
    </row>
    <row r="25" spans="2:8" ht="15" thickBot="1">
      <c r="B25" s="1" t="s">
        <v>240</v>
      </c>
      <c r="C25" s="2" t="s">
        <v>248</v>
      </c>
      <c r="D25" s="2" t="s">
        <v>248</v>
      </c>
      <c r="E25" s="2" t="s">
        <v>248</v>
      </c>
      <c r="F25" s="2" t="s">
        <v>248</v>
      </c>
      <c r="G25" s="2" t="s">
        <v>59</v>
      </c>
      <c r="H25" s="2" t="s">
        <v>94</v>
      </c>
    </row>
    <row r="26" spans="2:8" ht="15" thickBot="1">
      <c r="B26" s="1" t="s">
        <v>241</v>
      </c>
      <c r="C26" s="2" t="s">
        <v>249</v>
      </c>
      <c r="D26" s="2" t="s">
        <v>249</v>
      </c>
      <c r="E26" s="2" t="s">
        <v>249</v>
      </c>
      <c r="F26" s="2" t="s">
        <v>249</v>
      </c>
      <c r="G26" s="2" t="s">
        <v>6</v>
      </c>
      <c r="H26" s="2">
        <v>1</v>
      </c>
    </row>
    <row r="27" spans="2:8" ht="15" thickBot="1">
      <c r="B27" s="1" t="s">
        <v>242</v>
      </c>
      <c r="C27" s="34" t="s">
        <v>306</v>
      </c>
      <c r="D27" s="34" t="s">
        <v>306</v>
      </c>
      <c r="E27" s="34" t="s">
        <v>306</v>
      </c>
      <c r="F27" s="34" t="s">
        <v>306</v>
      </c>
      <c r="G27" s="2" t="s">
        <v>16</v>
      </c>
      <c r="H27" s="2" t="s">
        <v>94</v>
      </c>
    </row>
    <row r="28" spans="2:8" ht="15" thickBot="1">
      <c r="B28" s="1" t="s">
        <v>11</v>
      </c>
      <c r="C28" s="2" t="s">
        <v>186</v>
      </c>
      <c r="D28" s="2" t="s">
        <v>186</v>
      </c>
      <c r="E28" s="2" t="s">
        <v>186</v>
      </c>
      <c r="F28" s="2" t="s">
        <v>186</v>
      </c>
      <c r="G28" s="2"/>
      <c r="H28" s="2">
        <v>3</v>
      </c>
    </row>
    <row r="29" spans="2:8" ht="15" thickBot="1">
      <c r="B29" s="3" t="s">
        <v>22</v>
      </c>
      <c r="C29" s="4"/>
      <c r="D29" s="4"/>
      <c r="E29" s="4"/>
      <c r="F29" s="4"/>
      <c r="G29" s="4"/>
      <c r="H29" s="5"/>
    </row>
    <row r="30" spans="2:8" ht="15" thickBot="1">
      <c r="B30" s="1" t="s">
        <v>244</v>
      </c>
      <c r="C30" s="2" t="s">
        <v>250</v>
      </c>
      <c r="D30" s="2" t="s">
        <v>250</v>
      </c>
      <c r="E30" s="2" t="s">
        <v>250</v>
      </c>
      <c r="F30" s="2" t="s">
        <v>250</v>
      </c>
      <c r="G30" s="2" t="s">
        <v>76</v>
      </c>
      <c r="H30" s="2">
        <v>1</v>
      </c>
    </row>
    <row r="31" spans="2:8" ht="15" thickBot="1">
      <c r="B31" s="1" t="s">
        <v>246</v>
      </c>
      <c r="C31" s="2" t="s">
        <v>251</v>
      </c>
      <c r="D31" s="2" t="s">
        <v>251</v>
      </c>
      <c r="E31" s="2" t="s">
        <v>251</v>
      </c>
      <c r="F31" s="2" t="s">
        <v>251</v>
      </c>
      <c r="G31" s="2"/>
      <c r="H31" s="2">
        <v>4</v>
      </c>
    </row>
    <row r="35" spans="2:8" ht="15" thickBot="1"/>
    <row r="36" spans="2:8" ht="15" thickBot="1">
      <c r="B36" s="24" t="s">
        <v>0</v>
      </c>
      <c r="C36" s="1262" t="s">
        <v>252</v>
      </c>
      <c r="D36" s="1263"/>
      <c r="E36" s="1263"/>
      <c r="F36" s="1263"/>
      <c r="G36" s="1263"/>
      <c r="H36" s="1264"/>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239</v>
      </c>
      <c r="C39" s="2" t="s">
        <v>253</v>
      </c>
      <c r="D39" s="2" t="s">
        <v>253</v>
      </c>
      <c r="E39" s="2" t="s">
        <v>253</v>
      </c>
      <c r="F39" s="2" t="s">
        <v>253</v>
      </c>
      <c r="G39" s="2" t="s">
        <v>6</v>
      </c>
      <c r="H39" s="2" t="s">
        <v>94</v>
      </c>
    </row>
    <row r="40" spans="2:8" ht="15" thickBot="1">
      <c r="B40" s="1" t="s">
        <v>240</v>
      </c>
      <c r="C40" s="2" t="s">
        <v>254</v>
      </c>
      <c r="D40" s="2" t="s">
        <v>254</v>
      </c>
      <c r="E40" s="2" t="s">
        <v>254</v>
      </c>
      <c r="F40" s="2" t="s">
        <v>254</v>
      </c>
      <c r="G40" s="2" t="s">
        <v>59</v>
      </c>
      <c r="H40" s="2" t="s">
        <v>94</v>
      </c>
    </row>
    <row r="41" spans="2:8" ht="15" thickBot="1">
      <c r="B41" s="1" t="s">
        <v>241</v>
      </c>
      <c r="C41" s="2" t="s">
        <v>255</v>
      </c>
      <c r="D41" s="2" t="s">
        <v>255</v>
      </c>
      <c r="E41" s="2" t="s">
        <v>255</v>
      </c>
      <c r="F41" s="2" t="s">
        <v>255</v>
      </c>
      <c r="G41" s="2" t="s">
        <v>6</v>
      </c>
      <c r="H41" s="2" t="s">
        <v>94</v>
      </c>
    </row>
    <row r="42" spans="2:8" ht="15" thickBot="1">
      <c r="B42" s="1" t="s">
        <v>242</v>
      </c>
      <c r="C42" s="2" t="s">
        <v>256</v>
      </c>
      <c r="D42" s="2" t="s">
        <v>256</v>
      </c>
      <c r="E42" s="2" t="s">
        <v>256</v>
      </c>
      <c r="F42" s="2" t="s">
        <v>256</v>
      </c>
      <c r="G42" s="2" t="s">
        <v>16</v>
      </c>
      <c r="H42" s="2" t="s">
        <v>94</v>
      </c>
    </row>
    <row r="43" spans="2:8" ht="15" thickBot="1">
      <c r="B43" s="1" t="s">
        <v>11</v>
      </c>
      <c r="C43" s="2" t="s">
        <v>186</v>
      </c>
      <c r="D43" s="2" t="s">
        <v>186</v>
      </c>
      <c r="E43" s="2" t="s">
        <v>186</v>
      </c>
      <c r="F43" s="2" t="s">
        <v>186</v>
      </c>
      <c r="G43" s="2"/>
      <c r="H43" s="2">
        <v>3</v>
      </c>
    </row>
    <row r="44" spans="2:8" ht="15" thickBot="1">
      <c r="B44" s="3" t="s">
        <v>22</v>
      </c>
      <c r="C44" s="4"/>
      <c r="D44" s="4"/>
      <c r="E44" s="4"/>
      <c r="F44" s="4"/>
      <c r="G44" s="4"/>
      <c r="H44" s="5"/>
    </row>
    <row r="45" spans="2:8" ht="15" thickBot="1">
      <c r="B45" s="1" t="s">
        <v>244</v>
      </c>
      <c r="C45" s="2" t="s">
        <v>257</v>
      </c>
      <c r="D45" s="2" t="s">
        <v>257</v>
      </c>
      <c r="E45" s="2" t="s">
        <v>257</v>
      </c>
      <c r="F45" s="2" t="s">
        <v>257</v>
      </c>
      <c r="G45" s="2" t="s">
        <v>76</v>
      </c>
      <c r="H45" s="2" t="s">
        <v>94</v>
      </c>
    </row>
    <row r="46" spans="2:8" ht="15" thickBot="1">
      <c r="B46" s="1" t="s">
        <v>246</v>
      </c>
      <c r="C46" s="2" t="s">
        <v>258</v>
      </c>
      <c r="D46" s="2" t="s">
        <v>258</v>
      </c>
      <c r="E46" s="2" t="s">
        <v>258</v>
      </c>
      <c r="F46" s="2" t="s">
        <v>258</v>
      </c>
      <c r="G46" s="2"/>
      <c r="H46" s="2">
        <v>4</v>
      </c>
    </row>
    <row r="50" spans="2:8" ht="15" thickBot="1"/>
    <row r="51" spans="2:8" ht="15" thickBot="1">
      <c r="B51" s="24" t="s">
        <v>0</v>
      </c>
      <c r="C51" s="1262" t="s">
        <v>259</v>
      </c>
      <c r="D51" s="1263"/>
      <c r="E51" s="1263"/>
      <c r="F51" s="1263"/>
      <c r="G51" s="1263"/>
      <c r="H51" s="1264"/>
    </row>
    <row r="52" spans="2:8" ht="15" thickBot="1">
      <c r="B52" s="1"/>
      <c r="C52" s="2">
        <v>2015</v>
      </c>
      <c r="D52" s="2">
        <v>2020</v>
      </c>
      <c r="E52" s="2">
        <v>2030</v>
      </c>
      <c r="F52" s="2">
        <v>2050</v>
      </c>
      <c r="G52" s="2" t="s">
        <v>2</v>
      </c>
      <c r="H52" s="2" t="s">
        <v>3</v>
      </c>
    </row>
    <row r="53" spans="2:8" ht="15" thickBot="1">
      <c r="B53" s="3" t="s">
        <v>4</v>
      </c>
      <c r="C53" s="4"/>
      <c r="D53" s="4"/>
      <c r="E53" s="4"/>
      <c r="F53" s="4"/>
      <c r="G53" s="4"/>
      <c r="H53" s="5"/>
    </row>
    <row r="54" spans="2:8" ht="15" thickBot="1">
      <c r="B54" s="1" t="s">
        <v>239</v>
      </c>
      <c r="C54" s="2" t="s">
        <v>253</v>
      </c>
      <c r="D54" s="2" t="s">
        <v>253</v>
      </c>
      <c r="E54" s="2" t="s">
        <v>253</v>
      </c>
      <c r="F54" s="2" t="s">
        <v>253</v>
      </c>
      <c r="G54" s="2" t="s">
        <v>6</v>
      </c>
      <c r="H54" s="2" t="s">
        <v>94</v>
      </c>
    </row>
    <row r="55" spans="2:8" ht="15" thickBot="1">
      <c r="B55" s="1" t="s">
        <v>240</v>
      </c>
      <c r="C55" s="2" t="s">
        <v>260</v>
      </c>
      <c r="D55" s="2" t="s">
        <v>260</v>
      </c>
      <c r="E55" s="2" t="s">
        <v>260</v>
      </c>
      <c r="F55" s="2" t="s">
        <v>260</v>
      </c>
      <c r="G55" s="2" t="s">
        <v>59</v>
      </c>
      <c r="H55" s="2" t="s">
        <v>94</v>
      </c>
    </row>
    <row r="56" spans="2:8" ht="15" thickBot="1">
      <c r="B56" s="1" t="s">
        <v>241</v>
      </c>
      <c r="C56" s="2" t="s">
        <v>261</v>
      </c>
      <c r="D56" s="2" t="s">
        <v>261</v>
      </c>
      <c r="E56" s="2" t="s">
        <v>261</v>
      </c>
      <c r="F56" s="2" t="s">
        <v>261</v>
      </c>
      <c r="G56" s="2" t="s">
        <v>6</v>
      </c>
      <c r="H56" s="2" t="s">
        <v>94</v>
      </c>
    </row>
    <row r="57" spans="2:8" ht="15" thickBot="1">
      <c r="B57" s="1" t="s">
        <v>242</v>
      </c>
      <c r="C57" s="19" t="s">
        <v>256</v>
      </c>
      <c r="D57" s="34" t="s">
        <v>256</v>
      </c>
      <c r="E57" s="34" t="s">
        <v>256</v>
      </c>
      <c r="F57" s="34" t="s">
        <v>256</v>
      </c>
      <c r="G57" s="2" t="s">
        <v>16</v>
      </c>
      <c r="H57" s="2">
        <v>1</v>
      </c>
    </row>
    <row r="58" spans="2:8" ht="15" thickBot="1">
      <c r="B58" s="1" t="s">
        <v>11</v>
      </c>
      <c r="C58" s="2" t="s">
        <v>186</v>
      </c>
      <c r="D58" s="2" t="s">
        <v>186</v>
      </c>
      <c r="E58" s="2" t="s">
        <v>186</v>
      </c>
      <c r="F58" s="2" t="s">
        <v>186</v>
      </c>
      <c r="G58" s="2"/>
      <c r="H58" s="2">
        <v>3</v>
      </c>
    </row>
    <row r="59" spans="2:8" ht="15" thickBot="1">
      <c r="B59" s="3" t="s">
        <v>22</v>
      </c>
      <c r="C59" s="4"/>
      <c r="D59" s="4"/>
      <c r="E59" s="4"/>
      <c r="F59" s="4"/>
      <c r="G59" s="4"/>
      <c r="H59" s="5"/>
    </row>
    <row r="60" spans="2:8" ht="15" thickBot="1">
      <c r="B60" s="1" t="s">
        <v>244</v>
      </c>
      <c r="C60" s="2" t="s">
        <v>262</v>
      </c>
      <c r="D60" s="2" t="s">
        <v>262</v>
      </c>
      <c r="E60" s="2" t="s">
        <v>262</v>
      </c>
      <c r="F60" s="2" t="s">
        <v>262</v>
      </c>
      <c r="G60" s="2" t="s">
        <v>76</v>
      </c>
      <c r="H60" s="2" t="s">
        <v>94</v>
      </c>
    </row>
    <row r="61" spans="2:8" ht="15" thickBot="1">
      <c r="B61" s="1" t="s">
        <v>246</v>
      </c>
      <c r="C61" s="2" t="s">
        <v>263</v>
      </c>
      <c r="D61" s="2" t="s">
        <v>263</v>
      </c>
      <c r="E61" s="2" t="s">
        <v>263</v>
      </c>
      <c r="F61" s="2" t="s">
        <v>263</v>
      </c>
      <c r="G61" s="2"/>
      <c r="H61" s="2">
        <v>4</v>
      </c>
    </row>
  </sheetData>
  <mergeCells count="4">
    <mergeCell ref="C6:H6"/>
    <mergeCell ref="C21:H21"/>
    <mergeCell ref="C36:H36"/>
    <mergeCell ref="C51:H51"/>
  </mergeCells>
  <pageMargins left="0.7" right="0.7" top="0.75" bottom="0.75" header="0.3" footer="0.3"/>
  <pageSetup paperSize="9" orientation="portrait"/>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7">
    <tabColor theme="3"/>
  </sheetPr>
  <dimension ref="B3:H18"/>
  <sheetViews>
    <sheetView workbookViewId="0">
      <selection activeCell="D21" sqref="D21"/>
    </sheetView>
  </sheetViews>
  <sheetFormatPr defaultRowHeight="14.4"/>
  <cols>
    <col min="2" max="2" width="36.77734375" customWidth="1"/>
  </cols>
  <sheetData>
    <row r="3" spans="2:8">
      <c r="B3" s="8" t="s">
        <v>324</v>
      </c>
    </row>
    <row r="5" spans="2:8" ht="15" thickBot="1"/>
    <row r="6" spans="2:8" ht="15" thickBot="1">
      <c r="B6" s="24" t="s">
        <v>0</v>
      </c>
      <c r="C6" s="1262" t="s">
        <v>264</v>
      </c>
      <c r="D6" s="1263"/>
      <c r="E6" s="1263"/>
      <c r="F6" s="1263"/>
      <c r="G6" s="1263"/>
      <c r="H6" s="1264"/>
    </row>
    <row r="7" spans="2:8" ht="15" thickBot="1">
      <c r="B7" s="1"/>
      <c r="C7" s="2">
        <v>2015</v>
      </c>
      <c r="D7" s="2">
        <v>2020</v>
      </c>
      <c r="E7" s="2">
        <v>2030</v>
      </c>
      <c r="F7" s="2">
        <v>2050</v>
      </c>
      <c r="G7" s="2" t="s">
        <v>2</v>
      </c>
      <c r="H7" s="2" t="s">
        <v>3</v>
      </c>
    </row>
    <row r="8" spans="2:8" ht="15" thickBot="1">
      <c r="B8" s="3" t="s">
        <v>4</v>
      </c>
      <c r="C8" s="4"/>
      <c r="D8" s="4"/>
      <c r="E8" s="4"/>
      <c r="F8" s="4"/>
      <c r="G8" s="4"/>
      <c r="H8" s="5"/>
    </row>
    <row r="9" spans="2:8" ht="15" thickBot="1">
      <c r="B9" s="1" t="s">
        <v>265</v>
      </c>
      <c r="C9" s="2" t="s">
        <v>266</v>
      </c>
      <c r="D9" s="2" t="s">
        <v>266</v>
      </c>
      <c r="E9" s="2" t="s">
        <v>266</v>
      </c>
      <c r="F9" s="2" t="s">
        <v>266</v>
      </c>
      <c r="G9" s="2"/>
      <c r="H9" s="2"/>
    </row>
    <row r="10" spans="2:8" ht="15" thickBot="1">
      <c r="B10" s="1" t="s">
        <v>267</v>
      </c>
      <c r="C10" s="2" t="s">
        <v>268</v>
      </c>
      <c r="D10" s="2" t="s">
        <v>268</v>
      </c>
      <c r="E10" s="2" t="s">
        <v>268</v>
      </c>
      <c r="F10" s="2" t="s">
        <v>268</v>
      </c>
      <c r="G10" s="2"/>
      <c r="H10" s="2"/>
    </row>
    <row r="11" spans="2:8" ht="15" thickBot="1">
      <c r="B11" s="1" t="s">
        <v>269</v>
      </c>
      <c r="C11" s="2" t="s">
        <v>270</v>
      </c>
      <c r="D11" s="2" t="s">
        <v>270</v>
      </c>
      <c r="E11" s="2" t="s">
        <v>270</v>
      </c>
      <c r="F11" s="2" t="s">
        <v>270</v>
      </c>
      <c r="G11" s="2"/>
      <c r="H11" s="2"/>
    </row>
    <row r="12" spans="2:8" ht="15" thickBot="1">
      <c r="B12" s="1" t="s">
        <v>271</v>
      </c>
      <c r="C12" s="2" t="s">
        <v>139</v>
      </c>
      <c r="D12" s="2" t="s">
        <v>139</v>
      </c>
      <c r="E12" s="2" t="s">
        <v>139</v>
      </c>
      <c r="F12" s="2" t="s">
        <v>139</v>
      </c>
      <c r="G12" s="2"/>
      <c r="H12" s="2"/>
    </row>
    <row r="13" spans="2:8" ht="24.6" thickBot="1">
      <c r="B13" s="1" t="s">
        <v>272</v>
      </c>
      <c r="C13" s="2">
        <v>7</v>
      </c>
      <c r="D13" s="2">
        <v>7</v>
      </c>
      <c r="E13" s="2">
        <v>6</v>
      </c>
      <c r="F13" s="2">
        <v>6</v>
      </c>
      <c r="G13" s="2" t="s">
        <v>59</v>
      </c>
      <c r="H13" s="2"/>
    </row>
    <row r="14" spans="2:8" ht="15" thickBot="1">
      <c r="B14" s="1" t="s">
        <v>11</v>
      </c>
      <c r="C14" s="2" t="s">
        <v>144</v>
      </c>
      <c r="D14" s="2" t="s">
        <v>144</v>
      </c>
      <c r="E14" s="2" t="s">
        <v>144</v>
      </c>
      <c r="F14" s="2" t="s">
        <v>144</v>
      </c>
      <c r="G14" s="2"/>
      <c r="H14" s="2"/>
    </row>
    <row r="15" spans="2:8" ht="15" thickBot="1">
      <c r="B15" s="1" t="s">
        <v>273</v>
      </c>
      <c r="C15" s="34" t="s">
        <v>307</v>
      </c>
      <c r="D15" s="34" t="s">
        <v>307</v>
      </c>
      <c r="E15" s="34" t="s">
        <v>307</v>
      </c>
      <c r="F15" s="34" t="s">
        <v>307</v>
      </c>
      <c r="G15" s="2"/>
      <c r="H15" s="2"/>
    </row>
    <row r="16" spans="2:8" ht="15" thickBot="1">
      <c r="B16" s="3" t="s">
        <v>22</v>
      </c>
      <c r="C16" s="4"/>
      <c r="D16" s="4"/>
      <c r="E16" s="4"/>
      <c r="F16" s="4"/>
      <c r="G16" s="4"/>
      <c r="H16" s="5"/>
    </row>
    <row r="17" spans="2:8" ht="15" thickBot="1">
      <c r="B17" s="1" t="s">
        <v>274</v>
      </c>
      <c r="C17" s="2" t="s">
        <v>275</v>
      </c>
      <c r="D17" s="2" t="s">
        <v>275</v>
      </c>
      <c r="E17" s="2" t="s">
        <v>275</v>
      </c>
      <c r="F17" s="2" t="s">
        <v>275</v>
      </c>
      <c r="G17" s="2" t="s">
        <v>6</v>
      </c>
      <c r="H17" s="2">
        <v>1</v>
      </c>
    </row>
    <row r="18" spans="2:8" ht="15" thickBot="1">
      <c r="B18" s="1" t="s">
        <v>276</v>
      </c>
      <c r="C18" s="2" t="s">
        <v>68</v>
      </c>
      <c r="D18" s="2" t="s">
        <v>68</v>
      </c>
      <c r="E18" s="2" t="s">
        <v>68</v>
      </c>
      <c r="F18" s="2" t="s">
        <v>68</v>
      </c>
      <c r="G18" s="2"/>
      <c r="H18" s="2"/>
    </row>
  </sheetData>
  <mergeCells count="1">
    <mergeCell ref="C6:H6"/>
  </mergeCells>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tabColor theme="3"/>
  </sheetPr>
  <dimension ref="A3:X117"/>
  <sheetViews>
    <sheetView topLeftCell="B21" zoomScale="85" zoomScaleNormal="85" workbookViewId="0">
      <selection activeCell="N26" sqref="N26"/>
    </sheetView>
  </sheetViews>
  <sheetFormatPr defaultRowHeight="14.4"/>
  <cols>
    <col min="1" max="1" width="44.77734375" customWidth="1"/>
    <col min="2" max="2" width="36.77734375" customWidth="1"/>
    <col min="15" max="15" width="10.5546875" bestFit="1" customWidth="1"/>
  </cols>
  <sheetData>
    <row r="3" spans="2:24">
      <c r="B3" s="8" t="s">
        <v>317</v>
      </c>
    </row>
    <row r="4" spans="2:24">
      <c r="E4" t="s">
        <v>334</v>
      </c>
      <c r="F4" s="36">
        <v>7.45</v>
      </c>
      <c r="G4" t="s">
        <v>328</v>
      </c>
    </row>
    <row r="5" spans="2:24" ht="15" thickBot="1"/>
    <row r="6" spans="2:24" ht="15.75" customHeight="1">
      <c r="B6" s="1257" t="s">
        <v>0</v>
      </c>
      <c r="C6" s="1259" t="s">
        <v>123</v>
      </c>
      <c r="D6" s="1260"/>
      <c r="E6" s="1260"/>
      <c r="F6" s="1260"/>
      <c r="G6" s="1260"/>
      <c r="H6" s="1261"/>
      <c r="J6" s="1259" t="str">
        <f>C6</f>
        <v>Solar heating system</v>
      </c>
      <c r="K6" s="1260"/>
      <c r="L6" s="1260"/>
      <c r="M6" s="1260"/>
      <c r="N6" s="1260"/>
      <c r="O6" s="1261"/>
    </row>
    <row r="7" spans="2:24" ht="15.75" customHeight="1" thickBot="1">
      <c r="B7" s="1258"/>
      <c r="C7" s="1134" t="s">
        <v>1</v>
      </c>
      <c r="D7" s="1135"/>
      <c r="E7" s="1135"/>
      <c r="F7" s="1135"/>
      <c r="G7" s="1135"/>
      <c r="H7" s="1136"/>
      <c r="J7" s="1134" t="str">
        <f>C7</f>
        <v>One-family house, existing building</v>
      </c>
      <c r="K7" s="1135"/>
      <c r="L7" s="1135"/>
      <c r="M7" s="1135"/>
      <c r="N7" s="1135"/>
      <c r="O7" s="1136"/>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124</v>
      </c>
      <c r="C10" s="2">
        <v>6</v>
      </c>
      <c r="D10" s="2">
        <v>6</v>
      </c>
      <c r="E10" s="2">
        <v>6</v>
      </c>
      <c r="F10" s="2">
        <v>6</v>
      </c>
      <c r="G10" s="2" t="s">
        <v>6</v>
      </c>
      <c r="H10" s="2">
        <v>1</v>
      </c>
      <c r="J10" s="50"/>
      <c r="K10" s="50"/>
      <c r="L10" s="51"/>
      <c r="M10" s="51"/>
      <c r="N10" s="51"/>
      <c r="O10" s="52"/>
      <c r="P10" s="50"/>
      <c r="Q10" s="50"/>
      <c r="R10" s="50"/>
      <c r="S10" s="50"/>
      <c r="T10" s="50"/>
      <c r="U10" s="50"/>
      <c r="V10" s="50"/>
      <c r="W10" s="50"/>
      <c r="X10" s="50"/>
    </row>
    <row r="11" spans="2:24" ht="15" thickBot="1">
      <c r="B11" s="1" t="s">
        <v>125</v>
      </c>
      <c r="C11" s="2">
        <v>4.2</v>
      </c>
      <c r="D11" s="2">
        <v>4.2</v>
      </c>
      <c r="E11" s="2">
        <v>4.2</v>
      </c>
      <c r="F11" s="2">
        <v>4.2</v>
      </c>
      <c r="G11" s="2" t="s">
        <v>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7</v>
      </c>
      <c r="C12" s="2">
        <v>10</v>
      </c>
      <c r="D12" s="2">
        <v>10</v>
      </c>
      <c r="E12" s="2">
        <v>12</v>
      </c>
      <c r="F12" s="2">
        <v>12</v>
      </c>
      <c r="G12" s="2" t="s">
        <v>59</v>
      </c>
      <c r="H12" s="2" t="s">
        <v>126</v>
      </c>
      <c r="J12" s="58">
        <f>C8</f>
        <v>2015</v>
      </c>
      <c r="K12" s="58">
        <f>J12</f>
        <v>2015</v>
      </c>
      <c r="L12" s="58">
        <f>C14/100</f>
        <v>1</v>
      </c>
      <c r="M12" s="58"/>
      <c r="N12" s="58">
        <f>C15</f>
        <v>20</v>
      </c>
      <c r="O12" s="59">
        <f>C30</f>
        <v>6705</v>
      </c>
      <c r="P12" s="59">
        <f>C32</f>
        <v>123.19107142857143</v>
      </c>
      <c r="Q12" s="59">
        <f>C33</f>
        <v>0</v>
      </c>
      <c r="R12" s="58"/>
      <c r="S12" s="58"/>
      <c r="T12" s="58"/>
      <c r="U12" s="58"/>
      <c r="V12" s="58"/>
      <c r="W12" s="58"/>
      <c r="X12" s="58"/>
    </row>
    <row r="13" spans="2:24" ht="24.6" thickBot="1">
      <c r="B13" s="1" t="s">
        <v>8</v>
      </c>
      <c r="C13" s="2">
        <v>65</v>
      </c>
      <c r="D13" s="2">
        <v>65</v>
      </c>
      <c r="E13" s="2">
        <v>70</v>
      </c>
      <c r="F13" s="2">
        <v>70</v>
      </c>
      <c r="G13" s="2" t="s">
        <v>59</v>
      </c>
      <c r="H13" s="2"/>
      <c r="J13" s="58">
        <f>D8</f>
        <v>2020</v>
      </c>
      <c r="K13" s="58"/>
      <c r="L13" s="58">
        <f>D14/100</f>
        <v>1</v>
      </c>
      <c r="M13" s="58"/>
      <c r="N13" s="58">
        <f>D15</f>
        <v>25</v>
      </c>
      <c r="O13" s="59">
        <f>D30</f>
        <v>6332.5</v>
      </c>
      <c r="P13" s="59">
        <f>D32</f>
        <v>120.92933158225671</v>
      </c>
      <c r="Q13" s="59">
        <f>D33</f>
        <v>0</v>
      </c>
      <c r="R13" s="58"/>
      <c r="S13" s="58"/>
      <c r="T13" s="58"/>
      <c r="U13" s="58"/>
      <c r="V13" s="58"/>
      <c r="W13" s="58"/>
      <c r="X13" s="58"/>
    </row>
    <row r="14" spans="2:24" ht="15" thickBot="1">
      <c r="B14" s="1" t="s">
        <v>9</v>
      </c>
      <c r="C14" s="35">
        <v>100</v>
      </c>
      <c r="D14" s="35">
        <v>100</v>
      </c>
      <c r="E14" s="35">
        <v>100</v>
      </c>
      <c r="F14" s="35">
        <v>100</v>
      </c>
      <c r="G14" s="2"/>
      <c r="H14" s="2"/>
      <c r="J14" s="58">
        <f>E8</f>
        <v>2030</v>
      </c>
      <c r="K14" s="58"/>
      <c r="L14" s="58">
        <f>E14/100</f>
        <v>1</v>
      </c>
      <c r="M14" s="58"/>
      <c r="N14" s="58">
        <f>E15</f>
        <v>30</v>
      </c>
      <c r="O14" s="59">
        <f>E30</f>
        <v>5960.0000000000009</v>
      </c>
      <c r="P14" s="59">
        <f>E32</f>
        <v>122.00995930042681</v>
      </c>
      <c r="Q14" s="59">
        <f>E33</f>
        <v>0</v>
      </c>
      <c r="R14" s="58"/>
      <c r="S14" s="58"/>
      <c r="T14" s="58"/>
      <c r="U14" s="58"/>
      <c r="V14" s="58"/>
      <c r="W14" s="58"/>
      <c r="X14" s="58"/>
    </row>
    <row r="15" spans="2:24" ht="15" thickBot="1">
      <c r="B15" s="1" t="s">
        <v>11</v>
      </c>
      <c r="C15" s="2">
        <v>20</v>
      </c>
      <c r="D15" s="2">
        <v>25</v>
      </c>
      <c r="E15" s="2">
        <v>30</v>
      </c>
      <c r="F15" s="2">
        <v>30</v>
      </c>
      <c r="G15" s="2" t="s">
        <v>16</v>
      </c>
      <c r="H15" s="2">
        <v>1</v>
      </c>
      <c r="J15" s="58">
        <f>F8</f>
        <v>2050</v>
      </c>
      <c r="K15" s="58"/>
      <c r="L15" s="58">
        <f>F14/100</f>
        <v>1</v>
      </c>
      <c r="M15" s="58"/>
      <c r="N15" s="58">
        <f>F15</f>
        <v>30</v>
      </c>
      <c r="O15" s="59">
        <f>F30</f>
        <v>4470</v>
      </c>
      <c r="P15" s="59">
        <f>F32</f>
        <v>112.13193067515455</v>
      </c>
      <c r="Q15" s="59">
        <f>F33</f>
        <v>0</v>
      </c>
      <c r="R15" s="58"/>
      <c r="S15" s="58"/>
      <c r="T15" s="58"/>
      <c r="U15" s="58"/>
      <c r="V15" s="58"/>
      <c r="W15" s="58"/>
      <c r="X15" s="58"/>
    </row>
    <row r="16" spans="2:24" ht="15" thickBot="1">
      <c r="B16" s="3" t="s">
        <v>12</v>
      </c>
      <c r="C16" s="4"/>
      <c r="D16" s="4"/>
      <c r="E16" s="4"/>
      <c r="F16" s="4"/>
      <c r="G16" s="4"/>
      <c r="H16" s="5"/>
    </row>
    <row r="17" spans="1:11" ht="15.6" thickBot="1">
      <c r="B17" s="1" t="s">
        <v>13</v>
      </c>
      <c r="C17" s="2">
        <v>0</v>
      </c>
      <c r="D17" s="2">
        <v>0</v>
      </c>
      <c r="E17" s="2">
        <v>0</v>
      </c>
      <c r="F17" s="2">
        <v>0</v>
      </c>
      <c r="G17" s="2" t="s">
        <v>33</v>
      </c>
      <c r="H17" s="2"/>
    </row>
    <row r="18" spans="1:11" ht="15.6" thickBot="1">
      <c r="B18" s="1" t="s">
        <v>15</v>
      </c>
      <c r="C18" s="2">
        <v>0</v>
      </c>
      <c r="D18" s="2">
        <v>0</v>
      </c>
      <c r="E18" s="2">
        <v>0</v>
      </c>
      <c r="F18" s="2">
        <v>0</v>
      </c>
      <c r="G18" s="2"/>
      <c r="H18" s="2"/>
    </row>
    <row r="19" spans="1:11" ht="15.6" thickBot="1">
      <c r="B19" s="1" t="s">
        <v>17</v>
      </c>
      <c r="C19" s="2">
        <v>0</v>
      </c>
      <c r="D19" s="2">
        <v>0</v>
      </c>
      <c r="E19" s="2">
        <v>0</v>
      </c>
      <c r="F19" s="2">
        <v>0</v>
      </c>
      <c r="G19" s="2"/>
      <c r="H19" s="2"/>
    </row>
    <row r="20" spans="1:11" ht="15.6" thickBot="1">
      <c r="B20" s="1" t="s">
        <v>18</v>
      </c>
      <c r="C20" s="2">
        <v>0</v>
      </c>
      <c r="D20" s="2">
        <v>0</v>
      </c>
      <c r="E20" s="2">
        <v>0</v>
      </c>
      <c r="F20" s="2">
        <v>0</v>
      </c>
      <c r="G20" s="2"/>
      <c r="H20" s="2"/>
    </row>
    <row r="21" spans="1:11" ht="15" thickBot="1">
      <c r="B21" s="1" t="s">
        <v>19</v>
      </c>
      <c r="C21" s="2">
        <v>0</v>
      </c>
      <c r="D21" s="2">
        <v>0</v>
      </c>
      <c r="E21" s="2">
        <v>0</v>
      </c>
      <c r="F21" s="2">
        <v>0</v>
      </c>
      <c r="G21" s="2"/>
      <c r="H21" s="2"/>
    </row>
    <row r="22" spans="1:11" ht="15" thickBot="1">
      <c r="B22" s="3" t="s">
        <v>22</v>
      </c>
      <c r="C22" s="4"/>
      <c r="D22" s="4"/>
      <c r="E22" s="4"/>
      <c r="F22" s="4"/>
      <c r="G22" s="4"/>
      <c r="H22" s="5"/>
    </row>
    <row r="23" spans="1:11" ht="15" thickBot="1">
      <c r="B23" s="1" t="s">
        <v>127</v>
      </c>
      <c r="C23" s="2">
        <v>0.9</v>
      </c>
      <c r="D23" s="2">
        <v>0.85</v>
      </c>
      <c r="E23" s="2">
        <v>0.8</v>
      </c>
      <c r="F23" s="2">
        <v>0.6</v>
      </c>
      <c r="G23" s="2" t="s">
        <v>20</v>
      </c>
      <c r="H23" s="2" t="s">
        <v>128</v>
      </c>
    </row>
    <row r="24" spans="1:11">
      <c r="A24" s="36"/>
      <c r="B24" s="6" t="s">
        <v>24</v>
      </c>
      <c r="C24" s="898">
        <v>4.0268456375838921</v>
      </c>
      <c r="D24" s="898">
        <v>3.624161073825503</v>
      </c>
      <c r="E24" s="898">
        <v>3.3557046979865772</v>
      </c>
      <c r="F24" s="898">
        <v>2.6845637583892619</v>
      </c>
      <c r="G24" s="7"/>
      <c r="H24" s="7" t="s">
        <v>128</v>
      </c>
    </row>
    <row r="25" spans="1:11">
      <c r="A25" s="36"/>
      <c r="B25" s="6" t="s">
        <v>26</v>
      </c>
      <c r="C25" s="898">
        <v>65</v>
      </c>
      <c r="D25" s="898">
        <v>65</v>
      </c>
      <c r="E25" s="898">
        <v>65</v>
      </c>
      <c r="F25" s="898">
        <v>65</v>
      </c>
      <c r="G25" s="7"/>
      <c r="H25" s="7" t="s">
        <v>129</v>
      </c>
    </row>
    <row r="26" spans="1:11" ht="15" thickBot="1">
      <c r="A26" s="36"/>
      <c r="B26" s="1" t="s">
        <v>28</v>
      </c>
      <c r="C26" s="899">
        <v>35</v>
      </c>
      <c r="D26" s="899">
        <v>35</v>
      </c>
      <c r="E26" s="899">
        <v>35</v>
      </c>
      <c r="F26" s="899">
        <v>35</v>
      </c>
      <c r="G26" s="2"/>
      <c r="H26" s="2">
        <v>8</v>
      </c>
    </row>
    <row r="27" spans="1:11" ht="24.6" thickBot="1">
      <c r="A27" s="36"/>
      <c r="B27" s="1" t="s">
        <v>30</v>
      </c>
      <c r="C27" s="899">
        <v>0</v>
      </c>
      <c r="D27" s="899">
        <v>0</v>
      </c>
      <c r="E27" s="899">
        <v>0</v>
      </c>
      <c r="F27" s="899">
        <v>0</v>
      </c>
      <c r="G27" s="2"/>
      <c r="H27" s="2"/>
    </row>
    <row r="28" spans="1:11" ht="15" thickBot="1">
      <c r="A28" s="36"/>
      <c r="B28" s="1" t="s">
        <v>64</v>
      </c>
      <c r="C28" s="899">
        <v>69.45</v>
      </c>
      <c r="D28" s="899">
        <v>68.17492518731251</v>
      </c>
      <c r="E28" s="899">
        <v>68.784138129099688</v>
      </c>
      <c r="F28" s="899">
        <v>63.215316622234781</v>
      </c>
      <c r="G28" s="2" t="s">
        <v>76</v>
      </c>
      <c r="H28" s="2"/>
      <c r="J28" t="s">
        <v>360</v>
      </c>
      <c r="K28" t="s">
        <v>361</v>
      </c>
    </row>
    <row r="29" spans="1:11" ht="15" thickBot="1">
      <c r="A29" s="36"/>
      <c r="B29" s="1" t="s">
        <v>130</v>
      </c>
      <c r="C29" s="2">
        <v>0</v>
      </c>
      <c r="D29" s="2">
        <v>0</v>
      </c>
      <c r="E29" s="2">
        <v>0</v>
      </c>
      <c r="F29" s="2">
        <v>0</v>
      </c>
      <c r="G29" s="2" t="s">
        <v>25</v>
      </c>
      <c r="H29" s="2"/>
      <c r="J29">
        <v>4</v>
      </c>
      <c r="K29">
        <f>J29/3.6</f>
        <v>1.1111111111111112</v>
      </c>
    </row>
    <row r="30" spans="1:11">
      <c r="B30" s="36" t="s">
        <v>353</v>
      </c>
      <c r="C30" s="60">
        <f t="shared" ref="C30:F31" si="0">C23*$F$4*1000</f>
        <v>6705</v>
      </c>
      <c r="D30" s="60">
        <f t="shared" si="0"/>
        <v>6332.5</v>
      </c>
      <c r="E30" s="60">
        <f t="shared" si="0"/>
        <v>5960.0000000000009</v>
      </c>
      <c r="F30" s="60">
        <f t="shared" si="0"/>
        <v>4470</v>
      </c>
      <c r="G30" s="63" t="s">
        <v>332</v>
      </c>
      <c r="H30" s="63"/>
    </row>
    <row r="31" spans="1:11">
      <c r="B31" s="36" t="s">
        <v>354</v>
      </c>
      <c r="C31" s="60">
        <f t="shared" si="0"/>
        <v>29999.999999999996</v>
      </c>
      <c r="D31" s="60">
        <f t="shared" si="0"/>
        <v>26999.999999999996</v>
      </c>
      <c r="E31" s="60">
        <f t="shared" si="0"/>
        <v>25000</v>
      </c>
      <c r="F31" s="60">
        <f t="shared" si="0"/>
        <v>20000</v>
      </c>
      <c r="G31" s="70">
        <f>C11</f>
        <v>4.2</v>
      </c>
      <c r="H31" s="69" t="s">
        <v>330</v>
      </c>
    </row>
    <row r="32" spans="1:11">
      <c r="B32" s="36" t="s">
        <v>355</v>
      </c>
      <c r="C32" s="60">
        <f>C28*$F$4/$G31</f>
        <v>123.19107142857143</v>
      </c>
      <c r="D32" s="60">
        <f>D28*$F$4/$G31</f>
        <v>120.92933158225671</v>
      </c>
      <c r="E32" s="60">
        <f>E28*$F$4/$G31</f>
        <v>122.00995930042681</v>
      </c>
      <c r="F32" s="60">
        <f>F28*$F$4/$G31</f>
        <v>112.13193067515455</v>
      </c>
      <c r="G32" s="69" t="s">
        <v>331</v>
      </c>
      <c r="H32" s="69"/>
    </row>
    <row r="33" spans="2:24" ht="15" thickBot="1">
      <c r="B33" s="36" t="s">
        <v>356</v>
      </c>
      <c r="C33" s="60">
        <f>C29*$F$4/(4*3.6*C13/100)</f>
        <v>0</v>
      </c>
      <c r="D33" s="60">
        <f t="shared" ref="D33:F33" si="1">D29*$F$4/(4*3.6*D13/100)</f>
        <v>0</v>
      </c>
      <c r="E33" s="60">
        <f t="shared" si="1"/>
        <v>0</v>
      </c>
      <c r="F33" s="60">
        <f t="shared" si="1"/>
        <v>0</v>
      </c>
      <c r="G33" s="83" t="s">
        <v>422</v>
      </c>
      <c r="H33" s="61"/>
    </row>
    <row r="34" spans="2:24" ht="15.75" customHeight="1">
      <c r="B34" s="1257" t="s">
        <v>0</v>
      </c>
      <c r="C34" s="1259" t="s">
        <v>123</v>
      </c>
      <c r="D34" s="1260"/>
      <c r="E34" s="1260"/>
      <c r="F34" s="1260"/>
      <c r="G34" s="1260"/>
      <c r="H34" s="1261"/>
      <c r="J34" s="1259" t="str">
        <f>C34</f>
        <v>Solar heating system</v>
      </c>
      <c r="K34" s="1260"/>
      <c r="L34" s="1260"/>
      <c r="M34" s="1260"/>
      <c r="N34" s="1260"/>
      <c r="O34" s="1261"/>
    </row>
    <row r="35" spans="2:24" ht="15" thickBot="1">
      <c r="B35" s="1258"/>
      <c r="C35" s="1134" t="s">
        <v>32</v>
      </c>
      <c r="D35" s="1135"/>
      <c r="E35" s="1135"/>
      <c r="F35" s="1135"/>
      <c r="G35" s="1135"/>
      <c r="H35" s="1136"/>
      <c r="J35" s="1134" t="str">
        <f>C35</f>
        <v>Apartment complex, existing building</v>
      </c>
      <c r="K35" s="1135"/>
      <c r="L35" s="1135"/>
      <c r="M35" s="1135"/>
      <c r="N35" s="1135"/>
      <c r="O35" s="1136"/>
    </row>
    <row r="36" spans="2:24" ht="15" thickBot="1">
      <c r="B36" s="1"/>
      <c r="C36" s="2">
        <v>2015</v>
      </c>
      <c r="D36" s="2">
        <v>2020</v>
      </c>
      <c r="E36" s="2">
        <v>2030</v>
      </c>
      <c r="F36" s="2">
        <v>2050</v>
      </c>
      <c r="G36" s="2" t="s">
        <v>2</v>
      </c>
      <c r="H36" s="2" t="s">
        <v>3</v>
      </c>
      <c r="J36" s="53" t="s">
        <v>357</v>
      </c>
    </row>
    <row r="37" spans="2:24" ht="28.2" thickBot="1">
      <c r="B37" s="3" t="s">
        <v>4</v>
      </c>
      <c r="C37" s="4"/>
      <c r="D37" s="4"/>
      <c r="E37" s="4"/>
      <c r="F37" s="4"/>
      <c r="G37" s="4"/>
      <c r="H37" s="5"/>
      <c r="J37" s="46" t="s">
        <v>335</v>
      </c>
      <c r="K37" s="46" t="s">
        <v>336</v>
      </c>
      <c r="L37" s="47" t="s">
        <v>337</v>
      </c>
      <c r="M37" s="47" t="s">
        <v>338</v>
      </c>
      <c r="N37" s="47" t="s">
        <v>339</v>
      </c>
      <c r="O37" s="48" t="s">
        <v>340</v>
      </c>
      <c r="P37" s="49" t="s">
        <v>341</v>
      </c>
      <c r="Q37" s="49" t="s">
        <v>342</v>
      </c>
      <c r="R37" s="49" t="s">
        <v>343</v>
      </c>
      <c r="S37" s="49" t="s">
        <v>344</v>
      </c>
      <c r="T37" s="49" t="s">
        <v>345</v>
      </c>
      <c r="U37" s="49" t="s">
        <v>346</v>
      </c>
      <c r="V37" s="49" t="s">
        <v>347</v>
      </c>
      <c r="W37" s="49" t="s">
        <v>348</v>
      </c>
      <c r="X37" s="49" t="s">
        <v>349</v>
      </c>
    </row>
    <row r="38" spans="2:24" ht="15" thickBot="1">
      <c r="B38" s="1" t="s">
        <v>124</v>
      </c>
      <c r="C38" s="2">
        <v>200</v>
      </c>
      <c r="D38" s="2">
        <v>200</v>
      </c>
      <c r="E38" s="2">
        <v>200</v>
      </c>
      <c r="F38" s="2">
        <v>200</v>
      </c>
      <c r="G38" s="2" t="s">
        <v>6</v>
      </c>
      <c r="H38" s="2"/>
      <c r="J38" s="50"/>
      <c r="K38" s="50"/>
      <c r="L38" s="51"/>
      <c r="M38" s="51"/>
      <c r="N38" s="51"/>
      <c r="O38" s="52"/>
      <c r="P38" s="50"/>
      <c r="Q38" s="50"/>
      <c r="R38" s="50"/>
      <c r="S38" s="50"/>
      <c r="T38" s="50"/>
      <c r="U38" s="50"/>
      <c r="V38" s="50"/>
      <c r="W38" s="50"/>
      <c r="X38" s="50"/>
    </row>
    <row r="39" spans="2:24" ht="15" thickBot="1">
      <c r="B39" s="1" t="s">
        <v>125</v>
      </c>
      <c r="C39" s="2">
        <v>140</v>
      </c>
      <c r="D39" s="2">
        <v>140</v>
      </c>
      <c r="E39" s="2">
        <v>140</v>
      </c>
      <c r="F39" s="2">
        <v>140</v>
      </c>
      <c r="G39" s="2" t="s">
        <v>6</v>
      </c>
      <c r="H39" s="2"/>
      <c r="J39" s="56"/>
      <c r="K39" s="56"/>
      <c r="L39" s="57"/>
      <c r="M39" s="57"/>
      <c r="N39" s="57"/>
      <c r="O39" s="56" t="s">
        <v>350</v>
      </c>
      <c r="P39" s="56" t="s">
        <v>326</v>
      </c>
      <c r="Q39" s="56" t="s">
        <v>327</v>
      </c>
      <c r="R39" s="56" t="s">
        <v>351</v>
      </c>
      <c r="S39" s="56" t="s">
        <v>351</v>
      </c>
      <c r="T39" s="56" t="s">
        <v>352</v>
      </c>
      <c r="U39" s="56" t="s">
        <v>352</v>
      </c>
      <c r="V39" s="56" t="s">
        <v>352</v>
      </c>
      <c r="W39" s="56" t="s">
        <v>352</v>
      </c>
      <c r="X39" s="56" t="s">
        <v>352</v>
      </c>
    </row>
    <row r="40" spans="2:24" ht="24.6" thickBot="1">
      <c r="B40" s="1" t="s">
        <v>7</v>
      </c>
      <c r="C40" s="2">
        <v>10</v>
      </c>
      <c r="D40" s="2">
        <v>10</v>
      </c>
      <c r="E40" s="2">
        <v>12</v>
      </c>
      <c r="F40" s="2">
        <v>12</v>
      </c>
      <c r="G40" s="2" t="s">
        <v>59</v>
      </c>
      <c r="H40" s="2"/>
      <c r="J40" s="58">
        <f>C36</f>
        <v>2015</v>
      </c>
      <c r="K40" s="58">
        <f>J40</f>
        <v>2015</v>
      </c>
      <c r="L40" s="58">
        <f>C42/100</f>
        <v>1</v>
      </c>
      <c r="M40" s="58"/>
      <c r="N40" s="58">
        <f>C43</f>
        <v>20</v>
      </c>
      <c r="O40" s="59">
        <f>C58</f>
        <v>4571.4285714285716</v>
      </c>
      <c r="P40" s="59">
        <f>C60</f>
        <v>20.700357142857143</v>
      </c>
      <c r="Q40" s="59">
        <f>C61</f>
        <v>0</v>
      </c>
      <c r="R40" s="58"/>
      <c r="S40" s="58"/>
      <c r="T40" s="58"/>
      <c r="U40" s="58"/>
      <c r="V40" s="58"/>
      <c r="W40" s="58"/>
      <c r="X40" s="58"/>
    </row>
    <row r="41" spans="2:24" ht="24.6" thickBot="1">
      <c r="B41" s="1" t="s">
        <v>8</v>
      </c>
      <c r="C41" s="2">
        <v>65</v>
      </c>
      <c r="D41" s="2">
        <v>65</v>
      </c>
      <c r="E41" s="2">
        <v>70</v>
      </c>
      <c r="F41" s="2">
        <v>70</v>
      </c>
      <c r="G41" s="2" t="s">
        <v>59</v>
      </c>
      <c r="H41" s="2"/>
      <c r="J41" s="58">
        <f>D36</f>
        <v>2020</v>
      </c>
      <c r="K41" s="58"/>
      <c r="L41" s="58">
        <f>D42/100</f>
        <v>1</v>
      </c>
      <c r="M41" s="58"/>
      <c r="N41" s="58">
        <f>D43</f>
        <v>25</v>
      </c>
      <c r="O41" s="59">
        <f>D58</f>
        <v>4285.7142857142862</v>
      </c>
      <c r="P41" s="59">
        <f>D60</f>
        <v>20.660433158225668</v>
      </c>
      <c r="Q41" s="59">
        <f>D61</f>
        <v>0</v>
      </c>
      <c r="R41" s="58"/>
      <c r="S41" s="58"/>
      <c r="T41" s="58"/>
      <c r="U41" s="58"/>
      <c r="V41" s="58"/>
      <c r="W41" s="58"/>
      <c r="X41" s="58"/>
    </row>
    <row r="42" spans="2:24" ht="15" thickBot="1">
      <c r="B42" s="1" t="s">
        <v>9</v>
      </c>
      <c r="C42" s="35">
        <v>100</v>
      </c>
      <c r="D42" s="35">
        <v>100</v>
      </c>
      <c r="E42" s="35">
        <v>100</v>
      </c>
      <c r="F42" s="35">
        <v>100</v>
      </c>
      <c r="G42" s="2"/>
      <c r="H42" s="2"/>
      <c r="J42" s="58">
        <f>E36</f>
        <v>2030</v>
      </c>
      <c r="K42" s="58"/>
      <c r="L42" s="58">
        <f>E42/100</f>
        <v>1</v>
      </c>
      <c r="M42" s="58"/>
      <c r="N42" s="58">
        <f>E43</f>
        <v>30</v>
      </c>
      <c r="O42" s="59">
        <f>E58</f>
        <v>3928.5714285714284</v>
      </c>
      <c r="P42" s="59">
        <f>E60</f>
        <v>23.28125</v>
      </c>
      <c r="Q42" s="59">
        <f>E61</f>
        <v>0</v>
      </c>
      <c r="R42" s="58"/>
      <c r="S42" s="58"/>
      <c r="T42" s="58"/>
      <c r="U42" s="58"/>
      <c r="V42" s="58"/>
      <c r="W42" s="58"/>
      <c r="X42" s="58"/>
    </row>
    <row r="43" spans="2:24" ht="15" thickBot="1">
      <c r="B43" s="1" t="s">
        <v>11</v>
      </c>
      <c r="C43" s="2">
        <v>20</v>
      </c>
      <c r="D43" s="2">
        <v>25</v>
      </c>
      <c r="E43" s="2">
        <v>30</v>
      </c>
      <c r="F43" s="2">
        <v>30</v>
      </c>
      <c r="G43" s="2" t="s">
        <v>16</v>
      </c>
      <c r="H43" s="2"/>
      <c r="J43" s="58">
        <f>F36</f>
        <v>2050</v>
      </c>
      <c r="K43" s="58"/>
      <c r="L43" s="58">
        <f>F42/100</f>
        <v>1</v>
      </c>
      <c r="M43" s="58"/>
      <c r="N43" s="58">
        <f>F43</f>
        <v>30</v>
      </c>
      <c r="O43" s="59">
        <f>F58</f>
        <v>3571.428571428572</v>
      </c>
      <c r="P43" s="59">
        <f>F60</f>
        <v>21.498571428571431</v>
      </c>
      <c r="Q43" s="59">
        <f>F61</f>
        <v>0</v>
      </c>
      <c r="R43" s="58"/>
      <c r="S43" s="58"/>
      <c r="T43" s="58"/>
      <c r="U43" s="58"/>
      <c r="V43" s="58"/>
      <c r="W43" s="58"/>
      <c r="X43" s="58"/>
    </row>
    <row r="44" spans="2:24" ht="15" thickBot="1">
      <c r="B44" s="127" t="s">
        <v>12</v>
      </c>
      <c r="C44" s="128"/>
      <c r="D44" s="128"/>
      <c r="E44" s="128"/>
      <c r="F44" s="128"/>
      <c r="G44" s="128"/>
      <c r="H44" s="129"/>
      <c r="I44" s="224"/>
      <c r="J44" s="224"/>
      <c r="K44" s="224"/>
      <c r="L44" s="224"/>
      <c r="M44" s="224"/>
      <c r="N44" s="224"/>
      <c r="O44" s="224"/>
      <c r="P44" s="224"/>
      <c r="Q44" s="224"/>
      <c r="R44" s="224"/>
      <c r="S44" s="224"/>
      <c r="T44" s="224"/>
      <c r="U44" s="224"/>
      <c r="V44" s="224"/>
      <c r="W44" s="224"/>
      <c r="X44" s="224"/>
    </row>
    <row r="45" spans="2:24" ht="15.6" thickBot="1">
      <c r="B45" s="125" t="s">
        <v>13</v>
      </c>
      <c r="C45" s="306">
        <v>0</v>
      </c>
      <c r="D45" s="306">
        <v>0</v>
      </c>
      <c r="E45" s="306">
        <v>0</v>
      </c>
      <c r="F45" s="306">
        <v>0</v>
      </c>
      <c r="G45" s="306" t="s">
        <v>33</v>
      </c>
      <c r="H45" s="306"/>
      <c r="I45" s="224"/>
      <c r="J45" s="224"/>
      <c r="K45" s="224"/>
      <c r="L45" s="224"/>
      <c r="M45" s="224"/>
      <c r="N45" s="224"/>
      <c r="O45" s="224"/>
      <c r="P45" s="224"/>
      <c r="Q45" s="224"/>
      <c r="R45" s="224"/>
      <c r="S45" s="224"/>
      <c r="T45" s="224"/>
      <c r="U45" s="224"/>
      <c r="V45" s="224"/>
      <c r="W45" s="224"/>
      <c r="X45" s="224"/>
    </row>
    <row r="46" spans="2:24" ht="15.6" thickBot="1">
      <c r="B46" s="125" t="s">
        <v>15</v>
      </c>
      <c r="C46" s="306">
        <v>0</v>
      </c>
      <c r="D46" s="306">
        <v>0</v>
      </c>
      <c r="E46" s="306">
        <v>0</v>
      </c>
      <c r="F46" s="306">
        <v>0</v>
      </c>
      <c r="G46" s="306"/>
      <c r="H46" s="306"/>
      <c r="I46" s="224"/>
      <c r="J46" s="224"/>
      <c r="K46" s="224"/>
      <c r="L46" s="224"/>
      <c r="M46" s="224"/>
      <c r="N46" s="224"/>
      <c r="O46" s="224"/>
      <c r="P46" s="224"/>
      <c r="Q46" s="224"/>
      <c r="R46" s="224"/>
      <c r="S46" s="224"/>
      <c r="T46" s="224"/>
      <c r="U46" s="224"/>
      <c r="V46" s="224"/>
      <c r="W46" s="224"/>
      <c r="X46" s="224"/>
    </row>
    <row r="47" spans="2:24" ht="15.6" thickBot="1">
      <c r="B47" s="125" t="s">
        <v>17</v>
      </c>
      <c r="C47" s="306">
        <v>0</v>
      </c>
      <c r="D47" s="306">
        <v>0</v>
      </c>
      <c r="E47" s="306">
        <v>0</v>
      </c>
      <c r="F47" s="306">
        <v>0</v>
      </c>
      <c r="G47" s="306"/>
      <c r="H47" s="306"/>
      <c r="I47" s="224"/>
      <c r="J47" s="224"/>
      <c r="K47" s="224"/>
      <c r="L47" s="224"/>
      <c r="M47" s="224"/>
      <c r="N47" s="224"/>
      <c r="O47" s="224"/>
      <c r="P47" s="224"/>
      <c r="Q47" s="224"/>
      <c r="R47" s="224"/>
      <c r="S47" s="224"/>
      <c r="T47" s="224"/>
      <c r="U47" s="224"/>
      <c r="V47" s="224"/>
      <c r="W47" s="224"/>
      <c r="X47" s="224"/>
    </row>
    <row r="48" spans="2:24" ht="16.2" thickTop="1" thickBot="1">
      <c r="B48" s="125" t="s">
        <v>18</v>
      </c>
      <c r="C48" s="306">
        <v>0</v>
      </c>
      <c r="D48" s="306">
        <v>0</v>
      </c>
      <c r="E48" s="306">
        <v>0</v>
      </c>
      <c r="F48" s="306">
        <v>0</v>
      </c>
      <c r="G48" s="306"/>
      <c r="H48" s="306"/>
      <c r="I48" s="224"/>
      <c r="J48" s="308">
        <v>95</v>
      </c>
      <c r="K48" s="309" t="s">
        <v>637</v>
      </c>
      <c r="L48" s="310" t="s">
        <v>638</v>
      </c>
      <c r="M48" s="310"/>
      <c r="N48" s="310"/>
      <c r="O48" s="311"/>
      <c r="P48" s="224"/>
      <c r="Q48" s="308">
        <v>95</v>
      </c>
      <c r="R48" s="309" t="s">
        <v>637</v>
      </c>
      <c r="S48" s="310" t="s">
        <v>638</v>
      </c>
      <c r="T48" s="310"/>
      <c r="U48" s="310"/>
      <c r="V48" s="311"/>
      <c r="W48" s="224"/>
      <c r="X48" s="224"/>
    </row>
    <row r="49" spans="1:22" ht="15" thickBot="1">
      <c r="B49" s="125" t="s">
        <v>19</v>
      </c>
      <c r="C49" s="306">
        <v>0</v>
      </c>
      <c r="D49" s="306">
        <v>0</v>
      </c>
      <c r="E49" s="306">
        <v>0</v>
      </c>
      <c r="F49" s="306">
        <v>0</v>
      </c>
      <c r="G49" s="306"/>
      <c r="H49" s="306"/>
      <c r="I49" s="224"/>
      <c r="J49" s="312">
        <v>0.1</v>
      </c>
      <c r="K49" s="272" t="s">
        <v>639</v>
      </c>
      <c r="L49" s="55"/>
      <c r="M49" s="55"/>
      <c r="N49" s="55"/>
      <c r="O49" s="313"/>
      <c r="Q49" s="312">
        <v>0.12</v>
      </c>
      <c r="R49" s="272" t="s">
        <v>639</v>
      </c>
      <c r="S49" s="55"/>
      <c r="T49" s="55"/>
      <c r="U49" s="55"/>
      <c r="V49" s="313"/>
    </row>
    <row r="50" spans="1:22" ht="15" thickBot="1">
      <c r="B50" s="127" t="s">
        <v>22</v>
      </c>
      <c r="C50" s="128"/>
      <c r="D50" s="128"/>
      <c r="E50" s="128"/>
      <c r="F50" s="128"/>
      <c r="G50" s="128"/>
      <c r="H50" s="129"/>
      <c r="I50" s="224"/>
      <c r="J50" s="314">
        <v>25</v>
      </c>
      <c r="K50" s="272" t="s">
        <v>637</v>
      </c>
      <c r="L50" s="55" t="s">
        <v>640</v>
      </c>
      <c r="M50" s="55"/>
      <c r="N50" s="55"/>
      <c r="O50" s="313"/>
      <c r="Q50" s="314">
        <v>25</v>
      </c>
      <c r="R50" s="272" t="s">
        <v>637</v>
      </c>
      <c r="S50" s="55" t="s">
        <v>640</v>
      </c>
      <c r="T50" s="55"/>
      <c r="U50" s="55"/>
      <c r="V50" s="313"/>
    </row>
    <row r="51" spans="1:22" ht="15" thickBot="1">
      <c r="A51" s="64"/>
      <c r="B51" s="125" t="s">
        <v>127</v>
      </c>
      <c r="C51" s="306">
        <v>0.5</v>
      </c>
      <c r="D51" s="306">
        <v>0.5</v>
      </c>
      <c r="E51" s="306">
        <v>0.5</v>
      </c>
      <c r="F51" s="306">
        <v>0.5</v>
      </c>
      <c r="G51" s="306" t="s">
        <v>20</v>
      </c>
      <c r="H51" s="306"/>
      <c r="I51" s="224"/>
      <c r="J51" s="312">
        <v>0.65</v>
      </c>
      <c r="K51" s="315" t="s">
        <v>641</v>
      </c>
      <c r="L51" s="55"/>
      <c r="M51" s="55"/>
      <c r="N51" s="55"/>
      <c r="O51" s="313"/>
      <c r="Q51" s="312">
        <v>0.7</v>
      </c>
      <c r="R51" s="315" t="s">
        <v>641</v>
      </c>
      <c r="S51" s="55"/>
      <c r="T51" s="55"/>
      <c r="U51" s="55"/>
      <c r="V51" s="313"/>
    </row>
    <row r="52" spans="1:22">
      <c r="A52" s="36"/>
      <c r="B52" s="130" t="s">
        <v>24</v>
      </c>
      <c r="C52" s="896">
        <v>85.90604026845638</v>
      </c>
      <c r="D52" s="896">
        <v>80.53691275167786</v>
      </c>
      <c r="E52" s="896">
        <v>73.825503355704697</v>
      </c>
      <c r="F52" s="896">
        <v>67.114093959731548</v>
      </c>
      <c r="G52" s="131"/>
      <c r="H52" s="131"/>
      <c r="I52" s="224"/>
      <c r="J52" s="314">
        <f>J48*J49+J50*J51</f>
        <v>25.75</v>
      </c>
      <c r="K52" s="315" t="s">
        <v>637</v>
      </c>
      <c r="L52" s="55" t="s">
        <v>642</v>
      </c>
      <c r="M52" s="55"/>
      <c r="N52" s="55"/>
      <c r="O52" s="313"/>
      <c r="Q52" s="314">
        <f>Q48*Q49+Q50*Q51</f>
        <v>28.9</v>
      </c>
      <c r="R52" s="315" t="s">
        <v>637</v>
      </c>
      <c r="S52" s="55" t="s">
        <v>642</v>
      </c>
      <c r="T52" s="55"/>
      <c r="U52" s="55"/>
      <c r="V52" s="313"/>
    </row>
    <row r="53" spans="1:22">
      <c r="A53" s="36"/>
      <c r="B53" s="130" t="s">
        <v>26</v>
      </c>
      <c r="C53" s="896">
        <v>65</v>
      </c>
      <c r="D53" s="896">
        <v>65</v>
      </c>
      <c r="E53" s="896">
        <v>65</v>
      </c>
      <c r="F53" s="896">
        <v>65</v>
      </c>
      <c r="G53" s="131"/>
      <c r="H53" s="131" t="s">
        <v>129</v>
      </c>
      <c r="I53" s="224"/>
      <c r="J53" s="316">
        <v>1500</v>
      </c>
      <c r="K53" s="315" t="s">
        <v>643</v>
      </c>
      <c r="L53" s="55" t="s">
        <v>645</v>
      </c>
      <c r="M53" s="55"/>
      <c r="N53" s="313"/>
      <c r="O53" s="313"/>
      <c r="Q53" s="316">
        <v>1500</v>
      </c>
      <c r="R53" s="315" t="s">
        <v>643</v>
      </c>
      <c r="S53" s="55" t="s">
        <v>645</v>
      </c>
      <c r="T53" s="55"/>
      <c r="U53" s="313"/>
      <c r="V53" s="313"/>
    </row>
    <row r="54" spans="1:22" ht="15" thickBot="1">
      <c r="A54" s="36"/>
      <c r="B54" s="125" t="s">
        <v>28</v>
      </c>
      <c r="C54" s="897">
        <v>35</v>
      </c>
      <c r="D54" s="897">
        <v>35</v>
      </c>
      <c r="E54" s="897">
        <v>35</v>
      </c>
      <c r="F54" s="897">
        <v>35</v>
      </c>
      <c r="G54" s="306"/>
      <c r="H54" s="306">
        <v>8</v>
      </c>
      <c r="I54" s="224"/>
      <c r="J54" s="317">
        <f>J52*J53</f>
        <v>38625</v>
      </c>
      <c r="K54" s="318" t="s">
        <v>360</v>
      </c>
      <c r="L54" s="55" t="s">
        <v>642</v>
      </c>
      <c r="M54" s="55"/>
      <c r="N54" s="313"/>
      <c r="O54" s="313"/>
      <c r="Q54" s="317">
        <f>Q52*Q53</f>
        <v>43350</v>
      </c>
      <c r="R54" s="318" t="s">
        <v>360</v>
      </c>
      <c r="S54" s="55" t="s">
        <v>642</v>
      </c>
      <c r="T54" s="55"/>
      <c r="U54" s="313"/>
      <c r="V54" s="313"/>
    </row>
    <row r="55" spans="1:22" ht="24.6" thickBot="1">
      <c r="A55" s="36"/>
      <c r="B55" s="125" t="s">
        <v>30</v>
      </c>
      <c r="C55" s="897">
        <v>0</v>
      </c>
      <c r="D55" s="897">
        <v>0</v>
      </c>
      <c r="E55" s="897">
        <v>0</v>
      </c>
      <c r="F55" s="897">
        <v>0</v>
      </c>
      <c r="G55" s="306"/>
      <c r="H55" s="306"/>
      <c r="I55" s="224"/>
      <c r="J55" s="319">
        <f>J54*3.6/1000</f>
        <v>139.05000000000001</v>
      </c>
      <c r="K55" s="320" t="s">
        <v>361</v>
      </c>
      <c r="L55" s="321" t="s">
        <v>642</v>
      </c>
      <c r="M55" s="321"/>
      <c r="N55" s="322"/>
      <c r="O55" s="322"/>
      <c r="Q55" s="319">
        <f>Q54*3.6/1000</f>
        <v>156.06</v>
      </c>
      <c r="R55" s="320" t="s">
        <v>361</v>
      </c>
      <c r="S55" s="321" t="s">
        <v>642</v>
      </c>
      <c r="T55" s="321"/>
      <c r="U55" s="322"/>
      <c r="V55" s="322"/>
    </row>
    <row r="56" spans="1:22" ht="15" thickBot="1">
      <c r="A56" s="36"/>
      <c r="B56" s="125" t="s">
        <v>64</v>
      </c>
      <c r="C56" s="897">
        <v>389</v>
      </c>
      <c r="D56" s="897">
        <v>388.249750624375</v>
      </c>
      <c r="E56" s="897">
        <v>437.5</v>
      </c>
      <c r="F56" s="897">
        <v>404</v>
      </c>
      <c r="G56" s="306" t="s">
        <v>76</v>
      </c>
      <c r="H56" s="306"/>
      <c r="I56" s="224"/>
      <c r="J56" s="224"/>
      <c r="K56" s="224"/>
      <c r="L56" s="224"/>
      <c r="M56" s="224"/>
      <c r="N56" s="224"/>
      <c r="O56" s="224"/>
    </row>
    <row r="57" spans="1:22">
      <c r="A57" s="36"/>
      <c r="B57" s="130" t="s">
        <v>130</v>
      </c>
      <c r="C57" s="131">
        <v>0</v>
      </c>
      <c r="D57" s="131">
        <v>0</v>
      </c>
      <c r="E57" s="131">
        <v>0</v>
      </c>
      <c r="F57" s="131">
        <v>0</v>
      </c>
      <c r="G57" s="131" t="s">
        <v>25</v>
      </c>
      <c r="H57" s="131"/>
      <c r="I57" s="224"/>
      <c r="J57" s="224"/>
      <c r="K57" s="224"/>
      <c r="L57" s="224"/>
      <c r="M57" s="224"/>
      <c r="N57" s="224"/>
      <c r="O57" s="224"/>
    </row>
    <row r="58" spans="1:22">
      <c r="B58" s="323" t="s">
        <v>353</v>
      </c>
      <c r="C58" s="324">
        <f>C59/C39</f>
        <v>4571.4285714285716</v>
      </c>
      <c r="D58" s="324">
        <f>D59/D39</f>
        <v>4285.7142857142862</v>
      </c>
      <c r="E58" s="324">
        <f>E59/E39</f>
        <v>3928.5714285714284</v>
      </c>
      <c r="F58" s="324">
        <f>F59/F39</f>
        <v>3571.428571428572</v>
      </c>
      <c r="G58" s="325" t="s">
        <v>332</v>
      </c>
      <c r="H58" s="326"/>
      <c r="I58" s="224"/>
      <c r="J58" s="224"/>
      <c r="K58" s="224"/>
      <c r="L58" s="224"/>
      <c r="M58" s="224"/>
      <c r="N58" s="224"/>
      <c r="O58" s="224"/>
    </row>
    <row r="59" spans="1:22">
      <c r="B59" s="327" t="s">
        <v>354</v>
      </c>
      <c r="C59" s="60">
        <f>C52*$F$4*1000</f>
        <v>640000</v>
      </c>
      <c r="D59" s="60">
        <f t="shared" ref="D59:F59" si="2">D52*$F$4*1000</f>
        <v>600000.00000000012</v>
      </c>
      <c r="E59" s="60">
        <f t="shared" si="2"/>
        <v>550000</v>
      </c>
      <c r="F59" s="60">
        <f t="shared" si="2"/>
        <v>500000.00000000006</v>
      </c>
      <c r="G59" s="70">
        <f>C39</f>
        <v>140</v>
      </c>
      <c r="H59" s="328" t="s">
        <v>330</v>
      </c>
      <c r="I59" s="224"/>
      <c r="J59" s="224"/>
      <c r="K59" s="224"/>
      <c r="L59" s="224"/>
      <c r="M59" s="224"/>
      <c r="N59" s="224"/>
      <c r="O59" s="224"/>
    </row>
    <row r="60" spans="1:22">
      <c r="B60" s="327" t="s">
        <v>355</v>
      </c>
      <c r="C60" s="60">
        <f>C56*$F$4/C39</f>
        <v>20.700357142857143</v>
      </c>
      <c r="D60" s="60">
        <f>D56*$F$4/D39</f>
        <v>20.660433158225668</v>
      </c>
      <c r="E60" s="60">
        <f>E56*$F$4/E39</f>
        <v>23.28125</v>
      </c>
      <c r="F60" s="60">
        <f>F56*$F$4/F39</f>
        <v>21.498571428571431</v>
      </c>
      <c r="G60" s="69" t="s">
        <v>331</v>
      </c>
      <c r="H60" s="328"/>
      <c r="I60" s="224"/>
      <c r="J60" s="224"/>
      <c r="K60" s="224"/>
      <c r="L60" s="224"/>
      <c r="M60" s="224"/>
      <c r="N60" s="224"/>
      <c r="O60" s="224"/>
    </row>
    <row r="61" spans="1:22" ht="15" thickBot="1">
      <c r="B61" s="329" t="s">
        <v>356</v>
      </c>
      <c r="C61" s="330">
        <f>C57*$F$4/($J$55)</f>
        <v>0</v>
      </c>
      <c r="D61" s="330">
        <f t="shared" ref="D61" si="3">D57*$F$4/($J$55)</f>
        <v>0</v>
      </c>
      <c r="E61" s="330">
        <f>E57*$F$4/$Q$55</f>
        <v>0</v>
      </c>
      <c r="F61" s="330">
        <f>F57*$F$4/$Q$55</f>
        <v>0</v>
      </c>
      <c r="G61" s="331" t="s">
        <v>423</v>
      </c>
      <c r="H61" s="332"/>
      <c r="I61" s="224"/>
      <c r="J61" s="224"/>
      <c r="K61" s="224"/>
      <c r="L61" s="224"/>
      <c r="M61" s="224"/>
      <c r="N61" s="224"/>
      <c r="O61" s="224"/>
    </row>
    <row r="62" spans="1:22" ht="15.75" customHeight="1">
      <c r="B62" s="1265" t="s">
        <v>0</v>
      </c>
      <c r="C62" s="1267" t="s">
        <v>123</v>
      </c>
      <c r="D62" s="1267"/>
      <c r="E62" s="1267"/>
      <c r="F62" s="1267"/>
      <c r="G62" s="1267"/>
      <c r="H62" s="1144"/>
      <c r="I62" s="224"/>
      <c r="J62" s="1259" t="str">
        <f>C62</f>
        <v>Solar heating system</v>
      </c>
      <c r="K62" s="1260"/>
      <c r="L62" s="1260"/>
      <c r="M62" s="1260"/>
      <c r="N62" s="1260"/>
      <c r="O62" s="1261"/>
    </row>
    <row r="63" spans="1:22" ht="15.75" customHeight="1" thickBot="1">
      <c r="B63" s="1266"/>
      <c r="C63" s="1135" t="s">
        <v>34</v>
      </c>
      <c r="D63" s="1135"/>
      <c r="E63" s="1135"/>
      <c r="F63" s="1135"/>
      <c r="G63" s="1135"/>
      <c r="H63" s="1136"/>
      <c r="I63" s="224"/>
      <c r="J63" s="1134" t="str">
        <f>C63</f>
        <v>One-family house, new building</v>
      </c>
      <c r="K63" s="1135"/>
      <c r="L63" s="1135"/>
      <c r="M63" s="1135"/>
      <c r="N63" s="1135"/>
      <c r="O63" s="1136"/>
    </row>
    <row r="64" spans="1:22" ht="15.75" customHeight="1" thickBot="1">
      <c r="B64" s="125"/>
      <c r="C64" s="306">
        <v>2015</v>
      </c>
      <c r="D64" s="306">
        <v>2020</v>
      </c>
      <c r="E64" s="306">
        <v>2030</v>
      </c>
      <c r="F64" s="306">
        <v>2050</v>
      </c>
      <c r="G64" s="306" t="s">
        <v>2</v>
      </c>
      <c r="H64" s="306" t="s">
        <v>3</v>
      </c>
      <c r="I64" s="224"/>
      <c r="J64" s="53" t="s">
        <v>357</v>
      </c>
      <c r="K64" s="224"/>
      <c r="L64" s="224"/>
      <c r="M64" s="224"/>
      <c r="N64" s="224"/>
      <c r="O64" s="224"/>
    </row>
    <row r="65" spans="1:24" ht="28.2" thickBot="1">
      <c r="B65" s="127" t="s">
        <v>4</v>
      </c>
      <c r="C65" s="128"/>
      <c r="D65" s="128"/>
      <c r="E65" s="128"/>
      <c r="F65" s="128"/>
      <c r="G65" s="128"/>
      <c r="H65" s="129"/>
      <c r="I65" s="224"/>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1:24" ht="15" thickBot="1">
      <c r="B66" s="1" t="s">
        <v>124</v>
      </c>
      <c r="C66" s="2">
        <v>6</v>
      </c>
      <c r="D66" s="2">
        <v>6</v>
      </c>
      <c r="E66" s="2">
        <v>6</v>
      </c>
      <c r="F66" s="2">
        <v>6</v>
      </c>
      <c r="G66" s="2" t="s">
        <v>6</v>
      </c>
      <c r="H66" s="2">
        <v>1</v>
      </c>
      <c r="J66" s="50"/>
      <c r="K66" s="50"/>
      <c r="L66" s="51"/>
      <c r="M66" s="51"/>
      <c r="N66" s="51"/>
      <c r="O66" s="52"/>
      <c r="P66" s="50"/>
      <c r="Q66" s="50"/>
      <c r="R66" s="50"/>
      <c r="S66" s="50"/>
      <c r="T66" s="50"/>
      <c r="U66" s="50"/>
      <c r="V66" s="50"/>
      <c r="W66" s="50"/>
      <c r="X66" s="50"/>
    </row>
    <row r="67" spans="1:24" ht="15" thickBot="1">
      <c r="B67" s="1" t="s">
        <v>125</v>
      </c>
      <c r="C67" s="2">
        <v>4.2</v>
      </c>
      <c r="D67" s="2">
        <v>4.2</v>
      </c>
      <c r="E67" s="2">
        <v>4.2</v>
      </c>
      <c r="F67" s="2">
        <v>4.2</v>
      </c>
      <c r="G67" s="2" t="s">
        <v>6</v>
      </c>
      <c r="H67" s="2"/>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1:24" ht="24.6" thickBot="1">
      <c r="B68" s="1" t="s">
        <v>7</v>
      </c>
      <c r="C68" s="2">
        <v>40</v>
      </c>
      <c r="D68" s="2">
        <v>40</v>
      </c>
      <c r="E68" s="2">
        <v>50</v>
      </c>
      <c r="F68" s="2">
        <v>60</v>
      </c>
      <c r="G68" s="2" t="s">
        <v>59</v>
      </c>
      <c r="H68" s="2" t="s">
        <v>126</v>
      </c>
      <c r="J68" s="58">
        <f>C64</f>
        <v>2015</v>
      </c>
      <c r="K68" s="58">
        <f>J68</f>
        <v>2015</v>
      </c>
      <c r="L68" s="58">
        <f>C70/100</f>
        <v>1</v>
      </c>
      <c r="M68" s="58"/>
      <c r="N68" s="58">
        <f>C71</f>
        <v>20</v>
      </c>
      <c r="O68" s="59">
        <f>C86</f>
        <v>5066.0000000000009</v>
      </c>
      <c r="P68" s="59">
        <f>C88</f>
        <v>517.40250000000003</v>
      </c>
      <c r="Q68" s="59">
        <f>C89</f>
        <v>0</v>
      </c>
      <c r="R68" s="58"/>
      <c r="S68" s="58"/>
      <c r="T68" s="58"/>
      <c r="U68" s="58"/>
      <c r="V68" s="58"/>
      <c r="W68" s="58"/>
      <c r="X68" s="58"/>
    </row>
    <row r="69" spans="1:24" ht="24.6" thickBot="1">
      <c r="B69" s="1" t="s">
        <v>8</v>
      </c>
      <c r="C69" s="2">
        <v>65</v>
      </c>
      <c r="D69" s="2">
        <v>65</v>
      </c>
      <c r="E69" s="2">
        <v>70</v>
      </c>
      <c r="F69" s="2">
        <v>70</v>
      </c>
      <c r="G69" s="2"/>
      <c r="H69" s="2"/>
      <c r="J69" s="58">
        <f>D64</f>
        <v>2020</v>
      </c>
      <c r="K69" s="58"/>
      <c r="L69" s="58">
        <f>D70/100</f>
        <v>1</v>
      </c>
      <c r="M69" s="58"/>
      <c r="N69" s="58">
        <f>D71</f>
        <v>25</v>
      </c>
      <c r="O69" s="59">
        <f>D86</f>
        <v>4768</v>
      </c>
      <c r="P69" s="59">
        <f>D88</f>
        <v>507.90319264547821</v>
      </c>
      <c r="Q69" s="59">
        <f>D89</f>
        <v>0</v>
      </c>
      <c r="R69" s="58"/>
      <c r="S69" s="58"/>
      <c r="T69" s="58"/>
      <c r="U69" s="58"/>
      <c r="V69" s="58"/>
      <c r="W69" s="58"/>
      <c r="X69" s="58"/>
    </row>
    <row r="70" spans="1:24" ht="15" thickBot="1">
      <c r="B70" s="1" t="s">
        <v>9</v>
      </c>
      <c r="C70" s="35">
        <v>100</v>
      </c>
      <c r="D70" s="35">
        <v>100</v>
      </c>
      <c r="E70" s="35">
        <v>100</v>
      </c>
      <c r="F70" s="35">
        <v>100</v>
      </c>
      <c r="G70" s="2"/>
      <c r="H70" s="2"/>
      <c r="J70" s="58">
        <f>E64</f>
        <v>2030</v>
      </c>
      <c r="K70" s="58"/>
      <c r="L70" s="58">
        <f>E70/100</f>
        <v>1</v>
      </c>
      <c r="M70" s="58"/>
      <c r="N70" s="58">
        <f>E71</f>
        <v>30</v>
      </c>
      <c r="O70" s="59">
        <f>E86</f>
        <v>4470</v>
      </c>
      <c r="P70" s="59">
        <f>E88</f>
        <v>512.44182906179265</v>
      </c>
      <c r="Q70" s="59">
        <f>E89</f>
        <v>0</v>
      </c>
      <c r="R70" s="58"/>
      <c r="S70" s="58"/>
      <c r="T70" s="58"/>
      <c r="U70" s="58"/>
      <c r="V70" s="58"/>
      <c r="W70" s="58"/>
      <c r="X70" s="58"/>
    </row>
    <row r="71" spans="1:24" ht="15" thickBot="1">
      <c r="B71" s="1" t="s">
        <v>11</v>
      </c>
      <c r="C71" s="2">
        <v>20</v>
      </c>
      <c r="D71" s="2">
        <v>25</v>
      </c>
      <c r="E71" s="2">
        <v>30</v>
      </c>
      <c r="F71" s="2">
        <v>30</v>
      </c>
      <c r="G71" s="2" t="s">
        <v>16</v>
      </c>
      <c r="H71" s="2">
        <v>1</v>
      </c>
      <c r="J71" s="58">
        <f>F64</f>
        <v>2050</v>
      </c>
      <c r="K71" s="58"/>
      <c r="L71" s="58">
        <f>F70/100</f>
        <v>1</v>
      </c>
      <c r="M71" s="58"/>
      <c r="N71" s="58">
        <f>F71</f>
        <v>30</v>
      </c>
      <c r="O71" s="59">
        <f>F86</f>
        <v>3352.5</v>
      </c>
      <c r="P71" s="59">
        <f>F88</f>
        <v>470.95410883564915</v>
      </c>
      <c r="Q71" s="59">
        <f>F89</f>
        <v>0</v>
      </c>
      <c r="R71" s="58"/>
      <c r="S71" s="58"/>
      <c r="T71" s="58"/>
      <c r="U71" s="58"/>
      <c r="V71" s="58"/>
      <c r="W71" s="58"/>
      <c r="X71" s="58"/>
    </row>
    <row r="72" spans="1:24" ht="15" thickBot="1">
      <c r="B72" s="3" t="s">
        <v>12</v>
      </c>
      <c r="C72" s="4"/>
      <c r="D72" s="4"/>
      <c r="E72" s="4"/>
      <c r="F72" s="4"/>
      <c r="G72" s="4"/>
      <c r="H72" s="5"/>
    </row>
    <row r="73" spans="1:24" ht="15.6" thickBot="1">
      <c r="B73" s="1" t="s">
        <v>13</v>
      </c>
      <c r="C73" s="2">
        <v>0</v>
      </c>
      <c r="D73" s="2">
        <v>0</v>
      </c>
      <c r="E73" s="2">
        <v>0</v>
      </c>
      <c r="F73" s="2">
        <v>0</v>
      </c>
      <c r="G73" s="2" t="s">
        <v>33</v>
      </c>
      <c r="H73" s="2"/>
    </row>
    <row r="74" spans="1:24" ht="15.6" thickBot="1">
      <c r="B74" s="1" t="s">
        <v>15</v>
      </c>
      <c r="C74" s="2">
        <v>0</v>
      </c>
      <c r="D74" s="2">
        <v>0</v>
      </c>
      <c r="E74" s="2">
        <v>0</v>
      </c>
      <c r="F74" s="2">
        <v>0</v>
      </c>
      <c r="G74" s="2"/>
      <c r="H74" s="2"/>
    </row>
    <row r="75" spans="1:24" ht="15.6" thickBot="1">
      <c r="B75" s="1" t="s">
        <v>17</v>
      </c>
      <c r="C75" s="2">
        <v>0</v>
      </c>
      <c r="D75" s="2">
        <v>0</v>
      </c>
      <c r="E75" s="2">
        <v>0</v>
      </c>
      <c r="F75" s="2">
        <v>0</v>
      </c>
      <c r="G75" s="2"/>
      <c r="H75" s="2"/>
      <c r="O75" s="1106"/>
    </row>
    <row r="76" spans="1:24" ht="15.6" thickBot="1">
      <c r="B76" s="1" t="s">
        <v>18</v>
      </c>
      <c r="C76" s="2">
        <v>0</v>
      </c>
      <c r="D76" s="2">
        <v>0</v>
      </c>
      <c r="E76" s="2">
        <v>0</v>
      </c>
      <c r="F76" s="2">
        <v>0</v>
      </c>
      <c r="G76" s="2"/>
      <c r="H76" s="2"/>
    </row>
    <row r="77" spans="1:24" ht="15" thickBot="1">
      <c r="B77" s="1" t="s">
        <v>19</v>
      </c>
      <c r="C77" s="2">
        <v>0</v>
      </c>
      <c r="D77" s="2">
        <v>0</v>
      </c>
      <c r="E77" s="2">
        <v>0</v>
      </c>
      <c r="F77" s="2">
        <v>0</v>
      </c>
      <c r="G77" s="2"/>
      <c r="H77" s="2"/>
    </row>
    <row r="78" spans="1:24" ht="15" thickBot="1">
      <c r="B78" s="3" t="s">
        <v>22</v>
      </c>
      <c r="C78" s="4"/>
      <c r="D78" s="4"/>
      <c r="E78" s="4"/>
      <c r="F78" s="4"/>
      <c r="G78" s="4"/>
      <c r="H78" s="5"/>
    </row>
    <row r="79" spans="1:24" ht="15" thickBot="1">
      <c r="B79" s="1" t="s">
        <v>127</v>
      </c>
      <c r="C79" s="2">
        <v>0.68</v>
      </c>
      <c r="D79" s="2">
        <v>0.64</v>
      </c>
      <c r="E79" s="2">
        <v>0.6</v>
      </c>
      <c r="F79" s="2">
        <v>0.45</v>
      </c>
      <c r="G79" s="2" t="s">
        <v>20</v>
      </c>
      <c r="H79" s="2" t="s">
        <v>128</v>
      </c>
    </row>
    <row r="80" spans="1:24">
      <c r="A80" s="36"/>
      <c r="B80" s="6" t="s">
        <v>24</v>
      </c>
      <c r="C80" s="896">
        <v>2.6845637583892619</v>
      </c>
      <c r="D80" s="896">
        <v>2.4161073825503352</v>
      </c>
      <c r="E80" s="896">
        <v>2.1476510067114094</v>
      </c>
      <c r="F80" s="896">
        <v>1.8791946308724832</v>
      </c>
      <c r="G80" s="7"/>
      <c r="H80" s="7" t="s">
        <v>128</v>
      </c>
    </row>
    <row r="81" spans="1:24">
      <c r="A81" s="36"/>
      <c r="B81" s="6" t="s">
        <v>26</v>
      </c>
      <c r="C81" s="898">
        <v>65</v>
      </c>
      <c r="D81" s="898">
        <v>65</v>
      </c>
      <c r="E81" s="898">
        <v>65</v>
      </c>
      <c r="F81" s="898">
        <v>65</v>
      </c>
      <c r="G81" s="7"/>
      <c r="H81" s="7" t="s">
        <v>129</v>
      </c>
    </row>
    <row r="82" spans="1:24" ht="15" thickBot="1">
      <c r="A82" s="36"/>
      <c r="B82" s="1" t="s">
        <v>28</v>
      </c>
      <c r="C82" s="899">
        <v>35</v>
      </c>
      <c r="D82" s="899">
        <v>35</v>
      </c>
      <c r="E82" s="899">
        <v>35</v>
      </c>
      <c r="F82" s="899">
        <v>35</v>
      </c>
      <c r="G82" s="2"/>
      <c r="H82" s="2">
        <v>8</v>
      </c>
    </row>
    <row r="83" spans="1:24" ht="24.6" thickBot="1">
      <c r="A83" s="36"/>
      <c r="B83" s="1" t="s">
        <v>30</v>
      </c>
      <c r="C83" s="899">
        <v>0</v>
      </c>
      <c r="D83" s="899">
        <v>0</v>
      </c>
      <c r="E83" s="899">
        <v>0</v>
      </c>
      <c r="F83" s="899">
        <v>0</v>
      </c>
      <c r="G83" s="2"/>
      <c r="H83" s="2"/>
    </row>
    <row r="84" spans="1:24" ht="15" thickBot="1">
      <c r="A84" s="36"/>
      <c r="B84" s="1" t="s">
        <v>64</v>
      </c>
      <c r="C84" s="899">
        <v>69.45</v>
      </c>
      <c r="D84" s="899">
        <v>68.17492518731251</v>
      </c>
      <c r="E84" s="899">
        <v>68.784138129099688</v>
      </c>
      <c r="F84" s="899">
        <v>63.215316622234781</v>
      </c>
      <c r="G84" s="2" t="s">
        <v>76</v>
      </c>
      <c r="H84" s="2"/>
    </row>
    <row r="85" spans="1:24" ht="15" thickBot="1">
      <c r="A85" s="36"/>
      <c r="B85" s="1" t="s">
        <v>130</v>
      </c>
      <c r="C85" s="2">
        <v>0</v>
      </c>
      <c r="D85" s="2">
        <v>0</v>
      </c>
      <c r="E85" s="2">
        <v>0</v>
      </c>
      <c r="F85" s="2">
        <v>0</v>
      </c>
      <c r="G85" s="2" t="s">
        <v>25</v>
      </c>
      <c r="H85" s="2"/>
    </row>
    <row r="86" spans="1:24">
      <c r="B86" s="36" t="s">
        <v>353</v>
      </c>
      <c r="C86" s="60">
        <f>C79*$F$4*1000</f>
        <v>5066.0000000000009</v>
      </c>
      <c r="D86" s="60">
        <f t="shared" ref="D86:F87" si="4">D79*$F$4*1000</f>
        <v>4768</v>
      </c>
      <c r="E86" s="60">
        <f t="shared" si="4"/>
        <v>4470</v>
      </c>
      <c r="F86" s="60">
        <f t="shared" si="4"/>
        <v>3352.5</v>
      </c>
      <c r="G86" s="63" t="s">
        <v>332</v>
      </c>
      <c r="H86" s="63"/>
    </row>
    <row r="87" spans="1:24">
      <c r="B87" s="36" t="s">
        <v>354</v>
      </c>
      <c r="C87" s="60">
        <f>C80*$F$4*1000</f>
        <v>20000</v>
      </c>
      <c r="D87" s="60">
        <f t="shared" si="4"/>
        <v>17999.999999999996</v>
      </c>
      <c r="E87" s="60">
        <f t="shared" si="4"/>
        <v>16000</v>
      </c>
      <c r="F87" s="60">
        <f t="shared" si="4"/>
        <v>14000</v>
      </c>
      <c r="G87" s="70">
        <f>C67</f>
        <v>4.2</v>
      </c>
      <c r="H87" s="69" t="s">
        <v>330</v>
      </c>
    </row>
    <row r="88" spans="1:24">
      <c r="B88" s="36" t="s">
        <v>355</v>
      </c>
      <c r="C88" s="60">
        <f>C84*$F$4</f>
        <v>517.40250000000003</v>
      </c>
      <c r="D88" s="60">
        <f>D84*$F$4</f>
        <v>507.90319264547821</v>
      </c>
      <c r="E88" s="60">
        <f>E84*$F$4</f>
        <v>512.44182906179265</v>
      </c>
      <c r="F88" s="60">
        <f>F84*$F$4</f>
        <v>470.95410883564915</v>
      </c>
      <c r="G88" s="69" t="s">
        <v>331</v>
      </c>
      <c r="H88" s="69"/>
    </row>
    <row r="89" spans="1:24" ht="15" thickBot="1">
      <c r="B89" s="36" t="s">
        <v>356</v>
      </c>
      <c r="C89" s="60">
        <f>C85*$F$4/(4*3.6*C69/100)</f>
        <v>0</v>
      </c>
      <c r="D89" s="60">
        <f t="shared" ref="D89:F89" si="5">D85*$F$4/(4*3.6*D69/100)</f>
        <v>0</v>
      </c>
      <c r="E89" s="60">
        <f t="shared" si="5"/>
        <v>0</v>
      </c>
      <c r="F89" s="60">
        <f t="shared" si="5"/>
        <v>0</v>
      </c>
      <c r="G89" s="83" t="s">
        <v>422</v>
      </c>
      <c r="H89" s="61"/>
    </row>
    <row r="90" spans="1:24" ht="15.75" customHeight="1">
      <c r="B90" s="1257" t="s">
        <v>0</v>
      </c>
      <c r="C90" s="1259" t="s">
        <v>123</v>
      </c>
      <c r="D90" s="1260"/>
      <c r="E90" s="1260"/>
      <c r="F90" s="1260"/>
      <c r="G90" s="1260"/>
      <c r="H90" s="1261"/>
      <c r="J90" s="1259" t="str">
        <f>C90</f>
        <v>Solar heating system</v>
      </c>
      <c r="K90" s="1260"/>
      <c r="L90" s="1260"/>
      <c r="M90" s="1260"/>
      <c r="N90" s="1260"/>
      <c r="O90" s="1261"/>
    </row>
    <row r="91" spans="1:24" ht="15" thickBot="1">
      <c r="B91" s="1258"/>
      <c r="C91" s="1134" t="s">
        <v>35</v>
      </c>
      <c r="D91" s="1135"/>
      <c r="E91" s="1135"/>
      <c r="F91" s="1135"/>
      <c r="G91" s="1135"/>
      <c r="H91" s="1136"/>
      <c r="J91" s="1134" t="str">
        <f>C91</f>
        <v>Apartment complex, new building</v>
      </c>
      <c r="K91" s="1135"/>
      <c r="L91" s="1135"/>
      <c r="M91" s="1135"/>
      <c r="N91" s="1135"/>
      <c r="O91" s="1136"/>
    </row>
    <row r="92" spans="1:24" ht="15" thickBot="1">
      <c r="B92" s="1"/>
      <c r="C92" s="2">
        <v>2015</v>
      </c>
      <c r="D92" s="2">
        <v>2020</v>
      </c>
      <c r="E92" s="2">
        <v>2030</v>
      </c>
      <c r="F92" s="2">
        <v>2050</v>
      </c>
      <c r="G92" s="2" t="s">
        <v>2</v>
      </c>
      <c r="H92" s="2" t="s">
        <v>3</v>
      </c>
      <c r="J92" s="53" t="s">
        <v>357</v>
      </c>
    </row>
    <row r="93" spans="1:24" ht="28.2" thickBot="1">
      <c r="B93" s="3" t="s">
        <v>4</v>
      </c>
      <c r="C93" s="4"/>
      <c r="D93" s="4"/>
      <c r="E93" s="4"/>
      <c r="F93" s="4"/>
      <c r="G93" s="4"/>
      <c r="H93" s="5"/>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24" ht="15" thickBot="1">
      <c r="B94" s="1" t="s">
        <v>124</v>
      </c>
      <c r="C94" s="2">
        <v>200</v>
      </c>
      <c r="D94" s="2">
        <v>200</v>
      </c>
      <c r="E94" s="2">
        <v>200</v>
      </c>
      <c r="F94" s="2">
        <v>200</v>
      </c>
      <c r="G94" s="2" t="s">
        <v>6</v>
      </c>
      <c r="H94" s="2"/>
      <c r="J94" s="50"/>
      <c r="K94" s="50"/>
      <c r="L94" s="51"/>
      <c r="M94" s="51"/>
      <c r="N94" s="51"/>
      <c r="O94" s="52"/>
      <c r="P94" s="50"/>
      <c r="Q94" s="50"/>
      <c r="R94" s="50"/>
      <c r="S94" s="50"/>
      <c r="T94" s="50"/>
      <c r="U94" s="50"/>
      <c r="V94" s="50"/>
      <c r="W94" s="50"/>
      <c r="X94" s="50"/>
    </row>
    <row r="95" spans="1:24" ht="15" thickBot="1">
      <c r="B95" s="1" t="s">
        <v>125</v>
      </c>
      <c r="C95" s="2">
        <v>140</v>
      </c>
      <c r="D95" s="2">
        <v>140</v>
      </c>
      <c r="E95" s="2">
        <v>140</v>
      </c>
      <c r="F95" s="2">
        <v>140</v>
      </c>
      <c r="G95" s="2" t="s">
        <v>6</v>
      </c>
      <c r="H95" s="2"/>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24" ht="24.6" thickBot="1">
      <c r="B96" s="1" t="s">
        <v>7</v>
      </c>
      <c r="C96" s="2">
        <v>40</v>
      </c>
      <c r="D96" s="2">
        <v>40</v>
      </c>
      <c r="E96" s="2">
        <v>50</v>
      </c>
      <c r="F96" s="2">
        <v>60</v>
      </c>
      <c r="G96" s="2" t="s">
        <v>59</v>
      </c>
      <c r="H96" s="2"/>
      <c r="J96" s="58">
        <f>C92</f>
        <v>2015</v>
      </c>
      <c r="K96" s="58">
        <f>J96</f>
        <v>2015</v>
      </c>
      <c r="L96" s="58">
        <f>C98/100</f>
        <v>1</v>
      </c>
      <c r="M96" s="58"/>
      <c r="N96" s="58">
        <f>C99</f>
        <v>20</v>
      </c>
      <c r="O96" s="59">
        <f>C114</f>
        <v>2831</v>
      </c>
      <c r="P96" s="59">
        <f>C116</f>
        <v>20.700357142857143</v>
      </c>
      <c r="Q96" s="59">
        <f>C117</f>
        <v>0</v>
      </c>
      <c r="R96" s="58"/>
      <c r="S96" s="58"/>
      <c r="T96" s="58"/>
      <c r="U96" s="58"/>
      <c r="V96" s="58"/>
      <c r="W96" s="58"/>
      <c r="X96" s="58"/>
    </row>
    <row r="97" spans="1:24" ht="24.6" thickBot="1">
      <c r="B97" s="1" t="s">
        <v>8</v>
      </c>
      <c r="C97" s="2">
        <v>65</v>
      </c>
      <c r="D97" s="2">
        <v>65</v>
      </c>
      <c r="E97" s="2">
        <v>70</v>
      </c>
      <c r="F97" s="2">
        <v>70</v>
      </c>
      <c r="G97" s="2" t="s">
        <v>59</v>
      </c>
      <c r="H97" s="2"/>
      <c r="J97" s="58">
        <f>D92</f>
        <v>2020</v>
      </c>
      <c r="K97" s="58"/>
      <c r="L97" s="58">
        <f>D98/100</f>
        <v>1</v>
      </c>
      <c r="M97" s="58"/>
      <c r="N97" s="58">
        <f>D99</f>
        <v>25</v>
      </c>
      <c r="O97" s="59">
        <f>D114</f>
        <v>2831</v>
      </c>
      <c r="P97" s="59">
        <f>D116</f>
        <v>20.660433158225668</v>
      </c>
      <c r="Q97" s="59">
        <f>D117</f>
        <v>0</v>
      </c>
      <c r="R97" s="58"/>
      <c r="S97" s="58"/>
      <c r="T97" s="58"/>
      <c r="U97" s="58"/>
      <c r="V97" s="58"/>
      <c r="W97" s="58"/>
      <c r="X97" s="58"/>
    </row>
    <row r="98" spans="1:24" ht="15" thickBot="1">
      <c r="B98" s="1" t="s">
        <v>9</v>
      </c>
      <c r="C98" s="35">
        <v>100</v>
      </c>
      <c r="D98" s="35">
        <v>100</v>
      </c>
      <c r="E98" s="35">
        <v>100</v>
      </c>
      <c r="F98" s="35">
        <v>100</v>
      </c>
      <c r="G98" s="2"/>
      <c r="H98" s="2"/>
      <c r="J98" s="58">
        <f>E92</f>
        <v>2030</v>
      </c>
      <c r="K98" s="58"/>
      <c r="L98" s="58">
        <f>E98/100</f>
        <v>1</v>
      </c>
      <c r="M98" s="58"/>
      <c r="N98" s="58">
        <f>E99</f>
        <v>30</v>
      </c>
      <c r="O98" s="59">
        <f>E114</f>
        <v>2831</v>
      </c>
      <c r="P98" s="59">
        <f>E116</f>
        <v>23.28125</v>
      </c>
      <c r="Q98" s="59">
        <f>E117</f>
        <v>0</v>
      </c>
      <c r="R98" s="58"/>
      <c r="S98" s="58"/>
      <c r="T98" s="58"/>
      <c r="U98" s="58"/>
      <c r="V98" s="58"/>
      <c r="W98" s="58"/>
      <c r="X98" s="58"/>
    </row>
    <row r="99" spans="1:24" ht="15" thickBot="1">
      <c r="B99" s="1" t="s">
        <v>11</v>
      </c>
      <c r="C99" s="2">
        <v>20</v>
      </c>
      <c r="D99" s="2">
        <v>25</v>
      </c>
      <c r="E99" s="2">
        <v>30</v>
      </c>
      <c r="F99" s="2">
        <v>30</v>
      </c>
      <c r="G99" s="2" t="s">
        <v>16</v>
      </c>
      <c r="H99" s="2"/>
      <c r="J99" s="58">
        <f>F92</f>
        <v>2050</v>
      </c>
      <c r="K99" s="58"/>
      <c r="L99" s="58">
        <f>F98/100</f>
        <v>1</v>
      </c>
      <c r="M99" s="58"/>
      <c r="N99" s="58">
        <f>F99</f>
        <v>30</v>
      </c>
      <c r="O99" s="59">
        <f>F114</f>
        <v>2831</v>
      </c>
      <c r="P99" s="59">
        <f>F116</f>
        <v>21.498571428571431</v>
      </c>
      <c r="Q99" s="59">
        <f>F117</f>
        <v>0</v>
      </c>
      <c r="R99" s="58"/>
      <c r="S99" s="58"/>
      <c r="T99" s="58"/>
      <c r="U99" s="58"/>
      <c r="V99" s="58"/>
      <c r="W99" s="58"/>
      <c r="X99" s="58"/>
    </row>
    <row r="100" spans="1:24" ht="15" thickBot="1">
      <c r="B100" s="3" t="s">
        <v>12</v>
      </c>
      <c r="C100" s="4"/>
      <c r="D100" s="4"/>
      <c r="E100" s="4"/>
      <c r="F100" s="4"/>
      <c r="G100" s="4"/>
      <c r="H100" s="5"/>
    </row>
    <row r="101" spans="1:24" ht="15.6" thickBot="1">
      <c r="B101" s="1" t="s">
        <v>13</v>
      </c>
      <c r="C101" s="2">
        <v>0</v>
      </c>
      <c r="D101" s="2">
        <v>0</v>
      </c>
      <c r="E101" s="2">
        <v>0</v>
      </c>
      <c r="F101" s="2">
        <v>0</v>
      </c>
      <c r="G101" s="2" t="s">
        <v>33</v>
      </c>
      <c r="H101" s="2"/>
    </row>
    <row r="102" spans="1:24" ht="15.6" thickBot="1">
      <c r="B102" s="1" t="s">
        <v>15</v>
      </c>
      <c r="C102" s="2">
        <v>0</v>
      </c>
      <c r="D102" s="2">
        <v>0</v>
      </c>
      <c r="E102" s="2">
        <v>0</v>
      </c>
      <c r="F102" s="2">
        <v>0</v>
      </c>
      <c r="G102" s="2"/>
      <c r="H102" s="2"/>
    </row>
    <row r="103" spans="1:24" ht="15.6" thickBot="1">
      <c r="B103" s="1" t="s">
        <v>17</v>
      </c>
      <c r="C103" s="2">
        <v>0</v>
      </c>
      <c r="D103" s="2">
        <v>0</v>
      </c>
      <c r="E103" s="2">
        <v>0</v>
      </c>
      <c r="F103" s="2">
        <v>0</v>
      </c>
      <c r="G103" s="2"/>
      <c r="H103" s="2"/>
    </row>
    <row r="104" spans="1:24" ht="15.6" thickBot="1">
      <c r="B104" s="1" t="s">
        <v>18</v>
      </c>
      <c r="C104" s="2">
        <v>0</v>
      </c>
      <c r="D104" s="2">
        <v>0</v>
      </c>
      <c r="E104" s="2">
        <v>0</v>
      </c>
      <c r="F104" s="2">
        <v>0</v>
      </c>
      <c r="G104" s="2"/>
      <c r="H104" s="2"/>
    </row>
    <row r="105" spans="1:24" ht="15" thickBot="1">
      <c r="B105" s="1" t="s">
        <v>19</v>
      </c>
      <c r="C105" s="2">
        <v>0</v>
      </c>
      <c r="D105" s="2">
        <v>0</v>
      </c>
      <c r="E105" s="2">
        <v>0</v>
      </c>
      <c r="F105" s="2">
        <v>0</v>
      </c>
      <c r="G105" s="2"/>
      <c r="H105" s="2"/>
    </row>
    <row r="106" spans="1:24" ht="15" thickBot="1">
      <c r="B106" s="3" t="s">
        <v>22</v>
      </c>
      <c r="C106" s="4"/>
      <c r="D106" s="4"/>
      <c r="E106" s="4"/>
      <c r="F106" s="4"/>
      <c r="G106" s="4"/>
      <c r="H106" s="5"/>
    </row>
    <row r="107" spans="1:24" ht="15" thickBot="1">
      <c r="B107" s="1" t="s">
        <v>23</v>
      </c>
      <c r="C107" s="2">
        <v>0.38</v>
      </c>
      <c r="D107" s="2">
        <v>0.38</v>
      </c>
      <c r="E107" s="2">
        <v>0.38</v>
      </c>
      <c r="F107" s="2">
        <v>0.38</v>
      </c>
      <c r="G107" s="2" t="s">
        <v>20</v>
      </c>
      <c r="H107" s="2"/>
    </row>
    <row r="108" spans="1:24">
      <c r="A108" s="36"/>
      <c r="B108" s="6" t="s">
        <v>24</v>
      </c>
      <c r="C108" s="896">
        <v>80.53691275167786</v>
      </c>
      <c r="D108" s="896">
        <v>73.825503355704697</v>
      </c>
      <c r="E108" s="896">
        <v>67.114093959731548</v>
      </c>
      <c r="F108" s="896">
        <v>60.402684563758392</v>
      </c>
      <c r="G108" s="7"/>
      <c r="H108" s="7"/>
    </row>
    <row r="109" spans="1:24">
      <c r="A109" s="36"/>
      <c r="B109" s="6" t="s">
        <v>26</v>
      </c>
      <c r="C109" s="896">
        <v>65</v>
      </c>
      <c r="D109" s="896">
        <v>65</v>
      </c>
      <c r="E109" s="896">
        <v>65</v>
      </c>
      <c r="F109" s="896">
        <v>65</v>
      </c>
      <c r="G109" s="7"/>
      <c r="H109" s="7" t="s">
        <v>129</v>
      </c>
    </row>
    <row r="110" spans="1:24" ht="15" thickBot="1">
      <c r="A110" s="36"/>
      <c r="B110" s="1" t="s">
        <v>28</v>
      </c>
      <c r="C110" s="897">
        <v>35</v>
      </c>
      <c r="D110" s="897">
        <v>35</v>
      </c>
      <c r="E110" s="897">
        <v>35</v>
      </c>
      <c r="F110" s="897">
        <v>35</v>
      </c>
      <c r="G110" s="2"/>
      <c r="H110" s="2">
        <v>8</v>
      </c>
    </row>
    <row r="111" spans="1:24" ht="24.6" thickBot="1">
      <c r="A111" s="36"/>
      <c r="B111" s="1" t="s">
        <v>30</v>
      </c>
      <c r="C111" s="897">
        <v>0</v>
      </c>
      <c r="D111" s="897">
        <v>0</v>
      </c>
      <c r="E111" s="897">
        <v>0</v>
      </c>
      <c r="F111" s="897">
        <v>0</v>
      </c>
      <c r="G111" s="2"/>
      <c r="H111" s="2"/>
    </row>
    <row r="112" spans="1:24" ht="15" thickBot="1">
      <c r="A112" s="36"/>
      <c r="B112" s="1" t="s">
        <v>64</v>
      </c>
      <c r="C112" s="897">
        <v>389</v>
      </c>
      <c r="D112" s="897">
        <v>388.249750624375</v>
      </c>
      <c r="E112" s="897">
        <v>437.5</v>
      </c>
      <c r="F112" s="897">
        <v>404</v>
      </c>
      <c r="G112" s="2" t="s">
        <v>76</v>
      </c>
      <c r="H112" s="2"/>
    </row>
    <row r="113" spans="1:8" ht="15" thickBot="1">
      <c r="A113" s="36"/>
      <c r="B113" s="1" t="s">
        <v>130</v>
      </c>
      <c r="C113" s="2">
        <v>0</v>
      </c>
      <c r="D113" s="2">
        <v>0</v>
      </c>
      <c r="E113" s="2">
        <v>0</v>
      </c>
      <c r="F113" s="2">
        <v>0</v>
      </c>
      <c r="G113" s="2" t="s">
        <v>25</v>
      </c>
      <c r="H113" s="2"/>
    </row>
    <row r="114" spans="1:8">
      <c r="B114" s="36" t="s">
        <v>353</v>
      </c>
      <c r="C114" s="60">
        <f>C107*$F$4*1000</f>
        <v>2831</v>
      </c>
      <c r="D114" s="60">
        <f>D107*$F$4*1000</f>
        <v>2831</v>
      </c>
      <c r="E114" s="60">
        <f>E107*$F$4*1000</f>
        <v>2831</v>
      </c>
      <c r="F114" s="60">
        <f>F107*$F$4*1000</f>
        <v>2831</v>
      </c>
      <c r="G114" s="63" t="s">
        <v>332</v>
      </c>
      <c r="H114" s="63"/>
    </row>
    <row r="115" spans="1:8">
      <c r="B115" s="36" t="s">
        <v>354</v>
      </c>
      <c r="C115" s="60">
        <f>C108*$F$4*1000*C66/C95</f>
        <v>25714.285714285721</v>
      </c>
      <c r="D115" s="60">
        <f>D108*$F$4*1000*D66/D95</f>
        <v>23571.428571428572</v>
      </c>
      <c r="E115" s="60">
        <f>E108*$F$4*1000*E66/E95</f>
        <v>21428.571428571431</v>
      </c>
      <c r="F115" s="60">
        <f>F108*$F$4*1000*F66/F95</f>
        <v>19285.71428571429</v>
      </c>
      <c r="G115" s="70">
        <f>C95</f>
        <v>140</v>
      </c>
      <c r="H115" s="69" t="s">
        <v>330</v>
      </c>
    </row>
    <row r="116" spans="1:8">
      <c r="B116" s="36" t="s">
        <v>355</v>
      </c>
      <c r="C116" s="60">
        <f>C112*$F$4/C95</f>
        <v>20.700357142857143</v>
      </c>
      <c r="D116" s="60">
        <f>D112*$F$4/D95</f>
        <v>20.660433158225668</v>
      </c>
      <c r="E116" s="60">
        <f>E112*$F$4/E95</f>
        <v>23.28125</v>
      </c>
      <c r="F116" s="60">
        <f>F112*$F$4/F95</f>
        <v>21.498571428571431</v>
      </c>
      <c r="G116" s="69" t="s">
        <v>331</v>
      </c>
      <c r="H116" s="69"/>
    </row>
    <row r="117" spans="1:8">
      <c r="B117" s="36" t="s">
        <v>356</v>
      </c>
      <c r="C117" s="60">
        <f>C113*$F$4/(4*3.6*C97/100)*C67/C95</f>
        <v>0</v>
      </c>
      <c r="D117" s="60">
        <f t="shared" ref="D117:F117" si="6">D113*$F$4/(4*3.6*D97/100)*D67/D95</f>
        <v>0</v>
      </c>
      <c r="E117" s="60">
        <f t="shared" si="6"/>
        <v>0</v>
      </c>
      <c r="F117" s="60">
        <f t="shared" si="6"/>
        <v>0</v>
      </c>
      <c r="G117" s="83" t="s">
        <v>423</v>
      </c>
      <c r="H117" s="61"/>
    </row>
  </sheetData>
  <mergeCells count="20">
    <mergeCell ref="B6:B7"/>
    <mergeCell ref="C6:H6"/>
    <mergeCell ref="C7:H7"/>
    <mergeCell ref="B34:B35"/>
    <mergeCell ref="C34:H34"/>
    <mergeCell ref="C35:H35"/>
    <mergeCell ref="B62:B63"/>
    <mergeCell ref="C62:H62"/>
    <mergeCell ref="C63:H63"/>
    <mergeCell ref="B90:B91"/>
    <mergeCell ref="C90:H90"/>
    <mergeCell ref="C91:H91"/>
    <mergeCell ref="J91:O91"/>
    <mergeCell ref="J6:O6"/>
    <mergeCell ref="J34:O34"/>
    <mergeCell ref="J62:O62"/>
    <mergeCell ref="J90:O90"/>
    <mergeCell ref="J7:O7"/>
    <mergeCell ref="J35:O35"/>
    <mergeCell ref="J63:O63"/>
  </mergeCells>
  <pageMargins left="0.7" right="0.7" top="0.75" bottom="0.75" header="0.3" footer="0.3"/>
  <pageSetup paperSize="9" orientation="portrait"/>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7EC9D-8B95-4D80-9030-8A0B0B4F00E5}">
  <sheetPr>
    <tabColor theme="4"/>
  </sheetPr>
  <dimension ref="B3:X156"/>
  <sheetViews>
    <sheetView topLeftCell="A31" workbookViewId="0">
      <selection activeCell="I24" sqref="I24"/>
    </sheetView>
  </sheetViews>
  <sheetFormatPr defaultColWidth="8.77734375" defaultRowHeight="14.4"/>
  <cols>
    <col min="1" max="1" width="8.77734375" style="224"/>
    <col min="2" max="2" width="36.77734375" style="224" customWidth="1"/>
    <col min="3" max="3" width="10" style="224" bestFit="1" customWidth="1"/>
    <col min="4" max="4" width="10.77734375" style="224" customWidth="1"/>
    <col min="5" max="8" width="8.77734375" style="224"/>
    <col min="9" max="18" width="9.21875" style="224" customWidth="1"/>
    <col min="19" max="16384" width="8.77734375" style="224"/>
  </cols>
  <sheetData>
    <row r="3" spans="2:24">
      <c r="B3" s="8" t="s">
        <v>1139</v>
      </c>
    </row>
    <row r="4" spans="2:24">
      <c r="E4" s="224" t="s">
        <v>358</v>
      </c>
      <c r="G4" s="36">
        <v>7.45</v>
      </c>
      <c r="H4" s="224" t="s">
        <v>328</v>
      </c>
    </row>
    <row r="5" spans="2:24" ht="15" thickBot="1"/>
    <row r="6" spans="2:24">
      <c r="B6" s="1257" t="s">
        <v>0</v>
      </c>
      <c r="C6" s="1259" t="s">
        <v>1140</v>
      </c>
      <c r="D6" s="1260"/>
      <c r="E6" s="1260"/>
      <c r="F6" s="1260"/>
      <c r="G6" s="1260"/>
      <c r="H6" s="1261"/>
      <c r="J6" s="1259" t="str">
        <f>C6</f>
        <v>Oil burner (mineral oil fired, &lt;10 % FAME)</v>
      </c>
      <c r="K6" s="1260"/>
      <c r="L6" s="1260"/>
      <c r="M6" s="1260"/>
      <c r="N6" s="1260"/>
      <c r="O6" s="1261"/>
    </row>
    <row r="7" spans="2:24" ht="15" thickBot="1">
      <c r="B7" s="1258"/>
      <c r="C7" s="1134" t="s">
        <v>1</v>
      </c>
      <c r="D7" s="1135"/>
      <c r="E7" s="1135"/>
      <c r="F7" s="1135"/>
      <c r="G7" s="1135"/>
      <c r="H7" s="1136"/>
      <c r="J7" s="1134" t="str">
        <f>C7</f>
        <v>One-family house, existing building</v>
      </c>
      <c r="K7" s="1135"/>
      <c r="L7" s="1135"/>
      <c r="M7" s="1135"/>
      <c r="N7" s="1135"/>
      <c r="O7" s="1136"/>
    </row>
    <row r="8" spans="2:24" ht="15" thickBot="1">
      <c r="B8" s="125"/>
      <c r="C8" s="813">
        <v>2015</v>
      </c>
      <c r="D8" s="813">
        <v>2020</v>
      </c>
      <c r="E8" s="813">
        <v>2030</v>
      </c>
      <c r="F8" s="813">
        <v>2050</v>
      </c>
      <c r="G8" s="813" t="s">
        <v>2</v>
      </c>
      <c r="H8" s="813" t="s">
        <v>3</v>
      </c>
      <c r="J8" s="53" t="s">
        <v>357</v>
      </c>
    </row>
    <row r="9" spans="2:24" ht="28.2" thickBot="1">
      <c r="B9" s="127" t="s">
        <v>4</v>
      </c>
      <c r="C9" s="128"/>
      <c r="D9" s="128"/>
      <c r="E9" s="128"/>
      <c r="F9" s="128"/>
      <c r="G9" s="128"/>
      <c r="H9" s="12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25" t="s">
        <v>5</v>
      </c>
      <c r="C10" s="813" t="s">
        <v>1141</v>
      </c>
      <c r="D10" s="813" t="s">
        <v>1141</v>
      </c>
      <c r="E10" s="813" t="s">
        <v>1141</v>
      </c>
      <c r="F10" s="813" t="s">
        <v>1141</v>
      </c>
      <c r="G10" s="813" t="s">
        <v>6</v>
      </c>
      <c r="H10" s="813"/>
      <c r="J10" s="50"/>
      <c r="K10" s="50"/>
      <c r="L10" s="51"/>
      <c r="M10" s="51"/>
      <c r="N10" s="51"/>
      <c r="O10" s="52"/>
      <c r="P10" s="50"/>
      <c r="Q10" s="50"/>
      <c r="R10" s="50"/>
      <c r="S10" s="50"/>
      <c r="T10" s="50"/>
      <c r="U10" s="50"/>
      <c r="V10" s="50"/>
      <c r="W10" s="50"/>
      <c r="X10" s="50"/>
    </row>
    <row r="11" spans="2:24" ht="24.6" thickBot="1">
      <c r="B11" s="125" t="s">
        <v>7</v>
      </c>
      <c r="C11" s="813">
        <v>100</v>
      </c>
      <c r="D11" s="813">
        <v>100</v>
      </c>
      <c r="E11" s="813">
        <v>100</v>
      </c>
      <c r="F11" s="813">
        <v>100</v>
      </c>
      <c r="G11" s="813"/>
      <c r="H11" s="813"/>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25" t="s">
        <v>8</v>
      </c>
      <c r="C12" s="813">
        <v>100</v>
      </c>
      <c r="D12" s="813">
        <v>100</v>
      </c>
      <c r="E12" s="813">
        <v>100</v>
      </c>
      <c r="F12" s="813">
        <v>100</v>
      </c>
      <c r="G12" s="813"/>
      <c r="H12" s="813"/>
      <c r="J12" s="58">
        <f>C8</f>
        <v>2015</v>
      </c>
      <c r="K12" s="58">
        <f>J12</f>
        <v>2015</v>
      </c>
      <c r="L12" s="58">
        <f>C13/100</f>
        <v>1</v>
      </c>
      <c r="M12" s="58"/>
      <c r="N12" s="58">
        <f>C14</f>
        <v>20</v>
      </c>
      <c r="O12" s="59">
        <f>C29</f>
        <v>2235</v>
      </c>
      <c r="P12" s="59">
        <f>C31</f>
        <v>91.431818181818187</v>
      </c>
      <c r="Q12" s="59">
        <f>C32</f>
        <v>0</v>
      </c>
      <c r="R12" s="58"/>
      <c r="S12" s="58"/>
      <c r="T12" s="58">
        <f>C16</f>
        <v>0.5</v>
      </c>
      <c r="U12" s="58">
        <f>C17</f>
        <v>30</v>
      </c>
      <c r="V12" s="58">
        <f>C18</f>
        <v>0</v>
      </c>
      <c r="W12" s="58">
        <f>C19</f>
        <v>0</v>
      </c>
      <c r="X12" s="58">
        <f>C20</f>
        <v>0.03</v>
      </c>
    </row>
    <row r="13" spans="2:24" ht="15" thickBot="1">
      <c r="B13" s="125" t="s">
        <v>9</v>
      </c>
      <c r="C13" s="813">
        <v>100</v>
      </c>
      <c r="D13" s="813">
        <v>100</v>
      </c>
      <c r="E13" s="813">
        <v>100</v>
      </c>
      <c r="F13" s="813">
        <v>100</v>
      </c>
      <c r="G13" s="813"/>
      <c r="H13" s="813" t="s">
        <v>10</v>
      </c>
      <c r="J13" s="58">
        <f>D8</f>
        <v>2020</v>
      </c>
      <c r="K13" s="58"/>
      <c r="L13" s="58">
        <f>D13/100</f>
        <v>1</v>
      </c>
      <c r="M13" s="58"/>
      <c r="N13" s="58">
        <f>D14</f>
        <v>20</v>
      </c>
      <c r="O13" s="59">
        <f>D29</f>
        <v>2235</v>
      </c>
      <c r="P13" s="59">
        <f>D31</f>
        <v>91.431818181818187</v>
      </c>
      <c r="Q13" s="59">
        <f>D32</f>
        <v>0</v>
      </c>
      <c r="R13" s="58"/>
      <c r="S13" s="58"/>
      <c r="T13" s="58">
        <f>D16</f>
        <v>0.5</v>
      </c>
      <c r="U13" s="58">
        <f>D17</f>
        <v>30</v>
      </c>
      <c r="V13" s="58">
        <f>D18</f>
        <v>0</v>
      </c>
      <c r="W13" s="58">
        <f>D19</f>
        <v>0</v>
      </c>
      <c r="X13" s="58">
        <f>D20</f>
        <v>0.03</v>
      </c>
    </row>
    <row r="14" spans="2:24" ht="15" thickBot="1">
      <c r="B14" s="125" t="s">
        <v>11</v>
      </c>
      <c r="C14" s="813">
        <v>20</v>
      </c>
      <c r="D14" s="813">
        <v>20</v>
      </c>
      <c r="E14" s="813">
        <v>20</v>
      </c>
      <c r="F14" s="813">
        <v>20</v>
      </c>
      <c r="G14" s="813"/>
      <c r="H14" s="813">
        <v>4</v>
      </c>
      <c r="J14" s="58">
        <f>E8</f>
        <v>2030</v>
      </c>
      <c r="K14" s="58"/>
      <c r="L14" s="58">
        <f>E13/100</f>
        <v>1</v>
      </c>
      <c r="M14" s="58"/>
      <c r="N14" s="58">
        <f>E14</f>
        <v>20</v>
      </c>
      <c r="O14" s="59">
        <f>E29</f>
        <v>2235</v>
      </c>
      <c r="P14" s="59">
        <f>E31</f>
        <v>91.431818181818187</v>
      </c>
      <c r="Q14" s="59">
        <f>E32</f>
        <v>0</v>
      </c>
      <c r="R14" s="58"/>
      <c r="S14" s="58"/>
      <c r="T14" s="58">
        <f>E16</f>
        <v>0.5</v>
      </c>
      <c r="U14" s="58">
        <f>E17</f>
        <v>30</v>
      </c>
      <c r="V14" s="58">
        <f>E18</f>
        <v>0</v>
      </c>
      <c r="W14" s="58">
        <f>E19</f>
        <v>0</v>
      </c>
      <c r="X14" s="58">
        <f>E20</f>
        <v>0.03</v>
      </c>
    </row>
    <row r="15" spans="2:24" ht="15" thickBot="1">
      <c r="B15" s="127" t="s">
        <v>12</v>
      </c>
      <c r="C15" s="128"/>
      <c r="D15" s="128"/>
      <c r="E15" s="128"/>
      <c r="F15" s="128"/>
      <c r="G15" s="128"/>
      <c r="H15" s="129"/>
      <c r="J15" s="58">
        <f>F8</f>
        <v>2050</v>
      </c>
      <c r="K15" s="58"/>
      <c r="L15" s="58">
        <f>F13/100</f>
        <v>1</v>
      </c>
      <c r="M15" s="58"/>
      <c r="N15" s="58">
        <f>F14</f>
        <v>20</v>
      </c>
      <c r="O15" s="59">
        <f>F29</f>
        <v>2235</v>
      </c>
      <c r="P15" s="59">
        <f>F31</f>
        <v>91.431818181818187</v>
      </c>
      <c r="Q15" s="59">
        <f>F32</f>
        <v>0</v>
      </c>
      <c r="R15" s="58"/>
      <c r="S15" s="58"/>
      <c r="T15" s="58">
        <f>F16</f>
        <v>0.5</v>
      </c>
      <c r="U15" s="58">
        <f>F17</f>
        <v>30</v>
      </c>
      <c r="V15" s="58">
        <f>F18</f>
        <v>0</v>
      </c>
      <c r="W15" s="58">
        <f>F19</f>
        <v>0</v>
      </c>
      <c r="X15" s="58">
        <f>F20</f>
        <v>0.03</v>
      </c>
    </row>
    <row r="16" spans="2:24" ht="15.6" thickBot="1">
      <c r="B16" s="125" t="s">
        <v>13</v>
      </c>
      <c r="C16" s="813">
        <v>0.5</v>
      </c>
      <c r="D16" s="813">
        <v>0.5</v>
      </c>
      <c r="E16" s="813">
        <v>0.5</v>
      </c>
      <c r="F16" s="813">
        <v>0.5</v>
      </c>
      <c r="G16" s="813" t="s">
        <v>14</v>
      </c>
      <c r="H16" s="813"/>
    </row>
    <row r="17" spans="2:10" ht="15.6" thickBot="1">
      <c r="B17" s="125" t="s">
        <v>15</v>
      </c>
      <c r="C17" s="813">
        <v>30</v>
      </c>
      <c r="D17" s="813">
        <v>30</v>
      </c>
      <c r="E17" s="813">
        <v>30</v>
      </c>
      <c r="F17" s="813">
        <v>30</v>
      </c>
      <c r="G17" s="813" t="s">
        <v>16</v>
      </c>
      <c r="H17" s="813"/>
    </row>
    <row r="18" spans="2:10" ht="15.6" thickBot="1">
      <c r="B18" s="125" t="s">
        <v>17</v>
      </c>
      <c r="C18" s="813">
        <v>0</v>
      </c>
      <c r="D18" s="813">
        <v>0</v>
      </c>
      <c r="E18" s="813">
        <v>0</v>
      </c>
      <c r="F18" s="813">
        <v>0</v>
      </c>
      <c r="G18" s="813"/>
      <c r="H18" s="813"/>
    </row>
    <row r="19" spans="2:10" ht="15.6" thickBot="1">
      <c r="B19" s="125" t="s">
        <v>18</v>
      </c>
      <c r="C19" s="813">
        <v>0</v>
      </c>
      <c r="D19" s="813">
        <v>0</v>
      </c>
      <c r="E19" s="813">
        <v>0</v>
      </c>
      <c r="F19" s="813">
        <v>0</v>
      </c>
      <c r="G19" s="813"/>
      <c r="H19" s="813"/>
    </row>
    <row r="20" spans="2:10" ht="15" thickBot="1">
      <c r="B20" s="125" t="s">
        <v>19</v>
      </c>
      <c r="C20" s="813">
        <v>0.03</v>
      </c>
      <c r="D20" s="813">
        <v>0.03</v>
      </c>
      <c r="E20" s="813">
        <v>0.03</v>
      </c>
      <c r="F20" s="813">
        <v>0.03</v>
      </c>
      <c r="G20" s="813" t="s">
        <v>20</v>
      </c>
      <c r="H20" s="813" t="s">
        <v>21</v>
      </c>
    </row>
    <row r="21" spans="2:10" ht="15" thickBot="1">
      <c r="B21" s="127" t="s">
        <v>22</v>
      </c>
      <c r="C21" s="128"/>
      <c r="D21" s="128"/>
      <c r="E21" s="128"/>
      <c r="F21" s="128"/>
      <c r="G21" s="68" t="s">
        <v>329</v>
      </c>
      <c r="H21" s="813"/>
    </row>
    <row r="22" spans="2:10" ht="15" thickBot="1">
      <c r="B22" s="125" t="s">
        <v>23</v>
      </c>
      <c r="C22" s="35">
        <f>C23/$G30</f>
        <v>0.3</v>
      </c>
      <c r="D22" s="35">
        <f>D23/$G30</f>
        <v>0.3</v>
      </c>
      <c r="E22" s="35">
        <f>E23/$G30</f>
        <v>0.3</v>
      </c>
      <c r="F22" s="35">
        <f>F23/$G30</f>
        <v>0.3</v>
      </c>
      <c r="G22" s="73">
        <f>G30</f>
        <v>22</v>
      </c>
      <c r="H22" s="73" t="str">
        <f>H30</f>
        <v>kW</v>
      </c>
    </row>
    <row r="23" spans="2:10">
      <c r="B23" s="130" t="s">
        <v>24</v>
      </c>
      <c r="C23" s="131">
        <v>6.6</v>
      </c>
      <c r="D23" s="131">
        <v>6.6</v>
      </c>
      <c r="E23" s="131">
        <v>6.6</v>
      </c>
      <c r="F23" s="131">
        <v>6.6</v>
      </c>
      <c r="G23" s="131" t="s">
        <v>25</v>
      </c>
      <c r="H23" s="131"/>
    </row>
    <row r="24" spans="2:10">
      <c r="B24" s="891" t="s">
        <v>26</v>
      </c>
      <c r="C24" s="131">
        <v>70</v>
      </c>
      <c r="D24" s="131">
        <v>70</v>
      </c>
      <c r="E24" s="131">
        <v>70</v>
      </c>
      <c r="F24" s="131">
        <v>70</v>
      </c>
      <c r="G24" s="131"/>
      <c r="H24" s="131"/>
    </row>
    <row r="25" spans="2:10" ht="15" thickBot="1">
      <c r="B25" s="892" t="s">
        <v>28</v>
      </c>
      <c r="C25" s="813">
        <v>30</v>
      </c>
      <c r="D25" s="813">
        <v>30</v>
      </c>
      <c r="E25" s="813">
        <v>30</v>
      </c>
      <c r="F25" s="813">
        <v>30</v>
      </c>
      <c r="G25" s="813"/>
      <c r="H25" s="813"/>
      <c r="I25" s="420"/>
      <c r="J25" s="420"/>
    </row>
    <row r="26" spans="2:10" ht="24.6" thickBot="1">
      <c r="B26" s="125" t="s">
        <v>30</v>
      </c>
      <c r="C26" s="813"/>
      <c r="D26" s="813"/>
      <c r="E26" s="813"/>
      <c r="F26" s="813"/>
      <c r="G26" s="813"/>
      <c r="H26" s="813"/>
      <c r="I26" s="71"/>
      <c r="J26" s="420"/>
    </row>
    <row r="27" spans="2:10" ht="15" thickBot="1">
      <c r="B27" s="893" t="s">
        <v>1142</v>
      </c>
      <c r="C27" s="894">
        <v>270</v>
      </c>
      <c r="D27" s="894">
        <v>270</v>
      </c>
      <c r="E27" s="894">
        <v>270</v>
      </c>
      <c r="F27" s="894">
        <v>270</v>
      </c>
      <c r="G27" s="894" t="s">
        <v>25</v>
      </c>
      <c r="H27" s="894"/>
      <c r="I27" s="894"/>
      <c r="J27" s="894"/>
    </row>
    <row r="28" spans="2:10" ht="15" thickBot="1">
      <c r="B28" s="125" t="s">
        <v>31</v>
      </c>
      <c r="C28" s="813"/>
      <c r="D28" s="813"/>
      <c r="E28" s="813"/>
      <c r="F28" s="813"/>
      <c r="G28" s="813"/>
      <c r="H28" s="813"/>
      <c r="I28" s="895"/>
      <c r="J28" s="420"/>
    </row>
    <row r="29" spans="2:10">
      <c r="B29" s="36" t="s">
        <v>353</v>
      </c>
      <c r="C29" s="42">
        <f t="shared" ref="C29:F30" si="0">C22*$G$4*1000</f>
        <v>2235</v>
      </c>
      <c r="D29" s="42">
        <f t="shared" si="0"/>
        <v>2235</v>
      </c>
      <c r="E29" s="42">
        <f t="shared" si="0"/>
        <v>2235</v>
      </c>
      <c r="F29" s="42">
        <f t="shared" si="0"/>
        <v>2235</v>
      </c>
      <c r="G29" s="63" t="s">
        <v>332</v>
      </c>
      <c r="H29" s="63"/>
    </row>
    <row r="30" spans="2:10">
      <c r="B30" s="36" t="s">
        <v>354</v>
      </c>
      <c r="C30" s="42">
        <f t="shared" si="0"/>
        <v>49170</v>
      </c>
      <c r="D30" s="42">
        <f t="shared" si="0"/>
        <v>49170</v>
      </c>
      <c r="E30" s="42">
        <f t="shared" si="0"/>
        <v>49170</v>
      </c>
      <c r="F30" s="42">
        <f t="shared" si="0"/>
        <v>49170</v>
      </c>
      <c r="G30" s="67">
        <v>22</v>
      </c>
      <c r="H30" s="63" t="s">
        <v>330</v>
      </c>
    </row>
    <row r="31" spans="2:10">
      <c r="B31" s="36" t="s">
        <v>355</v>
      </c>
      <c r="C31" s="42">
        <f>C27*$G$4/$G$30</f>
        <v>91.431818181818187</v>
      </c>
      <c r="D31" s="42">
        <f>D27*$G$4/$G$30</f>
        <v>91.431818181818187</v>
      </c>
      <c r="E31" s="42">
        <f>E27*$G$4/$G$30</f>
        <v>91.431818181818187</v>
      </c>
      <c r="F31" s="42">
        <f>F27*$G$4/$G$30</f>
        <v>91.431818181818187</v>
      </c>
      <c r="G31" s="63" t="s">
        <v>333</v>
      </c>
      <c r="H31" s="63"/>
    </row>
    <row r="32" spans="2:10" ht="15" thickBot="1">
      <c r="B32" s="36" t="s">
        <v>356</v>
      </c>
      <c r="C32" s="42">
        <f>C28*$H$31</f>
        <v>0</v>
      </c>
      <c r="D32" s="42">
        <f>D28*$H$31</f>
        <v>0</v>
      </c>
      <c r="E32" s="42">
        <f>E28*$H$31</f>
        <v>0</v>
      </c>
      <c r="F32" s="42">
        <f>F28*$H$31</f>
        <v>0</v>
      </c>
      <c r="G32" s="66"/>
      <c r="H32" s="63"/>
    </row>
    <row r="33" spans="2:24">
      <c r="B33" s="1257" t="s">
        <v>0</v>
      </c>
      <c r="C33" s="1259" t="s">
        <v>1140</v>
      </c>
      <c r="D33" s="1260"/>
      <c r="E33" s="1260"/>
      <c r="F33" s="1260"/>
      <c r="G33" s="1260"/>
      <c r="H33" s="1261"/>
      <c r="J33" s="1259" t="str">
        <f>C33</f>
        <v>Oil burner (mineral oil fired, &lt;10 % FAME)</v>
      </c>
      <c r="K33" s="1260"/>
      <c r="L33" s="1260"/>
      <c r="M33" s="1260"/>
      <c r="N33" s="1260"/>
      <c r="O33" s="1261"/>
    </row>
    <row r="34" spans="2:24" ht="15" thickBot="1">
      <c r="B34" s="1258"/>
      <c r="C34" s="1134" t="s">
        <v>32</v>
      </c>
      <c r="D34" s="1135"/>
      <c r="E34" s="1135"/>
      <c r="F34" s="1135"/>
      <c r="G34" s="1135"/>
      <c r="H34" s="1136"/>
      <c r="J34" s="1134" t="str">
        <f>C34</f>
        <v>Apartment complex, existing building</v>
      </c>
      <c r="K34" s="1135"/>
      <c r="L34" s="1135"/>
      <c r="M34" s="1135"/>
      <c r="N34" s="1135"/>
      <c r="O34" s="1136"/>
    </row>
    <row r="35" spans="2:24" ht="15" thickBot="1">
      <c r="B35" s="125"/>
      <c r="C35" s="813">
        <v>2015</v>
      </c>
      <c r="D35" s="813">
        <v>2020</v>
      </c>
      <c r="E35" s="813">
        <v>2030</v>
      </c>
      <c r="F35" s="813">
        <v>2050</v>
      </c>
      <c r="G35" s="813" t="s">
        <v>2</v>
      </c>
      <c r="H35" s="813" t="s">
        <v>3</v>
      </c>
      <c r="J35" s="53" t="s">
        <v>357</v>
      </c>
    </row>
    <row r="36" spans="2:24" ht="28.2"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25" t="s">
        <v>5</v>
      </c>
      <c r="C37" s="813">
        <v>400</v>
      </c>
      <c r="D37" s="813">
        <v>400</v>
      </c>
      <c r="E37" s="813">
        <v>400</v>
      </c>
      <c r="F37" s="813">
        <v>400</v>
      </c>
      <c r="G37" s="813"/>
      <c r="H37" s="813"/>
      <c r="J37" s="50"/>
      <c r="K37" s="50"/>
      <c r="L37" s="51"/>
      <c r="M37" s="51"/>
      <c r="N37" s="51"/>
      <c r="O37" s="52"/>
      <c r="P37" s="50"/>
      <c r="Q37" s="50"/>
      <c r="R37" s="50"/>
      <c r="S37" s="50"/>
      <c r="T37" s="50"/>
      <c r="U37" s="50"/>
      <c r="V37" s="50"/>
      <c r="W37" s="50"/>
      <c r="X37" s="50"/>
    </row>
    <row r="38" spans="2:24" ht="24.6" thickBot="1">
      <c r="B38" s="125" t="s">
        <v>7</v>
      </c>
      <c r="C38" s="813">
        <v>100</v>
      </c>
      <c r="D38" s="813">
        <v>100</v>
      </c>
      <c r="E38" s="813">
        <v>100</v>
      </c>
      <c r="F38" s="813">
        <v>100</v>
      </c>
      <c r="G38" s="813"/>
      <c r="H38" s="813"/>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25" t="s">
        <v>8</v>
      </c>
      <c r="C39" s="813">
        <v>100</v>
      </c>
      <c r="D39" s="813">
        <v>100</v>
      </c>
      <c r="E39" s="813">
        <v>100</v>
      </c>
      <c r="F39" s="813">
        <v>100</v>
      </c>
      <c r="G39" s="813"/>
      <c r="H39" s="813"/>
      <c r="J39" s="58">
        <f>C35</f>
        <v>2015</v>
      </c>
      <c r="K39" s="58">
        <f>J39</f>
        <v>2015</v>
      </c>
      <c r="L39" s="58">
        <f>C40/100</f>
        <v>0.96</v>
      </c>
      <c r="M39" s="58"/>
      <c r="N39" s="58">
        <f>C41</f>
        <v>20</v>
      </c>
      <c r="O39" s="59">
        <f>C56</f>
        <v>596</v>
      </c>
      <c r="P39" s="59">
        <f>C58</f>
        <v>9.3125</v>
      </c>
      <c r="Q39" s="59">
        <f>C59</f>
        <v>0</v>
      </c>
      <c r="R39" s="58"/>
      <c r="S39" s="58"/>
      <c r="T39" s="58">
        <f>C43</f>
        <v>0.5</v>
      </c>
      <c r="U39" s="78">
        <f>C44</f>
        <v>30</v>
      </c>
      <c r="V39" s="78">
        <f>C45</f>
        <v>0</v>
      </c>
      <c r="W39" s="78">
        <f>C46</f>
        <v>0</v>
      </c>
      <c r="X39" s="78">
        <f>C47</f>
        <v>0.03</v>
      </c>
    </row>
    <row r="40" spans="2:24" ht="15" thickBot="1">
      <c r="B40" s="125" t="s">
        <v>9</v>
      </c>
      <c r="C40" s="813">
        <v>96</v>
      </c>
      <c r="D40" s="813">
        <v>96</v>
      </c>
      <c r="E40" s="813">
        <v>96</v>
      </c>
      <c r="F40" s="813">
        <v>96</v>
      </c>
      <c r="G40" s="813" t="s">
        <v>33</v>
      </c>
      <c r="H40" s="813" t="s">
        <v>10</v>
      </c>
      <c r="J40" s="58">
        <f>D35</f>
        <v>2020</v>
      </c>
      <c r="K40" s="58"/>
      <c r="L40" s="58">
        <f>D40/100</f>
        <v>0.96</v>
      </c>
      <c r="M40" s="58"/>
      <c r="N40" s="58">
        <f>D41</f>
        <v>20</v>
      </c>
      <c r="O40" s="59">
        <f>D56</f>
        <v>596</v>
      </c>
      <c r="P40" s="59">
        <f>D58</f>
        <v>9.3125</v>
      </c>
      <c r="Q40" s="59">
        <f>D59</f>
        <v>0</v>
      </c>
      <c r="R40" s="58"/>
      <c r="S40" s="58"/>
      <c r="T40" s="58">
        <f>D43</f>
        <v>0.5</v>
      </c>
      <c r="U40" s="78">
        <f>D44</f>
        <v>30</v>
      </c>
      <c r="V40" s="78">
        <f>D45</f>
        <v>0</v>
      </c>
      <c r="W40" s="78">
        <f>D46</f>
        <v>0</v>
      </c>
      <c r="X40" s="78">
        <f>D47</f>
        <v>0.03</v>
      </c>
    </row>
    <row r="41" spans="2:24" ht="15" thickBot="1">
      <c r="B41" s="125" t="s">
        <v>11</v>
      </c>
      <c r="C41" s="813">
        <v>20</v>
      </c>
      <c r="D41" s="813">
        <v>20</v>
      </c>
      <c r="E41" s="813">
        <v>20</v>
      </c>
      <c r="F41" s="813">
        <v>20</v>
      </c>
      <c r="G41" s="813"/>
      <c r="H41" s="813">
        <v>4</v>
      </c>
      <c r="J41" s="58">
        <f>E35</f>
        <v>2030</v>
      </c>
      <c r="K41" s="58"/>
      <c r="L41" s="58">
        <f>E40/100</f>
        <v>0.96</v>
      </c>
      <c r="M41" s="58"/>
      <c r="N41" s="58">
        <f>E41</f>
        <v>20</v>
      </c>
      <c r="O41" s="59">
        <f>E56</f>
        <v>596</v>
      </c>
      <c r="P41" s="59">
        <f>E58</f>
        <v>9.3125</v>
      </c>
      <c r="Q41" s="59">
        <f>E59</f>
        <v>0</v>
      </c>
      <c r="R41" s="58"/>
      <c r="S41" s="58"/>
      <c r="T41" s="58">
        <f>E43</f>
        <v>0.5</v>
      </c>
      <c r="U41" s="78">
        <f>E44</f>
        <v>30</v>
      </c>
      <c r="V41" s="78">
        <f>E45</f>
        <v>0</v>
      </c>
      <c r="W41" s="78">
        <f>E46</f>
        <v>0</v>
      </c>
      <c r="X41" s="78">
        <f>E47</f>
        <v>0.03</v>
      </c>
    </row>
    <row r="42" spans="2:24" ht="15" thickBot="1">
      <c r="B42" s="127" t="s">
        <v>12</v>
      </c>
      <c r="C42" s="128"/>
      <c r="D42" s="128"/>
      <c r="E42" s="128"/>
      <c r="F42" s="128"/>
      <c r="G42" s="128"/>
      <c r="H42" s="129"/>
      <c r="J42" s="58">
        <f>F35</f>
        <v>2050</v>
      </c>
      <c r="K42" s="58"/>
      <c r="L42" s="58">
        <f>F40/100</f>
        <v>0.96</v>
      </c>
      <c r="M42" s="58"/>
      <c r="N42" s="58">
        <f>F41</f>
        <v>20</v>
      </c>
      <c r="O42" s="59">
        <f>F56</f>
        <v>596</v>
      </c>
      <c r="P42" s="59">
        <f>F58</f>
        <v>9.3125</v>
      </c>
      <c r="Q42" s="59">
        <f>F59</f>
        <v>0</v>
      </c>
      <c r="R42" s="58"/>
      <c r="S42" s="58"/>
      <c r="T42" s="58">
        <f>F43</f>
        <v>0.5</v>
      </c>
      <c r="U42" s="78">
        <f>F44</f>
        <v>30</v>
      </c>
      <c r="V42" s="78">
        <f>F45</f>
        <v>0</v>
      </c>
      <c r="W42" s="78">
        <f>F46</f>
        <v>0</v>
      </c>
      <c r="X42" s="78">
        <f>F47</f>
        <v>0.03</v>
      </c>
    </row>
    <row r="43" spans="2:24" ht="15.6" thickBot="1">
      <c r="B43" s="125" t="s">
        <v>13</v>
      </c>
      <c r="C43" s="813">
        <v>0.5</v>
      </c>
      <c r="D43" s="813">
        <v>0.5</v>
      </c>
      <c r="E43" s="813">
        <v>0.5</v>
      </c>
      <c r="F43" s="813">
        <v>0.5</v>
      </c>
      <c r="G43" s="813" t="s">
        <v>14</v>
      </c>
      <c r="H43" s="813"/>
    </row>
    <row r="44" spans="2:24" ht="15.6" thickBot="1">
      <c r="B44" s="125" t="s">
        <v>15</v>
      </c>
      <c r="C44" s="813">
        <v>30</v>
      </c>
      <c r="D44" s="813">
        <v>30</v>
      </c>
      <c r="E44" s="813">
        <v>30</v>
      </c>
      <c r="F44" s="813">
        <v>30</v>
      </c>
      <c r="G44" s="813" t="s">
        <v>16</v>
      </c>
      <c r="H44" s="813"/>
    </row>
    <row r="45" spans="2:24" ht="15.6" thickBot="1">
      <c r="B45" s="125" t="s">
        <v>17</v>
      </c>
      <c r="C45" s="813">
        <v>0</v>
      </c>
      <c r="D45" s="813">
        <v>0</v>
      </c>
      <c r="E45" s="813">
        <v>0</v>
      </c>
      <c r="F45" s="813">
        <v>0</v>
      </c>
      <c r="G45" s="813"/>
      <c r="H45" s="813"/>
    </row>
    <row r="46" spans="2:24" ht="15.6" thickBot="1">
      <c r="B46" s="125" t="s">
        <v>18</v>
      </c>
      <c r="C46" s="813">
        <v>0</v>
      </c>
      <c r="D46" s="813">
        <v>0</v>
      </c>
      <c r="E46" s="813">
        <v>0</v>
      </c>
      <c r="F46" s="813">
        <v>0</v>
      </c>
      <c r="G46" s="813"/>
      <c r="H46" s="813"/>
    </row>
    <row r="47" spans="2:24" ht="15" thickBot="1">
      <c r="B47" s="125" t="s">
        <v>19</v>
      </c>
      <c r="C47" s="813">
        <v>0.03</v>
      </c>
      <c r="D47" s="813">
        <v>0.03</v>
      </c>
      <c r="E47" s="813">
        <v>0.03</v>
      </c>
      <c r="F47" s="813">
        <v>0.03</v>
      </c>
      <c r="G47" s="813" t="s">
        <v>20</v>
      </c>
      <c r="H47" s="813" t="s">
        <v>21</v>
      </c>
    </row>
    <row r="48" spans="2:24" ht="15" thickBot="1">
      <c r="B48" s="127" t="s">
        <v>22</v>
      </c>
      <c r="C48" s="128"/>
      <c r="D48" s="128"/>
      <c r="E48" s="128"/>
      <c r="F48" s="128"/>
      <c r="G48" s="68" t="s">
        <v>329</v>
      </c>
      <c r="H48" s="813"/>
    </row>
    <row r="49" spans="2:24" ht="15" thickBot="1">
      <c r="B49" s="125" t="s">
        <v>23</v>
      </c>
      <c r="C49" s="43">
        <f>C50/C37</f>
        <v>0.08</v>
      </c>
      <c r="D49" s="43">
        <f>D50/D37</f>
        <v>0.08</v>
      </c>
      <c r="E49" s="43">
        <f>E50/E37</f>
        <v>0.08</v>
      </c>
      <c r="F49" s="43">
        <f>F50/F37</f>
        <v>0.08</v>
      </c>
      <c r="G49" s="73">
        <f>G57</f>
        <v>400</v>
      </c>
      <c r="H49" s="73" t="str">
        <f>H57</f>
        <v>kW</v>
      </c>
    </row>
    <row r="50" spans="2:24">
      <c r="B50" s="130" t="s">
        <v>24</v>
      </c>
      <c r="C50" s="131">
        <v>32</v>
      </c>
      <c r="D50" s="131">
        <v>32</v>
      </c>
      <c r="E50" s="131">
        <v>32</v>
      </c>
      <c r="F50" s="131">
        <v>32</v>
      </c>
      <c r="G50" s="131" t="s">
        <v>25</v>
      </c>
      <c r="H50" s="131"/>
    </row>
    <row r="51" spans="2:24">
      <c r="B51" s="130" t="s">
        <v>26</v>
      </c>
      <c r="C51" s="131" t="s">
        <v>27</v>
      </c>
      <c r="D51" s="131">
        <v>70</v>
      </c>
      <c r="E51" s="131">
        <v>70</v>
      </c>
      <c r="F51" s="131">
        <v>70</v>
      </c>
      <c r="G51" s="131"/>
      <c r="H51" s="131"/>
    </row>
    <row r="52" spans="2:24" ht="15" thickBot="1">
      <c r="B52" s="125" t="s">
        <v>28</v>
      </c>
      <c r="C52" s="813" t="s">
        <v>29</v>
      </c>
      <c r="D52" s="813">
        <v>30</v>
      </c>
      <c r="E52" s="813">
        <v>30</v>
      </c>
      <c r="F52" s="813">
        <v>30</v>
      </c>
      <c r="G52" s="813"/>
      <c r="H52" s="813"/>
    </row>
    <row r="53" spans="2:24" ht="24.6" thickBot="1">
      <c r="B53" s="125" t="s">
        <v>30</v>
      </c>
      <c r="C53" s="813"/>
      <c r="D53" s="813"/>
      <c r="E53" s="813"/>
      <c r="F53" s="813"/>
      <c r="G53" s="813"/>
      <c r="H53" s="813"/>
    </row>
    <row r="54" spans="2:24" ht="15" thickBot="1">
      <c r="B54" s="893" t="s">
        <v>1142</v>
      </c>
      <c r="C54" s="894">
        <v>500</v>
      </c>
      <c r="D54" s="894">
        <v>500</v>
      </c>
      <c r="E54" s="894">
        <v>500</v>
      </c>
      <c r="F54" s="894">
        <v>500</v>
      </c>
      <c r="G54" s="894" t="s">
        <v>25</v>
      </c>
      <c r="H54" s="894"/>
    </row>
    <row r="55" spans="2:24" ht="15" thickBot="1">
      <c r="B55" s="125" t="s">
        <v>31</v>
      </c>
      <c r="C55" s="813"/>
      <c r="D55" s="813"/>
      <c r="E55" s="813"/>
      <c r="F55" s="813"/>
      <c r="G55" s="813"/>
      <c r="H55" s="813"/>
    </row>
    <row r="56" spans="2:24">
      <c r="B56" s="36" t="s">
        <v>353</v>
      </c>
      <c r="C56" s="42">
        <f>C49*$G$4*1000</f>
        <v>596</v>
      </c>
      <c r="D56" s="42">
        <f>D49*$G$4*1000</f>
        <v>596</v>
      </c>
      <c r="E56" s="42">
        <f>E49*$G$4*1000</f>
        <v>596</v>
      </c>
      <c r="F56" s="42">
        <f>F49*$G$4*1000</f>
        <v>596</v>
      </c>
      <c r="G56" s="63" t="s">
        <v>332</v>
      </c>
      <c r="H56" s="63"/>
    </row>
    <row r="57" spans="2:24">
      <c r="B57" s="36" t="s">
        <v>354</v>
      </c>
      <c r="C57" s="42">
        <f>C56*$G57</f>
        <v>238400</v>
      </c>
      <c r="D57" s="42">
        <f>D56*$G57</f>
        <v>238400</v>
      </c>
      <c r="E57" s="42">
        <f>E56*$G57</f>
        <v>238400</v>
      </c>
      <c r="F57" s="42">
        <f>F56*$G57</f>
        <v>238400</v>
      </c>
      <c r="G57" s="67">
        <v>400</v>
      </c>
      <c r="H57" s="63" t="s">
        <v>330</v>
      </c>
    </row>
    <row r="58" spans="2:24">
      <c r="B58" s="36" t="s">
        <v>355</v>
      </c>
      <c r="C58" s="42">
        <f>C54*$G$4/C37</f>
        <v>9.3125</v>
      </c>
      <c r="D58" s="42">
        <f>D54*$G$4/D37</f>
        <v>9.3125</v>
      </c>
      <c r="E58" s="42">
        <f>E54*$G$4/E37</f>
        <v>9.3125</v>
      </c>
      <c r="F58" s="42">
        <f>F54*$G$4/F37</f>
        <v>9.3125</v>
      </c>
      <c r="G58" s="63" t="s">
        <v>333</v>
      </c>
      <c r="H58" s="63"/>
    </row>
    <row r="59" spans="2:24" ht="15" thickBot="1">
      <c r="B59" s="36" t="s">
        <v>356</v>
      </c>
      <c r="C59" s="42">
        <f>C55*$G$4</f>
        <v>0</v>
      </c>
      <c r="D59" s="42">
        <f>D55*$G$4</f>
        <v>0</v>
      </c>
      <c r="E59" s="42">
        <f>E55*$G$4</f>
        <v>0</v>
      </c>
      <c r="F59" s="42">
        <f>F55*$G$4</f>
        <v>0</v>
      </c>
      <c r="G59" s="66"/>
      <c r="H59" s="63"/>
    </row>
    <row r="60" spans="2:24">
      <c r="B60" s="1257" t="s">
        <v>0</v>
      </c>
      <c r="C60" s="1259" t="s">
        <v>1143</v>
      </c>
      <c r="D60" s="1260"/>
      <c r="E60" s="1260"/>
      <c r="F60" s="1260"/>
      <c r="G60" s="1260"/>
      <c r="H60" s="1261"/>
      <c r="J60" s="1259" t="str">
        <f>C60</f>
        <v>Oil burner (bio oil)</v>
      </c>
      <c r="K60" s="1260"/>
      <c r="L60" s="1260"/>
      <c r="M60" s="1260"/>
      <c r="N60" s="1260"/>
      <c r="O60" s="1261"/>
    </row>
    <row r="61" spans="2:24" ht="15" thickBot="1">
      <c r="B61" s="1258"/>
      <c r="C61" s="1134" t="s">
        <v>34</v>
      </c>
      <c r="D61" s="1135"/>
      <c r="E61" s="1135"/>
      <c r="F61" s="1135"/>
      <c r="G61" s="1135"/>
      <c r="H61" s="1136"/>
      <c r="J61" s="1134" t="str">
        <f>C61</f>
        <v>One-family house, new building</v>
      </c>
      <c r="K61" s="1135"/>
      <c r="L61" s="1135"/>
      <c r="M61" s="1135"/>
      <c r="N61" s="1135"/>
      <c r="O61" s="1136"/>
    </row>
    <row r="62" spans="2:24" ht="15" thickBot="1">
      <c r="B62" s="125"/>
      <c r="C62" s="813">
        <v>2015</v>
      </c>
      <c r="D62" s="813">
        <v>2020</v>
      </c>
      <c r="E62" s="813">
        <v>2030</v>
      </c>
      <c r="F62" s="813">
        <v>2050</v>
      </c>
      <c r="G62" s="813" t="s">
        <v>2</v>
      </c>
      <c r="H62" s="813" t="s">
        <v>3</v>
      </c>
      <c r="J62" s="53" t="s">
        <v>357</v>
      </c>
    </row>
    <row r="63" spans="2:24" ht="28.2" thickBot="1">
      <c r="B63" s="127" t="s">
        <v>4</v>
      </c>
      <c r="C63" s="128"/>
      <c r="D63" s="128"/>
      <c r="E63" s="128"/>
      <c r="F63" s="128"/>
      <c r="G63" s="128"/>
      <c r="H63" s="129"/>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25" t="s">
        <v>5</v>
      </c>
      <c r="C64" s="813">
        <v>25</v>
      </c>
      <c r="D64" s="813">
        <v>25</v>
      </c>
      <c r="E64" s="813">
        <v>25</v>
      </c>
      <c r="F64" s="813">
        <v>25</v>
      </c>
      <c r="G64" s="813" t="s">
        <v>6</v>
      </c>
      <c r="H64" s="813"/>
      <c r="J64" s="50"/>
      <c r="K64" s="50"/>
      <c r="L64" s="51"/>
      <c r="M64" s="51"/>
      <c r="N64" s="51"/>
      <c r="O64" s="52"/>
      <c r="P64" s="50"/>
      <c r="Q64" s="50"/>
      <c r="R64" s="50"/>
      <c r="S64" s="50"/>
      <c r="T64" s="50"/>
      <c r="U64" s="50"/>
      <c r="V64" s="50"/>
      <c r="W64" s="50"/>
      <c r="X64" s="50"/>
    </row>
    <row r="65" spans="2:24" ht="24.6" thickBot="1">
      <c r="B65" s="125" t="s">
        <v>7</v>
      </c>
      <c r="C65" s="813">
        <v>100</v>
      </c>
      <c r="D65" s="813">
        <v>100</v>
      </c>
      <c r="E65" s="813">
        <v>100</v>
      </c>
      <c r="F65" s="813">
        <v>100</v>
      </c>
      <c r="G65" s="813"/>
      <c r="H65" s="813"/>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25" t="s">
        <v>8</v>
      </c>
      <c r="C66" s="813">
        <v>100</v>
      </c>
      <c r="D66" s="813">
        <v>100</v>
      </c>
      <c r="E66" s="813">
        <v>100</v>
      </c>
      <c r="F66" s="813">
        <v>100</v>
      </c>
      <c r="G66" s="813"/>
      <c r="H66" s="813"/>
      <c r="J66" s="58">
        <f>C62</f>
        <v>2015</v>
      </c>
      <c r="K66" s="58">
        <f>J66</f>
        <v>2015</v>
      </c>
      <c r="L66" s="58">
        <f>C67/100</f>
        <v>1</v>
      </c>
      <c r="M66" s="58"/>
      <c r="N66" s="58">
        <f>C68</f>
        <v>20</v>
      </c>
      <c r="O66" s="59">
        <f>C83</f>
        <v>3576</v>
      </c>
      <c r="P66" s="59">
        <f>C85</f>
        <v>149</v>
      </c>
      <c r="Q66" s="59">
        <f>C86</f>
        <v>0</v>
      </c>
      <c r="R66" s="58"/>
      <c r="S66" s="58"/>
      <c r="T66" s="58">
        <f>C70</f>
        <v>0</v>
      </c>
      <c r="U66" s="78" t="str">
        <f>C71</f>
        <v>&gt; 30</v>
      </c>
      <c r="V66" s="78">
        <f>C72</f>
        <v>0</v>
      </c>
      <c r="W66" s="78">
        <f>C73</f>
        <v>0</v>
      </c>
      <c r="X66" s="78">
        <f>C74</f>
        <v>0</v>
      </c>
    </row>
    <row r="67" spans="2:24" ht="15" thickBot="1">
      <c r="B67" s="125" t="s">
        <v>9</v>
      </c>
      <c r="C67" s="813">
        <v>100</v>
      </c>
      <c r="D67" s="813">
        <v>100</v>
      </c>
      <c r="E67" s="813">
        <v>100</v>
      </c>
      <c r="F67" s="813">
        <v>100</v>
      </c>
      <c r="G67" s="813"/>
      <c r="H67" s="813" t="s">
        <v>10</v>
      </c>
      <c r="J67" s="58">
        <f>D62</f>
        <v>2020</v>
      </c>
      <c r="K67" s="58"/>
      <c r="L67" s="58">
        <f>D67/100</f>
        <v>1</v>
      </c>
      <c r="M67" s="58"/>
      <c r="N67" s="58">
        <f>D68</f>
        <v>20</v>
      </c>
      <c r="O67" s="59">
        <f>D83</f>
        <v>3576</v>
      </c>
      <c r="P67" s="59">
        <f>D85</f>
        <v>149</v>
      </c>
      <c r="Q67" s="59">
        <f>D86</f>
        <v>0</v>
      </c>
      <c r="R67" s="58"/>
      <c r="S67" s="58"/>
      <c r="T67" s="58">
        <f>D70</f>
        <v>0</v>
      </c>
      <c r="U67" s="78" t="str">
        <f>D71</f>
        <v>&gt; 30</v>
      </c>
      <c r="V67" s="78">
        <f>D72</f>
        <v>0</v>
      </c>
      <c r="W67" s="78">
        <f>D73</f>
        <v>0</v>
      </c>
      <c r="X67" s="78">
        <f>D74</f>
        <v>0</v>
      </c>
    </row>
    <row r="68" spans="2:24" ht="15" thickBot="1">
      <c r="B68" s="125" t="s">
        <v>11</v>
      </c>
      <c r="C68" s="813">
        <v>20</v>
      </c>
      <c r="D68" s="813">
        <v>20</v>
      </c>
      <c r="E68" s="813">
        <v>20</v>
      </c>
      <c r="F68" s="813">
        <v>20</v>
      </c>
      <c r="G68" s="813"/>
      <c r="H68" s="813">
        <v>4</v>
      </c>
      <c r="J68" s="58">
        <f>E62</f>
        <v>2030</v>
      </c>
      <c r="K68" s="58"/>
      <c r="L68" s="58">
        <f>E67/100</f>
        <v>1</v>
      </c>
      <c r="M68" s="58"/>
      <c r="N68" s="58">
        <f>E68</f>
        <v>20</v>
      </c>
      <c r="O68" s="59">
        <f>E83</f>
        <v>3576</v>
      </c>
      <c r="P68" s="59">
        <f>E85</f>
        <v>149</v>
      </c>
      <c r="Q68" s="59">
        <f>E86</f>
        <v>0</v>
      </c>
      <c r="R68" s="58"/>
      <c r="S68" s="58"/>
      <c r="T68" s="58">
        <f>E70</f>
        <v>0</v>
      </c>
      <c r="U68" s="78" t="str">
        <f>E71</f>
        <v>&gt; 30</v>
      </c>
      <c r="V68" s="78">
        <f>E72</f>
        <v>0</v>
      </c>
      <c r="W68" s="78">
        <f>E73</f>
        <v>0</v>
      </c>
      <c r="X68" s="78">
        <f>E74</f>
        <v>0</v>
      </c>
    </row>
    <row r="69" spans="2:24" ht="15" thickBot="1">
      <c r="B69" s="127" t="s">
        <v>12</v>
      </c>
      <c r="C69" s="128"/>
      <c r="D69" s="128"/>
      <c r="E69" s="128"/>
      <c r="F69" s="128"/>
      <c r="G69" s="128"/>
      <c r="H69" s="129"/>
      <c r="J69" s="58">
        <f>F62</f>
        <v>2050</v>
      </c>
      <c r="K69" s="58"/>
      <c r="L69" s="58">
        <f>F67/100</f>
        <v>1</v>
      </c>
      <c r="M69" s="58"/>
      <c r="N69" s="58">
        <f>F68</f>
        <v>20</v>
      </c>
      <c r="O69" s="59">
        <f>F83</f>
        <v>3576</v>
      </c>
      <c r="P69" s="59">
        <f>F85</f>
        <v>149</v>
      </c>
      <c r="Q69" s="59">
        <f>F86</f>
        <v>0</v>
      </c>
      <c r="R69" s="58"/>
      <c r="S69" s="58"/>
      <c r="T69" s="58">
        <f>F70</f>
        <v>0</v>
      </c>
      <c r="U69" s="78" t="str">
        <f>F71</f>
        <v>&gt; 30</v>
      </c>
      <c r="V69" s="78">
        <f>F72</f>
        <v>0</v>
      </c>
      <c r="W69" s="78">
        <f>F73</f>
        <v>0</v>
      </c>
      <c r="X69" s="78">
        <f>F74</f>
        <v>0</v>
      </c>
    </row>
    <row r="70" spans="2:24" ht="15.6" thickBot="1">
      <c r="B70" s="125" t="s">
        <v>13</v>
      </c>
      <c r="C70" s="813">
        <v>0</v>
      </c>
      <c r="D70" s="813">
        <v>0</v>
      </c>
      <c r="E70" s="813">
        <v>0</v>
      </c>
      <c r="F70" s="813">
        <v>0</v>
      </c>
      <c r="G70" s="813" t="s">
        <v>14</v>
      </c>
      <c r="H70" s="813"/>
    </row>
    <row r="71" spans="2:24" ht="15.6" thickBot="1">
      <c r="B71" s="125" t="s">
        <v>15</v>
      </c>
      <c r="C71" s="813" t="s">
        <v>1144</v>
      </c>
      <c r="D71" s="813" t="s">
        <v>1144</v>
      </c>
      <c r="E71" s="813" t="s">
        <v>1144</v>
      </c>
      <c r="F71" s="813" t="s">
        <v>1144</v>
      </c>
      <c r="G71" s="813" t="s">
        <v>16</v>
      </c>
      <c r="H71" s="813"/>
    </row>
    <row r="72" spans="2:24" ht="15.6" thickBot="1">
      <c r="B72" s="125" t="s">
        <v>17</v>
      </c>
      <c r="C72" s="813">
        <v>0</v>
      </c>
      <c r="D72" s="813">
        <v>0</v>
      </c>
      <c r="E72" s="813">
        <v>0</v>
      </c>
      <c r="F72" s="813">
        <v>0</v>
      </c>
      <c r="G72" s="813"/>
      <c r="H72" s="813"/>
    </row>
    <row r="73" spans="2:24" ht="15.6" thickBot="1">
      <c r="B73" s="125" t="s">
        <v>18</v>
      </c>
      <c r="C73" s="813">
        <v>0</v>
      </c>
      <c r="D73" s="813">
        <v>0</v>
      </c>
      <c r="E73" s="813">
        <v>0</v>
      </c>
      <c r="F73" s="813">
        <v>0</v>
      </c>
      <c r="G73" s="813"/>
      <c r="H73" s="813"/>
    </row>
    <row r="74" spans="2:24" ht="15" thickBot="1">
      <c r="B74" s="125" t="s">
        <v>19</v>
      </c>
      <c r="C74" s="813"/>
      <c r="D74" s="813"/>
      <c r="E74" s="813"/>
      <c r="F74" s="813"/>
      <c r="G74" s="813" t="s">
        <v>20</v>
      </c>
      <c r="H74" s="813" t="s">
        <v>21</v>
      </c>
    </row>
    <row r="75" spans="2:24" ht="15" thickBot="1">
      <c r="B75" s="127" t="s">
        <v>22</v>
      </c>
      <c r="C75" s="128"/>
      <c r="D75" s="128"/>
      <c r="E75" s="128"/>
      <c r="F75" s="128"/>
      <c r="G75" s="68" t="s">
        <v>329</v>
      </c>
      <c r="H75" s="813"/>
    </row>
    <row r="76" spans="2:24" ht="15" thickBot="1">
      <c r="B76" s="125" t="s">
        <v>23</v>
      </c>
      <c r="C76" s="43">
        <f>C77/C64</f>
        <v>0.48</v>
      </c>
      <c r="D76" s="43">
        <f>D77/D64</f>
        <v>0.48</v>
      </c>
      <c r="E76" s="43">
        <f>E77/E64</f>
        <v>0.48</v>
      </c>
      <c r="F76" s="43">
        <f>F77/F64</f>
        <v>0.48</v>
      </c>
      <c r="G76" s="73">
        <f>G84</f>
        <v>25</v>
      </c>
      <c r="H76" s="73" t="str">
        <f>H84</f>
        <v>kW</v>
      </c>
    </row>
    <row r="77" spans="2:24">
      <c r="B77" s="130" t="s">
        <v>24</v>
      </c>
      <c r="C77" s="131">
        <v>12</v>
      </c>
      <c r="D77" s="131">
        <v>12</v>
      </c>
      <c r="E77" s="131">
        <v>12</v>
      </c>
      <c r="F77" s="131">
        <v>12</v>
      </c>
      <c r="G77" s="131" t="s">
        <v>25</v>
      </c>
      <c r="H77" s="131"/>
    </row>
    <row r="78" spans="2:24">
      <c r="B78" s="130" t="s">
        <v>26</v>
      </c>
      <c r="C78" s="131" t="s">
        <v>27</v>
      </c>
      <c r="D78" s="131">
        <v>70</v>
      </c>
      <c r="E78" s="131">
        <v>70</v>
      </c>
      <c r="F78" s="131">
        <v>70</v>
      </c>
      <c r="G78" s="131"/>
      <c r="H78" s="131"/>
    </row>
    <row r="79" spans="2:24" ht="15" thickBot="1">
      <c r="B79" s="125" t="s">
        <v>28</v>
      </c>
      <c r="C79" s="813" t="s">
        <v>29</v>
      </c>
      <c r="D79" s="813">
        <v>30</v>
      </c>
      <c r="E79" s="813">
        <v>30</v>
      </c>
      <c r="F79" s="813">
        <v>30</v>
      </c>
      <c r="G79" s="813"/>
      <c r="H79" s="813"/>
    </row>
    <row r="80" spans="2:24" ht="24.6" thickBot="1">
      <c r="B80" s="125" t="s">
        <v>30</v>
      </c>
      <c r="C80" s="813"/>
      <c r="D80" s="813"/>
      <c r="E80" s="813"/>
      <c r="F80" s="813"/>
      <c r="G80" s="813"/>
      <c r="H80" s="813"/>
    </row>
    <row r="81" spans="2:24" ht="15" thickBot="1">
      <c r="B81" s="125" t="s">
        <v>1142</v>
      </c>
      <c r="C81" s="894">
        <v>500</v>
      </c>
      <c r="D81" s="894">
        <v>500</v>
      </c>
      <c r="E81" s="894">
        <v>500</v>
      </c>
      <c r="F81" s="894">
        <v>500</v>
      </c>
      <c r="G81" s="894" t="s">
        <v>25</v>
      </c>
      <c r="H81" s="813"/>
    </row>
    <row r="82" spans="2:24" ht="15" thickBot="1">
      <c r="B82" s="125" t="s">
        <v>31</v>
      </c>
      <c r="C82" s="813"/>
      <c r="D82" s="813"/>
      <c r="E82" s="813"/>
      <c r="F82" s="813"/>
      <c r="G82" s="813"/>
      <c r="H82" s="813"/>
    </row>
    <row r="83" spans="2:24">
      <c r="B83" s="36" t="s">
        <v>353</v>
      </c>
      <c r="C83" s="42">
        <f>C76*$G$4*1000</f>
        <v>3576</v>
      </c>
      <c r="D83" s="42">
        <f>D76*$G$4*1000</f>
        <v>3576</v>
      </c>
      <c r="E83" s="42">
        <f>E76*$G$4*1000</f>
        <v>3576</v>
      </c>
      <c r="F83" s="42">
        <f>F76*$G$4*1000</f>
        <v>3576</v>
      </c>
      <c r="G83" s="63" t="s">
        <v>332</v>
      </c>
      <c r="H83" s="63"/>
    </row>
    <row r="84" spans="2:24">
      <c r="B84" s="36" t="s">
        <v>354</v>
      </c>
      <c r="C84" s="42">
        <f>C83*$G84</f>
        <v>89400</v>
      </c>
      <c r="D84" s="42">
        <f>D83*$G84</f>
        <v>89400</v>
      </c>
      <c r="E84" s="42">
        <f>E83*$G84</f>
        <v>89400</v>
      </c>
      <c r="F84" s="42">
        <f>F83*$G84</f>
        <v>89400</v>
      </c>
      <c r="G84" s="67">
        <f>C64</f>
        <v>25</v>
      </c>
      <c r="H84" s="63" t="s">
        <v>330</v>
      </c>
    </row>
    <row r="85" spans="2:24">
      <c r="B85" s="36" t="s">
        <v>355</v>
      </c>
      <c r="C85" s="42">
        <f>C81*$G$4/C64</f>
        <v>149</v>
      </c>
      <c r="D85" s="42">
        <f>D81*$G$4/D64</f>
        <v>149</v>
      </c>
      <c r="E85" s="42">
        <f>E81*$G$4/E64</f>
        <v>149</v>
      </c>
      <c r="F85" s="42">
        <f>F81*$G$4/F64</f>
        <v>149</v>
      </c>
      <c r="G85" s="63" t="s">
        <v>333</v>
      </c>
      <c r="H85" s="63"/>
    </row>
    <row r="86" spans="2:24" ht="15" thickBot="1">
      <c r="B86" s="36" t="s">
        <v>356</v>
      </c>
      <c r="C86" s="42">
        <f>C82*$G$4</f>
        <v>0</v>
      </c>
      <c r="D86" s="42">
        <f>D82*$G$4</f>
        <v>0</v>
      </c>
      <c r="E86" s="42">
        <f>E82*$G$4</f>
        <v>0</v>
      </c>
      <c r="F86" s="42">
        <f>F82*$G$4</f>
        <v>0</v>
      </c>
      <c r="G86" s="66"/>
      <c r="H86" s="63"/>
    </row>
    <row r="87" spans="2:24">
      <c r="B87" s="1257" t="s">
        <v>0</v>
      </c>
      <c r="C87" s="1259" t="s">
        <v>1143</v>
      </c>
      <c r="D87" s="1260"/>
      <c r="E87" s="1260"/>
      <c r="F87" s="1260"/>
      <c r="G87" s="1260"/>
      <c r="H87" s="1261"/>
      <c r="J87" s="1259" t="str">
        <f>C87</f>
        <v>Oil burner (bio oil)</v>
      </c>
      <c r="K87" s="1260"/>
      <c r="L87" s="1260"/>
      <c r="M87" s="1260"/>
      <c r="N87" s="1260"/>
      <c r="O87" s="1261"/>
    </row>
    <row r="88" spans="2:24" ht="15" thickBot="1">
      <c r="B88" s="1258"/>
      <c r="C88" s="1134" t="s">
        <v>35</v>
      </c>
      <c r="D88" s="1135"/>
      <c r="E88" s="1135"/>
      <c r="F88" s="1135"/>
      <c r="G88" s="1135"/>
      <c r="H88" s="1136"/>
      <c r="J88" s="1134" t="str">
        <f>C88</f>
        <v>Apartment complex, new building</v>
      </c>
      <c r="K88" s="1135"/>
      <c r="L88" s="1135"/>
      <c r="M88" s="1135"/>
      <c r="N88" s="1135"/>
      <c r="O88" s="1136"/>
    </row>
    <row r="89" spans="2:24" ht="15" thickBot="1">
      <c r="B89" s="125"/>
      <c r="C89" s="813">
        <v>2015</v>
      </c>
      <c r="D89" s="813">
        <v>2020</v>
      </c>
      <c r="E89" s="813">
        <v>2030</v>
      </c>
      <c r="F89" s="813">
        <v>2050</v>
      </c>
      <c r="G89" s="813" t="s">
        <v>2</v>
      </c>
      <c r="H89" s="813" t="s">
        <v>3</v>
      </c>
      <c r="J89" s="53" t="s">
        <v>357</v>
      </c>
    </row>
    <row r="90" spans="2:24" ht="28.2" thickBot="1">
      <c r="B90" s="127" t="s">
        <v>4</v>
      </c>
      <c r="C90" s="128"/>
      <c r="D90" s="128"/>
      <c r="E90" s="128"/>
      <c r="F90" s="128"/>
      <c r="G90" s="128"/>
      <c r="H90" s="129"/>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25" t="s">
        <v>5</v>
      </c>
      <c r="C91" s="813">
        <v>400</v>
      </c>
      <c r="D91" s="813">
        <v>400</v>
      </c>
      <c r="E91" s="813">
        <v>400</v>
      </c>
      <c r="F91" s="813">
        <v>400</v>
      </c>
      <c r="G91" s="813" t="s">
        <v>6</v>
      </c>
      <c r="H91" s="813"/>
      <c r="J91" s="50"/>
      <c r="K91" s="50"/>
      <c r="L91" s="51"/>
      <c r="M91" s="51"/>
      <c r="N91" s="51"/>
      <c r="O91" s="52"/>
      <c r="P91" s="50"/>
      <c r="Q91" s="50"/>
      <c r="R91" s="50"/>
      <c r="S91" s="50"/>
      <c r="T91" s="50"/>
      <c r="U91" s="50"/>
      <c r="V91" s="50"/>
      <c r="W91" s="50"/>
      <c r="X91" s="50"/>
    </row>
    <row r="92" spans="2:24" ht="24.6" thickBot="1">
      <c r="B92" s="125" t="s">
        <v>7</v>
      </c>
      <c r="C92" s="813">
        <v>100</v>
      </c>
      <c r="D92" s="813">
        <v>100</v>
      </c>
      <c r="E92" s="813">
        <v>100</v>
      </c>
      <c r="F92" s="813">
        <v>100</v>
      </c>
      <c r="G92" s="813"/>
      <c r="H92" s="813"/>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25" t="s">
        <v>8</v>
      </c>
      <c r="C93" s="813">
        <v>100</v>
      </c>
      <c r="D93" s="813">
        <v>100</v>
      </c>
      <c r="E93" s="813">
        <v>100</v>
      </c>
      <c r="F93" s="813">
        <v>100</v>
      </c>
      <c r="G93" s="813"/>
      <c r="H93" s="813"/>
      <c r="J93" s="58">
        <f>C89</f>
        <v>2015</v>
      </c>
      <c r="K93" s="58">
        <f>J93</f>
        <v>2015</v>
      </c>
      <c r="L93" s="58">
        <f>C94/100</f>
        <v>1</v>
      </c>
      <c r="M93" s="58"/>
      <c r="N93" s="58">
        <f>C95</f>
        <v>20</v>
      </c>
      <c r="O93" s="59">
        <f>C110</f>
        <v>745.00000000000011</v>
      </c>
      <c r="P93" s="59">
        <f>C112</f>
        <v>18.625</v>
      </c>
      <c r="Q93" s="59">
        <f>C113</f>
        <v>0</v>
      </c>
      <c r="R93" s="58"/>
      <c r="S93" s="58"/>
      <c r="T93" s="58">
        <f>C97</f>
        <v>0</v>
      </c>
      <c r="U93" s="78" t="str">
        <f>C98</f>
        <v>&gt; 30</v>
      </c>
      <c r="V93" s="78">
        <f>C99</f>
        <v>0</v>
      </c>
      <c r="W93" s="78">
        <f>C100</f>
        <v>0</v>
      </c>
      <c r="X93" s="78" t="str">
        <f>C101</f>
        <v>-</v>
      </c>
    </row>
    <row r="94" spans="2:24" ht="15" thickBot="1">
      <c r="B94" s="125" t="s">
        <v>9</v>
      </c>
      <c r="C94" s="813">
        <v>100</v>
      </c>
      <c r="D94" s="813">
        <v>100</v>
      </c>
      <c r="E94" s="813">
        <v>100</v>
      </c>
      <c r="F94" s="813">
        <v>100</v>
      </c>
      <c r="G94" s="813"/>
      <c r="H94" s="813" t="s">
        <v>10</v>
      </c>
      <c r="J94" s="58">
        <f>D89</f>
        <v>2020</v>
      </c>
      <c r="K94" s="58"/>
      <c r="L94" s="58">
        <f>D94/100</f>
        <v>1</v>
      </c>
      <c r="M94" s="58"/>
      <c r="N94" s="58">
        <f>D95</f>
        <v>20</v>
      </c>
      <c r="O94" s="59">
        <f>D110</f>
        <v>745.00000000000011</v>
      </c>
      <c r="P94" s="59">
        <f>D112</f>
        <v>18.625</v>
      </c>
      <c r="Q94" s="59">
        <f>D113</f>
        <v>0</v>
      </c>
      <c r="R94" s="58"/>
      <c r="S94" s="58"/>
      <c r="T94" s="58">
        <f>D97</f>
        <v>0</v>
      </c>
      <c r="U94" s="78" t="str">
        <f>D98</f>
        <v>&gt; 30</v>
      </c>
      <c r="V94" s="78">
        <f>D99</f>
        <v>0</v>
      </c>
      <c r="W94" s="78">
        <f>D100</f>
        <v>0</v>
      </c>
      <c r="X94" s="78" t="str">
        <f>D101</f>
        <v>-</v>
      </c>
    </row>
    <row r="95" spans="2:24" ht="15" thickBot="1">
      <c r="B95" s="125" t="s">
        <v>11</v>
      </c>
      <c r="C95" s="813">
        <v>20</v>
      </c>
      <c r="D95" s="813">
        <v>20</v>
      </c>
      <c r="E95" s="813">
        <v>20</v>
      </c>
      <c r="F95" s="813">
        <v>20</v>
      </c>
      <c r="G95" s="813"/>
      <c r="H95" s="813">
        <v>4</v>
      </c>
      <c r="J95" s="58">
        <f>E89</f>
        <v>2030</v>
      </c>
      <c r="K95" s="58"/>
      <c r="L95" s="58">
        <f>E94/100</f>
        <v>1</v>
      </c>
      <c r="M95" s="58"/>
      <c r="N95" s="58">
        <f>E95</f>
        <v>20</v>
      </c>
      <c r="O95" s="59">
        <f>E110</f>
        <v>745.00000000000011</v>
      </c>
      <c r="P95" s="59">
        <f>E112</f>
        <v>18.625</v>
      </c>
      <c r="Q95" s="59">
        <f>E113</f>
        <v>0</v>
      </c>
      <c r="R95" s="58"/>
      <c r="S95" s="58"/>
      <c r="T95" s="58">
        <f>E97</f>
        <v>0</v>
      </c>
      <c r="U95" s="78" t="str">
        <f>E98</f>
        <v>&gt; 30</v>
      </c>
      <c r="V95" s="78">
        <f>E99</f>
        <v>0</v>
      </c>
      <c r="W95" s="78">
        <f>E100</f>
        <v>0</v>
      </c>
      <c r="X95" s="78" t="str">
        <f>E101</f>
        <v>-</v>
      </c>
    </row>
    <row r="96" spans="2:24" ht="15" thickBot="1">
      <c r="B96" s="127" t="s">
        <v>12</v>
      </c>
      <c r="C96" s="128"/>
      <c r="D96" s="128"/>
      <c r="E96" s="128"/>
      <c r="F96" s="128"/>
      <c r="G96" s="128"/>
      <c r="H96" s="129"/>
      <c r="J96" s="58">
        <f>F89</f>
        <v>2050</v>
      </c>
      <c r="K96" s="58"/>
      <c r="L96" s="58">
        <f>F94/100</f>
        <v>1</v>
      </c>
      <c r="M96" s="58"/>
      <c r="N96" s="58">
        <f>F95</f>
        <v>20</v>
      </c>
      <c r="O96" s="59">
        <f>F110</f>
        <v>745.00000000000011</v>
      </c>
      <c r="P96" s="59">
        <f>F112</f>
        <v>18.625</v>
      </c>
      <c r="Q96" s="59">
        <f>F113</f>
        <v>0</v>
      </c>
      <c r="R96" s="58"/>
      <c r="S96" s="58"/>
      <c r="T96" s="58">
        <f>F97</f>
        <v>0</v>
      </c>
      <c r="U96" s="78" t="str">
        <f>F98</f>
        <v>&gt; 30</v>
      </c>
      <c r="V96" s="78">
        <f>F99</f>
        <v>0</v>
      </c>
      <c r="W96" s="78">
        <f>F100</f>
        <v>0</v>
      </c>
      <c r="X96" s="78" t="str">
        <f>F101</f>
        <v>-</v>
      </c>
    </row>
    <row r="97" spans="2:8" ht="15.6" thickBot="1">
      <c r="B97" s="125" t="s">
        <v>13</v>
      </c>
      <c r="C97" s="813">
        <v>0</v>
      </c>
      <c r="D97" s="813">
        <v>0</v>
      </c>
      <c r="E97" s="813">
        <v>0</v>
      </c>
      <c r="F97" s="813">
        <v>0</v>
      </c>
      <c r="G97" s="813" t="s">
        <v>14</v>
      </c>
      <c r="H97" s="813"/>
    </row>
    <row r="98" spans="2:8" ht="15.6" thickBot="1">
      <c r="B98" s="125" t="s">
        <v>15</v>
      </c>
      <c r="C98" s="813" t="s">
        <v>1144</v>
      </c>
      <c r="D98" s="813" t="s">
        <v>1144</v>
      </c>
      <c r="E98" s="813" t="s">
        <v>1144</v>
      </c>
      <c r="F98" s="813" t="s">
        <v>1144</v>
      </c>
      <c r="G98" s="813" t="s">
        <v>16</v>
      </c>
      <c r="H98" s="813"/>
    </row>
    <row r="99" spans="2:8" ht="15.6" thickBot="1">
      <c r="B99" s="125" t="s">
        <v>17</v>
      </c>
      <c r="C99" s="813">
        <v>0</v>
      </c>
      <c r="D99" s="813">
        <v>0</v>
      </c>
      <c r="E99" s="813">
        <v>0</v>
      </c>
      <c r="F99" s="813">
        <v>0</v>
      </c>
      <c r="G99" s="813"/>
      <c r="H99" s="813"/>
    </row>
    <row r="100" spans="2:8" ht="15.6" thickBot="1">
      <c r="B100" s="125" t="s">
        <v>18</v>
      </c>
      <c r="C100" s="813">
        <v>0</v>
      </c>
      <c r="D100" s="813">
        <v>0</v>
      </c>
      <c r="E100" s="813">
        <v>0</v>
      </c>
      <c r="F100" s="813">
        <v>0</v>
      </c>
      <c r="G100" s="813"/>
      <c r="H100" s="813"/>
    </row>
    <row r="101" spans="2:8" ht="15" thickBot="1">
      <c r="B101" s="125" t="s">
        <v>19</v>
      </c>
      <c r="C101" s="813" t="s">
        <v>36</v>
      </c>
      <c r="D101" s="813" t="s">
        <v>36</v>
      </c>
      <c r="E101" s="813" t="s">
        <v>36</v>
      </c>
      <c r="F101" s="813" t="s">
        <v>36</v>
      </c>
      <c r="G101" s="813" t="s">
        <v>20</v>
      </c>
      <c r="H101" s="813" t="s">
        <v>21</v>
      </c>
    </row>
    <row r="102" spans="2:8" ht="15" thickBot="1">
      <c r="B102" s="127" t="s">
        <v>22</v>
      </c>
      <c r="C102" s="128"/>
      <c r="D102" s="128"/>
      <c r="E102" s="128"/>
      <c r="F102" s="128"/>
      <c r="G102" s="68" t="s">
        <v>329</v>
      </c>
      <c r="H102" s="813"/>
    </row>
    <row r="103" spans="2:8" ht="15" thickBot="1">
      <c r="B103" s="125" t="s">
        <v>23</v>
      </c>
      <c r="C103" s="43">
        <f>C104/C91</f>
        <v>0.1</v>
      </c>
      <c r="D103" s="43">
        <f>D104/D91</f>
        <v>0.1</v>
      </c>
      <c r="E103" s="43">
        <f>E104/E91</f>
        <v>0.1</v>
      </c>
      <c r="F103" s="43">
        <f>F104/F91</f>
        <v>0.1</v>
      </c>
      <c r="G103" s="73">
        <f>G111</f>
        <v>400</v>
      </c>
      <c r="H103" s="73" t="str">
        <f>H111</f>
        <v>kW</v>
      </c>
    </row>
    <row r="104" spans="2:8">
      <c r="B104" s="130" t="s">
        <v>1145</v>
      </c>
      <c r="C104" s="131">
        <v>40</v>
      </c>
      <c r="D104" s="131">
        <v>40</v>
      </c>
      <c r="E104" s="131">
        <v>40</v>
      </c>
      <c r="F104" s="131">
        <v>40</v>
      </c>
      <c r="G104" s="131" t="s">
        <v>25</v>
      </c>
      <c r="H104" s="131"/>
    </row>
    <row r="105" spans="2:8">
      <c r="B105" s="130" t="s">
        <v>26</v>
      </c>
      <c r="C105" s="131" t="s">
        <v>27</v>
      </c>
      <c r="D105" s="131">
        <v>70</v>
      </c>
      <c r="E105" s="131">
        <v>70</v>
      </c>
      <c r="F105" s="131">
        <v>70</v>
      </c>
      <c r="G105" s="131"/>
      <c r="H105" s="131"/>
    </row>
    <row r="106" spans="2:8" ht="15" thickBot="1">
      <c r="B106" s="125" t="s">
        <v>28</v>
      </c>
      <c r="C106" s="813" t="s">
        <v>29</v>
      </c>
      <c r="D106" s="813">
        <v>30</v>
      </c>
      <c r="E106" s="813">
        <v>30</v>
      </c>
      <c r="F106" s="813">
        <v>30</v>
      </c>
      <c r="G106" s="813"/>
      <c r="H106" s="813"/>
    </row>
    <row r="107" spans="2:8" ht="24.6" thickBot="1">
      <c r="B107" s="125" t="s">
        <v>30</v>
      </c>
      <c r="C107" s="813"/>
      <c r="D107" s="813"/>
      <c r="E107" s="813"/>
      <c r="F107" s="813"/>
      <c r="G107" s="813"/>
      <c r="H107" s="813"/>
    </row>
    <row r="108" spans="2:8" ht="15" thickBot="1">
      <c r="B108" s="125" t="s">
        <v>1142</v>
      </c>
      <c r="C108" s="894">
        <v>1000</v>
      </c>
      <c r="D108" s="894">
        <v>1000</v>
      </c>
      <c r="E108" s="894">
        <v>1000</v>
      </c>
      <c r="F108" s="894">
        <v>1000</v>
      </c>
      <c r="G108" s="894" t="s">
        <v>25</v>
      </c>
      <c r="H108" s="813"/>
    </row>
    <row r="109" spans="2:8" ht="15" thickBot="1">
      <c r="B109" s="125" t="s">
        <v>31</v>
      </c>
      <c r="C109" s="813"/>
      <c r="D109" s="813"/>
      <c r="E109" s="813"/>
      <c r="F109" s="813"/>
      <c r="G109" s="813"/>
      <c r="H109" s="813"/>
    </row>
    <row r="110" spans="2:8">
      <c r="B110" s="36" t="s">
        <v>353</v>
      </c>
      <c r="C110" s="42">
        <f>C103*$G$4*1000</f>
        <v>745.00000000000011</v>
      </c>
      <c r="D110" s="42">
        <f>D103*$G$4*1000</f>
        <v>745.00000000000011</v>
      </c>
      <c r="E110" s="42">
        <f>E103*$G$4*1000</f>
        <v>745.00000000000011</v>
      </c>
      <c r="F110" s="42">
        <f>F103*$G$4*1000</f>
        <v>745.00000000000011</v>
      </c>
      <c r="G110" s="63" t="s">
        <v>332</v>
      </c>
      <c r="H110" s="63"/>
    </row>
    <row r="111" spans="2:8">
      <c r="B111" s="36" t="s">
        <v>354</v>
      </c>
      <c r="C111" s="42">
        <f>C110*$G111</f>
        <v>298000.00000000006</v>
      </c>
      <c r="D111" s="42">
        <f>D110*$G111</f>
        <v>298000.00000000006</v>
      </c>
      <c r="E111" s="42">
        <f>E110*$G111</f>
        <v>298000.00000000006</v>
      </c>
      <c r="F111" s="42">
        <f>F110*$G111</f>
        <v>298000.00000000006</v>
      </c>
      <c r="G111" s="67">
        <f>C91</f>
        <v>400</v>
      </c>
      <c r="H111" s="63" t="s">
        <v>330</v>
      </c>
    </row>
    <row r="112" spans="2:8">
      <c r="B112" s="36" t="s">
        <v>355</v>
      </c>
      <c r="C112" s="42">
        <f>C108*$G$4/C91</f>
        <v>18.625</v>
      </c>
      <c r="D112" s="42">
        <f>D108*$G$4/D91</f>
        <v>18.625</v>
      </c>
      <c r="E112" s="42">
        <f>E108*$G$4/E91</f>
        <v>18.625</v>
      </c>
      <c r="F112" s="42">
        <f>F108*$G$4/F91</f>
        <v>18.625</v>
      </c>
      <c r="G112" s="63" t="s">
        <v>333</v>
      </c>
      <c r="H112" s="63"/>
    </row>
    <row r="113" spans="2:8" ht="15" thickBot="1">
      <c r="B113" s="36" t="s">
        <v>356</v>
      </c>
      <c r="C113" s="42">
        <f>C109*$G$4</f>
        <v>0</v>
      </c>
      <c r="D113" s="42">
        <f>D109*$G$4</f>
        <v>0</v>
      </c>
      <c r="E113" s="42">
        <f>E109*$G$4</f>
        <v>0</v>
      </c>
      <c r="F113" s="42">
        <f>F109*$G$4</f>
        <v>0</v>
      </c>
      <c r="G113" s="66"/>
      <c r="H113" s="63"/>
    </row>
    <row r="156" spans="7:7">
      <c r="G156" s="214" t="s">
        <v>620</v>
      </c>
    </row>
  </sheetData>
  <mergeCells count="20">
    <mergeCell ref="B33:B34"/>
    <mergeCell ref="C33:H33"/>
    <mergeCell ref="J33:O33"/>
    <mergeCell ref="C34:H34"/>
    <mergeCell ref="J34:O34"/>
    <mergeCell ref="B6:B7"/>
    <mergeCell ref="C6:H6"/>
    <mergeCell ref="J6:O6"/>
    <mergeCell ref="C7:H7"/>
    <mergeCell ref="J7:O7"/>
    <mergeCell ref="B87:B88"/>
    <mergeCell ref="C87:H87"/>
    <mergeCell ref="J87:O87"/>
    <mergeCell ref="C88:H88"/>
    <mergeCell ref="J88:O88"/>
    <mergeCell ref="B60:B61"/>
    <mergeCell ref="C60:H60"/>
    <mergeCell ref="J60:O60"/>
    <mergeCell ref="C61:H61"/>
    <mergeCell ref="J61:O61"/>
  </mergeCells>
  <pageMargins left="0.7" right="0.7" top="0.75" bottom="0.75" header="0.3" footer="0.3"/>
  <pageSetup paperSize="9" orientation="portrait"/>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theme="4"/>
  </sheetPr>
  <dimension ref="B2:X156"/>
  <sheetViews>
    <sheetView workbookViewId="0">
      <selection activeCell="J26" sqref="J26"/>
    </sheetView>
  </sheetViews>
  <sheetFormatPr defaultRowHeight="14.4"/>
  <cols>
    <col min="2" max="2" width="36.77734375" customWidth="1"/>
    <col min="3" max="6" width="11" bestFit="1" customWidth="1"/>
  </cols>
  <sheetData>
    <row r="2" spans="2:24">
      <c r="B2" s="8" t="s">
        <v>308</v>
      </c>
    </row>
    <row r="4" spans="2:24" ht="15" thickBot="1">
      <c r="E4" t="s">
        <v>358</v>
      </c>
      <c r="G4" s="36">
        <v>7.45</v>
      </c>
      <c r="H4" t="s">
        <v>328</v>
      </c>
    </row>
    <row r="5" spans="2:24" ht="15" customHeight="1">
      <c r="B5" s="1257" t="s">
        <v>0</v>
      </c>
      <c r="C5" s="1259" t="s">
        <v>37</v>
      </c>
      <c r="D5" s="1260"/>
      <c r="E5" s="1260"/>
      <c r="F5" s="1260"/>
      <c r="G5" s="1260"/>
      <c r="H5" s="1261"/>
      <c r="J5" s="1259" t="str">
        <f>C5</f>
        <v>Natural gas boiler</v>
      </c>
      <c r="K5" s="1260"/>
      <c r="L5" s="1260"/>
      <c r="M5" s="1260"/>
      <c r="N5" s="1260"/>
      <c r="O5" s="1261"/>
    </row>
    <row r="6" spans="2:24" ht="15.75" customHeight="1" thickBot="1">
      <c r="B6" s="1258"/>
      <c r="C6" s="1134" t="s">
        <v>38</v>
      </c>
      <c r="D6" s="1135"/>
      <c r="E6" s="1135"/>
      <c r="F6" s="1135"/>
      <c r="G6" s="1135"/>
      <c r="H6" s="1136"/>
      <c r="J6" s="1134" t="str">
        <f>C6</f>
        <v>One-family house, existing and new building</v>
      </c>
      <c r="K6" s="1135"/>
      <c r="L6" s="1135"/>
      <c r="M6" s="1135"/>
      <c r="N6" s="1135"/>
      <c r="O6" s="1136"/>
    </row>
    <row r="7" spans="2:24" ht="15" thickBot="1">
      <c r="B7" s="1"/>
      <c r="C7" s="80">
        <v>2015</v>
      </c>
      <c r="D7" s="80">
        <v>2020</v>
      </c>
      <c r="E7" s="80">
        <v>2030</v>
      </c>
      <c r="F7" s="80">
        <v>2050</v>
      </c>
      <c r="G7" s="80" t="s">
        <v>2</v>
      </c>
      <c r="H7" s="80" t="s">
        <v>3</v>
      </c>
      <c r="J7" s="53" t="s">
        <v>357</v>
      </c>
    </row>
    <row r="8" spans="2:24" ht="28.2" thickBot="1">
      <c r="B8" s="127" t="s">
        <v>4</v>
      </c>
      <c r="C8" s="128"/>
      <c r="D8" s="128"/>
      <c r="E8" s="128"/>
      <c r="F8" s="128"/>
      <c r="G8" s="128"/>
      <c r="H8" s="129"/>
      <c r="J8" s="46" t="s">
        <v>335</v>
      </c>
      <c r="K8" s="46" t="s">
        <v>336</v>
      </c>
      <c r="L8" s="47" t="s">
        <v>337</v>
      </c>
      <c r="M8" s="47" t="s">
        <v>338</v>
      </c>
      <c r="N8" s="47" t="s">
        <v>339</v>
      </c>
      <c r="O8" s="48" t="s">
        <v>340</v>
      </c>
      <c r="P8" s="49" t="s">
        <v>341</v>
      </c>
      <c r="Q8" s="49" t="s">
        <v>342</v>
      </c>
      <c r="R8" s="49" t="s">
        <v>343</v>
      </c>
      <c r="S8" s="49" t="s">
        <v>344</v>
      </c>
      <c r="T8" s="49" t="s">
        <v>345</v>
      </c>
      <c r="U8" s="49" t="s">
        <v>346</v>
      </c>
      <c r="V8" s="49" t="s">
        <v>347</v>
      </c>
      <c r="W8" s="49" t="s">
        <v>348</v>
      </c>
      <c r="X8" s="49" t="s">
        <v>349</v>
      </c>
    </row>
    <row r="9" spans="2:24" ht="15" thickBot="1">
      <c r="B9" s="125" t="s">
        <v>5</v>
      </c>
      <c r="C9" s="138" t="s">
        <v>277</v>
      </c>
      <c r="D9" s="138" t="s">
        <v>278</v>
      </c>
      <c r="E9" s="138" t="s">
        <v>279</v>
      </c>
      <c r="F9" s="138" t="s">
        <v>280</v>
      </c>
      <c r="G9" s="132"/>
      <c r="H9" s="132"/>
      <c r="J9" s="50"/>
      <c r="K9" s="50"/>
      <c r="L9" s="51"/>
      <c r="M9" s="51"/>
      <c r="N9" s="51"/>
      <c r="O9" s="52"/>
      <c r="P9" s="50"/>
      <c r="Q9" s="50"/>
      <c r="R9" s="50"/>
      <c r="S9" s="50"/>
      <c r="T9" s="50"/>
      <c r="U9" s="50"/>
      <c r="V9" s="50"/>
      <c r="W9" s="50"/>
      <c r="X9" s="50"/>
    </row>
    <row r="10" spans="2:24" ht="72.599999999999994" thickBot="1">
      <c r="B10" s="125" t="s">
        <v>7</v>
      </c>
      <c r="C10" s="132">
        <v>100</v>
      </c>
      <c r="D10" s="132">
        <v>100</v>
      </c>
      <c r="E10" s="132">
        <v>100</v>
      </c>
      <c r="F10" s="132">
        <v>100</v>
      </c>
      <c r="G10" s="132"/>
      <c r="H10" s="132"/>
      <c r="I10" s="74" t="str">
        <f>B12</f>
        <v>Total efficiency, annual average, net (%)</v>
      </c>
      <c r="J10" s="56"/>
      <c r="K10" s="56"/>
      <c r="L10" s="57"/>
      <c r="M10" s="57"/>
      <c r="N10" s="57"/>
      <c r="O10" s="56" t="s">
        <v>350</v>
      </c>
      <c r="P10" s="56" t="s">
        <v>326</v>
      </c>
      <c r="Q10" s="56" t="s">
        <v>327</v>
      </c>
      <c r="R10" s="56" t="s">
        <v>351</v>
      </c>
      <c r="S10" s="56" t="s">
        <v>351</v>
      </c>
      <c r="T10" s="56" t="s">
        <v>352</v>
      </c>
      <c r="U10" s="56" t="s">
        <v>352</v>
      </c>
      <c r="V10" s="56" t="s">
        <v>352</v>
      </c>
      <c r="W10" s="56" t="s">
        <v>352</v>
      </c>
      <c r="X10" s="56" t="s">
        <v>352</v>
      </c>
    </row>
    <row r="11" spans="2:24" ht="24.6" thickBot="1">
      <c r="B11" s="125" t="s">
        <v>8</v>
      </c>
      <c r="C11" s="132">
        <v>100</v>
      </c>
      <c r="D11" s="132">
        <v>100</v>
      </c>
      <c r="E11" s="132">
        <v>100</v>
      </c>
      <c r="F11" s="132">
        <v>100</v>
      </c>
      <c r="G11" s="132"/>
      <c r="H11" s="132"/>
    </row>
    <row r="12" spans="2:24" ht="15" thickBot="1">
      <c r="B12" s="125" t="s">
        <v>9</v>
      </c>
      <c r="C12" s="132" t="s">
        <v>39</v>
      </c>
      <c r="D12" s="132" t="s">
        <v>39</v>
      </c>
      <c r="E12" s="132" t="s">
        <v>39</v>
      </c>
      <c r="F12" s="132" t="s">
        <v>39</v>
      </c>
      <c r="G12" s="132" t="s">
        <v>6</v>
      </c>
      <c r="H12" s="132">
        <v>1</v>
      </c>
      <c r="I12" s="71">
        <f>102</f>
        <v>102</v>
      </c>
      <c r="J12" s="58">
        <f>C7</f>
        <v>2015</v>
      </c>
      <c r="K12" s="58">
        <f>J12</f>
        <v>2015</v>
      </c>
      <c r="L12" s="58">
        <f>I12/100</f>
        <v>1.02</v>
      </c>
      <c r="M12" s="58"/>
      <c r="N12" s="58">
        <f>C14</f>
        <v>22</v>
      </c>
      <c r="O12" s="59">
        <f>C29</f>
        <v>2980.0000000000005</v>
      </c>
      <c r="P12" s="59">
        <f>C31</f>
        <v>100.575</v>
      </c>
      <c r="Q12" s="59">
        <f>C32</f>
        <v>14.9</v>
      </c>
      <c r="R12" s="58"/>
      <c r="S12" s="58"/>
      <c r="T12" s="58">
        <f>C16</f>
        <v>0</v>
      </c>
      <c r="U12" s="78">
        <f>C17</f>
        <v>20</v>
      </c>
      <c r="V12" s="78">
        <f>C18</f>
        <v>2</v>
      </c>
      <c r="W12" s="78">
        <f>C19</f>
        <v>0</v>
      </c>
      <c r="X12" s="78">
        <f>C20</f>
        <v>0</v>
      </c>
    </row>
    <row r="13" spans="2:24" ht="15" thickBot="1">
      <c r="B13" s="125" t="s">
        <v>40</v>
      </c>
      <c r="C13" s="132" t="s">
        <v>41</v>
      </c>
      <c r="D13" s="132" t="s">
        <v>42</v>
      </c>
      <c r="E13" s="132" t="s">
        <v>43</v>
      </c>
      <c r="F13" s="132" t="s">
        <v>44</v>
      </c>
      <c r="G13" s="132"/>
      <c r="H13" s="132"/>
      <c r="I13" s="71">
        <f>102</f>
        <v>102</v>
      </c>
      <c r="J13" s="58">
        <f>D7</f>
        <v>2020</v>
      </c>
      <c r="K13" s="58"/>
      <c r="L13" s="58">
        <f>I13/100</f>
        <v>1.02</v>
      </c>
      <c r="M13" s="58"/>
      <c r="N13" s="58">
        <f>D14</f>
        <v>22</v>
      </c>
      <c r="O13" s="59">
        <f>D29</f>
        <v>2980.0000000000005</v>
      </c>
      <c r="P13" s="59">
        <f>D31</f>
        <v>100.575</v>
      </c>
      <c r="Q13" s="59">
        <f>D32</f>
        <v>14.9</v>
      </c>
      <c r="R13" s="58"/>
      <c r="S13" s="58"/>
      <c r="T13" s="58">
        <f>D16</f>
        <v>0</v>
      </c>
      <c r="U13" s="78">
        <f>D17</f>
        <v>10</v>
      </c>
      <c r="V13" s="78">
        <f>D18</f>
        <v>1</v>
      </c>
      <c r="W13" s="78">
        <f>D19</f>
        <v>0</v>
      </c>
      <c r="X13" s="78">
        <f>D20</f>
        <v>0</v>
      </c>
    </row>
    <row r="14" spans="2:24" ht="15" thickBot="1">
      <c r="B14" s="125" t="s">
        <v>11</v>
      </c>
      <c r="C14" s="132">
        <v>22</v>
      </c>
      <c r="D14" s="132">
        <v>22</v>
      </c>
      <c r="E14" s="132">
        <v>22</v>
      </c>
      <c r="F14" s="132">
        <v>22</v>
      </c>
      <c r="G14" s="132" t="s">
        <v>45</v>
      </c>
      <c r="H14" s="132">
        <v>2</v>
      </c>
      <c r="I14" s="71">
        <f>102</f>
        <v>102</v>
      </c>
      <c r="J14" s="58">
        <f>E7</f>
        <v>2030</v>
      </c>
      <c r="K14" s="58"/>
      <c r="L14" s="58">
        <f>I14/100</f>
        <v>1.02</v>
      </c>
      <c r="M14" s="58"/>
      <c r="N14" s="58">
        <f>E14</f>
        <v>22</v>
      </c>
      <c r="O14" s="59">
        <f>E29</f>
        <v>2980.0000000000005</v>
      </c>
      <c r="P14" s="59">
        <f>E31</f>
        <v>100.575</v>
      </c>
      <c r="Q14" s="59">
        <f>E32</f>
        <v>14.9</v>
      </c>
      <c r="R14" s="58"/>
      <c r="S14" s="58"/>
      <c r="T14" s="58">
        <f>E16</f>
        <v>0</v>
      </c>
      <c r="U14" s="78">
        <f>E17</f>
        <v>5</v>
      </c>
      <c r="V14" s="78">
        <f>E18</f>
        <v>0.5</v>
      </c>
      <c r="W14" s="78">
        <f>E19</f>
        <v>0</v>
      </c>
      <c r="X14" s="78">
        <f>E20</f>
        <v>0</v>
      </c>
    </row>
    <row r="15" spans="2:24" ht="15" thickBot="1">
      <c r="B15" s="127" t="s">
        <v>12</v>
      </c>
      <c r="C15" s="128"/>
      <c r="D15" s="128"/>
      <c r="E15" s="128"/>
      <c r="F15" s="128"/>
      <c r="G15" s="128"/>
      <c r="H15" s="129"/>
      <c r="I15" s="71">
        <f>102</f>
        <v>102</v>
      </c>
      <c r="J15" s="58">
        <f>F7</f>
        <v>2050</v>
      </c>
      <c r="K15" s="58"/>
      <c r="L15" s="58">
        <f>I15/100</f>
        <v>1.02</v>
      </c>
      <c r="M15" s="58"/>
      <c r="N15" s="58">
        <f>F14</f>
        <v>22</v>
      </c>
      <c r="O15" s="59">
        <f>F29</f>
        <v>2980.0000000000005</v>
      </c>
      <c r="P15" s="59">
        <f>F31</f>
        <v>100.575</v>
      </c>
      <c r="Q15" s="59">
        <f>F32</f>
        <v>14.9</v>
      </c>
      <c r="R15" s="58"/>
      <c r="S15" s="58"/>
      <c r="T15" s="58">
        <f>F16</f>
        <v>0</v>
      </c>
      <c r="U15" s="78">
        <f>F17</f>
        <v>5</v>
      </c>
      <c r="V15" s="78">
        <f>F18</f>
        <v>0.5</v>
      </c>
      <c r="W15" s="78">
        <f>F19</f>
        <v>0</v>
      </c>
      <c r="X15" s="78">
        <f>F20</f>
        <v>0</v>
      </c>
    </row>
    <row r="16" spans="2:24" ht="15.6" thickBot="1">
      <c r="B16" s="125" t="s">
        <v>13</v>
      </c>
      <c r="C16" s="35">
        <v>0</v>
      </c>
      <c r="D16" s="35">
        <v>0</v>
      </c>
      <c r="E16" s="35">
        <v>0</v>
      </c>
      <c r="F16" s="35">
        <v>0</v>
      </c>
      <c r="G16" s="126"/>
      <c r="H16" s="126">
        <v>5</v>
      </c>
    </row>
    <row r="17" spans="2:10" ht="15.6" thickBot="1">
      <c r="B17" s="125" t="s">
        <v>15</v>
      </c>
      <c r="C17" s="126">
        <v>20</v>
      </c>
      <c r="D17" s="126">
        <v>10</v>
      </c>
      <c r="E17" s="126">
        <v>5</v>
      </c>
      <c r="F17" s="43">
        <f>E17</f>
        <v>5</v>
      </c>
      <c r="G17" s="126" t="s">
        <v>46</v>
      </c>
      <c r="H17" s="126">
        <v>4</v>
      </c>
    </row>
    <row r="18" spans="2:10" ht="15.6" thickBot="1">
      <c r="B18" s="125" t="s">
        <v>17</v>
      </c>
      <c r="C18" s="126">
        <v>2</v>
      </c>
      <c r="D18" s="126">
        <v>1</v>
      </c>
      <c r="E18" s="126">
        <v>0.5</v>
      </c>
      <c r="F18" s="43">
        <f>E18</f>
        <v>0.5</v>
      </c>
      <c r="G18" s="126" t="s">
        <v>25</v>
      </c>
      <c r="H18" s="126">
        <v>5</v>
      </c>
    </row>
    <row r="19" spans="2:10" ht="15.6" thickBot="1">
      <c r="B19" s="125" t="s">
        <v>18</v>
      </c>
      <c r="C19" s="35">
        <v>0</v>
      </c>
      <c r="D19" s="35">
        <v>0</v>
      </c>
      <c r="E19" s="35">
        <v>0</v>
      </c>
      <c r="F19" s="35">
        <v>0</v>
      </c>
      <c r="G19" s="126"/>
      <c r="H19" s="126"/>
    </row>
    <row r="20" spans="2:10" ht="15" thickBot="1">
      <c r="B20" s="125" t="s">
        <v>19</v>
      </c>
      <c r="C20" s="35">
        <v>0</v>
      </c>
      <c r="D20" s="35">
        <v>0</v>
      </c>
      <c r="E20" s="35">
        <v>0</v>
      </c>
      <c r="F20" s="35">
        <v>0</v>
      </c>
      <c r="G20" s="126"/>
      <c r="H20" s="126"/>
      <c r="I20" s="64"/>
      <c r="J20" s="64"/>
    </row>
    <row r="21" spans="2:10" ht="15" thickBot="1">
      <c r="B21" s="3" t="s">
        <v>22</v>
      </c>
      <c r="C21" s="44" t="s">
        <v>325</v>
      </c>
      <c r="D21" s="4"/>
      <c r="E21" s="4"/>
      <c r="F21" s="4"/>
      <c r="G21" s="68" t="s">
        <v>329</v>
      </c>
      <c r="H21" s="39"/>
      <c r="I21" s="64"/>
      <c r="J21" s="64"/>
    </row>
    <row r="22" spans="2:10" ht="15" thickBot="1">
      <c r="B22" s="1" t="s">
        <v>23</v>
      </c>
      <c r="C22" s="43">
        <f>C23/$G30</f>
        <v>0.4</v>
      </c>
      <c r="D22" s="43">
        <f>D23/$G30</f>
        <v>0.4</v>
      </c>
      <c r="E22" s="43">
        <f>E23/$G30</f>
        <v>0.4</v>
      </c>
      <c r="F22" s="43">
        <f>F23/$G30</f>
        <v>0.4</v>
      </c>
      <c r="G22" s="73">
        <f>G30</f>
        <v>10</v>
      </c>
      <c r="H22" s="73" t="str">
        <f>H30</f>
        <v>kW</v>
      </c>
      <c r="I22" s="64"/>
      <c r="J22" s="64"/>
    </row>
    <row r="23" spans="2:10">
      <c r="B23" s="140" t="s">
        <v>24</v>
      </c>
      <c r="C23" s="135">
        <v>4</v>
      </c>
      <c r="D23" s="135">
        <v>4</v>
      </c>
      <c r="E23" s="135">
        <v>4</v>
      </c>
      <c r="F23" s="135">
        <v>4</v>
      </c>
      <c r="G23" s="135" t="s">
        <v>33</v>
      </c>
      <c r="H23" s="135"/>
      <c r="I23" s="64"/>
      <c r="J23" s="64"/>
    </row>
    <row r="24" spans="2:10">
      <c r="B24" s="141" t="s">
        <v>26</v>
      </c>
      <c r="C24" s="136" t="s">
        <v>47</v>
      </c>
      <c r="D24" s="136">
        <v>45</v>
      </c>
      <c r="E24" s="136">
        <v>45</v>
      </c>
      <c r="F24" s="136">
        <v>45</v>
      </c>
      <c r="G24" s="136"/>
      <c r="H24" s="136"/>
      <c r="I24" s="64"/>
      <c r="J24" s="64"/>
    </row>
    <row r="25" spans="2:10" ht="15" thickBot="1">
      <c r="B25" s="142" t="s">
        <v>28</v>
      </c>
      <c r="C25" s="137" t="s">
        <v>48</v>
      </c>
      <c r="D25" s="137">
        <v>55</v>
      </c>
      <c r="E25" s="137">
        <v>55</v>
      </c>
      <c r="F25" s="137">
        <v>55</v>
      </c>
      <c r="G25" s="137"/>
      <c r="H25" s="137"/>
      <c r="I25" s="64"/>
      <c r="J25" s="64"/>
    </row>
    <row r="26" spans="2:10" ht="23.4" thickBot="1">
      <c r="B26" s="142" t="s">
        <v>30</v>
      </c>
      <c r="C26" s="137">
        <v>2</v>
      </c>
      <c r="D26" s="137">
        <v>2</v>
      </c>
      <c r="E26" s="137">
        <v>2</v>
      </c>
      <c r="F26" s="137">
        <v>2</v>
      </c>
      <c r="G26" s="137" t="s">
        <v>49</v>
      </c>
      <c r="H26" s="137">
        <v>6</v>
      </c>
      <c r="I26" s="64"/>
      <c r="J26" s="64"/>
    </row>
    <row r="27" spans="2:10" ht="15" thickBot="1">
      <c r="B27" s="142" t="s">
        <v>64</v>
      </c>
      <c r="C27" s="137">
        <v>135</v>
      </c>
      <c r="D27" s="137">
        <v>135</v>
      </c>
      <c r="E27" s="137">
        <v>135</v>
      </c>
      <c r="F27" s="137">
        <v>135</v>
      </c>
      <c r="G27" s="137" t="s">
        <v>51</v>
      </c>
      <c r="H27" s="137"/>
      <c r="I27" s="64"/>
      <c r="J27" s="64"/>
    </row>
    <row r="28" spans="2:10" ht="15" thickBot="1">
      <c r="B28" s="142" t="s">
        <v>130</v>
      </c>
      <c r="C28" s="137">
        <v>100</v>
      </c>
      <c r="D28" s="137">
        <v>100</v>
      </c>
      <c r="E28" s="137">
        <v>100</v>
      </c>
      <c r="F28" s="137">
        <v>100</v>
      </c>
      <c r="G28" s="137" t="s">
        <v>52</v>
      </c>
      <c r="H28" s="137"/>
      <c r="I28" s="64"/>
      <c r="J28" s="64"/>
    </row>
    <row r="29" spans="2:10">
      <c r="B29" s="36" t="s">
        <v>353</v>
      </c>
      <c r="C29" s="42">
        <f t="shared" ref="C29:F30" si="0">C22*$G$4*1000</f>
        <v>2980.0000000000005</v>
      </c>
      <c r="D29" s="42">
        <f t="shared" si="0"/>
        <v>2980.0000000000005</v>
      </c>
      <c r="E29" s="42">
        <f t="shared" si="0"/>
        <v>2980.0000000000005</v>
      </c>
      <c r="F29" s="42">
        <f t="shared" si="0"/>
        <v>2980.0000000000005</v>
      </c>
      <c r="G29" s="63" t="s">
        <v>332</v>
      </c>
      <c r="H29" s="63"/>
      <c r="I29" s="64"/>
      <c r="J29" s="64"/>
    </row>
    <row r="30" spans="2:10">
      <c r="B30" s="36" t="s">
        <v>354</v>
      </c>
      <c r="C30" s="45">
        <f t="shared" si="0"/>
        <v>29800</v>
      </c>
      <c r="D30" s="42">
        <f t="shared" si="0"/>
        <v>29800</v>
      </c>
      <c r="E30" s="42">
        <f t="shared" si="0"/>
        <v>29800</v>
      </c>
      <c r="F30" s="42">
        <f t="shared" si="0"/>
        <v>29800</v>
      </c>
      <c r="G30" s="67">
        <v>10</v>
      </c>
      <c r="H30" s="63" t="s">
        <v>330</v>
      </c>
      <c r="I30" s="64"/>
      <c r="J30" s="64"/>
    </row>
    <row r="31" spans="2:10">
      <c r="B31" s="36" t="s">
        <v>355</v>
      </c>
      <c r="C31" s="42">
        <f>C27*$G$4/$G$30</f>
        <v>100.575</v>
      </c>
      <c r="D31" s="42">
        <f>D27*$G$4/$G$30</f>
        <v>100.575</v>
      </c>
      <c r="E31" s="42">
        <f>E27*$G$4/$G$30</f>
        <v>100.575</v>
      </c>
      <c r="F31" s="42">
        <f>F27*$G$4/$G$30</f>
        <v>100.575</v>
      </c>
      <c r="G31" s="63" t="s">
        <v>333</v>
      </c>
      <c r="H31" s="63"/>
    </row>
    <row r="32" spans="2:10" ht="15" thickBot="1">
      <c r="B32" s="36" t="s">
        <v>356</v>
      </c>
      <c r="C32" s="36">
        <f>C28*$G$4/50</f>
        <v>14.9</v>
      </c>
      <c r="D32" s="36">
        <f>D28*$G$4/50</f>
        <v>14.9</v>
      </c>
      <c r="E32" s="36">
        <f>E28*$G$4/50</f>
        <v>14.9</v>
      </c>
      <c r="F32" s="36">
        <f>F28*$G$4/50</f>
        <v>14.9</v>
      </c>
      <c r="G32" s="66"/>
      <c r="H32" s="63"/>
    </row>
    <row r="33" spans="2:24" ht="15" customHeight="1">
      <c r="B33" s="1257" t="s">
        <v>0</v>
      </c>
      <c r="C33" s="1259" t="s">
        <v>37</v>
      </c>
      <c r="D33" s="1260"/>
      <c r="E33" s="1260"/>
      <c r="F33" s="1260"/>
      <c r="G33" s="1260"/>
      <c r="H33" s="1261"/>
      <c r="J33" s="1259" t="str">
        <f>C33</f>
        <v>Natural gas boiler</v>
      </c>
      <c r="K33" s="1260"/>
      <c r="L33" s="1260"/>
      <c r="M33" s="1260"/>
      <c r="N33" s="1260"/>
      <c r="O33" s="1261"/>
    </row>
    <row r="34" spans="2:24" ht="15.75" customHeight="1" thickBot="1">
      <c r="B34" s="1258"/>
      <c r="C34" s="1134" t="s">
        <v>53</v>
      </c>
      <c r="D34" s="1135"/>
      <c r="E34" s="1135"/>
      <c r="F34" s="1135"/>
      <c r="G34" s="1135"/>
      <c r="H34" s="1136"/>
      <c r="J34" s="1134" t="str">
        <f>C34</f>
        <v>Apartment complex, existing and new building</v>
      </c>
      <c r="K34" s="1135"/>
      <c r="L34" s="1135"/>
      <c r="M34" s="1135"/>
      <c r="N34" s="1135"/>
      <c r="O34" s="1136"/>
    </row>
    <row r="35" spans="2:24" ht="15" thickBot="1">
      <c r="B35" s="1"/>
      <c r="C35" s="80">
        <v>2015</v>
      </c>
      <c r="D35" s="80">
        <v>2020</v>
      </c>
      <c r="E35" s="80">
        <v>2030</v>
      </c>
      <c r="F35" s="80">
        <v>2050</v>
      </c>
      <c r="G35" s="80" t="s">
        <v>2</v>
      </c>
      <c r="H35" s="80" t="s">
        <v>3</v>
      </c>
      <c r="J35" s="53" t="s">
        <v>357</v>
      </c>
    </row>
    <row r="36" spans="2:24" ht="28.2" thickBot="1">
      <c r="B36" s="127" t="s">
        <v>4</v>
      </c>
      <c r="C36" s="128"/>
      <c r="D36" s="128"/>
      <c r="E36" s="128"/>
      <c r="F36" s="128"/>
      <c r="G36" s="128"/>
      <c r="H36" s="129"/>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25" t="s">
        <v>5</v>
      </c>
      <c r="C37" s="126" t="s">
        <v>54</v>
      </c>
      <c r="D37" s="126" t="s">
        <v>54</v>
      </c>
      <c r="E37" s="126" t="s">
        <v>54</v>
      </c>
      <c r="F37" s="126" t="s">
        <v>54</v>
      </c>
      <c r="G37" s="126"/>
      <c r="H37" s="126"/>
      <c r="J37" s="50"/>
      <c r="K37" s="50"/>
      <c r="L37" s="51"/>
      <c r="M37" s="51"/>
      <c r="N37" s="51"/>
      <c r="O37" s="52"/>
      <c r="P37" s="50"/>
      <c r="Q37" s="50"/>
      <c r="R37" s="50"/>
      <c r="S37" s="50"/>
      <c r="T37" s="50"/>
      <c r="U37" s="50"/>
      <c r="V37" s="50"/>
      <c r="W37" s="50"/>
      <c r="X37" s="50"/>
    </row>
    <row r="38" spans="2:24" ht="72.599999999999994" thickBot="1">
      <c r="B38" s="125" t="s">
        <v>7</v>
      </c>
      <c r="C38" s="126">
        <v>100</v>
      </c>
      <c r="D38" s="126">
        <v>100</v>
      </c>
      <c r="E38" s="126">
        <v>100</v>
      </c>
      <c r="F38" s="126">
        <v>100</v>
      </c>
      <c r="G38" s="126"/>
      <c r="H38" s="126"/>
      <c r="I38" s="74" t="str">
        <f>B40</f>
        <v>Total efficiency, annual average, net (%)</v>
      </c>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25" t="s">
        <v>8</v>
      </c>
      <c r="C39" s="126">
        <v>100</v>
      </c>
      <c r="D39" s="126">
        <v>100</v>
      </c>
      <c r="E39" s="126">
        <v>100</v>
      </c>
      <c r="F39" s="126">
        <v>100</v>
      </c>
      <c r="G39" s="126"/>
      <c r="H39" s="126"/>
      <c r="I39" s="71">
        <f>102</f>
        <v>102</v>
      </c>
      <c r="J39" s="58">
        <f>C35</f>
        <v>2015</v>
      </c>
      <c r="K39" s="58">
        <f>J39</f>
        <v>2015</v>
      </c>
      <c r="L39" s="58">
        <f>I39/100</f>
        <v>1.02</v>
      </c>
      <c r="M39" s="58"/>
      <c r="N39" s="58">
        <f>C42</f>
        <v>25</v>
      </c>
      <c r="O39" s="59">
        <f>C57</f>
        <v>943.66666666666674</v>
      </c>
      <c r="P39" s="59">
        <f>C59</f>
        <v>29.8</v>
      </c>
      <c r="Q39" s="59">
        <f>C60</f>
        <v>14.9</v>
      </c>
      <c r="R39" s="58"/>
      <c r="S39" s="58"/>
      <c r="T39" s="58">
        <f>C44</f>
        <v>0</v>
      </c>
      <c r="U39" s="78">
        <f>C45</f>
        <v>20</v>
      </c>
      <c r="V39" s="78">
        <f>C46</f>
        <v>2</v>
      </c>
      <c r="W39" s="78">
        <f>C47</f>
        <v>0</v>
      </c>
      <c r="X39" s="78">
        <f>C48</f>
        <v>0</v>
      </c>
    </row>
    <row r="40" spans="2:24" ht="15" thickBot="1">
      <c r="B40" s="125" t="s">
        <v>9</v>
      </c>
      <c r="C40" s="126" t="s">
        <v>39</v>
      </c>
      <c r="D40" s="126" t="s">
        <v>39</v>
      </c>
      <c r="E40" s="126" t="s">
        <v>39</v>
      </c>
      <c r="F40" s="126" t="s">
        <v>39</v>
      </c>
      <c r="G40" s="126"/>
      <c r="H40" s="126"/>
      <c r="I40" s="71">
        <f>102</f>
        <v>102</v>
      </c>
      <c r="J40" s="58">
        <f>D35</f>
        <v>2020</v>
      </c>
      <c r="K40" s="58"/>
      <c r="L40" s="58">
        <f>I40/100</f>
        <v>1.02</v>
      </c>
      <c r="M40" s="58"/>
      <c r="N40" s="58">
        <f>D42</f>
        <v>25</v>
      </c>
      <c r="O40" s="59">
        <f>D57</f>
        <v>918.83333333333337</v>
      </c>
      <c r="P40" s="59">
        <f>D59</f>
        <v>29.8</v>
      </c>
      <c r="Q40" s="59">
        <f>D60</f>
        <v>14.9</v>
      </c>
      <c r="R40" s="58"/>
      <c r="S40" s="58"/>
      <c r="T40" s="58">
        <f>D44</f>
        <v>0</v>
      </c>
      <c r="U40" s="78">
        <f>D45</f>
        <v>10</v>
      </c>
      <c r="V40" s="78">
        <f>D46</f>
        <v>1</v>
      </c>
      <c r="W40" s="78">
        <f>D47</f>
        <v>0</v>
      </c>
      <c r="X40" s="78">
        <f>D48</f>
        <v>0</v>
      </c>
    </row>
    <row r="41" spans="2:24" ht="15" thickBot="1">
      <c r="B41" s="125" t="s">
        <v>40</v>
      </c>
      <c r="C41" s="126">
        <v>400</v>
      </c>
      <c r="D41" s="126">
        <v>300</v>
      </c>
      <c r="E41" s="126">
        <v>200</v>
      </c>
      <c r="F41" s="126">
        <v>100</v>
      </c>
      <c r="G41" s="126"/>
      <c r="H41" s="126"/>
      <c r="I41" s="71">
        <f>102</f>
        <v>102</v>
      </c>
      <c r="J41" s="58">
        <f>E35</f>
        <v>2030</v>
      </c>
      <c r="K41" s="58"/>
      <c r="L41" s="58">
        <f>I41/100</f>
        <v>1.02</v>
      </c>
      <c r="M41" s="58"/>
      <c r="N41" s="58">
        <f>E42</f>
        <v>25</v>
      </c>
      <c r="O41" s="59">
        <f>E57</f>
        <v>894.00000000000011</v>
      </c>
      <c r="P41" s="59">
        <f>E59</f>
        <v>29.8</v>
      </c>
      <c r="Q41" s="59">
        <f>E60</f>
        <v>14.9</v>
      </c>
      <c r="R41" s="58"/>
      <c r="S41" s="58"/>
      <c r="T41" s="58">
        <f>E44</f>
        <v>0</v>
      </c>
      <c r="U41" s="78">
        <f>E45</f>
        <v>5</v>
      </c>
      <c r="V41" s="78">
        <f>E46</f>
        <v>0.5</v>
      </c>
      <c r="W41" s="78">
        <f>E47</f>
        <v>0</v>
      </c>
      <c r="X41" s="78">
        <f>E48</f>
        <v>0</v>
      </c>
    </row>
    <row r="42" spans="2:24" ht="15" thickBot="1">
      <c r="B42" s="125" t="s">
        <v>11</v>
      </c>
      <c r="C42" s="126">
        <v>25</v>
      </c>
      <c r="D42" s="126">
        <v>25</v>
      </c>
      <c r="E42" s="126">
        <v>25</v>
      </c>
      <c r="F42" s="126">
        <v>25</v>
      </c>
      <c r="G42" s="126"/>
      <c r="H42" s="126"/>
      <c r="I42" s="71">
        <f>102</f>
        <v>102</v>
      </c>
      <c r="J42" s="58">
        <f>F35</f>
        <v>2050</v>
      </c>
      <c r="K42" s="58"/>
      <c r="L42" s="58">
        <f>I42/100</f>
        <v>1.02</v>
      </c>
      <c r="M42" s="58"/>
      <c r="N42" s="58">
        <f>F42</f>
        <v>25</v>
      </c>
      <c r="O42" s="59">
        <f>F57</f>
        <v>894.00000000000011</v>
      </c>
      <c r="P42" s="59">
        <f>F59</f>
        <v>29.8</v>
      </c>
      <c r="Q42" s="59">
        <f>F60</f>
        <v>14.9</v>
      </c>
      <c r="R42" s="58"/>
      <c r="S42" s="58"/>
      <c r="T42" s="58">
        <f>F44</f>
        <v>0</v>
      </c>
      <c r="U42" s="78">
        <f>F45</f>
        <v>5</v>
      </c>
      <c r="V42" s="78">
        <f>F46</f>
        <v>0.5</v>
      </c>
      <c r="W42" s="78">
        <f>F47</f>
        <v>0</v>
      </c>
      <c r="X42" s="78">
        <f>F48</f>
        <v>0</v>
      </c>
    </row>
    <row r="43" spans="2:24" ht="15" thickBot="1">
      <c r="B43" s="127" t="s">
        <v>12</v>
      </c>
      <c r="C43" s="128"/>
      <c r="D43" s="128"/>
      <c r="E43" s="128"/>
      <c r="F43" s="128"/>
      <c r="G43" s="128"/>
      <c r="H43" s="129"/>
    </row>
    <row r="44" spans="2:24" ht="15.6" thickBot="1">
      <c r="B44" s="125" t="s">
        <v>13</v>
      </c>
      <c r="C44" s="35">
        <v>0</v>
      </c>
      <c r="D44" s="35">
        <v>0</v>
      </c>
      <c r="E44" s="35">
        <v>0</v>
      </c>
      <c r="F44" s="35">
        <v>0</v>
      </c>
      <c r="G44" s="126"/>
      <c r="H44" s="126"/>
    </row>
    <row r="45" spans="2:24" ht="15.6" thickBot="1">
      <c r="B45" s="125" t="s">
        <v>15</v>
      </c>
      <c r="C45" s="126">
        <v>20</v>
      </c>
      <c r="D45" s="126">
        <v>10</v>
      </c>
      <c r="E45" s="126">
        <v>5</v>
      </c>
      <c r="F45" s="126">
        <v>5</v>
      </c>
      <c r="G45" s="126"/>
      <c r="H45" s="126"/>
    </row>
    <row r="46" spans="2:24" ht="15.6" thickBot="1">
      <c r="B46" s="125" t="s">
        <v>17</v>
      </c>
      <c r="C46" s="126">
        <v>2</v>
      </c>
      <c r="D46" s="126">
        <v>1</v>
      </c>
      <c r="E46" s="126">
        <v>0.5</v>
      </c>
      <c r="F46" s="126">
        <v>0.5</v>
      </c>
      <c r="G46" s="126"/>
      <c r="H46" s="126"/>
    </row>
    <row r="47" spans="2:24" ht="15.6" thickBot="1">
      <c r="B47" s="125" t="s">
        <v>18</v>
      </c>
      <c r="C47" s="35">
        <v>0</v>
      </c>
      <c r="D47" s="35">
        <v>0</v>
      </c>
      <c r="E47" s="35">
        <v>0</v>
      </c>
      <c r="F47" s="35">
        <v>0</v>
      </c>
      <c r="G47" s="126"/>
      <c r="H47" s="126"/>
    </row>
    <row r="48" spans="2:24" ht="15" thickBot="1">
      <c r="B48" s="125" t="s">
        <v>19</v>
      </c>
      <c r="C48" s="35">
        <v>0</v>
      </c>
      <c r="D48" s="35">
        <v>0</v>
      </c>
      <c r="E48" s="35">
        <v>0</v>
      </c>
      <c r="F48" s="35">
        <v>0</v>
      </c>
      <c r="G48" s="126"/>
      <c r="H48" s="126"/>
    </row>
    <row r="49" spans="2:13" ht="15" thickBot="1">
      <c r="B49" s="3" t="s">
        <v>22</v>
      </c>
      <c r="C49" s="4"/>
      <c r="D49" s="4"/>
      <c r="E49" s="4"/>
      <c r="F49" s="4"/>
      <c r="G49" s="68" t="s">
        <v>329</v>
      </c>
      <c r="H49" s="39"/>
      <c r="I49" s="64"/>
      <c r="J49" s="64"/>
      <c r="K49" s="64"/>
      <c r="L49" s="64">
        <f>35/750</f>
        <v>4.6666666666666669E-2</v>
      </c>
    </row>
    <row r="50" spans="2:13" ht="15" thickBot="1">
      <c r="B50" s="1" t="s">
        <v>23</v>
      </c>
      <c r="C50" s="41">
        <f>(4/20+40/750)/2</f>
        <v>0.12666666666666668</v>
      </c>
      <c r="D50" s="41">
        <f>(4/20+35/750)/2</f>
        <v>0.12333333333333334</v>
      </c>
      <c r="E50" s="41">
        <f>(4/20+30/750)/2</f>
        <v>0.12000000000000001</v>
      </c>
      <c r="F50" s="41">
        <f>(4/20+30/750)/2</f>
        <v>0.12000000000000001</v>
      </c>
      <c r="G50" s="73">
        <f>G58</f>
        <v>500</v>
      </c>
      <c r="H50" s="73" t="str">
        <f>H58</f>
        <v>kW</v>
      </c>
      <c r="I50" s="64"/>
      <c r="J50" s="64"/>
      <c r="K50" s="64"/>
      <c r="L50" s="64">
        <f>4/20</f>
        <v>0.2</v>
      </c>
      <c r="M50">
        <f>L50/L49</f>
        <v>4.2857142857142856</v>
      </c>
    </row>
    <row r="51" spans="2:13">
      <c r="B51" s="130" t="s">
        <v>24</v>
      </c>
      <c r="C51" s="139" t="s">
        <v>281</v>
      </c>
      <c r="D51" s="139" t="s">
        <v>282</v>
      </c>
      <c r="E51" s="139" t="s">
        <v>283</v>
      </c>
      <c r="F51" s="139" t="s">
        <v>283</v>
      </c>
      <c r="G51" s="131" t="s">
        <v>55</v>
      </c>
      <c r="H51" s="131"/>
      <c r="I51" s="64"/>
      <c r="J51" s="64"/>
      <c r="K51" s="64"/>
      <c r="L51" s="64"/>
    </row>
    <row r="52" spans="2:13">
      <c r="B52" s="130" t="s">
        <v>26</v>
      </c>
      <c r="C52" s="131" t="s">
        <v>56</v>
      </c>
      <c r="D52" s="131" t="s">
        <v>56</v>
      </c>
      <c r="E52" s="131" t="s">
        <v>56</v>
      </c>
      <c r="F52" s="131" t="s">
        <v>56</v>
      </c>
      <c r="G52" s="131"/>
      <c r="H52" s="131"/>
      <c r="I52" s="64"/>
      <c r="J52" s="64"/>
      <c r="K52" s="64"/>
      <c r="L52" s="64"/>
    </row>
    <row r="53" spans="2:13" ht="15" thickBot="1">
      <c r="B53" s="125" t="s">
        <v>28</v>
      </c>
      <c r="C53" s="126" t="s">
        <v>57</v>
      </c>
      <c r="D53" s="126" t="s">
        <v>57</v>
      </c>
      <c r="E53" s="126" t="s">
        <v>57</v>
      </c>
      <c r="F53" s="126" t="s">
        <v>57</v>
      </c>
      <c r="G53" s="126"/>
      <c r="H53" s="126"/>
      <c r="I53" s="64"/>
      <c r="J53" s="64"/>
      <c r="K53" s="64"/>
      <c r="L53" s="64"/>
    </row>
    <row r="54" spans="2:13" ht="24.6" thickBot="1">
      <c r="B54" s="125" t="s">
        <v>30</v>
      </c>
      <c r="C54" s="126">
        <v>2</v>
      </c>
      <c r="D54" s="126">
        <v>2</v>
      </c>
      <c r="E54" s="126">
        <v>2</v>
      </c>
      <c r="F54" s="126">
        <v>2</v>
      </c>
      <c r="G54" s="126" t="s">
        <v>49</v>
      </c>
      <c r="H54" s="126">
        <v>6</v>
      </c>
      <c r="I54" s="64"/>
      <c r="J54" s="64"/>
      <c r="K54" s="64"/>
      <c r="L54" s="64"/>
    </row>
    <row r="55" spans="2:13" ht="15" thickBot="1">
      <c r="B55" s="125" t="s">
        <v>50</v>
      </c>
      <c r="C55" s="126">
        <v>4</v>
      </c>
      <c r="D55" s="126">
        <v>4</v>
      </c>
      <c r="E55" s="126">
        <v>4</v>
      </c>
      <c r="F55" s="126">
        <v>4</v>
      </c>
      <c r="G55" s="126"/>
      <c r="H55" s="126"/>
      <c r="I55" s="64"/>
      <c r="J55" s="64"/>
      <c r="K55" s="64"/>
      <c r="L55" s="64"/>
    </row>
    <row r="56" spans="2:13" ht="15" thickBot="1">
      <c r="B56" s="125" t="s">
        <v>31</v>
      </c>
      <c r="C56" s="126">
        <v>2</v>
      </c>
      <c r="D56" s="126">
        <v>2</v>
      </c>
      <c r="E56" s="126">
        <v>2</v>
      </c>
      <c r="F56" s="126">
        <v>2</v>
      </c>
      <c r="G56" s="126"/>
      <c r="H56" s="126"/>
      <c r="I56" s="64"/>
      <c r="J56" s="64"/>
      <c r="K56" s="64"/>
      <c r="L56" s="64"/>
    </row>
    <row r="57" spans="2:13">
      <c r="B57" s="36" t="s">
        <v>353</v>
      </c>
      <c r="C57" s="42">
        <f>C50*$G$4*1000</f>
        <v>943.66666666666674</v>
      </c>
      <c r="D57" s="42">
        <f>D50*$G$4*1000</f>
        <v>918.83333333333337</v>
      </c>
      <c r="E57" s="42">
        <f>E50*$G$4*1000</f>
        <v>894.00000000000011</v>
      </c>
      <c r="F57" s="42">
        <f>F50*$G$4*1000</f>
        <v>894.00000000000011</v>
      </c>
      <c r="G57" s="63" t="s">
        <v>332</v>
      </c>
      <c r="H57" s="63"/>
      <c r="I57" s="64"/>
      <c r="J57" s="64"/>
      <c r="K57" s="64"/>
      <c r="L57" s="64"/>
    </row>
    <row r="58" spans="2:13">
      <c r="B58" s="36" t="s">
        <v>354</v>
      </c>
      <c r="C58" s="42">
        <f>C57*$G58</f>
        <v>471833.33333333337</v>
      </c>
      <c r="D58" s="42">
        <f>D57*$G58</f>
        <v>459416.66666666669</v>
      </c>
      <c r="E58" s="42">
        <f>E57*$G58</f>
        <v>447000.00000000006</v>
      </c>
      <c r="F58" s="42">
        <f>F57*$G58</f>
        <v>447000.00000000006</v>
      </c>
      <c r="G58" s="67">
        <v>500</v>
      </c>
      <c r="H58" s="63" t="s">
        <v>330</v>
      </c>
      <c r="I58" s="64"/>
      <c r="J58" s="64"/>
      <c r="K58" s="64"/>
      <c r="L58" s="64"/>
    </row>
    <row r="59" spans="2:13">
      <c r="B59" s="36" t="s">
        <v>355</v>
      </c>
      <c r="C59" s="36">
        <f t="shared" ref="C59:F60" si="1">C55*$G$4</f>
        <v>29.8</v>
      </c>
      <c r="D59" s="36">
        <f t="shared" si="1"/>
        <v>29.8</v>
      </c>
      <c r="E59" s="36">
        <f t="shared" si="1"/>
        <v>29.8</v>
      </c>
      <c r="F59" s="36">
        <f t="shared" si="1"/>
        <v>29.8</v>
      </c>
      <c r="G59" s="63" t="s">
        <v>333</v>
      </c>
      <c r="H59" s="63"/>
      <c r="I59" s="64"/>
      <c r="J59" s="64"/>
      <c r="K59" s="64"/>
      <c r="L59" s="64"/>
    </row>
    <row r="60" spans="2:13" ht="15" thickBot="1">
      <c r="B60" s="36" t="s">
        <v>356</v>
      </c>
      <c r="C60" s="36">
        <f t="shared" si="1"/>
        <v>14.9</v>
      </c>
      <c r="D60" s="36">
        <f t="shared" si="1"/>
        <v>14.9</v>
      </c>
      <c r="E60" s="36">
        <f t="shared" si="1"/>
        <v>14.9</v>
      </c>
      <c r="F60" s="36">
        <f t="shared" si="1"/>
        <v>14.9</v>
      </c>
      <c r="G60" s="66"/>
      <c r="H60" s="63"/>
      <c r="I60" s="64"/>
      <c r="J60" s="64"/>
      <c r="K60" s="64"/>
      <c r="L60" s="64"/>
    </row>
    <row r="61" spans="2:13">
      <c r="I61" s="64"/>
      <c r="J61" s="64"/>
      <c r="K61" s="64"/>
      <c r="L61" s="64"/>
    </row>
    <row r="62" spans="2:13">
      <c r="I62" s="64"/>
      <c r="J62" s="64"/>
      <c r="K62" s="64"/>
      <c r="L62" s="64"/>
    </row>
    <row r="156" spans="7:7">
      <c r="G156" s="263" t="s">
        <v>620</v>
      </c>
    </row>
  </sheetData>
  <mergeCells count="10">
    <mergeCell ref="J5:O5"/>
    <mergeCell ref="J6:O6"/>
    <mergeCell ref="J33:O33"/>
    <mergeCell ref="J34:O34"/>
    <mergeCell ref="B5:B6"/>
    <mergeCell ref="C5:H5"/>
    <mergeCell ref="C6:H6"/>
    <mergeCell ref="C33:H33"/>
    <mergeCell ref="B33:B34"/>
    <mergeCell ref="C34:H34"/>
  </mergeCells>
  <pageMargins left="0.7" right="0.7" top="0.75" bottom="0.75" header="0.3" footer="0.3"/>
  <pageSetup paperSize="9" orientation="portrait"/>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
    <tabColor theme="4"/>
  </sheetPr>
  <dimension ref="B1:X156"/>
  <sheetViews>
    <sheetView workbookViewId="0">
      <selection activeCell="M27" sqref="M27"/>
    </sheetView>
  </sheetViews>
  <sheetFormatPr defaultColWidth="9.21875" defaultRowHeight="14.4"/>
  <cols>
    <col min="1" max="1" width="9.21875" style="224"/>
    <col min="2" max="2" width="40.77734375" style="224" customWidth="1"/>
    <col min="3" max="3" width="18.21875" style="224" customWidth="1"/>
    <col min="4" max="5" width="11.5546875" style="224" bestFit="1" customWidth="1"/>
    <col min="6" max="6" width="12.77734375" style="224" bestFit="1" customWidth="1"/>
    <col min="7" max="8" width="9.21875" style="224"/>
    <col min="9" max="9" width="7.5546875" style="224" customWidth="1"/>
    <col min="10" max="16384" width="9.21875" style="224"/>
  </cols>
  <sheetData>
    <row r="1" spans="2:24">
      <c r="B1" s="229" t="s">
        <v>480</v>
      </c>
    </row>
    <row r="2" spans="2:24">
      <c r="B2" s="8" t="s">
        <v>481</v>
      </c>
    </row>
    <row r="3" spans="2:24">
      <c r="B3" s="8"/>
    </row>
    <row r="4" spans="2:24">
      <c r="E4" s="224" t="s">
        <v>358</v>
      </c>
      <c r="G4" s="36">
        <v>7.45</v>
      </c>
      <c r="H4" s="224" t="s">
        <v>328</v>
      </c>
    </row>
    <row r="5" spans="2:24" ht="15" thickBot="1"/>
    <row r="6" spans="2:24">
      <c r="B6" s="1268" t="s">
        <v>0</v>
      </c>
      <c r="C6" s="1269" t="s">
        <v>482</v>
      </c>
      <c r="D6" s="1270"/>
      <c r="E6" s="1270"/>
      <c r="F6" s="1270"/>
      <c r="G6" s="1270"/>
      <c r="H6" s="1271"/>
      <c r="J6" s="1259" t="str">
        <f>C6</f>
        <v>District Heating Boiler, Wood Chips</v>
      </c>
      <c r="K6" s="1260"/>
      <c r="L6" s="1260"/>
      <c r="M6" s="1260"/>
      <c r="N6" s="1260"/>
      <c r="O6" s="1261"/>
    </row>
    <row r="7" spans="2:24" ht="15" thickBot="1">
      <c r="B7" s="1268"/>
      <c r="C7" s="1272"/>
      <c r="D7" s="1273"/>
      <c r="E7" s="1273"/>
      <c r="F7" s="1273"/>
      <c r="G7" s="1273"/>
      <c r="H7" s="1274"/>
      <c r="J7" s="1134"/>
      <c r="K7" s="1135"/>
      <c r="L7" s="1135"/>
      <c r="M7" s="1135"/>
      <c r="N7" s="1135"/>
      <c r="O7" s="1136"/>
    </row>
    <row r="8" spans="2:24">
      <c r="B8" s="233"/>
      <c r="C8" s="234">
        <v>2015</v>
      </c>
      <c r="D8" s="234">
        <v>2020</v>
      </c>
      <c r="E8" s="234">
        <v>2030</v>
      </c>
      <c r="F8" s="234">
        <v>2050</v>
      </c>
      <c r="G8" s="234" t="s">
        <v>2</v>
      </c>
      <c r="H8" s="234" t="s">
        <v>3</v>
      </c>
      <c r="J8" s="53" t="s">
        <v>357</v>
      </c>
    </row>
    <row r="9" spans="2:24" ht="27.6">
      <c r="B9" s="235" t="s">
        <v>4</v>
      </c>
      <c r="C9" s="230"/>
      <c r="D9" s="230"/>
      <c r="E9" s="230"/>
      <c r="F9" s="230"/>
      <c r="G9" s="230"/>
      <c r="H9" s="236"/>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233" t="s">
        <v>483</v>
      </c>
      <c r="C10" s="237" t="s">
        <v>487</v>
      </c>
      <c r="D10" s="237" t="s">
        <v>487</v>
      </c>
      <c r="E10" s="237" t="s">
        <v>487</v>
      </c>
      <c r="F10" s="237" t="s">
        <v>487</v>
      </c>
      <c r="G10" s="238"/>
      <c r="H10" s="238" t="s">
        <v>488</v>
      </c>
      <c r="J10" s="50"/>
      <c r="K10" s="50"/>
      <c r="L10" s="51"/>
      <c r="M10" s="51"/>
      <c r="N10" s="51"/>
      <c r="O10" s="52"/>
      <c r="P10" s="50"/>
      <c r="Q10" s="50"/>
      <c r="R10" s="50"/>
      <c r="S10" s="50"/>
      <c r="T10" s="50"/>
      <c r="U10" s="50"/>
      <c r="V10" s="50"/>
      <c r="W10" s="50"/>
      <c r="X10" s="50"/>
    </row>
    <row r="11" spans="2:24">
      <c r="B11" s="233" t="s">
        <v>363</v>
      </c>
      <c r="C11" s="232">
        <v>108</v>
      </c>
      <c r="D11" s="232">
        <v>108</v>
      </c>
      <c r="E11" s="232">
        <v>108</v>
      </c>
      <c r="F11" s="232">
        <v>108</v>
      </c>
      <c r="G11" s="232"/>
      <c r="H11" s="238" t="s">
        <v>488</v>
      </c>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c r="B12" s="233" t="s">
        <v>484</v>
      </c>
      <c r="C12" s="232" t="s">
        <v>489</v>
      </c>
      <c r="D12" s="232" t="s">
        <v>489</v>
      </c>
      <c r="E12" s="232" t="s">
        <v>489</v>
      </c>
      <c r="F12" s="232" t="s">
        <v>489</v>
      </c>
      <c r="G12" s="232"/>
      <c r="H12" s="238" t="s">
        <v>86</v>
      </c>
      <c r="J12" s="58">
        <f>C8</f>
        <v>2015</v>
      </c>
      <c r="K12" s="58">
        <f>J12</f>
        <v>2015</v>
      </c>
      <c r="L12" s="58">
        <f>C11/100</f>
        <v>1.08</v>
      </c>
      <c r="M12" s="58"/>
      <c r="N12" s="58">
        <f>C13</f>
        <v>20</v>
      </c>
      <c r="O12" s="59">
        <f>C23</f>
        <v>5960.0000000000009</v>
      </c>
      <c r="P12" s="59">
        <f>C26*$D$39</f>
        <v>5.5875000000000004</v>
      </c>
      <c r="Q12" s="59">
        <f>C26*$D$40</f>
        <v>5.5875000000000004</v>
      </c>
      <c r="R12" s="58"/>
      <c r="S12" s="58"/>
      <c r="T12" s="58">
        <f>C16</f>
        <v>1.9</v>
      </c>
      <c r="U12" s="78">
        <f>C17</f>
        <v>81</v>
      </c>
      <c r="V12" s="78">
        <f>C18</f>
        <v>6.1</v>
      </c>
      <c r="W12" s="78">
        <f>C19</f>
        <v>0.8</v>
      </c>
      <c r="X12" s="78"/>
    </row>
    <row r="13" spans="2:24">
      <c r="B13" s="233" t="s">
        <v>11</v>
      </c>
      <c r="C13" s="232">
        <v>20</v>
      </c>
      <c r="D13" s="232">
        <v>20</v>
      </c>
      <c r="E13" s="232">
        <v>20</v>
      </c>
      <c r="F13" s="232">
        <v>20</v>
      </c>
      <c r="G13" s="232"/>
      <c r="H13" s="238" t="s">
        <v>488</v>
      </c>
      <c r="J13" s="58">
        <f>D8</f>
        <v>2020</v>
      </c>
      <c r="K13" s="58"/>
      <c r="L13" s="58">
        <f>D11/100</f>
        <v>1.08</v>
      </c>
      <c r="M13" s="58"/>
      <c r="N13" s="58">
        <f>D13</f>
        <v>20</v>
      </c>
      <c r="O13" s="59">
        <f>D23</f>
        <v>5960.0000000000009</v>
      </c>
      <c r="P13" s="59">
        <f>D26*D$39</f>
        <v>5.5875000000000004</v>
      </c>
      <c r="Q13" s="59">
        <f>D26*$D$40</f>
        <v>5.5875000000000004</v>
      </c>
      <c r="R13" s="58"/>
      <c r="S13" s="58"/>
      <c r="T13" s="58">
        <f>D16</f>
        <v>1.9</v>
      </c>
      <c r="U13" s="78">
        <f>D17</f>
        <v>81</v>
      </c>
      <c r="V13" s="78">
        <f>D18</f>
        <v>6.1</v>
      </c>
      <c r="W13" s="78">
        <f>D19</f>
        <v>0.8</v>
      </c>
      <c r="X13" s="78"/>
    </row>
    <row r="14" spans="2:24">
      <c r="B14" s="233" t="s">
        <v>273</v>
      </c>
      <c r="C14" s="232" t="s">
        <v>490</v>
      </c>
      <c r="D14" s="232" t="s">
        <v>490</v>
      </c>
      <c r="E14" s="232" t="s">
        <v>490</v>
      </c>
      <c r="F14" s="232" t="s">
        <v>490</v>
      </c>
      <c r="G14" s="232"/>
      <c r="H14" s="238" t="s">
        <v>86</v>
      </c>
      <c r="J14" s="58">
        <f>E8</f>
        <v>2030</v>
      </c>
      <c r="K14" s="58"/>
      <c r="L14" s="58">
        <f>E11/100</f>
        <v>1.08</v>
      </c>
      <c r="M14" s="58"/>
      <c r="N14" s="58">
        <f>E13</f>
        <v>20</v>
      </c>
      <c r="O14" s="59">
        <f>E23</f>
        <v>5960.0000000000009</v>
      </c>
      <c r="P14" s="59">
        <f>E26*$D$39</f>
        <v>5.5875000000000004</v>
      </c>
      <c r="Q14" s="59">
        <f>E26*$D$40</f>
        <v>5.5875000000000004</v>
      </c>
      <c r="R14" s="58"/>
      <c r="S14" s="58"/>
      <c r="T14" s="58">
        <f>E16</f>
        <v>1.9</v>
      </c>
      <c r="U14" s="78">
        <f>E17</f>
        <v>81</v>
      </c>
      <c r="V14" s="78">
        <f>E18</f>
        <v>6.1</v>
      </c>
      <c r="W14" s="78">
        <f>E19</f>
        <v>0.8</v>
      </c>
      <c r="X14" s="78"/>
    </row>
    <row r="15" spans="2:24">
      <c r="B15" s="239" t="s">
        <v>12</v>
      </c>
      <c r="C15" s="240"/>
      <c r="D15" s="240"/>
      <c r="E15" s="240"/>
      <c r="F15" s="240"/>
      <c r="G15" s="240"/>
      <c r="H15" s="241"/>
      <c r="J15" s="58">
        <f>F8</f>
        <v>2050</v>
      </c>
      <c r="K15" s="58"/>
      <c r="L15" s="58">
        <f>F11/100</f>
        <v>1.08</v>
      </c>
      <c r="M15" s="58"/>
      <c r="N15" s="58">
        <f>F13</f>
        <v>20</v>
      </c>
      <c r="O15" s="59">
        <f>F23</f>
        <v>5960.0000000000009</v>
      </c>
      <c r="P15" s="59">
        <f>F26*$D$39</f>
        <v>5.5875000000000004</v>
      </c>
      <c r="Q15" s="59">
        <f>F26*$D$40</f>
        <v>5.5875000000000004</v>
      </c>
      <c r="R15" s="58"/>
      <c r="S15" s="58"/>
      <c r="T15" s="58">
        <f>F16</f>
        <v>1.9</v>
      </c>
      <c r="U15" s="78">
        <f>F17</f>
        <v>81</v>
      </c>
      <c r="V15" s="78">
        <f>F18</f>
        <v>6.1</v>
      </c>
      <c r="W15" s="78">
        <f>F19</f>
        <v>0.8</v>
      </c>
      <c r="X15" s="78"/>
    </row>
    <row r="16" spans="2:24" ht="15">
      <c r="B16" s="233" t="s">
        <v>13</v>
      </c>
      <c r="C16" s="231">
        <v>1.9</v>
      </c>
      <c r="D16" s="231">
        <v>1.9</v>
      </c>
      <c r="E16" s="231">
        <v>1.9</v>
      </c>
      <c r="F16" s="231">
        <v>1.9</v>
      </c>
      <c r="G16" s="232"/>
      <c r="H16" s="238" t="s">
        <v>492</v>
      </c>
    </row>
    <row r="17" spans="2:15" ht="15">
      <c r="B17" s="233" t="s">
        <v>15</v>
      </c>
      <c r="C17" s="232">
        <v>81</v>
      </c>
      <c r="D17" s="232">
        <v>81</v>
      </c>
      <c r="E17" s="232">
        <v>81</v>
      </c>
      <c r="F17" s="232">
        <v>81</v>
      </c>
      <c r="G17" s="232"/>
      <c r="H17" s="238" t="s">
        <v>492</v>
      </c>
    </row>
    <row r="18" spans="2:15">
      <c r="B18" s="233" t="s">
        <v>491</v>
      </c>
      <c r="C18" s="232">
        <v>6.1</v>
      </c>
      <c r="D18" s="232">
        <v>6.1</v>
      </c>
      <c r="E18" s="232">
        <v>6.1</v>
      </c>
      <c r="F18" s="232">
        <v>6.1</v>
      </c>
      <c r="G18" s="232"/>
      <c r="H18" s="238" t="s">
        <v>492</v>
      </c>
    </row>
    <row r="19" spans="2:15">
      <c r="B19" s="233" t="s">
        <v>367</v>
      </c>
      <c r="C19" s="244">
        <v>0.8</v>
      </c>
      <c r="D19" s="244">
        <v>0.8</v>
      </c>
      <c r="E19" s="244">
        <v>0.8</v>
      </c>
      <c r="F19" s="244">
        <v>0.8</v>
      </c>
      <c r="G19" s="244"/>
      <c r="H19" s="238" t="s">
        <v>492</v>
      </c>
    </row>
    <row r="20" spans="2:15">
      <c r="B20" s="243" t="s">
        <v>22</v>
      </c>
      <c r="C20" s="245"/>
      <c r="D20" s="246"/>
      <c r="E20" s="246"/>
      <c r="F20" s="246"/>
      <c r="G20" s="247"/>
      <c r="H20" s="248"/>
    </row>
    <row r="21" spans="2:15">
      <c r="B21" s="233" t="s">
        <v>485</v>
      </c>
      <c r="C21" s="249" t="s">
        <v>493</v>
      </c>
      <c r="D21" s="249" t="s">
        <v>493</v>
      </c>
      <c r="E21" s="249" t="s">
        <v>493</v>
      </c>
      <c r="F21" s="249" t="s">
        <v>493</v>
      </c>
      <c r="G21" s="250"/>
      <c r="H21" s="250">
        <v>1</v>
      </c>
      <c r="I21" s="55"/>
      <c r="J21" s="55"/>
      <c r="K21" s="55"/>
      <c r="L21" s="55"/>
      <c r="M21" s="55"/>
      <c r="N21" s="55"/>
      <c r="O21" s="55"/>
    </row>
    <row r="22" spans="2:15">
      <c r="B22" s="233" t="s">
        <v>486</v>
      </c>
      <c r="C22" s="231">
        <v>5.4</v>
      </c>
      <c r="D22" s="231">
        <v>5.4</v>
      </c>
      <c r="E22" s="231">
        <v>5.4</v>
      </c>
      <c r="F22" s="231">
        <v>5.4</v>
      </c>
      <c r="G22" s="231"/>
      <c r="H22" s="231">
        <v>1</v>
      </c>
      <c r="I22" s="242"/>
      <c r="J22" s="54"/>
      <c r="K22" s="54"/>
      <c r="L22" s="75"/>
      <c r="M22" s="75"/>
      <c r="N22" s="54"/>
      <c r="O22" s="54"/>
    </row>
    <row r="23" spans="2:15">
      <c r="B23" s="36" t="s">
        <v>353</v>
      </c>
      <c r="C23" s="42">
        <f>((1.1+0.5)/2*$G$4)*1000</f>
        <v>5960.0000000000009</v>
      </c>
      <c r="D23" s="42">
        <f>((1.1+0.5)/2*$G$4)*1000</f>
        <v>5960.0000000000009</v>
      </c>
      <c r="E23" s="42">
        <f>((1.1+0.5)/2*$G$4)*1000</f>
        <v>5960.0000000000009</v>
      </c>
      <c r="F23" s="42">
        <f>((1.1+0.5)/2*$G$4)*1000</f>
        <v>5960.0000000000009</v>
      </c>
      <c r="G23" s="63" t="s">
        <v>332</v>
      </c>
      <c r="H23" s="63"/>
    </row>
    <row r="24" spans="2:15">
      <c r="B24" s="36" t="s">
        <v>354</v>
      </c>
      <c r="C24" s="42">
        <f>C23*$G$24</f>
        <v>2980000.0000000005</v>
      </c>
      <c r="D24" s="42">
        <f>D23*$G$24</f>
        <v>2980000.0000000005</v>
      </c>
      <c r="E24" s="42">
        <f>E23*$G$24</f>
        <v>2980000.0000000005</v>
      </c>
      <c r="F24" s="42">
        <f>F23*$G$24</f>
        <v>2980000.0000000005</v>
      </c>
      <c r="G24" s="67">
        <v>500</v>
      </c>
      <c r="H24" s="63" t="s">
        <v>330</v>
      </c>
      <c r="I24" s="37"/>
    </row>
    <row r="25" spans="2:15">
      <c r="B25" s="36" t="s">
        <v>355</v>
      </c>
      <c r="C25" s="42"/>
      <c r="D25" s="42"/>
      <c r="E25" s="42"/>
      <c r="F25" s="42"/>
      <c r="G25" s="63"/>
      <c r="H25" s="63"/>
    </row>
    <row r="26" spans="2:15" ht="15" thickBot="1">
      <c r="B26" s="36" t="s">
        <v>356</v>
      </c>
      <c r="C26" s="251">
        <f>C22*$G$4/3.6</f>
        <v>11.175000000000001</v>
      </c>
      <c r="D26" s="251">
        <f>D22*$G$4/3.6</f>
        <v>11.175000000000001</v>
      </c>
      <c r="E26" s="251">
        <f>E22*$G$4/3.6</f>
        <v>11.175000000000001</v>
      </c>
      <c r="F26" s="251">
        <f>F22*$G$4/3.6</f>
        <v>11.175000000000001</v>
      </c>
      <c r="G26" s="66"/>
      <c r="H26" s="63"/>
    </row>
    <row r="30" spans="2:15">
      <c r="B30" s="224" t="s">
        <v>494</v>
      </c>
    </row>
    <row r="31" spans="2:15">
      <c r="B31" s="224" t="s">
        <v>495</v>
      </c>
    </row>
    <row r="32" spans="2:15">
      <c r="B32" s="224" t="s">
        <v>496</v>
      </c>
    </row>
    <row r="34" spans="2:4">
      <c r="B34" s="305" t="s">
        <v>630</v>
      </c>
      <c r="C34" s="303"/>
      <c r="D34" s="303"/>
    </row>
    <row r="35" spans="2:4">
      <c r="B35" s="303"/>
      <c r="C35" s="303"/>
      <c r="D35" s="303"/>
    </row>
    <row r="36" spans="2:4">
      <c r="B36" s="303" t="s">
        <v>631</v>
      </c>
      <c r="C36" s="303"/>
      <c r="D36" s="303"/>
    </row>
    <row r="37" spans="2:4">
      <c r="B37" s="303" t="s">
        <v>632</v>
      </c>
      <c r="C37" s="303"/>
      <c r="D37" s="303"/>
    </row>
    <row r="38" spans="2:4">
      <c r="B38" s="303"/>
      <c r="C38" s="303"/>
      <c r="D38" s="303"/>
    </row>
    <row r="39" spans="2:4">
      <c r="B39" s="303" t="s">
        <v>633</v>
      </c>
      <c r="C39" s="303" t="s">
        <v>634</v>
      </c>
      <c r="D39" s="304">
        <v>0.5</v>
      </c>
    </row>
    <row r="40" spans="2:4">
      <c r="B40" s="303"/>
      <c r="C40" s="303" t="s">
        <v>635</v>
      </c>
      <c r="D40" s="304">
        <f>1-D39</f>
        <v>0.5</v>
      </c>
    </row>
    <row r="156" spans="7:7">
      <c r="G156" s="263" t="s">
        <v>620</v>
      </c>
    </row>
  </sheetData>
  <mergeCells count="5">
    <mergeCell ref="B6:B7"/>
    <mergeCell ref="C6:H6"/>
    <mergeCell ref="J6:O6"/>
    <mergeCell ref="C7:H7"/>
    <mergeCell ref="J7:O7"/>
  </mergeCells>
  <pageMargins left="0.7" right="0.7" top="0.75" bottom="0.75" header="0.3" footer="0.3"/>
  <pageSetup paperSize="9" orientation="portrait"/>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8">
    <tabColor theme="4"/>
  </sheetPr>
  <dimension ref="B3:X156"/>
  <sheetViews>
    <sheetView topLeftCell="A85" workbookViewId="0">
      <selection activeCell="L46" sqref="L46"/>
    </sheetView>
  </sheetViews>
  <sheetFormatPr defaultRowHeight="14.4"/>
  <cols>
    <col min="2" max="2" width="40.77734375" customWidth="1"/>
    <col min="3" max="3" width="18.21875" customWidth="1"/>
    <col min="4" max="5" width="11.5546875" bestFit="1" customWidth="1"/>
    <col min="6" max="6" width="12.77734375" bestFit="1" customWidth="1"/>
    <col min="9" max="9" width="7.5546875" customWidth="1"/>
  </cols>
  <sheetData>
    <row r="3" spans="2:24">
      <c r="B3" s="8" t="s">
        <v>310</v>
      </c>
    </row>
    <row r="4" spans="2:24">
      <c r="E4" t="s">
        <v>358</v>
      </c>
      <c r="G4" s="36">
        <v>7.45</v>
      </c>
      <c r="H4" t="s">
        <v>328</v>
      </c>
    </row>
    <row r="5" spans="2:24" ht="15" thickBot="1"/>
    <row r="6" spans="2:24">
      <c r="B6" s="1257" t="s">
        <v>0</v>
      </c>
      <c r="C6" s="1259" t="s">
        <v>66</v>
      </c>
      <c r="D6" s="1260"/>
      <c r="E6" s="1260"/>
      <c r="F6" s="1260"/>
      <c r="G6" s="1260"/>
      <c r="H6" s="1261"/>
      <c r="J6" s="1259" t="str">
        <f>C6</f>
        <v>Biomass boiler, automatic stoking</v>
      </c>
      <c r="K6" s="1260"/>
      <c r="L6" s="1260"/>
      <c r="M6" s="1260"/>
      <c r="N6" s="1260"/>
      <c r="O6" s="1261"/>
    </row>
    <row r="7" spans="2:24" ht="15" thickBot="1">
      <c r="B7" s="1258"/>
      <c r="C7" s="1134" t="s">
        <v>1</v>
      </c>
      <c r="D7" s="1135"/>
      <c r="E7" s="1135"/>
      <c r="F7" s="1135"/>
      <c r="G7" s="1135"/>
      <c r="H7" s="1136"/>
      <c r="J7" s="1134" t="str">
        <f>C7</f>
        <v>One-family house, existing building</v>
      </c>
      <c r="K7" s="1135"/>
      <c r="L7" s="1135"/>
      <c r="M7" s="1135"/>
      <c r="N7" s="1135"/>
      <c r="O7" s="1136"/>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7" t="s">
        <v>284</v>
      </c>
      <c r="D10" s="27" t="s">
        <v>277</v>
      </c>
      <c r="E10" s="27" t="s">
        <v>285</v>
      </c>
      <c r="F10" s="27" t="s">
        <v>285</v>
      </c>
      <c r="G10" s="2" t="s">
        <v>6</v>
      </c>
      <c r="H10" s="2" t="s">
        <v>67</v>
      </c>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c r="H12" s="2"/>
      <c r="J12" s="58">
        <f>C8</f>
        <v>2015</v>
      </c>
      <c r="K12" s="58">
        <f>J12</f>
        <v>2015</v>
      </c>
      <c r="L12" s="58">
        <f>C13/100</f>
        <v>0.8</v>
      </c>
      <c r="M12" s="58"/>
      <c r="N12" s="58">
        <f>C14</f>
        <v>20</v>
      </c>
      <c r="O12" s="59">
        <f>C29</f>
        <v>3600.8333333333339</v>
      </c>
      <c r="P12" s="59">
        <f>C31</f>
        <v>14.9</v>
      </c>
      <c r="Q12" s="59">
        <f>C32</f>
        <v>0</v>
      </c>
      <c r="R12" s="58"/>
      <c r="S12" s="58"/>
      <c r="T12" s="58">
        <f>C16</f>
        <v>0</v>
      </c>
      <c r="U12" s="78">
        <f>C17</f>
        <v>90</v>
      </c>
      <c r="V12" s="78">
        <f>C18</f>
        <v>3</v>
      </c>
      <c r="W12" s="78">
        <f>C19</f>
        <v>0</v>
      </c>
      <c r="X12" s="78">
        <f>C20</f>
        <v>10</v>
      </c>
    </row>
    <row r="13" spans="2:24" ht="15" thickBot="1">
      <c r="B13" s="1" t="s">
        <v>9</v>
      </c>
      <c r="C13" s="2">
        <v>80</v>
      </c>
      <c r="D13" s="2">
        <v>87</v>
      </c>
      <c r="E13" s="2">
        <v>91</v>
      </c>
      <c r="F13" s="2">
        <v>95</v>
      </c>
      <c r="G13" s="2" t="s">
        <v>59</v>
      </c>
      <c r="H13" s="2" t="s">
        <v>21</v>
      </c>
      <c r="J13" s="58">
        <f>D8</f>
        <v>2020</v>
      </c>
      <c r="K13" s="58"/>
      <c r="L13" s="58">
        <f>D13/100</f>
        <v>0.87</v>
      </c>
      <c r="M13" s="58"/>
      <c r="N13" s="58">
        <f>D14</f>
        <v>20</v>
      </c>
      <c r="O13" s="59">
        <f>D29</f>
        <v>3911.2500000000005</v>
      </c>
      <c r="P13" s="59">
        <f>D31</f>
        <v>14.9</v>
      </c>
      <c r="Q13" s="59">
        <f>D32</f>
        <v>0</v>
      </c>
      <c r="R13" s="58"/>
      <c r="S13" s="58"/>
      <c r="T13" s="58">
        <f>D16</f>
        <v>0</v>
      </c>
      <c r="U13" s="78">
        <f>D17</f>
        <v>70</v>
      </c>
      <c r="V13" s="78">
        <f>D18</f>
        <v>2</v>
      </c>
      <c r="W13" s="78">
        <f>D19</f>
        <v>0</v>
      </c>
      <c r="X13" s="78">
        <f>D20</f>
        <v>8</v>
      </c>
    </row>
    <row r="14" spans="2:24" ht="15" thickBot="1">
      <c r="B14" s="1" t="s">
        <v>11</v>
      </c>
      <c r="C14" s="2">
        <v>20</v>
      </c>
      <c r="D14" s="2">
        <v>20</v>
      </c>
      <c r="E14" s="2">
        <v>20</v>
      </c>
      <c r="F14" s="2">
        <v>20</v>
      </c>
      <c r="G14" s="2"/>
      <c r="H14" s="2">
        <v>7</v>
      </c>
      <c r="J14" s="58">
        <f>E8</f>
        <v>2030</v>
      </c>
      <c r="K14" s="58"/>
      <c r="L14" s="58">
        <f>E13/100</f>
        <v>0.91</v>
      </c>
      <c r="M14" s="58"/>
      <c r="N14" s="58">
        <f>E14</f>
        <v>20</v>
      </c>
      <c r="O14" s="59">
        <f>E29</f>
        <v>4842.5</v>
      </c>
      <c r="P14" s="59">
        <f>E31</f>
        <v>22.35</v>
      </c>
      <c r="Q14" s="59">
        <f>E32</f>
        <v>0</v>
      </c>
      <c r="R14" s="58"/>
      <c r="S14" s="58"/>
      <c r="T14" s="58">
        <f>E16</f>
        <v>0</v>
      </c>
      <c r="U14" s="78">
        <f>E17</f>
        <v>50</v>
      </c>
      <c r="V14" s="78">
        <f>E18</f>
        <v>1</v>
      </c>
      <c r="W14" s="78">
        <f>E19</f>
        <v>0</v>
      </c>
      <c r="X14" s="78">
        <f>E20</f>
        <v>6</v>
      </c>
    </row>
    <row r="15" spans="2:24" ht="15" thickBot="1">
      <c r="B15" s="3" t="s">
        <v>12</v>
      </c>
      <c r="C15" s="4"/>
      <c r="D15" s="4"/>
      <c r="E15" s="4"/>
      <c r="F15" s="4"/>
      <c r="G15" s="4"/>
      <c r="H15" s="5"/>
      <c r="J15" s="58">
        <f>F8</f>
        <v>2050</v>
      </c>
      <c r="K15" s="58"/>
      <c r="L15" s="58">
        <f>F13/100</f>
        <v>0.95</v>
      </c>
      <c r="M15" s="58"/>
      <c r="N15" s="58">
        <f>F14</f>
        <v>20</v>
      </c>
      <c r="O15" s="59">
        <f>F29</f>
        <v>4842.5</v>
      </c>
      <c r="P15" s="59">
        <f>F31</f>
        <v>22.35</v>
      </c>
      <c r="Q15" s="59">
        <f>F32</f>
        <v>0</v>
      </c>
      <c r="R15" s="58"/>
      <c r="S15" s="58"/>
      <c r="T15" s="58">
        <f>F16</f>
        <v>0</v>
      </c>
      <c r="U15" s="78">
        <f>F17</f>
        <v>40</v>
      </c>
      <c r="V15" s="78">
        <f>F18</f>
        <v>0</v>
      </c>
      <c r="W15" s="78">
        <f>F19</f>
        <v>0</v>
      </c>
      <c r="X15" s="78">
        <f>F20</f>
        <v>4</v>
      </c>
    </row>
    <row r="16" spans="2:24" ht="15.6" thickBot="1">
      <c r="B16" s="1" t="s">
        <v>13</v>
      </c>
      <c r="C16" s="35">
        <v>0</v>
      </c>
      <c r="D16" s="35">
        <v>0</v>
      </c>
      <c r="E16" s="35">
        <v>0</v>
      </c>
      <c r="F16" s="35">
        <v>0</v>
      </c>
      <c r="G16" s="2"/>
      <c r="H16" s="2"/>
    </row>
    <row r="17" spans="2:15" ht="15.6" thickBot="1">
      <c r="B17" s="1" t="s">
        <v>15</v>
      </c>
      <c r="C17" s="2">
        <v>90</v>
      </c>
      <c r="D17" s="2">
        <v>70</v>
      </c>
      <c r="E17" s="2">
        <v>50</v>
      </c>
      <c r="F17" s="2">
        <v>40</v>
      </c>
      <c r="G17" s="2"/>
      <c r="H17" s="2">
        <v>5</v>
      </c>
    </row>
    <row r="18" spans="2:15" ht="15.6" thickBot="1">
      <c r="B18" s="1" t="s">
        <v>17</v>
      </c>
      <c r="C18" s="2">
        <v>3</v>
      </c>
      <c r="D18" s="2">
        <v>2</v>
      </c>
      <c r="E18" s="2">
        <v>1</v>
      </c>
      <c r="F18" s="2">
        <v>0</v>
      </c>
      <c r="G18" s="2"/>
      <c r="H18" s="2" t="s">
        <v>69</v>
      </c>
    </row>
    <row r="19" spans="2:15" ht="15.6" thickBot="1">
      <c r="B19" s="1" t="s">
        <v>18</v>
      </c>
      <c r="C19" s="35">
        <v>0</v>
      </c>
      <c r="D19" s="35">
        <v>0</v>
      </c>
      <c r="E19" s="35">
        <v>0</v>
      </c>
      <c r="F19" s="35">
        <v>0</v>
      </c>
      <c r="G19" s="2"/>
      <c r="H19" s="2"/>
    </row>
    <row r="20" spans="2:15" ht="15" thickBot="1">
      <c r="B20" s="1" t="s">
        <v>19</v>
      </c>
      <c r="C20" s="2">
        <v>10</v>
      </c>
      <c r="D20" s="2">
        <v>8</v>
      </c>
      <c r="E20" s="2">
        <v>6</v>
      </c>
      <c r="F20" s="2">
        <v>4</v>
      </c>
      <c r="G20" s="2" t="s">
        <v>16</v>
      </c>
      <c r="H20" s="2" t="s">
        <v>69</v>
      </c>
    </row>
    <row r="21" spans="2:15" ht="15" thickBot="1">
      <c r="B21" s="3" t="s">
        <v>22</v>
      </c>
      <c r="C21" s="4"/>
      <c r="D21" s="4"/>
      <c r="E21" s="4"/>
      <c r="F21" s="4"/>
      <c r="G21" s="68" t="s">
        <v>329</v>
      </c>
      <c r="H21" s="39"/>
    </row>
    <row r="22" spans="2:15" ht="15" thickBot="1">
      <c r="B22" s="1" t="s">
        <v>23</v>
      </c>
      <c r="C22" s="41">
        <f>(2.5/6+11/20)/2</f>
        <v>0.48333333333333339</v>
      </c>
      <c r="D22" s="41">
        <f>(2.5/5+11/20)/2</f>
        <v>0.52500000000000002</v>
      </c>
      <c r="E22" s="41">
        <f>(3/4+11/20)/2</f>
        <v>0.65</v>
      </c>
      <c r="F22" s="41">
        <f>(3/4+11/20)/2</f>
        <v>0.65</v>
      </c>
      <c r="G22" s="73">
        <f>G30</f>
        <v>13</v>
      </c>
      <c r="H22" s="73" t="str">
        <f>H30</f>
        <v>kW</v>
      </c>
      <c r="I22" s="62"/>
      <c r="J22" s="55"/>
      <c r="K22" s="55"/>
      <c r="L22" s="55"/>
      <c r="M22" s="55"/>
      <c r="N22" s="55"/>
      <c r="O22" s="55"/>
    </row>
    <row r="23" spans="2:15">
      <c r="B23" s="6" t="s">
        <v>24</v>
      </c>
      <c r="C23" s="7" t="s">
        <v>70</v>
      </c>
      <c r="D23" s="7" t="s">
        <v>70</v>
      </c>
      <c r="E23" s="28" t="s">
        <v>286</v>
      </c>
      <c r="F23" s="28" t="s">
        <v>286</v>
      </c>
      <c r="G23" s="7" t="s">
        <v>33</v>
      </c>
      <c r="H23" s="54"/>
      <c r="I23" s="77"/>
      <c r="J23" s="54"/>
      <c r="K23" s="54"/>
      <c r="L23" s="75"/>
      <c r="M23" s="75"/>
      <c r="N23" s="54"/>
      <c r="O23" s="54"/>
    </row>
    <row r="24" spans="2:15">
      <c r="B24" s="6" t="s">
        <v>71</v>
      </c>
      <c r="C24" s="29" t="s">
        <v>72</v>
      </c>
      <c r="D24" s="28" t="s">
        <v>72</v>
      </c>
      <c r="E24" s="29" t="s">
        <v>70</v>
      </c>
      <c r="F24" s="29" t="s">
        <v>70</v>
      </c>
      <c r="G24" s="7"/>
      <c r="H24" s="54"/>
      <c r="I24" s="77"/>
      <c r="J24" s="76"/>
      <c r="K24" s="75"/>
      <c r="L24" s="76"/>
      <c r="M24" s="76"/>
      <c r="N24" s="54"/>
      <c r="O24" s="54"/>
    </row>
    <row r="25" spans="2:15" ht="15" thickBot="1">
      <c r="B25" s="1" t="s">
        <v>73</v>
      </c>
      <c r="C25" s="2" t="s">
        <v>74</v>
      </c>
      <c r="D25" s="2" t="s">
        <v>74</v>
      </c>
      <c r="E25" s="2" t="s">
        <v>74</v>
      </c>
      <c r="F25" s="2" t="s">
        <v>74</v>
      </c>
      <c r="G25" s="2"/>
      <c r="H25" s="38"/>
      <c r="I25" s="77"/>
      <c r="J25" s="54"/>
      <c r="K25" s="54"/>
      <c r="L25" s="54"/>
      <c r="M25" s="54"/>
      <c r="N25" s="54"/>
      <c r="O25" s="54"/>
    </row>
    <row r="26" spans="2:15" ht="15" thickBot="1">
      <c r="B26" s="1" t="s">
        <v>30</v>
      </c>
      <c r="C26" s="2">
        <v>1.6</v>
      </c>
      <c r="D26" s="2">
        <v>1.6</v>
      </c>
      <c r="E26" s="2">
        <v>1.6</v>
      </c>
      <c r="F26" s="2">
        <v>1.6</v>
      </c>
      <c r="G26" s="2" t="s">
        <v>75</v>
      </c>
      <c r="H26" s="38"/>
      <c r="I26" s="62"/>
      <c r="J26" s="55"/>
      <c r="K26" s="55"/>
      <c r="L26" s="55"/>
      <c r="M26" s="55"/>
      <c r="N26" s="55"/>
      <c r="O26" s="55"/>
    </row>
    <row r="27" spans="2:15" ht="15" thickBot="1">
      <c r="B27" s="1" t="s">
        <v>50</v>
      </c>
      <c r="C27" s="2">
        <v>2</v>
      </c>
      <c r="D27" s="2">
        <v>2</v>
      </c>
      <c r="E27" s="2">
        <v>3</v>
      </c>
      <c r="F27" s="2">
        <v>3</v>
      </c>
      <c r="G27" s="2" t="s">
        <v>76</v>
      </c>
      <c r="H27" s="2">
        <v>6</v>
      </c>
    </row>
    <row r="28" spans="2:15" ht="15" thickBot="1">
      <c r="B28" s="1" t="s">
        <v>31</v>
      </c>
      <c r="C28" s="35">
        <v>0</v>
      </c>
      <c r="D28" s="35">
        <v>0</v>
      </c>
      <c r="E28" s="35">
        <v>0</v>
      </c>
      <c r="F28" s="35">
        <v>0</v>
      </c>
      <c r="G28" s="2"/>
      <c r="H28" s="2"/>
    </row>
    <row r="29" spans="2:15">
      <c r="B29" s="36" t="s">
        <v>353</v>
      </c>
      <c r="C29" s="42">
        <f>C22*$G$4*1000</f>
        <v>3600.8333333333339</v>
      </c>
      <c r="D29" s="42">
        <f>D22*$G$4*1000</f>
        <v>3911.2500000000005</v>
      </c>
      <c r="E29" s="42">
        <f>E22*$G$4*1000</f>
        <v>4842.5</v>
      </c>
      <c r="F29" s="42">
        <f>F22*$G$4*1000</f>
        <v>4842.5</v>
      </c>
      <c r="G29" s="63" t="s">
        <v>332</v>
      </c>
      <c r="H29" s="63"/>
    </row>
    <row r="30" spans="2:15">
      <c r="B30" s="36" t="s">
        <v>354</v>
      </c>
      <c r="C30" s="42">
        <f>C29*$G$30</f>
        <v>46810.833333333343</v>
      </c>
      <c r="D30" s="42">
        <f>D29*$G$30</f>
        <v>50846.250000000007</v>
      </c>
      <c r="E30" s="42">
        <f>E29*$G$30</f>
        <v>62952.5</v>
      </c>
      <c r="F30" s="42">
        <f>F29*$G$30</f>
        <v>62952.5</v>
      </c>
      <c r="G30" s="67">
        <v>13</v>
      </c>
      <c r="H30" s="63" t="s">
        <v>330</v>
      </c>
      <c r="I30" s="37"/>
    </row>
    <row r="31" spans="2:15">
      <c r="B31" s="36" t="s">
        <v>355</v>
      </c>
      <c r="C31" s="42">
        <f>C27*$G$4</f>
        <v>14.9</v>
      </c>
      <c r="D31" s="42">
        <f>D27*$G$4</f>
        <v>14.9</v>
      </c>
      <c r="E31" s="42">
        <f>E27*$G$4</f>
        <v>22.35</v>
      </c>
      <c r="F31" s="42">
        <f>F27*$G$4</f>
        <v>22.35</v>
      </c>
      <c r="G31" s="63" t="s">
        <v>333</v>
      </c>
      <c r="H31" s="63"/>
    </row>
    <row r="32" spans="2:15" ht="15" thickBot="1">
      <c r="B32" s="36" t="s">
        <v>356</v>
      </c>
      <c r="C32" s="103">
        <f>C28</f>
        <v>0</v>
      </c>
      <c r="D32" s="103">
        <f>D28</f>
        <v>0</v>
      </c>
      <c r="E32" s="103">
        <f>E28</f>
        <v>0</v>
      </c>
      <c r="F32" s="103">
        <f>F28</f>
        <v>0</v>
      </c>
      <c r="G32" s="66"/>
      <c r="H32" s="63"/>
    </row>
    <row r="33" spans="2:24">
      <c r="B33" s="1257" t="s">
        <v>0</v>
      </c>
      <c r="C33" s="1259" t="s">
        <v>66</v>
      </c>
      <c r="D33" s="1260"/>
      <c r="E33" s="1260"/>
      <c r="F33" s="1260"/>
      <c r="G33" s="1260"/>
      <c r="H33" s="1261"/>
      <c r="J33" s="1259" t="str">
        <f>C33</f>
        <v>Biomass boiler, automatic stoking</v>
      </c>
      <c r="K33" s="1260"/>
      <c r="L33" s="1260"/>
      <c r="M33" s="1260"/>
      <c r="N33" s="1260"/>
      <c r="O33" s="1261"/>
    </row>
    <row r="34" spans="2:24" ht="15" thickBot="1">
      <c r="B34" s="1258"/>
      <c r="C34" s="1134" t="s">
        <v>32</v>
      </c>
      <c r="D34" s="1135"/>
      <c r="E34" s="1135"/>
      <c r="F34" s="1135"/>
      <c r="G34" s="1135"/>
      <c r="H34" s="1136"/>
      <c r="J34" s="1134" t="str">
        <f>C34</f>
        <v>Apartment complex, existing building</v>
      </c>
      <c r="K34" s="1135"/>
      <c r="L34" s="1135"/>
      <c r="M34" s="1135"/>
      <c r="N34" s="1135"/>
      <c r="O34" s="1136"/>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9" t="s">
        <v>77</v>
      </c>
      <c r="D37" s="9" t="s">
        <v>77</v>
      </c>
      <c r="E37" s="9" t="s">
        <v>77</v>
      </c>
      <c r="F37" s="9" t="s">
        <v>77</v>
      </c>
      <c r="G37" s="9"/>
      <c r="H37" s="9"/>
      <c r="J37" s="50"/>
      <c r="K37" s="50"/>
      <c r="L37" s="51"/>
      <c r="M37" s="51"/>
      <c r="N37" s="51"/>
      <c r="O37" s="52"/>
      <c r="P37" s="50"/>
      <c r="Q37" s="50"/>
      <c r="R37" s="50"/>
      <c r="S37" s="50"/>
      <c r="T37" s="50"/>
      <c r="U37" s="50"/>
      <c r="V37" s="50"/>
      <c r="W37" s="50"/>
      <c r="X37" s="50"/>
    </row>
    <row r="38" spans="2:24" ht="24.6" thickBot="1">
      <c r="B38" s="1" t="s">
        <v>7</v>
      </c>
      <c r="C38" s="9">
        <v>100</v>
      </c>
      <c r="D38" s="9">
        <v>100</v>
      </c>
      <c r="E38" s="9">
        <v>100</v>
      </c>
      <c r="F38" s="9">
        <v>100</v>
      </c>
      <c r="G38" s="9"/>
      <c r="H38" s="9"/>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9">
        <v>100</v>
      </c>
      <c r="D39" s="9">
        <v>100</v>
      </c>
      <c r="E39" s="9">
        <v>100</v>
      </c>
      <c r="F39" s="9">
        <v>100</v>
      </c>
      <c r="G39" s="9"/>
      <c r="H39" s="9"/>
      <c r="J39" s="58">
        <f>C35</f>
        <v>2015</v>
      </c>
      <c r="K39" s="58">
        <f>J39</f>
        <v>2015</v>
      </c>
      <c r="L39" s="58">
        <f>C40/100</f>
        <v>0.85</v>
      </c>
      <c r="M39" s="58"/>
      <c r="N39" s="58">
        <f>C41</f>
        <v>20</v>
      </c>
      <c r="O39" s="59">
        <f>C56</f>
        <v>1490.0000000000002</v>
      </c>
      <c r="P39" s="59">
        <f>C58</f>
        <v>46.935000000000002</v>
      </c>
      <c r="Q39" s="59">
        <f>C59</f>
        <v>0</v>
      </c>
      <c r="R39" s="58"/>
      <c r="S39" s="58"/>
      <c r="T39" s="58">
        <f>C43</f>
        <v>0</v>
      </c>
      <c r="U39" s="78">
        <f>C44</f>
        <v>90</v>
      </c>
      <c r="V39" s="78">
        <f>C45</f>
        <v>3</v>
      </c>
      <c r="W39" s="78">
        <f>C46</f>
        <v>0</v>
      </c>
      <c r="X39" s="78">
        <f>C47</f>
        <v>10</v>
      </c>
    </row>
    <row r="40" spans="2:24" ht="15" thickBot="1">
      <c r="B40" s="1" t="s">
        <v>9</v>
      </c>
      <c r="C40" s="9">
        <v>85</v>
      </c>
      <c r="D40" s="9">
        <v>87</v>
      </c>
      <c r="E40" s="9">
        <v>91</v>
      </c>
      <c r="F40" s="9">
        <v>95</v>
      </c>
      <c r="G40" s="9"/>
      <c r="H40" s="9">
        <v>5</v>
      </c>
      <c r="J40" s="58">
        <f>D35</f>
        <v>2020</v>
      </c>
      <c r="K40" s="58"/>
      <c r="L40" s="58">
        <f>D40/100</f>
        <v>0.87</v>
      </c>
      <c r="M40" s="58"/>
      <c r="N40" s="58">
        <f>D41</f>
        <v>20</v>
      </c>
      <c r="O40" s="59">
        <f>D56</f>
        <v>1490.0000000000002</v>
      </c>
      <c r="P40" s="59">
        <f>D58</f>
        <v>46.935000000000002</v>
      </c>
      <c r="Q40" s="59">
        <f>D59</f>
        <v>0</v>
      </c>
      <c r="R40" s="58"/>
      <c r="S40" s="58"/>
      <c r="T40" s="58">
        <f>D43</f>
        <v>0</v>
      </c>
      <c r="U40" s="78">
        <f>D44</f>
        <v>70</v>
      </c>
      <c r="V40" s="78">
        <f>D45</f>
        <v>2</v>
      </c>
      <c r="W40" s="78">
        <f>D46</f>
        <v>0</v>
      </c>
      <c r="X40" s="78">
        <f>D47</f>
        <v>8</v>
      </c>
    </row>
    <row r="41" spans="2:24" ht="15" thickBot="1">
      <c r="B41" s="1" t="s">
        <v>11</v>
      </c>
      <c r="C41" s="9">
        <v>20</v>
      </c>
      <c r="D41" s="9">
        <v>20</v>
      </c>
      <c r="E41" s="9">
        <v>20</v>
      </c>
      <c r="F41" s="9">
        <v>20</v>
      </c>
      <c r="G41" s="9"/>
      <c r="H41" s="9">
        <v>7</v>
      </c>
      <c r="J41" s="58">
        <f>E35</f>
        <v>2030</v>
      </c>
      <c r="K41" s="58"/>
      <c r="L41" s="58">
        <f>E40/100</f>
        <v>0.91</v>
      </c>
      <c r="M41" s="58"/>
      <c r="N41" s="58">
        <f>E41</f>
        <v>20</v>
      </c>
      <c r="O41" s="59">
        <f>E56</f>
        <v>1490.0000000000002</v>
      </c>
      <c r="P41" s="59">
        <f>E58</f>
        <v>52.15</v>
      </c>
      <c r="Q41" s="59">
        <f>E59</f>
        <v>0</v>
      </c>
      <c r="R41" s="58"/>
      <c r="S41" s="58"/>
      <c r="T41" s="58">
        <f>E43</f>
        <v>0</v>
      </c>
      <c r="U41" s="78">
        <f>E44</f>
        <v>50</v>
      </c>
      <c r="V41" s="78">
        <f>E45</f>
        <v>1</v>
      </c>
      <c r="W41" s="78">
        <f>E46</f>
        <v>0</v>
      </c>
      <c r="X41" s="78">
        <f>E47</f>
        <v>6</v>
      </c>
    </row>
    <row r="42" spans="2:24" ht="15" thickBot="1">
      <c r="B42" s="3" t="s">
        <v>12</v>
      </c>
      <c r="C42" s="12"/>
      <c r="D42" s="12"/>
      <c r="E42" s="12"/>
      <c r="F42" s="12"/>
      <c r="G42" s="12"/>
      <c r="H42" s="13"/>
      <c r="J42" s="58">
        <f>F35</f>
        <v>2050</v>
      </c>
      <c r="K42" s="58"/>
      <c r="L42" s="58">
        <f>F40/100</f>
        <v>0.95</v>
      </c>
      <c r="M42" s="58"/>
      <c r="N42" s="58">
        <f>F41</f>
        <v>20</v>
      </c>
      <c r="O42" s="59">
        <f>F56</f>
        <v>1490.0000000000002</v>
      </c>
      <c r="P42" s="59">
        <f>F58</f>
        <v>59.6</v>
      </c>
      <c r="Q42" s="59">
        <f>F59</f>
        <v>0</v>
      </c>
      <c r="R42" s="58"/>
      <c r="S42" s="58"/>
      <c r="T42" s="58">
        <f>F43</f>
        <v>0</v>
      </c>
      <c r="U42" s="78">
        <f>F44</f>
        <v>40</v>
      </c>
      <c r="V42" s="78">
        <f>F45</f>
        <v>0</v>
      </c>
      <c r="W42" s="78">
        <f>F46</f>
        <v>0</v>
      </c>
      <c r="X42" s="78">
        <f>F47</f>
        <v>4</v>
      </c>
    </row>
    <row r="43" spans="2:24" ht="15.6" thickBot="1">
      <c r="B43" s="1" t="s">
        <v>13</v>
      </c>
      <c r="C43" s="179">
        <v>0</v>
      </c>
      <c r="D43" s="179">
        <v>0</v>
      </c>
      <c r="E43" s="179">
        <v>0</v>
      </c>
      <c r="F43" s="179">
        <v>0</v>
      </c>
      <c r="G43" s="9"/>
      <c r="H43" s="9"/>
    </row>
    <row r="44" spans="2:24" ht="15.6" thickBot="1">
      <c r="B44" s="1" t="s">
        <v>15</v>
      </c>
      <c r="C44" s="9">
        <v>90</v>
      </c>
      <c r="D44" s="9">
        <v>70</v>
      </c>
      <c r="E44" s="9">
        <v>50</v>
      </c>
      <c r="F44" s="9">
        <v>40</v>
      </c>
      <c r="G44" s="9"/>
      <c r="H44" s="9">
        <v>5</v>
      </c>
    </row>
    <row r="45" spans="2:24" ht="15.6" thickBot="1">
      <c r="B45" s="1" t="s">
        <v>17</v>
      </c>
      <c r="C45" s="9">
        <v>3</v>
      </c>
      <c r="D45" s="9">
        <v>2</v>
      </c>
      <c r="E45" s="9">
        <v>1</v>
      </c>
      <c r="F45" s="9">
        <v>0</v>
      </c>
      <c r="G45" s="9"/>
      <c r="H45" s="9" t="s">
        <v>69</v>
      </c>
    </row>
    <row r="46" spans="2:24" ht="15.6" thickBot="1">
      <c r="B46" s="1" t="s">
        <v>18</v>
      </c>
      <c r="C46" s="179">
        <v>0</v>
      </c>
      <c r="D46" s="179">
        <v>0</v>
      </c>
      <c r="E46" s="179">
        <v>0</v>
      </c>
      <c r="F46" s="179">
        <v>0</v>
      </c>
      <c r="G46" s="9"/>
      <c r="H46" s="9"/>
    </row>
    <row r="47" spans="2:24" ht="15" thickBot="1">
      <c r="B47" s="1" t="s">
        <v>19</v>
      </c>
      <c r="C47" s="9">
        <v>10</v>
      </c>
      <c r="D47" s="9">
        <v>8</v>
      </c>
      <c r="E47" s="9">
        <v>6</v>
      </c>
      <c r="F47" s="9">
        <v>4</v>
      </c>
      <c r="G47" s="9"/>
      <c r="H47" s="9">
        <v>5</v>
      </c>
    </row>
    <row r="48" spans="2:24" ht="15" thickBot="1">
      <c r="B48" s="3" t="s">
        <v>22</v>
      </c>
      <c r="C48" s="12"/>
      <c r="D48" s="12"/>
      <c r="E48" s="12"/>
      <c r="F48" s="12"/>
      <c r="G48" s="12"/>
      <c r="H48" s="13"/>
    </row>
    <row r="49" spans="2:24" ht="15" thickBot="1">
      <c r="B49" s="1" t="s">
        <v>23</v>
      </c>
      <c r="C49" s="9">
        <v>0.17</v>
      </c>
      <c r="D49" s="9">
        <v>0.17</v>
      </c>
      <c r="E49" s="9">
        <v>0.17</v>
      </c>
      <c r="F49" s="9">
        <v>0.17</v>
      </c>
      <c r="G49" s="9"/>
      <c r="H49" s="9">
        <v>7</v>
      </c>
    </row>
    <row r="50" spans="2:24">
      <c r="B50" s="6" t="s">
        <v>24</v>
      </c>
      <c r="C50" s="14" t="s">
        <v>68</v>
      </c>
      <c r="D50" s="14" t="s">
        <v>68</v>
      </c>
      <c r="E50" s="14" t="s">
        <v>68</v>
      </c>
      <c r="F50" s="14" t="s">
        <v>68</v>
      </c>
      <c r="G50" s="14"/>
      <c r="H50" s="14"/>
    </row>
    <row r="51" spans="2:24">
      <c r="B51" s="6" t="s">
        <v>71</v>
      </c>
      <c r="C51" s="14" t="s">
        <v>68</v>
      </c>
      <c r="D51" s="14" t="s">
        <v>68</v>
      </c>
      <c r="E51" s="14" t="s">
        <v>68</v>
      </c>
      <c r="F51" s="14" t="s">
        <v>68</v>
      </c>
      <c r="G51" s="14"/>
      <c r="H51" s="14"/>
    </row>
    <row r="52" spans="2:24" ht="15" thickBot="1">
      <c r="B52" s="1" t="s">
        <v>73</v>
      </c>
      <c r="C52" s="9" t="s">
        <v>68</v>
      </c>
      <c r="D52" s="9" t="s">
        <v>68</v>
      </c>
      <c r="E52" s="9" t="s">
        <v>68</v>
      </c>
      <c r="F52" s="9" t="s">
        <v>68</v>
      </c>
      <c r="G52" s="9"/>
      <c r="H52" s="9"/>
    </row>
    <row r="53" spans="2:24" ht="15" thickBot="1">
      <c r="B53" s="1" t="s">
        <v>30</v>
      </c>
      <c r="C53" s="25" t="s">
        <v>287</v>
      </c>
      <c r="D53" s="25" t="s">
        <v>287</v>
      </c>
      <c r="E53" s="25" t="s">
        <v>288</v>
      </c>
      <c r="F53" s="25" t="s">
        <v>288</v>
      </c>
      <c r="G53" s="9" t="s">
        <v>76</v>
      </c>
      <c r="H53" s="9"/>
    </row>
    <row r="54" spans="2:24" ht="15" thickBot="1">
      <c r="B54" s="1" t="s">
        <v>50</v>
      </c>
      <c r="C54" s="9">
        <v>6.3</v>
      </c>
      <c r="D54" s="9">
        <v>6.3</v>
      </c>
      <c r="E54" s="9">
        <v>7</v>
      </c>
      <c r="F54" s="9">
        <v>8</v>
      </c>
      <c r="G54" s="9" t="s">
        <v>25</v>
      </c>
      <c r="H54" s="9">
        <v>7</v>
      </c>
    </row>
    <row r="55" spans="2:24" ht="15" thickBot="1">
      <c r="B55" s="1" t="s">
        <v>31</v>
      </c>
      <c r="C55" s="179">
        <v>0</v>
      </c>
      <c r="D55" s="179">
        <v>0</v>
      </c>
      <c r="E55" s="179">
        <v>0</v>
      </c>
      <c r="F55" s="179">
        <v>0</v>
      </c>
      <c r="G55" s="9"/>
      <c r="H55" s="9"/>
    </row>
    <row r="56" spans="2:24">
      <c r="B56" s="36" t="s">
        <v>353</v>
      </c>
      <c r="C56" s="42">
        <f>(C49+((5+25)/2/$G$57))*$G$4*1000</f>
        <v>1490.0000000000002</v>
      </c>
      <c r="D56" s="42">
        <f>(D49+((5+25)/2/$G$57))*$G$4*1000</f>
        <v>1490.0000000000002</v>
      </c>
      <c r="E56" s="42">
        <f>(E49+((5+25)/2/$G$57))*$G$4*1000</f>
        <v>1490.0000000000002</v>
      </c>
      <c r="F56" s="42">
        <f>(F49+((5+25)/2/$G$57))*$G$4*1000</f>
        <v>1490.0000000000002</v>
      </c>
      <c r="G56" s="63" t="s">
        <v>332</v>
      </c>
      <c r="H56" s="63"/>
    </row>
    <row r="57" spans="2:24">
      <c r="B57" s="36" t="s">
        <v>354</v>
      </c>
      <c r="C57" s="42">
        <f>C56*$G$57</f>
        <v>745000.00000000012</v>
      </c>
      <c r="D57" s="42">
        <f>D56*$G$57</f>
        <v>745000.00000000012</v>
      </c>
      <c r="E57" s="42">
        <f>E56*$G$57</f>
        <v>745000.00000000012</v>
      </c>
      <c r="F57" s="42">
        <f>F56*$G$57</f>
        <v>745000.00000000012</v>
      </c>
      <c r="G57" s="67">
        <v>500</v>
      </c>
      <c r="H57" s="63" t="s">
        <v>330</v>
      </c>
    </row>
    <row r="58" spans="2:24">
      <c r="B58" s="36" t="s">
        <v>355</v>
      </c>
      <c r="C58" s="42">
        <f>C54*$G$4</f>
        <v>46.935000000000002</v>
      </c>
      <c r="D58" s="42">
        <f>D54*$G$4</f>
        <v>46.935000000000002</v>
      </c>
      <c r="E58" s="42">
        <f>E54*$G$4</f>
        <v>52.15</v>
      </c>
      <c r="F58" s="42">
        <f>F54*$G$4</f>
        <v>59.6</v>
      </c>
      <c r="G58" s="63" t="s">
        <v>333</v>
      </c>
      <c r="H58" s="63"/>
    </row>
    <row r="59" spans="2:24" ht="15" thickBot="1">
      <c r="B59" s="36" t="s">
        <v>356</v>
      </c>
      <c r="C59" s="42">
        <f>C55</f>
        <v>0</v>
      </c>
      <c r="D59" s="42">
        <f>D55</f>
        <v>0</v>
      </c>
      <c r="E59" s="42">
        <f>E55</f>
        <v>0</v>
      </c>
      <c r="F59" s="42">
        <f>F55</f>
        <v>0</v>
      </c>
      <c r="G59" s="66"/>
      <c r="H59" s="63"/>
    </row>
    <row r="60" spans="2:24">
      <c r="B60" s="1257" t="s">
        <v>0</v>
      </c>
      <c r="C60" s="1259" t="s">
        <v>66</v>
      </c>
      <c r="D60" s="1260"/>
      <c r="E60" s="1260"/>
      <c r="F60" s="1260"/>
      <c r="G60" s="1260"/>
      <c r="H60" s="1261"/>
      <c r="J60" s="1259" t="str">
        <f>C60</f>
        <v>Biomass boiler, automatic stoking</v>
      </c>
      <c r="K60" s="1260"/>
      <c r="L60" s="1260"/>
      <c r="M60" s="1260"/>
      <c r="N60" s="1260"/>
      <c r="O60" s="1261"/>
    </row>
    <row r="61" spans="2:24" ht="15" thickBot="1">
      <c r="B61" s="1258"/>
      <c r="C61" s="1134" t="s">
        <v>34</v>
      </c>
      <c r="D61" s="1135"/>
      <c r="E61" s="1135"/>
      <c r="F61" s="1135"/>
      <c r="G61" s="1135"/>
      <c r="H61" s="1136"/>
      <c r="J61" s="1134" t="str">
        <f>C61</f>
        <v>One-family house, new building</v>
      </c>
      <c r="K61" s="1135"/>
      <c r="L61" s="1135"/>
      <c r="M61" s="1135"/>
      <c r="N61" s="1135"/>
      <c r="O61" s="1136"/>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5" t="s">
        <v>284</v>
      </c>
      <c r="D64" s="25" t="s">
        <v>289</v>
      </c>
      <c r="E64" s="25" t="s">
        <v>290</v>
      </c>
      <c r="F64" s="25" t="s">
        <v>291</v>
      </c>
      <c r="G64" s="9" t="s">
        <v>6</v>
      </c>
      <c r="H64" s="9" t="s">
        <v>67</v>
      </c>
      <c r="J64" s="50"/>
      <c r="K64" s="50"/>
      <c r="L64" s="51"/>
      <c r="M64" s="51"/>
      <c r="N64" s="51"/>
      <c r="O64" s="52"/>
      <c r="P64" s="50"/>
      <c r="Q64" s="50"/>
      <c r="R64" s="50"/>
      <c r="S64" s="50"/>
      <c r="T64" s="50"/>
      <c r="U64" s="50"/>
      <c r="V64" s="50"/>
      <c r="W64" s="50"/>
      <c r="X64" s="50"/>
    </row>
    <row r="65" spans="2:24" ht="24.6" thickBot="1">
      <c r="B65" s="1" t="s">
        <v>7</v>
      </c>
      <c r="C65" s="9">
        <v>100</v>
      </c>
      <c r="D65" s="9">
        <v>100</v>
      </c>
      <c r="E65" s="9">
        <v>100</v>
      </c>
      <c r="F65" s="9">
        <v>100</v>
      </c>
      <c r="G65" s="9"/>
      <c r="H65" s="9"/>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9">
        <v>100</v>
      </c>
      <c r="D66" s="9">
        <v>100</v>
      </c>
      <c r="E66" s="9">
        <v>100</v>
      </c>
      <c r="F66" s="9">
        <v>100</v>
      </c>
      <c r="G66" s="9"/>
      <c r="H66" s="9"/>
      <c r="J66" s="58">
        <f>C62</f>
        <v>2015</v>
      </c>
      <c r="K66" s="58">
        <f>J66</f>
        <v>2015</v>
      </c>
      <c r="L66" s="58">
        <f>C67/100</f>
        <v>0.8</v>
      </c>
      <c r="M66" s="58"/>
      <c r="N66" s="58">
        <f>C68</f>
        <v>20</v>
      </c>
      <c r="O66" s="59">
        <f>C83</f>
        <v>3620.2033333333338</v>
      </c>
      <c r="P66" s="59">
        <f>C85</f>
        <v>14.9</v>
      </c>
      <c r="Q66" s="59">
        <f>C86</f>
        <v>0</v>
      </c>
      <c r="R66" s="58"/>
      <c r="S66" s="58"/>
      <c r="T66" s="58">
        <f>C70</f>
        <v>0</v>
      </c>
      <c r="U66" s="78">
        <f>C71</f>
        <v>90</v>
      </c>
      <c r="V66" s="78">
        <f>C72</f>
        <v>3</v>
      </c>
      <c r="W66" s="78">
        <f>C73</f>
        <v>0</v>
      </c>
      <c r="X66" s="78">
        <f>C74</f>
        <v>10</v>
      </c>
    </row>
    <row r="67" spans="2:24" ht="15" thickBot="1">
      <c r="B67" s="1" t="s">
        <v>9</v>
      </c>
      <c r="C67" s="9">
        <v>80</v>
      </c>
      <c r="D67" s="9">
        <v>87</v>
      </c>
      <c r="E67" s="9">
        <v>91</v>
      </c>
      <c r="F67" s="9">
        <v>95</v>
      </c>
      <c r="G67" s="9" t="s">
        <v>59</v>
      </c>
      <c r="H67" s="9" t="s">
        <v>21</v>
      </c>
      <c r="J67" s="58">
        <f>D62</f>
        <v>2020</v>
      </c>
      <c r="K67" s="58"/>
      <c r="L67" s="58">
        <f>D67/100</f>
        <v>0.87</v>
      </c>
      <c r="M67" s="58"/>
      <c r="N67" s="58">
        <f>D68</f>
        <v>20</v>
      </c>
      <c r="O67" s="59">
        <f>D83</f>
        <v>4158.2588888888895</v>
      </c>
      <c r="P67" s="59">
        <f>D85</f>
        <v>14.9</v>
      </c>
      <c r="Q67" s="59">
        <f>D86</f>
        <v>0</v>
      </c>
      <c r="R67" s="58"/>
      <c r="S67" s="58"/>
      <c r="T67" s="58">
        <f>D70</f>
        <v>0</v>
      </c>
      <c r="U67" s="78">
        <f>D71</f>
        <v>70</v>
      </c>
      <c r="V67" s="78">
        <f>D72</f>
        <v>2</v>
      </c>
      <c r="W67" s="78">
        <f>D73</f>
        <v>0</v>
      </c>
      <c r="X67" s="78">
        <f>D74</f>
        <v>8</v>
      </c>
    </row>
    <row r="68" spans="2:24" ht="15" thickBot="1">
      <c r="B68" s="1" t="s">
        <v>11</v>
      </c>
      <c r="C68" s="9">
        <v>20</v>
      </c>
      <c r="D68" s="9">
        <v>20</v>
      </c>
      <c r="E68" s="9">
        <v>20</v>
      </c>
      <c r="F68" s="9">
        <v>20</v>
      </c>
      <c r="G68" s="9"/>
      <c r="H68" s="9">
        <v>7</v>
      </c>
      <c r="J68" s="58">
        <f>E62</f>
        <v>2030</v>
      </c>
      <c r="K68" s="58"/>
      <c r="L68" s="58">
        <f>E67/100</f>
        <v>0.91</v>
      </c>
      <c r="M68" s="58"/>
      <c r="N68" s="58">
        <f>E68</f>
        <v>20</v>
      </c>
      <c r="O68" s="59">
        <f>E83</f>
        <v>5606.8700000000008</v>
      </c>
      <c r="P68" s="59">
        <f>E85</f>
        <v>22.35</v>
      </c>
      <c r="Q68" s="59">
        <f>E86</f>
        <v>0</v>
      </c>
      <c r="R68" s="58"/>
      <c r="S68" s="58"/>
      <c r="T68" s="58">
        <f>E70</f>
        <v>0</v>
      </c>
      <c r="U68" s="78">
        <f>E71</f>
        <v>50</v>
      </c>
      <c r="V68" s="78">
        <f>E72</f>
        <v>1</v>
      </c>
      <c r="W68" s="78">
        <f>E73</f>
        <v>0</v>
      </c>
      <c r="X68" s="78">
        <f>E74</f>
        <v>6</v>
      </c>
    </row>
    <row r="69" spans="2:24" ht="15" thickBot="1">
      <c r="B69" s="3" t="s">
        <v>12</v>
      </c>
      <c r="C69" s="12"/>
      <c r="D69" s="12"/>
      <c r="E69" s="12"/>
      <c r="F69" s="12"/>
      <c r="G69" s="12"/>
      <c r="H69" s="13"/>
      <c r="J69" s="58">
        <f>F62</f>
        <v>2050</v>
      </c>
      <c r="K69" s="58"/>
      <c r="L69" s="58">
        <f>F67/100</f>
        <v>0.95</v>
      </c>
      <c r="M69" s="58"/>
      <c r="N69" s="58">
        <f>F68</f>
        <v>20</v>
      </c>
      <c r="O69" s="59">
        <f>F83</f>
        <v>6005.9771428571439</v>
      </c>
      <c r="P69" s="59">
        <f>F85</f>
        <v>22.35</v>
      </c>
      <c r="Q69" s="59">
        <f>F86</f>
        <v>0</v>
      </c>
      <c r="R69" s="58"/>
      <c r="S69" s="58"/>
      <c r="T69" s="58">
        <f>F70</f>
        <v>0</v>
      </c>
      <c r="U69" s="78">
        <f>F71</f>
        <v>40</v>
      </c>
      <c r="V69" s="78">
        <f>F72</f>
        <v>0</v>
      </c>
      <c r="W69" s="78">
        <f>F73</f>
        <v>0</v>
      </c>
      <c r="X69" s="78">
        <f>F74</f>
        <v>4</v>
      </c>
    </row>
    <row r="70" spans="2:24" ht="15.6" thickBot="1">
      <c r="B70" s="1" t="s">
        <v>13</v>
      </c>
      <c r="C70" s="179">
        <v>0</v>
      </c>
      <c r="D70" s="179">
        <v>0</v>
      </c>
      <c r="E70" s="179">
        <v>0</v>
      </c>
      <c r="F70" s="179">
        <v>0</v>
      </c>
      <c r="G70" s="9"/>
      <c r="H70" s="9"/>
    </row>
    <row r="71" spans="2:24" ht="15.6" thickBot="1">
      <c r="B71" s="1" t="s">
        <v>15</v>
      </c>
      <c r="C71" s="9">
        <v>90</v>
      </c>
      <c r="D71" s="9">
        <v>70</v>
      </c>
      <c r="E71" s="9">
        <v>50</v>
      </c>
      <c r="F71" s="9">
        <v>40</v>
      </c>
      <c r="G71" s="9"/>
      <c r="H71" s="9">
        <v>5</v>
      </c>
    </row>
    <row r="72" spans="2:24" ht="15.6" thickBot="1">
      <c r="B72" s="1" t="s">
        <v>17</v>
      </c>
      <c r="C72" s="9">
        <v>3</v>
      </c>
      <c r="D72" s="9">
        <v>2</v>
      </c>
      <c r="E72" s="9">
        <v>1</v>
      </c>
      <c r="F72" s="9">
        <v>0</v>
      </c>
      <c r="G72" s="9"/>
      <c r="H72" s="9" t="s">
        <v>69</v>
      </c>
    </row>
    <row r="73" spans="2:24" ht="15.6" thickBot="1">
      <c r="B73" s="1" t="s">
        <v>18</v>
      </c>
      <c r="C73" s="179">
        <v>0</v>
      </c>
      <c r="D73" s="179">
        <v>0</v>
      </c>
      <c r="E73" s="179">
        <v>0</v>
      </c>
      <c r="F73" s="179">
        <v>0</v>
      </c>
      <c r="G73" s="9"/>
      <c r="H73" s="9"/>
    </row>
    <row r="74" spans="2:24" ht="15" thickBot="1">
      <c r="B74" s="1" t="s">
        <v>19</v>
      </c>
      <c r="C74" s="9">
        <v>10</v>
      </c>
      <c r="D74" s="9">
        <v>8</v>
      </c>
      <c r="E74" s="9">
        <v>6</v>
      </c>
      <c r="F74" s="9">
        <v>4</v>
      </c>
      <c r="G74" s="9" t="s">
        <v>16</v>
      </c>
      <c r="H74" s="9" t="s">
        <v>69</v>
      </c>
    </row>
    <row r="75" spans="2:24" ht="15" thickBot="1">
      <c r="B75" s="3" t="s">
        <v>22</v>
      </c>
      <c r="C75" s="4"/>
      <c r="D75" s="4"/>
      <c r="E75" s="4"/>
      <c r="F75" s="4"/>
      <c r="G75" s="68" t="s">
        <v>329</v>
      </c>
      <c r="H75" s="39"/>
    </row>
    <row r="76" spans="2:24" ht="15" thickBot="1">
      <c r="B76" s="1" t="s">
        <v>23</v>
      </c>
      <c r="C76" s="41">
        <f>(2.5/6+11/20)/2</f>
        <v>0.48333333333333339</v>
      </c>
      <c r="D76" s="41">
        <f>(2.5/5+11/18)/2</f>
        <v>0.55555555555555558</v>
      </c>
      <c r="E76" s="41">
        <f>(3/4+12/16)/2</f>
        <v>0.75</v>
      </c>
      <c r="F76" s="41">
        <f>(3/4+12/14)/2</f>
        <v>0.8035714285714286</v>
      </c>
      <c r="G76" s="73">
        <f>G84</f>
        <v>500</v>
      </c>
      <c r="H76" s="73" t="str">
        <f>H84</f>
        <v>kW</v>
      </c>
    </row>
    <row r="77" spans="2:24">
      <c r="B77" s="6" t="s">
        <v>24</v>
      </c>
      <c r="C77" s="30" t="s">
        <v>70</v>
      </c>
      <c r="D77" s="30" t="s">
        <v>70</v>
      </c>
      <c r="E77" s="31" t="s">
        <v>286</v>
      </c>
      <c r="F77" s="31" t="s">
        <v>286</v>
      </c>
      <c r="G77" s="14" t="s">
        <v>33</v>
      </c>
      <c r="H77" s="14"/>
    </row>
    <row r="78" spans="2:24">
      <c r="B78" s="6" t="s">
        <v>71</v>
      </c>
      <c r="C78" s="30" t="s">
        <v>72</v>
      </c>
      <c r="D78" s="31" t="s">
        <v>72</v>
      </c>
      <c r="E78" s="14" t="s">
        <v>70</v>
      </c>
      <c r="F78" s="14" t="s">
        <v>70</v>
      </c>
      <c r="G78" s="14"/>
      <c r="H78" s="14"/>
    </row>
    <row r="79" spans="2:24" ht="15" thickBot="1">
      <c r="B79" s="1" t="s">
        <v>73</v>
      </c>
      <c r="C79" s="9" t="s">
        <v>74</v>
      </c>
      <c r="D79" s="9" t="s">
        <v>74</v>
      </c>
      <c r="E79" s="9" t="s">
        <v>74</v>
      </c>
      <c r="F79" s="9" t="s">
        <v>74</v>
      </c>
      <c r="G79" s="9"/>
      <c r="H79" s="9"/>
    </row>
    <row r="80" spans="2:24" ht="15" thickBot="1">
      <c r="B80" s="1" t="s">
        <v>30</v>
      </c>
      <c r="C80" s="9">
        <v>1.3</v>
      </c>
      <c r="D80" s="9">
        <v>1.3</v>
      </c>
      <c r="E80" s="9">
        <v>1.3</v>
      </c>
      <c r="F80" s="9">
        <v>1.3</v>
      </c>
      <c r="G80" s="9" t="s">
        <v>75</v>
      </c>
      <c r="H80" s="9"/>
    </row>
    <row r="81" spans="2:24" ht="15" thickBot="1">
      <c r="B81" s="1" t="s">
        <v>50</v>
      </c>
      <c r="C81" s="9">
        <v>2</v>
      </c>
      <c r="D81" s="9">
        <v>2</v>
      </c>
      <c r="E81" s="9">
        <v>3</v>
      </c>
      <c r="F81" s="9">
        <v>3</v>
      </c>
      <c r="G81" s="9" t="s">
        <v>76</v>
      </c>
      <c r="H81" s="9">
        <v>6</v>
      </c>
    </row>
    <row r="82" spans="2:24" ht="15" thickBot="1">
      <c r="B82" s="1" t="s">
        <v>31</v>
      </c>
      <c r="C82" s="179">
        <v>0</v>
      </c>
      <c r="D82" s="179">
        <v>0</v>
      </c>
      <c r="E82" s="179">
        <v>0</v>
      </c>
      <c r="F82" s="179">
        <v>0</v>
      </c>
      <c r="G82" s="9"/>
      <c r="H82" s="9"/>
    </row>
    <row r="83" spans="2:24">
      <c r="B83" s="36" t="s">
        <v>353</v>
      </c>
      <c r="C83" s="42">
        <f>(C76+C80/$G$76)*$G$4*1000</f>
        <v>3620.2033333333338</v>
      </c>
      <c r="D83" s="42">
        <f>(D76+D80/$G$76)*$G$4*1000</f>
        <v>4158.2588888888895</v>
      </c>
      <c r="E83" s="42">
        <f>(E76+E80/$G$76)*$G$4*1000</f>
        <v>5606.8700000000008</v>
      </c>
      <c r="F83" s="42">
        <f>(F76+F80/$G$76)*$G$4*1000</f>
        <v>6005.9771428571439</v>
      </c>
      <c r="G83" s="63" t="s">
        <v>332</v>
      </c>
      <c r="H83" s="63"/>
    </row>
    <row r="84" spans="2:24">
      <c r="B84" s="36" t="s">
        <v>354</v>
      </c>
      <c r="C84" s="42">
        <f>C83*$G84</f>
        <v>1810101.666666667</v>
      </c>
      <c r="D84" s="42">
        <f>D83*$G84</f>
        <v>2079129.4444444447</v>
      </c>
      <c r="E84" s="42">
        <f>E83*$G84</f>
        <v>2803435.0000000005</v>
      </c>
      <c r="F84" s="42">
        <f>F83*$G84</f>
        <v>3002988.5714285718</v>
      </c>
      <c r="G84" s="67">
        <v>500</v>
      </c>
      <c r="H84" s="63" t="s">
        <v>330</v>
      </c>
    </row>
    <row r="85" spans="2:24">
      <c r="B85" s="36" t="s">
        <v>355</v>
      </c>
      <c r="C85" s="42">
        <f>C81*$G$4</f>
        <v>14.9</v>
      </c>
      <c r="D85" s="42">
        <f>D81*$G$4</f>
        <v>14.9</v>
      </c>
      <c r="E85" s="42">
        <f>E81*$G$4</f>
        <v>22.35</v>
      </c>
      <c r="F85" s="42">
        <f>F81*$G$4</f>
        <v>22.35</v>
      </c>
      <c r="G85" s="63" t="s">
        <v>333</v>
      </c>
      <c r="H85" s="63"/>
    </row>
    <row r="86" spans="2:24" ht="15" thickBot="1">
      <c r="B86" s="36" t="s">
        <v>356</v>
      </c>
      <c r="C86" s="42">
        <f>C82</f>
        <v>0</v>
      </c>
      <c r="D86" s="42">
        <f>D82</f>
        <v>0</v>
      </c>
      <c r="E86" s="42">
        <f>E82</f>
        <v>0</v>
      </c>
      <c r="F86" s="42">
        <f>F82</f>
        <v>0</v>
      </c>
      <c r="G86" s="66"/>
      <c r="H86" s="63"/>
    </row>
    <row r="87" spans="2:24">
      <c r="B87" s="1257" t="s">
        <v>0</v>
      </c>
      <c r="C87" s="1259" t="s">
        <v>66</v>
      </c>
      <c r="D87" s="1260"/>
      <c r="E87" s="1260"/>
      <c r="F87" s="1260"/>
      <c r="G87" s="1260"/>
      <c r="H87" s="1261"/>
      <c r="J87" s="1259" t="str">
        <f>C87</f>
        <v>Biomass boiler, automatic stoking</v>
      </c>
      <c r="K87" s="1260"/>
      <c r="L87" s="1260"/>
      <c r="M87" s="1260"/>
      <c r="N87" s="1260"/>
      <c r="O87" s="1261"/>
    </row>
    <row r="88" spans="2:24" ht="15" thickBot="1">
      <c r="B88" s="1258"/>
      <c r="C88" s="1134" t="s">
        <v>35</v>
      </c>
      <c r="D88" s="1135"/>
      <c r="E88" s="1135"/>
      <c r="F88" s="1135"/>
      <c r="G88" s="1135"/>
      <c r="H88" s="1136"/>
      <c r="J88" s="1134" t="str">
        <f>C88</f>
        <v>Apartment complex, new building</v>
      </c>
      <c r="K88" s="1135"/>
      <c r="L88" s="1135"/>
      <c r="M88" s="1135"/>
      <c r="N88" s="1135"/>
      <c r="O88" s="1136"/>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9" t="s">
        <v>77</v>
      </c>
      <c r="D91" s="9" t="s">
        <v>77</v>
      </c>
      <c r="E91" s="9" t="s">
        <v>77</v>
      </c>
      <c r="F91" s="9" t="s">
        <v>77</v>
      </c>
      <c r="G91" s="9"/>
      <c r="H91" s="9"/>
      <c r="J91" s="50"/>
      <c r="K91" s="50"/>
      <c r="L91" s="51"/>
      <c r="M91" s="51"/>
      <c r="N91" s="51"/>
      <c r="O91" s="52"/>
      <c r="P91" s="50"/>
      <c r="Q91" s="50"/>
      <c r="R91" s="50"/>
      <c r="S91" s="50"/>
      <c r="T91" s="50"/>
      <c r="U91" s="50"/>
      <c r="V91" s="50"/>
      <c r="W91" s="50"/>
      <c r="X91" s="50"/>
    </row>
    <row r="92" spans="2:24" ht="24.6" thickBot="1">
      <c r="B92" s="1" t="s">
        <v>7</v>
      </c>
      <c r="C92" s="9">
        <v>100</v>
      </c>
      <c r="D92" s="9">
        <v>100</v>
      </c>
      <c r="E92" s="9">
        <v>100</v>
      </c>
      <c r="F92" s="9">
        <v>100</v>
      </c>
      <c r="G92" s="9"/>
      <c r="H92" s="9"/>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9">
        <v>100</v>
      </c>
      <c r="D93" s="9">
        <v>100</v>
      </c>
      <c r="E93" s="9">
        <v>100</v>
      </c>
      <c r="F93" s="9">
        <v>100</v>
      </c>
      <c r="G93" s="9"/>
      <c r="H93" s="9"/>
      <c r="J93" s="58">
        <f>C89</f>
        <v>2015</v>
      </c>
      <c r="K93" s="58">
        <f>J93</f>
        <v>2015</v>
      </c>
      <c r="L93" s="58">
        <f>C94/100</f>
        <v>0.8</v>
      </c>
      <c r="M93" s="58"/>
      <c r="N93" s="58">
        <f>C95</f>
        <v>20</v>
      </c>
      <c r="O93" s="59">
        <f>C110</f>
        <v>1490.0000000000002</v>
      </c>
      <c r="P93" s="59">
        <f>C112</f>
        <v>46.935000000000002</v>
      </c>
      <c r="Q93" s="59">
        <f>C113</f>
        <v>0</v>
      </c>
      <c r="R93" s="58"/>
      <c r="S93" s="58"/>
      <c r="T93" s="58">
        <f>C97</f>
        <v>0</v>
      </c>
      <c r="U93" s="78">
        <f>C98</f>
        <v>90</v>
      </c>
      <c r="V93" s="78">
        <f>C99</f>
        <v>3</v>
      </c>
      <c r="W93" s="78">
        <f>C100</f>
        <v>0</v>
      </c>
      <c r="X93" s="78">
        <f>C101</f>
        <v>10</v>
      </c>
    </row>
    <row r="94" spans="2:24" ht="15" thickBot="1">
      <c r="B94" s="1" t="s">
        <v>9</v>
      </c>
      <c r="C94" s="9">
        <v>80</v>
      </c>
      <c r="D94" s="9">
        <v>87</v>
      </c>
      <c r="E94" s="9">
        <v>91</v>
      </c>
      <c r="F94" s="9">
        <v>95</v>
      </c>
      <c r="G94" s="9"/>
      <c r="H94" s="9">
        <v>5</v>
      </c>
      <c r="J94" s="58">
        <f>D89</f>
        <v>2020</v>
      </c>
      <c r="K94" s="58"/>
      <c r="L94" s="58">
        <f>D94/100</f>
        <v>0.87</v>
      </c>
      <c r="M94" s="58"/>
      <c r="N94" s="58">
        <f>D95</f>
        <v>20</v>
      </c>
      <c r="O94" s="59">
        <f>D110</f>
        <v>1490.0000000000002</v>
      </c>
      <c r="P94" s="59">
        <f>D112</f>
        <v>46.935000000000002</v>
      </c>
      <c r="Q94" s="59">
        <f>D113</f>
        <v>0</v>
      </c>
      <c r="R94" s="58"/>
      <c r="S94" s="58"/>
      <c r="T94" s="58">
        <f>D97</f>
        <v>0</v>
      </c>
      <c r="U94" s="78">
        <f>D98</f>
        <v>70</v>
      </c>
      <c r="V94" s="78">
        <f>D99</f>
        <v>2</v>
      </c>
      <c r="W94" s="78">
        <f>D100</f>
        <v>0</v>
      </c>
      <c r="X94" s="78">
        <f>D101</f>
        <v>8</v>
      </c>
    </row>
    <row r="95" spans="2:24" ht="15" thickBot="1">
      <c r="B95" s="1" t="s">
        <v>11</v>
      </c>
      <c r="C95" s="9">
        <v>20</v>
      </c>
      <c r="D95" s="9">
        <v>20</v>
      </c>
      <c r="E95" s="9">
        <v>20</v>
      </c>
      <c r="F95" s="9">
        <v>20</v>
      </c>
      <c r="G95" s="9"/>
      <c r="H95" s="9">
        <v>7</v>
      </c>
      <c r="J95" s="58">
        <f>E89</f>
        <v>2030</v>
      </c>
      <c r="K95" s="58"/>
      <c r="L95" s="58">
        <f>E94/100</f>
        <v>0.91</v>
      </c>
      <c r="M95" s="58"/>
      <c r="N95" s="58">
        <f>E95</f>
        <v>20</v>
      </c>
      <c r="O95" s="59">
        <f>E110</f>
        <v>1490.0000000000002</v>
      </c>
      <c r="P95" s="59">
        <f>E112</f>
        <v>52.15</v>
      </c>
      <c r="Q95" s="59">
        <f>E113</f>
        <v>0</v>
      </c>
      <c r="R95" s="58"/>
      <c r="S95" s="58"/>
      <c r="T95" s="58">
        <f>E97</f>
        <v>0</v>
      </c>
      <c r="U95" s="78">
        <f>E98</f>
        <v>50</v>
      </c>
      <c r="V95" s="78">
        <f>E99</f>
        <v>1</v>
      </c>
      <c r="W95" s="78">
        <f>E100</f>
        <v>0</v>
      </c>
      <c r="X95" s="78">
        <f>E101</f>
        <v>6</v>
      </c>
    </row>
    <row r="96" spans="2:24" ht="15" thickBot="1">
      <c r="B96" s="3" t="s">
        <v>12</v>
      </c>
      <c r="C96" s="12"/>
      <c r="D96" s="12"/>
      <c r="E96" s="12"/>
      <c r="F96" s="12"/>
      <c r="G96" s="12"/>
      <c r="H96" s="13"/>
      <c r="J96" s="58">
        <f>F89</f>
        <v>2050</v>
      </c>
      <c r="K96" s="58"/>
      <c r="L96" s="58">
        <f>F94/100</f>
        <v>0.95</v>
      </c>
      <c r="M96" s="58"/>
      <c r="N96" s="58">
        <f>F95</f>
        <v>20</v>
      </c>
      <c r="O96" s="59">
        <f>F110</f>
        <v>1490.0000000000002</v>
      </c>
      <c r="P96" s="59">
        <f>F112</f>
        <v>59.6</v>
      </c>
      <c r="Q96" s="59">
        <f>F113</f>
        <v>0</v>
      </c>
      <c r="R96" s="58"/>
      <c r="S96" s="58"/>
      <c r="T96" s="58">
        <f>F97</f>
        <v>0</v>
      </c>
      <c r="U96" s="78">
        <f>F98</f>
        <v>40</v>
      </c>
      <c r="V96" s="78">
        <f>F99</f>
        <v>0</v>
      </c>
      <c r="W96" s="78">
        <f>F100</f>
        <v>0</v>
      </c>
      <c r="X96" s="78">
        <f>F101</f>
        <v>4</v>
      </c>
    </row>
    <row r="97" spans="2:8" ht="15.6" thickBot="1">
      <c r="B97" s="1" t="s">
        <v>13</v>
      </c>
      <c r="C97" s="179">
        <v>0</v>
      </c>
      <c r="D97" s="179">
        <v>0</v>
      </c>
      <c r="E97" s="179">
        <v>0</v>
      </c>
      <c r="F97" s="179">
        <v>0</v>
      </c>
      <c r="G97" s="9"/>
      <c r="H97" s="9"/>
    </row>
    <row r="98" spans="2:8" ht="15.6" thickBot="1">
      <c r="B98" s="1" t="s">
        <v>15</v>
      </c>
      <c r="C98" s="9">
        <v>90</v>
      </c>
      <c r="D98" s="9">
        <v>70</v>
      </c>
      <c r="E98" s="9">
        <v>50</v>
      </c>
      <c r="F98" s="9">
        <v>40</v>
      </c>
      <c r="G98" s="9"/>
      <c r="H98" s="9">
        <v>5</v>
      </c>
    </row>
    <row r="99" spans="2:8" ht="15.6" thickBot="1">
      <c r="B99" s="1" t="s">
        <v>17</v>
      </c>
      <c r="C99" s="9">
        <v>3</v>
      </c>
      <c r="D99" s="9">
        <v>2</v>
      </c>
      <c r="E99" s="9">
        <v>1</v>
      </c>
      <c r="F99" s="9">
        <v>0</v>
      </c>
      <c r="G99" s="9"/>
      <c r="H99" s="9" t="s">
        <v>69</v>
      </c>
    </row>
    <row r="100" spans="2:8" ht="15.6" thickBot="1">
      <c r="B100" s="1" t="s">
        <v>18</v>
      </c>
      <c r="C100" s="179">
        <v>0</v>
      </c>
      <c r="D100" s="179">
        <v>0</v>
      </c>
      <c r="E100" s="179">
        <v>0</v>
      </c>
      <c r="F100" s="179">
        <v>0</v>
      </c>
      <c r="G100" s="9"/>
      <c r="H100" s="9"/>
    </row>
    <row r="101" spans="2:8" ht="15" thickBot="1">
      <c r="B101" s="1" t="s">
        <v>19</v>
      </c>
      <c r="C101" s="9">
        <v>10</v>
      </c>
      <c r="D101" s="9">
        <v>8</v>
      </c>
      <c r="E101" s="9">
        <v>6</v>
      </c>
      <c r="F101" s="9">
        <v>4</v>
      </c>
      <c r="G101" s="9"/>
      <c r="H101" s="9" t="s">
        <v>69</v>
      </c>
    </row>
    <row r="102" spans="2:8" ht="15" thickBot="1">
      <c r="B102" s="3" t="s">
        <v>22</v>
      </c>
      <c r="C102" s="12"/>
      <c r="D102" s="12"/>
      <c r="E102" s="12"/>
      <c r="F102" s="12"/>
      <c r="G102" s="12"/>
      <c r="H102" s="13"/>
    </row>
    <row r="103" spans="2:8" ht="15" thickBot="1">
      <c r="B103" s="1" t="s">
        <v>23</v>
      </c>
      <c r="C103" s="9">
        <v>0.17</v>
      </c>
      <c r="D103" s="9">
        <v>0.17</v>
      </c>
      <c r="E103" s="15">
        <v>0.17</v>
      </c>
      <c r="F103" s="15">
        <v>0.17</v>
      </c>
      <c r="G103" s="9"/>
      <c r="H103" s="9">
        <v>7</v>
      </c>
    </row>
    <row r="104" spans="2:8">
      <c r="B104" s="6" t="s">
        <v>24</v>
      </c>
      <c r="C104" s="14" t="s">
        <v>68</v>
      </c>
      <c r="D104" s="14" t="s">
        <v>68</v>
      </c>
      <c r="E104" s="14" t="s">
        <v>68</v>
      </c>
      <c r="F104" s="14" t="s">
        <v>68</v>
      </c>
      <c r="G104" s="14"/>
      <c r="H104" s="14"/>
    </row>
    <row r="105" spans="2:8">
      <c r="B105" s="6" t="s">
        <v>71</v>
      </c>
      <c r="C105" s="14" t="s">
        <v>68</v>
      </c>
      <c r="D105" s="14" t="s">
        <v>68</v>
      </c>
      <c r="E105" s="14" t="s">
        <v>68</v>
      </c>
      <c r="F105" s="14" t="s">
        <v>68</v>
      </c>
      <c r="G105" s="14"/>
      <c r="H105" s="14"/>
    </row>
    <row r="106" spans="2:8" ht="15" thickBot="1">
      <c r="B106" s="1" t="s">
        <v>73</v>
      </c>
      <c r="C106" s="9" t="s">
        <v>68</v>
      </c>
      <c r="D106" s="9" t="s">
        <v>68</v>
      </c>
      <c r="E106" s="9" t="s">
        <v>68</v>
      </c>
      <c r="F106" s="9" t="s">
        <v>68</v>
      </c>
      <c r="G106" s="9"/>
      <c r="H106" s="9"/>
    </row>
    <row r="107" spans="2:8" ht="15" thickBot="1">
      <c r="B107" s="1" t="s">
        <v>30</v>
      </c>
      <c r="C107" s="25" t="s">
        <v>287</v>
      </c>
      <c r="D107" s="25" t="s">
        <v>287</v>
      </c>
      <c r="E107" s="25" t="s">
        <v>288</v>
      </c>
      <c r="F107" s="25" t="s">
        <v>288</v>
      </c>
      <c r="G107" s="9" t="s">
        <v>76</v>
      </c>
      <c r="H107" s="9"/>
    </row>
    <row r="108" spans="2:8" ht="15" thickBot="1">
      <c r="B108" s="1" t="s">
        <v>50</v>
      </c>
      <c r="C108" s="9">
        <v>6.3</v>
      </c>
      <c r="D108" s="9">
        <v>6.3</v>
      </c>
      <c r="E108" s="9">
        <v>7</v>
      </c>
      <c r="F108" s="9">
        <v>8</v>
      </c>
      <c r="G108" s="9" t="s">
        <v>25</v>
      </c>
      <c r="H108" s="9">
        <v>7</v>
      </c>
    </row>
    <row r="109" spans="2:8" ht="15" thickBot="1">
      <c r="B109" s="1" t="s">
        <v>31</v>
      </c>
      <c r="C109" s="179">
        <v>0</v>
      </c>
      <c r="D109" s="179">
        <v>0</v>
      </c>
      <c r="E109" s="179">
        <v>0</v>
      </c>
      <c r="F109" s="179">
        <v>0</v>
      </c>
      <c r="G109" s="9"/>
      <c r="H109" s="9"/>
    </row>
    <row r="110" spans="2:8">
      <c r="B110" s="36" t="s">
        <v>353</v>
      </c>
      <c r="C110" s="42">
        <f>(C103+((5+25)/2/$G$57))*$G$4*1000</f>
        <v>1490.0000000000002</v>
      </c>
      <c r="D110" s="42">
        <f>(D103+((5+25)/2/$G$57))*$G$4*1000</f>
        <v>1490.0000000000002</v>
      </c>
      <c r="E110" s="42">
        <f>(E103+((5+25)/2/$G$57))*$G$4*1000</f>
        <v>1490.0000000000002</v>
      </c>
      <c r="F110" s="42">
        <f>(F103+((5+25)/2/$G$57))*$G$4*1000</f>
        <v>1490.0000000000002</v>
      </c>
      <c r="G110" s="63" t="s">
        <v>332</v>
      </c>
      <c r="H110" s="63"/>
    </row>
    <row r="111" spans="2:8">
      <c r="B111" s="36" t="s">
        <v>354</v>
      </c>
      <c r="C111" s="42">
        <f>C110*$G111</f>
        <v>745000.00000000012</v>
      </c>
      <c r="D111" s="42">
        <f>D110*$G111</f>
        <v>745000.00000000012</v>
      </c>
      <c r="E111" s="42">
        <f>E110*$G111</f>
        <v>745000.00000000012</v>
      </c>
      <c r="F111" s="42">
        <f>F110*$G111</f>
        <v>745000.00000000012</v>
      </c>
      <c r="G111" s="67">
        <v>500</v>
      </c>
      <c r="H111" s="63" t="s">
        <v>330</v>
      </c>
    </row>
    <row r="112" spans="2:8">
      <c r="B112" s="36" t="s">
        <v>355</v>
      </c>
      <c r="C112" s="42">
        <f>C108*$G$4</f>
        <v>46.935000000000002</v>
      </c>
      <c r="D112" s="42">
        <f>D108*$G$4</f>
        <v>46.935000000000002</v>
      </c>
      <c r="E112" s="42">
        <f>E108*$G$4</f>
        <v>52.15</v>
      </c>
      <c r="F112" s="42">
        <f>F108*$G$4</f>
        <v>59.6</v>
      </c>
      <c r="G112" s="63" t="s">
        <v>333</v>
      </c>
      <c r="H112" s="63"/>
    </row>
    <row r="113" spans="2:8" ht="15" thickBot="1">
      <c r="B113" s="36" t="s">
        <v>356</v>
      </c>
      <c r="C113" s="42">
        <f>C109</f>
        <v>0</v>
      </c>
      <c r="D113" s="42">
        <f>D109</f>
        <v>0</v>
      </c>
      <c r="E113" s="42">
        <f>E109</f>
        <v>0</v>
      </c>
      <c r="F113" s="42">
        <f>F109</f>
        <v>0</v>
      </c>
      <c r="G113" s="66"/>
      <c r="H113" s="63"/>
    </row>
    <row r="156" spans="7:7">
      <c r="G156" s="263" t="s">
        <v>620</v>
      </c>
    </row>
  </sheetData>
  <mergeCells count="20">
    <mergeCell ref="J87:O87"/>
    <mergeCell ref="J88:O88"/>
    <mergeCell ref="J60:O60"/>
    <mergeCell ref="J61:O61"/>
    <mergeCell ref="J33:O33"/>
    <mergeCell ref="J34:O34"/>
    <mergeCell ref="B87:B88"/>
    <mergeCell ref="C87:H87"/>
    <mergeCell ref="C88:H88"/>
    <mergeCell ref="B33:B34"/>
    <mergeCell ref="C33:H33"/>
    <mergeCell ref="C34:H34"/>
    <mergeCell ref="B60:B61"/>
    <mergeCell ref="C60:H60"/>
    <mergeCell ref="C61:H61"/>
    <mergeCell ref="J6:O6"/>
    <mergeCell ref="J7:O7"/>
    <mergeCell ref="B6:B7"/>
    <mergeCell ref="C6:H6"/>
    <mergeCell ref="C7:H7"/>
  </mergeCells>
  <pageMargins left="0.7" right="0.7" top="0.75" bottom="0.75" header="0.3" footer="0.3"/>
  <pageSetup paperSize="9" orientation="portrait"/>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
    <tabColor theme="4"/>
  </sheetPr>
  <dimension ref="B3:H156"/>
  <sheetViews>
    <sheetView topLeftCell="A4" workbookViewId="0">
      <selection activeCell="F153" sqref="F153"/>
    </sheetView>
  </sheetViews>
  <sheetFormatPr defaultRowHeight="14.4"/>
  <cols>
    <col min="2" max="2" width="36.77734375" customWidth="1"/>
  </cols>
  <sheetData>
    <row r="3" spans="2:8">
      <c r="B3" s="8" t="s">
        <v>311</v>
      </c>
    </row>
    <row r="5" spans="2:8" ht="15" thickBot="1"/>
    <row r="6" spans="2:8">
      <c r="B6" s="1257" t="s">
        <v>0</v>
      </c>
      <c r="C6" s="1259" t="s">
        <v>78</v>
      </c>
      <c r="D6" s="1260"/>
      <c r="E6" s="1260"/>
      <c r="F6" s="1260"/>
      <c r="G6" s="1260"/>
      <c r="H6" s="1261"/>
    </row>
    <row r="7" spans="2:8" ht="15" thickBot="1">
      <c r="B7" s="1258"/>
      <c r="C7" s="1134" t="s">
        <v>1</v>
      </c>
      <c r="D7" s="1135"/>
      <c r="E7" s="1135"/>
      <c r="F7" s="1135"/>
      <c r="G7" s="1135"/>
      <c r="H7" s="1136"/>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7" t="s">
        <v>284</v>
      </c>
      <c r="D10" s="27" t="s">
        <v>277</v>
      </c>
      <c r="E10" s="27" t="s">
        <v>285</v>
      </c>
      <c r="F10" s="27" t="s">
        <v>285</v>
      </c>
      <c r="G10" s="2" t="s">
        <v>6</v>
      </c>
      <c r="H10" s="2" t="s">
        <v>67</v>
      </c>
    </row>
    <row r="11" spans="2:8" ht="24.6" thickBot="1">
      <c r="B11" s="1" t="s">
        <v>7</v>
      </c>
      <c r="C11" s="2">
        <v>100</v>
      </c>
      <c r="D11" s="2">
        <v>100</v>
      </c>
      <c r="E11" s="2">
        <v>100</v>
      </c>
      <c r="F11" s="2">
        <v>100</v>
      </c>
      <c r="G11" s="2"/>
      <c r="H11" s="2"/>
    </row>
    <row r="12" spans="2:8" ht="24.6" thickBot="1">
      <c r="B12" s="1" t="s">
        <v>8</v>
      </c>
      <c r="C12" s="2">
        <v>100</v>
      </c>
      <c r="D12" s="2">
        <v>100</v>
      </c>
      <c r="E12" s="2">
        <v>100</v>
      </c>
      <c r="F12" s="2">
        <v>100</v>
      </c>
      <c r="G12" s="2"/>
      <c r="H12" s="2"/>
    </row>
    <row r="13" spans="2:8" ht="15" thickBot="1">
      <c r="B13" s="1" t="s">
        <v>9</v>
      </c>
      <c r="C13" s="2">
        <v>75</v>
      </c>
      <c r="D13" s="2">
        <v>82</v>
      </c>
      <c r="E13" s="2">
        <v>86</v>
      </c>
      <c r="F13" s="2">
        <v>90</v>
      </c>
      <c r="G13" s="2"/>
      <c r="H13" s="2">
        <v>5</v>
      </c>
    </row>
    <row r="14" spans="2:8" ht="15" thickBot="1">
      <c r="B14" s="1" t="s">
        <v>11</v>
      </c>
      <c r="C14" s="2">
        <v>20</v>
      </c>
      <c r="D14" s="2">
        <v>20</v>
      </c>
      <c r="E14" s="2">
        <v>20</v>
      </c>
      <c r="F14" s="2">
        <v>20</v>
      </c>
      <c r="G14" s="2"/>
      <c r="H14" s="2">
        <v>6</v>
      </c>
    </row>
    <row r="15" spans="2:8" ht="15" thickBot="1">
      <c r="B15" s="3" t="s">
        <v>12</v>
      </c>
      <c r="C15" s="4"/>
      <c r="D15" s="4"/>
      <c r="E15" s="4"/>
      <c r="F15" s="4"/>
      <c r="G15" s="4"/>
      <c r="H15" s="5"/>
    </row>
    <row r="16" spans="2:8" ht="15.6" thickBot="1">
      <c r="B16" s="1" t="s">
        <v>13</v>
      </c>
      <c r="C16" s="35">
        <v>0</v>
      </c>
      <c r="D16" s="35">
        <v>0</v>
      </c>
      <c r="E16" s="35">
        <v>0</v>
      </c>
      <c r="F16" s="35">
        <v>0</v>
      </c>
      <c r="G16" s="2"/>
      <c r="H16" s="2"/>
    </row>
    <row r="17" spans="2:8" ht="15.6" thickBot="1">
      <c r="B17" s="1" t="s">
        <v>15</v>
      </c>
      <c r="C17" s="2">
        <v>80</v>
      </c>
      <c r="D17" s="2">
        <v>70</v>
      </c>
      <c r="E17" s="2">
        <v>60</v>
      </c>
      <c r="F17" s="2">
        <v>50</v>
      </c>
      <c r="G17" s="2"/>
      <c r="H17" s="2">
        <v>5</v>
      </c>
    </row>
    <row r="18" spans="2:8" ht="15.6" thickBot="1">
      <c r="B18" s="1" t="s">
        <v>17</v>
      </c>
      <c r="C18" s="2">
        <v>3</v>
      </c>
      <c r="D18" s="2">
        <v>2</v>
      </c>
      <c r="E18" s="2">
        <v>1</v>
      </c>
      <c r="F18" s="2">
        <v>0</v>
      </c>
      <c r="G18" s="2"/>
      <c r="H18" s="2" t="s">
        <v>69</v>
      </c>
    </row>
    <row r="19" spans="2:8" ht="15.6" thickBot="1">
      <c r="B19" s="1" t="s">
        <v>18</v>
      </c>
      <c r="C19" s="35">
        <v>0</v>
      </c>
      <c r="D19" s="35">
        <v>0</v>
      </c>
      <c r="E19" s="35">
        <v>0</v>
      </c>
      <c r="F19" s="35">
        <v>0</v>
      </c>
      <c r="G19" s="2"/>
      <c r="H19" s="2"/>
    </row>
    <row r="20" spans="2:8" ht="15" thickBot="1">
      <c r="B20" s="1" t="s">
        <v>19</v>
      </c>
      <c r="C20" s="2">
        <v>15</v>
      </c>
      <c r="D20" s="2">
        <v>12</v>
      </c>
      <c r="E20" s="2">
        <v>9</v>
      </c>
      <c r="F20" s="2">
        <v>6</v>
      </c>
      <c r="G20" s="2" t="s">
        <v>16</v>
      </c>
      <c r="H20" s="2">
        <v>5</v>
      </c>
    </row>
    <row r="21" spans="2:8" ht="15" thickBot="1">
      <c r="B21" s="3" t="s">
        <v>22</v>
      </c>
      <c r="C21" s="4"/>
      <c r="D21" s="4"/>
      <c r="E21" s="4"/>
      <c r="F21" s="4"/>
      <c r="G21" s="4"/>
      <c r="H21" s="5"/>
    </row>
    <row r="22" spans="2:8" ht="15" thickBot="1">
      <c r="B22" s="1" t="s">
        <v>23</v>
      </c>
      <c r="C22" s="2" t="s">
        <v>68</v>
      </c>
      <c r="D22" s="2" t="s">
        <v>68</v>
      </c>
      <c r="E22" s="2" t="s">
        <v>68</v>
      </c>
      <c r="F22" s="2" t="s">
        <v>68</v>
      </c>
      <c r="G22" s="2"/>
      <c r="H22" s="2"/>
    </row>
    <row r="23" spans="2:8">
      <c r="B23" s="6" t="s">
        <v>24</v>
      </c>
      <c r="C23" s="7">
        <v>4.5</v>
      </c>
      <c r="D23" s="7">
        <v>4.5</v>
      </c>
      <c r="E23" s="7">
        <v>4.5</v>
      </c>
      <c r="F23" s="7">
        <v>4.5</v>
      </c>
      <c r="G23" s="7"/>
      <c r="H23" s="7"/>
    </row>
    <row r="24" spans="2:8">
      <c r="B24" s="6" t="s">
        <v>71</v>
      </c>
      <c r="C24" s="7" t="s">
        <v>79</v>
      </c>
      <c r="D24" s="7">
        <v>3</v>
      </c>
      <c r="E24" s="7">
        <v>3</v>
      </c>
      <c r="F24" s="7">
        <v>3</v>
      </c>
      <c r="G24" s="7"/>
      <c r="H24" s="7"/>
    </row>
    <row r="25" spans="2:8" ht="15" thickBot="1">
      <c r="B25" s="1" t="s">
        <v>73</v>
      </c>
      <c r="C25" s="2" t="s">
        <v>80</v>
      </c>
      <c r="D25" s="2">
        <v>1.5</v>
      </c>
      <c r="E25" s="2">
        <v>1.5</v>
      </c>
      <c r="F25" s="2">
        <v>1.5</v>
      </c>
      <c r="G25" s="2"/>
      <c r="H25" s="2"/>
    </row>
    <row r="26" spans="2:8" ht="24.6" thickBot="1">
      <c r="B26" s="1" t="s">
        <v>30</v>
      </c>
      <c r="C26" s="2">
        <v>3.1</v>
      </c>
      <c r="D26" s="2">
        <v>3.1</v>
      </c>
      <c r="E26" s="2">
        <v>3.1</v>
      </c>
      <c r="F26" s="2">
        <v>3.1</v>
      </c>
      <c r="G26" s="2" t="s">
        <v>14</v>
      </c>
      <c r="H26" s="2"/>
    </row>
    <row r="27" spans="2:8" ht="15" thickBot="1">
      <c r="B27" s="1" t="s">
        <v>50</v>
      </c>
      <c r="C27" s="2">
        <v>2</v>
      </c>
      <c r="D27" s="2">
        <v>2</v>
      </c>
      <c r="E27" s="2">
        <v>2</v>
      </c>
      <c r="F27" s="2">
        <v>2</v>
      </c>
      <c r="G27" s="2" t="s">
        <v>20</v>
      </c>
      <c r="H27" s="2">
        <v>6</v>
      </c>
    </row>
    <row r="28" spans="2:8" ht="15" thickBot="1">
      <c r="B28" s="1" t="s">
        <v>31</v>
      </c>
      <c r="C28" s="2" t="s">
        <v>68</v>
      </c>
      <c r="D28" s="2" t="s">
        <v>68</v>
      </c>
      <c r="E28" s="2" t="s">
        <v>68</v>
      </c>
      <c r="F28" s="2" t="s">
        <v>68</v>
      </c>
      <c r="G28" s="2"/>
      <c r="H28" s="2"/>
    </row>
    <row r="32" spans="2:8" ht="15" thickBot="1"/>
    <row r="33" spans="2:8">
      <c r="B33" s="1257" t="s">
        <v>0</v>
      </c>
      <c r="C33" s="1259" t="s">
        <v>78</v>
      </c>
      <c r="D33" s="1260"/>
      <c r="E33" s="1260"/>
      <c r="F33" s="1260"/>
      <c r="G33" s="1260"/>
      <c r="H33" s="1261"/>
    </row>
    <row r="34" spans="2:8" ht="15" thickBot="1">
      <c r="B34" s="1258"/>
      <c r="C34" s="1134" t="s">
        <v>34</v>
      </c>
      <c r="D34" s="1135"/>
      <c r="E34" s="1135"/>
      <c r="F34" s="1135"/>
      <c r="G34" s="1135"/>
      <c r="H34" s="1136"/>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7" t="s">
        <v>284</v>
      </c>
      <c r="D37" s="27" t="s">
        <v>289</v>
      </c>
      <c r="E37" s="27" t="s">
        <v>290</v>
      </c>
      <c r="F37" s="27" t="s">
        <v>291</v>
      </c>
      <c r="G37" s="2" t="s">
        <v>6</v>
      </c>
      <c r="H37" s="2" t="s">
        <v>67</v>
      </c>
    </row>
    <row r="38" spans="2:8" ht="24.6" thickBot="1">
      <c r="B38" s="1" t="s">
        <v>7</v>
      </c>
      <c r="C38" s="2">
        <v>100</v>
      </c>
      <c r="D38" s="2">
        <v>100</v>
      </c>
      <c r="E38" s="2">
        <v>100</v>
      </c>
      <c r="F38" s="2">
        <v>100</v>
      </c>
      <c r="G38" s="2"/>
      <c r="H38" s="2"/>
    </row>
    <row r="39" spans="2:8" ht="24.6" thickBot="1">
      <c r="B39" s="1" t="s">
        <v>8</v>
      </c>
      <c r="C39" s="2">
        <v>100</v>
      </c>
      <c r="D39" s="2">
        <v>100</v>
      </c>
      <c r="E39" s="2">
        <v>100</v>
      </c>
      <c r="F39" s="2">
        <v>100</v>
      </c>
      <c r="G39" s="2"/>
      <c r="H39" s="2"/>
    </row>
    <row r="40" spans="2:8" ht="15" thickBot="1">
      <c r="B40" s="1" t="s">
        <v>9</v>
      </c>
      <c r="C40" s="2">
        <v>75</v>
      </c>
      <c r="D40" s="2">
        <v>82</v>
      </c>
      <c r="E40" s="2">
        <v>86</v>
      </c>
      <c r="F40" s="2">
        <v>90</v>
      </c>
      <c r="G40" s="2"/>
      <c r="H40" s="2">
        <v>5</v>
      </c>
    </row>
    <row r="41" spans="2:8" ht="15" thickBot="1">
      <c r="B41" s="1" t="s">
        <v>11</v>
      </c>
      <c r="C41" s="2">
        <v>20</v>
      </c>
      <c r="D41" s="2">
        <v>20</v>
      </c>
      <c r="E41" s="2">
        <v>20</v>
      </c>
      <c r="F41" s="2">
        <v>20</v>
      </c>
      <c r="G41" s="2"/>
      <c r="H41" s="2">
        <v>6</v>
      </c>
    </row>
    <row r="42" spans="2:8" ht="15" thickBot="1">
      <c r="B42" s="3" t="s">
        <v>12</v>
      </c>
      <c r="C42" s="4"/>
      <c r="D42" s="4"/>
      <c r="E42" s="4"/>
      <c r="F42" s="4"/>
      <c r="G42" s="4"/>
      <c r="H42" s="5"/>
    </row>
    <row r="43" spans="2:8" ht="15.6" thickBot="1">
      <c r="B43" s="1" t="s">
        <v>13</v>
      </c>
      <c r="C43" s="35">
        <v>0</v>
      </c>
      <c r="D43" s="35">
        <v>0</v>
      </c>
      <c r="E43" s="35">
        <v>0</v>
      </c>
      <c r="F43" s="35">
        <v>0</v>
      </c>
      <c r="G43" s="2"/>
      <c r="H43" s="2"/>
    </row>
    <row r="44" spans="2:8" ht="15.6" thickBot="1">
      <c r="B44" s="1" t="s">
        <v>15</v>
      </c>
      <c r="C44" s="2">
        <v>80</v>
      </c>
      <c r="D44" s="2">
        <v>70</v>
      </c>
      <c r="E44" s="2">
        <v>60</v>
      </c>
      <c r="F44" s="2">
        <v>50</v>
      </c>
      <c r="G44" s="2"/>
      <c r="H44" s="2">
        <v>5</v>
      </c>
    </row>
    <row r="45" spans="2:8" ht="15.6" thickBot="1">
      <c r="B45" s="1" t="s">
        <v>17</v>
      </c>
      <c r="C45" s="2">
        <v>3</v>
      </c>
      <c r="D45" s="2">
        <v>2</v>
      </c>
      <c r="E45" s="2">
        <v>1</v>
      </c>
      <c r="F45" s="2">
        <v>0</v>
      </c>
      <c r="G45" s="2"/>
      <c r="H45" s="2" t="s">
        <v>69</v>
      </c>
    </row>
    <row r="46" spans="2:8" ht="15.6" thickBot="1">
      <c r="B46" s="1" t="s">
        <v>18</v>
      </c>
      <c r="C46" s="35">
        <v>0</v>
      </c>
      <c r="D46" s="35">
        <v>0</v>
      </c>
      <c r="E46" s="35">
        <v>0</v>
      </c>
      <c r="F46" s="35">
        <v>0</v>
      </c>
      <c r="G46" s="2"/>
      <c r="H46" s="2"/>
    </row>
    <row r="47" spans="2:8" ht="15" thickBot="1">
      <c r="B47" s="1" t="s">
        <v>19</v>
      </c>
      <c r="C47" s="2">
        <v>15</v>
      </c>
      <c r="D47" s="2">
        <v>12</v>
      </c>
      <c r="E47" s="2">
        <v>9</v>
      </c>
      <c r="F47" s="2">
        <v>6</v>
      </c>
      <c r="G47" s="2" t="s">
        <v>16</v>
      </c>
      <c r="H47" s="2">
        <v>5</v>
      </c>
    </row>
    <row r="48" spans="2:8" ht="15" thickBot="1">
      <c r="B48" s="3" t="s">
        <v>22</v>
      </c>
      <c r="C48" s="4"/>
      <c r="D48" s="4"/>
      <c r="E48" s="4"/>
      <c r="F48" s="4"/>
      <c r="G48" s="4"/>
      <c r="H48" s="5"/>
    </row>
    <row r="49" spans="2:8" ht="15" thickBot="1">
      <c r="B49" s="1" t="s">
        <v>23</v>
      </c>
      <c r="C49" s="2" t="s">
        <v>68</v>
      </c>
      <c r="D49" s="2" t="s">
        <v>68</v>
      </c>
      <c r="E49" s="2" t="s">
        <v>68</v>
      </c>
      <c r="F49" s="2" t="s">
        <v>68</v>
      </c>
      <c r="G49" s="2"/>
      <c r="H49" s="2"/>
    </row>
    <row r="50" spans="2:8">
      <c r="B50" s="6" t="s">
        <v>24</v>
      </c>
      <c r="C50" s="7">
        <v>4.5</v>
      </c>
      <c r="D50" s="7">
        <v>4.5</v>
      </c>
      <c r="E50" s="7">
        <v>4.5</v>
      </c>
      <c r="F50" s="7">
        <v>4.5</v>
      </c>
      <c r="G50" s="7"/>
      <c r="H50" s="7"/>
    </row>
    <row r="51" spans="2:8">
      <c r="B51" s="6" t="s">
        <v>71</v>
      </c>
      <c r="C51" s="7" t="s">
        <v>79</v>
      </c>
      <c r="D51" s="7">
        <v>3</v>
      </c>
      <c r="E51" s="7">
        <v>3</v>
      </c>
      <c r="F51" s="7">
        <v>3</v>
      </c>
      <c r="G51" s="7"/>
      <c r="H51" s="7"/>
    </row>
    <row r="52" spans="2:8" ht="15" thickBot="1">
      <c r="B52" s="1" t="s">
        <v>73</v>
      </c>
      <c r="C52" s="2" t="s">
        <v>80</v>
      </c>
      <c r="D52" s="2">
        <v>1.5</v>
      </c>
      <c r="E52" s="2">
        <v>1.5</v>
      </c>
      <c r="F52" s="2">
        <v>1.5</v>
      </c>
      <c r="G52" s="2"/>
      <c r="H52" s="2"/>
    </row>
    <row r="53" spans="2:8" ht="24.6" thickBot="1">
      <c r="B53" s="1" t="s">
        <v>30</v>
      </c>
      <c r="C53" s="2">
        <v>2.8</v>
      </c>
      <c r="D53" s="2">
        <v>2.8</v>
      </c>
      <c r="E53" s="2">
        <v>2.8</v>
      </c>
      <c r="F53" s="2">
        <v>2.8</v>
      </c>
      <c r="G53" s="2" t="s">
        <v>14</v>
      </c>
      <c r="H53" s="2"/>
    </row>
    <row r="54" spans="2:8" ht="15" thickBot="1">
      <c r="B54" s="1" t="s">
        <v>50</v>
      </c>
      <c r="C54" s="2">
        <v>2</v>
      </c>
      <c r="D54" s="2">
        <v>2</v>
      </c>
      <c r="E54" s="2">
        <v>2</v>
      </c>
      <c r="F54" s="2">
        <v>2</v>
      </c>
      <c r="G54" s="2" t="s">
        <v>81</v>
      </c>
      <c r="H54" s="2"/>
    </row>
    <row r="55" spans="2:8" ht="15" thickBot="1">
      <c r="B55" s="1" t="s">
        <v>31</v>
      </c>
      <c r="C55" s="2" t="s">
        <v>68</v>
      </c>
      <c r="D55" s="2" t="s">
        <v>68</v>
      </c>
      <c r="E55" s="2" t="s">
        <v>68</v>
      </c>
      <c r="F55" s="2" t="s">
        <v>68</v>
      </c>
      <c r="G55" s="2"/>
      <c r="H55" s="2"/>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
    <tabColor theme="4"/>
  </sheetPr>
  <dimension ref="B3:H156"/>
  <sheetViews>
    <sheetView workbookViewId="0">
      <selection activeCell="F153" sqref="F153"/>
    </sheetView>
  </sheetViews>
  <sheetFormatPr defaultRowHeight="14.4"/>
  <cols>
    <col min="2" max="2" width="36.77734375" customWidth="1"/>
  </cols>
  <sheetData>
    <row r="3" spans="2:8">
      <c r="B3" s="8" t="s">
        <v>312</v>
      </c>
    </row>
    <row r="5" spans="2:8" ht="15" thickBot="1"/>
    <row r="6" spans="2:8">
      <c r="B6" s="1257" t="s">
        <v>0</v>
      </c>
      <c r="C6" s="1259" t="s">
        <v>82</v>
      </c>
      <c r="D6" s="1260"/>
      <c r="E6" s="1260"/>
      <c r="F6" s="1260"/>
      <c r="G6" s="1260"/>
      <c r="H6" s="1261"/>
    </row>
    <row r="7" spans="2:8" ht="15" thickBot="1">
      <c r="B7" s="1258"/>
      <c r="C7" s="1134" t="s">
        <v>38</v>
      </c>
      <c r="D7" s="1135"/>
      <c r="E7" s="1135"/>
      <c r="F7" s="1135"/>
      <c r="G7" s="1135"/>
      <c r="H7" s="1136"/>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32" t="s">
        <v>286</v>
      </c>
      <c r="D10" s="32" t="s">
        <v>292</v>
      </c>
      <c r="E10" s="33" t="s">
        <v>83</v>
      </c>
      <c r="F10" s="33" t="s">
        <v>84</v>
      </c>
      <c r="G10" s="9"/>
      <c r="H10" s="9"/>
    </row>
    <row r="11" spans="2:8" ht="24.6" thickBot="1">
      <c r="B11" s="1" t="s">
        <v>7</v>
      </c>
      <c r="C11" s="9" t="s">
        <v>85</v>
      </c>
      <c r="D11" s="9" t="s">
        <v>85</v>
      </c>
      <c r="E11" s="9" t="s">
        <v>85</v>
      </c>
      <c r="F11" s="9" t="s">
        <v>85</v>
      </c>
      <c r="G11" s="9" t="s">
        <v>16</v>
      </c>
      <c r="H11" s="9"/>
    </row>
    <row r="12" spans="2:8" ht="24.6" thickBot="1">
      <c r="B12" s="1" t="s">
        <v>8</v>
      </c>
      <c r="C12" s="9">
        <v>0</v>
      </c>
      <c r="D12" s="9">
        <v>0</v>
      </c>
      <c r="E12" s="9">
        <v>0</v>
      </c>
      <c r="F12" s="9">
        <v>0</v>
      </c>
      <c r="G12" s="9" t="s">
        <v>76</v>
      </c>
      <c r="H12" s="9"/>
    </row>
    <row r="13" spans="2:8" ht="15" thickBot="1">
      <c r="B13" s="1" t="s">
        <v>9</v>
      </c>
      <c r="C13" s="9">
        <v>65</v>
      </c>
      <c r="D13" s="9">
        <v>70</v>
      </c>
      <c r="E13" s="9">
        <v>75</v>
      </c>
      <c r="F13" s="9">
        <v>75</v>
      </c>
      <c r="G13" s="9"/>
      <c r="H13" s="9"/>
    </row>
    <row r="14" spans="2:8" ht="15" thickBot="1">
      <c r="B14" s="1" t="s">
        <v>11</v>
      </c>
      <c r="C14" s="9">
        <v>24</v>
      </c>
      <c r="D14" s="9">
        <v>24</v>
      </c>
      <c r="E14" s="9">
        <v>24</v>
      </c>
      <c r="F14" s="9">
        <v>24</v>
      </c>
      <c r="G14" s="9"/>
      <c r="H14" s="9">
        <v>2</v>
      </c>
    </row>
    <row r="15" spans="2:8" ht="15" thickBot="1">
      <c r="B15" s="3" t="s">
        <v>12</v>
      </c>
      <c r="C15" s="12"/>
      <c r="D15" s="12"/>
      <c r="E15" s="12"/>
      <c r="F15" s="12"/>
      <c r="G15" s="12"/>
      <c r="H15" s="13"/>
    </row>
    <row r="16" spans="2:8" ht="15.6" thickBot="1">
      <c r="B16" s="1" t="s">
        <v>13</v>
      </c>
      <c r="C16" s="179">
        <v>0</v>
      </c>
      <c r="D16" s="179">
        <v>0</v>
      </c>
      <c r="E16" s="179">
        <v>0</v>
      </c>
      <c r="F16" s="179">
        <v>0</v>
      </c>
      <c r="G16" s="9"/>
      <c r="H16" s="9"/>
    </row>
    <row r="17" spans="2:8" ht="15.6" thickBot="1">
      <c r="B17" s="1" t="s">
        <v>15</v>
      </c>
      <c r="C17" s="9">
        <v>90</v>
      </c>
      <c r="D17" s="9">
        <v>90</v>
      </c>
      <c r="E17" s="9">
        <v>90</v>
      </c>
      <c r="F17" s="9">
        <v>90</v>
      </c>
      <c r="G17" s="9"/>
      <c r="H17" s="9"/>
    </row>
    <row r="18" spans="2:8" ht="15.6" thickBot="1">
      <c r="B18" s="1" t="s">
        <v>17</v>
      </c>
      <c r="C18" s="9">
        <v>320</v>
      </c>
      <c r="D18" s="9">
        <v>125</v>
      </c>
      <c r="E18" s="9">
        <v>100</v>
      </c>
      <c r="F18" s="9">
        <v>100</v>
      </c>
      <c r="G18" s="9"/>
      <c r="H18" s="9">
        <v>1</v>
      </c>
    </row>
    <row r="19" spans="2:8" ht="15.6" thickBot="1">
      <c r="B19" s="1" t="s">
        <v>18</v>
      </c>
      <c r="C19" s="179">
        <v>0</v>
      </c>
      <c r="D19" s="179">
        <v>0</v>
      </c>
      <c r="E19" s="179">
        <v>0</v>
      </c>
      <c r="F19" s="179">
        <v>0</v>
      </c>
      <c r="G19" s="9"/>
      <c r="H19" s="9"/>
    </row>
    <row r="20" spans="2:8" ht="15" thickBot="1">
      <c r="B20" s="1" t="s">
        <v>19</v>
      </c>
      <c r="C20" s="9">
        <v>50</v>
      </c>
      <c r="D20" s="9">
        <v>40</v>
      </c>
      <c r="E20" s="9">
        <v>30</v>
      </c>
      <c r="F20" s="9">
        <v>25</v>
      </c>
      <c r="G20" s="9" t="s">
        <v>6</v>
      </c>
      <c r="H20" s="9">
        <v>1</v>
      </c>
    </row>
    <row r="21" spans="2:8" ht="15" thickBot="1">
      <c r="B21" s="3" t="s">
        <v>22</v>
      </c>
      <c r="C21" s="12"/>
      <c r="D21" s="12"/>
      <c r="E21" s="12"/>
      <c r="F21" s="12"/>
      <c r="G21" s="12"/>
      <c r="H21" s="13"/>
    </row>
    <row r="22" spans="2:8" ht="15" thickBot="1">
      <c r="B22" s="1" t="s">
        <v>23</v>
      </c>
      <c r="C22" s="9" t="s">
        <v>68</v>
      </c>
      <c r="D22" s="9" t="s">
        <v>68</v>
      </c>
      <c r="E22" s="9" t="s">
        <v>68</v>
      </c>
      <c r="F22" s="9" t="s">
        <v>68</v>
      </c>
      <c r="G22" s="9"/>
      <c r="H22" s="9"/>
    </row>
    <row r="23" spans="2:8">
      <c r="B23" s="6" t="s">
        <v>24</v>
      </c>
      <c r="C23" s="14">
        <v>2.6</v>
      </c>
      <c r="D23" s="14">
        <v>2.6</v>
      </c>
      <c r="E23" s="14">
        <v>3.5</v>
      </c>
      <c r="F23" s="14">
        <v>3.5</v>
      </c>
      <c r="G23" s="14" t="s">
        <v>20</v>
      </c>
      <c r="H23" s="14">
        <v>2</v>
      </c>
    </row>
    <row r="24" spans="2:8">
      <c r="B24" s="6" t="s">
        <v>71</v>
      </c>
      <c r="C24" s="14" t="s">
        <v>86</v>
      </c>
      <c r="D24" s="14">
        <v>2</v>
      </c>
      <c r="E24" s="14">
        <v>2.5</v>
      </c>
      <c r="F24" s="14">
        <v>2.5</v>
      </c>
      <c r="G24" s="14"/>
      <c r="H24" s="14">
        <v>2</v>
      </c>
    </row>
    <row r="25" spans="2:8" ht="15" thickBot="1">
      <c r="B25" s="1" t="s">
        <v>87</v>
      </c>
      <c r="C25" s="9" t="s">
        <v>88</v>
      </c>
      <c r="D25" s="9">
        <v>0.6</v>
      </c>
      <c r="E25" s="9">
        <v>1</v>
      </c>
      <c r="F25" s="9">
        <v>1</v>
      </c>
      <c r="G25" s="9"/>
      <c r="H25" s="9">
        <v>2</v>
      </c>
    </row>
    <row r="26" spans="2:8" ht="24.6" thickBot="1">
      <c r="B26" s="1" t="s">
        <v>30</v>
      </c>
      <c r="C26" s="9">
        <v>1.6</v>
      </c>
      <c r="D26" s="9">
        <v>1.6</v>
      </c>
      <c r="E26" s="9">
        <v>1.6</v>
      </c>
      <c r="F26" s="9">
        <v>1.6</v>
      </c>
      <c r="G26" s="9" t="s">
        <v>59</v>
      </c>
      <c r="H26" s="9"/>
    </row>
    <row r="27" spans="2:8" ht="15" thickBot="1">
      <c r="B27" s="1" t="s">
        <v>50</v>
      </c>
      <c r="C27" s="9">
        <v>0.1</v>
      </c>
      <c r="D27" s="9">
        <v>0.1</v>
      </c>
      <c r="E27" s="9">
        <v>0.1</v>
      </c>
      <c r="F27" s="9">
        <v>0.2</v>
      </c>
      <c r="G27" s="9"/>
      <c r="H27" s="9"/>
    </row>
    <row r="28" spans="2:8" ht="15" thickBot="1">
      <c r="B28" s="1" t="s">
        <v>31</v>
      </c>
      <c r="C28" s="9" t="s">
        <v>68</v>
      </c>
      <c r="D28" s="9" t="s">
        <v>68</v>
      </c>
      <c r="E28" s="9" t="s">
        <v>68</v>
      </c>
      <c r="F28" s="9" t="s">
        <v>68</v>
      </c>
      <c r="G28" s="9"/>
      <c r="H28" s="9"/>
    </row>
    <row r="32" spans="2:8" ht="15" thickBot="1"/>
    <row r="33" spans="2:8">
      <c r="B33" s="1257" t="s">
        <v>0</v>
      </c>
      <c r="C33" s="1259" t="s">
        <v>89</v>
      </c>
      <c r="D33" s="1260"/>
      <c r="E33" s="1260"/>
      <c r="F33" s="1260"/>
      <c r="G33" s="1260"/>
      <c r="H33" s="1261"/>
    </row>
    <row r="34" spans="2:8" ht="15" thickBot="1">
      <c r="B34" s="1258"/>
      <c r="C34" s="1134" t="s">
        <v>38</v>
      </c>
      <c r="D34" s="1135"/>
      <c r="E34" s="1135"/>
      <c r="F34" s="1135"/>
      <c r="G34" s="1135"/>
      <c r="H34" s="1136"/>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32" t="s">
        <v>293</v>
      </c>
      <c r="D37" s="32" t="s">
        <v>294</v>
      </c>
      <c r="E37" s="33" t="s">
        <v>90</v>
      </c>
      <c r="F37" s="33" t="s">
        <v>91</v>
      </c>
      <c r="G37" s="13"/>
      <c r="H37" s="13"/>
    </row>
    <row r="38" spans="2:8" ht="24.6" thickBot="1">
      <c r="B38" s="1" t="s">
        <v>7</v>
      </c>
      <c r="C38" s="9" t="s">
        <v>92</v>
      </c>
      <c r="D38" s="9" t="s">
        <v>92</v>
      </c>
      <c r="E38" s="9" t="s">
        <v>92</v>
      </c>
      <c r="F38" s="9" t="s">
        <v>92</v>
      </c>
      <c r="G38" s="13" t="s">
        <v>16</v>
      </c>
      <c r="H38" s="13"/>
    </row>
    <row r="39" spans="2:8" ht="24.6" thickBot="1">
      <c r="B39" s="1" t="s">
        <v>8</v>
      </c>
      <c r="C39" s="9">
        <v>20</v>
      </c>
      <c r="D39" s="9">
        <v>20</v>
      </c>
      <c r="E39" s="9">
        <v>20</v>
      </c>
      <c r="F39" s="9">
        <v>20</v>
      </c>
      <c r="G39" s="13" t="s">
        <v>76</v>
      </c>
      <c r="H39" s="13"/>
    </row>
    <row r="40" spans="2:8" ht="15" thickBot="1">
      <c r="B40" s="1" t="s">
        <v>9</v>
      </c>
      <c r="C40" s="9">
        <v>65</v>
      </c>
      <c r="D40" s="9">
        <v>70</v>
      </c>
      <c r="E40" s="9">
        <v>75</v>
      </c>
      <c r="F40" s="9">
        <v>75</v>
      </c>
      <c r="G40" s="9"/>
      <c r="H40" s="9"/>
    </row>
    <row r="41" spans="2:8" ht="15" thickBot="1">
      <c r="B41" s="1" t="s">
        <v>11</v>
      </c>
      <c r="C41" s="9">
        <v>24</v>
      </c>
      <c r="D41" s="9">
        <v>24</v>
      </c>
      <c r="E41" s="9">
        <v>24</v>
      </c>
      <c r="F41" s="9">
        <v>24</v>
      </c>
      <c r="G41" s="9"/>
      <c r="H41" s="9">
        <v>2</v>
      </c>
    </row>
    <row r="42" spans="2:8" ht="15" thickBot="1">
      <c r="B42" s="3" t="s">
        <v>12</v>
      </c>
      <c r="C42" s="16"/>
      <c r="D42" s="16"/>
      <c r="E42" s="16"/>
      <c r="F42" s="16"/>
      <c r="G42" s="16"/>
      <c r="H42" s="9"/>
    </row>
    <row r="43" spans="2:8" ht="15.6" thickBot="1">
      <c r="B43" s="1" t="s">
        <v>13</v>
      </c>
      <c r="C43" s="179">
        <v>0</v>
      </c>
      <c r="D43" s="179">
        <v>0</v>
      </c>
      <c r="E43" s="179">
        <v>0</v>
      </c>
      <c r="F43" s="179">
        <v>0</v>
      </c>
      <c r="G43" s="9"/>
      <c r="H43" s="9"/>
    </row>
    <row r="44" spans="2:8" ht="15.6" thickBot="1">
      <c r="B44" s="1" t="s">
        <v>15</v>
      </c>
      <c r="C44" s="9">
        <v>90</v>
      </c>
      <c r="D44" s="9">
        <v>90</v>
      </c>
      <c r="E44" s="9">
        <v>90</v>
      </c>
      <c r="F44" s="9">
        <v>90</v>
      </c>
      <c r="G44" s="13"/>
      <c r="H44" s="13"/>
    </row>
    <row r="45" spans="2:8" ht="15.6" thickBot="1">
      <c r="B45" s="1" t="s">
        <v>17</v>
      </c>
      <c r="C45" s="9">
        <v>320</v>
      </c>
      <c r="D45" s="9">
        <v>125</v>
      </c>
      <c r="E45" s="9">
        <v>100</v>
      </c>
      <c r="F45" s="9">
        <v>100</v>
      </c>
      <c r="G45" s="9"/>
      <c r="H45" s="9">
        <v>1</v>
      </c>
    </row>
    <row r="46" spans="2:8" ht="15.6" thickBot="1">
      <c r="B46" s="1" t="s">
        <v>18</v>
      </c>
      <c r="C46" s="179">
        <v>0</v>
      </c>
      <c r="D46" s="179">
        <v>0</v>
      </c>
      <c r="E46" s="179">
        <v>0</v>
      </c>
      <c r="F46" s="179">
        <v>0</v>
      </c>
      <c r="G46" s="9"/>
      <c r="H46" s="9"/>
    </row>
    <row r="47" spans="2:8" ht="15" thickBot="1">
      <c r="B47" s="1" t="s">
        <v>19</v>
      </c>
      <c r="C47" s="9"/>
      <c r="D47" s="9"/>
      <c r="E47" s="9"/>
      <c r="F47" s="9"/>
      <c r="G47" s="9"/>
      <c r="H47" s="9">
        <v>1</v>
      </c>
    </row>
    <row r="48" spans="2:8" ht="15" thickBot="1">
      <c r="B48" s="3" t="s">
        <v>22</v>
      </c>
      <c r="C48" s="16"/>
      <c r="D48" s="16"/>
      <c r="E48" s="16"/>
      <c r="F48" s="16"/>
      <c r="G48" s="16"/>
      <c r="H48" s="9"/>
    </row>
    <row r="49" spans="2:8" ht="15" thickBot="1">
      <c r="B49" s="1" t="s">
        <v>23</v>
      </c>
      <c r="C49" s="9" t="s">
        <v>68</v>
      </c>
      <c r="D49" s="9" t="s">
        <v>68</v>
      </c>
      <c r="E49" s="9" t="s">
        <v>68</v>
      </c>
      <c r="F49" s="9" t="s">
        <v>68</v>
      </c>
      <c r="G49" s="9" t="s">
        <v>6</v>
      </c>
      <c r="H49" s="9">
        <v>1</v>
      </c>
    </row>
    <row r="50" spans="2:8">
      <c r="B50" s="6" t="s">
        <v>24</v>
      </c>
      <c r="C50" s="14">
        <v>2.6</v>
      </c>
      <c r="D50" s="14">
        <v>2.6</v>
      </c>
      <c r="E50" s="14">
        <v>3.5</v>
      </c>
      <c r="F50" s="14">
        <v>3.5</v>
      </c>
      <c r="G50" s="17" t="s">
        <v>20</v>
      </c>
      <c r="H50" s="17">
        <v>2</v>
      </c>
    </row>
    <row r="51" spans="2:8">
      <c r="B51" s="6" t="s">
        <v>26</v>
      </c>
      <c r="C51" s="14" t="s">
        <v>86</v>
      </c>
      <c r="D51" s="14">
        <v>2</v>
      </c>
      <c r="E51" s="14">
        <v>2.5</v>
      </c>
      <c r="F51" s="14">
        <v>2.5</v>
      </c>
      <c r="G51" s="14"/>
      <c r="H51" s="14">
        <v>2</v>
      </c>
    </row>
    <row r="52" spans="2:8" ht="15" thickBot="1">
      <c r="B52" s="1" t="s">
        <v>28</v>
      </c>
      <c r="C52" s="9" t="s">
        <v>68</v>
      </c>
      <c r="D52" s="9" t="s">
        <v>68</v>
      </c>
      <c r="E52" s="9" t="s">
        <v>68</v>
      </c>
      <c r="F52" s="9" t="s">
        <v>68</v>
      </c>
      <c r="G52" s="9"/>
      <c r="H52" s="9">
        <v>2</v>
      </c>
    </row>
    <row r="53" spans="2:8" ht="24.6" thickBot="1">
      <c r="B53" s="1" t="s">
        <v>30</v>
      </c>
      <c r="C53" s="9">
        <v>1.3</v>
      </c>
      <c r="D53" s="9">
        <v>1.3</v>
      </c>
      <c r="E53" s="9">
        <v>1.3</v>
      </c>
      <c r="F53" s="9">
        <v>1.3</v>
      </c>
      <c r="G53" s="9" t="s">
        <v>59</v>
      </c>
      <c r="H53" s="9"/>
    </row>
    <row r="54" spans="2:8" ht="15" thickBot="1">
      <c r="B54" s="1" t="s">
        <v>50</v>
      </c>
      <c r="C54" s="9">
        <v>0.1</v>
      </c>
      <c r="D54" s="9">
        <v>0.1</v>
      </c>
      <c r="E54" s="9">
        <v>0.1</v>
      </c>
      <c r="F54" s="9">
        <v>0.2</v>
      </c>
      <c r="G54" s="9"/>
      <c r="H54" s="9"/>
    </row>
    <row r="55" spans="2:8" ht="15" thickBot="1">
      <c r="B55" s="1" t="s">
        <v>31</v>
      </c>
      <c r="C55" s="9" t="s">
        <v>68</v>
      </c>
      <c r="D55" s="9" t="s">
        <v>68</v>
      </c>
      <c r="E55" s="9" t="s">
        <v>68</v>
      </c>
      <c r="F55" s="9" t="s">
        <v>68</v>
      </c>
      <c r="G55" s="9"/>
      <c r="H55" s="9"/>
    </row>
    <row r="156" spans="7:7">
      <c r="G156" s="263" t="s">
        <v>620</v>
      </c>
    </row>
  </sheetData>
  <mergeCells count="6">
    <mergeCell ref="B6:B7"/>
    <mergeCell ref="C6:H6"/>
    <mergeCell ref="C7:H7"/>
    <mergeCell ref="B33:B34"/>
    <mergeCell ref="C33:H33"/>
    <mergeCell ref="C34:H34"/>
  </mergeCell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tabColor theme="4"/>
  </sheetPr>
  <dimension ref="B3:X156"/>
  <sheetViews>
    <sheetView workbookViewId="0">
      <selection activeCell="E46" sqref="E46"/>
    </sheetView>
  </sheetViews>
  <sheetFormatPr defaultRowHeight="14.4"/>
  <cols>
    <col min="2" max="2" width="36.77734375" customWidth="1"/>
  </cols>
  <sheetData>
    <row r="3" spans="2:24">
      <c r="B3" s="8" t="s">
        <v>313</v>
      </c>
      <c r="G3" t="s">
        <v>334</v>
      </c>
      <c r="H3" s="36">
        <v>7.45</v>
      </c>
    </row>
    <row r="5" spans="2:24" ht="15" thickBot="1"/>
    <row r="6" spans="2:24">
      <c r="B6" s="1257" t="s">
        <v>0</v>
      </c>
      <c r="C6" s="1259" t="s">
        <v>93</v>
      </c>
      <c r="D6" s="1260"/>
      <c r="E6" s="1260"/>
      <c r="F6" s="1260"/>
      <c r="G6" s="1260"/>
      <c r="H6" s="1261"/>
      <c r="J6" s="1259" t="str">
        <f>C6</f>
        <v>Heat pump, air-to-air</v>
      </c>
      <c r="K6" s="1260"/>
      <c r="L6" s="1260"/>
      <c r="M6" s="1260"/>
      <c r="N6" s="1260"/>
      <c r="O6" s="1261"/>
    </row>
    <row r="7" spans="2:24" ht="15" thickBot="1">
      <c r="B7" s="1258"/>
      <c r="C7" s="1134" t="s">
        <v>38</v>
      </c>
      <c r="D7" s="1135"/>
      <c r="E7" s="1135"/>
      <c r="F7" s="1135"/>
      <c r="G7" s="1135"/>
      <c r="H7" s="1136"/>
      <c r="J7" s="1134" t="str">
        <f>C7</f>
        <v>One-family house, existing and new building</v>
      </c>
      <c r="K7" s="1135"/>
      <c r="L7" s="1135"/>
      <c r="M7" s="1135"/>
      <c r="N7" s="1135"/>
      <c r="O7" s="1136"/>
    </row>
    <row r="8" spans="2:24" ht="15" thickBot="1">
      <c r="B8" s="1"/>
      <c r="C8" s="80">
        <v>2015</v>
      </c>
      <c r="D8" s="80">
        <v>2020</v>
      </c>
      <c r="E8" s="80">
        <v>2030</v>
      </c>
      <c r="F8" s="80">
        <v>2050</v>
      </c>
      <c r="G8" s="80" t="s">
        <v>2</v>
      </c>
      <c r="H8" s="80" t="s">
        <v>3</v>
      </c>
      <c r="J8" s="53" t="s">
        <v>357</v>
      </c>
    </row>
    <row r="9" spans="2:24" ht="28.2" thickBot="1">
      <c r="B9" s="3" t="s">
        <v>4</v>
      </c>
      <c r="C9" s="79"/>
      <c r="D9" s="79"/>
      <c r="E9" s="79"/>
      <c r="F9" s="79"/>
      <c r="G9" s="79"/>
      <c r="H9" s="80"/>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34" t="s">
        <v>295</v>
      </c>
      <c r="D10" s="34" t="s">
        <v>295</v>
      </c>
      <c r="E10" s="34" t="s">
        <v>295</v>
      </c>
      <c r="F10" s="34" t="s">
        <v>295</v>
      </c>
      <c r="G10" s="80" t="s">
        <v>20</v>
      </c>
      <c r="H10" s="80"/>
      <c r="J10" s="50"/>
      <c r="K10" s="50"/>
      <c r="L10" s="51"/>
      <c r="M10" s="51"/>
      <c r="N10" s="51"/>
      <c r="O10" s="52"/>
      <c r="P10" s="50"/>
      <c r="Q10" s="50"/>
      <c r="R10" s="50"/>
      <c r="S10" s="50"/>
      <c r="T10" s="50"/>
      <c r="U10" s="50"/>
      <c r="V10" s="50"/>
      <c r="W10" s="50"/>
      <c r="X10" s="50"/>
    </row>
    <row r="11" spans="2:24" ht="24.6" thickBot="1">
      <c r="B11" s="1" t="s">
        <v>7</v>
      </c>
      <c r="C11" s="80">
        <v>60</v>
      </c>
      <c r="D11" s="80">
        <v>60</v>
      </c>
      <c r="E11" s="80">
        <v>60</v>
      </c>
      <c r="F11" s="80">
        <v>60</v>
      </c>
      <c r="G11" s="80" t="s">
        <v>16</v>
      </c>
      <c r="H11" s="80"/>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80">
        <v>0</v>
      </c>
      <c r="D12" s="80">
        <v>0</v>
      </c>
      <c r="E12" s="80">
        <v>0</v>
      </c>
      <c r="F12" s="80">
        <v>0</v>
      </c>
      <c r="G12" s="80"/>
      <c r="H12" s="80"/>
      <c r="J12" s="58">
        <f>C8</f>
        <v>2015</v>
      </c>
      <c r="K12" s="58">
        <f>J12</f>
        <v>2015</v>
      </c>
      <c r="L12" s="58">
        <f>C13/100</f>
        <v>3</v>
      </c>
      <c r="M12" s="58"/>
      <c r="N12" s="58">
        <f>C14</f>
        <v>20</v>
      </c>
      <c r="O12" s="59">
        <f>C29</f>
        <v>4023.0000000000005</v>
      </c>
      <c r="P12" s="59">
        <f>C31</f>
        <v>62.580000000000005</v>
      </c>
      <c r="Q12" s="197">
        <f>C32</f>
        <v>0</v>
      </c>
      <c r="R12" s="58"/>
      <c r="S12" s="58"/>
      <c r="T12" s="58">
        <f>C16</f>
        <v>0</v>
      </c>
      <c r="U12" s="58">
        <f>C17</f>
        <v>0</v>
      </c>
      <c r="V12" s="58">
        <f>C18</f>
        <v>0</v>
      </c>
      <c r="W12" s="58">
        <f>C19</f>
        <v>0</v>
      </c>
      <c r="X12" s="58">
        <f>C20</f>
        <v>0</v>
      </c>
    </row>
    <row r="13" spans="2:24" ht="15" thickBot="1">
      <c r="B13" s="1" t="s">
        <v>9</v>
      </c>
      <c r="C13" s="80">
        <v>300</v>
      </c>
      <c r="D13" s="80">
        <v>320</v>
      </c>
      <c r="E13" s="80">
        <v>370</v>
      </c>
      <c r="F13" s="80">
        <v>400</v>
      </c>
      <c r="G13" s="80" t="s">
        <v>6</v>
      </c>
      <c r="H13" s="80" t="s">
        <v>10</v>
      </c>
      <c r="J13" s="58">
        <f>D8</f>
        <v>2020</v>
      </c>
      <c r="K13" s="58"/>
      <c r="L13" s="58">
        <f>D13/100</f>
        <v>3.2</v>
      </c>
      <c r="M13" s="58"/>
      <c r="N13" s="58">
        <f>D14</f>
        <v>20</v>
      </c>
      <c r="O13" s="59">
        <f>D29</f>
        <v>3874</v>
      </c>
      <c r="P13" s="59">
        <f>D31</f>
        <v>62.580000000000005</v>
      </c>
      <c r="Q13" s="197">
        <f>D32</f>
        <v>0</v>
      </c>
      <c r="R13" s="58"/>
      <c r="S13" s="58"/>
      <c r="T13" s="58">
        <f>D16</f>
        <v>0</v>
      </c>
      <c r="U13" s="58">
        <f>D17</f>
        <v>0</v>
      </c>
      <c r="V13" s="58">
        <f>D18</f>
        <v>0</v>
      </c>
      <c r="W13" s="58">
        <f>D19</f>
        <v>0</v>
      </c>
      <c r="X13" s="58">
        <f>D20</f>
        <v>0</v>
      </c>
    </row>
    <row r="14" spans="2:24" ht="15" thickBot="1">
      <c r="B14" s="1" t="s">
        <v>11</v>
      </c>
      <c r="C14" s="80">
        <v>20</v>
      </c>
      <c r="D14" s="80">
        <v>20</v>
      </c>
      <c r="E14" s="80">
        <v>20</v>
      </c>
      <c r="F14" s="80">
        <v>20</v>
      </c>
      <c r="G14" s="80"/>
      <c r="H14" s="80"/>
      <c r="J14" s="58">
        <f>E8</f>
        <v>2030</v>
      </c>
      <c r="K14" s="58"/>
      <c r="L14" s="58">
        <f>E13/100</f>
        <v>3.7</v>
      </c>
      <c r="M14" s="58"/>
      <c r="N14" s="58">
        <f>E14</f>
        <v>20</v>
      </c>
      <c r="O14" s="59">
        <f>E29</f>
        <v>3576</v>
      </c>
      <c r="P14" s="59">
        <f>E31</f>
        <v>62.580000000000005</v>
      </c>
      <c r="Q14" s="197">
        <f>E32</f>
        <v>0</v>
      </c>
      <c r="R14" s="58"/>
      <c r="S14" s="58"/>
      <c r="T14" s="58">
        <f>E16</f>
        <v>0</v>
      </c>
      <c r="U14" s="58">
        <f>E17</f>
        <v>0</v>
      </c>
      <c r="V14" s="58">
        <f>E18</f>
        <v>0</v>
      </c>
      <c r="W14" s="58">
        <f>E19</f>
        <v>0</v>
      </c>
      <c r="X14" s="58">
        <f>E20</f>
        <v>0</v>
      </c>
    </row>
    <row r="15" spans="2:24" ht="15" thickBot="1">
      <c r="B15" s="3" t="s">
        <v>12</v>
      </c>
      <c r="C15" s="79"/>
      <c r="D15" s="79"/>
      <c r="E15" s="79"/>
      <c r="F15" s="79"/>
      <c r="G15" s="79"/>
      <c r="H15" s="80"/>
      <c r="J15" s="58">
        <f>F8</f>
        <v>2050</v>
      </c>
      <c r="K15" s="58"/>
      <c r="L15" s="58">
        <f>F13/100</f>
        <v>4</v>
      </c>
      <c r="M15" s="58"/>
      <c r="N15" s="58">
        <f>F14</f>
        <v>20</v>
      </c>
      <c r="O15" s="59">
        <f>F29</f>
        <v>3426.9999999999995</v>
      </c>
      <c r="P15" s="59">
        <f>F31</f>
        <v>62.580000000000005</v>
      </c>
      <c r="Q15" s="197">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5" t="s">
        <v>98</v>
      </c>
      <c r="H16" s="175"/>
      <c r="J16" s="54"/>
      <c r="K16" s="54"/>
      <c r="L16" s="54"/>
      <c r="M16" s="54"/>
    </row>
    <row r="17" spans="2:13" ht="15.6" thickBot="1">
      <c r="B17" s="1" t="s">
        <v>15</v>
      </c>
      <c r="C17" s="193">
        <v>0</v>
      </c>
      <c r="D17" s="189">
        <v>0</v>
      </c>
      <c r="E17" s="189">
        <v>0</v>
      </c>
      <c r="F17" s="185">
        <v>0</v>
      </c>
      <c r="G17" s="1276"/>
      <c r="H17" s="176"/>
      <c r="J17" s="55"/>
      <c r="K17" s="55"/>
      <c r="L17" s="55"/>
      <c r="M17" s="55"/>
    </row>
    <row r="18" spans="2:13" ht="15.6" thickBot="1">
      <c r="B18" s="1" t="s">
        <v>17</v>
      </c>
      <c r="C18" s="193">
        <v>0</v>
      </c>
      <c r="D18" s="189">
        <v>0</v>
      </c>
      <c r="E18" s="189">
        <v>0</v>
      </c>
      <c r="F18" s="185">
        <v>0</v>
      </c>
      <c r="G18" s="1276"/>
      <c r="H18" s="176"/>
    </row>
    <row r="19" spans="2:13" ht="15.6" thickBot="1">
      <c r="B19" s="1" t="s">
        <v>18</v>
      </c>
      <c r="C19" s="193">
        <v>0</v>
      </c>
      <c r="D19" s="189">
        <v>0</v>
      </c>
      <c r="E19" s="189">
        <v>0</v>
      </c>
      <c r="F19" s="185">
        <v>0</v>
      </c>
      <c r="G19" s="1276"/>
      <c r="H19" s="176"/>
    </row>
    <row r="20" spans="2:13" ht="15" thickBot="1">
      <c r="B20" s="1" t="s">
        <v>19</v>
      </c>
      <c r="C20" s="194">
        <v>0</v>
      </c>
      <c r="D20" s="195">
        <v>0</v>
      </c>
      <c r="E20" s="195">
        <v>0</v>
      </c>
      <c r="F20" s="35">
        <v>0</v>
      </c>
      <c r="G20" s="1277"/>
      <c r="H20" s="177"/>
    </row>
    <row r="21" spans="2:13" ht="15" thickBot="1">
      <c r="B21" s="3" t="s">
        <v>22</v>
      </c>
      <c r="C21" s="18"/>
      <c r="D21" s="18"/>
      <c r="E21" s="18"/>
      <c r="F21" s="18"/>
      <c r="G21" s="68" t="s">
        <v>329</v>
      </c>
      <c r="H21" s="2"/>
    </row>
    <row r="22" spans="2:13" ht="15" thickBot="1">
      <c r="B22" s="1" t="s">
        <v>23</v>
      </c>
      <c r="C22" s="41">
        <f>C23/$G22</f>
        <v>0.54</v>
      </c>
      <c r="D22" s="41">
        <f>D23/$G22</f>
        <v>0.52</v>
      </c>
      <c r="E22" s="41">
        <f>E23/$G22</f>
        <v>0.48</v>
      </c>
      <c r="F22" s="41">
        <f>F23/$G22</f>
        <v>0.45999999999999996</v>
      </c>
      <c r="G22" s="73">
        <v>5</v>
      </c>
      <c r="H22" s="73" t="str">
        <f>H30</f>
        <v>kW</v>
      </c>
    </row>
    <row r="23" spans="2:13">
      <c r="B23" s="6" t="s">
        <v>24</v>
      </c>
      <c r="C23" s="7">
        <v>2.7</v>
      </c>
      <c r="D23" s="7">
        <v>2.6</v>
      </c>
      <c r="E23" s="7">
        <v>2.4</v>
      </c>
      <c r="F23" s="7">
        <v>2.2999999999999998</v>
      </c>
      <c r="G23" s="7" t="s">
        <v>6</v>
      </c>
      <c r="H23" s="7" t="s">
        <v>94</v>
      </c>
    </row>
    <row r="24" spans="2:13">
      <c r="B24" s="6" t="s">
        <v>26</v>
      </c>
      <c r="C24" s="7" t="s">
        <v>95</v>
      </c>
      <c r="D24" s="7">
        <v>80</v>
      </c>
      <c r="E24" s="7">
        <v>80</v>
      </c>
      <c r="F24" s="7">
        <v>80</v>
      </c>
      <c r="G24" s="7"/>
      <c r="H24" s="7"/>
    </row>
    <row r="25" spans="2:13" ht="15" thickBot="1">
      <c r="B25" s="1" t="s">
        <v>96</v>
      </c>
      <c r="C25" s="2" t="s">
        <v>97</v>
      </c>
      <c r="D25" s="2">
        <v>20</v>
      </c>
      <c r="E25" s="2">
        <v>20</v>
      </c>
      <c r="F25" s="2">
        <v>20</v>
      </c>
      <c r="G25" s="2"/>
      <c r="H25" s="2"/>
    </row>
    <row r="26" spans="2:13" ht="24.6" thickBot="1">
      <c r="B26" s="1" t="s">
        <v>30</v>
      </c>
      <c r="C26" s="2"/>
      <c r="D26" s="2"/>
      <c r="E26" s="2"/>
      <c r="F26" s="2"/>
      <c r="G26" s="2"/>
      <c r="H26" s="2"/>
    </row>
    <row r="27" spans="2:13" ht="15" thickBot="1">
      <c r="B27" s="1" t="s">
        <v>64</v>
      </c>
      <c r="C27" s="2">
        <v>42</v>
      </c>
      <c r="D27" s="2">
        <v>42</v>
      </c>
      <c r="E27" s="2">
        <v>42</v>
      </c>
      <c r="F27" s="2">
        <v>42</v>
      </c>
      <c r="G27" s="2" t="s">
        <v>59</v>
      </c>
      <c r="H27" s="2">
        <v>2</v>
      </c>
    </row>
    <row r="28" spans="2:13" ht="15" thickBot="1">
      <c r="B28" s="1" t="s">
        <v>31</v>
      </c>
      <c r="C28" s="2"/>
      <c r="D28" s="2"/>
      <c r="E28" s="2"/>
      <c r="F28" s="2"/>
      <c r="G28" s="2"/>
      <c r="H28" s="2"/>
      <c r="I28" s="64"/>
      <c r="J28" s="64"/>
    </row>
    <row r="29" spans="2:13">
      <c r="B29" s="36" t="s">
        <v>353</v>
      </c>
      <c r="C29" s="42">
        <f>C22*$H$3*1000</f>
        <v>4023.0000000000005</v>
      </c>
      <c r="D29" s="42">
        <f>D22*$H$3*1000</f>
        <v>3874</v>
      </c>
      <c r="E29" s="42">
        <f>E22*$H$3*1000</f>
        <v>3576</v>
      </c>
      <c r="F29" s="42">
        <f>F22*$H$3*1000</f>
        <v>3426.9999999999995</v>
      </c>
      <c r="G29" s="63" t="s">
        <v>332</v>
      </c>
      <c r="H29" s="63"/>
      <c r="I29" s="64"/>
    </row>
    <row r="30" spans="2:13">
      <c r="B30" s="36" t="s">
        <v>354</v>
      </c>
      <c r="C30" s="42">
        <f>C23*$H$3</f>
        <v>20.115000000000002</v>
      </c>
      <c r="D30" s="42">
        <f>D23*$H$3</f>
        <v>19.37</v>
      </c>
      <c r="E30" s="42">
        <f>E23*$H$3</f>
        <v>17.88</v>
      </c>
      <c r="F30" s="42">
        <f>F23*$H$3</f>
        <v>17.134999999999998</v>
      </c>
      <c r="G30" s="67">
        <v>5</v>
      </c>
      <c r="H30" s="63" t="s">
        <v>330</v>
      </c>
      <c r="I30" s="64"/>
    </row>
    <row r="31" spans="2:13">
      <c r="B31" s="36" t="s">
        <v>355</v>
      </c>
      <c r="C31" s="42">
        <f>C27*$H$3/$G30</f>
        <v>62.580000000000005</v>
      </c>
      <c r="D31" s="42">
        <f>D27*$H$3/$G30</f>
        <v>62.580000000000005</v>
      </c>
      <c r="E31" s="42">
        <f>E27*$H$3/$G30</f>
        <v>62.580000000000005</v>
      </c>
      <c r="F31" s="42">
        <f>F27*$H$3/$G30</f>
        <v>62.580000000000005</v>
      </c>
      <c r="G31" s="63" t="s">
        <v>333</v>
      </c>
      <c r="H31" s="63"/>
      <c r="I31" s="64"/>
    </row>
    <row r="32" spans="2:13" ht="15" thickBot="1">
      <c r="B32" s="36" t="s">
        <v>356</v>
      </c>
      <c r="C32" s="42">
        <f>C28*$H$3</f>
        <v>0</v>
      </c>
      <c r="D32" s="42">
        <f>D28*$H$3</f>
        <v>0</v>
      </c>
      <c r="E32" s="42">
        <f>E28*$H$3</f>
        <v>0</v>
      </c>
      <c r="F32" s="42">
        <f>F28*$H$3</f>
        <v>0</v>
      </c>
      <c r="G32" s="66"/>
      <c r="H32" s="63"/>
      <c r="I32" s="64"/>
    </row>
    <row r="33" spans="9:9">
      <c r="I33" s="64"/>
    </row>
    <row r="156" spans="7:7">
      <c r="G156" s="263" t="s">
        <v>620</v>
      </c>
    </row>
  </sheetData>
  <mergeCells count="6">
    <mergeCell ref="G16:G20"/>
    <mergeCell ref="B6:B7"/>
    <mergeCell ref="C6:H6"/>
    <mergeCell ref="C7:H7"/>
    <mergeCell ref="J6:O6"/>
    <mergeCell ref="J7:O7"/>
  </mergeCell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tabColor theme="4"/>
  </sheetPr>
  <dimension ref="B3:X156"/>
  <sheetViews>
    <sheetView zoomScale="85" zoomScaleNormal="85" workbookViewId="0">
      <selection activeCell="F153" sqref="F153"/>
    </sheetView>
  </sheetViews>
  <sheetFormatPr defaultRowHeight="14.4"/>
  <cols>
    <col min="2" max="2" width="36.77734375" customWidth="1"/>
    <col min="3" max="6" width="10" bestFit="1" customWidth="1"/>
    <col min="10" max="10" width="9.21875" customWidth="1"/>
    <col min="18" max="18" width="9.21875" customWidth="1"/>
  </cols>
  <sheetData>
    <row r="3" spans="2:24">
      <c r="B3" s="8" t="s">
        <v>314</v>
      </c>
    </row>
    <row r="4" spans="2:24">
      <c r="E4" t="s">
        <v>334</v>
      </c>
      <c r="F4" s="36">
        <v>7.45</v>
      </c>
      <c r="G4" t="s">
        <v>328</v>
      </c>
    </row>
    <row r="5" spans="2:24" ht="15" thickBot="1"/>
    <row r="6" spans="2:24">
      <c r="B6" s="1257" t="s">
        <v>0</v>
      </c>
      <c r="C6" s="1259" t="s">
        <v>99</v>
      </c>
      <c r="D6" s="1260"/>
      <c r="E6" s="1260"/>
      <c r="F6" s="1260"/>
      <c r="G6" s="1260"/>
      <c r="H6" s="1261"/>
      <c r="J6" s="1259" t="str">
        <f>C6</f>
        <v>Heat pump, air-to-water</v>
      </c>
      <c r="K6" s="1260"/>
      <c r="L6" s="1260"/>
      <c r="M6" s="1260"/>
      <c r="N6" s="1260"/>
      <c r="O6" s="1261"/>
    </row>
    <row r="7" spans="2:24" ht="15" thickBot="1">
      <c r="B7" s="1258"/>
      <c r="C7" s="1134" t="s">
        <v>1</v>
      </c>
      <c r="D7" s="1135"/>
      <c r="E7" s="1135"/>
      <c r="F7" s="1135"/>
      <c r="G7" s="1135"/>
      <c r="H7" s="1136"/>
      <c r="J7" s="1134" t="str">
        <f>C7</f>
        <v>One-family house, existing building</v>
      </c>
      <c r="K7" s="1135"/>
      <c r="L7" s="1135"/>
      <c r="M7" s="1135"/>
      <c r="N7" s="1135"/>
      <c r="O7" s="1136"/>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4.6" thickBot="1">
      <c r="B11" s="1" t="s">
        <v>100</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101</v>
      </c>
      <c r="C12" s="2">
        <v>100</v>
      </c>
      <c r="D12" s="2">
        <v>100</v>
      </c>
      <c r="E12" s="2">
        <v>100</v>
      </c>
      <c r="F12" s="2">
        <v>100</v>
      </c>
      <c r="G12" s="2" t="s">
        <v>16</v>
      </c>
      <c r="H12" s="2"/>
      <c r="J12" s="58">
        <f>C8</f>
        <v>2015</v>
      </c>
      <c r="K12" s="58">
        <f>J12</f>
        <v>2015</v>
      </c>
      <c r="L12" s="58">
        <f>C13/100</f>
        <v>3</v>
      </c>
      <c r="M12" s="58"/>
      <c r="N12" s="58">
        <f>C14</f>
        <v>20</v>
      </c>
      <c r="O12" s="59">
        <f>C29</f>
        <v>9685</v>
      </c>
      <c r="P12" s="59">
        <f>C31</f>
        <v>100.575</v>
      </c>
      <c r="Q12" s="59">
        <f>C32</f>
        <v>0</v>
      </c>
      <c r="R12" s="58"/>
      <c r="S12" s="58"/>
      <c r="T12" s="58">
        <f>C16</f>
        <v>0</v>
      </c>
      <c r="U12" s="58">
        <f>C17</f>
        <v>0</v>
      </c>
      <c r="V12" s="58">
        <f>C18</f>
        <v>0</v>
      </c>
      <c r="W12" s="58">
        <f>C19</f>
        <v>0</v>
      </c>
      <c r="X12" s="58">
        <f>C20</f>
        <v>0</v>
      </c>
    </row>
    <row r="13" spans="2:24" ht="24.6" thickBot="1">
      <c r="B13" s="1" t="s">
        <v>9</v>
      </c>
      <c r="C13" s="2">
        <v>300</v>
      </c>
      <c r="D13" s="2">
        <v>330</v>
      </c>
      <c r="E13" s="2">
        <v>370</v>
      </c>
      <c r="F13" s="2">
        <v>400</v>
      </c>
      <c r="G13" s="2" t="s">
        <v>102</v>
      </c>
      <c r="H13" s="2" t="s">
        <v>103</v>
      </c>
      <c r="J13" s="58">
        <f>D8</f>
        <v>2020</v>
      </c>
      <c r="K13" s="58"/>
      <c r="L13" s="58">
        <f>D13/100</f>
        <v>3.3</v>
      </c>
      <c r="M13" s="58"/>
      <c r="N13" s="58">
        <f>D14</f>
        <v>20</v>
      </c>
      <c r="O13" s="59">
        <f>D29</f>
        <v>8940</v>
      </c>
      <c r="P13" s="59">
        <f>D31</f>
        <v>100.575</v>
      </c>
      <c r="Q13" s="59">
        <f>D32</f>
        <v>0</v>
      </c>
      <c r="R13" s="58"/>
      <c r="S13" s="58"/>
      <c r="T13" s="58">
        <f>D16</f>
        <v>0</v>
      </c>
      <c r="U13" s="58">
        <f>D17</f>
        <v>0</v>
      </c>
      <c r="V13" s="58">
        <f>D18</f>
        <v>0</v>
      </c>
      <c r="W13" s="58">
        <f>D19</f>
        <v>0</v>
      </c>
      <c r="X13" s="58">
        <f>D20</f>
        <v>0</v>
      </c>
    </row>
    <row r="14" spans="2:24" ht="15" thickBot="1">
      <c r="B14" s="1" t="s">
        <v>11</v>
      </c>
      <c r="C14" s="2">
        <v>20</v>
      </c>
      <c r="D14" s="2">
        <v>20</v>
      </c>
      <c r="E14" s="2">
        <v>20</v>
      </c>
      <c r="F14" s="2">
        <v>20</v>
      </c>
      <c r="G14" s="2"/>
      <c r="H14" s="2"/>
      <c r="J14" s="58">
        <f>E8</f>
        <v>2030</v>
      </c>
      <c r="K14" s="58"/>
      <c r="L14" s="58">
        <f>E13/100</f>
        <v>3.7</v>
      </c>
      <c r="M14" s="58"/>
      <c r="N14" s="58">
        <f>E14</f>
        <v>20</v>
      </c>
      <c r="O14" s="59">
        <f>E29</f>
        <v>8940</v>
      </c>
      <c r="P14" s="59">
        <f>E31</f>
        <v>100.575</v>
      </c>
      <c r="Q14" s="59">
        <f>E32</f>
        <v>0</v>
      </c>
      <c r="R14" s="58"/>
      <c r="S14" s="58"/>
      <c r="T14" s="58">
        <f>E16</f>
        <v>0</v>
      </c>
      <c r="U14" s="58">
        <f>E17</f>
        <v>0</v>
      </c>
      <c r="V14" s="58">
        <f>E18</f>
        <v>0</v>
      </c>
      <c r="W14" s="58">
        <f>E19</f>
        <v>0</v>
      </c>
      <c r="X14" s="58">
        <f>E20</f>
        <v>0</v>
      </c>
    </row>
    <row r="15" spans="2:24" ht="15" thickBot="1">
      <c r="B15" s="3" t="s">
        <v>12</v>
      </c>
      <c r="C15" s="18"/>
      <c r="D15" s="18"/>
      <c r="E15" s="18"/>
      <c r="F15" s="18"/>
      <c r="G15" s="18"/>
      <c r="H15" s="2"/>
      <c r="J15" s="58">
        <f>F8</f>
        <v>2050</v>
      </c>
      <c r="K15" s="58"/>
      <c r="L15" s="58">
        <f>F13/100</f>
        <v>4</v>
      </c>
      <c r="M15" s="58"/>
      <c r="N15" s="58">
        <f>F14</f>
        <v>20</v>
      </c>
      <c r="O15" s="59">
        <f>F29</f>
        <v>8195</v>
      </c>
      <c r="P15" s="59">
        <f>F31</f>
        <v>100.575</v>
      </c>
      <c r="Q15" s="59">
        <f>F32</f>
        <v>0</v>
      </c>
      <c r="R15" s="58"/>
      <c r="S15" s="58"/>
      <c r="T15" s="58"/>
      <c r="U15" s="58">
        <f>F17</f>
        <v>0</v>
      </c>
      <c r="V15" s="58">
        <f>F18</f>
        <v>0</v>
      </c>
      <c r="W15" s="58">
        <f>F19</f>
        <v>0</v>
      </c>
      <c r="X15" s="58">
        <f>F20</f>
        <v>0</v>
      </c>
    </row>
    <row r="16" spans="2:24" ht="27" customHeight="1" thickBot="1">
      <c r="B16" s="1" t="s">
        <v>13</v>
      </c>
      <c r="C16" s="189">
        <v>0</v>
      </c>
      <c r="D16" s="189">
        <v>0</v>
      </c>
      <c r="E16" s="189">
        <v>0</v>
      </c>
      <c r="F16" s="189">
        <v>0</v>
      </c>
      <c r="G16" s="1275" t="s">
        <v>98</v>
      </c>
      <c r="H16" s="175"/>
    </row>
    <row r="17" spans="2:9" ht="15.6" thickBot="1">
      <c r="B17" s="1" t="s">
        <v>15</v>
      </c>
      <c r="C17" s="189">
        <v>0</v>
      </c>
      <c r="D17" s="189">
        <v>0</v>
      </c>
      <c r="E17" s="189">
        <v>0</v>
      </c>
      <c r="F17" s="189">
        <v>0</v>
      </c>
      <c r="G17" s="1276"/>
      <c r="H17" s="176"/>
    </row>
    <row r="18" spans="2:9" ht="15.6" thickBot="1">
      <c r="B18" s="1" t="s">
        <v>17</v>
      </c>
      <c r="C18" s="189">
        <v>0</v>
      </c>
      <c r="D18" s="189">
        <v>0</v>
      </c>
      <c r="E18" s="189">
        <v>0</v>
      </c>
      <c r="F18" s="189">
        <v>0</v>
      </c>
      <c r="G18" s="1276"/>
      <c r="H18" s="176"/>
    </row>
    <row r="19" spans="2:9" ht="15.6" thickBot="1">
      <c r="B19" s="1" t="s">
        <v>18</v>
      </c>
      <c r="C19" s="189">
        <v>0</v>
      </c>
      <c r="D19" s="189">
        <v>0</v>
      </c>
      <c r="E19" s="189">
        <v>0</v>
      </c>
      <c r="F19" s="189">
        <v>0</v>
      </c>
      <c r="G19" s="1276"/>
      <c r="H19" s="176"/>
    </row>
    <row r="20" spans="2:9" ht="15" thickBot="1">
      <c r="B20" s="1" t="s">
        <v>19</v>
      </c>
      <c r="C20" s="189">
        <v>0</v>
      </c>
      <c r="D20" s="189">
        <v>0</v>
      </c>
      <c r="E20" s="189">
        <v>0</v>
      </c>
      <c r="F20" s="189">
        <v>0</v>
      </c>
      <c r="G20" s="1277"/>
      <c r="H20" s="177"/>
    </row>
    <row r="21" spans="2:9" ht="15" thickBot="1">
      <c r="B21" s="3" t="s">
        <v>22</v>
      </c>
      <c r="C21" s="18"/>
      <c r="D21" s="18"/>
      <c r="E21" s="18"/>
      <c r="F21" s="18"/>
      <c r="G21" s="68" t="s">
        <v>329</v>
      </c>
      <c r="H21" s="2"/>
    </row>
    <row r="22" spans="2:9" ht="15" thickBot="1">
      <c r="B22" s="1" t="s">
        <v>23</v>
      </c>
      <c r="C22" s="43">
        <f>C23/C10</f>
        <v>1.3</v>
      </c>
      <c r="D22" s="43">
        <f>D23/D10</f>
        <v>1.2</v>
      </c>
      <c r="E22" s="43">
        <f>E23/E10</f>
        <v>1.2</v>
      </c>
      <c r="F22" s="43">
        <f>F23/F10</f>
        <v>1.1000000000000001</v>
      </c>
      <c r="G22" s="68">
        <f>G30</f>
        <v>10</v>
      </c>
      <c r="H22" s="68" t="s">
        <v>359</v>
      </c>
      <c r="I22" s="64"/>
    </row>
    <row r="23" spans="2:9">
      <c r="B23" s="6" t="s">
        <v>24</v>
      </c>
      <c r="C23" s="7">
        <v>13</v>
      </c>
      <c r="D23" s="7">
        <v>12</v>
      </c>
      <c r="E23" s="7">
        <v>12</v>
      </c>
      <c r="F23" s="7">
        <v>11</v>
      </c>
      <c r="G23" s="7" t="s">
        <v>104</v>
      </c>
      <c r="H23" s="7" t="s">
        <v>105</v>
      </c>
    </row>
    <row r="24" spans="2:9">
      <c r="B24" s="6" t="s">
        <v>26</v>
      </c>
      <c r="C24" s="7" t="s">
        <v>106</v>
      </c>
      <c r="D24" s="7">
        <v>85</v>
      </c>
      <c r="E24" s="7">
        <v>85</v>
      </c>
      <c r="F24" s="7">
        <v>85</v>
      </c>
      <c r="G24" s="7"/>
      <c r="H24" s="7"/>
    </row>
    <row r="25" spans="2:9" ht="15" thickBot="1">
      <c r="B25" s="1" t="s">
        <v>96</v>
      </c>
      <c r="C25" s="2" t="s">
        <v>107</v>
      </c>
      <c r="D25" s="2">
        <v>15</v>
      </c>
      <c r="E25" s="2">
        <v>15</v>
      </c>
      <c r="F25" s="2">
        <v>15</v>
      </c>
      <c r="G25" s="2"/>
      <c r="H25" s="2"/>
    </row>
    <row r="26" spans="2:9" ht="24.6" thickBot="1">
      <c r="B26" s="1" t="s">
        <v>30</v>
      </c>
      <c r="C26" s="2"/>
      <c r="D26" s="2"/>
      <c r="E26" s="2"/>
      <c r="F26" s="2"/>
      <c r="G26" s="2"/>
      <c r="H26" s="2"/>
    </row>
    <row r="27" spans="2:9" ht="15" thickBot="1">
      <c r="B27" s="1" t="s">
        <v>64</v>
      </c>
      <c r="C27" s="2">
        <v>135</v>
      </c>
      <c r="D27" s="2">
        <v>135</v>
      </c>
      <c r="E27" s="2">
        <v>135</v>
      </c>
      <c r="F27" s="2">
        <v>135</v>
      </c>
      <c r="G27" s="2" t="s">
        <v>20</v>
      </c>
      <c r="H27" s="2">
        <v>2</v>
      </c>
    </row>
    <row r="28" spans="2:9">
      <c r="B28" s="6" t="s">
        <v>31</v>
      </c>
      <c r="C28" s="187"/>
      <c r="D28" s="187"/>
      <c r="E28" s="187"/>
      <c r="F28" s="187"/>
      <c r="G28" s="7"/>
      <c r="H28" s="7"/>
    </row>
    <row r="29" spans="2:9">
      <c r="B29" s="36" t="s">
        <v>353</v>
      </c>
      <c r="C29" s="60">
        <f>C22*$F$4*1000</f>
        <v>9685</v>
      </c>
      <c r="D29" s="60">
        <f t="shared" ref="C29:F30" si="0">D22*$F$4*1000</f>
        <v>8940</v>
      </c>
      <c r="E29" s="60">
        <f t="shared" si="0"/>
        <v>8940</v>
      </c>
      <c r="F29" s="60">
        <f t="shared" si="0"/>
        <v>8195</v>
      </c>
      <c r="G29" s="63" t="s">
        <v>332</v>
      </c>
      <c r="H29" s="63"/>
    </row>
    <row r="30" spans="2:9">
      <c r="B30" s="36" t="s">
        <v>354</v>
      </c>
      <c r="C30" s="60">
        <f t="shared" si="0"/>
        <v>96850.000000000015</v>
      </c>
      <c r="D30" s="60">
        <f t="shared" si="0"/>
        <v>89400</v>
      </c>
      <c r="E30" s="60">
        <f t="shared" si="0"/>
        <v>89400</v>
      </c>
      <c r="F30" s="60">
        <f t="shared" si="0"/>
        <v>81950</v>
      </c>
      <c r="G30" s="70">
        <f>C10</f>
        <v>10</v>
      </c>
      <c r="H30" s="69" t="s">
        <v>330</v>
      </c>
    </row>
    <row r="31" spans="2:9">
      <c r="B31" s="36" t="s">
        <v>355</v>
      </c>
      <c r="C31" s="60">
        <f>C27*$F$4/C10</f>
        <v>100.575</v>
      </c>
      <c r="D31" s="60">
        <f>D27*$F$4/D10</f>
        <v>100.575</v>
      </c>
      <c r="E31" s="60">
        <f>E27*$F$4/E10</f>
        <v>100.575</v>
      </c>
      <c r="F31" s="60">
        <f>F27*$F$4/F10</f>
        <v>100.575</v>
      </c>
      <c r="G31" s="69" t="s">
        <v>331</v>
      </c>
      <c r="H31" s="69"/>
    </row>
    <row r="32" spans="2:9" ht="15" thickBot="1">
      <c r="B32" s="36" t="s">
        <v>356</v>
      </c>
      <c r="C32" s="186">
        <f>C28*$F$4</f>
        <v>0</v>
      </c>
      <c r="D32" s="186">
        <f>D28*$F$4</f>
        <v>0</v>
      </c>
      <c r="E32" s="186">
        <f>E28*$F$4</f>
        <v>0</v>
      </c>
      <c r="F32" s="186">
        <f>F28*$F$4</f>
        <v>0</v>
      </c>
      <c r="G32" s="61"/>
      <c r="H32" s="61"/>
    </row>
    <row r="33" spans="2:24">
      <c r="B33" s="1278" t="s">
        <v>0</v>
      </c>
      <c r="C33" s="1142" t="s">
        <v>99</v>
      </c>
      <c r="D33" s="1267"/>
      <c r="E33" s="1267"/>
      <c r="F33" s="1267"/>
      <c r="G33" s="1267"/>
      <c r="H33" s="1144"/>
      <c r="J33" s="1259" t="str">
        <f>C33</f>
        <v>Heat pump, air-to-water</v>
      </c>
      <c r="K33" s="1260"/>
      <c r="L33" s="1260"/>
      <c r="M33" s="1260"/>
      <c r="N33" s="1260"/>
      <c r="O33" s="1261"/>
    </row>
    <row r="34" spans="2:24" ht="15" thickBot="1">
      <c r="B34" s="1258"/>
      <c r="C34" s="1134" t="s">
        <v>32</v>
      </c>
      <c r="D34" s="1135"/>
      <c r="E34" s="1135"/>
      <c r="F34" s="1135"/>
      <c r="G34" s="1135"/>
      <c r="H34" s="1136"/>
      <c r="J34" s="1134" t="str">
        <f>C34</f>
        <v>Apartment complex, existing building</v>
      </c>
      <c r="K34" s="1135"/>
      <c r="L34" s="1135"/>
      <c r="M34" s="1135"/>
      <c r="N34" s="1135"/>
      <c r="O34" s="1136"/>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4.6" thickBot="1">
      <c r="B38" s="1" t="s">
        <v>100</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101</v>
      </c>
      <c r="C39" s="2">
        <v>100</v>
      </c>
      <c r="D39" s="2">
        <v>100</v>
      </c>
      <c r="E39" s="2">
        <v>100</v>
      </c>
      <c r="F39" s="2">
        <v>100</v>
      </c>
      <c r="G39" s="2" t="s">
        <v>16</v>
      </c>
      <c r="H39" s="2"/>
      <c r="J39" s="58">
        <f>C35</f>
        <v>2015</v>
      </c>
      <c r="K39" s="58">
        <f>J39</f>
        <v>2015</v>
      </c>
      <c r="L39" s="58">
        <f>C40/100</f>
        <v>3</v>
      </c>
      <c r="M39" s="58"/>
      <c r="N39" s="58">
        <f>C41</f>
        <v>20</v>
      </c>
      <c r="O39" s="59">
        <f>C56</f>
        <v>7450</v>
      </c>
      <c r="P39" s="59">
        <f>C58</f>
        <v>7.45</v>
      </c>
      <c r="Q39" s="59">
        <f>C59</f>
        <v>0</v>
      </c>
      <c r="R39" s="58"/>
      <c r="S39" s="58"/>
      <c r="T39" s="58"/>
      <c r="U39" s="58"/>
      <c r="V39" s="58"/>
      <c r="W39" s="58"/>
      <c r="X39" s="58"/>
    </row>
    <row r="40" spans="2:24" ht="24.6" thickBot="1">
      <c r="B40" s="1" t="s">
        <v>9</v>
      </c>
      <c r="C40" s="2">
        <v>300</v>
      </c>
      <c r="D40" s="2">
        <v>330</v>
      </c>
      <c r="E40" s="2">
        <v>370</v>
      </c>
      <c r="F40" s="2">
        <v>400</v>
      </c>
      <c r="G40" s="2" t="s">
        <v>102</v>
      </c>
      <c r="H40" s="2" t="s">
        <v>103</v>
      </c>
      <c r="J40" s="58">
        <f>D35</f>
        <v>2020</v>
      </c>
      <c r="K40" s="58"/>
      <c r="L40" s="58">
        <f>D40/100</f>
        <v>3.3</v>
      </c>
      <c r="M40" s="58"/>
      <c r="N40" s="58">
        <f>D41</f>
        <v>20</v>
      </c>
      <c r="O40" s="59">
        <f>D56</f>
        <v>7450</v>
      </c>
      <c r="P40" s="59">
        <f>D58</f>
        <v>7.45</v>
      </c>
      <c r="Q40" s="59">
        <f>D59</f>
        <v>0</v>
      </c>
      <c r="R40" s="58"/>
      <c r="S40" s="58"/>
      <c r="T40" s="58"/>
      <c r="U40" s="58"/>
      <c r="V40" s="58"/>
      <c r="W40" s="58"/>
      <c r="X40" s="58"/>
    </row>
    <row r="41" spans="2:24" ht="15" thickBot="1">
      <c r="B41" s="1" t="s">
        <v>11</v>
      </c>
      <c r="C41" s="2">
        <v>20</v>
      </c>
      <c r="D41" s="2">
        <v>20</v>
      </c>
      <c r="E41" s="2">
        <v>20</v>
      </c>
      <c r="F41" s="2">
        <v>20</v>
      </c>
      <c r="G41" s="2"/>
      <c r="H41" s="2"/>
      <c r="J41" s="58">
        <f>E35</f>
        <v>2030</v>
      </c>
      <c r="K41" s="58"/>
      <c r="L41" s="58">
        <f>E40/100</f>
        <v>3.7</v>
      </c>
      <c r="M41" s="58"/>
      <c r="N41" s="58">
        <f>E41</f>
        <v>20</v>
      </c>
      <c r="O41" s="59">
        <f>E56</f>
        <v>6705</v>
      </c>
      <c r="P41" s="59">
        <f>E58</f>
        <v>7.45</v>
      </c>
      <c r="Q41" s="59">
        <f>E59</f>
        <v>0</v>
      </c>
      <c r="R41" s="58"/>
      <c r="S41" s="58"/>
      <c r="T41" s="58"/>
      <c r="U41" s="58"/>
      <c r="V41" s="58"/>
      <c r="W41" s="58"/>
      <c r="X41" s="58"/>
    </row>
    <row r="42" spans="2:24" ht="15" thickBot="1">
      <c r="B42" s="3" t="s">
        <v>12</v>
      </c>
      <c r="C42" s="18"/>
      <c r="D42" s="18"/>
      <c r="E42" s="18"/>
      <c r="F42" s="18"/>
      <c r="G42" s="18"/>
      <c r="H42" s="2"/>
      <c r="J42" s="58">
        <f>F35</f>
        <v>2050</v>
      </c>
      <c r="K42" s="58"/>
      <c r="L42" s="58">
        <f>F40/100</f>
        <v>4</v>
      </c>
      <c r="M42" s="58"/>
      <c r="N42" s="58">
        <f>F41</f>
        <v>20</v>
      </c>
      <c r="O42" s="59">
        <f>F56</f>
        <v>6705</v>
      </c>
      <c r="P42" s="59">
        <f>F58</f>
        <v>7.45</v>
      </c>
      <c r="Q42" s="59">
        <f>F59</f>
        <v>0</v>
      </c>
      <c r="R42" s="58"/>
      <c r="S42" s="58"/>
      <c r="T42" s="58"/>
      <c r="U42" s="58"/>
      <c r="V42" s="58"/>
      <c r="W42" s="58"/>
      <c r="X42" s="58"/>
    </row>
    <row r="43" spans="2:24" ht="27" customHeight="1" thickBot="1">
      <c r="B43" s="1" t="s">
        <v>13</v>
      </c>
      <c r="C43" s="1279" t="s">
        <v>98</v>
      </c>
      <c r="D43" s="1280"/>
      <c r="E43" s="1280"/>
      <c r="F43" s="1280"/>
      <c r="G43" s="1280"/>
      <c r="H43" s="1281"/>
    </row>
    <row r="44" spans="2:24" ht="15.6" thickBot="1">
      <c r="B44" s="1" t="s">
        <v>15</v>
      </c>
      <c r="C44" s="1282"/>
      <c r="D44" s="1283"/>
      <c r="E44" s="1283"/>
      <c r="F44" s="1283"/>
      <c r="G44" s="1283"/>
      <c r="H44" s="1284"/>
    </row>
    <row r="45" spans="2:24" ht="15.6" thickBot="1">
      <c r="B45" s="1" t="s">
        <v>17</v>
      </c>
      <c r="C45" s="1282"/>
      <c r="D45" s="1283"/>
      <c r="E45" s="1283"/>
      <c r="F45" s="1283"/>
      <c r="G45" s="1283"/>
      <c r="H45" s="1284"/>
    </row>
    <row r="46" spans="2:24" ht="15.6" thickBot="1">
      <c r="B46" s="1" t="s">
        <v>18</v>
      </c>
      <c r="C46" s="1282"/>
      <c r="D46" s="1283"/>
      <c r="E46" s="1283"/>
      <c r="F46" s="1283"/>
      <c r="G46" s="1283"/>
      <c r="H46" s="1284"/>
    </row>
    <row r="47" spans="2:24" ht="15" thickBot="1">
      <c r="B47" s="1" t="s">
        <v>19</v>
      </c>
      <c r="C47" s="1285"/>
      <c r="D47" s="1286"/>
      <c r="E47" s="1286"/>
      <c r="F47" s="1286"/>
      <c r="G47" s="1286"/>
      <c r="H47" s="1287"/>
    </row>
    <row r="48" spans="2:24" ht="15" thickBot="1">
      <c r="B48" s="3" t="s">
        <v>22</v>
      </c>
      <c r="C48" s="18"/>
      <c r="D48" s="18"/>
      <c r="E48" s="18"/>
      <c r="F48" s="18"/>
      <c r="G48" s="18"/>
      <c r="H48" s="2"/>
    </row>
    <row r="49" spans="2:24" ht="15" thickBot="1">
      <c r="B49" s="1" t="s">
        <v>23</v>
      </c>
      <c r="C49" s="2">
        <v>1</v>
      </c>
      <c r="D49" s="2">
        <v>1</v>
      </c>
      <c r="E49" s="2">
        <v>0.9</v>
      </c>
      <c r="F49" s="2">
        <v>0.9</v>
      </c>
      <c r="G49" s="2" t="s">
        <v>109</v>
      </c>
      <c r="H49" s="2" t="s">
        <v>105</v>
      </c>
    </row>
    <row r="50" spans="2:24">
      <c r="B50" s="6" t="s">
        <v>24</v>
      </c>
      <c r="C50" s="7"/>
      <c r="D50" s="7"/>
      <c r="E50" s="7"/>
      <c r="F50" s="7"/>
      <c r="G50" s="7"/>
      <c r="H50" s="7"/>
    </row>
    <row r="51" spans="2:24">
      <c r="B51" s="6" t="s">
        <v>26</v>
      </c>
      <c r="C51" s="7"/>
      <c r="D51" s="7"/>
      <c r="E51" s="7"/>
      <c r="F51" s="7"/>
      <c r="G51" s="7"/>
      <c r="H51" s="7"/>
    </row>
    <row r="52" spans="2:24" ht="15" thickBot="1">
      <c r="B52" s="1" t="s">
        <v>96</v>
      </c>
      <c r="C52" s="2"/>
      <c r="D52" s="2"/>
      <c r="E52" s="2"/>
      <c r="F52" s="2"/>
      <c r="G52" s="2"/>
      <c r="H52" s="2"/>
    </row>
    <row r="53" spans="2:24" ht="24.6" thickBot="1">
      <c r="B53" s="1" t="s">
        <v>30</v>
      </c>
      <c r="C53" s="2"/>
      <c r="D53" s="2"/>
      <c r="E53" s="2"/>
      <c r="F53" s="2"/>
      <c r="G53" s="2"/>
      <c r="H53" s="2"/>
    </row>
    <row r="54" spans="2:24" ht="15" thickBot="1">
      <c r="B54" s="1" t="s">
        <v>64</v>
      </c>
      <c r="C54" s="2">
        <v>400</v>
      </c>
      <c r="D54" s="2">
        <v>400</v>
      </c>
      <c r="E54" s="2">
        <v>400</v>
      </c>
      <c r="F54" s="2">
        <v>400</v>
      </c>
      <c r="G54" s="2" t="s">
        <v>20</v>
      </c>
      <c r="H54" s="2">
        <v>2</v>
      </c>
    </row>
    <row r="55" spans="2:24" ht="15" thickBot="1">
      <c r="B55" s="1" t="s">
        <v>31</v>
      </c>
      <c r="C55" s="2"/>
      <c r="D55" s="2"/>
      <c r="E55" s="2"/>
      <c r="F55" s="2"/>
      <c r="G55" s="2"/>
      <c r="H55" s="2"/>
      <c r="I55" s="40"/>
    </row>
    <row r="56" spans="2:24">
      <c r="B56" s="36" t="s">
        <v>353</v>
      </c>
      <c r="C56" s="42">
        <f>C49*$F$4*1000</f>
        <v>7450</v>
      </c>
      <c r="D56" s="42">
        <f>D49*$F$4*1000</f>
        <v>7450</v>
      </c>
      <c r="E56" s="42">
        <f>E49*$F$4*1000</f>
        <v>6705</v>
      </c>
      <c r="F56" s="42">
        <f>F49*$F$4*1000</f>
        <v>6705</v>
      </c>
      <c r="G56" s="63" t="s">
        <v>332</v>
      </c>
      <c r="H56" s="63"/>
      <c r="J56" s="40"/>
    </row>
    <row r="57" spans="2:24">
      <c r="B57" s="36" t="s">
        <v>354</v>
      </c>
      <c r="C57" s="42">
        <f>C56*$G57</f>
        <v>2980000</v>
      </c>
      <c r="D57" s="42">
        <f>D56*$G57</f>
        <v>2980000</v>
      </c>
      <c r="E57" s="42">
        <f>E56*$G57</f>
        <v>2682000</v>
      </c>
      <c r="F57" s="42">
        <f>F56*$G57</f>
        <v>2682000</v>
      </c>
      <c r="G57" s="67">
        <v>400</v>
      </c>
      <c r="H57" s="63" t="s">
        <v>330</v>
      </c>
      <c r="I57" s="40"/>
    </row>
    <row r="58" spans="2:24">
      <c r="B58" s="36" t="s">
        <v>355</v>
      </c>
      <c r="C58" s="36">
        <f>C54*$F$4/$G57</f>
        <v>7.45</v>
      </c>
      <c r="D58" s="36">
        <f>D54*$F$4/$G57</f>
        <v>7.45</v>
      </c>
      <c r="E58" s="36">
        <f>E54*$F$4/$G57</f>
        <v>7.45</v>
      </c>
      <c r="F58" s="36">
        <f>F54*$F$4/$G57</f>
        <v>7.45</v>
      </c>
      <c r="G58" s="63" t="s">
        <v>333</v>
      </c>
      <c r="H58" s="63"/>
    </row>
    <row r="59" spans="2:24" ht="15" thickBot="1">
      <c r="B59" s="36" t="s">
        <v>356</v>
      </c>
      <c r="C59" s="36">
        <f>C55*$F$4</f>
        <v>0</v>
      </c>
      <c r="D59" s="36">
        <f>D55*$F$4</f>
        <v>0</v>
      </c>
      <c r="E59" s="36">
        <f>E55*$F$4</f>
        <v>0</v>
      </c>
      <c r="F59" s="36">
        <f>F55*$F$4</f>
        <v>0</v>
      </c>
      <c r="G59" s="66"/>
      <c r="H59" s="63"/>
    </row>
    <row r="60" spans="2:24">
      <c r="B60" s="1257" t="s">
        <v>0</v>
      </c>
      <c r="C60" s="1259" t="s">
        <v>99</v>
      </c>
      <c r="D60" s="1260"/>
      <c r="E60" s="1260"/>
      <c r="F60" s="1260"/>
      <c r="G60" s="1260"/>
      <c r="H60" s="1261"/>
      <c r="J60" s="1259" t="str">
        <f>C60</f>
        <v>Heat pump, air-to-water</v>
      </c>
      <c r="K60" s="1260"/>
      <c r="L60" s="1260"/>
      <c r="M60" s="1260"/>
      <c r="N60" s="1260"/>
      <c r="O60" s="1261"/>
    </row>
    <row r="61" spans="2:24" ht="15" thickBot="1">
      <c r="B61" s="1258"/>
      <c r="C61" s="1134" t="s">
        <v>34</v>
      </c>
      <c r="D61" s="1135"/>
      <c r="E61" s="1135"/>
      <c r="F61" s="1135"/>
      <c r="G61" s="1135"/>
      <c r="H61" s="1136"/>
      <c r="J61" s="1134" t="str">
        <f>C61</f>
        <v>One-family house, new building</v>
      </c>
      <c r="K61" s="1135"/>
      <c r="L61" s="1135"/>
      <c r="M61" s="1135"/>
      <c r="N61" s="1135"/>
      <c r="O61" s="1136"/>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4.6"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2">
        <v>100</v>
      </c>
      <c r="D66" s="2">
        <v>100</v>
      </c>
      <c r="E66" s="2">
        <v>100</v>
      </c>
      <c r="F66" s="2">
        <v>100</v>
      </c>
      <c r="G66" s="2" t="s">
        <v>16</v>
      </c>
      <c r="H66" s="2"/>
      <c r="J66" s="58">
        <f>C62</f>
        <v>2015</v>
      </c>
      <c r="K66" s="58">
        <f>J66</f>
        <v>2015</v>
      </c>
      <c r="L66" s="58">
        <f>C67/100</f>
        <v>3</v>
      </c>
      <c r="M66" s="58"/>
      <c r="N66" s="58">
        <f>C68</f>
        <v>20</v>
      </c>
      <c r="O66" s="59">
        <f>C83</f>
        <v>15645.000000000002</v>
      </c>
      <c r="P66" s="59">
        <f>C85</f>
        <v>198.17000000000002</v>
      </c>
      <c r="Q66" s="59">
        <f>C86</f>
        <v>0</v>
      </c>
      <c r="R66" s="58"/>
      <c r="S66" s="58"/>
      <c r="T66" s="58"/>
      <c r="U66" s="58"/>
      <c r="V66" s="58"/>
      <c r="W66" s="58"/>
      <c r="X66" s="58"/>
    </row>
    <row r="67" spans="2:24" ht="24.6" thickBot="1">
      <c r="B67" s="1" t="s">
        <v>9</v>
      </c>
      <c r="C67" s="2">
        <v>300</v>
      </c>
      <c r="D67" s="2">
        <v>330</v>
      </c>
      <c r="E67" s="2">
        <v>370</v>
      </c>
      <c r="F67" s="2">
        <v>400</v>
      </c>
      <c r="G67" s="2" t="s">
        <v>102</v>
      </c>
      <c r="H67" s="2" t="s">
        <v>103</v>
      </c>
      <c r="J67" s="58">
        <f>D62</f>
        <v>2020</v>
      </c>
      <c r="K67" s="58"/>
      <c r="L67" s="58">
        <f>D67/100</f>
        <v>3.3</v>
      </c>
      <c r="M67" s="58"/>
      <c r="N67" s="58">
        <f>D68</f>
        <v>20</v>
      </c>
      <c r="O67" s="59">
        <f>D83</f>
        <v>15049.000000000002</v>
      </c>
      <c r="P67" s="59">
        <f>D85</f>
        <v>198.17000000000002</v>
      </c>
      <c r="Q67" s="59">
        <f>D86</f>
        <v>0</v>
      </c>
      <c r="R67" s="58"/>
      <c r="S67" s="58"/>
      <c r="T67" s="58"/>
      <c r="U67" s="58"/>
      <c r="V67" s="58"/>
      <c r="W67" s="58"/>
      <c r="X67" s="58"/>
    </row>
    <row r="68" spans="2:24" ht="15" thickBot="1">
      <c r="B68" s="1" t="s">
        <v>11</v>
      </c>
      <c r="C68" s="2">
        <v>20</v>
      </c>
      <c r="D68" s="2">
        <v>20</v>
      </c>
      <c r="E68" s="2">
        <v>20</v>
      </c>
      <c r="F68" s="2">
        <v>20</v>
      </c>
      <c r="G68" s="2"/>
      <c r="H68" s="2"/>
      <c r="J68" s="58">
        <f>E62</f>
        <v>2030</v>
      </c>
      <c r="K68" s="58"/>
      <c r="L68" s="58">
        <f>E67/100</f>
        <v>3.7</v>
      </c>
      <c r="M68" s="58"/>
      <c r="N68" s="58">
        <f>E68</f>
        <v>20</v>
      </c>
      <c r="O68" s="59">
        <f>E83</f>
        <v>13857.000000000002</v>
      </c>
      <c r="P68" s="59">
        <f>E85</f>
        <v>198.17000000000002</v>
      </c>
      <c r="Q68" s="59">
        <f>E86</f>
        <v>0</v>
      </c>
      <c r="R68" s="58"/>
      <c r="S68" s="58"/>
      <c r="T68" s="58"/>
      <c r="U68" s="58"/>
      <c r="V68" s="58"/>
      <c r="W68" s="58"/>
      <c r="X68" s="58"/>
    </row>
    <row r="69" spans="2:24" ht="15" thickBot="1">
      <c r="B69" s="3" t="s">
        <v>12</v>
      </c>
      <c r="C69" s="18"/>
      <c r="D69" s="18"/>
      <c r="E69" s="18"/>
      <c r="F69" s="18"/>
      <c r="G69" s="18"/>
      <c r="H69" s="2"/>
      <c r="J69" s="58">
        <f>F62</f>
        <v>2050</v>
      </c>
      <c r="K69" s="58"/>
      <c r="L69" s="58">
        <f>F67/100</f>
        <v>4</v>
      </c>
      <c r="M69" s="58"/>
      <c r="N69" s="58">
        <f>F68</f>
        <v>20</v>
      </c>
      <c r="O69" s="59">
        <f>F83</f>
        <v>13261.000000000002</v>
      </c>
      <c r="P69" s="59">
        <f>F85</f>
        <v>198.17000000000002</v>
      </c>
      <c r="Q69" s="59">
        <f>F86</f>
        <v>0</v>
      </c>
      <c r="R69" s="58"/>
      <c r="S69" s="58"/>
      <c r="T69" s="58"/>
      <c r="U69" s="58"/>
      <c r="V69" s="58"/>
      <c r="W69" s="58"/>
      <c r="X69" s="58"/>
    </row>
    <row r="70" spans="2:24" ht="27" customHeight="1" thickBot="1">
      <c r="B70" s="1" t="s">
        <v>13</v>
      </c>
      <c r="C70" s="1279" t="s">
        <v>98</v>
      </c>
      <c r="D70" s="1280"/>
      <c r="E70" s="1280"/>
      <c r="F70" s="1280"/>
      <c r="G70" s="1280"/>
      <c r="H70" s="1281"/>
    </row>
    <row r="71" spans="2:24" ht="15.6" thickBot="1">
      <c r="B71" s="1" t="s">
        <v>15</v>
      </c>
      <c r="C71" s="1282"/>
      <c r="D71" s="1283"/>
      <c r="E71" s="1283"/>
      <c r="F71" s="1283"/>
      <c r="G71" s="1283"/>
      <c r="H71" s="1284"/>
    </row>
    <row r="72" spans="2:24" ht="15.6" thickBot="1">
      <c r="B72" s="1" t="s">
        <v>17</v>
      </c>
      <c r="C72" s="1282"/>
      <c r="D72" s="1283"/>
      <c r="E72" s="1283"/>
      <c r="F72" s="1283"/>
      <c r="G72" s="1283"/>
      <c r="H72" s="1284"/>
    </row>
    <row r="73" spans="2:24" ht="15.6" thickBot="1">
      <c r="B73" s="1" t="s">
        <v>18</v>
      </c>
      <c r="C73" s="1282"/>
      <c r="D73" s="1283"/>
      <c r="E73" s="1283"/>
      <c r="F73" s="1283"/>
      <c r="G73" s="1283"/>
      <c r="H73" s="1284"/>
    </row>
    <row r="74" spans="2:24" ht="15" thickBot="1">
      <c r="B74" s="1" t="s">
        <v>19</v>
      </c>
      <c r="C74" s="1285"/>
      <c r="D74" s="1286"/>
      <c r="E74" s="1286"/>
      <c r="F74" s="1286"/>
      <c r="G74" s="1286"/>
      <c r="H74" s="1287"/>
    </row>
    <row r="75" spans="2:24" ht="15" thickBot="1">
      <c r="B75" s="3" t="s">
        <v>22</v>
      </c>
      <c r="C75" s="18"/>
      <c r="D75" s="18"/>
      <c r="E75" s="18"/>
      <c r="F75" s="18"/>
      <c r="G75" s="68" t="s">
        <v>329</v>
      </c>
      <c r="H75" s="2"/>
    </row>
    <row r="76" spans="2:24" ht="15" thickBot="1">
      <c r="B76" s="1" t="s">
        <v>23</v>
      </c>
      <c r="C76" s="43">
        <f>C77/C64</f>
        <v>2.1</v>
      </c>
      <c r="D76" s="43">
        <f>D77/D64</f>
        <v>2.02</v>
      </c>
      <c r="E76" s="43">
        <f>E77/E64</f>
        <v>1.86</v>
      </c>
      <c r="F76" s="43">
        <f>F77/F64</f>
        <v>1.78</v>
      </c>
      <c r="G76" s="68">
        <f>G84</f>
        <v>5</v>
      </c>
      <c r="H76" s="68" t="str">
        <f>H84</f>
        <v>kW</v>
      </c>
      <c r="I76" s="64"/>
      <c r="J76" s="64"/>
      <c r="K76" s="64"/>
      <c r="L76" s="64"/>
      <c r="M76" s="64"/>
    </row>
    <row r="77" spans="2:24">
      <c r="B77" s="6" t="s">
        <v>24</v>
      </c>
      <c r="C77" s="7">
        <v>10.5</v>
      </c>
      <c r="D77" s="7">
        <v>10.1</v>
      </c>
      <c r="E77" s="7">
        <v>9.3000000000000007</v>
      </c>
      <c r="F77" s="7">
        <v>8.9</v>
      </c>
      <c r="G77" s="7" t="s">
        <v>109</v>
      </c>
      <c r="H77" s="7" t="s">
        <v>105</v>
      </c>
    </row>
    <row r="78" spans="2:24">
      <c r="B78" s="6" t="s">
        <v>26</v>
      </c>
      <c r="C78" s="7" t="s">
        <v>95</v>
      </c>
      <c r="D78" s="7">
        <v>80</v>
      </c>
      <c r="E78" s="7">
        <v>80</v>
      </c>
      <c r="F78" s="7">
        <v>80</v>
      </c>
      <c r="G78" s="7"/>
      <c r="H78" s="7"/>
    </row>
    <row r="79" spans="2:24" ht="15" thickBot="1">
      <c r="B79" s="1" t="s">
        <v>96</v>
      </c>
      <c r="C79" s="2" t="s">
        <v>97</v>
      </c>
      <c r="D79" s="2">
        <v>20</v>
      </c>
      <c r="E79" s="2">
        <v>20</v>
      </c>
      <c r="F79" s="2">
        <v>20</v>
      </c>
      <c r="G79" s="2"/>
      <c r="H79" s="2"/>
    </row>
    <row r="80" spans="2:24" ht="24.6" thickBot="1">
      <c r="B80" s="1" t="s">
        <v>30</v>
      </c>
      <c r="C80" s="2"/>
      <c r="D80" s="2"/>
      <c r="E80" s="2"/>
      <c r="F80" s="2"/>
      <c r="G80" s="2"/>
      <c r="H80" s="2"/>
    </row>
    <row r="81" spans="2:24" ht="15" thickBot="1">
      <c r="B81" s="1" t="s">
        <v>64</v>
      </c>
      <c r="C81" s="2">
        <v>133</v>
      </c>
      <c r="D81" s="2">
        <v>133</v>
      </c>
      <c r="E81" s="2">
        <v>133</v>
      </c>
      <c r="F81" s="2">
        <v>133</v>
      </c>
      <c r="G81" s="2" t="s">
        <v>20</v>
      </c>
      <c r="H81" s="2">
        <v>2</v>
      </c>
    </row>
    <row r="82" spans="2:24" ht="15" thickBot="1">
      <c r="B82" s="1" t="s">
        <v>31</v>
      </c>
      <c r="C82" s="2"/>
      <c r="D82" s="2"/>
      <c r="E82" s="2"/>
      <c r="F82" s="2"/>
      <c r="G82" s="2"/>
      <c r="H82" s="2"/>
    </row>
    <row r="83" spans="2:24" ht="15" thickBot="1">
      <c r="B83" s="36" t="s">
        <v>353</v>
      </c>
      <c r="C83" s="42">
        <f t="shared" ref="C83:F84" si="1">C76*$F$4*1000</f>
        <v>15645.000000000002</v>
      </c>
      <c r="D83" s="42">
        <f t="shared" si="1"/>
        <v>15049.000000000002</v>
      </c>
      <c r="E83" s="42">
        <f t="shared" si="1"/>
        <v>13857.000000000002</v>
      </c>
      <c r="F83" s="42">
        <f t="shared" si="1"/>
        <v>13261.000000000002</v>
      </c>
      <c r="G83" s="63" t="s">
        <v>332</v>
      </c>
      <c r="H83" s="63"/>
    </row>
    <row r="84" spans="2:24" ht="15" thickBot="1">
      <c r="B84" s="36" t="s">
        <v>354</v>
      </c>
      <c r="C84" s="42">
        <f t="shared" si="1"/>
        <v>78225.000000000015</v>
      </c>
      <c r="D84" s="42">
        <f t="shared" si="1"/>
        <v>75245</v>
      </c>
      <c r="E84" s="42">
        <f t="shared" si="1"/>
        <v>69285.000000000015</v>
      </c>
      <c r="F84" s="42">
        <f t="shared" si="1"/>
        <v>66305</v>
      </c>
      <c r="G84" s="72">
        <f>C64</f>
        <v>5</v>
      </c>
      <c r="H84" s="63" t="s">
        <v>330</v>
      </c>
    </row>
    <row r="85" spans="2:24">
      <c r="B85" s="36" t="s">
        <v>355</v>
      </c>
      <c r="C85" s="42">
        <f>C81*$F$4/C64</f>
        <v>198.17000000000002</v>
      </c>
      <c r="D85" s="42">
        <f>D81*$F$4/D64</f>
        <v>198.17000000000002</v>
      </c>
      <c r="E85" s="42">
        <f>E81*$F$4/E64</f>
        <v>198.17000000000002</v>
      </c>
      <c r="F85" s="42">
        <f>F81*$F$4/F64</f>
        <v>198.17000000000002</v>
      </c>
      <c r="G85" s="63" t="s">
        <v>333</v>
      </c>
      <c r="H85" s="63"/>
    </row>
    <row r="86" spans="2:24" ht="15" thickBot="1">
      <c r="B86" s="36" t="s">
        <v>356</v>
      </c>
      <c r="C86" s="188">
        <f>C82*$F$4</f>
        <v>0</v>
      </c>
      <c r="D86" s="188">
        <f>D82*$F$4</f>
        <v>0</v>
      </c>
      <c r="E86" s="188">
        <f>E82*$F$4</f>
        <v>0</v>
      </c>
      <c r="F86" s="188">
        <f>F82*$F$4</f>
        <v>0</v>
      </c>
      <c r="G86" s="66"/>
      <c r="H86" s="63"/>
    </row>
    <row r="87" spans="2:24" ht="15" customHeight="1">
      <c r="B87" s="1257" t="s">
        <v>0</v>
      </c>
      <c r="C87" s="1259" t="s">
        <v>99</v>
      </c>
      <c r="D87" s="1260"/>
      <c r="E87" s="1260"/>
      <c r="F87" s="1260"/>
      <c r="G87" s="1260"/>
      <c r="H87" s="1261"/>
      <c r="J87" s="1259" t="str">
        <f>C87</f>
        <v>Heat pump, air-to-water</v>
      </c>
      <c r="K87" s="1260"/>
      <c r="L87" s="1260"/>
      <c r="M87" s="1260"/>
      <c r="N87" s="1260"/>
      <c r="O87" s="1261"/>
    </row>
    <row r="88" spans="2:24" ht="15.75" customHeight="1" thickBot="1">
      <c r="B88" s="1258"/>
      <c r="C88" s="1134" t="s">
        <v>35</v>
      </c>
      <c r="D88" s="1135"/>
      <c r="E88" s="1135"/>
      <c r="F88" s="1135"/>
      <c r="G88" s="1135"/>
      <c r="H88" s="1136"/>
      <c r="J88" s="1134" t="str">
        <f>C88</f>
        <v>Apartment complex, new building</v>
      </c>
      <c r="K88" s="1135"/>
      <c r="L88" s="1135"/>
      <c r="M88" s="1135"/>
      <c r="N88" s="1135"/>
      <c r="O88" s="1136"/>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4.6"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2">
        <v>100</v>
      </c>
      <c r="D93" s="2">
        <v>100</v>
      </c>
      <c r="E93" s="2">
        <v>100</v>
      </c>
      <c r="F93" s="2">
        <v>100</v>
      </c>
      <c r="G93" s="2" t="s">
        <v>16</v>
      </c>
      <c r="H93" s="2"/>
      <c r="J93" s="58">
        <f>C89</f>
        <v>2015</v>
      </c>
      <c r="K93" s="58">
        <f>J93</f>
        <v>2015</v>
      </c>
      <c r="L93" s="58">
        <f>C94/100</f>
        <v>3</v>
      </c>
      <c r="M93" s="58"/>
      <c r="N93" s="58">
        <f>C95</f>
        <v>20</v>
      </c>
      <c r="O93" s="59">
        <f>C110</f>
        <v>7450</v>
      </c>
      <c r="P93" s="59">
        <f>C112</f>
        <v>17.529411764705884</v>
      </c>
      <c r="Q93" s="59">
        <f>C113</f>
        <v>0</v>
      </c>
      <c r="R93" s="58"/>
      <c r="S93" s="58"/>
      <c r="T93" s="58"/>
      <c r="U93" s="58"/>
      <c r="V93" s="58"/>
      <c r="W93" s="58"/>
      <c r="X93" s="58"/>
    </row>
    <row r="94" spans="2:24" ht="24.6" thickBot="1">
      <c r="B94" s="1" t="s">
        <v>9</v>
      </c>
      <c r="C94" s="2">
        <v>300</v>
      </c>
      <c r="D94" s="2">
        <v>330</v>
      </c>
      <c r="E94" s="2">
        <v>370</v>
      </c>
      <c r="F94" s="2">
        <v>400</v>
      </c>
      <c r="G94" s="2" t="s">
        <v>102</v>
      </c>
      <c r="H94" s="2" t="s">
        <v>103</v>
      </c>
      <c r="J94" s="58">
        <f>D89</f>
        <v>2020</v>
      </c>
      <c r="K94" s="58"/>
      <c r="L94" s="58">
        <f>D94/100</f>
        <v>3.3</v>
      </c>
      <c r="M94" s="58"/>
      <c r="N94" s="58">
        <f>D95</f>
        <v>20</v>
      </c>
      <c r="O94" s="59">
        <f>D110</f>
        <v>7450</v>
      </c>
      <c r="P94" s="59">
        <f>D112</f>
        <v>17.529411764705884</v>
      </c>
      <c r="Q94" s="59">
        <f>D113</f>
        <v>0</v>
      </c>
      <c r="R94" s="58"/>
      <c r="S94" s="58"/>
      <c r="T94" s="58"/>
      <c r="U94" s="58"/>
      <c r="V94" s="58"/>
      <c r="W94" s="58"/>
      <c r="X94" s="58"/>
    </row>
    <row r="95" spans="2:24" ht="15" thickBot="1">
      <c r="B95" s="1" t="s">
        <v>11</v>
      </c>
      <c r="C95" s="2">
        <v>20</v>
      </c>
      <c r="D95" s="2">
        <v>20</v>
      </c>
      <c r="E95" s="2">
        <v>20</v>
      </c>
      <c r="F95" s="2">
        <v>20</v>
      </c>
      <c r="G95" s="2"/>
      <c r="H95" s="2"/>
      <c r="J95" s="58">
        <f>E89</f>
        <v>2030</v>
      </c>
      <c r="K95" s="58"/>
      <c r="L95" s="58">
        <f>E94/100</f>
        <v>3.7</v>
      </c>
      <c r="M95" s="58"/>
      <c r="N95" s="58">
        <f>E95</f>
        <v>20</v>
      </c>
      <c r="O95" s="59">
        <f>E110</f>
        <v>6705</v>
      </c>
      <c r="P95" s="59">
        <f>E112</f>
        <v>17.529411764705884</v>
      </c>
      <c r="Q95" s="59">
        <f>E113</f>
        <v>0</v>
      </c>
      <c r="R95" s="58"/>
      <c r="S95" s="58"/>
      <c r="T95" s="58"/>
      <c r="U95" s="58"/>
      <c r="V95" s="58"/>
      <c r="W95" s="58"/>
      <c r="X95" s="58"/>
    </row>
    <row r="96" spans="2:24" ht="15" thickBot="1">
      <c r="B96" s="3" t="s">
        <v>12</v>
      </c>
      <c r="C96" s="18"/>
      <c r="D96" s="18"/>
      <c r="E96" s="18"/>
      <c r="F96" s="18"/>
      <c r="G96" s="18"/>
      <c r="H96" s="2"/>
      <c r="J96" s="58">
        <f>F89</f>
        <v>2050</v>
      </c>
      <c r="K96" s="58"/>
      <c r="L96" s="58">
        <f>F94/100</f>
        <v>4</v>
      </c>
      <c r="M96" s="58"/>
      <c r="N96" s="58">
        <f>F95</f>
        <v>20</v>
      </c>
      <c r="O96" s="59">
        <f>F110</f>
        <v>6705</v>
      </c>
      <c r="P96" s="59">
        <f>F112</f>
        <v>17.529411764705884</v>
      </c>
      <c r="Q96" s="59">
        <f>F113</f>
        <v>0</v>
      </c>
      <c r="R96" s="58"/>
      <c r="S96" s="58"/>
      <c r="T96" s="58"/>
      <c r="U96" s="58"/>
      <c r="V96" s="58"/>
      <c r="W96" s="58"/>
      <c r="X96" s="58"/>
    </row>
    <row r="97" spans="2:19" ht="27" customHeight="1" thickBot="1">
      <c r="B97" s="1" t="s">
        <v>13</v>
      </c>
      <c r="C97" s="196">
        <v>0</v>
      </c>
      <c r="D97" s="196">
        <v>0</v>
      </c>
      <c r="E97" s="196">
        <v>0</v>
      </c>
      <c r="F97" s="196">
        <v>0</v>
      </c>
      <c r="G97" s="1275" t="s">
        <v>98</v>
      </c>
      <c r="H97" s="175"/>
    </row>
    <row r="98" spans="2:19" ht="15.6" thickBot="1">
      <c r="B98" s="1" t="s">
        <v>15</v>
      </c>
      <c r="C98" s="196">
        <v>0</v>
      </c>
      <c r="D98" s="196">
        <v>0</v>
      </c>
      <c r="E98" s="196">
        <v>0</v>
      </c>
      <c r="F98" s="196">
        <v>0</v>
      </c>
      <c r="G98" s="1276"/>
      <c r="H98" s="176"/>
    </row>
    <row r="99" spans="2:19" ht="15.6" thickBot="1">
      <c r="B99" s="1" t="s">
        <v>17</v>
      </c>
      <c r="C99" s="196">
        <v>0</v>
      </c>
      <c r="D99" s="196">
        <v>0</v>
      </c>
      <c r="E99" s="196">
        <v>0</v>
      </c>
      <c r="F99" s="196">
        <v>0</v>
      </c>
      <c r="G99" s="1276"/>
      <c r="H99" s="176"/>
    </row>
    <row r="100" spans="2:19" ht="15.6" thickBot="1">
      <c r="B100" s="1" t="s">
        <v>18</v>
      </c>
      <c r="C100" s="196">
        <v>0</v>
      </c>
      <c r="D100" s="196">
        <v>0</v>
      </c>
      <c r="E100" s="196">
        <v>0</v>
      </c>
      <c r="F100" s="196">
        <v>0</v>
      </c>
      <c r="G100" s="1276"/>
      <c r="H100" s="176"/>
    </row>
    <row r="101" spans="2:19" ht="15" thickBot="1">
      <c r="B101" s="1" t="s">
        <v>19</v>
      </c>
      <c r="C101" s="196">
        <v>0</v>
      </c>
      <c r="D101" s="196">
        <v>0</v>
      </c>
      <c r="E101" s="196">
        <v>0</v>
      </c>
      <c r="F101" s="196">
        <v>0</v>
      </c>
      <c r="G101" s="1277"/>
      <c r="H101" s="177"/>
    </row>
    <row r="102" spans="2:19" ht="15" thickBot="1">
      <c r="B102" s="3" t="s">
        <v>22</v>
      </c>
      <c r="C102" s="18"/>
      <c r="D102" s="18"/>
      <c r="E102" s="18"/>
      <c r="F102" s="18"/>
      <c r="G102" s="18"/>
      <c r="H102" s="2"/>
    </row>
    <row r="103" spans="2:19" ht="15" thickBot="1">
      <c r="B103" s="1" t="s">
        <v>23</v>
      </c>
      <c r="C103" s="2">
        <v>1</v>
      </c>
      <c r="D103" s="2">
        <v>1</v>
      </c>
      <c r="E103" s="2">
        <v>0.9</v>
      </c>
      <c r="F103" s="2">
        <v>0.9</v>
      </c>
      <c r="G103" s="2" t="s">
        <v>109</v>
      </c>
      <c r="H103" s="2" t="s">
        <v>105</v>
      </c>
    </row>
    <row r="104" spans="2:19">
      <c r="B104" s="6" t="s">
        <v>24</v>
      </c>
      <c r="C104" s="7"/>
      <c r="D104" s="7"/>
      <c r="E104" s="7"/>
      <c r="F104" s="7"/>
      <c r="G104" s="7"/>
      <c r="H104" s="7"/>
    </row>
    <row r="105" spans="2:19">
      <c r="B105" s="6" t="s">
        <v>26</v>
      </c>
      <c r="C105" s="7"/>
      <c r="D105" s="7"/>
      <c r="E105" s="7"/>
      <c r="F105" s="7"/>
      <c r="G105" s="7"/>
      <c r="H105" s="7"/>
    </row>
    <row r="106" spans="2:19" ht="15" thickBot="1">
      <c r="B106" s="1" t="s">
        <v>96</v>
      </c>
      <c r="C106" s="2"/>
      <c r="D106" s="2"/>
      <c r="E106" s="2"/>
      <c r="F106" s="2"/>
      <c r="G106" s="2"/>
      <c r="H106" s="2"/>
    </row>
    <row r="107" spans="2:19" ht="24.6" thickBot="1">
      <c r="B107" s="1" t="s">
        <v>30</v>
      </c>
      <c r="C107" s="2"/>
      <c r="D107" s="2"/>
      <c r="E107" s="2"/>
      <c r="F107" s="2"/>
      <c r="G107" s="2"/>
      <c r="H107" s="2"/>
    </row>
    <row r="108" spans="2:19" ht="15" thickBot="1">
      <c r="B108" s="1" t="s">
        <v>64</v>
      </c>
      <c r="C108" s="2">
        <v>400</v>
      </c>
      <c r="D108" s="2">
        <v>400</v>
      </c>
      <c r="E108" s="2">
        <v>400</v>
      </c>
      <c r="F108" s="2">
        <v>400</v>
      </c>
      <c r="G108" s="2"/>
      <c r="H108" s="2">
        <v>2</v>
      </c>
    </row>
    <row r="109" spans="2:19" ht="15" thickBot="1">
      <c r="B109" s="1" t="s">
        <v>31</v>
      </c>
      <c r="C109" s="2"/>
      <c r="D109" s="2"/>
      <c r="E109" s="2"/>
      <c r="F109" s="2"/>
      <c r="G109" s="2"/>
      <c r="H109" s="2"/>
    </row>
    <row r="110" spans="2:19">
      <c r="B110" s="36" t="s">
        <v>353</v>
      </c>
      <c r="C110" s="42">
        <f>C103*$F$4*1000</f>
        <v>7450</v>
      </c>
      <c r="D110" s="42">
        <f>D103*$F$4*1000</f>
        <v>7450</v>
      </c>
      <c r="E110" s="42">
        <f>E103*$F$4*1000</f>
        <v>6705</v>
      </c>
      <c r="F110" s="42">
        <f>F103*$F$4*1000</f>
        <v>6705</v>
      </c>
      <c r="G110" s="63" t="s">
        <v>332</v>
      </c>
      <c r="H110" s="63"/>
      <c r="I110" s="64"/>
      <c r="J110" s="64"/>
      <c r="K110" s="64"/>
      <c r="L110" s="64"/>
      <c r="M110" s="64"/>
      <c r="N110" s="64"/>
      <c r="O110" s="64"/>
      <c r="P110" s="64"/>
      <c r="Q110" s="64"/>
      <c r="R110" s="64"/>
      <c r="S110" s="64"/>
    </row>
    <row r="111" spans="2:19">
      <c r="B111" s="36" t="s">
        <v>354</v>
      </c>
      <c r="C111" s="42">
        <f>C110*$G111</f>
        <v>1266500</v>
      </c>
      <c r="D111" s="42">
        <f>D110*$G111</f>
        <v>1266500</v>
      </c>
      <c r="E111" s="42">
        <f>E110*$G111</f>
        <v>1139850</v>
      </c>
      <c r="F111" s="42">
        <f>F110*$G111</f>
        <v>1139850</v>
      </c>
      <c r="G111" s="67">
        <v>170</v>
      </c>
      <c r="H111" s="63" t="s">
        <v>330</v>
      </c>
      <c r="I111" s="64"/>
      <c r="J111" s="64"/>
      <c r="K111" s="64"/>
      <c r="L111" s="64"/>
      <c r="M111" s="64"/>
      <c r="N111" s="64"/>
      <c r="O111" s="64"/>
      <c r="P111" s="64"/>
      <c r="Q111" s="64"/>
      <c r="R111" s="64"/>
      <c r="S111" s="64"/>
    </row>
    <row r="112" spans="2:19">
      <c r="B112" s="36" t="s">
        <v>355</v>
      </c>
      <c r="C112" s="42">
        <f>C108*$F$4/$G111</f>
        <v>17.529411764705884</v>
      </c>
      <c r="D112" s="42">
        <f>D108*$F$4/$G111</f>
        <v>17.529411764705884</v>
      </c>
      <c r="E112" s="42">
        <f>E108*$F$4/$G111</f>
        <v>17.529411764705884</v>
      </c>
      <c r="F112" s="42">
        <f>F108*$F$4/$G111</f>
        <v>17.529411764705884</v>
      </c>
      <c r="G112" s="63" t="s">
        <v>333</v>
      </c>
      <c r="H112" s="63"/>
      <c r="I112" s="64"/>
      <c r="J112" s="64"/>
      <c r="K112" s="64"/>
      <c r="L112" s="64"/>
      <c r="M112" s="64"/>
      <c r="N112" s="64"/>
      <c r="O112" s="64"/>
      <c r="P112" s="64"/>
      <c r="Q112" s="64"/>
      <c r="R112" s="64"/>
      <c r="S112" s="64"/>
    </row>
    <row r="113" spans="2:8" ht="15" thickBot="1">
      <c r="B113" s="36" t="s">
        <v>356</v>
      </c>
      <c r="C113" s="36">
        <f>C109*$F$4</f>
        <v>0</v>
      </c>
      <c r="D113" s="36">
        <f>D109*$F$4</f>
        <v>0</v>
      </c>
      <c r="E113" s="36">
        <f>E109*$F$4</f>
        <v>0</v>
      </c>
      <c r="F113" s="36">
        <f>F109*$F$4</f>
        <v>0</v>
      </c>
      <c r="G113" s="66"/>
      <c r="H113" s="63"/>
    </row>
    <row r="122" spans="2:8">
      <c r="H122" s="71"/>
    </row>
    <row r="156" spans="7:7">
      <c r="G156" s="263" t="s">
        <v>620</v>
      </c>
    </row>
  </sheetData>
  <mergeCells count="24">
    <mergeCell ref="J61:O61"/>
    <mergeCell ref="J87:O87"/>
    <mergeCell ref="J88:O88"/>
    <mergeCell ref="J6:O6"/>
    <mergeCell ref="J7:O7"/>
    <mergeCell ref="J33:O33"/>
    <mergeCell ref="J34:O34"/>
    <mergeCell ref="J60:O60"/>
    <mergeCell ref="G97:G101"/>
    <mergeCell ref="B6:B7"/>
    <mergeCell ref="C6:H6"/>
    <mergeCell ref="C7:H7"/>
    <mergeCell ref="B33:B34"/>
    <mergeCell ref="C33:H33"/>
    <mergeCell ref="C34:H34"/>
    <mergeCell ref="G16:G20"/>
    <mergeCell ref="C43:H47"/>
    <mergeCell ref="B60:B61"/>
    <mergeCell ref="C60:H60"/>
    <mergeCell ref="C61:H61"/>
    <mergeCell ref="C70:H74"/>
    <mergeCell ref="B87:B88"/>
    <mergeCell ref="C87:H87"/>
    <mergeCell ref="C88:H88"/>
  </mergeCell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3">
    <tabColor theme="4"/>
  </sheetPr>
  <dimension ref="B3:X156"/>
  <sheetViews>
    <sheetView workbookViewId="0">
      <selection activeCell="F153" sqref="F153"/>
    </sheetView>
  </sheetViews>
  <sheetFormatPr defaultRowHeight="14.4"/>
  <cols>
    <col min="2" max="2" width="36.77734375" customWidth="1"/>
    <col min="10" max="10" width="42.5546875" customWidth="1"/>
  </cols>
  <sheetData>
    <row r="3" spans="2:24">
      <c r="B3" s="8" t="s">
        <v>315</v>
      </c>
    </row>
    <row r="4" spans="2:24">
      <c r="E4" t="s">
        <v>334</v>
      </c>
      <c r="F4" s="36">
        <v>7.45</v>
      </c>
      <c r="G4" t="s">
        <v>328</v>
      </c>
    </row>
    <row r="5" spans="2:24" ht="15" thickBot="1"/>
    <row r="6" spans="2:24">
      <c r="B6" s="1257" t="s">
        <v>0</v>
      </c>
      <c r="C6" s="1259" t="s">
        <v>111</v>
      </c>
      <c r="D6" s="1260"/>
      <c r="E6" s="1260"/>
      <c r="F6" s="1260"/>
      <c r="G6" s="1260"/>
      <c r="H6" s="1261"/>
      <c r="J6" s="1259" t="str">
        <f>C6</f>
        <v>Heat pump, brine-to-water</v>
      </c>
      <c r="K6" s="1260"/>
      <c r="L6" s="1260"/>
      <c r="M6" s="1260"/>
      <c r="N6" s="1260"/>
      <c r="O6" s="1261"/>
    </row>
    <row r="7" spans="2:24" ht="15" thickBot="1">
      <c r="B7" s="1258"/>
      <c r="C7" s="1134" t="s">
        <v>1</v>
      </c>
      <c r="D7" s="1135"/>
      <c r="E7" s="1135"/>
      <c r="F7" s="1135"/>
      <c r="G7" s="1135"/>
      <c r="H7" s="1136"/>
      <c r="J7" s="1134" t="str">
        <f>C7</f>
        <v>One-family house, existing building</v>
      </c>
      <c r="K7" s="1135"/>
      <c r="L7" s="1135"/>
      <c r="M7" s="1135"/>
      <c r="N7" s="1135"/>
      <c r="O7" s="1136"/>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10</v>
      </c>
      <c r="D10" s="2">
        <v>10</v>
      </c>
      <c r="E10" s="2">
        <v>10</v>
      </c>
      <c r="F10" s="2">
        <v>10</v>
      </c>
      <c r="G10" s="2"/>
      <c r="H10" s="2"/>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t="s">
        <v>16</v>
      </c>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t="s">
        <v>16</v>
      </c>
      <c r="H12" s="2"/>
      <c r="J12" s="58">
        <f>C8</f>
        <v>2015</v>
      </c>
      <c r="K12" s="58">
        <f>J12</f>
        <v>2015</v>
      </c>
      <c r="L12" s="58">
        <f>C13/100</f>
        <v>3.3</v>
      </c>
      <c r="M12" s="58"/>
      <c r="N12" s="58">
        <f>C14</f>
        <v>20</v>
      </c>
      <c r="O12" s="59">
        <f>C29</f>
        <v>12665</v>
      </c>
      <c r="P12" s="59">
        <f>C31</f>
        <v>100.575</v>
      </c>
      <c r="Q12" s="59">
        <f>C32</f>
        <v>0</v>
      </c>
      <c r="R12" s="58"/>
      <c r="S12" s="58"/>
      <c r="T12" s="58">
        <f>C16</f>
        <v>0</v>
      </c>
      <c r="U12" s="58">
        <f>C17</f>
        <v>0</v>
      </c>
      <c r="V12" s="58">
        <f>C18</f>
        <v>0</v>
      </c>
      <c r="W12" s="58">
        <f>C19</f>
        <v>0</v>
      </c>
      <c r="X12" s="58">
        <f>C20</f>
        <v>0</v>
      </c>
    </row>
    <row r="13" spans="2:24" ht="24.6" thickBot="1">
      <c r="B13" s="1" t="s">
        <v>9</v>
      </c>
      <c r="C13" s="2">
        <v>330</v>
      </c>
      <c r="D13" s="2">
        <v>350</v>
      </c>
      <c r="E13" s="2">
        <v>400</v>
      </c>
      <c r="F13" s="2">
        <v>450</v>
      </c>
      <c r="G13" s="2" t="s">
        <v>109</v>
      </c>
      <c r="H13" s="2" t="s">
        <v>103</v>
      </c>
      <c r="J13" s="58">
        <f>D8</f>
        <v>2020</v>
      </c>
      <c r="K13" s="58"/>
      <c r="L13" s="58">
        <f>D13/100</f>
        <v>3.5</v>
      </c>
      <c r="M13" s="58"/>
      <c r="N13" s="58">
        <f>D14</f>
        <v>20</v>
      </c>
      <c r="O13" s="59">
        <f>D29</f>
        <v>11920.000000000002</v>
      </c>
      <c r="P13" s="59">
        <f>D31</f>
        <v>100.575</v>
      </c>
      <c r="Q13" s="59">
        <f>D32</f>
        <v>0</v>
      </c>
      <c r="R13" s="58"/>
      <c r="S13" s="58"/>
      <c r="T13" s="58">
        <f>D16</f>
        <v>0</v>
      </c>
      <c r="U13" s="58">
        <f>D17</f>
        <v>0</v>
      </c>
      <c r="V13" s="58">
        <f>D18</f>
        <v>0</v>
      </c>
      <c r="W13" s="58">
        <f>D19</f>
        <v>0</v>
      </c>
      <c r="X13" s="58">
        <f>D20</f>
        <v>0</v>
      </c>
    </row>
    <row r="14" spans="2:24" ht="15" thickBot="1">
      <c r="B14" s="1" t="s">
        <v>11</v>
      </c>
      <c r="C14" s="2">
        <v>20</v>
      </c>
      <c r="D14" s="2">
        <v>20</v>
      </c>
      <c r="E14" s="2">
        <v>20</v>
      </c>
      <c r="F14" s="2">
        <v>20</v>
      </c>
      <c r="G14" s="2"/>
      <c r="H14" s="2"/>
      <c r="J14" s="58">
        <f>E8</f>
        <v>2030</v>
      </c>
      <c r="K14" s="58"/>
      <c r="L14" s="58">
        <f>E13/100</f>
        <v>4</v>
      </c>
      <c r="M14" s="58"/>
      <c r="N14" s="58">
        <f>E14</f>
        <v>20</v>
      </c>
      <c r="O14" s="59">
        <f>E29</f>
        <v>11175</v>
      </c>
      <c r="P14" s="59">
        <f>E31</f>
        <v>100.575</v>
      </c>
      <c r="Q14" s="59">
        <f>E32</f>
        <v>0</v>
      </c>
      <c r="R14" s="58"/>
      <c r="S14" s="58"/>
      <c r="T14" s="58">
        <f>E16</f>
        <v>0</v>
      </c>
      <c r="U14" s="58">
        <f>E17</f>
        <v>0</v>
      </c>
      <c r="V14" s="58">
        <f>E18</f>
        <v>0</v>
      </c>
      <c r="W14" s="58">
        <f>E19</f>
        <v>0</v>
      </c>
      <c r="X14" s="58">
        <f>E20</f>
        <v>0</v>
      </c>
    </row>
    <row r="15" spans="2:24" ht="15" thickBot="1">
      <c r="B15" s="3" t="s">
        <v>12</v>
      </c>
      <c r="C15" s="18"/>
      <c r="D15" s="18"/>
      <c r="E15" s="18"/>
      <c r="F15" s="18"/>
      <c r="G15" s="18"/>
      <c r="H15" s="2"/>
      <c r="J15" s="58">
        <f>F8</f>
        <v>2050</v>
      </c>
      <c r="K15" s="58"/>
      <c r="L15" s="58">
        <f>F13/100</f>
        <v>4.5</v>
      </c>
      <c r="M15" s="58"/>
      <c r="N15" s="58">
        <f>F14</f>
        <v>20</v>
      </c>
      <c r="O15" s="59">
        <f>F29</f>
        <v>10430</v>
      </c>
      <c r="P15" s="59">
        <f>F31</f>
        <v>100.575</v>
      </c>
      <c r="Q15" s="59">
        <f>F32</f>
        <v>0</v>
      </c>
      <c r="R15" s="58"/>
      <c r="S15" s="58"/>
      <c r="T15" s="58">
        <f>F16</f>
        <v>0</v>
      </c>
      <c r="U15" s="58">
        <f>F17</f>
        <v>0</v>
      </c>
      <c r="V15" s="58">
        <f>F18</f>
        <v>0</v>
      </c>
      <c r="W15" s="58">
        <f>F19</f>
        <v>0</v>
      </c>
      <c r="X15" s="58">
        <f>F20</f>
        <v>0</v>
      </c>
    </row>
    <row r="16" spans="2:24" ht="27" customHeight="1" thickBot="1">
      <c r="B16" s="1" t="s">
        <v>13</v>
      </c>
      <c r="C16" s="190">
        <v>0</v>
      </c>
      <c r="D16" s="191">
        <v>0</v>
      </c>
      <c r="E16" s="191">
        <v>0</v>
      </c>
      <c r="F16" s="192">
        <v>0</v>
      </c>
      <c r="G16" s="1275" t="s">
        <v>98</v>
      </c>
      <c r="H16" s="175"/>
    </row>
    <row r="17" spans="2:8" ht="15.6" thickBot="1">
      <c r="B17" s="1" t="s">
        <v>15</v>
      </c>
      <c r="C17" s="193">
        <v>0</v>
      </c>
      <c r="D17" s="189">
        <v>0</v>
      </c>
      <c r="E17" s="189">
        <v>0</v>
      </c>
      <c r="F17" s="185">
        <v>0</v>
      </c>
      <c r="G17" s="1276"/>
      <c r="H17" s="176"/>
    </row>
    <row r="18" spans="2:8" ht="15.6" thickBot="1">
      <c r="B18" s="1" t="s">
        <v>17</v>
      </c>
      <c r="C18" s="193">
        <v>0</v>
      </c>
      <c r="D18" s="189">
        <v>0</v>
      </c>
      <c r="E18" s="189">
        <v>0</v>
      </c>
      <c r="F18" s="185">
        <v>0</v>
      </c>
      <c r="G18" s="1276"/>
      <c r="H18" s="176"/>
    </row>
    <row r="19" spans="2:8" ht="15.6" thickBot="1">
      <c r="B19" s="1" t="s">
        <v>18</v>
      </c>
      <c r="C19" s="193">
        <v>0</v>
      </c>
      <c r="D19" s="189">
        <v>0</v>
      </c>
      <c r="E19" s="189">
        <v>0</v>
      </c>
      <c r="F19" s="185">
        <v>0</v>
      </c>
      <c r="G19" s="1276"/>
      <c r="H19" s="176"/>
    </row>
    <row r="20" spans="2:8" ht="15" thickBot="1">
      <c r="B20" s="1" t="s">
        <v>19</v>
      </c>
      <c r="C20" s="194">
        <v>0</v>
      </c>
      <c r="D20" s="195">
        <v>0</v>
      </c>
      <c r="E20" s="195">
        <v>0</v>
      </c>
      <c r="F20" s="35">
        <v>0</v>
      </c>
      <c r="G20" s="1277"/>
      <c r="H20" s="177"/>
    </row>
    <row r="21" spans="2:8" ht="15" thickBot="1">
      <c r="B21" s="3" t="s">
        <v>22</v>
      </c>
      <c r="C21" s="38"/>
      <c r="D21" s="38"/>
      <c r="E21" s="38"/>
      <c r="F21" s="38"/>
      <c r="G21" s="68" t="s">
        <v>329</v>
      </c>
      <c r="H21" s="39"/>
    </row>
    <row r="22" spans="2:8" ht="15" thickBot="1">
      <c r="B22" s="1" t="s">
        <v>23</v>
      </c>
      <c r="C22" s="43">
        <f>C23/C10</f>
        <v>1.7</v>
      </c>
      <c r="D22" s="43">
        <f>D23/D10</f>
        <v>1.6</v>
      </c>
      <c r="E22" s="43">
        <f>E23/E10</f>
        <v>1.5</v>
      </c>
      <c r="F22" s="43">
        <f>F23/F10</f>
        <v>1.4</v>
      </c>
      <c r="G22" s="68">
        <f>G30</f>
        <v>10</v>
      </c>
      <c r="H22" s="68" t="str">
        <f>H30</f>
        <v>kW</v>
      </c>
    </row>
    <row r="23" spans="2:8" ht="24">
      <c r="B23" s="6" t="s">
        <v>24</v>
      </c>
      <c r="C23" s="7">
        <v>17</v>
      </c>
      <c r="D23" s="7">
        <v>16</v>
      </c>
      <c r="E23" s="7">
        <v>15</v>
      </c>
      <c r="F23" s="7">
        <v>14</v>
      </c>
      <c r="G23" s="7" t="s">
        <v>112</v>
      </c>
      <c r="H23" s="7" t="s">
        <v>105</v>
      </c>
    </row>
    <row r="24" spans="2:8">
      <c r="B24" s="6" t="s">
        <v>26</v>
      </c>
      <c r="C24" s="7" t="s">
        <v>27</v>
      </c>
      <c r="D24" s="7">
        <v>70</v>
      </c>
      <c r="E24" s="7">
        <v>70</v>
      </c>
      <c r="F24" s="7">
        <v>70</v>
      </c>
      <c r="G24" s="7"/>
      <c r="H24" s="7"/>
    </row>
    <row r="25" spans="2:8" ht="15" thickBot="1">
      <c r="B25" s="1" t="s">
        <v>96</v>
      </c>
      <c r="C25" s="2" t="s">
        <v>29</v>
      </c>
      <c r="D25" s="2">
        <v>30</v>
      </c>
      <c r="E25" s="2">
        <v>30</v>
      </c>
      <c r="F25" s="2">
        <v>30</v>
      </c>
      <c r="G25" s="2"/>
      <c r="H25" s="2"/>
    </row>
    <row r="26" spans="2:8" ht="24.6" thickBot="1">
      <c r="B26" s="1" t="s">
        <v>30</v>
      </c>
      <c r="C26" s="2">
        <v>6</v>
      </c>
      <c r="D26" s="2">
        <v>6</v>
      </c>
      <c r="E26" s="2">
        <v>6</v>
      </c>
      <c r="F26" s="2">
        <v>6</v>
      </c>
      <c r="G26" s="2" t="s">
        <v>20</v>
      </c>
      <c r="H26" s="2"/>
    </row>
    <row r="27" spans="2:8" ht="15" thickBot="1">
      <c r="B27" s="1" t="s">
        <v>64</v>
      </c>
      <c r="C27" s="2">
        <v>135</v>
      </c>
      <c r="D27" s="2">
        <v>135</v>
      </c>
      <c r="E27" s="2">
        <v>135</v>
      </c>
      <c r="F27" s="2">
        <v>135</v>
      </c>
      <c r="G27" s="2" t="s">
        <v>25</v>
      </c>
      <c r="H27" s="2">
        <v>2</v>
      </c>
    </row>
    <row r="28" spans="2:8" ht="15" thickBot="1">
      <c r="B28" s="1" t="s">
        <v>31</v>
      </c>
      <c r="C28" s="2"/>
      <c r="D28" s="2"/>
      <c r="E28" s="2"/>
      <c r="F28" s="2"/>
      <c r="G28" s="2"/>
      <c r="H28" s="2"/>
    </row>
    <row r="29" spans="2:8">
      <c r="B29" s="36" t="s">
        <v>353</v>
      </c>
      <c r="C29" s="60">
        <f>C22*$F$4*1000</f>
        <v>12665</v>
      </c>
      <c r="D29" s="60">
        <f t="shared" ref="D29:F30" si="0">D22*$F$4*1000</f>
        <v>11920.000000000002</v>
      </c>
      <c r="E29" s="60">
        <f t="shared" si="0"/>
        <v>11175</v>
      </c>
      <c r="F29" s="60">
        <f t="shared" si="0"/>
        <v>10430</v>
      </c>
      <c r="G29" s="63" t="s">
        <v>332</v>
      </c>
      <c r="H29" s="63"/>
    </row>
    <row r="30" spans="2:8">
      <c r="B30" s="36" t="s">
        <v>354</v>
      </c>
      <c r="C30" s="60">
        <f>C23*$F$4*1000</f>
        <v>126650</v>
      </c>
      <c r="D30" s="60">
        <f t="shared" si="0"/>
        <v>119200</v>
      </c>
      <c r="E30" s="60">
        <f t="shared" si="0"/>
        <v>111750</v>
      </c>
      <c r="F30" s="60">
        <f t="shared" si="0"/>
        <v>104300</v>
      </c>
      <c r="G30" s="70">
        <f>C10</f>
        <v>10</v>
      </c>
      <c r="H30" s="69" t="s">
        <v>330</v>
      </c>
    </row>
    <row r="31" spans="2:8">
      <c r="B31" s="36" t="s">
        <v>355</v>
      </c>
      <c r="C31" s="60">
        <f>C27*$F$4/C10</f>
        <v>100.575</v>
      </c>
      <c r="D31" s="60">
        <f>D27*$F$4/D10</f>
        <v>100.575</v>
      </c>
      <c r="E31" s="60">
        <f>E27*$F$4/E10</f>
        <v>100.575</v>
      </c>
      <c r="F31" s="60">
        <f>F27*$F$4/F10</f>
        <v>100.575</v>
      </c>
      <c r="G31" s="69" t="s">
        <v>331</v>
      </c>
      <c r="H31" s="69"/>
    </row>
    <row r="32" spans="2:8" ht="15" thickBot="1">
      <c r="B32" s="36" t="s">
        <v>356</v>
      </c>
      <c r="C32" s="60">
        <f>C28*$F$4</f>
        <v>0</v>
      </c>
      <c r="D32" s="60">
        <f>D28*$F$4</f>
        <v>0</v>
      </c>
      <c r="E32" s="60">
        <f>E28*$F$4</f>
        <v>0</v>
      </c>
      <c r="F32" s="60">
        <f>F28*$F$4</f>
        <v>0</v>
      </c>
      <c r="G32" s="61"/>
      <c r="H32" s="61"/>
    </row>
    <row r="33" spans="2:24">
      <c r="B33" s="1257" t="s">
        <v>0</v>
      </c>
      <c r="C33" s="1259" t="s">
        <v>111</v>
      </c>
      <c r="D33" s="1260"/>
      <c r="E33" s="1260"/>
      <c r="F33" s="1260"/>
      <c r="G33" s="1260"/>
      <c r="H33" s="1261"/>
      <c r="J33" s="1259" t="str">
        <f>C33</f>
        <v>Heat pump, brine-to-water</v>
      </c>
      <c r="K33" s="1260"/>
      <c r="L33" s="1260"/>
      <c r="M33" s="1260"/>
      <c r="N33" s="1260"/>
      <c r="O33" s="1261"/>
    </row>
    <row r="34" spans="2:24" ht="15" thickBot="1">
      <c r="B34" s="1258"/>
      <c r="C34" s="1134" t="s">
        <v>32</v>
      </c>
      <c r="D34" s="1135"/>
      <c r="E34" s="1135"/>
      <c r="F34" s="1135"/>
      <c r="G34" s="1135"/>
      <c r="H34" s="1136"/>
      <c r="J34" s="1134" t="str">
        <f>C34</f>
        <v>Apartment complex, existing building</v>
      </c>
      <c r="K34" s="1135"/>
      <c r="L34" s="1135"/>
      <c r="M34" s="1135"/>
      <c r="N34" s="1135"/>
      <c r="O34" s="1136"/>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t="s">
        <v>108</v>
      </c>
      <c r="D37" s="2" t="s">
        <v>108</v>
      </c>
      <c r="E37" s="2" t="s">
        <v>108</v>
      </c>
      <c r="F37" s="2" t="s">
        <v>108</v>
      </c>
      <c r="G37" s="2"/>
      <c r="H37" s="2"/>
      <c r="J37" s="50"/>
      <c r="K37" s="50"/>
      <c r="L37" s="51"/>
      <c r="M37" s="51"/>
      <c r="N37" s="51"/>
      <c r="O37" s="52"/>
      <c r="P37" s="50"/>
      <c r="Q37" s="50"/>
      <c r="R37" s="50"/>
      <c r="S37" s="50"/>
      <c r="T37" s="50"/>
      <c r="U37" s="50"/>
      <c r="V37" s="50"/>
      <c r="W37" s="50"/>
      <c r="X37" s="50"/>
    </row>
    <row r="38" spans="2:24" ht="24.6" thickBot="1">
      <c r="B38" s="1" t="s">
        <v>7</v>
      </c>
      <c r="C38" s="2">
        <v>100</v>
      </c>
      <c r="D38" s="2">
        <v>100</v>
      </c>
      <c r="E38" s="2">
        <v>100</v>
      </c>
      <c r="F38" s="2">
        <v>100</v>
      </c>
      <c r="G38" s="2" t="s">
        <v>16</v>
      </c>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2">
        <v>100</v>
      </c>
      <c r="D39" s="2">
        <v>100</v>
      </c>
      <c r="E39" s="2">
        <v>100</v>
      </c>
      <c r="F39" s="2">
        <v>100</v>
      </c>
      <c r="G39" s="2" t="s">
        <v>16</v>
      </c>
      <c r="H39" s="2"/>
      <c r="J39" s="58">
        <f>C35</f>
        <v>2015</v>
      </c>
      <c r="K39" s="58">
        <f>J39</f>
        <v>2015</v>
      </c>
      <c r="L39" s="58">
        <f>C40/100</f>
        <v>3.3</v>
      </c>
      <c r="M39" s="58"/>
      <c r="N39" s="58">
        <f>C41</f>
        <v>20</v>
      </c>
      <c r="O39" s="59">
        <f>C56</f>
        <v>8195</v>
      </c>
      <c r="P39" s="59">
        <f>C58</f>
        <v>7.45</v>
      </c>
      <c r="Q39" s="59">
        <f>C59</f>
        <v>0</v>
      </c>
      <c r="R39" s="58"/>
      <c r="S39" s="58"/>
      <c r="T39" s="58"/>
      <c r="U39" s="58"/>
      <c r="V39" s="58"/>
      <c r="W39" s="58"/>
      <c r="X39" s="58"/>
    </row>
    <row r="40" spans="2:24" ht="24.6" thickBot="1">
      <c r="B40" s="1" t="s">
        <v>9</v>
      </c>
      <c r="C40" s="2">
        <v>330</v>
      </c>
      <c r="D40" s="2">
        <v>350</v>
      </c>
      <c r="E40" s="2">
        <v>400</v>
      </c>
      <c r="F40" s="2">
        <v>450</v>
      </c>
      <c r="G40" s="2" t="s">
        <v>102</v>
      </c>
      <c r="H40" s="2" t="s">
        <v>103</v>
      </c>
      <c r="J40" s="58">
        <f>D35</f>
        <v>2020</v>
      </c>
      <c r="K40" s="58"/>
      <c r="L40" s="58">
        <f>D40/100</f>
        <v>3.5</v>
      </c>
      <c r="M40" s="58"/>
      <c r="N40" s="58">
        <f>D41</f>
        <v>20</v>
      </c>
      <c r="O40" s="59">
        <f>D56</f>
        <v>8195</v>
      </c>
      <c r="P40" s="59">
        <f>D58</f>
        <v>7.45</v>
      </c>
      <c r="Q40" s="59">
        <f>D59</f>
        <v>0</v>
      </c>
      <c r="R40" s="58"/>
      <c r="S40" s="58"/>
      <c r="T40" s="58"/>
      <c r="U40" s="58"/>
      <c r="V40" s="58"/>
      <c r="W40" s="58"/>
      <c r="X40" s="58"/>
    </row>
    <row r="41" spans="2:24" ht="15" thickBot="1">
      <c r="B41" s="1" t="s">
        <v>11</v>
      </c>
      <c r="C41" s="2">
        <v>20</v>
      </c>
      <c r="D41" s="2">
        <v>20</v>
      </c>
      <c r="E41" s="2">
        <v>20</v>
      </c>
      <c r="F41" s="2">
        <v>20</v>
      </c>
      <c r="G41" s="2"/>
      <c r="H41" s="2"/>
      <c r="J41" s="58">
        <f>E35</f>
        <v>2030</v>
      </c>
      <c r="K41" s="58"/>
      <c r="L41" s="58">
        <f>E40/100</f>
        <v>4</v>
      </c>
      <c r="M41" s="58"/>
      <c r="N41" s="58">
        <f>E41</f>
        <v>20</v>
      </c>
      <c r="O41" s="59">
        <f>E56</f>
        <v>7450</v>
      </c>
      <c r="P41" s="59">
        <f>E58</f>
        <v>7.45</v>
      </c>
      <c r="Q41" s="59">
        <f>E59</f>
        <v>0</v>
      </c>
      <c r="R41" s="58"/>
      <c r="S41" s="58"/>
      <c r="T41" s="58"/>
      <c r="U41" s="58"/>
      <c r="V41" s="58"/>
      <c r="W41" s="58"/>
      <c r="X41" s="58"/>
    </row>
    <row r="42" spans="2:24" ht="15" thickBot="1">
      <c r="B42" s="3" t="s">
        <v>12</v>
      </c>
      <c r="C42" s="18"/>
      <c r="D42" s="18"/>
      <c r="E42" s="18"/>
      <c r="F42" s="18"/>
      <c r="G42" s="18"/>
      <c r="H42" s="2"/>
      <c r="J42" s="58">
        <f>F35</f>
        <v>2050</v>
      </c>
      <c r="K42" s="58"/>
      <c r="L42" s="58">
        <f>F40/100</f>
        <v>4.5</v>
      </c>
      <c r="M42" s="58"/>
      <c r="N42" s="58">
        <f>F41</f>
        <v>20</v>
      </c>
      <c r="O42" s="59">
        <f>F56</f>
        <v>6705</v>
      </c>
      <c r="P42" s="59">
        <f>F58</f>
        <v>7.45</v>
      </c>
      <c r="Q42" s="59">
        <f>F59</f>
        <v>0</v>
      </c>
      <c r="R42" s="58"/>
      <c r="S42" s="58"/>
      <c r="T42" s="58"/>
      <c r="U42" s="58"/>
      <c r="V42" s="58"/>
      <c r="W42" s="58"/>
      <c r="X42" s="58"/>
    </row>
    <row r="43" spans="2:24" ht="27" customHeight="1" thickBot="1">
      <c r="B43" s="1" t="s">
        <v>13</v>
      </c>
      <c r="C43" s="190">
        <v>0</v>
      </c>
      <c r="D43" s="191">
        <v>0</v>
      </c>
      <c r="E43" s="191">
        <v>0</v>
      </c>
      <c r="F43" s="192">
        <v>0</v>
      </c>
      <c r="G43" s="1275" t="s">
        <v>98</v>
      </c>
      <c r="H43" s="175"/>
    </row>
    <row r="44" spans="2:24" ht="15.6" thickBot="1">
      <c r="B44" s="1" t="s">
        <v>15</v>
      </c>
      <c r="C44" s="193">
        <v>0</v>
      </c>
      <c r="D44" s="189">
        <v>0</v>
      </c>
      <c r="E44" s="189">
        <v>0</v>
      </c>
      <c r="F44" s="185">
        <v>0</v>
      </c>
      <c r="G44" s="1276"/>
      <c r="H44" s="176"/>
    </row>
    <row r="45" spans="2:24" ht="15.6" thickBot="1">
      <c r="B45" s="1" t="s">
        <v>17</v>
      </c>
      <c r="C45" s="193">
        <v>0</v>
      </c>
      <c r="D45" s="189">
        <v>0</v>
      </c>
      <c r="E45" s="189">
        <v>0</v>
      </c>
      <c r="F45" s="185">
        <v>0</v>
      </c>
      <c r="G45" s="1276"/>
      <c r="H45" s="176"/>
    </row>
    <row r="46" spans="2:24" ht="15.6" thickBot="1">
      <c r="B46" s="1" t="s">
        <v>18</v>
      </c>
      <c r="C46" s="193">
        <v>0</v>
      </c>
      <c r="D46" s="189">
        <v>0</v>
      </c>
      <c r="E46" s="189">
        <v>0</v>
      </c>
      <c r="F46" s="185">
        <v>0</v>
      </c>
      <c r="G46" s="1276"/>
      <c r="H46" s="176"/>
    </row>
    <row r="47" spans="2:24" ht="15" thickBot="1">
      <c r="B47" s="1" t="s">
        <v>19</v>
      </c>
      <c r="C47" s="194">
        <v>0</v>
      </c>
      <c r="D47" s="195">
        <v>0</v>
      </c>
      <c r="E47" s="195">
        <v>0</v>
      </c>
      <c r="F47" s="35">
        <v>0</v>
      </c>
      <c r="G47" s="1277"/>
      <c r="H47" s="177"/>
    </row>
    <row r="48" spans="2:24" ht="15" thickBot="1">
      <c r="B48" s="3" t="s">
        <v>22</v>
      </c>
      <c r="C48" s="18"/>
      <c r="D48" s="18"/>
      <c r="E48" s="18"/>
      <c r="F48" s="18"/>
      <c r="G48" s="18"/>
      <c r="H48" s="2"/>
    </row>
    <row r="49" spans="2:24" ht="15" thickBot="1">
      <c r="B49" s="1" t="s">
        <v>23</v>
      </c>
      <c r="C49" s="2">
        <v>1.1000000000000001</v>
      </c>
      <c r="D49" s="2">
        <v>1.1000000000000001</v>
      </c>
      <c r="E49" s="2">
        <v>1</v>
      </c>
      <c r="F49" s="2">
        <v>0.9</v>
      </c>
      <c r="G49" s="2" t="s">
        <v>102</v>
      </c>
      <c r="H49" s="2" t="s">
        <v>105</v>
      </c>
    </row>
    <row r="50" spans="2:24">
      <c r="B50" s="6" t="s">
        <v>24</v>
      </c>
      <c r="C50" s="7"/>
      <c r="D50" s="7"/>
      <c r="E50" s="7"/>
      <c r="F50" s="7"/>
      <c r="G50" s="7"/>
      <c r="H50" s="7"/>
    </row>
    <row r="51" spans="2:24">
      <c r="B51" s="6" t="s">
        <v>26</v>
      </c>
      <c r="C51" s="7"/>
      <c r="D51" s="7"/>
      <c r="E51" s="7"/>
      <c r="F51" s="7"/>
      <c r="G51" s="7"/>
      <c r="H51" s="7"/>
    </row>
    <row r="52" spans="2:24" ht="15" thickBot="1">
      <c r="B52" s="1" t="s">
        <v>96</v>
      </c>
      <c r="C52" s="2"/>
      <c r="D52" s="2"/>
      <c r="E52" s="2"/>
      <c r="F52" s="2"/>
      <c r="G52" s="2"/>
      <c r="H52" s="2"/>
    </row>
    <row r="53" spans="2:24" ht="24.6" thickBot="1">
      <c r="B53" s="1" t="s">
        <v>113</v>
      </c>
      <c r="C53" s="2">
        <v>0.67</v>
      </c>
      <c r="D53" s="2">
        <v>0.67</v>
      </c>
      <c r="E53" s="2">
        <v>0.67</v>
      </c>
      <c r="F53" s="2">
        <v>0.67</v>
      </c>
      <c r="G53" s="2" t="s">
        <v>20</v>
      </c>
      <c r="H53" s="2"/>
    </row>
    <row r="54" spans="2:24" ht="15" thickBot="1">
      <c r="B54" s="1" t="s">
        <v>64</v>
      </c>
      <c r="C54" s="2">
        <v>400</v>
      </c>
      <c r="D54" s="2">
        <v>400</v>
      </c>
      <c r="E54" s="2">
        <v>400</v>
      </c>
      <c r="F54" s="2">
        <v>400</v>
      </c>
      <c r="G54" s="2" t="s">
        <v>25</v>
      </c>
      <c r="H54" s="2">
        <v>2</v>
      </c>
    </row>
    <row r="55" spans="2:24" ht="15" thickBot="1">
      <c r="B55" s="1" t="s">
        <v>31</v>
      </c>
      <c r="C55" s="2"/>
      <c r="D55" s="2"/>
      <c r="E55" s="2"/>
      <c r="F55" s="2"/>
      <c r="G55" s="2"/>
      <c r="H55" s="2"/>
    </row>
    <row r="56" spans="2:24">
      <c r="B56" s="36" t="s">
        <v>353</v>
      </c>
      <c r="C56" s="60">
        <f t="shared" ref="C56:F57" si="1">C49*$F$4*1000</f>
        <v>8195</v>
      </c>
      <c r="D56" s="60">
        <f t="shared" si="1"/>
        <v>8195</v>
      </c>
      <c r="E56" s="60">
        <f t="shared" si="1"/>
        <v>7450</v>
      </c>
      <c r="F56" s="60">
        <f t="shared" si="1"/>
        <v>6705</v>
      </c>
      <c r="G56" s="63" t="s">
        <v>332</v>
      </c>
      <c r="H56" s="63"/>
      <c r="J56" s="40"/>
    </row>
    <row r="57" spans="2:24">
      <c r="B57" s="36" t="s">
        <v>354</v>
      </c>
      <c r="C57" s="186">
        <f t="shared" si="1"/>
        <v>0</v>
      </c>
      <c r="D57" s="186">
        <f t="shared" si="1"/>
        <v>0</v>
      </c>
      <c r="E57" s="186">
        <f t="shared" si="1"/>
        <v>0</v>
      </c>
      <c r="F57" s="186">
        <f t="shared" si="1"/>
        <v>0</v>
      </c>
      <c r="G57" s="70">
        <v>400</v>
      </c>
      <c r="H57" s="69" t="s">
        <v>330</v>
      </c>
    </row>
    <row r="58" spans="2:24">
      <c r="B58" s="36" t="s">
        <v>355</v>
      </c>
      <c r="C58" s="60">
        <f>C54*$F$4/$G$57</f>
        <v>7.45</v>
      </c>
      <c r="D58" s="60">
        <f>D54*$F$4/$G$57</f>
        <v>7.45</v>
      </c>
      <c r="E58" s="60">
        <f>E54*$F$4/$G$57</f>
        <v>7.45</v>
      </c>
      <c r="F58" s="60">
        <f>F54*$F$4/$G$57</f>
        <v>7.45</v>
      </c>
      <c r="G58" s="69" t="s">
        <v>331</v>
      </c>
      <c r="H58" s="69"/>
    </row>
    <row r="59" spans="2:24" ht="15" thickBot="1">
      <c r="B59" s="36" t="s">
        <v>356</v>
      </c>
      <c r="C59" s="186">
        <f>C55*$F$4</f>
        <v>0</v>
      </c>
      <c r="D59" s="186">
        <f>D55*$F$4</f>
        <v>0</v>
      </c>
      <c r="E59" s="186">
        <f>E55*$F$4</f>
        <v>0</v>
      </c>
      <c r="F59" s="186">
        <f>F55*$F$4</f>
        <v>0</v>
      </c>
      <c r="G59" s="61"/>
      <c r="H59" s="61"/>
    </row>
    <row r="60" spans="2:24">
      <c r="B60" s="1257" t="s">
        <v>0</v>
      </c>
      <c r="C60" s="1259" t="s">
        <v>111</v>
      </c>
      <c r="D60" s="1260"/>
      <c r="E60" s="1260"/>
      <c r="F60" s="1260"/>
      <c r="G60" s="1260"/>
      <c r="H60" s="1261"/>
      <c r="J60" s="1259" t="str">
        <f>C60</f>
        <v>Heat pump, brine-to-water</v>
      </c>
      <c r="K60" s="1260"/>
      <c r="L60" s="1260"/>
      <c r="M60" s="1260"/>
      <c r="N60" s="1260"/>
      <c r="O60" s="1261"/>
    </row>
    <row r="61" spans="2:24" ht="15" thickBot="1">
      <c r="B61" s="1258"/>
      <c r="C61" s="1134" t="s">
        <v>34</v>
      </c>
      <c r="D61" s="1135"/>
      <c r="E61" s="1135"/>
      <c r="F61" s="1135"/>
      <c r="G61" s="1135"/>
      <c r="H61" s="1136"/>
      <c r="J61" s="1134" t="str">
        <f>C61</f>
        <v>One-family house, new building</v>
      </c>
      <c r="K61" s="1135"/>
      <c r="L61" s="1135"/>
      <c r="M61" s="1135"/>
      <c r="N61" s="1135"/>
      <c r="O61" s="1136"/>
    </row>
    <row r="62" spans="2:24" ht="15" thickBot="1">
      <c r="B62" s="1"/>
      <c r="C62" s="2">
        <v>2015</v>
      </c>
      <c r="D62" s="2">
        <v>2020</v>
      </c>
      <c r="E62" s="2">
        <v>2030</v>
      </c>
      <c r="F62" s="2">
        <v>2050</v>
      </c>
      <c r="G62" s="2" t="s">
        <v>2</v>
      </c>
      <c r="H62" s="2" t="s">
        <v>3</v>
      </c>
      <c r="J62" s="53" t="s">
        <v>357</v>
      </c>
    </row>
    <row r="63" spans="2:24" ht="28.2" thickBot="1">
      <c r="B63" s="3" t="s">
        <v>4</v>
      </c>
      <c r="C63" s="4"/>
      <c r="D63" s="4"/>
      <c r="E63" s="4"/>
      <c r="F63" s="4"/>
      <c r="G63" s="4"/>
      <c r="H63" s="5"/>
      <c r="J63" s="46" t="s">
        <v>335</v>
      </c>
      <c r="K63" s="46" t="s">
        <v>336</v>
      </c>
      <c r="L63" s="47" t="s">
        <v>337</v>
      </c>
      <c r="M63" s="47" t="s">
        <v>338</v>
      </c>
      <c r="N63" s="47" t="s">
        <v>339</v>
      </c>
      <c r="O63" s="48" t="s">
        <v>340</v>
      </c>
      <c r="P63" s="49" t="s">
        <v>341</v>
      </c>
      <c r="Q63" s="49" t="s">
        <v>342</v>
      </c>
      <c r="R63" s="49" t="s">
        <v>343</v>
      </c>
      <c r="S63" s="49" t="s">
        <v>344</v>
      </c>
      <c r="T63" s="49" t="s">
        <v>345</v>
      </c>
      <c r="U63" s="49" t="s">
        <v>346</v>
      </c>
      <c r="V63" s="49" t="s">
        <v>347</v>
      </c>
      <c r="W63" s="49" t="s">
        <v>348</v>
      </c>
      <c r="X63" s="49" t="s">
        <v>349</v>
      </c>
    </row>
    <row r="64" spans="2:24" ht="15" thickBot="1">
      <c r="B64" s="1" t="s">
        <v>5</v>
      </c>
      <c r="C64" s="2">
        <v>5</v>
      </c>
      <c r="D64" s="2">
        <v>5</v>
      </c>
      <c r="E64" s="2">
        <v>5</v>
      </c>
      <c r="F64" s="2">
        <v>5</v>
      </c>
      <c r="G64" s="2"/>
      <c r="H64" s="2"/>
      <c r="J64" s="50"/>
      <c r="K64" s="50"/>
      <c r="L64" s="51"/>
      <c r="M64" s="51"/>
      <c r="N64" s="51"/>
      <c r="O64" s="52"/>
      <c r="P64" s="50"/>
      <c r="Q64" s="50"/>
      <c r="R64" s="50"/>
      <c r="S64" s="50"/>
      <c r="T64" s="50"/>
      <c r="U64" s="50"/>
      <c r="V64" s="50"/>
      <c r="W64" s="50"/>
      <c r="X64" s="50"/>
    </row>
    <row r="65" spans="2:24" ht="24.6" thickBot="1">
      <c r="B65" s="1" t="s">
        <v>7</v>
      </c>
      <c r="C65" s="2">
        <v>100</v>
      </c>
      <c r="D65" s="2">
        <v>100</v>
      </c>
      <c r="E65" s="2">
        <v>100</v>
      </c>
      <c r="F65" s="2">
        <v>100</v>
      </c>
      <c r="G65" s="2" t="s">
        <v>16</v>
      </c>
      <c r="H65" s="2"/>
      <c r="J65" s="56"/>
      <c r="K65" s="56"/>
      <c r="L65" s="57"/>
      <c r="M65" s="57"/>
      <c r="N65" s="57"/>
      <c r="O65" s="56" t="s">
        <v>350</v>
      </c>
      <c r="P65" s="56" t="s">
        <v>326</v>
      </c>
      <c r="Q65" s="56" t="s">
        <v>327</v>
      </c>
      <c r="R65" s="56" t="s">
        <v>351</v>
      </c>
      <c r="S65" s="56" t="s">
        <v>351</v>
      </c>
      <c r="T65" s="56" t="s">
        <v>352</v>
      </c>
      <c r="U65" s="56" t="s">
        <v>352</v>
      </c>
      <c r="V65" s="56" t="s">
        <v>352</v>
      </c>
      <c r="W65" s="56" t="s">
        <v>352</v>
      </c>
      <c r="X65" s="56" t="s">
        <v>352</v>
      </c>
    </row>
    <row r="66" spans="2:24" ht="24.6" thickBot="1">
      <c r="B66" s="1" t="s">
        <v>8</v>
      </c>
      <c r="C66" s="2">
        <v>100</v>
      </c>
      <c r="D66" s="2">
        <v>100</v>
      </c>
      <c r="E66" s="2">
        <v>100</v>
      </c>
      <c r="F66" s="2">
        <v>100</v>
      </c>
      <c r="G66" s="2" t="s">
        <v>16</v>
      </c>
      <c r="H66" s="2"/>
      <c r="J66" s="58">
        <f>C62</f>
        <v>2015</v>
      </c>
      <c r="K66" s="58">
        <f>J66</f>
        <v>2015</v>
      </c>
      <c r="L66" s="58">
        <f>C67/100</f>
        <v>3.3</v>
      </c>
      <c r="M66" s="58"/>
      <c r="N66" s="58">
        <f>C68</f>
        <v>20</v>
      </c>
      <c r="O66" s="59">
        <f>C83</f>
        <v>0</v>
      </c>
      <c r="P66" s="59">
        <f>C85</f>
        <v>201.15</v>
      </c>
      <c r="Q66" s="59">
        <f>C86</f>
        <v>0</v>
      </c>
      <c r="R66" s="58"/>
      <c r="S66" s="58"/>
      <c r="T66" s="58"/>
      <c r="U66" s="58"/>
      <c r="V66" s="58"/>
      <c r="W66" s="58"/>
      <c r="X66" s="58"/>
    </row>
    <row r="67" spans="2:24" ht="24.6" thickBot="1">
      <c r="B67" s="1" t="s">
        <v>9</v>
      </c>
      <c r="C67" s="2">
        <v>330</v>
      </c>
      <c r="D67" s="2">
        <v>350</v>
      </c>
      <c r="E67" s="2">
        <v>400</v>
      </c>
      <c r="F67" s="2">
        <v>450</v>
      </c>
      <c r="G67" s="2" t="s">
        <v>102</v>
      </c>
      <c r="H67" s="2" t="s">
        <v>103</v>
      </c>
      <c r="J67" s="58">
        <f>D62</f>
        <v>2020</v>
      </c>
      <c r="K67" s="58"/>
      <c r="L67" s="58">
        <f>D67/100</f>
        <v>3.5</v>
      </c>
      <c r="M67" s="58"/>
      <c r="N67" s="58">
        <f>D68</f>
        <v>20</v>
      </c>
      <c r="O67" s="59">
        <f>D83</f>
        <v>0</v>
      </c>
      <c r="P67" s="59">
        <f>D85</f>
        <v>201.15</v>
      </c>
      <c r="Q67" s="59">
        <f>D86</f>
        <v>0</v>
      </c>
      <c r="R67" s="58"/>
      <c r="S67" s="58"/>
      <c r="T67" s="58"/>
      <c r="U67" s="58"/>
      <c r="V67" s="58"/>
      <c r="W67" s="58"/>
      <c r="X67" s="58"/>
    </row>
    <row r="68" spans="2:24" ht="15" thickBot="1">
      <c r="B68" s="1" t="s">
        <v>11</v>
      </c>
      <c r="C68" s="2">
        <v>20</v>
      </c>
      <c r="D68" s="2">
        <v>20</v>
      </c>
      <c r="E68" s="2">
        <v>20</v>
      </c>
      <c r="F68" s="2">
        <v>20</v>
      </c>
      <c r="G68" s="2"/>
      <c r="H68" s="2"/>
      <c r="J68" s="58">
        <f>E62</f>
        <v>2030</v>
      </c>
      <c r="K68" s="58"/>
      <c r="L68" s="58">
        <f>E67/100</f>
        <v>4</v>
      </c>
      <c r="M68" s="58"/>
      <c r="N68" s="58">
        <f>E68</f>
        <v>20</v>
      </c>
      <c r="O68" s="59">
        <f>E83</f>
        <v>0</v>
      </c>
      <c r="P68" s="59">
        <f>E85</f>
        <v>201.15</v>
      </c>
      <c r="Q68" s="59">
        <f>E86</f>
        <v>0</v>
      </c>
      <c r="R68" s="58"/>
      <c r="S68" s="58"/>
      <c r="T68" s="58"/>
      <c r="U68" s="58"/>
      <c r="V68" s="58"/>
      <c r="W68" s="58"/>
      <c r="X68" s="58"/>
    </row>
    <row r="69" spans="2:24" ht="15" thickBot="1">
      <c r="B69" s="3" t="s">
        <v>12</v>
      </c>
      <c r="C69" s="18"/>
      <c r="D69" s="18"/>
      <c r="E69" s="18"/>
      <c r="F69" s="18"/>
      <c r="G69" s="18"/>
      <c r="H69" s="2"/>
      <c r="J69" s="58">
        <f>F62</f>
        <v>2050</v>
      </c>
      <c r="K69" s="58"/>
      <c r="L69" s="58">
        <f>F67/100</f>
        <v>4.5</v>
      </c>
      <c r="M69" s="58"/>
      <c r="N69" s="58">
        <f>F68</f>
        <v>20</v>
      </c>
      <c r="O69" s="59">
        <f>F83</f>
        <v>0</v>
      </c>
      <c r="P69" s="59">
        <f>F85</f>
        <v>201.15</v>
      </c>
      <c r="Q69" s="59">
        <f>F86</f>
        <v>0</v>
      </c>
      <c r="R69" s="58"/>
      <c r="S69" s="58"/>
      <c r="T69" s="58"/>
      <c r="U69" s="58"/>
      <c r="V69" s="58"/>
      <c r="W69" s="58"/>
      <c r="X69" s="58"/>
    </row>
    <row r="70" spans="2:24" ht="27" customHeight="1" thickBot="1">
      <c r="B70" s="1" t="s">
        <v>13</v>
      </c>
      <c r="C70" s="190">
        <v>0</v>
      </c>
      <c r="D70" s="191">
        <v>0</v>
      </c>
      <c r="E70" s="191">
        <v>0</v>
      </c>
      <c r="F70" s="192">
        <v>0</v>
      </c>
      <c r="G70" s="1275" t="s">
        <v>98</v>
      </c>
      <c r="H70" s="175"/>
    </row>
    <row r="71" spans="2:24" ht="15.6" thickBot="1">
      <c r="B71" s="1" t="s">
        <v>15</v>
      </c>
      <c r="C71" s="193">
        <v>0</v>
      </c>
      <c r="D71" s="189">
        <v>0</v>
      </c>
      <c r="E71" s="189">
        <v>0</v>
      </c>
      <c r="F71" s="185">
        <v>0</v>
      </c>
      <c r="G71" s="1276"/>
      <c r="H71" s="176"/>
    </row>
    <row r="72" spans="2:24" ht="15.6" thickBot="1">
      <c r="B72" s="1" t="s">
        <v>17</v>
      </c>
      <c r="C72" s="193">
        <v>0</v>
      </c>
      <c r="D72" s="189">
        <v>0</v>
      </c>
      <c r="E72" s="189">
        <v>0</v>
      </c>
      <c r="F72" s="185">
        <v>0</v>
      </c>
      <c r="G72" s="1276"/>
      <c r="H72" s="176"/>
    </row>
    <row r="73" spans="2:24" ht="15.6" thickBot="1">
      <c r="B73" s="1" t="s">
        <v>18</v>
      </c>
      <c r="C73" s="193">
        <v>0</v>
      </c>
      <c r="D73" s="189">
        <v>0</v>
      </c>
      <c r="E73" s="189">
        <v>0</v>
      </c>
      <c r="F73" s="185">
        <v>0</v>
      </c>
      <c r="G73" s="1276"/>
      <c r="H73" s="176"/>
    </row>
    <row r="74" spans="2:24" ht="15" thickBot="1">
      <c r="B74" s="1" t="s">
        <v>19</v>
      </c>
      <c r="C74" s="194">
        <v>0</v>
      </c>
      <c r="D74" s="195">
        <v>0</v>
      </c>
      <c r="E74" s="195">
        <v>0</v>
      </c>
      <c r="F74" s="35">
        <v>0</v>
      </c>
      <c r="G74" s="1277"/>
      <c r="H74" s="177"/>
    </row>
    <row r="75" spans="2:24" ht="15" thickBot="1">
      <c r="B75" s="3" t="s">
        <v>22</v>
      </c>
      <c r="C75" s="18"/>
      <c r="D75" s="18"/>
      <c r="E75" s="18"/>
      <c r="F75" s="18"/>
      <c r="G75" s="18"/>
      <c r="H75" s="2"/>
    </row>
    <row r="76" spans="2:24" ht="15" thickBot="1">
      <c r="B76" s="1" t="s">
        <v>23</v>
      </c>
      <c r="C76" s="2"/>
      <c r="D76" s="2"/>
      <c r="E76" s="2"/>
      <c r="F76" s="2"/>
      <c r="G76" s="2"/>
      <c r="H76" s="2"/>
      <c r="J76" s="64"/>
      <c r="K76" s="64"/>
      <c r="L76" s="64"/>
      <c r="M76" s="64"/>
    </row>
    <row r="77" spans="2:24">
      <c r="B77" s="6" t="s">
        <v>24</v>
      </c>
      <c r="C77" s="7">
        <v>14</v>
      </c>
      <c r="D77" s="7">
        <v>13</v>
      </c>
      <c r="E77" s="7">
        <v>12</v>
      </c>
      <c r="F77" s="7">
        <v>12</v>
      </c>
      <c r="G77" s="7" t="s">
        <v>114</v>
      </c>
      <c r="H77" s="7" t="s">
        <v>105</v>
      </c>
    </row>
    <row r="78" spans="2:24">
      <c r="B78" s="6" t="s">
        <v>26</v>
      </c>
      <c r="C78" s="7" t="s">
        <v>115</v>
      </c>
      <c r="D78" s="7">
        <v>75</v>
      </c>
      <c r="E78" s="7">
        <v>75</v>
      </c>
      <c r="F78" s="7">
        <v>75</v>
      </c>
      <c r="G78" s="7"/>
      <c r="H78" s="7"/>
    </row>
    <row r="79" spans="2:24" ht="15" thickBot="1">
      <c r="B79" s="1" t="s">
        <v>96</v>
      </c>
      <c r="C79" s="2" t="s">
        <v>116</v>
      </c>
      <c r="D79" s="2">
        <v>25</v>
      </c>
      <c r="E79" s="2">
        <v>25</v>
      </c>
      <c r="F79" s="2">
        <v>25</v>
      </c>
      <c r="G79" s="2"/>
      <c r="H79" s="2"/>
    </row>
    <row r="80" spans="2:24" ht="24.6" thickBot="1">
      <c r="B80" s="1" t="s">
        <v>30</v>
      </c>
      <c r="C80" s="2">
        <v>6</v>
      </c>
      <c r="D80" s="2">
        <v>6</v>
      </c>
      <c r="E80" s="2">
        <v>6</v>
      </c>
      <c r="F80" s="2">
        <v>6</v>
      </c>
      <c r="G80" s="2" t="s">
        <v>20</v>
      </c>
      <c r="H80" s="2"/>
    </row>
    <row r="81" spans="2:24" ht="15" thickBot="1">
      <c r="B81" s="1" t="s">
        <v>64</v>
      </c>
      <c r="C81" s="2">
        <v>135</v>
      </c>
      <c r="D81" s="2">
        <v>135</v>
      </c>
      <c r="E81" s="2">
        <v>135</v>
      </c>
      <c r="F81" s="2">
        <v>135</v>
      </c>
      <c r="G81" s="2" t="s">
        <v>25</v>
      </c>
      <c r="H81" s="2">
        <v>2</v>
      </c>
    </row>
    <row r="82" spans="2:24" ht="15" thickBot="1">
      <c r="B82" s="1" t="s">
        <v>31</v>
      </c>
      <c r="C82" s="2"/>
      <c r="D82" s="2"/>
      <c r="E82" s="2"/>
      <c r="F82" s="2"/>
      <c r="G82" s="2"/>
      <c r="H82" s="2"/>
    </row>
    <row r="83" spans="2:24">
      <c r="B83" s="36" t="s">
        <v>353</v>
      </c>
      <c r="C83" s="186">
        <f t="shared" ref="C83:F84" si="2">C76*$F$4*1000</f>
        <v>0</v>
      </c>
      <c r="D83" s="186">
        <f t="shared" si="2"/>
        <v>0</v>
      </c>
      <c r="E83" s="186">
        <f t="shared" si="2"/>
        <v>0</v>
      </c>
      <c r="F83" s="186">
        <f t="shared" si="2"/>
        <v>0</v>
      </c>
      <c r="G83" s="63" t="s">
        <v>332</v>
      </c>
      <c r="H83" s="63"/>
    </row>
    <row r="84" spans="2:24">
      <c r="B84" s="36" t="s">
        <v>354</v>
      </c>
      <c r="C84" s="60">
        <f t="shared" si="2"/>
        <v>104300</v>
      </c>
      <c r="D84" s="60">
        <f t="shared" si="2"/>
        <v>96850.000000000015</v>
      </c>
      <c r="E84" s="60">
        <f t="shared" si="2"/>
        <v>89400</v>
      </c>
      <c r="F84" s="60">
        <f t="shared" si="2"/>
        <v>89400</v>
      </c>
      <c r="G84" s="70">
        <f>C64</f>
        <v>5</v>
      </c>
      <c r="H84" s="69" t="s">
        <v>330</v>
      </c>
    </row>
    <row r="85" spans="2:24">
      <c r="B85" s="36" t="s">
        <v>355</v>
      </c>
      <c r="C85" s="60">
        <f>C81*$F$4/C64</f>
        <v>201.15</v>
      </c>
      <c r="D85" s="60">
        <f>D81*$F$4/D64</f>
        <v>201.15</v>
      </c>
      <c r="E85" s="60">
        <f>E81*$F$4/E64</f>
        <v>201.15</v>
      </c>
      <c r="F85" s="60">
        <f>F81*$F$4/F64</f>
        <v>201.15</v>
      </c>
      <c r="G85" s="69" t="s">
        <v>331</v>
      </c>
      <c r="H85" s="69"/>
    </row>
    <row r="86" spans="2:24" ht="15" thickBot="1">
      <c r="B86" s="36" t="s">
        <v>356</v>
      </c>
      <c r="C86" s="186">
        <f>C82*$F$4</f>
        <v>0</v>
      </c>
      <c r="D86" s="186">
        <f>D82*$F$4</f>
        <v>0</v>
      </c>
      <c r="E86" s="186">
        <f>E82*$F$4</f>
        <v>0</v>
      </c>
      <c r="F86" s="186">
        <f>F82*$F$4</f>
        <v>0</v>
      </c>
      <c r="G86" s="61"/>
      <c r="H86" s="61"/>
    </row>
    <row r="87" spans="2:24">
      <c r="B87" s="1257" t="s">
        <v>0</v>
      </c>
      <c r="C87" s="1259" t="s">
        <v>111</v>
      </c>
      <c r="D87" s="1260"/>
      <c r="E87" s="1260"/>
      <c r="F87" s="1260"/>
      <c r="G87" s="1260"/>
      <c r="H87" s="1261"/>
      <c r="J87" s="1259" t="str">
        <f>C87</f>
        <v>Heat pump, brine-to-water</v>
      </c>
      <c r="K87" s="1260"/>
      <c r="L87" s="1260"/>
      <c r="M87" s="1260"/>
      <c r="N87" s="1260"/>
      <c r="O87" s="1261"/>
    </row>
    <row r="88" spans="2:24" ht="15" thickBot="1">
      <c r="B88" s="1258"/>
      <c r="C88" s="1134" t="s">
        <v>35</v>
      </c>
      <c r="D88" s="1135"/>
      <c r="E88" s="1135"/>
      <c r="F88" s="1135"/>
      <c r="G88" s="1135"/>
      <c r="H88" s="1136"/>
      <c r="J88" s="1134" t="str">
        <f>C88</f>
        <v>Apartment complex, new building</v>
      </c>
      <c r="K88" s="1135"/>
      <c r="L88" s="1135"/>
      <c r="M88" s="1135"/>
      <c r="N88" s="1135"/>
      <c r="O88" s="1136"/>
    </row>
    <row r="89" spans="2:24" ht="15" thickBot="1">
      <c r="B89" s="1"/>
      <c r="C89" s="2">
        <v>2015</v>
      </c>
      <c r="D89" s="2">
        <v>2020</v>
      </c>
      <c r="E89" s="2">
        <v>2030</v>
      </c>
      <c r="F89" s="2">
        <v>2050</v>
      </c>
      <c r="G89" s="2" t="s">
        <v>2</v>
      </c>
      <c r="H89" s="2" t="s">
        <v>3</v>
      </c>
      <c r="J89" s="53" t="s">
        <v>357</v>
      </c>
    </row>
    <row r="90" spans="2:24" ht="28.2" thickBot="1">
      <c r="B90" s="3" t="s">
        <v>4</v>
      </c>
      <c r="C90" s="4"/>
      <c r="D90" s="4"/>
      <c r="E90" s="4"/>
      <c r="F90" s="4"/>
      <c r="G90" s="4"/>
      <c r="H90" s="5"/>
      <c r="J90" s="46" t="s">
        <v>335</v>
      </c>
      <c r="K90" s="46" t="s">
        <v>336</v>
      </c>
      <c r="L90" s="47" t="s">
        <v>337</v>
      </c>
      <c r="M90" s="47" t="s">
        <v>338</v>
      </c>
      <c r="N90" s="47" t="s">
        <v>339</v>
      </c>
      <c r="O90" s="48" t="s">
        <v>340</v>
      </c>
      <c r="P90" s="49" t="s">
        <v>341</v>
      </c>
      <c r="Q90" s="49" t="s">
        <v>342</v>
      </c>
      <c r="R90" s="49" t="s">
        <v>343</v>
      </c>
      <c r="S90" s="49" t="s">
        <v>344</v>
      </c>
      <c r="T90" s="49" t="s">
        <v>345</v>
      </c>
      <c r="U90" s="49" t="s">
        <v>346</v>
      </c>
      <c r="V90" s="49" t="s">
        <v>347</v>
      </c>
      <c r="W90" s="49" t="s">
        <v>348</v>
      </c>
      <c r="X90" s="49" t="s">
        <v>349</v>
      </c>
    </row>
    <row r="91" spans="2:24" ht="15" thickBot="1">
      <c r="B91" s="1" t="s">
        <v>5</v>
      </c>
      <c r="C91" s="2" t="s">
        <v>110</v>
      </c>
      <c r="D91" s="2" t="s">
        <v>110</v>
      </c>
      <c r="E91" s="2" t="s">
        <v>110</v>
      </c>
      <c r="F91" s="2" t="s">
        <v>110</v>
      </c>
      <c r="G91" s="2"/>
      <c r="H91" s="2"/>
      <c r="J91" s="50"/>
      <c r="K91" s="50"/>
      <c r="L91" s="51"/>
      <c r="M91" s="51"/>
      <c r="N91" s="51"/>
      <c r="O91" s="52"/>
      <c r="P91" s="50"/>
      <c r="Q91" s="50"/>
      <c r="R91" s="50"/>
      <c r="S91" s="50"/>
      <c r="T91" s="50"/>
      <c r="U91" s="50"/>
      <c r="V91" s="50"/>
      <c r="W91" s="50"/>
      <c r="X91" s="50"/>
    </row>
    <row r="92" spans="2:24" ht="24.6" thickBot="1">
      <c r="B92" s="1" t="s">
        <v>7</v>
      </c>
      <c r="C92" s="2">
        <v>100</v>
      </c>
      <c r="D92" s="2">
        <v>100</v>
      </c>
      <c r="E92" s="2">
        <v>100</v>
      </c>
      <c r="F92" s="2">
        <v>100</v>
      </c>
      <c r="G92" s="2" t="s">
        <v>16</v>
      </c>
      <c r="H92" s="2"/>
      <c r="J92" s="56"/>
      <c r="K92" s="56"/>
      <c r="L92" s="57"/>
      <c r="M92" s="57"/>
      <c r="N92" s="57"/>
      <c r="O92" s="56" t="s">
        <v>350</v>
      </c>
      <c r="P92" s="56" t="s">
        <v>326</v>
      </c>
      <c r="Q92" s="56" t="s">
        <v>327</v>
      </c>
      <c r="R92" s="56" t="s">
        <v>351</v>
      </c>
      <c r="S92" s="56" t="s">
        <v>351</v>
      </c>
      <c r="T92" s="56" t="s">
        <v>352</v>
      </c>
      <c r="U92" s="56" t="s">
        <v>352</v>
      </c>
      <c r="V92" s="56" t="s">
        <v>352</v>
      </c>
      <c r="W92" s="56" t="s">
        <v>352</v>
      </c>
      <c r="X92" s="56" t="s">
        <v>352</v>
      </c>
    </row>
    <row r="93" spans="2:24" ht="24.6" thickBot="1">
      <c r="B93" s="1" t="s">
        <v>8</v>
      </c>
      <c r="C93" s="2">
        <v>100</v>
      </c>
      <c r="D93" s="2">
        <v>100</v>
      </c>
      <c r="E93" s="2">
        <v>100</v>
      </c>
      <c r="F93" s="2">
        <v>100</v>
      </c>
      <c r="G93" s="2" t="s">
        <v>16</v>
      </c>
      <c r="H93" s="2"/>
      <c r="J93" s="58">
        <f>C89</f>
        <v>2015</v>
      </c>
      <c r="K93" s="58">
        <f>J93</f>
        <v>2015</v>
      </c>
      <c r="L93" s="58">
        <f>C94/100</f>
        <v>3.3</v>
      </c>
      <c r="M93" s="58"/>
      <c r="N93" s="58">
        <f>C95</f>
        <v>20</v>
      </c>
      <c r="O93" s="59">
        <f>C110</f>
        <v>8195</v>
      </c>
      <c r="P93" s="59">
        <f>C112</f>
        <v>16.555555555555557</v>
      </c>
      <c r="Q93" s="59">
        <f>C113</f>
        <v>0</v>
      </c>
      <c r="R93" s="58"/>
      <c r="S93" s="58"/>
      <c r="T93" s="58"/>
      <c r="U93" s="58"/>
      <c r="V93" s="58"/>
      <c r="W93" s="58"/>
      <c r="X93" s="58"/>
    </row>
    <row r="94" spans="2:24" ht="24.6" thickBot="1">
      <c r="B94" s="1" t="s">
        <v>9</v>
      </c>
      <c r="C94" s="2">
        <v>330</v>
      </c>
      <c r="D94" s="2">
        <v>350</v>
      </c>
      <c r="E94" s="2">
        <v>400</v>
      </c>
      <c r="F94" s="2">
        <v>450</v>
      </c>
      <c r="G94" s="2" t="s">
        <v>109</v>
      </c>
      <c r="H94" s="2" t="s">
        <v>103</v>
      </c>
      <c r="J94" s="58">
        <f>D89</f>
        <v>2020</v>
      </c>
      <c r="K94" s="58"/>
      <c r="L94" s="58">
        <f>D94/100</f>
        <v>3.5</v>
      </c>
      <c r="M94" s="58"/>
      <c r="N94" s="58">
        <f>D95</f>
        <v>20</v>
      </c>
      <c r="O94" s="59">
        <f>D110</f>
        <v>8195</v>
      </c>
      <c r="P94" s="59">
        <f>D112</f>
        <v>16.555555555555557</v>
      </c>
      <c r="Q94" s="59">
        <f>D113</f>
        <v>0</v>
      </c>
      <c r="R94" s="58"/>
      <c r="S94" s="58"/>
      <c r="T94" s="58"/>
      <c r="U94" s="58"/>
      <c r="V94" s="58"/>
      <c r="W94" s="58"/>
      <c r="X94" s="58"/>
    </row>
    <row r="95" spans="2:24" ht="15" thickBot="1">
      <c r="B95" s="1" t="s">
        <v>11</v>
      </c>
      <c r="C95" s="2">
        <v>20</v>
      </c>
      <c r="D95" s="2">
        <v>20</v>
      </c>
      <c r="E95" s="2">
        <v>20</v>
      </c>
      <c r="F95" s="2">
        <v>20</v>
      </c>
      <c r="G95" s="2"/>
      <c r="H95" s="2"/>
      <c r="J95" s="58">
        <f>E89</f>
        <v>2030</v>
      </c>
      <c r="K95" s="58"/>
      <c r="L95" s="58">
        <f>E94/100</f>
        <v>4</v>
      </c>
      <c r="M95" s="58"/>
      <c r="N95" s="58">
        <f>E95</f>
        <v>20</v>
      </c>
      <c r="O95" s="59">
        <f>E110</f>
        <v>7450</v>
      </c>
      <c r="P95" s="59">
        <f>E112</f>
        <v>16.555555555555557</v>
      </c>
      <c r="Q95" s="59">
        <f>E113</f>
        <v>0</v>
      </c>
      <c r="R95" s="58"/>
      <c r="S95" s="58"/>
      <c r="T95" s="58"/>
      <c r="U95" s="58"/>
      <c r="V95" s="58"/>
      <c r="W95" s="58"/>
      <c r="X95" s="58"/>
    </row>
    <row r="96" spans="2:24" ht="15" thickBot="1">
      <c r="B96" s="3" t="s">
        <v>12</v>
      </c>
      <c r="C96" s="18"/>
      <c r="D96" s="18"/>
      <c r="E96" s="18"/>
      <c r="F96" s="18"/>
      <c r="G96" s="18"/>
      <c r="H96" s="2"/>
      <c r="J96" s="58">
        <f>F89</f>
        <v>2050</v>
      </c>
      <c r="K96" s="58"/>
      <c r="L96" s="58">
        <f>F94/100</f>
        <v>4.5</v>
      </c>
      <c r="M96" s="58"/>
      <c r="N96" s="58">
        <f>F95</f>
        <v>20</v>
      </c>
      <c r="O96" s="59">
        <f>F110</f>
        <v>6705</v>
      </c>
      <c r="P96" s="59">
        <f>F112</f>
        <v>16.555555555555557</v>
      </c>
      <c r="Q96" s="59">
        <f>F113</f>
        <v>0</v>
      </c>
      <c r="R96" s="58"/>
      <c r="S96" s="58"/>
      <c r="T96" s="58"/>
      <c r="U96" s="58"/>
      <c r="V96" s="58"/>
      <c r="W96" s="58"/>
      <c r="X96" s="58"/>
    </row>
    <row r="97" spans="2:15" ht="27" customHeight="1" thickBot="1">
      <c r="B97" s="1" t="s">
        <v>13</v>
      </c>
      <c r="C97" s="190">
        <v>0</v>
      </c>
      <c r="D97" s="191">
        <v>0</v>
      </c>
      <c r="E97" s="191">
        <v>0</v>
      </c>
      <c r="F97" s="192">
        <v>0</v>
      </c>
      <c r="G97" s="1275" t="s">
        <v>98</v>
      </c>
      <c r="H97" s="175"/>
      <c r="J97" s="1259"/>
      <c r="K97" s="1260"/>
      <c r="L97" s="1260"/>
      <c r="M97" s="1260"/>
      <c r="N97" s="1260"/>
      <c r="O97" s="1261"/>
    </row>
    <row r="98" spans="2:15" ht="15.6" thickBot="1">
      <c r="B98" s="1" t="s">
        <v>15</v>
      </c>
      <c r="C98" s="193">
        <v>0</v>
      </c>
      <c r="D98" s="189">
        <v>0</v>
      </c>
      <c r="E98" s="189">
        <v>0</v>
      </c>
      <c r="F98" s="185">
        <v>0</v>
      </c>
      <c r="G98" s="1276"/>
      <c r="H98" s="176"/>
      <c r="J98" s="1134"/>
      <c r="K98" s="1135"/>
      <c r="L98" s="1135"/>
      <c r="M98" s="1135"/>
      <c r="N98" s="1135"/>
      <c r="O98" s="1136"/>
    </row>
    <row r="99" spans="2:15" ht="15.6" thickBot="1">
      <c r="B99" s="1" t="s">
        <v>17</v>
      </c>
      <c r="C99" s="193">
        <v>0</v>
      </c>
      <c r="D99" s="189">
        <v>0</v>
      </c>
      <c r="E99" s="189">
        <v>0</v>
      </c>
      <c r="F99" s="185">
        <v>0</v>
      </c>
      <c r="G99" s="1276"/>
      <c r="H99" s="176"/>
      <c r="J99" s="53"/>
    </row>
    <row r="100" spans="2:15" ht="15.6" thickBot="1">
      <c r="B100" s="1" t="s">
        <v>18</v>
      </c>
      <c r="C100" s="193">
        <v>0</v>
      </c>
      <c r="D100" s="189">
        <v>0</v>
      </c>
      <c r="E100" s="189">
        <v>0</v>
      </c>
      <c r="F100" s="185">
        <v>0</v>
      </c>
      <c r="G100" s="1276"/>
      <c r="H100" s="176"/>
      <c r="J100" s="46"/>
      <c r="K100" s="46"/>
      <c r="L100" s="47"/>
      <c r="M100" s="47"/>
      <c r="N100" s="47"/>
      <c r="O100" s="48"/>
    </row>
    <row r="101" spans="2:15" ht="15" thickBot="1">
      <c r="B101" s="1" t="s">
        <v>19</v>
      </c>
      <c r="C101" s="194">
        <v>0</v>
      </c>
      <c r="D101" s="195">
        <v>0</v>
      </c>
      <c r="E101" s="195">
        <v>0</v>
      </c>
      <c r="F101" s="35">
        <v>0</v>
      </c>
      <c r="G101" s="1277"/>
      <c r="H101" s="177"/>
      <c r="J101" s="50"/>
      <c r="K101" s="50"/>
      <c r="L101" s="51"/>
      <c r="M101" s="51"/>
      <c r="N101" s="51"/>
      <c r="O101" s="52"/>
    </row>
    <row r="102" spans="2:15" ht="15" thickBot="1">
      <c r="B102" s="3" t="s">
        <v>22</v>
      </c>
      <c r="C102" s="18"/>
      <c r="D102" s="18"/>
      <c r="E102" s="18"/>
      <c r="F102" s="18"/>
      <c r="G102" s="18"/>
      <c r="H102" s="2"/>
      <c r="J102" s="56"/>
      <c r="K102" s="56"/>
      <c r="L102" s="57"/>
      <c r="M102" s="57"/>
      <c r="N102" s="57"/>
      <c r="O102" s="56"/>
    </row>
    <row r="103" spans="2:15" ht="15" thickBot="1">
      <c r="B103" s="1" t="s">
        <v>23</v>
      </c>
      <c r="C103" s="2">
        <v>1.1000000000000001</v>
      </c>
      <c r="D103" s="2">
        <v>1.1000000000000001</v>
      </c>
      <c r="E103" s="2">
        <v>1</v>
      </c>
      <c r="F103" s="2">
        <v>0.9</v>
      </c>
      <c r="G103" s="2" t="s">
        <v>114</v>
      </c>
      <c r="H103" s="2" t="s">
        <v>105</v>
      </c>
      <c r="J103" s="58"/>
      <c r="K103" s="58"/>
      <c r="L103" s="58"/>
      <c r="M103" s="58"/>
      <c r="N103" s="58"/>
      <c r="O103" s="59"/>
    </row>
    <row r="104" spans="2:15">
      <c r="B104" s="6" t="s">
        <v>24</v>
      </c>
      <c r="C104" s="7"/>
      <c r="D104" s="7"/>
      <c r="E104" s="7"/>
      <c r="F104" s="7"/>
      <c r="G104" s="7"/>
      <c r="H104" s="7"/>
      <c r="J104" s="58"/>
      <c r="K104" s="58"/>
      <c r="L104" s="58"/>
      <c r="M104" s="58"/>
      <c r="N104" s="58"/>
      <c r="O104" s="59"/>
    </row>
    <row r="105" spans="2:15">
      <c r="B105" s="6" t="s">
        <v>26</v>
      </c>
      <c r="C105" s="7"/>
      <c r="D105" s="7"/>
      <c r="E105" s="7"/>
      <c r="F105" s="7"/>
      <c r="G105" s="7"/>
      <c r="H105" s="7"/>
      <c r="J105" s="58"/>
      <c r="K105" s="58"/>
      <c r="L105" s="58"/>
      <c r="M105" s="58"/>
      <c r="N105" s="58"/>
      <c r="O105" s="59"/>
    </row>
    <row r="106" spans="2:15" ht="15" thickBot="1">
      <c r="B106" s="1" t="s">
        <v>96</v>
      </c>
      <c r="C106" s="2"/>
      <c r="D106" s="2"/>
      <c r="E106" s="2"/>
      <c r="F106" s="2"/>
      <c r="G106" s="2"/>
      <c r="H106" s="2"/>
      <c r="J106" s="58"/>
      <c r="K106" s="58"/>
      <c r="L106" s="58"/>
      <c r="M106" s="58"/>
      <c r="N106" s="58"/>
      <c r="O106" s="59"/>
    </row>
    <row r="107" spans="2:15" ht="24.6" thickBot="1">
      <c r="B107" s="1" t="s">
        <v>113</v>
      </c>
      <c r="C107" s="2">
        <v>0.67</v>
      </c>
      <c r="D107" s="2">
        <v>0.67</v>
      </c>
      <c r="E107" s="2">
        <v>0.67</v>
      </c>
      <c r="F107" s="2">
        <v>0.67</v>
      </c>
      <c r="G107" s="2" t="s">
        <v>20</v>
      </c>
      <c r="H107" s="2"/>
    </row>
    <row r="108" spans="2:15" ht="15" thickBot="1">
      <c r="B108" s="1" t="s">
        <v>50</v>
      </c>
      <c r="C108" s="2">
        <v>400</v>
      </c>
      <c r="D108" s="2">
        <v>400</v>
      </c>
      <c r="E108" s="2">
        <v>400</v>
      </c>
      <c r="F108" s="2">
        <v>400</v>
      </c>
      <c r="G108" s="2" t="s">
        <v>25</v>
      </c>
      <c r="H108" s="2">
        <v>2</v>
      </c>
    </row>
    <row r="109" spans="2:15" ht="15" thickBot="1">
      <c r="B109" s="1" t="s">
        <v>31</v>
      </c>
      <c r="C109" s="2"/>
      <c r="D109" s="2"/>
      <c r="E109" s="2"/>
      <c r="F109" s="2"/>
      <c r="G109" s="2"/>
      <c r="H109" s="2"/>
    </row>
    <row r="110" spans="2:15">
      <c r="B110" s="36" t="s">
        <v>353</v>
      </c>
      <c r="C110" s="60">
        <f t="shared" ref="C110:F111" si="3">C103*$F$4*1000</f>
        <v>8195</v>
      </c>
      <c r="D110" s="60">
        <f t="shared" si="3"/>
        <v>8195</v>
      </c>
      <c r="E110" s="60">
        <f t="shared" si="3"/>
        <v>7450</v>
      </c>
      <c r="F110" s="60">
        <f t="shared" si="3"/>
        <v>6705</v>
      </c>
      <c r="G110" s="63" t="s">
        <v>332</v>
      </c>
      <c r="H110" s="63"/>
    </row>
    <row r="111" spans="2:15">
      <c r="B111" s="36" t="s">
        <v>354</v>
      </c>
      <c r="C111" s="186">
        <f t="shared" si="3"/>
        <v>0</v>
      </c>
      <c r="D111" s="186">
        <f t="shared" si="3"/>
        <v>0</v>
      </c>
      <c r="E111" s="186">
        <f t="shared" si="3"/>
        <v>0</v>
      </c>
      <c r="F111" s="186">
        <f t="shared" si="3"/>
        <v>0</v>
      </c>
      <c r="G111" s="70">
        <v>180</v>
      </c>
      <c r="H111" s="69" t="s">
        <v>330</v>
      </c>
    </row>
    <row r="112" spans="2:15">
      <c r="B112" s="36" t="s">
        <v>355</v>
      </c>
      <c r="C112" s="60">
        <f>C108*$F$4/$G111</f>
        <v>16.555555555555557</v>
      </c>
      <c r="D112" s="60">
        <f>D108*$F$4/$G111</f>
        <v>16.555555555555557</v>
      </c>
      <c r="E112" s="60">
        <f>E108*$F$4/$G111</f>
        <v>16.555555555555557</v>
      </c>
      <c r="F112" s="60">
        <f>F108*$F$4/$G111</f>
        <v>16.555555555555557</v>
      </c>
      <c r="G112" s="69" t="s">
        <v>331</v>
      </c>
      <c r="H112" s="69"/>
    </row>
    <row r="113" spans="2:8">
      <c r="B113" s="36" t="s">
        <v>356</v>
      </c>
      <c r="C113" s="186">
        <f>C109*$F$4</f>
        <v>0</v>
      </c>
      <c r="D113" s="186">
        <f>D109*$F$4</f>
        <v>0</v>
      </c>
      <c r="E113" s="186">
        <f>E109*$F$4</f>
        <v>0</v>
      </c>
      <c r="F113" s="186">
        <f>F109*$F$4</f>
        <v>0</v>
      </c>
      <c r="G113" s="61"/>
      <c r="H113" s="61"/>
    </row>
    <row r="156" spans="7:7">
      <c r="G156" s="263" t="s">
        <v>620</v>
      </c>
    </row>
  </sheetData>
  <mergeCells count="26">
    <mergeCell ref="B6:B7"/>
    <mergeCell ref="C6:H6"/>
    <mergeCell ref="C7:H7"/>
    <mergeCell ref="B33:B34"/>
    <mergeCell ref="C33:H33"/>
    <mergeCell ref="C34:H34"/>
    <mergeCell ref="G16:G20"/>
    <mergeCell ref="B60:B61"/>
    <mergeCell ref="C60:H60"/>
    <mergeCell ref="C61:H61"/>
    <mergeCell ref="B87:B88"/>
    <mergeCell ref="C87:H87"/>
    <mergeCell ref="C88:H88"/>
    <mergeCell ref="J6:O6"/>
    <mergeCell ref="J7:O7"/>
    <mergeCell ref="J33:O33"/>
    <mergeCell ref="J34:O34"/>
    <mergeCell ref="J60:O60"/>
    <mergeCell ref="G43:G47"/>
    <mergeCell ref="G70:G74"/>
    <mergeCell ref="G97:G101"/>
    <mergeCell ref="J87:O87"/>
    <mergeCell ref="J88:O88"/>
    <mergeCell ref="J97:O97"/>
    <mergeCell ref="J98:O98"/>
    <mergeCell ref="J61:O61"/>
  </mergeCell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tabColor theme="4"/>
  </sheetPr>
  <dimension ref="B3:CP130"/>
  <sheetViews>
    <sheetView topLeftCell="A19" workbookViewId="0">
      <selection activeCell="C31" sqref="C31"/>
    </sheetView>
  </sheetViews>
  <sheetFormatPr defaultRowHeight="14.4"/>
  <cols>
    <col min="2" max="2" width="51.44140625" customWidth="1"/>
    <col min="3" max="3" width="14.77734375" style="85" bestFit="1" customWidth="1"/>
    <col min="4" max="8" width="9.21875" style="85"/>
  </cols>
  <sheetData>
    <row r="3" spans="2:94" ht="28.8">
      <c r="B3" s="84" t="s">
        <v>393</v>
      </c>
    </row>
    <row r="4" spans="2:94" ht="15" customHeight="1">
      <c r="E4" t="s">
        <v>358</v>
      </c>
      <c r="F4"/>
      <c r="G4" s="36">
        <v>7.45</v>
      </c>
      <c r="H4" t="s">
        <v>328</v>
      </c>
    </row>
    <row r="5" spans="2:94" ht="15" customHeight="1" thickBot="1"/>
    <row r="6" spans="2:94" ht="15.75" customHeight="1" thickBot="1">
      <c r="C6" s="1290" t="s">
        <v>394</v>
      </c>
      <c r="D6" s="1288"/>
      <c r="E6" s="1288"/>
      <c r="F6" s="1288"/>
      <c r="G6" s="1288"/>
      <c r="H6" s="1289"/>
      <c r="J6" s="1259" t="str">
        <f>C6</f>
        <v>Absorption heat pump</v>
      </c>
      <c r="K6" s="1260"/>
      <c r="L6" s="1260"/>
      <c r="M6" s="1260"/>
      <c r="N6" s="1260"/>
      <c r="O6" s="1261"/>
    </row>
    <row r="7" spans="2:94" s="8" customFormat="1" ht="15.75" customHeight="1" thickBot="1">
      <c r="B7" s="86" t="s">
        <v>0</v>
      </c>
      <c r="C7" s="8" t="s">
        <v>362</v>
      </c>
      <c r="J7" s="1134" t="str">
        <f>C7</f>
        <v>One family house, new and existing buildings</v>
      </c>
      <c r="K7" s="1135"/>
      <c r="L7" s="1135"/>
      <c r="M7" s="1135"/>
      <c r="N7" s="1135"/>
      <c r="O7" s="1136"/>
      <c r="P7"/>
      <c r="Q7"/>
      <c r="R7"/>
      <c r="S7"/>
      <c r="T7"/>
      <c r="U7"/>
      <c r="V7"/>
      <c r="W7"/>
      <c r="X7"/>
    </row>
    <row r="8" spans="2:94" ht="25.5" customHeight="1" thickBot="1">
      <c r="B8" s="111"/>
      <c r="C8" s="112">
        <v>2015</v>
      </c>
      <c r="D8" s="112">
        <v>2020</v>
      </c>
      <c r="E8" s="112">
        <v>2030</v>
      </c>
      <c r="F8" s="112">
        <v>2050</v>
      </c>
      <c r="G8" s="112" t="s">
        <v>2</v>
      </c>
      <c r="H8" s="113"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25.5" customHeight="1" thickBot="1">
      <c r="B9" s="114" t="s">
        <v>4</v>
      </c>
      <c r="C9" s="108"/>
      <c r="D9" s="108"/>
      <c r="E9" s="108"/>
      <c r="F9" s="108"/>
      <c r="G9" s="108"/>
      <c r="H9" s="109"/>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5380.5555555555566</v>
      </c>
      <c r="P12" s="59">
        <f>C31</f>
        <v>99.333333333333329</v>
      </c>
      <c r="Q12" s="59">
        <f>C32</f>
        <v>14.9</v>
      </c>
      <c r="R12" s="58"/>
      <c r="S12" s="58"/>
      <c r="T12" s="58">
        <f>C16</f>
        <v>0</v>
      </c>
      <c r="U12" s="58">
        <f>C17</f>
        <v>15</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2980</v>
      </c>
      <c r="P13" s="59">
        <f>D31</f>
        <v>59.6</v>
      </c>
      <c r="Q13" s="59">
        <f>D32</f>
        <v>14.9</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2483.3333333333335</v>
      </c>
      <c r="P14" s="59">
        <f>E31</f>
        <v>59.6</v>
      </c>
      <c r="Q14" s="59">
        <f>E32</f>
        <v>14.9</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2483.3333333333335</v>
      </c>
      <c r="P15" s="59">
        <f>F31</f>
        <v>59.6</v>
      </c>
      <c r="Q15" s="59">
        <f>F32</f>
        <v>14.9</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10" t="s">
        <v>368</v>
      </c>
      <c r="C21" s="1288" t="s">
        <v>397</v>
      </c>
      <c r="D21" s="1288"/>
      <c r="E21" s="1288"/>
      <c r="F21" s="1288"/>
      <c r="G21" s="1288"/>
      <c r="H21" s="1289"/>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75" customHeight="1" thickBot="1">
      <c r="B22" s="115" t="s">
        <v>23</v>
      </c>
      <c r="C22" s="120"/>
      <c r="D22" s="120"/>
      <c r="E22" s="120"/>
      <c r="F22" s="120"/>
      <c r="G22" s="118"/>
      <c r="H22" s="11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75" customHeight="1" thickBot="1">
      <c r="B23" s="115" t="s">
        <v>24</v>
      </c>
      <c r="C23" s="118">
        <v>13</v>
      </c>
      <c r="D23" s="118">
        <v>12</v>
      </c>
      <c r="E23" s="118">
        <v>10</v>
      </c>
      <c r="F23" s="118">
        <v>10</v>
      </c>
      <c r="G23" s="118" t="s">
        <v>398</v>
      </c>
      <c r="H23" s="11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ht="15.75" customHeight="1" thickBot="1">
      <c r="B24" s="115" t="s">
        <v>26</v>
      </c>
      <c r="C24" s="119">
        <v>0.77</v>
      </c>
      <c r="D24" s="119">
        <v>0.75</v>
      </c>
      <c r="E24" s="119">
        <v>0.7</v>
      </c>
      <c r="F24" s="119">
        <v>0.7</v>
      </c>
      <c r="G24" s="118"/>
      <c r="H24" s="11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row>
    <row r="25" spans="2:94" ht="15.75" customHeight="1" thickBot="1">
      <c r="B25" s="115" t="s">
        <v>28</v>
      </c>
      <c r="C25" s="119">
        <v>0.23</v>
      </c>
      <c r="D25" s="119">
        <v>0.25</v>
      </c>
      <c r="E25" s="119">
        <v>0.3</v>
      </c>
      <c r="F25" s="119">
        <v>0.3</v>
      </c>
      <c r="G25" s="118"/>
      <c r="H25" s="11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75" customHeight="1" thickBot="1">
      <c r="B26" s="115" t="s">
        <v>369</v>
      </c>
      <c r="C26" s="107">
        <v>2</v>
      </c>
      <c r="D26" s="118">
        <v>2</v>
      </c>
      <c r="E26" s="118">
        <v>2</v>
      </c>
      <c r="F26" s="118">
        <v>2</v>
      </c>
      <c r="G26" s="118" t="s">
        <v>51</v>
      </c>
      <c r="H26" s="11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75" customHeight="1" thickBot="1">
      <c r="B27" s="115" t="s">
        <v>64</v>
      </c>
      <c r="C27" s="107">
        <v>240</v>
      </c>
      <c r="D27" s="118">
        <v>240</v>
      </c>
      <c r="E27" s="118">
        <v>240</v>
      </c>
      <c r="F27" s="118">
        <v>240</v>
      </c>
      <c r="G27" s="118" t="s">
        <v>399</v>
      </c>
      <c r="H27" s="11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75" customHeight="1" thickBot="1">
      <c r="B28" s="122" t="s">
        <v>406</v>
      </c>
      <c r="C28" s="121">
        <v>2</v>
      </c>
      <c r="D28" s="120">
        <v>2</v>
      </c>
      <c r="E28" s="120">
        <v>2</v>
      </c>
      <c r="F28" s="120">
        <v>2</v>
      </c>
      <c r="G28" s="120" t="s">
        <v>396</v>
      </c>
      <c r="H28" s="11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5380.5555555555566</v>
      </c>
      <c r="D29" s="42">
        <f>D30/D10</f>
        <v>2980</v>
      </c>
      <c r="E29" s="42">
        <f>E30/E10</f>
        <v>2483.3333333333335</v>
      </c>
      <c r="F29" s="42">
        <f>F30/F10</f>
        <v>2483.3333333333335</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96850.000000000015</v>
      </c>
      <c r="D30" s="42">
        <f>D23*$G$4*1000</f>
        <v>89400</v>
      </c>
      <c r="E30" s="42">
        <f>E23*$G$4*1000</f>
        <v>74500</v>
      </c>
      <c r="F30" s="42">
        <f>F23*$G$4*1000</f>
        <v>74500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99.333333333333329</v>
      </c>
      <c r="D31" s="106">
        <f>D27*$G$4/D10</f>
        <v>59.6</v>
      </c>
      <c r="E31" s="106">
        <f>E27*$G$4/E10</f>
        <v>59.6</v>
      </c>
      <c r="F31" s="106">
        <f>F27*$G$4/F10</f>
        <v>59.6</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5" thickBot="1">
      <c r="B32" s="36" t="s">
        <v>356</v>
      </c>
      <c r="C32" s="42">
        <f>C28*$G$4</f>
        <v>14.9</v>
      </c>
      <c r="D32" s="42">
        <f>D28*$G$4</f>
        <v>14.9</v>
      </c>
      <c r="E32" s="42">
        <f>E28*$G$4</f>
        <v>14.9</v>
      </c>
      <c r="F32" s="42">
        <f>F28*$G$4</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90" t="s">
        <v>394</v>
      </c>
      <c r="D33" s="1288"/>
      <c r="E33" s="1288"/>
      <c r="F33" s="1288"/>
      <c r="G33" s="1288"/>
      <c r="H33" s="1289"/>
      <c r="J33" s="1259" t="str">
        <f>C33</f>
        <v>Absorption heat pump</v>
      </c>
      <c r="K33" s="1260"/>
      <c r="L33" s="1260"/>
      <c r="M33" s="1260"/>
      <c r="N33" s="1260"/>
      <c r="O33" s="1261"/>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34" t="str">
        <f>C34</f>
        <v>Apartment complex, existing and new buildings</v>
      </c>
      <c r="K34" s="1135"/>
      <c r="L34" s="1135"/>
      <c r="M34" s="1135"/>
      <c r="N34" s="1135"/>
      <c r="O34" s="1136"/>
      <c r="P34"/>
      <c r="Q34"/>
      <c r="R34"/>
      <c r="S34"/>
      <c r="T34"/>
      <c r="U34"/>
      <c r="V34"/>
      <c r="W34"/>
      <c r="X34"/>
    </row>
    <row r="35" spans="2:94" ht="15"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28.2"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5"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c r="B39" s="148" t="s">
        <v>8</v>
      </c>
      <c r="C39" s="125">
        <v>100</v>
      </c>
      <c r="D39" s="151">
        <v>100</v>
      </c>
      <c r="E39" s="151">
        <v>100</v>
      </c>
      <c r="F39" s="151">
        <v>100</v>
      </c>
      <c r="G39" s="151"/>
      <c r="H39" s="151"/>
      <c r="J39" s="58">
        <f>C35</f>
        <v>2015</v>
      </c>
      <c r="K39" s="58">
        <f>J39</f>
        <v>2015</v>
      </c>
      <c r="L39" s="58">
        <f>C40/100</f>
        <v>1.35</v>
      </c>
      <c r="M39" s="58"/>
      <c r="N39" s="58">
        <f>C41</f>
        <v>22</v>
      </c>
      <c r="O39" s="59">
        <f>C56</f>
        <v>3047.7272727272725</v>
      </c>
      <c r="P39" s="59">
        <f>C58</f>
        <v>22.857954545454547</v>
      </c>
      <c r="Q39" s="59">
        <f>C59</f>
        <v>18</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c r="B40" s="148" t="s">
        <v>363</v>
      </c>
      <c r="C40" s="125">
        <v>135</v>
      </c>
      <c r="D40" s="151">
        <v>145</v>
      </c>
      <c r="E40" s="151">
        <v>170</v>
      </c>
      <c r="F40" s="151">
        <v>170</v>
      </c>
      <c r="G40" s="151" t="s">
        <v>59</v>
      </c>
      <c r="H40" s="151">
        <v>2.16</v>
      </c>
      <c r="J40" s="58">
        <f>D35</f>
        <v>2020</v>
      </c>
      <c r="K40" s="58"/>
      <c r="L40" s="58">
        <f>D40/100</f>
        <v>1.45</v>
      </c>
      <c r="M40" s="58"/>
      <c r="N40" s="58">
        <f>D41</f>
        <v>22</v>
      </c>
      <c r="O40" s="59">
        <f>D56</f>
        <v>1676.25</v>
      </c>
      <c r="P40" s="59">
        <f>D58</f>
        <v>12.571875</v>
      </c>
      <c r="Q40" s="59">
        <f>D59</f>
        <v>18</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5" thickBot="1">
      <c r="B41" s="148" t="s">
        <v>11</v>
      </c>
      <c r="C41" s="125">
        <v>22</v>
      </c>
      <c r="D41" s="151">
        <v>22</v>
      </c>
      <c r="E41" s="151">
        <v>22</v>
      </c>
      <c r="F41" s="151">
        <v>22</v>
      </c>
      <c r="G41" s="151" t="s">
        <v>16</v>
      </c>
      <c r="H41" s="151"/>
      <c r="J41" s="58">
        <f>E35</f>
        <v>2030</v>
      </c>
      <c r="K41" s="58"/>
      <c r="L41" s="58">
        <f>E40/100</f>
        <v>1.7</v>
      </c>
      <c r="M41" s="58"/>
      <c r="N41" s="58">
        <f>E41</f>
        <v>22</v>
      </c>
      <c r="O41" s="59">
        <f>E56</f>
        <v>1583.125</v>
      </c>
      <c r="P41" s="59">
        <f>E58</f>
        <v>12.571875</v>
      </c>
      <c r="Q41" s="59">
        <f>E59</f>
        <v>18</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5" thickBot="1">
      <c r="B42" s="143" t="s">
        <v>12</v>
      </c>
      <c r="C42" s="133"/>
      <c r="D42" s="133"/>
      <c r="E42" s="133"/>
      <c r="F42" s="133"/>
      <c r="G42" s="133"/>
      <c r="H42" s="134"/>
      <c r="J42" s="58">
        <f>F35</f>
        <v>2050</v>
      </c>
      <c r="K42" s="58"/>
      <c r="L42" s="58">
        <f>F40/100</f>
        <v>1.7</v>
      </c>
      <c r="M42" s="58"/>
      <c r="N42" s="58">
        <f>F41</f>
        <v>22</v>
      </c>
      <c r="O42" s="59">
        <f>F56</f>
        <v>1583.125</v>
      </c>
      <c r="P42" s="59">
        <f>F58</f>
        <v>12.571875</v>
      </c>
      <c r="Q42" s="59">
        <f>F59</f>
        <v>18</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5"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368</v>
      </c>
      <c r="C48" s="1288" t="s">
        <v>397</v>
      </c>
      <c r="D48" s="1288"/>
      <c r="E48" s="1288"/>
      <c r="F48" s="1288"/>
      <c r="G48" s="1288"/>
      <c r="H48" s="1289"/>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5" thickBot="1">
      <c r="B49" s="148" t="s">
        <v>23</v>
      </c>
      <c r="C49" s="152" t="s">
        <v>68</v>
      </c>
      <c r="D49" s="152" t="s">
        <v>68</v>
      </c>
      <c r="E49" s="152" t="s">
        <v>68</v>
      </c>
      <c r="F49" s="152" t="s">
        <v>68</v>
      </c>
      <c r="G49" s="152" t="s">
        <v>374</v>
      </c>
      <c r="H49" s="151"/>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5" thickBot="1">
      <c r="B50" s="148" t="s">
        <v>24</v>
      </c>
      <c r="C50" s="152">
        <v>18</v>
      </c>
      <c r="D50" s="152">
        <v>18</v>
      </c>
      <c r="E50" s="152">
        <v>17</v>
      </c>
      <c r="F50" s="152">
        <v>17</v>
      </c>
      <c r="G50" s="152" t="s">
        <v>400</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ht="15" thickBot="1">
      <c r="B51" s="148" t="s">
        <v>26</v>
      </c>
      <c r="C51" s="153">
        <v>0.78</v>
      </c>
      <c r="D51" s="153"/>
      <c r="E51" s="153"/>
      <c r="F51" s="153"/>
      <c r="G51" s="152"/>
      <c r="H51" s="152"/>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row>
    <row r="52" spans="2:94" ht="15" thickBot="1">
      <c r="B52" s="148" t="s">
        <v>28</v>
      </c>
      <c r="C52" s="153">
        <v>0.22</v>
      </c>
      <c r="D52" s="153"/>
      <c r="E52" s="153"/>
      <c r="F52" s="153"/>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5" thickBot="1">
      <c r="B53" s="148" t="s">
        <v>369</v>
      </c>
      <c r="C53" s="154">
        <v>1.6</v>
      </c>
      <c r="D53" s="152">
        <v>1.6</v>
      </c>
      <c r="E53" s="152">
        <v>1.6</v>
      </c>
      <c r="F53" s="152">
        <v>1.6</v>
      </c>
      <c r="G53" s="152" t="s">
        <v>33</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5"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5"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3047.7272727272725</v>
      </c>
      <c r="D56" s="42">
        <f>D57/D37</f>
        <v>1676.25</v>
      </c>
      <c r="E56" s="42">
        <f>E57/E37</f>
        <v>1583.125</v>
      </c>
      <c r="F56" s="42">
        <f>F57/F37</f>
        <v>1583.125</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134100</v>
      </c>
      <c r="D57" s="42">
        <f>D50*$G$4*1000</f>
        <v>134100</v>
      </c>
      <c r="E57" s="42">
        <f>E50*$G$4*1000</f>
        <v>126650</v>
      </c>
      <c r="F57" s="42">
        <f>F50*$G$4*1000</f>
        <v>126650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5" thickBot="1">
      <c r="B59" s="36" t="s">
        <v>356</v>
      </c>
      <c r="C59" s="188">
        <f>C55/$C$64</f>
        <v>18</v>
      </c>
      <c r="D59" s="188">
        <f>D55/$C$64</f>
        <v>18</v>
      </c>
      <c r="E59" s="188">
        <f>E55/$C$64</f>
        <v>18</v>
      </c>
      <c r="F59" s="188">
        <f>F55/$C$64</f>
        <v>18</v>
      </c>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C62" s="85">
        <v>20000</v>
      </c>
      <c r="D62" s="85" t="s">
        <v>360</v>
      </c>
      <c r="F62" s="85">
        <v>5</v>
      </c>
      <c r="G62" s="85" t="s">
        <v>409</v>
      </c>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C63" s="85">
        <f>C62/3.6</f>
        <v>5555.5555555555557</v>
      </c>
      <c r="D63" s="85" t="s">
        <v>408</v>
      </c>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C64" s="85">
        <f>C63/1000</f>
        <v>5.5555555555555554</v>
      </c>
      <c r="D64" s="85" t="s">
        <v>361</v>
      </c>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C65" s="165">
        <v>400000000</v>
      </c>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C66" s="165">
        <f>C65/C64</f>
        <v>72000000</v>
      </c>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33:H33"/>
    <mergeCell ref="J33:O33"/>
    <mergeCell ref="C21:H21"/>
  </mergeCells>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5">
    <tabColor theme="4"/>
  </sheetPr>
  <dimension ref="B3:CP130"/>
  <sheetViews>
    <sheetView workbookViewId="0">
      <selection activeCell="K36" sqref="K36"/>
    </sheetView>
  </sheetViews>
  <sheetFormatPr defaultRowHeight="14.4"/>
  <cols>
    <col min="2" max="2" width="51.44140625" customWidth="1"/>
    <col min="3" max="8" width="9.21875" style="85"/>
  </cols>
  <sheetData>
    <row r="3" spans="2:94" ht="28.8">
      <c r="B3" s="84" t="s">
        <v>401</v>
      </c>
    </row>
    <row r="4" spans="2:94" ht="15" customHeight="1">
      <c r="E4" t="s">
        <v>358</v>
      </c>
      <c r="F4"/>
      <c r="G4" s="36">
        <v>7.45</v>
      </c>
      <c r="H4" t="s">
        <v>328</v>
      </c>
    </row>
    <row r="5" spans="2:94" ht="15" customHeight="1" thickBot="1"/>
    <row r="6" spans="2:94" ht="15.75" customHeight="1" thickBot="1">
      <c r="C6" s="1290" t="s">
        <v>394</v>
      </c>
      <c r="D6" s="1288"/>
      <c r="E6" s="1288"/>
      <c r="F6" s="1288"/>
      <c r="G6" s="1288"/>
      <c r="H6" s="1289"/>
      <c r="J6" s="1259" t="str">
        <f>C6</f>
        <v>Absorption heat pump</v>
      </c>
      <c r="K6" s="1260"/>
      <c r="L6" s="1260"/>
      <c r="M6" s="1260"/>
      <c r="N6" s="1260"/>
      <c r="O6" s="1261"/>
    </row>
    <row r="7" spans="2:94" s="8" customFormat="1" ht="15.75" customHeight="1" thickBot="1">
      <c r="B7" s="86" t="s">
        <v>0</v>
      </c>
      <c r="C7" s="8" t="s">
        <v>362</v>
      </c>
      <c r="J7" s="1134" t="str">
        <f>C7</f>
        <v>One family house, new and existing buildings</v>
      </c>
      <c r="K7" s="1135"/>
      <c r="L7" s="1135"/>
      <c r="M7" s="1135"/>
      <c r="N7" s="1135"/>
      <c r="O7" s="1136"/>
      <c r="P7"/>
      <c r="Q7"/>
      <c r="R7"/>
      <c r="S7"/>
      <c r="T7"/>
      <c r="U7"/>
      <c r="V7"/>
      <c r="W7"/>
      <c r="X7"/>
    </row>
    <row r="8" spans="2:94" ht="15"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row>
    <row r="9" spans="2:94" ht="15.75" customHeight="1" thickBot="1">
      <c r="B9" s="90" t="s">
        <v>4</v>
      </c>
      <c r="C9" s="12"/>
      <c r="D9" s="12"/>
      <c r="E9" s="12"/>
      <c r="F9" s="12"/>
      <c r="G9" s="12"/>
      <c r="H9" s="13"/>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row>
    <row r="10" spans="2:94" ht="15.75" customHeight="1" thickBot="1">
      <c r="B10" s="115" t="s">
        <v>5</v>
      </c>
      <c r="C10" s="123">
        <v>18</v>
      </c>
      <c r="D10" s="123">
        <v>30</v>
      </c>
      <c r="E10" s="123">
        <v>30</v>
      </c>
      <c r="F10" s="123">
        <v>30</v>
      </c>
      <c r="G10" s="116" t="s">
        <v>395</v>
      </c>
      <c r="H10" s="117"/>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row>
    <row r="11" spans="2:94" ht="15.75" customHeight="1" thickBot="1">
      <c r="B11" s="115" t="s">
        <v>7</v>
      </c>
      <c r="C11" s="107">
        <v>100</v>
      </c>
      <c r="D11" s="118">
        <v>100</v>
      </c>
      <c r="E11" s="118">
        <v>100</v>
      </c>
      <c r="F11" s="118">
        <v>100</v>
      </c>
      <c r="G11" s="118"/>
      <c r="H11" s="117"/>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row>
    <row r="12" spans="2:94" ht="15.75" customHeight="1" thickBot="1">
      <c r="B12" s="115" t="s">
        <v>8</v>
      </c>
      <c r="C12" s="107">
        <v>100</v>
      </c>
      <c r="D12" s="118">
        <v>100</v>
      </c>
      <c r="E12" s="118">
        <v>100</v>
      </c>
      <c r="F12" s="118">
        <v>100</v>
      </c>
      <c r="G12" s="118"/>
      <c r="H12" s="117"/>
      <c r="J12" s="58">
        <f>C8</f>
        <v>2015</v>
      </c>
      <c r="K12" s="58">
        <f>J12</f>
        <v>2015</v>
      </c>
      <c r="L12" s="58">
        <f>C13/100</f>
        <v>1.35</v>
      </c>
      <c r="M12" s="58"/>
      <c r="N12" s="58">
        <f>C14</f>
        <v>22</v>
      </c>
      <c r="O12" s="59">
        <f>C29</f>
        <v>6456.666666666667</v>
      </c>
      <c r="P12" s="59">
        <f>C31</f>
        <v>55.875</v>
      </c>
      <c r="Q12" s="59">
        <f>C32</f>
        <v>41.388888888888886</v>
      </c>
      <c r="R12" s="58"/>
      <c r="S12" s="58"/>
      <c r="T12" s="58">
        <f>C16</f>
        <v>0</v>
      </c>
      <c r="U12" s="78">
        <f>C17</f>
        <v>15</v>
      </c>
      <c r="V12" s="78">
        <f>C18</f>
        <v>2</v>
      </c>
      <c r="W12" s="78">
        <f>C19</f>
        <v>0</v>
      </c>
      <c r="X12" s="7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row>
    <row r="13" spans="2:94" ht="15.75" customHeight="1" thickBot="1">
      <c r="B13" s="115" t="s">
        <v>363</v>
      </c>
      <c r="C13" s="107">
        <v>135</v>
      </c>
      <c r="D13" s="118">
        <v>145</v>
      </c>
      <c r="E13" s="118">
        <v>170</v>
      </c>
      <c r="F13" s="118">
        <v>170</v>
      </c>
      <c r="G13" s="118" t="s">
        <v>59</v>
      </c>
      <c r="H13" s="117"/>
      <c r="J13" s="58">
        <f>D8</f>
        <v>2020</v>
      </c>
      <c r="K13" s="58"/>
      <c r="L13" s="58">
        <f>D13/100</f>
        <v>1.45</v>
      </c>
      <c r="M13" s="58"/>
      <c r="N13" s="58">
        <f>D14</f>
        <v>22</v>
      </c>
      <c r="O13" s="59">
        <f>D29</f>
        <v>3625.6666666666665</v>
      </c>
      <c r="P13" s="59">
        <f>D31</f>
        <v>33.524999999999999</v>
      </c>
      <c r="Q13" s="59">
        <f>D32</f>
        <v>24.833333333333332</v>
      </c>
      <c r="R13" s="58"/>
      <c r="S13" s="58"/>
      <c r="T13" s="58">
        <f>D16</f>
        <v>0</v>
      </c>
      <c r="U13" s="78">
        <f>D17</f>
        <v>10</v>
      </c>
      <c r="V13" s="78">
        <f>D18</f>
        <v>1</v>
      </c>
      <c r="W13" s="78">
        <f>D19</f>
        <v>0</v>
      </c>
      <c r="X13" s="7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row>
    <row r="14" spans="2:94" ht="15.75" customHeight="1" thickBot="1">
      <c r="B14" s="115" t="s">
        <v>11</v>
      </c>
      <c r="C14" s="107">
        <v>22</v>
      </c>
      <c r="D14" s="118">
        <v>22</v>
      </c>
      <c r="E14" s="118">
        <v>22</v>
      </c>
      <c r="F14" s="118">
        <v>22</v>
      </c>
      <c r="G14" s="118" t="s">
        <v>396</v>
      </c>
      <c r="H14" s="117"/>
      <c r="J14" s="58">
        <f>E8</f>
        <v>2030</v>
      </c>
      <c r="K14" s="58"/>
      <c r="L14" s="58">
        <f>E13/100</f>
        <v>1.7</v>
      </c>
      <c r="M14" s="58"/>
      <c r="N14" s="58">
        <f>E14</f>
        <v>22</v>
      </c>
      <c r="O14" s="59">
        <f>E29</f>
        <v>3129</v>
      </c>
      <c r="P14" s="59">
        <f>E31</f>
        <v>33.524999999999999</v>
      </c>
      <c r="Q14" s="59">
        <f>E32</f>
        <v>24.833333333333332</v>
      </c>
      <c r="R14" s="58"/>
      <c r="S14" s="58"/>
      <c r="T14" s="58">
        <f>E16</f>
        <v>0</v>
      </c>
      <c r="U14" s="78">
        <f>E17</f>
        <v>5</v>
      </c>
      <c r="V14" s="78">
        <f>E18</f>
        <v>0.5</v>
      </c>
      <c r="W14" s="78">
        <f>E19</f>
        <v>0</v>
      </c>
      <c r="X14" s="7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row>
    <row r="15" spans="2:94" ht="15.75" customHeight="1" thickBot="1">
      <c r="B15" s="110" t="s">
        <v>12</v>
      </c>
      <c r="C15" s="108"/>
      <c r="D15" s="108"/>
      <c r="E15" s="108"/>
      <c r="F15" s="108"/>
      <c r="G15" s="108"/>
      <c r="H15" s="109"/>
      <c r="J15" s="58">
        <f>F8</f>
        <v>2050</v>
      </c>
      <c r="K15" s="58"/>
      <c r="L15" s="58">
        <f>F13/100</f>
        <v>1.7</v>
      </c>
      <c r="M15" s="58"/>
      <c r="N15" s="58">
        <f>F14</f>
        <v>22</v>
      </c>
      <c r="O15" s="59">
        <f>F29</f>
        <v>3129</v>
      </c>
      <c r="P15" s="59">
        <f>F31</f>
        <v>33.524999999999999</v>
      </c>
      <c r="Q15" s="59">
        <f>F32</f>
        <v>24.833333333333332</v>
      </c>
      <c r="R15" s="58"/>
      <c r="S15" s="58"/>
      <c r="T15" s="58">
        <f>F16</f>
        <v>0</v>
      </c>
      <c r="U15" s="78">
        <f>F17</f>
        <v>5</v>
      </c>
      <c r="V15" s="78">
        <f>F18</f>
        <v>0.5</v>
      </c>
      <c r="W15" s="78">
        <f>F19</f>
        <v>0</v>
      </c>
      <c r="X15" s="7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row>
    <row r="16" spans="2:94" ht="15.75" customHeight="1" thickBot="1">
      <c r="B16" s="115" t="s">
        <v>364</v>
      </c>
      <c r="C16" s="180">
        <v>0</v>
      </c>
      <c r="D16" s="180">
        <v>0</v>
      </c>
      <c r="E16" s="180">
        <v>0</v>
      </c>
      <c r="F16" s="180">
        <v>0</v>
      </c>
      <c r="G16" s="116"/>
      <c r="H16" s="116"/>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row>
    <row r="17" spans="2:94" ht="15.75" customHeight="1" thickBot="1">
      <c r="B17" s="115" t="s">
        <v>365</v>
      </c>
      <c r="C17" s="107">
        <v>15</v>
      </c>
      <c r="D17" s="118">
        <v>10</v>
      </c>
      <c r="E17" s="118">
        <v>5</v>
      </c>
      <c r="F17" s="118">
        <v>5</v>
      </c>
      <c r="G17" s="118"/>
      <c r="H17" s="118">
        <v>14</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row>
    <row r="18" spans="2:94" ht="15.75" customHeight="1" thickBot="1">
      <c r="B18" s="115" t="s">
        <v>366</v>
      </c>
      <c r="C18" s="107">
        <v>2</v>
      </c>
      <c r="D18" s="118">
        <v>1</v>
      </c>
      <c r="E18" s="118">
        <v>0.5</v>
      </c>
      <c r="F18" s="118">
        <v>0.5</v>
      </c>
      <c r="G18" s="118" t="s">
        <v>55</v>
      </c>
      <c r="H18" s="11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row>
    <row r="19" spans="2:94" ht="15.75" customHeight="1" thickBot="1">
      <c r="B19" s="115" t="s">
        <v>367</v>
      </c>
      <c r="C19" s="181">
        <v>0</v>
      </c>
      <c r="D19" s="181">
        <v>0</v>
      </c>
      <c r="E19" s="181">
        <v>0</v>
      </c>
      <c r="F19" s="181">
        <v>0</v>
      </c>
      <c r="G19" s="118" t="s">
        <v>55</v>
      </c>
      <c r="H19" s="11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row>
    <row r="20" spans="2:94" ht="15.75" customHeight="1" thickBot="1">
      <c r="B20" s="115" t="s">
        <v>19</v>
      </c>
      <c r="C20" s="181">
        <v>0</v>
      </c>
      <c r="D20" s="181">
        <v>0</v>
      </c>
      <c r="E20" s="181">
        <v>0</v>
      </c>
      <c r="F20" s="181">
        <v>0</v>
      </c>
      <c r="G20" s="118" t="s">
        <v>55</v>
      </c>
      <c r="H20" s="11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row>
    <row r="21" spans="2:94" ht="15.75" customHeight="1" thickBot="1">
      <c r="B21" s="143" t="s">
        <v>371</v>
      </c>
      <c r="C21" s="1293" t="s">
        <v>372</v>
      </c>
      <c r="D21" s="1293"/>
      <c r="E21" s="1293"/>
      <c r="F21" s="1293"/>
      <c r="G21" s="1293"/>
      <c r="H21" s="1294"/>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row>
    <row r="22" spans="2:94" ht="15" thickBot="1">
      <c r="B22" s="148" t="s">
        <v>23</v>
      </c>
      <c r="C22" s="152"/>
      <c r="D22" s="152"/>
      <c r="E22" s="152"/>
      <c r="F22" s="152"/>
      <c r="G22" s="151"/>
      <c r="H22" s="151"/>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row>
    <row r="23" spans="2:94" ht="15" thickBot="1">
      <c r="B23" s="148" t="s">
        <v>24</v>
      </c>
      <c r="C23" s="151">
        <v>15.6</v>
      </c>
      <c r="D23" s="151">
        <v>14.6</v>
      </c>
      <c r="E23" s="151">
        <v>12.6</v>
      </c>
      <c r="F23" s="151">
        <v>12.6</v>
      </c>
      <c r="G23" s="151"/>
      <c r="H23" s="151"/>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row>
    <row r="24" spans="2:94" s="8" customFormat="1" ht="15.75" customHeight="1" thickBot="1">
      <c r="B24" s="148" t="s">
        <v>26</v>
      </c>
      <c r="C24" s="162">
        <v>0.64</v>
      </c>
      <c r="D24" s="162">
        <v>0.61</v>
      </c>
      <c r="E24" s="162">
        <v>0.55000000000000004</v>
      </c>
      <c r="F24" s="162">
        <v>0.55000000000000004</v>
      </c>
      <c r="G24" s="151"/>
      <c r="H24" s="151"/>
    </row>
    <row r="25" spans="2:94" ht="15" thickBot="1">
      <c r="B25" s="148" t="s">
        <v>28</v>
      </c>
      <c r="C25" s="162">
        <v>0.36</v>
      </c>
      <c r="D25" s="162">
        <v>0.39</v>
      </c>
      <c r="E25" s="162">
        <v>0.45</v>
      </c>
      <c r="F25" s="162">
        <v>0.45</v>
      </c>
      <c r="G25" s="151"/>
      <c r="H25" s="151"/>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row>
    <row r="26" spans="2:94" ht="15" thickBot="1">
      <c r="B26" s="148" t="s">
        <v>369</v>
      </c>
      <c r="C26" s="125">
        <f>4.8+1.6</f>
        <v>6.4</v>
      </c>
      <c r="D26" s="125">
        <f>4.8+1.6</f>
        <v>6.4</v>
      </c>
      <c r="E26" s="125">
        <f>4.8+1.6</f>
        <v>6.4</v>
      </c>
      <c r="F26" s="125">
        <f>4.8+1.6</f>
        <v>6.4</v>
      </c>
      <c r="G26" s="151" t="s">
        <v>402</v>
      </c>
      <c r="H26" s="151"/>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row>
    <row r="27" spans="2:94" ht="15" thickBot="1">
      <c r="B27" s="148" t="s">
        <v>64</v>
      </c>
      <c r="C27" s="148">
        <v>135</v>
      </c>
      <c r="D27" s="149">
        <v>135</v>
      </c>
      <c r="E27" s="149">
        <v>135</v>
      </c>
      <c r="F27" s="149">
        <v>135</v>
      </c>
      <c r="G27" s="151" t="s">
        <v>399</v>
      </c>
      <c r="H27" s="151"/>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row>
    <row r="28" spans="2:94" ht="15" thickBot="1">
      <c r="B28" s="163" t="s">
        <v>130</v>
      </c>
      <c r="C28" s="164">
        <v>100</v>
      </c>
      <c r="D28" s="164">
        <v>100</v>
      </c>
      <c r="E28" s="164">
        <v>100</v>
      </c>
      <c r="F28" s="164">
        <v>100</v>
      </c>
      <c r="G28" s="164" t="s">
        <v>396</v>
      </c>
      <c r="H28" s="164"/>
      <c r="J28" s="8"/>
      <c r="K28" s="102"/>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row>
    <row r="29" spans="2:94">
      <c r="B29" s="36" t="s">
        <v>353</v>
      </c>
      <c r="C29" s="42">
        <f>C30/C10</f>
        <v>6456.666666666667</v>
      </c>
      <c r="D29" s="42">
        <f>D30/D10</f>
        <v>3625.6666666666665</v>
      </c>
      <c r="E29" s="42">
        <f>E30/E10</f>
        <v>3129</v>
      </c>
      <c r="F29" s="42">
        <f>F30/F10</f>
        <v>3129</v>
      </c>
      <c r="G29" s="63" t="s">
        <v>332</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row>
    <row r="30" spans="2:94">
      <c r="B30" s="36" t="s">
        <v>354</v>
      </c>
      <c r="C30" s="42">
        <f>C23*$G$4*1000</f>
        <v>116220</v>
      </c>
      <c r="D30" s="42">
        <f>D23*$G$4*1000</f>
        <v>108770</v>
      </c>
      <c r="E30" s="42">
        <f>E23*$G$4*1000</f>
        <v>93870</v>
      </c>
      <c r="F30" s="42">
        <f>F23*$G$4*1000</f>
        <v>93870</v>
      </c>
      <c r="G30" s="67"/>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row>
    <row r="31" spans="2:94">
      <c r="B31" s="36" t="s">
        <v>355</v>
      </c>
      <c r="C31" s="106">
        <f>C27*$G$4/C10</f>
        <v>55.875</v>
      </c>
      <c r="D31" s="106">
        <f>D27*$G$4/D10</f>
        <v>33.524999999999999</v>
      </c>
      <c r="E31" s="106">
        <f>E27*$G$4/E10</f>
        <v>33.524999999999999</v>
      </c>
      <c r="F31" s="106">
        <f>F27*$G$4/F10</f>
        <v>33.524999999999999</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row>
    <row r="32" spans="2:94" ht="15" thickBot="1">
      <c r="B32" s="36" t="s">
        <v>356</v>
      </c>
      <c r="C32" s="106">
        <f>C28*$G$4/C10</f>
        <v>41.388888888888886</v>
      </c>
      <c r="D32" s="106">
        <f>D28*$G$4/D10</f>
        <v>24.833333333333332</v>
      </c>
      <c r="E32" s="106">
        <f>E28*$G$4/E10</f>
        <v>24.833333333333332</v>
      </c>
      <c r="F32" s="106">
        <f>F28*$G$4/F10</f>
        <v>24.833333333333332</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row>
    <row r="33" spans="2:94" ht="15.75" customHeight="1" thickBot="1">
      <c r="C33" s="1290" t="s">
        <v>394</v>
      </c>
      <c r="D33" s="1288"/>
      <c r="E33" s="1288"/>
      <c r="F33" s="1288"/>
      <c r="G33" s="1288"/>
      <c r="H33" s="1289"/>
      <c r="J33" s="1259" t="str">
        <f>C33</f>
        <v>Absorption heat pump</v>
      </c>
      <c r="K33" s="1260"/>
      <c r="L33" s="1260"/>
      <c r="M33" s="1260"/>
      <c r="N33" s="1260"/>
      <c r="O33" s="1261"/>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row>
    <row r="34" spans="2:94" s="8" customFormat="1" ht="15.75" customHeight="1" thickBot="1">
      <c r="B34" s="86" t="s">
        <v>0</v>
      </c>
      <c r="C34" s="8" t="s">
        <v>373</v>
      </c>
      <c r="J34" s="1134" t="str">
        <f>C34</f>
        <v>Apartment complex, existing and new buildings</v>
      </c>
      <c r="K34" s="1135"/>
      <c r="L34" s="1135"/>
      <c r="M34" s="1135"/>
      <c r="N34" s="1135"/>
      <c r="O34" s="1136"/>
      <c r="P34"/>
      <c r="Q34"/>
      <c r="R34"/>
      <c r="S34"/>
      <c r="T34"/>
      <c r="U34"/>
      <c r="V34"/>
      <c r="W34"/>
      <c r="X34"/>
    </row>
    <row r="35" spans="2:94" ht="15" thickBot="1">
      <c r="B35" s="87"/>
      <c r="C35" s="88">
        <v>2015</v>
      </c>
      <c r="D35" s="88">
        <v>2020</v>
      </c>
      <c r="E35" s="88">
        <v>2030</v>
      </c>
      <c r="F35" s="88">
        <v>2050</v>
      </c>
      <c r="G35" s="88" t="s">
        <v>2</v>
      </c>
      <c r="H35" s="89" t="s">
        <v>3</v>
      </c>
      <c r="J35" s="53" t="s">
        <v>357</v>
      </c>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row>
    <row r="36" spans="2:94" ht="28.2" thickBot="1">
      <c r="B36" s="147" t="s">
        <v>4</v>
      </c>
      <c r="C36" s="133"/>
      <c r="D36" s="133"/>
      <c r="E36" s="133"/>
      <c r="F36" s="133"/>
      <c r="G36" s="133"/>
      <c r="H36" s="134"/>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row>
    <row r="37" spans="2:94" ht="15" thickBot="1">
      <c r="B37" s="148" t="s">
        <v>5</v>
      </c>
      <c r="C37" s="148">
        <v>44</v>
      </c>
      <c r="D37" s="149">
        <v>80</v>
      </c>
      <c r="E37" s="149">
        <v>80</v>
      </c>
      <c r="F37" s="149">
        <v>80</v>
      </c>
      <c r="G37" s="149" t="s">
        <v>51</v>
      </c>
      <c r="H37" s="149"/>
      <c r="J37" s="50"/>
      <c r="K37" s="50"/>
      <c r="L37" s="51"/>
      <c r="M37" s="51"/>
      <c r="N37" s="51"/>
      <c r="O37" s="52"/>
      <c r="P37" s="50"/>
      <c r="Q37" s="50"/>
      <c r="R37" s="50"/>
      <c r="S37" s="50"/>
      <c r="T37" s="50"/>
      <c r="U37" s="50"/>
      <c r="V37" s="50"/>
      <c r="W37" s="50"/>
      <c r="X37" s="50"/>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row>
    <row r="38" spans="2:94" ht="15" thickBot="1">
      <c r="B38" s="148" t="s">
        <v>7</v>
      </c>
      <c r="C38" s="125">
        <v>100</v>
      </c>
      <c r="D38" s="151">
        <v>100</v>
      </c>
      <c r="E38" s="151">
        <v>100</v>
      </c>
      <c r="F38" s="151">
        <v>100</v>
      </c>
      <c r="G38" s="151"/>
      <c r="H38" s="151"/>
      <c r="J38" s="56"/>
      <c r="K38" s="56"/>
      <c r="L38" s="57"/>
      <c r="M38" s="57"/>
      <c r="N38" s="57"/>
      <c r="O38" s="56" t="s">
        <v>350</v>
      </c>
      <c r="P38" s="56" t="s">
        <v>326</v>
      </c>
      <c r="Q38" s="56" t="s">
        <v>327</v>
      </c>
      <c r="R38" s="56" t="s">
        <v>351</v>
      </c>
      <c r="S38" s="56" t="s">
        <v>351</v>
      </c>
      <c r="T38" s="56" t="s">
        <v>352</v>
      </c>
      <c r="U38" s="56" t="s">
        <v>352</v>
      </c>
      <c r="V38" s="56" t="s">
        <v>352</v>
      </c>
      <c r="W38" s="56" t="s">
        <v>352</v>
      </c>
      <c r="X38" s="56" t="s">
        <v>352</v>
      </c>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row>
    <row r="39" spans="2:94" ht="15" thickBot="1">
      <c r="B39" s="148" t="s">
        <v>8</v>
      </c>
      <c r="C39" s="125">
        <v>100</v>
      </c>
      <c r="D39" s="151">
        <v>100</v>
      </c>
      <c r="E39" s="151">
        <v>100</v>
      </c>
      <c r="F39" s="151">
        <v>100</v>
      </c>
      <c r="G39" s="151"/>
      <c r="H39" s="151"/>
      <c r="J39" s="58">
        <f>C35</f>
        <v>2015</v>
      </c>
      <c r="K39" s="58">
        <f>J39</f>
        <v>2015</v>
      </c>
      <c r="L39" s="58">
        <f>C40/100</f>
        <v>1.35</v>
      </c>
      <c r="M39" s="58"/>
      <c r="N39" s="58">
        <f>C41</f>
        <v>22</v>
      </c>
      <c r="O39" s="59">
        <f>C56</f>
        <v>5587.5</v>
      </c>
      <c r="P39" s="59">
        <f>C58</f>
        <v>22.857954545454547</v>
      </c>
      <c r="Q39" s="59">
        <f>C59</f>
        <v>0</v>
      </c>
      <c r="R39" s="58"/>
      <c r="S39" s="58"/>
      <c r="T39" s="58">
        <f>C43</f>
        <v>0</v>
      </c>
      <c r="U39" s="78">
        <f>C44</f>
        <v>15</v>
      </c>
      <c r="V39" s="78">
        <f>C45</f>
        <v>2</v>
      </c>
      <c r="W39" s="78">
        <f>C46</f>
        <v>0</v>
      </c>
      <c r="X39" s="78">
        <f>C47</f>
        <v>0</v>
      </c>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row>
    <row r="40" spans="2:94" ht="15" thickBot="1">
      <c r="B40" s="148" t="s">
        <v>363</v>
      </c>
      <c r="C40" s="125">
        <v>135</v>
      </c>
      <c r="D40" s="151">
        <v>145</v>
      </c>
      <c r="E40" s="151">
        <v>170</v>
      </c>
      <c r="F40" s="151">
        <v>170</v>
      </c>
      <c r="G40" s="151" t="s">
        <v>59</v>
      </c>
      <c r="H40" s="151">
        <v>2.16</v>
      </c>
      <c r="J40" s="58">
        <f>D35</f>
        <v>2020</v>
      </c>
      <c r="K40" s="58"/>
      <c r="L40" s="58">
        <f>D40/100</f>
        <v>1.45</v>
      </c>
      <c r="M40" s="58"/>
      <c r="N40" s="58">
        <f>D41</f>
        <v>22</v>
      </c>
      <c r="O40" s="59">
        <f>D56</f>
        <v>3073.125</v>
      </c>
      <c r="P40" s="59">
        <f>D58</f>
        <v>12.571875</v>
      </c>
      <c r="Q40" s="59">
        <f>D59</f>
        <v>0</v>
      </c>
      <c r="R40" s="58"/>
      <c r="S40" s="58"/>
      <c r="T40" s="58">
        <f>D43</f>
        <v>0</v>
      </c>
      <c r="U40" s="78">
        <f>D44</f>
        <v>10</v>
      </c>
      <c r="V40" s="78">
        <f>D45</f>
        <v>1</v>
      </c>
      <c r="W40" s="78">
        <f>D46</f>
        <v>0</v>
      </c>
      <c r="X40" s="78">
        <f>D47</f>
        <v>0</v>
      </c>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row>
    <row r="41" spans="2:94" ht="15" thickBot="1">
      <c r="B41" s="148" t="s">
        <v>11</v>
      </c>
      <c r="C41" s="125">
        <v>22</v>
      </c>
      <c r="D41" s="151">
        <v>22</v>
      </c>
      <c r="E41" s="151">
        <v>22</v>
      </c>
      <c r="F41" s="151">
        <v>22</v>
      </c>
      <c r="G41" s="151" t="s">
        <v>16</v>
      </c>
      <c r="H41" s="151"/>
      <c r="J41" s="58">
        <f>E35</f>
        <v>2030</v>
      </c>
      <c r="K41" s="58"/>
      <c r="L41" s="58">
        <f>E40/100</f>
        <v>1.7</v>
      </c>
      <c r="M41" s="58"/>
      <c r="N41" s="58">
        <f>E41</f>
        <v>22</v>
      </c>
      <c r="O41" s="59">
        <f>E56</f>
        <v>2980</v>
      </c>
      <c r="P41" s="59">
        <f>E58</f>
        <v>12.571875</v>
      </c>
      <c r="Q41" s="59">
        <f>E59</f>
        <v>0</v>
      </c>
      <c r="R41" s="58"/>
      <c r="S41" s="58"/>
      <c r="T41" s="58">
        <f>E43</f>
        <v>0</v>
      </c>
      <c r="U41" s="78">
        <f>E44</f>
        <v>5</v>
      </c>
      <c r="V41" s="78">
        <f>E45</f>
        <v>0.5</v>
      </c>
      <c r="W41" s="78">
        <f>E46</f>
        <v>0</v>
      </c>
      <c r="X41" s="78">
        <f>E47</f>
        <v>0</v>
      </c>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row>
    <row r="42" spans="2:94" ht="15" thickBot="1">
      <c r="B42" s="143" t="s">
        <v>12</v>
      </c>
      <c r="C42" s="133"/>
      <c r="D42" s="133"/>
      <c r="E42" s="133"/>
      <c r="F42" s="133"/>
      <c r="G42" s="133"/>
      <c r="H42" s="134"/>
      <c r="J42" s="58">
        <f>F35</f>
        <v>2050</v>
      </c>
      <c r="K42" s="58"/>
      <c r="L42" s="58">
        <f>F40/100</f>
        <v>1.7</v>
      </c>
      <c r="M42" s="58"/>
      <c r="N42" s="58">
        <f>F41</f>
        <v>22</v>
      </c>
      <c r="O42" s="59">
        <f>F56</f>
        <v>2980</v>
      </c>
      <c r="P42" s="59">
        <f>F58</f>
        <v>12.571875</v>
      </c>
      <c r="Q42" s="59">
        <f>F59</f>
        <v>0</v>
      </c>
      <c r="R42" s="58"/>
      <c r="S42" s="58"/>
      <c r="T42" s="58">
        <f>F43</f>
        <v>0</v>
      </c>
      <c r="U42" s="78">
        <f>F44</f>
        <v>5</v>
      </c>
      <c r="V42" s="78">
        <f>F45</f>
        <v>0.5</v>
      </c>
      <c r="W42" s="78">
        <f>F46</f>
        <v>0</v>
      </c>
      <c r="X42" s="78">
        <f>F47</f>
        <v>0</v>
      </c>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row>
    <row r="43" spans="2:94" ht="15" thickBot="1">
      <c r="B43" s="148" t="s">
        <v>364</v>
      </c>
      <c r="C43" s="180">
        <v>0</v>
      </c>
      <c r="D43" s="180">
        <v>0</v>
      </c>
      <c r="E43" s="180">
        <v>0</v>
      </c>
      <c r="F43" s="180">
        <v>0</v>
      </c>
      <c r="G43" s="149"/>
      <c r="H43" s="149"/>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row>
    <row r="44" spans="2:94" ht="15" thickBot="1">
      <c r="B44" s="148" t="s">
        <v>365</v>
      </c>
      <c r="C44" s="125">
        <v>15</v>
      </c>
      <c r="D44" s="151">
        <v>10</v>
      </c>
      <c r="E44" s="151">
        <v>5</v>
      </c>
      <c r="F44" s="151">
        <v>5</v>
      </c>
      <c r="G44" s="151"/>
      <c r="H44" s="151">
        <v>14</v>
      </c>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row>
    <row r="45" spans="2:94" ht="15" thickBot="1">
      <c r="B45" s="148" t="s">
        <v>366</v>
      </c>
      <c r="C45" s="125">
        <v>2</v>
      </c>
      <c r="D45" s="151">
        <v>1</v>
      </c>
      <c r="E45" s="151">
        <v>0.5</v>
      </c>
      <c r="F45" s="151">
        <v>0.5</v>
      </c>
      <c r="G45" s="151" t="s">
        <v>52</v>
      </c>
      <c r="H45" s="151"/>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row>
    <row r="46" spans="2:94" ht="15" thickBot="1">
      <c r="B46" s="148" t="s">
        <v>367</v>
      </c>
      <c r="C46" s="181">
        <v>0</v>
      </c>
      <c r="D46" s="181">
        <v>0</v>
      </c>
      <c r="E46" s="181">
        <v>0</v>
      </c>
      <c r="F46" s="181">
        <v>0</v>
      </c>
      <c r="G46" s="151" t="s">
        <v>52</v>
      </c>
      <c r="H46" s="151"/>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row>
    <row r="47" spans="2:94" ht="15" thickBot="1">
      <c r="B47" s="148" t="s">
        <v>19</v>
      </c>
      <c r="C47" s="181">
        <v>0</v>
      </c>
      <c r="D47" s="181">
        <v>0</v>
      </c>
      <c r="E47" s="181">
        <v>0</v>
      </c>
      <c r="F47" s="181">
        <v>0</v>
      </c>
      <c r="G47" s="151" t="s">
        <v>52</v>
      </c>
      <c r="H47" s="151"/>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row>
    <row r="48" spans="2:94" ht="15.75" customHeight="1" thickBot="1">
      <c r="B48" s="143" t="s">
        <v>371</v>
      </c>
      <c r="C48" s="1291"/>
      <c r="D48" s="1291"/>
      <c r="E48" s="1291"/>
      <c r="F48" s="1291"/>
      <c r="G48" s="1291"/>
      <c r="H48" s="1292"/>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row>
    <row r="49" spans="2:94" ht="15" thickBot="1">
      <c r="B49" s="148" t="s">
        <v>23</v>
      </c>
      <c r="C49" s="152" t="s">
        <v>68</v>
      </c>
      <c r="D49" s="152" t="s">
        <v>68</v>
      </c>
      <c r="E49" s="152" t="s">
        <v>68</v>
      </c>
      <c r="F49" s="152" t="s">
        <v>68</v>
      </c>
      <c r="G49" s="152" t="s">
        <v>374</v>
      </c>
      <c r="H49" s="15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row>
    <row r="50" spans="2:94" ht="15" thickBot="1">
      <c r="B50" s="148" t="s">
        <v>24</v>
      </c>
      <c r="C50" s="152">
        <f>18+15</f>
        <v>33</v>
      </c>
      <c r="D50" s="152">
        <f>18+15</f>
        <v>33</v>
      </c>
      <c r="E50" s="152">
        <f>17+15</f>
        <v>32</v>
      </c>
      <c r="F50" s="152">
        <f>17+15</f>
        <v>32</v>
      </c>
      <c r="G50" s="155" t="s">
        <v>403</v>
      </c>
      <c r="H50" s="152"/>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row>
    <row r="51" spans="2:94" s="8" customFormat="1" ht="15.75" customHeight="1" thickBot="1">
      <c r="B51" s="148" t="s">
        <v>26</v>
      </c>
      <c r="C51" s="152">
        <v>42</v>
      </c>
      <c r="D51" s="152">
        <v>42</v>
      </c>
      <c r="E51" s="152"/>
      <c r="F51" s="152"/>
      <c r="G51" s="152"/>
      <c r="H51" s="152"/>
    </row>
    <row r="52" spans="2:94" ht="15" thickBot="1">
      <c r="B52" s="148" t="s">
        <v>28</v>
      </c>
      <c r="C52" s="152">
        <v>58</v>
      </c>
      <c r="D52" s="152">
        <v>58</v>
      </c>
      <c r="E52" s="152"/>
      <c r="F52" s="152"/>
      <c r="G52" s="152"/>
      <c r="H52" s="1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row>
    <row r="53" spans="2:94" ht="15" thickBot="1">
      <c r="B53" s="148" t="s">
        <v>369</v>
      </c>
      <c r="C53" s="154" t="s">
        <v>404</v>
      </c>
      <c r="D53" s="152" t="s">
        <v>404</v>
      </c>
      <c r="E53" s="152" t="s">
        <v>404</v>
      </c>
      <c r="F53" s="152" t="s">
        <v>404</v>
      </c>
      <c r="G53" s="152" t="s">
        <v>405</v>
      </c>
      <c r="H53" s="152"/>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row>
    <row r="54" spans="2:94" ht="15" thickBot="1">
      <c r="B54" s="148" t="s">
        <v>64</v>
      </c>
      <c r="C54" s="154">
        <v>135</v>
      </c>
      <c r="D54" s="152">
        <v>135</v>
      </c>
      <c r="E54" s="152">
        <v>135</v>
      </c>
      <c r="F54" s="152">
        <v>135</v>
      </c>
      <c r="G54" s="152" t="s">
        <v>399</v>
      </c>
      <c r="H54" s="152"/>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row>
    <row r="55" spans="2:94" ht="15" thickBot="1">
      <c r="B55" s="148" t="s">
        <v>407</v>
      </c>
      <c r="C55" s="154">
        <v>100</v>
      </c>
      <c r="D55" s="152">
        <v>100</v>
      </c>
      <c r="E55" s="152">
        <v>100</v>
      </c>
      <c r="F55" s="152">
        <v>100</v>
      </c>
      <c r="G55" s="152" t="s">
        <v>396</v>
      </c>
      <c r="H55" s="152"/>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row>
    <row r="56" spans="2:94">
      <c r="B56" s="36" t="s">
        <v>353</v>
      </c>
      <c r="C56" s="42">
        <f>C57/C37</f>
        <v>5587.5</v>
      </c>
      <c r="D56" s="42">
        <f>D57/D37</f>
        <v>3073.125</v>
      </c>
      <c r="E56" s="42">
        <f>E57/E37</f>
        <v>2980</v>
      </c>
      <c r="F56" s="42">
        <f>F57/F37</f>
        <v>2980</v>
      </c>
      <c r="G56" s="63" t="s">
        <v>332</v>
      </c>
      <c r="H56" s="63"/>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row>
    <row r="57" spans="2:94">
      <c r="B57" s="36" t="s">
        <v>354</v>
      </c>
      <c r="C57" s="42">
        <f>C50*$G$4*1000</f>
        <v>245850</v>
      </c>
      <c r="D57" s="42">
        <f>D50*$G$4*1000</f>
        <v>245850</v>
      </c>
      <c r="E57" s="42">
        <f>E50*$G$4*1000</f>
        <v>238400</v>
      </c>
      <c r="F57" s="42">
        <f>F50*$G$4*1000</f>
        <v>238400</v>
      </c>
      <c r="G57" s="67"/>
      <c r="H57" s="63" t="s">
        <v>330</v>
      </c>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row>
    <row r="58" spans="2:94">
      <c r="B58" s="36" t="s">
        <v>355</v>
      </c>
      <c r="C58" s="106">
        <f>C54*$G$4/C37</f>
        <v>22.857954545454547</v>
      </c>
      <c r="D58" s="106">
        <f>D54*$G$4/D37</f>
        <v>12.571875</v>
      </c>
      <c r="E58" s="106">
        <f>E54*$G$4/E37</f>
        <v>12.571875</v>
      </c>
      <c r="F58" s="106">
        <f>F54*$G$4/F37</f>
        <v>12.571875</v>
      </c>
      <c r="G58" s="63" t="s">
        <v>333</v>
      </c>
      <c r="H58" s="63"/>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row>
    <row r="59" spans="2:94" ht="15" thickBot="1">
      <c r="B59" s="36" t="s">
        <v>356</v>
      </c>
      <c r="C59" s="106"/>
      <c r="D59" s="106"/>
      <c r="E59" s="106"/>
      <c r="F59" s="106"/>
      <c r="G59" s="66"/>
      <c r="H59" s="63"/>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row>
    <row r="60" spans="2:94">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row>
    <row r="61" spans="2:94">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row>
    <row r="62" spans="2:94">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row>
    <row r="63" spans="2:94">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row>
    <row r="64" spans="2:9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row>
    <row r="65" spans="3:94">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row>
    <row r="66" spans="3:94">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row>
    <row r="67" spans="3:94">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row>
    <row r="68" spans="3:94">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row>
    <row r="69" spans="3:9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row>
    <row r="70" spans="3:9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row>
    <row r="71" spans="3:9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row>
    <row r="72" spans="3:9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row>
    <row r="73" spans="3:9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row>
    <row r="74" spans="3:9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row>
    <row r="75" spans="3:9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row>
    <row r="76" spans="3:9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row>
    <row r="77" spans="3:9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row>
    <row r="78" spans="3:9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row>
    <row r="79" spans="3:9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row>
    <row r="80" spans="3:9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row>
    <row r="81" spans="3:9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row>
    <row r="82" spans="3:9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row>
    <row r="83" spans="3:9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row>
    <row r="84" spans="3:9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row>
    <row r="85" spans="3:9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row>
    <row r="86" spans="3:9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row>
    <row r="87" spans="3:9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row>
    <row r="88" spans="3:9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row>
    <row r="89" spans="3:9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row>
    <row r="90" spans="3:9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row>
    <row r="91" spans="3:9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row>
    <row r="92" spans="3:9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row>
    <row r="93" spans="3:9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row>
    <row r="94" spans="3:9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row>
    <row r="95" spans="3:9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row>
    <row r="96" spans="3:9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row>
    <row r="97" spans="3:9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row>
    <row r="98" spans="3:9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row>
    <row r="99" spans="3:9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row>
    <row r="100" spans="3:9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row>
    <row r="101" spans="3:9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row>
    <row r="102" spans="3:9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row>
    <row r="103" spans="3:9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row>
    <row r="104" spans="3:9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row>
    <row r="105" spans="3:9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row>
    <row r="106" spans="3:9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row>
    <row r="107" spans="3:9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row>
    <row r="108" spans="3:9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row>
    <row r="109" spans="3:9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row>
    <row r="110" spans="3:9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row>
    <row r="111" spans="3:9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row>
    <row r="112" spans="3:9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row>
    <row r="113" spans="3:9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row>
    <row r="114" spans="3:9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row>
    <row r="115" spans="3:9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row>
    <row r="116" spans="3:9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row>
    <row r="117" spans="3:9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row>
    <row r="118" spans="3:9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row>
    <row r="119" spans="3:9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row>
    <row r="120" spans="3:9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row>
    <row r="121" spans="3:9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row>
    <row r="122" spans="3:9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row>
    <row r="123" spans="3:9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row>
    <row r="124" spans="3:9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row>
    <row r="125" spans="3:9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row>
    <row r="126" spans="3:9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row>
    <row r="127" spans="3:9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row>
    <row r="128" spans="3:9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row>
    <row r="129" spans="3:9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row>
    <row r="130" spans="3:9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row>
  </sheetData>
  <mergeCells count="8">
    <mergeCell ref="J34:O34"/>
    <mergeCell ref="C48:H48"/>
    <mergeCell ref="C6:H6"/>
    <mergeCell ref="J6:O6"/>
    <mergeCell ref="J7:O7"/>
    <mergeCell ref="C21:H21"/>
    <mergeCell ref="C33:H33"/>
    <mergeCell ref="J33:O3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6">
    <tabColor theme="4"/>
  </sheetPr>
  <dimension ref="B2:CO147"/>
  <sheetViews>
    <sheetView workbookViewId="0">
      <selection activeCell="K36" sqref="K36"/>
    </sheetView>
  </sheetViews>
  <sheetFormatPr defaultRowHeight="14.4"/>
  <cols>
    <col min="2" max="2" width="51.44140625" customWidth="1"/>
    <col min="3" max="8" width="9.21875" style="85"/>
    <col min="11" max="11" width="43.21875" customWidth="1"/>
  </cols>
  <sheetData>
    <row r="2" spans="2:93" ht="28.8">
      <c r="B2" s="93" t="s">
        <v>375</v>
      </c>
    </row>
    <row r="3" spans="2:93" ht="15" customHeight="1"/>
    <row r="4" spans="2:93">
      <c r="E4" t="s">
        <v>358</v>
      </c>
      <c r="F4"/>
      <c r="G4" s="36">
        <v>7.45</v>
      </c>
      <c r="H4" t="s">
        <v>328</v>
      </c>
    </row>
    <row r="5" spans="2:93" ht="15"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c r="J6" s="1259">
        <f>C6</f>
        <v>0</v>
      </c>
      <c r="K6" s="1260"/>
      <c r="L6" s="1260"/>
      <c r="M6" s="1260"/>
      <c r="N6" s="1260"/>
      <c r="O6" s="126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5" thickBot="1">
      <c r="B7" s="86" t="s">
        <v>0</v>
      </c>
      <c r="C7" s="1290" t="s">
        <v>376</v>
      </c>
      <c r="D7" s="1288"/>
      <c r="E7" s="1288"/>
      <c r="F7" s="1288"/>
      <c r="G7" s="1288"/>
      <c r="H7" s="1289"/>
      <c r="J7" s="1134" t="str">
        <f>C7</f>
        <v>Gas engine driven heat pump heat pump</v>
      </c>
      <c r="K7" s="1135"/>
      <c r="L7" s="1135"/>
      <c r="M7" s="1135"/>
      <c r="N7" s="1135"/>
      <c r="O7" s="1136"/>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5" thickBot="1">
      <c r="B8" s="87"/>
      <c r="C8" s="104">
        <v>2015</v>
      </c>
      <c r="D8" s="104">
        <v>2020</v>
      </c>
      <c r="E8" s="104">
        <v>2030</v>
      </c>
      <c r="F8" s="104">
        <v>2050</v>
      </c>
      <c r="G8" s="104" t="s">
        <v>2</v>
      </c>
      <c r="H8" s="105"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28.2"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5"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5"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5" thickBot="1">
      <c r="B12" s="148" t="s">
        <v>8</v>
      </c>
      <c r="C12" s="125">
        <v>100</v>
      </c>
      <c r="D12" s="151">
        <v>100</v>
      </c>
      <c r="E12" s="151">
        <v>100</v>
      </c>
      <c r="F12" s="151">
        <v>100</v>
      </c>
      <c r="G12" s="151"/>
      <c r="H12" s="151"/>
      <c r="J12" s="58">
        <f>C8</f>
        <v>2015</v>
      </c>
      <c r="K12" s="58">
        <f>J12</f>
        <v>2015</v>
      </c>
      <c r="L12" s="58">
        <f>C13/100</f>
        <v>1.5</v>
      </c>
      <c r="M12" s="58"/>
      <c r="N12" s="58">
        <f>C14</f>
        <v>12.5</v>
      </c>
      <c r="O12" s="59">
        <f>C29</f>
        <v>596</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c r="B13" s="148" t="s">
        <v>363</v>
      </c>
      <c r="C13" s="125">
        <v>150</v>
      </c>
      <c r="D13" s="151">
        <v>155</v>
      </c>
      <c r="E13" s="151">
        <v>155</v>
      </c>
      <c r="F13" s="151">
        <v>160</v>
      </c>
      <c r="G13" s="151"/>
      <c r="H13" s="151">
        <v>14</v>
      </c>
      <c r="J13" s="58">
        <f>D8</f>
        <v>2020</v>
      </c>
      <c r="K13" s="58"/>
      <c r="L13" s="58">
        <f>D13/100</f>
        <v>1.55</v>
      </c>
      <c r="M13" s="58"/>
      <c r="N13" s="58">
        <f>D14</f>
        <v>17.5</v>
      </c>
      <c r="O13" s="59">
        <f>D29</f>
        <v>596</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596</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c r="B15" s="143" t="s">
        <v>12</v>
      </c>
      <c r="C15" s="133"/>
      <c r="D15" s="133"/>
      <c r="E15" s="133"/>
      <c r="F15" s="133"/>
      <c r="G15" s="133"/>
      <c r="H15" s="134"/>
      <c r="J15" s="58">
        <f>F8</f>
        <v>2050</v>
      </c>
      <c r="K15" s="58"/>
      <c r="L15" s="58">
        <f>F13/100</f>
        <v>1.6</v>
      </c>
      <c r="M15" s="58"/>
      <c r="N15" s="58">
        <f>F14</f>
        <v>17.5</v>
      </c>
      <c r="O15" s="59">
        <f>F29</f>
        <v>596</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c r="B17" s="148" t="s">
        <v>365</v>
      </c>
      <c r="C17" s="184">
        <f>(30+200)/2</f>
        <v>115</v>
      </c>
      <c r="D17" s="183">
        <f>(20+150)/2</f>
        <v>85</v>
      </c>
      <c r="E17" s="183">
        <f>(10+100)/2</f>
        <v>55</v>
      </c>
      <c r="F17" s="151">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368</v>
      </c>
      <c r="C21" s="1288" t="s">
        <v>378</v>
      </c>
      <c r="D21" s="1288"/>
      <c r="E21" s="1288"/>
      <c r="F21" s="1288"/>
      <c r="G21" s="1288"/>
      <c r="H21" s="1289"/>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c r="B23" s="148" t="s">
        <v>24</v>
      </c>
      <c r="C23" s="152">
        <v>4</v>
      </c>
      <c r="D23" s="152">
        <v>4</v>
      </c>
      <c r="E23" s="152">
        <v>4</v>
      </c>
      <c r="F23" s="152">
        <v>4</v>
      </c>
      <c r="G23" s="152" t="s">
        <v>381</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c r="B24" s="148" t="s">
        <v>26</v>
      </c>
      <c r="C24" s="152">
        <v>83</v>
      </c>
      <c r="D24" s="152">
        <v>83</v>
      </c>
      <c r="E24" s="152">
        <v>83</v>
      </c>
      <c r="F24" s="152">
        <v>83</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c r="B25" s="148" t="s">
        <v>28</v>
      </c>
      <c r="C25" s="152">
        <v>17</v>
      </c>
      <c r="D25" s="152">
        <v>17</v>
      </c>
      <c r="E25" s="152">
        <v>17</v>
      </c>
      <c r="F25" s="152">
        <v>17</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c r="B26" s="148" t="s">
        <v>369</v>
      </c>
      <c r="C26" s="154">
        <v>1.6</v>
      </c>
      <c r="D26" s="152">
        <v>1.6</v>
      </c>
      <c r="E26" s="152">
        <v>1.6</v>
      </c>
      <c r="F26" s="152">
        <v>1.6</v>
      </c>
      <c r="G26" s="152" t="s">
        <v>55</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c r="B28" s="148" t="s">
        <v>407</v>
      </c>
      <c r="C28" s="157">
        <v>100</v>
      </c>
      <c r="D28" s="157">
        <v>100</v>
      </c>
      <c r="E28" s="157">
        <v>100</v>
      </c>
      <c r="F28" s="157">
        <v>100</v>
      </c>
      <c r="G28" s="157"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596</v>
      </c>
      <c r="D29" s="42">
        <f>D30/$G30</f>
        <v>596</v>
      </c>
      <c r="E29" s="42">
        <f>E30/$G30</f>
        <v>596</v>
      </c>
      <c r="F29" s="42">
        <f>F30/$G30</f>
        <v>596</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29800</v>
      </c>
      <c r="D30" s="42">
        <f>D23*$G$4*1000</f>
        <v>29800</v>
      </c>
      <c r="E30" s="42">
        <f>E23*$G$4*1000</f>
        <v>29800</v>
      </c>
      <c r="F30" s="42">
        <f>F23*$G$4*1000</f>
        <v>29800</v>
      </c>
      <c r="G30" s="67">
        <v>50</v>
      </c>
      <c r="H30" s="63" t="s">
        <v>330</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J6:O6"/>
    <mergeCell ref="C7:H7"/>
    <mergeCell ref="J7:O7"/>
    <mergeCell ref="C21:H2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7">
    <tabColor theme="4"/>
  </sheetPr>
  <dimension ref="B2:CO147"/>
  <sheetViews>
    <sheetView workbookViewId="0">
      <selection activeCell="K36" sqref="K36"/>
    </sheetView>
  </sheetViews>
  <sheetFormatPr defaultRowHeight="14.4"/>
  <cols>
    <col min="2" max="2" width="51.44140625" customWidth="1"/>
    <col min="3" max="8" width="9.21875" style="85"/>
    <col min="11" max="11" width="43.21875" customWidth="1"/>
  </cols>
  <sheetData>
    <row r="2" spans="2:93" ht="28.8">
      <c r="B2" s="93" t="s">
        <v>375</v>
      </c>
    </row>
    <row r="3" spans="2:93" ht="15" customHeight="1"/>
    <row r="4" spans="2:93">
      <c r="E4" t="s">
        <v>358</v>
      </c>
      <c r="F4"/>
      <c r="G4" s="36">
        <v>7.45</v>
      </c>
      <c r="H4" t="s">
        <v>328</v>
      </c>
    </row>
    <row r="5" spans="2:93" ht="15" thickBot="1">
      <c r="B5" s="8" t="s">
        <v>373</v>
      </c>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row>
    <row r="6" spans="2:93" ht="15" thickBot="1">
      <c r="J6" s="1259">
        <f>C6</f>
        <v>0</v>
      </c>
      <c r="K6" s="1260"/>
      <c r="L6" s="1260"/>
      <c r="M6" s="1260"/>
      <c r="N6" s="1260"/>
      <c r="O6" s="1261"/>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row>
    <row r="7" spans="2:93" ht="15" thickBot="1">
      <c r="B7" s="86" t="s">
        <v>0</v>
      </c>
      <c r="C7" s="1290" t="s">
        <v>376</v>
      </c>
      <c r="D7" s="1288"/>
      <c r="E7" s="1288"/>
      <c r="F7" s="1288"/>
      <c r="G7" s="1288"/>
      <c r="H7" s="1289"/>
      <c r="J7" s="1134" t="str">
        <f>C7</f>
        <v>Gas engine driven heat pump heat pump</v>
      </c>
      <c r="K7" s="1135"/>
      <c r="L7" s="1135"/>
      <c r="M7" s="1135"/>
      <c r="N7" s="1135"/>
      <c r="O7" s="1136"/>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row>
    <row r="8" spans="2:93" ht="15" thickBot="1">
      <c r="B8" s="87"/>
      <c r="C8" s="88">
        <v>2015</v>
      </c>
      <c r="D8" s="88">
        <v>2020</v>
      </c>
      <c r="E8" s="88">
        <v>2030</v>
      </c>
      <c r="F8" s="88">
        <v>2050</v>
      </c>
      <c r="G8" s="88" t="s">
        <v>2</v>
      </c>
      <c r="H8" s="89"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row>
    <row r="9" spans="2:93" ht="28.2" thickBot="1">
      <c r="B9" s="147"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row>
    <row r="10" spans="2:93" ht="15" thickBot="1">
      <c r="B10" s="148" t="s">
        <v>5</v>
      </c>
      <c r="C10" s="148" t="s">
        <v>43</v>
      </c>
      <c r="D10" s="149" t="s">
        <v>43</v>
      </c>
      <c r="E10" s="149" t="s">
        <v>43</v>
      </c>
      <c r="F10" s="149" t="s">
        <v>43</v>
      </c>
      <c r="G10" s="149" t="s">
        <v>377</v>
      </c>
      <c r="H10" s="149">
        <v>5</v>
      </c>
      <c r="J10" s="50"/>
      <c r="K10" s="50"/>
      <c r="L10" s="51"/>
      <c r="M10" s="51"/>
      <c r="N10" s="51"/>
      <c r="O10" s="52"/>
      <c r="P10" s="50"/>
      <c r="Q10" s="50"/>
      <c r="R10" s="50"/>
      <c r="S10" s="50"/>
      <c r="T10" s="50"/>
      <c r="U10" s="50"/>
      <c r="V10" s="50"/>
      <c r="W10" s="50"/>
      <c r="X10" s="50"/>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row>
    <row r="11" spans="2:93" ht="15" thickBot="1">
      <c r="B11" s="148" t="s">
        <v>7</v>
      </c>
      <c r="C11" s="125">
        <v>100</v>
      </c>
      <c r="D11" s="156">
        <v>100</v>
      </c>
      <c r="E11" s="156">
        <v>100</v>
      </c>
      <c r="F11" s="156">
        <v>100</v>
      </c>
      <c r="G11" s="151"/>
      <c r="H11" s="151"/>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row>
    <row r="12" spans="2:93" ht="15" thickBot="1">
      <c r="B12" s="148" t="s">
        <v>8</v>
      </c>
      <c r="C12" s="125">
        <v>100</v>
      </c>
      <c r="D12" s="151">
        <v>100</v>
      </c>
      <c r="E12" s="151">
        <v>100</v>
      </c>
      <c r="F12" s="151">
        <v>100</v>
      </c>
      <c r="G12" s="151"/>
      <c r="H12" s="151"/>
      <c r="J12" s="58">
        <f>C8</f>
        <v>2015</v>
      </c>
      <c r="K12" s="58">
        <f>J12</f>
        <v>2015</v>
      </c>
      <c r="L12" s="58">
        <f>C13/100</f>
        <v>1.5</v>
      </c>
      <c r="M12" s="58"/>
      <c r="N12" s="58">
        <f>C14</f>
        <v>12.5</v>
      </c>
      <c r="O12" s="59">
        <f>C29</f>
        <v>2831</v>
      </c>
      <c r="P12" s="59">
        <f>C31</f>
        <v>20.114999999999998</v>
      </c>
      <c r="Q12" s="59">
        <f>C32</f>
        <v>14.9</v>
      </c>
      <c r="R12" s="58"/>
      <c r="S12" s="58"/>
      <c r="T12" s="58">
        <f>C16</f>
        <v>0</v>
      </c>
      <c r="U12" s="58">
        <f>C17</f>
        <v>115</v>
      </c>
      <c r="V12" s="58">
        <f>C18</f>
        <v>5</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row>
    <row r="13" spans="2:93" ht="15" thickBot="1">
      <c r="B13" s="148" t="s">
        <v>363</v>
      </c>
      <c r="C13" s="125">
        <v>150</v>
      </c>
      <c r="D13" s="151">
        <v>155</v>
      </c>
      <c r="E13" s="151">
        <v>155</v>
      </c>
      <c r="F13" s="151">
        <v>160</v>
      </c>
      <c r="G13" s="151"/>
      <c r="H13" s="151">
        <v>14</v>
      </c>
      <c r="J13" s="58">
        <f>D8</f>
        <v>2020</v>
      </c>
      <c r="K13" s="58"/>
      <c r="L13" s="58">
        <f>D13/100</f>
        <v>1.55</v>
      </c>
      <c r="M13" s="58"/>
      <c r="N13" s="58">
        <f>D14</f>
        <v>17.5</v>
      </c>
      <c r="O13" s="59">
        <f>D29</f>
        <v>2831</v>
      </c>
      <c r="P13" s="59">
        <f>D31</f>
        <v>20.114999999999998</v>
      </c>
      <c r="Q13" s="59">
        <f>D32</f>
        <v>14.9</v>
      </c>
      <c r="R13" s="58"/>
      <c r="S13" s="58"/>
      <c r="T13" s="58">
        <f>D16</f>
        <v>0</v>
      </c>
      <c r="U13" s="58">
        <f>D17</f>
        <v>85</v>
      </c>
      <c r="V13" s="58">
        <f>D18</f>
        <v>5</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row>
    <row r="14" spans="2:93" ht="15" thickBot="1">
      <c r="B14" s="148" t="s">
        <v>11</v>
      </c>
      <c r="C14" s="182">
        <f>(10+15)/2</f>
        <v>12.5</v>
      </c>
      <c r="D14" s="183">
        <f>(15+20)/2</f>
        <v>17.5</v>
      </c>
      <c r="E14" s="183">
        <f>(15+20)/2</f>
        <v>17.5</v>
      </c>
      <c r="F14" s="183">
        <f>(15+20)/2</f>
        <v>17.5</v>
      </c>
      <c r="G14" s="151" t="s">
        <v>59</v>
      </c>
      <c r="H14" s="151"/>
      <c r="J14" s="58">
        <f>E8</f>
        <v>2030</v>
      </c>
      <c r="K14" s="58"/>
      <c r="L14" s="58">
        <f>E13/100</f>
        <v>1.55</v>
      </c>
      <c r="M14" s="58"/>
      <c r="N14" s="58">
        <f>E14</f>
        <v>17.5</v>
      </c>
      <c r="O14" s="59">
        <f>E29</f>
        <v>2831</v>
      </c>
      <c r="P14" s="59">
        <f>E31</f>
        <v>20.114999999999998</v>
      </c>
      <c r="Q14" s="59">
        <f>E32</f>
        <v>14.9</v>
      </c>
      <c r="R14" s="58"/>
      <c r="S14" s="58"/>
      <c r="T14" s="58">
        <f>E16</f>
        <v>0</v>
      </c>
      <c r="U14" s="58">
        <f>E17</f>
        <v>55</v>
      </c>
      <c r="V14" s="58">
        <f>E18</f>
        <v>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row>
    <row r="15" spans="2:93" ht="15" thickBot="1">
      <c r="B15" s="143" t="s">
        <v>12</v>
      </c>
      <c r="C15" s="133"/>
      <c r="D15" s="133"/>
      <c r="E15" s="133"/>
      <c r="F15" s="133"/>
      <c r="G15" s="133"/>
      <c r="H15" s="134"/>
      <c r="J15" s="58">
        <f>F8</f>
        <v>2050</v>
      </c>
      <c r="K15" s="58"/>
      <c r="L15" s="58">
        <f>F13/100</f>
        <v>1.6</v>
      </c>
      <c r="M15" s="58"/>
      <c r="N15" s="58">
        <f>F14</f>
        <v>17.5</v>
      </c>
      <c r="O15" s="59">
        <f>F29</f>
        <v>2831</v>
      </c>
      <c r="P15" s="59">
        <f>F31</f>
        <v>20.114999999999998</v>
      </c>
      <c r="Q15" s="59">
        <f>F32</f>
        <v>14.9</v>
      </c>
      <c r="R15" s="58"/>
      <c r="S15" s="58"/>
      <c r="T15" s="58">
        <f>F16</f>
        <v>0</v>
      </c>
      <c r="U15" s="58">
        <f>F17</f>
        <v>55</v>
      </c>
      <c r="V15" s="58">
        <f>F18</f>
        <v>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row>
    <row r="16" spans="2:93" ht="15" thickBot="1">
      <c r="B16" s="148" t="s">
        <v>364</v>
      </c>
      <c r="C16" s="148">
        <v>0</v>
      </c>
      <c r="D16" s="149">
        <v>0</v>
      </c>
      <c r="E16" s="149">
        <v>0</v>
      </c>
      <c r="F16" s="149">
        <v>0</v>
      </c>
      <c r="G16" s="149"/>
      <c r="H16" s="149"/>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row>
    <row r="17" spans="2:93" ht="15" thickBot="1">
      <c r="B17" s="148" t="s">
        <v>365</v>
      </c>
      <c r="C17" s="184">
        <f>(30+200)/2</f>
        <v>115</v>
      </c>
      <c r="D17" s="183">
        <f>(20+150)/2</f>
        <v>85</v>
      </c>
      <c r="E17" s="183">
        <f>(10+100)/2</f>
        <v>55</v>
      </c>
      <c r="F17" s="183">
        <f>(10+100)/2</f>
        <v>55</v>
      </c>
      <c r="G17" s="151" t="s">
        <v>16</v>
      </c>
      <c r="H17" s="151">
        <v>15</v>
      </c>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row>
    <row r="18" spans="2:93" ht="15" thickBot="1">
      <c r="B18" s="148" t="s">
        <v>366</v>
      </c>
      <c r="C18" s="181">
        <v>5</v>
      </c>
      <c r="D18" s="181">
        <v>5</v>
      </c>
      <c r="E18" s="181">
        <v>5</v>
      </c>
      <c r="F18" s="181">
        <v>5</v>
      </c>
      <c r="G18" s="151" t="s">
        <v>20</v>
      </c>
      <c r="H18" s="151"/>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row>
    <row r="19" spans="2:93" ht="15" thickBot="1">
      <c r="B19" s="148" t="s">
        <v>367</v>
      </c>
      <c r="C19" s="181">
        <v>0</v>
      </c>
      <c r="D19" s="181">
        <v>0</v>
      </c>
      <c r="E19" s="181">
        <v>0</v>
      </c>
      <c r="F19" s="181">
        <v>0</v>
      </c>
      <c r="G19" s="151"/>
      <c r="H19" s="151"/>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row>
    <row r="20" spans="2:93" ht="15" thickBot="1">
      <c r="B20" s="148" t="s">
        <v>19</v>
      </c>
      <c r="C20" s="181">
        <v>0</v>
      </c>
      <c r="D20" s="181">
        <v>0</v>
      </c>
      <c r="E20" s="181">
        <v>0</v>
      </c>
      <c r="F20" s="181">
        <v>0</v>
      </c>
      <c r="G20" s="151"/>
      <c r="H20" s="151"/>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row>
    <row r="21" spans="2:93" ht="15.75" customHeight="1" thickBot="1">
      <c r="B21" s="143" t="s">
        <v>371</v>
      </c>
      <c r="C21" s="1291" t="s">
        <v>384</v>
      </c>
      <c r="D21" s="1291"/>
      <c r="E21" s="1291"/>
      <c r="F21" s="1291"/>
      <c r="G21" s="1291"/>
      <c r="H21" s="1292"/>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row>
    <row r="22" spans="2:93" ht="15" thickBot="1">
      <c r="B22" s="148" t="s">
        <v>23</v>
      </c>
      <c r="C22" s="152" t="s">
        <v>379</v>
      </c>
      <c r="D22" s="152" t="s">
        <v>380</v>
      </c>
      <c r="E22" s="152" t="s">
        <v>380</v>
      </c>
      <c r="F22" s="152" t="s">
        <v>380</v>
      </c>
      <c r="G22" s="152" t="s">
        <v>374</v>
      </c>
      <c r="H22" s="152">
        <v>14</v>
      </c>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row>
    <row r="23" spans="2:93" ht="15" thickBot="1">
      <c r="B23" s="148" t="s">
        <v>24</v>
      </c>
      <c r="C23" s="152">
        <f>4+15</f>
        <v>19</v>
      </c>
      <c r="D23" s="152">
        <f>4+15</f>
        <v>19</v>
      </c>
      <c r="E23" s="152">
        <f>4+15</f>
        <v>19</v>
      </c>
      <c r="F23" s="152">
        <f>4+15</f>
        <v>19</v>
      </c>
      <c r="G23" s="152" t="s">
        <v>385</v>
      </c>
      <c r="H23" s="152"/>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row>
    <row r="24" spans="2:93" ht="15" thickBot="1">
      <c r="B24" s="148" t="s">
        <v>26</v>
      </c>
      <c r="C24" s="152">
        <v>51</v>
      </c>
      <c r="D24" s="152">
        <v>51</v>
      </c>
      <c r="E24" s="152">
        <v>51</v>
      </c>
      <c r="F24" s="152">
        <v>51</v>
      </c>
      <c r="G24" s="152"/>
      <c r="H24" s="152"/>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row>
    <row r="25" spans="2:93" ht="15" thickBot="1">
      <c r="B25" s="148" t="s">
        <v>28</v>
      </c>
      <c r="C25" s="152">
        <v>49</v>
      </c>
      <c r="D25" s="152">
        <v>49</v>
      </c>
      <c r="E25" s="152">
        <v>49</v>
      </c>
      <c r="F25" s="152">
        <v>49</v>
      </c>
      <c r="G25" s="152"/>
      <c r="H25" s="152"/>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row>
    <row r="26" spans="2:93" ht="15" thickBot="1">
      <c r="B26" s="148" t="s">
        <v>369</v>
      </c>
      <c r="C26" s="154" t="s">
        <v>386</v>
      </c>
      <c r="D26" s="152" t="s">
        <v>386</v>
      </c>
      <c r="E26" s="152" t="s">
        <v>386</v>
      </c>
      <c r="F26" s="152" t="s">
        <v>386</v>
      </c>
      <c r="G26" s="152" t="s">
        <v>387</v>
      </c>
      <c r="H26" s="152"/>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row>
    <row r="27" spans="2:93" ht="15" thickBot="1">
      <c r="B27" s="148" t="s">
        <v>64</v>
      </c>
      <c r="C27" s="154">
        <v>135</v>
      </c>
      <c r="D27" s="152">
        <v>135</v>
      </c>
      <c r="E27" s="152">
        <v>135</v>
      </c>
      <c r="F27" s="152">
        <v>135</v>
      </c>
      <c r="G27" s="152" t="s">
        <v>382</v>
      </c>
      <c r="H27" s="152"/>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row>
    <row r="28" spans="2:93" ht="15" thickBot="1">
      <c r="B28" s="148" t="s">
        <v>407</v>
      </c>
      <c r="C28" s="152">
        <v>100</v>
      </c>
      <c r="D28" s="152">
        <v>100</v>
      </c>
      <c r="E28" s="152">
        <v>100</v>
      </c>
      <c r="F28" s="152">
        <v>100</v>
      </c>
      <c r="G28" s="152" t="s">
        <v>383</v>
      </c>
      <c r="H28" s="152"/>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row>
    <row r="29" spans="2:93">
      <c r="B29" s="36" t="s">
        <v>353</v>
      </c>
      <c r="C29" s="42">
        <f>C30/$G30</f>
        <v>2831</v>
      </c>
      <c r="D29" s="42">
        <f>D30/$G30</f>
        <v>2831</v>
      </c>
      <c r="E29" s="42">
        <f>E30/$G30</f>
        <v>2831</v>
      </c>
      <c r="F29" s="42">
        <f>F30/$G30</f>
        <v>2831</v>
      </c>
      <c r="H29" s="63"/>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row>
    <row r="30" spans="2:93">
      <c r="B30" s="36" t="s">
        <v>354</v>
      </c>
      <c r="C30" s="42">
        <f>C23*$G$4*1000</f>
        <v>141550</v>
      </c>
      <c r="D30" s="42">
        <f>D23*$G$4*1000</f>
        <v>141550</v>
      </c>
      <c r="E30" s="42">
        <f>E23*$G$4*1000</f>
        <v>141550</v>
      </c>
      <c r="F30" s="42">
        <f>F23*$G$4*1000</f>
        <v>141550</v>
      </c>
      <c r="G30" s="67">
        <v>50</v>
      </c>
      <c r="H30" s="63" t="s">
        <v>330</v>
      </c>
      <c r="I30" s="63" t="s">
        <v>332</v>
      </c>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row>
    <row r="31" spans="2:93">
      <c r="B31" s="36" t="s">
        <v>355</v>
      </c>
      <c r="C31" s="106">
        <f>C27*$G$4/$G30</f>
        <v>20.114999999999998</v>
      </c>
      <c r="D31" s="106">
        <f>D27*$G$4/$G30</f>
        <v>20.114999999999998</v>
      </c>
      <c r="E31" s="106">
        <f>E27*$G$4/$G30</f>
        <v>20.114999999999998</v>
      </c>
      <c r="F31" s="106">
        <f>F27*$G$4/$G30</f>
        <v>20.114999999999998</v>
      </c>
      <c r="G31" s="63" t="s">
        <v>333</v>
      </c>
      <c r="H31" s="63"/>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row>
    <row r="32" spans="2:93" ht="15" thickBot="1">
      <c r="B32" s="36" t="s">
        <v>356</v>
      </c>
      <c r="C32" s="106">
        <f>C28*$G$4/$G30</f>
        <v>14.9</v>
      </c>
      <c r="D32" s="106">
        <f>D28*$G$4/$G30</f>
        <v>14.9</v>
      </c>
      <c r="E32" s="106">
        <f>E28*$G$4/$G30</f>
        <v>14.9</v>
      </c>
      <c r="F32" s="106">
        <f>F28*$G$4/$G30</f>
        <v>14.9</v>
      </c>
      <c r="G32" s="66"/>
      <c r="H32" s="63"/>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row>
    <row r="33" spans="3:93">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row>
    <row r="34" spans="3:93">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row>
    <row r="35" spans="3:93">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row>
    <row r="36" spans="3:93">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row>
    <row r="37" spans="3:93">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row>
    <row r="38" spans="3:93">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3:93">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row>
    <row r="40" spans="3:93">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row>
    <row r="41" spans="3:93">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row>
    <row r="42" spans="3:93">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row>
    <row r="43" spans="3:93">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row>
    <row r="44" spans="3:93">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row>
    <row r="45" spans="3:93">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row>
    <row r="46" spans="3:93">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row>
    <row r="47" spans="3:93">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row>
    <row r="48" spans="3:93">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row>
    <row r="49" spans="3:93">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row>
    <row r="50" spans="3:93">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row>
    <row r="51" spans="3:93">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row>
    <row r="52" spans="3:93">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row>
    <row r="53" spans="3:93">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row>
    <row r="54" spans="3:93">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row>
    <row r="55" spans="3:93">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row>
    <row r="56" spans="3:93">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row>
    <row r="57" spans="3:93">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row>
    <row r="58" spans="3:93">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row>
    <row r="59" spans="3:93">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row>
    <row r="60" spans="3:93">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row>
    <row r="61" spans="3:93">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row>
    <row r="62" spans="3:93">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row>
    <row r="63" spans="3:93">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row>
    <row r="64" spans="3:93">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row>
    <row r="65" spans="3:93">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row>
    <row r="66" spans="3:93">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row>
    <row r="67" spans="3:93">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row>
    <row r="68" spans="3:93">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row>
    <row r="69" spans="3:93">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row>
    <row r="70" spans="3:93">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row>
    <row r="71" spans="3:93">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row>
    <row r="72" spans="3:93">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row>
    <row r="73" spans="3:93">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row>
    <row r="74" spans="3:93">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row>
    <row r="75" spans="3:93">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row>
    <row r="76" spans="3:93">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row>
    <row r="77" spans="3:93">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row>
    <row r="78" spans="3:93">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row>
    <row r="79" spans="3:93">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row>
    <row r="80" spans="3:93">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row>
    <row r="81" spans="3:93">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row>
    <row r="82" spans="3:93">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row>
    <row r="83" spans="3:93">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row>
    <row r="84" spans="3:93">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row>
    <row r="85" spans="3:93">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row>
    <row r="86" spans="3:93">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row>
    <row r="87" spans="3:93">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row>
    <row r="88" spans="3:93">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row>
    <row r="89" spans="3:93">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row>
    <row r="90" spans="3:93">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row>
    <row r="91" spans="3:93">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row>
    <row r="92" spans="3:93">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row>
    <row r="93" spans="3:93">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row>
    <row r="94" spans="3:93">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row>
    <row r="95" spans="3:93">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row>
    <row r="96" spans="3:93">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row>
    <row r="97" spans="3:93">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row>
    <row r="98" spans="3:93">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row>
    <row r="99" spans="3:93">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row>
    <row r="100" spans="3:93">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row>
    <row r="101" spans="3:93">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row>
    <row r="102" spans="3:93">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row>
    <row r="103" spans="3:93">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row>
    <row r="104" spans="3:93">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row>
    <row r="105" spans="3:93">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row>
    <row r="106" spans="3:93">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row>
    <row r="107" spans="3:93">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row>
    <row r="108" spans="3:93">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row>
    <row r="109" spans="3:93">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row>
    <row r="110" spans="3:93">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row>
    <row r="111" spans="3:93">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row>
    <row r="112" spans="3:93">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row>
    <row r="113" spans="3:93">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row>
    <row r="114" spans="3:93">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row>
    <row r="115" spans="3:93">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row>
    <row r="116" spans="3:93">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row>
    <row r="117" spans="3:93">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row>
    <row r="118" spans="3:93">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row>
    <row r="119" spans="3:93">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row>
    <row r="120" spans="3:93">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row>
    <row r="121" spans="3:93">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row>
    <row r="122" spans="3:93">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row>
    <row r="123" spans="3:93">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row>
    <row r="124" spans="3:93">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row>
    <row r="125" spans="3:93">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3:93">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row>
    <row r="127" spans="3:93">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row>
    <row r="128" spans="3:93">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3:93">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row>
    <row r="130" spans="3:93">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row>
    <row r="131" spans="3:93">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row>
    <row r="132" spans="3:93">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row>
    <row r="133" spans="3:93">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row>
    <row r="134" spans="3:93">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row>
    <row r="135" spans="3:93">
      <c r="C135"/>
      <c r="D135"/>
      <c r="E135"/>
      <c r="F135"/>
      <c r="G135"/>
      <c r="H135"/>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row>
    <row r="136" spans="3:93">
      <c r="C136"/>
      <c r="D136"/>
      <c r="E136"/>
      <c r="F136"/>
      <c r="G136"/>
      <c r="H136"/>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row>
    <row r="137" spans="3:93">
      <c r="C137"/>
      <c r="D137"/>
      <c r="E137"/>
      <c r="F137"/>
      <c r="G137"/>
      <c r="H137"/>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row>
    <row r="138" spans="3:93">
      <c r="C138"/>
      <c r="D138"/>
      <c r="E138"/>
      <c r="F138"/>
      <c r="G138"/>
      <c r="H13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row>
    <row r="139" spans="3:93">
      <c r="C139"/>
      <c r="D139"/>
      <c r="E139"/>
      <c r="F139"/>
      <c r="G139"/>
      <c r="H139"/>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row>
    <row r="140" spans="3:93">
      <c r="C140"/>
      <c r="D140"/>
      <c r="E140"/>
      <c r="F140"/>
      <c r="G140"/>
      <c r="H140"/>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row>
    <row r="141" spans="3:93">
      <c r="C141"/>
      <c r="D141"/>
      <c r="E141"/>
      <c r="F141"/>
      <c r="G141"/>
      <c r="H141"/>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row>
    <row r="142" spans="3:93">
      <c r="C142"/>
      <c r="D142"/>
      <c r="E142"/>
      <c r="F142"/>
      <c r="G142"/>
      <c r="H142"/>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row>
    <row r="143" spans="3:93">
      <c r="C143"/>
      <c r="D143"/>
      <c r="E143"/>
      <c r="F143"/>
      <c r="G143"/>
      <c r="H143"/>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row>
    <row r="144" spans="3:93">
      <c r="C144"/>
      <c r="D144"/>
      <c r="E144"/>
      <c r="F144"/>
      <c r="G144"/>
      <c r="H144"/>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row>
    <row r="145" spans="3:93">
      <c r="C145"/>
      <c r="D145"/>
      <c r="E145"/>
      <c r="F145"/>
      <c r="G145"/>
      <c r="H145"/>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row>
    <row r="146" spans="3:93">
      <c r="C146"/>
      <c r="D146"/>
      <c r="E146"/>
      <c r="F146"/>
      <c r="G146"/>
      <c r="H146"/>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row>
    <row r="147" spans="3:93">
      <c r="C147"/>
      <c r="D147"/>
      <c r="E147"/>
      <c r="F147"/>
      <c r="G147"/>
      <c r="H147"/>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row>
  </sheetData>
  <mergeCells count="4">
    <mergeCell ref="C7:H7"/>
    <mergeCell ref="C21:H21"/>
    <mergeCell ref="J6:O6"/>
    <mergeCell ref="J7:O7"/>
  </mergeCells>
  <pageMargins left="0.7" right="0.7"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8">
    <tabColor theme="4"/>
  </sheetPr>
  <dimension ref="B3:CZ134"/>
  <sheetViews>
    <sheetView topLeftCell="A19" zoomScaleNormal="100" workbookViewId="0">
      <selection activeCell="C31" sqref="C31"/>
    </sheetView>
  </sheetViews>
  <sheetFormatPr defaultRowHeight="14.4"/>
  <cols>
    <col min="2" max="2" width="51.44140625" customWidth="1"/>
    <col min="3" max="8" width="9.21875" style="85"/>
    <col min="11" max="12" width="8.77734375" customWidth="1"/>
    <col min="13" max="13" width="9" customWidth="1"/>
  </cols>
  <sheetData>
    <row r="3" spans="2:104" ht="28.8">
      <c r="B3" s="84" t="s">
        <v>388</v>
      </c>
    </row>
    <row r="4" spans="2:104" ht="15" customHeight="1">
      <c r="E4" t="s">
        <v>358</v>
      </c>
      <c r="F4"/>
      <c r="G4" s="36">
        <v>7.45</v>
      </c>
      <c r="H4" t="s">
        <v>328</v>
      </c>
      <c r="K4" s="94"/>
      <c r="L4" s="94"/>
    </row>
    <row r="5" spans="2:104" ht="15" customHeight="1" thickBot="1">
      <c r="E5"/>
      <c r="F5"/>
      <c r="G5" s="36"/>
      <c r="H5"/>
      <c r="K5" s="94"/>
      <c r="L5" s="94"/>
    </row>
    <row r="6" spans="2:104" ht="15" thickBot="1">
      <c r="C6" s="1290" t="s">
        <v>372</v>
      </c>
      <c r="D6" s="1288"/>
      <c r="E6" s="1288"/>
      <c r="F6" s="1288"/>
      <c r="G6" s="1288"/>
      <c r="H6" s="1289"/>
      <c r="J6" s="1259" t="str">
        <f>C6</f>
        <v>Absorption heat pump, brine-to-water</v>
      </c>
      <c r="K6" s="1260"/>
      <c r="L6" s="1260"/>
      <c r="M6" s="1260"/>
      <c r="N6" s="1260"/>
      <c r="O6" s="1261"/>
    </row>
    <row r="7" spans="2:104" s="8" customFormat="1" ht="15.75" customHeight="1" thickBot="1">
      <c r="B7" s="143" t="s">
        <v>0</v>
      </c>
      <c r="C7" s="1290" t="s">
        <v>372</v>
      </c>
      <c r="D7" s="1288"/>
      <c r="E7" s="1288"/>
      <c r="F7" s="1288"/>
      <c r="G7" s="1288"/>
      <c r="H7" s="1289"/>
      <c r="J7" s="1134" t="str">
        <f>C7</f>
        <v>Absorption heat pump, brine-to-water</v>
      </c>
      <c r="K7" s="1135"/>
      <c r="L7" s="1135"/>
      <c r="M7" s="1135"/>
      <c r="N7" s="1135"/>
      <c r="O7" s="1136"/>
      <c r="P7"/>
      <c r="Q7"/>
      <c r="R7"/>
      <c r="S7"/>
      <c r="T7"/>
      <c r="U7"/>
      <c r="V7"/>
      <c r="W7"/>
      <c r="X7"/>
    </row>
    <row r="8" spans="2:104" ht="15" thickBot="1">
      <c r="B8" s="144"/>
      <c r="C8" s="145">
        <v>2015</v>
      </c>
      <c r="D8" s="145">
        <v>2020</v>
      </c>
      <c r="E8" s="145">
        <v>2030</v>
      </c>
      <c r="F8" s="145">
        <v>2050</v>
      </c>
      <c r="G8" s="145" t="s">
        <v>2</v>
      </c>
      <c r="H8" s="146" t="s">
        <v>3</v>
      </c>
      <c r="J8" s="53" t="s">
        <v>357</v>
      </c>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row>
    <row r="9" spans="2:104" ht="15.75" customHeight="1" thickBot="1">
      <c r="B9" s="143" t="s">
        <v>4</v>
      </c>
      <c r="C9" s="133"/>
      <c r="D9" s="133"/>
      <c r="E9" s="133"/>
      <c r="F9" s="133"/>
      <c r="G9" s="133"/>
      <c r="H9" s="134"/>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row>
    <row r="10" spans="2:104" ht="15.75" customHeight="1" thickBot="1">
      <c r="B10" s="148" t="s">
        <v>5</v>
      </c>
      <c r="C10" s="158" t="s">
        <v>389</v>
      </c>
      <c r="D10" s="158"/>
      <c r="E10" s="158"/>
      <c r="F10" s="158"/>
      <c r="G10" s="158" t="s">
        <v>390</v>
      </c>
      <c r="H10" s="150"/>
      <c r="J10" s="50"/>
      <c r="K10" s="50"/>
      <c r="L10" s="51"/>
      <c r="M10" s="51"/>
      <c r="N10" s="51"/>
      <c r="O10" s="52"/>
      <c r="P10" s="50"/>
      <c r="Q10" s="50"/>
      <c r="R10" s="50"/>
      <c r="S10" s="50"/>
      <c r="T10" s="50"/>
      <c r="U10" s="50"/>
      <c r="V10" s="50"/>
      <c r="W10" s="50"/>
      <c r="X10" s="50"/>
      <c r="Y10" s="8"/>
      <c r="Z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row>
    <row r="11" spans="2:104" ht="15.75" customHeight="1" thickBot="1">
      <c r="B11" s="148" t="s">
        <v>7</v>
      </c>
      <c r="C11" s="148">
        <v>100</v>
      </c>
      <c r="D11" s="149">
        <v>100</v>
      </c>
      <c r="E11" s="149">
        <v>100</v>
      </c>
      <c r="F11" s="149">
        <v>100</v>
      </c>
      <c r="G11" s="149"/>
      <c r="H11" s="149"/>
      <c r="J11" s="56"/>
      <c r="K11" s="56"/>
      <c r="L11" s="57"/>
      <c r="M11" s="57"/>
      <c r="N11" s="57"/>
      <c r="O11" s="56" t="s">
        <v>350</v>
      </c>
      <c r="P11" s="56" t="s">
        <v>326</v>
      </c>
      <c r="Q11" s="56" t="s">
        <v>327</v>
      </c>
      <c r="R11" s="56" t="s">
        <v>351</v>
      </c>
      <c r="S11" s="56" t="s">
        <v>351</v>
      </c>
      <c r="T11" s="56" t="s">
        <v>352</v>
      </c>
      <c r="U11" s="56" t="s">
        <v>352</v>
      </c>
      <c r="V11" s="56" t="s">
        <v>352</v>
      </c>
      <c r="W11" s="56" t="s">
        <v>352</v>
      </c>
      <c r="X11" s="56" t="s">
        <v>352</v>
      </c>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row>
    <row r="12" spans="2:104" ht="15.75" customHeight="1" thickBot="1">
      <c r="B12" s="148" t="s">
        <v>8</v>
      </c>
      <c r="C12" s="125">
        <v>100</v>
      </c>
      <c r="D12" s="151">
        <v>100</v>
      </c>
      <c r="E12" s="151">
        <v>100</v>
      </c>
      <c r="F12" s="151">
        <v>100</v>
      </c>
      <c r="G12" s="151"/>
      <c r="H12" s="151"/>
      <c r="J12" s="58">
        <f>C8</f>
        <v>2015</v>
      </c>
      <c r="K12" s="58">
        <f>J12</f>
        <v>2015</v>
      </c>
      <c r="L12" s="58">
        <f>C13/100</f>
        <v>1.35</v>
      </c>
      <c r="M12" s="58"/>
      <c r="N12" s="58">
        <f>C14</f>
        <v>20</v>
      </c>
      <c r="O12" s="59">
        <f>C29</f>
        <v>13037.5</v>
      </c>
      <c r="P12" s="59">
        <f>C31</f>
        <v>125.71875</v>
      </c>
      <c r="Q12" s="59">
        <f>C32</f>
        <v>93.125</v>
      </c>
      <c r="R12" s="58"/>
      <c r="S12" s="58"/>
      <c r="T12" s="58">
        <f>C16</f>
        <v>0</v>
      </c>
      <c r="U12" s="58">
        <f>C17</f>
        <v>20</v>
      </c>
      <c r="V12" s="58">
        <f>C18</f>
        <v>2</v>
      </c>
      <c r="W12" s="58">
        <f>C19</f>
        <v>0</v>
      </c>
      <c r="X12" s="58">
        <f>C20</f>
        <v>0</v>
      </c>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row>
    <row r="13" spans="2:104" ht="15.75" customHeight="1" thickBot="1">
      <c r="B13" s="148" t="s">
        <v>363</v>
      </c>
      <c r="C13" s="125">
        <v>135</v>
      </c>
      <c r="D13" s="183">
        <f>C13</f>
        <v>135</v>
      </c>
      <c r="E13" s="183">
        <f>D13</f>
        <v>135</v>
      </c>
      <c r="F13" s="183">
        <f>E13</f>
        <v>135</v>
      </c>
      <c r="G13" s="151" t="s">
        <v>59</v>
      </c>
      <c r="H13" s="151" t="s">
        <v>391</v>
      </c>
      <c r="J13" s="58">
        <f>D8</f>
        <v>2020</v>
      </c>
      <c r="K13" s="58"/>
      <c r="L13" s="58">
        <f>D13/100</f>
        <v>1.35</v>
      </c>
      <c r="M13" s="58"/>
      <c r="N13" s="58">
        <f>D14</f>
        <v>20</v>
      </c>
      <c r="O13" s="59">
        <f>D29</f>
        <v>13037.5</v>
      </c>
      <c r="P13" s="59">
        <f>D31</f>
        <v>125.71875</v>
      </c>
      <c r="Q13" s="59">
        <f>D32</f>
        <v>93.125</v>
      </c>
      <c r="R13" s="58"/>
      <c r="S13" s="58"/>
      <c r="T13" s="58">
        <f>D16</f>
        <v>0</v>
      </c>
      <c r="U13" s="58">
        <f>D17</f>
        <v>10</v>
      </c>
      <c r="V13" s="58">
        <f>D18</f>
        <v>1</v>
      </c>
      <c r="W13" s="58">
        <f>D19</f>
        <v>0</v>
      </c>
      <c r="X13" s="58">
        <f>D20</f>
        <v>0</v>
      </c>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row>
    <row r="14" spans="2:104" ht="15.75" customHeight="1" thickBot="1">
      <c r="B14" s="148" t="s">
        <v>11</v>
      </c>
      <c r="C14" s="125">
        <v>20</v>
      </c>
      <c r="D14" s="151">
        <v>20</v>
      </c>
      <c r="E14" s="151">
        <v>20</v>
      </c>
      <c r="F14" s="151">
        <v>20</v>
      </c>
      <c r="G14" s="151" t="s">
        <v>25</v>
      </c>
      <c r="H14" s="151"/>
      <c r="J14" s="58">
        <f>E8</f>
        <v>2030</v>
      </c>
      <c r="K14" s="58"/>
      <c r="L14" s="58">
        <f>E13/100</f>
        <v>1.35</v>
      </c>
      <c r="M14" s="58"/>
      <c r="N14" s="58">
        <f>E14</f>
        <v>20</v>
      </c>
      <c r="O14" s="59">
        <f>E29</f>
        <v>13037.5</v>
      </c>
      <c r="P14" s="59">
        <f>E31</f>
        <v>125.71875</v>
      </c>
      <c r="Q14" s="59">
        <f>E32</f>
        <v>93.125</v>
      </c>
      <c r="R14" s="58"/>
      <c r="S14" s="58"/>
      <c r="T14" s="58">
        <f>E16</f>
        <v>0</v>
      </c>
      <c r="U14" s="58">
        <f>E17</f>
        <v>5</v>
      </c>
      <c r="V14" s="58">
        <f>E18</f>
        <v>0.5</v>
      </c>
      <c r="W14" s="58">
        <f>E19</f>
        <v>0</v>
      </c>
      <c r="X14" s="58">
        <f>E20</f>
        <v>0</v>
      </c>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row>
    <row r="15" spans="2:104" ht="15.75" customHeight="1" thickBot="1">
      <c r="B15" s="143" t="s">
        <v>12</v>
      </c>
      <c r="C15" s="133"/>
      <c r="D15" s="133"/>
      <c r="E15" s="133"/>
      <c r="F15" s="133"/>
      <c r="G15" s="133"/>
      <c r="H15" s="134"/>
      <c r="J15" s="58">
        <f>F8</f>
        <v>2050</v>
      </c>
      <c r="K15" s="58"/>
      <c r="L15" s="58">
        <f>F13/100</f>
        <v>1.35</v>
      </c>
      <c r="M15" s="58"/>
      <c r="N15" s="58">
        <f>F14</f>
        <v>20</v>
      </c>
      <c r="O15" s="59">
        <f>F29</f>
        <v>13037.5</v>
      </c>
      <c r="P15" s="59">
        <f>F31</f>
        <v>125.71875</v>
      </c>
      <c r="Q15" s="59">
        <f>F32</f>
        <v>93.125</v>
      </c>
      <c r="R15" s="58"/>
      <c r="S15" s="58"/>
      <c r="T15" s="58">
        <f>F16</f>
        <v>0</v>
      </c>
      <c r="U15" s="58">
        <f>F17</f>
        <v>5</v>
      </c>
      <c r="V15" s="58">
        <f>F18</f>
        <v>0.5</v>
      </c>
      <c r="W15" s="58">
        <f>F19</f>
        <v>0</v>
      </c>
      <c r="X15" s="58">
        <f>F20</f>
        <v>0</v>
      </c>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row>
    <row r="16" spans="2:104" ht="15.75" customHeight="1" thickBot="1">
      <c r="B16" s="148" t="s">
        <v>364</v>
      </c>
      <c r="C16" s="159">
        <v>0</v>
      </c>
      <c r="D16" s="159">
        <v>0</v>
      </c>
      <c r="E16" s="159">
        <v>0</v>
      </c>
      <c r="F16" s="159">
        <v>0</v>
      </c>
      <c r="G16" s="160"/>
      <c r="H16" s="161"/>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row>
    <row r="17" spans="2:104" ht="15.75" customHeight="1" thickBot="1">
      <c r="B17" s="148" t="s">
        <v>365</v>
      </c>
      <c r="C17" s="154">
        <v>20</v>
      </c>
      <c r="D17" s="154">
        <v>10</v>
      </c>
      <c r="E17" s="154">
        <v>5</v>
      </c>
      <c r="F17" s="184">
        <f>E17</f>
        <v>5</v>
      </c>
      <c r="G17" s="152" t="s">
        <v>20</v>
      </c>
      <c r="H17" s="161"/>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row>
    <row r="18" spans="2:104" ht="15.75" customHeight="1" thickBot="1">
      <c r="B18" s="148" t="s">
        <v>366</v>
      </c>
      <c r="C18" s="154">
        <v>2</v>
      </c>
      <c r="D18" s="154">
        <v>1</v>
      </c>
      <c r="E18" s="154">
        <v>0.5</v>
      </c>
      <c r="F18" s="184">
        <f>E18</f>
        <v>0.5</v>
      </c>
      <c r="G18" s="152" t="s">
        <v>20</v>
      </c>
      <c r="H18" s="161"/>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row>
    <row r="19" spans="2:104" ht="15.75" customHeight="1" thickBot="1">
      <c r="B19" s="148" t="s">
        <v>367</v>
      </c>
      <c r="C19" s="154">
        <v>0</v>
      </c>
      <c r="D19" s="154">
        <v>0</v>
      </c>
      <c r="E19" s="154">
        <v>0</v>
      </c>
      <c r="F19" s="154">
        <v>0</v>
      </c>
      <c r="G19" s="152"/>
      <c r="H19" s="161"/>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row>
    <row r="20" spans="2:104" ht="15.75" customHeight="1" thickBot="1">
      <c r="B20" s="148" t="s">
        <v>19</v>
      </c>
      <c r="C20" s="154">
        <v>0</v>
      </c>
      <c r="D20" s="154">
        <v>0</v>
      </c>
      <c r="E20" s="154">
        <v>0</v>
      </c>
      <c r="F20" s="154">
        <v>0</v>
      </c>
      <c r="G20" s="152"/>
      <c r="H20" s="161"/>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row>
    <row r="21" spans="2:104" ht="15.75" customHeight="1" thickBot="1">
      <c r="B21" s="86" t="s">
        <v>22</v>
      </c>
      <c r="C21" s="95"/>
      <c r="D21" s="95"/>
      <c r="E21" s="95"/>
      <c r="F21" s="95"/>
      <c r="G21" s="95"/>
      <c r="H21" s="68" t="s">
        <v>329</v>
      </c>
      <c r="I21" s="80"/>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row>
    <row r="22" spans="2:104" ht="15.75" customHeight="1" thickBot="1">
      <c r="B22" s="91" t="s">
        <v>23</v>
      </c>
      <c r="C22" s="35">
        <f>C23/$G30</f>
        <v>1.75</v>
      </c>
      <c r="D22" s="35">
        <f>D23/$G30</f>
        <v>1.75</v>
      </c>
      <c r="E22" s="35">
        <f>E23/$G30</f>
        <v>1.75</v>
      </c>
      <c r="F22" s="35">
        <f>F23/$G30</f>
        <v>1.75</v>
      </c>
      <c r="G22" s="96" t="s">
        <v>52</v>
      </c>
      <c r="H22" s="73" t="str">
        <f>H30</f>
        <v>kW</v>
      </c>
      <c r="I22" s="73">
        <f>I30</f>
        <v>0</v>
      </c>
      <c r="J22" s="64"/>
      <c r="K22" s="64"/>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row>
    <row r="23" spans="2:104" ht="15.75" customHeight="1" thickBot="1">
      <c r="B23" s="91" t="s">
        <v>24</v>
      </c>
      <c r="C23" s="101">
        <f>(10+4)</f>
        <v>14</v>
      </c>
      <c r="D23" s="101">
        <f>(10+4)</f>
        <v>14</v>
      </c>
      <c r="E23" s="101">
        <f>(10+4)</f>
        <v>14</v>
      </c>
      <c r="F23" s="101">
        <f>(10+4)</f>
        <v>14</v>
      </c>
      <c r="G23" s="92" t="s">
        <v>392</v>
      </c>
      <c r="H23" s="92"/>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row>
    <row r="24" spans="2:104" ht="15.75" customHeight="1" thickBot="1">
      <c r="B24" s="97" t="s">
        <v>26</v>
      </c>
      <c r="C24" s="100">
        <v>71</v>
      </c>
      <c r="D24" s="100">
        <v>71</v>
      </c>
      <c r="E24" s="100">
        <v>71</v>
      </c>
      <c r="F24" s="100">
        <v>71</v>
      </c>
      <c r="G24" s="92"/>
      <c r="H24" s="92"/>
      <c r="J24" s="64"/>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row>
    <row r="25" spans="2:104" ht="15.75" customHeight="1" thickBot="1">
      <c r="B25" s="97" t="s">
        <v>28</v>
      </c>
      <c r="C25" s="99">
        <v>29</v>
      </c>
      <c r="D25" s="99">
        <v>29</v>
      </c>
      <c r="E25" s="99">
        <v>29</v>
      </c>
      <c r="F25" s="99">
        <v>29</v>
      </c>
      <c r="G25" s="92"/>
      <c r="H25" s="92"/>
      <c r="J25" s="65"/>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row>
    <row r="26" spans="2:104" ht="15.75" customHeight="1" thickBot="1">
      <c r="B26" s="97" t="s">
        <v>369</v>
      </c>
      <c r="C26" s="98">
        <v>1.6</v>
      </c>
      <c r="D26" s="98">
        <v>1.6</v>
      </c>
      <c r="E26" s="98">
        <v>1.6</v>
      </c>
      <c r="F26" s="98">
        <v>1.6</v>
      </c>
      <c r="G26" s="92" t="s">
        <v>109</v>
      </c>
      <c r="H26" s="92"/>
      <c r="J26" s="65"/>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row>
    <row r="27" spans="2:104" ht="15.75" customHeight="1" thickBot="1">
      <c r="B27" s="91" t="s">
        <v>50</v>
      </c>
      <c r="C27" s="92">
        <v>135</v>
      </c>
      <c r="D27" s="92">
        <v>135</v>
      </c>
      <c r="E27" s="92">
        <v>135</v>
      </c>
      <c r="F27" s="92">
        <v>135</v>
      </c>
      <c r="G27" s="92"/>
      <c r="H27" s="92"/>
      <c r="J27" s="65"/>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row>
    <row r="28" spans="2:104" ht="15.75" customHeight="1" thickBot="1">
      <c r="B28" s="91" t="s">
        <v>370</v>
      </c>
      <c r="C28" s="92">
        <v>100</v>
      </c>
      <c r="D28" s="92">
        <v>100</v>
      </c>
      <c r="E28" s="92">
        <v>100</v>
      </c>
      <c r="F28" s="92">
        <v>100</v>
      </c>
      <c r="G28" s="92"/>
      <c r="H28" s="92"/>
      <c r="J28" s="65"/>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row>
    <row r="29" spans="2:104">
      <c r="B29" s="36" t="s">
        <v>353</v>
      </c>
      <c r="C29" s="42">
        <f>C30/$G30</f>
        <v>13037.5</v>
      </c>
      <c r="D29" s="42">
        <f>D30/$G30</f>
        <v>13037.5</v>
      </c>
      <c r="E29" s="42">
        <f>E30/$G30</f>
        <v>13037.5</v>
      </c>
      <c r="F29" s="42">
        <f>F30/$G30</f>
        <v>13037.5</v>
      </c>
      <c r="G29" s="63" t="s">
        <v>332</v>
      </c>
      <c r="H29" s="63"/>
      <c r="J29" s="64"/>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row>
    <row r="30" spans="2:104">
      <c r="B30" s="36" t="s">
        <v>354</v>
      </c>
      <c r="C30" s="42">
        <f>C23*$G$4*1000</f>
        <v>104300</v>
      </c>
      <c r="D30" s="42">
        <f>D23*$G$4*1000</f>
        <v>104300</v>
      </c>
      <c r="E30" s="42">
        <f>E23*$G$4*1000</f>
        <v>104300</v>
      </c>
      <c r="F30" s="42">
        <f>F23*$G$4*1000</f>
        <v>104300</v>
      </c>
      <c r="G30" s="67">
        <v>8</v>
      </c>
      <c r="H30" s="63" t="s">
        <v>330</v>
      </c>
      <c r="J30" s="64"/>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row>
    <row r="31" spans="2:104">
      <c r="B31" s="36" t="s">
        <v>355</v>
      </c>
      <c r="C31" s="42">
        <f>C27*$G$4/$G30</f>
        <v>125.71875</v>
      </c>
      <c r="D31" s="42">
        <f>D27*$G$4/$G30</f>
        <v>125.71875</v>
      </c>
      <c r="E31" s="42">
        <f>E27*$G$4/$G30</f>
        <v>125.71875</v>
      </c>
      <c r="F31" s="42">
        <f>F27*$G$4/$G30</f>
        <v>125.71875</v>
      </c>
      <c r="G31" s="63" t="s">
        <v>333</v>
      </c>
      <c r="H31" s="63"/>
      <c r="J31" s="64"/>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row>
    <row r="32" spans="2:104" ht="15" thickBot="1">
      <c r="B32" s="36" t="s">
        <v>356</v>
      </c>
      <c r="C32" s="42">
        <f>C28*$G$4/$G30</f>
        <v>93.125</v>
      </c>
      <c r="D32" s="42">
        <f>D28*$G$4/$G30</f>
        <v>93.125</v>
      </c>
      <c r="E32" s="42">
        <f>E28*$G$4/$G30</f>
        <v>93.125</v>
      </c>
      <c r="F32" s="42">
        <f>F28*$G$4/$G30</f>
        <v>93.125</v>
      </c>
      <c r="G32" s="66"/>
      <c r="H32" s="63"/>
      <c r="J32" s="64"/>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row>
    <row r="33" spans="3:104">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row>
    <row r="34" spans="3:104">
      <c r="C34"/>
      <c r="D34"/>
      <c r="E34"/>
      <c r="F34"/>
      <c r="G34"/>
      <c r="H34"/>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row>
    <row r="35" spans="3:104">
      <c r="C35"/>
      <c r="D35"/>
      <c r="E35"/>
      <c r="F35"/>
      <c r="G35"/>
      <c r="H35"/>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row>
    <row r="36" spans="3:104">
      <c r="C36"/>
      <c r="D36"/>
      <c r="E36"/>
      <c r="F36"/>
      <c r="G36"/>
      <c r="H36"/>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row>
    <row r="37" spans="3:104">
      <c r="C37"/>
      <c r="D37"/>
      <c r="E37"/>
      <c r="F37"/>
      <c r="G37"/>
      <c r="H37"/>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row>
    <row r="38" spans="3:104">
      <c r="C38"/>
      <c r="D38"/>
      <c r="E38"/>
      <c r="F38"/>
      <c r="G38"/>
      <c r="H3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row>
    <row r="39" spans="3:104">
      <c r="C39"/>
      <c r="D39"/>
      <c r="E39"/>
      <c r="F39"/>
      <c r="G39"/>
      <c r="H39"/>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row>
    <row r="40" spans="3:104">
      <c r="C40"/>
      <c r="D40"/>
      <c r="E40"/>
      <c r="F40"/>
      <c r="G40"/>
      <c r="H40"/>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row>
    <row r="41" spans="3:104">
      <c r="C41"/>
      <c r="D41"/>
      <c r="E41"/>
      <c r="F41"/>
      <c r="G41"/>
      <c r="H41"/>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row>
    <row r="42" spans="3:104">
      <c r="C42"/>
      <c r="D42"/>
      <c r="E42"/>
      <c r="F42"/>
      <c r="G42"/>
      <c r="H42"/>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row>
    <row r="43" spans="3:104">
      <c r="C43"/>
      <c r="D43"/>
      <c r="E43"/>
      <c r="F43"/>
      <c r="G43"/>
      <c r="H43"/>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row>
    <row r="44" spans="3:104">
      <c r="C44"/>
      <c r="D44"/>
      <c r="E44"/>
      <c r="F44"/>
      <c r="G44"/>
      <c r="H44"/>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row>
    <row r="45" spans="3:104">
      <c r="C45"/>
      <c r="D45"/>
      <c r="E45"/>
      <c r="F45"/>
      <c r="G45"/>
      <c r="H45"/>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row>
    <row r="46" spans="3:104">
      <c r="C46"/>
      <c r="D46"/>
      <c r="E46"/>
      <c r="F46"/>
      <c r="G46"/>
      <c r="H4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row>
    <row r="47" spans="3:104">
      <c r="C47"/>
      <c r="D47"/>
      <c r="E47"/>
      <c r="F47"/>
      <c r="G47"/>
      <c r="H47"/>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row>
    <row r="48" spans="3:104">
      <c r="C48"/>
      <c r="D48"/>
      <c r="E48"/>
      <c r="F48"/>
      <c r="G48"/>
      <c r="H4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row>
    <row r="49" spans="3:104">
      <c r="C49"/>
      <c r="D49"/>
      <c r="E49"/>
      <c r="F49"/>
      <c r="G49"/>
      <c r="H49"/>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row>
    <row r="50" spans="3:104">
      <c r="C50"/>
      <c r="D50"/>
      <c r="E50"/>
      <c r="F50"/>
      <c r="G50"/>
      <c r="H50"/>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row>
    <row r="51" spans="3:104">
      <c r="C51"/>
      <c r="D51"/>
      <c r="E51"/>
      <c r="F51"/>
      <c r="G51"/>
      <c r="H51"/>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row>
    <row r="52" spans="3:104">
      <c r="C52"/>
      <c r="D52"/>
      <c r="E52"/>
      <c r="F52"/>
      <c r="G52"/>
      <c r="H52"/>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row>
    <row r="53" spans="3:104">
      <c r="C53"/>
      <c r="D53"/>
      <c r="E53"/>
      <c r="F53"/>
      <c r="G53"/>
      <c r="H53"/>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row>
    <row r="54" spans="3:104">
      <c r="C54"/>
      <c r="D54"/>
      <c r="E54"/>
      <c r="F54"/>
      <c r="G54"/>
      <c r="H54"/>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row>
    <row r="55" spans="3:104">
      <c r="C55"/>
      <c r="D55"/>
      <c r="E55"/>
      <c r="F55"/>
      <c r="G55"/>
      <c r="H55"/>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row>
    <row r="56" spans="3:104">
      <c r="C56"/>
      <c r="D56"/>
      <c r="E56"/>
      <c r="F56"/>
      <c r="G56"/>
      <c r="H5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row>
    <row r="57" spans="3:104">
      <c r="C57"/>
      <c r="D57"/>
      <c r="E57"/>
      <c r="F57"/>
      <c r="G57"/>
      <c r="H57"/>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row>
    <row r="58" spans="3:104">
      <c r="C58"/>
      <c r="D58"/>
      <c r="E58"/>
      <c r="F58"/>
      <c r="G58"/>
      <c r="H5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row>
    <row r="59" spans="3:104">
      <c r="C59"/>
      <c r="D59"/>
      <c r="E59"/>
      <c r="F59"/>
      <c r="G59"/>
      <c r="H59"/>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row>
    <row r="60" spans="3:104">
      <c r="C60"/>
      <c r="D60"/>
      <c r="E60"/>
      <c r="F60"/>
      <c r="G60"/>
      <c r="H60"/>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row>
    <row r="61" spans="3:104">
      <c r="C61"/>
      <c r="D61"/>
      <c r="E61"/>
      <c r="F61"/>
      <c r="G61"/>
      <c r="H61"/>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row>
    <row r="62" spans="3:104">
      <c r="C62"/>
      <c r="D62"/>
      <c r="E62"/>
      <c r="F62"/>
      <c r="G62"/>
      <c r="H62"/>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row>
    <row r="63" spans="3:104">
      <c r="C63"/>
      <c r="D63"/>
      <c r="E63"/>
      <c r="F63"/>
      <c r="G63"/>
      <c r="H63"/>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row>
    <row r="64" spans="3:104">
      <c r="C64"/>
      <c r="D64"/>
      <c r="E64"/>
      <c r="F64"/>
      <c r="G64"/>
      <c r="H64"/>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row>
    <row r="65" spans="3:104">
      <c r="C65"/>
      <c r="D65"/>
      <c r="E65"/>
      <c r="F65"/>
      <c r="G65"/>
      <c r="H65"/>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row>
    <row r="66" spans="3:104">
      <c r="C66"/>
      <c r="D66"/>
      <c r="E66"/>
      <c r="F66"/>
      <c r="G66"/>
      <c r="H66"/>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row>
    <row r="67" spans="3:104">
      <c r="C67"/>
      <c r="D67"/>
      <c r="E67"/>
      <c r="F67"/>
      <c r="G67"/>
      <c r="H67"/>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row>
    <row r="68" spans="3:104">
      <c r="C68"/>
      <c r="D68"/>
      <c r="E68"/>
      <c r="F68"/>
      <c r="G68"/>
      <c r="H6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row>
    <row r="69" spans="3:104">
      <c r="C69"/>
      <c r="D69"/>
      <c r="E69"/>
      <c r="F69"/>
      <c r="G69"/>
      <c r="H69"/>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row>
    <row r="70" spans="3:104">
      <c r="C70"/>
      <c r="D70"/>
      <c r="E70"/>
      <c r="F70"/>
      <c r="G70"/>
      <c r="H70"/>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row>
    <row r="71" spans="3:104">
      <c r="C71"/>
      <c r="D71"/>
      <c r="E71"/>
      <c r="F71"/>
      <c r="G71"/>
      <c r="H71"/>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row>
    <row r="72" spans="3:104">
      <c r="C72"/>
      <c r="D72"/>
      <c r="E72"/>
      <c r="F72"/>
      <c r="G72"/>
      <c r="H72"/>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row>
    <row r="73" spans="3:104">
      <c r="C73"/>
      <c r="D73"/>
      <c r="E73"/>
      <c r="F73"/>
      <c r="G73"/>
      <c r="H73"/>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row>
    <row r="74" spans="3:104">
      <c r="C74"/>
      <c r="D74"/>
      <c r="E74"/>
      <c r="F74"/>
      <c r="G74"/>
      <c r="H74"/>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row>
    <row r="75" spans="3:104">
      <c r="C75"/>
      <c r="D75"/>
      <c r="E75"/>
      <c r="F75"/>
      <c r="G75"/>
      <c r="H75"/>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row>
    <row r="76" spans="3:104">
      <c r="C76"/>
      <c r="D76"/>
      <c r="E76"/>
      <c r="F76"/>
      <c r="G76"/>
      <c r="H76"/>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row>
    <row r="77" spans="3:104">
      <c r="C77"/>
      <c r="D77"/>
      <c r="E77"/>
      <c r="F77"/>
      <c r="G77"/>
      <c r="H77"/>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row>
    <row r="78" spans="3:104">
      <c r="C78"/>
      <c r="D78"/>
      <c r="E78"/>
      <c r="F78"/>
      <c r="G78"/>
      <c r="H7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row>
    <row r="79" spans="3:104">
      <c r="C79"/>
      <c r="D79"/>
      <c r="E79"/>
      <c r="F79"/>
      <c r="G79"/>
      <c r="H79"/>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row>
    <row r="80" spans="3:104">
      <c r="C80"/>
      <c r="D80"/>
      <c r="E80"/>
      <c r="F80"/>
      <c r="G80"/>
      <c r="H80"/>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row>
    <row r="81" spans="3:104">
      <c r="C81"/>
      <c r="D81"/>
      <c r="E81"/>
      <c r="F81"/>
      <c r="G81"/>
      <c r="H81"/>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row>
    <row r="82" spans="3:104">
      <c r="C82"/>
      <c r="D82"/>
      <c r="E82"/>
      <c r="F82"/>
      <c r="G82"/>
      <c r="H82"/>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row>
    <row r="83" spans="3:104">
      <c r="C83"/>
      <c r="D83"/>
      <c r="E83"/>
      <c r="F83"/>
      <c r="G83"/>
      <c r="H83"/>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row>
    <row r="84" spans="3:104">
      <c r="C84"/>
      <c r="D84"/>
      <c r="E84"/>
      <c r="F84"/>
      <c r="G84"/>
      <c r="H84"/>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row>
    <row r="85" spans="3:104">
      <c r="C85"/>
      <c r="D85"/>
      <c r="E85"/>
      <c r="F85"/>
      <c r="G85"/>
      <c r="H85"/>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row>
    <row r="86" spans="3:104">
      <c r="C86"/>
      <c r="D86"/>
      <c r="E86"/>
      <c r="F86"/>
      <c r="G86"/>
      <c r="H86"/>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row>
    <row r="87" spans="3:104">
      <c r="C87"/>
      <c r="D87"/>
      <c r="E87"/>
      <c r="F87"/>
      <c r="G87"/>
      <c r="H87"/>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row>
    <row r="88" spans="3:104">
      <c r="C88"/>
      <c r="D88"/>
      <c r="E88"/>
      <c r="F88"/>
      <c r="G88"/>
      <c r="H8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row>
    <row r="89" spans="3:104">
      <c r="C89"/>
      <c r="D89"/>
      <c r="E89"/>
      <c r="F89"/>
      <c r="G89"/>
      <c r="H89"/>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row>
    <row r="90" spans="3:104">
      <c r="C90"/>
      <c r="D90"/>
      <c r="E90"/>
      <c r="F90"/>
      <c r="G90"/>
      <c r="H90"/>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row>
    <row r="91" spans="3:104">
      <c r="C91"/>
      <c r="D91"/>
      <c r="E91"/>
      <c r="F91"/>
      <c r="G91"/>
      <c r="H91"/>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row>
    <row r="92" spans="3:104">
      <c r="C92"/>
      <c r="D92"/>
      <c r="E92"/>
      <c r="F92"/>
      <c r="G92"/>
      <c r="H92"/>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row>
    <row r="93" spans="3:104">
      <c r="C93"/>
      <c r="D93"/>
      <c r="E93"/>
      <c r="F93"/>
      <c r="G93"/>
      <c r="H93"/>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row>
    <row r="94" spans="3:104">
      <c r="C94"/>
      <c r="D94"/>
      <c r="E94"/>
      <c r="F94"/>
      <c r="G94"/>
      <c r="H94"/>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row>
    <row r="95" spans="3:104">
      <c r="C95"/>
      <c r="D95"/>
      <c r="E95"/>
      <c r="F95"/>
      <c r="G95"/>
      <c r="H95"/>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row>
    <row r="96" spans="3:104">
      <c r="C96"/>
      <c r="D96"/>
      <c r="E96"/>
      <c r="F96"/>
      <c r="G96"/>
      <c r="H96"/>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row>
    <row r="97" spans="3:104">
      <c r="C97"/>
      <c r="D97"/>
      <c r="E97"/>
      <c r="F97"/>
      <c r="G97"/>
      <c r="H97"/>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row>
    <row r="98" spans="3:104">
      <c r="C98"/>
      <c r="D98"/>
      <c r="E98"/>
      <c r="F98"/>
      <c r="G98"/>
      <c r="H9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row>
    <row r="99" spans="3:104">
      <c r="C99"/>
      <c r="D99"/>
      <c r="E99"/>
      <c r="F99"/>
      <c r="G99"/>
      <c r="H99"/>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row>
    <row r="100" spans="3:104">
      <c r="C100"/>
      <c r="D100"/>
      <c r="E100"/>
      <c r="F100"/>
      <c r="G100"/>
      <c r="H100"/>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row>
    <row r="101" spans="3:104">
      <c r="C101"/>
      <c r="D101"/>
      <c r="E101"/>
      <c r="F101"/>
      <c r="G101"/>
      <c r="H101"/>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row>
    <row r="102" spans="3:104">
      <c r="C102"/>
      <c r="D102"/>
      <c r="E102"/>
      <c r="F102"/>
      <c r="G102"/>
      <c r="H102"/>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row>
    <row r="103" spans="3:104">
      <c r="C103"/>
      <c r="D103"/>
      <c r="E103"/>
      <c r="F103"/>
      <c r="G103"/>
      <c r="H103"/>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row>
    <row r="104" spans="3:104">
      <c r="C104"/>
      <c r="D104"/>
      <c r="E104"/>
      <c r="F104"/>
      <c r="G104"/>
      <c r="H104"/>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row>
    <row r="105" spans="3:104">
      <c r="C105"/>
      <c r="D105"/>
      <c r="E105"/>
      <c r="F105"/>
      <c r="G105"/>
      <c r="H105"/>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row>
    <row r="106" spans="3:104">
      <c r="C106"/>
      <c r="D106"/>
      <c r="E106"/>
      <c r="F106"/>
      <c r="G106"/>
      <c r="H106"/>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row>
    <row r="107" spans="3:104">
      <c r="C107"/>
      <c r="D107"/>
      <c r="E107"/>
      <c r="F107"/>
      <c r="G107"/>
      <c r="H107"/>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row>
    <row r="108" spans="3:104">
      <c r="C108"/>
      <c r="D108"/>
      <c r="E108"/>
      <c r="F108"/>
      <c r="G108"/>
      <c r="H10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row>
    <row r="109" spans="3:104">
      <c r="C109"/>
      <c r="D109"/>
      <c r="E109"/>
      <c r="F109"/>
      <c r="G109"/>
      <c r="H109"/>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row>
    <row r="110" spans="3:104">
      <c r="C110"/>
      <c r="D110"/>
      <c r="E110"/>
      <c r="F110"/>
      <c r="G110"/>
      <c r="H110"/>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row>
    <row r="111" spans="3:104">
      <c r="C111"/>
      <c r="D111"/>
      <c r="E111"/>
      <c r="F111"/>
      <c r="G111"/>
      <c r="H111"/>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row>
    <row r="112" spans="3:104">
      <c r="C112"/>
      <c r="D112"/>
      <c r="E112"/>
      <c r="F112"/>
      <c r="G112"/>
      <c r="H112"/>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row>
    <row r="113" spans="3:104">
      <c r="C113"/>
      <c r="D113"/>
      <c r="E113"/>
      <c r="F113"/>
      <c r="G113"/>
      <c r="H113"/>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row>
    <row r="114" spans="3:104">
      <c r="C114"/>
      <c r="D114"/>
      <c r="E114"/>
      <c r="F114"/>
      <c r="G114"/>
      <c r="H114"/>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row>
    <row r="115" spans="3:104">
      <c r="C115"/>
      <c r="D115"/>
      <c r="E115"/>
      <c r="F115"/>
      <c r="G115"/>
      <c r="H115"/>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row>
    <row r="116" spans="3:104">
      <c r="C116"/>
      <c r="D116"/>
      <c r="E116"/>
      <c r="F116"/>
      <c r="G116"/>
      <c r="H116"/>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row>
    <row r="117" spans="3:104">
      <c r="C117"/>
      <c r="D117"/>
      <c r="E117"/>
      <c r="F117"/>
      <c r="G117"/>
      <c r="H117"/>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row>
    <row r="118" spans="3:104">
      <c r="C118"/>
      <c r="D118"/>
      <c r="E118"/>
      <c r="F118"/>
      <c r="G118"/>
      <c r="H11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row>
    <row r="119" spans="3:104">
      <c r="C119"/>
      <c r="D119"/>
      <c r="E119"/>
      <c r="F119"/>
      <c r="G119"/>
      <c r="H119"/>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row>
    <row r="120" spans="3:104">
      <c r="C120"/>
      <c r="D120"/>
      <c r="E120"/>
      <c r="F120"/>
      <c r="G120"/>
      <c r="H120"/>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row>
    <row r="121" spans="3:104">
      <c r="C121"/>
      <c r="D121"/>
      <c r="E121"/>
      <c r="F121"/>
      <c r="G121"/>
      <c r="H121"/>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row>
    <row r="122" spans="3:104">
      <c r="C122"/>
      <c r="D122"/>
      <c r="E122"/>
      <c r="F122"/>
      <c r="G122"/>
      <c r="H122"/>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row>
    <row r="123" spans="3:104">
      <c r="C123"/>
      <c r="D123"/>
      <c r="E123"/>
      <c r="F123"/>
      <c r="G123"/>
      <c r="H123"/>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row>
    <row r="124" spans="3:104">
      <c r="C124"/>
      <c r="D124"/>
      <c r="E124"/>
      <c r="F124"/>
      <c r="G124"/>
      <c r="H124"/>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row>
    <row r="125" spans="3:104">
      <c r="C125"/>
      <c r="D125"/>
      <c r="E125"/>
      <c r="F125"/>
      <c r="G125"/>
      <c r="H125"/>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row>
    <row r="126" spans="3:104">
      <c r="C126"/>
      <c r="D126"/>
      <c r="E126"/>
      <c r="F126"/>
      <c r="G126"/>
      <c r="H126"/>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row>
    <row r="127" spans="3:104">
      <c r="C127"/>
      <c r="D127"/>
      <c r="E127"/>
      <c r="F127"/>
      <c r="G127"/>
      <c r="H127"/>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row>
    <row r="128" spans="3:104">
      <c r="C128"/>
      <c r="D128"/>
      <c r="E128"/>
      <c r="F128"/>
      <c r="G128"/>
      <c r="H12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row>
    <row r="129" spans="3:104">
      <c r="C129"/>
      <c r="D129"/>
      <c r="E129"/>
      <c r="F129"/>
      <c r="G129"/>
      <c r="H129"/>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row>
    <row r="130" spans="3:104">
      <c r="C130"/>
      <c r="D130"/>
      <c r="E130"/>
      <c r="F130"/>
      <c r="G130"/>
      <c r="H130"/>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row>
    <row r="131" spans="3:104">
      <c r="C131"/>
      <c r="D131"/>
      <c r="E131"/>
      <c r="F131"/>
      <c r="G131"/>
      <c r="H131"/>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row>
    <row r="132" spans="3:104">
      <c r="C132"/>
      <c r="D132"/>
      <c r="E132"/>
      <c r="F132"/>
      <c r="G132"/>
      <c r="H132"/>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row>
    <row r="133" spans="3:104">
      <c r="C133"/>
      <c r="D133"/>
      <c r="E133"/>
      <c r="F133"/>
      <c r="G133"/>
      <c r="H133"/>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row>
    <row r="134" spans="3:104">
      <c r="C134"/>
      <c r="D134"/>
      <c r="E134"/>
      <c r="F134"/>
      <c r="G134"/>
      <c r="H134"/>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row>
  </sheetData>
  <mergeCells count="4">
    <mergeCell ref="C6:H6"/>
    <mergeCell ref="J6:O6"/>
    <mergeCell ref="J7:O7"/>
    <mergeCell ref="C7:H7"/>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0">
    <tabColor theme="4"/>
  </sheetPr>
  <dimension ref="B3:H55"/>
  <sheetViews>
    <sheetView topLeftCell="A37" workbookViewId="0">
      <selection activeCell="K36" sqref="K36"/>
    </sheetView>
  </sheetViews>
  <sheetFormatPr defaultRowHeight="14.4"/>
  <cols>
    <col min="2" max="2" width="36.77734375" customWidth="1"/>
  </cols>
  <sheetData>
    <row r="3" spans="2:8">
      <c r="B3" s="8" t="s">
        <v>316</v>
      </c>
    </row>
    <row r="5" spans="2:8" ht="15" thickBot="1"/>
    <row r="6" spans="2:8">
      <c r="B6" s="1257" t="s">
        <v>0</v>
      </c>
      <c r="C6" s="1259" t="s">
        <v>117</v>
      </c>
      <c r="D6" s="1260"/>
      <c r="E6" s="1260"/>
      <c r="F6" s="1260"/>
      <c r="G6" s="1260"/>
      <c r="H6" s="1261"/>
    </row>
    <row r="7" spans="2:8" ht="15" thickBot="1">
      <c r="B7" s="1258"/>
      <c r="C7" s="1134" t="s">
        <v>34</v>
      </c>
      <c r="D7" s="1135"/>
      <c r="E7" s="1135"/>
      <c r="F7" s="1135"/>
      <c r="G7" s="1135"/>
      <c r="H7" s="1136"/>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2">
        <v>2</v>
      </c>
      <c r="D10" s="2">
        <v>2</v>
      </c>
      <c r="E10" s="2">
        <v>2</v>
      </c>
      <c r="F10" s="2">
        <v>2</v>
      </c>
      <c r="G10" s="2"/>
      <c r="H10" s="2"/>
    </row>
    <row r="11" spans="2:8" ht="24.6" thickBot="1">
      <c r="B11" s="1" t="s">
        <v>7</v>
      </c>
      <c r="C11" s="2">
        <v>40</v>
      </c>
      <c r="D11" s="2">
        <v>40</v>
      </c>
      <c r="E11" s="2">
        <v>40</v>
      </c>
      <c r="F11" s="2">
        <v>40</v>
      </c>
      <c r="G11" s="2" t="s">
        <v>6</v>
      </c>
      <c r="H11" s="2"/>
    </row>
    <row r="12" spans="2:8" ht="24.6" thickBot="1">
      <c r="B12" s="1" t="s">
        <v>8</v>
      </c>
      <c r="C12" s="2">
        <v>0</v>
      </c>
      <c r="D12" s="2">
        <v>0</v>
      </c>
      <c r="E12" s="2">
        <v>0</v>
      </c>
      <c r="F12" s="2">
        <v>0</v>
      </c>
      <c r="G12" s="2" t="s">
        <v>59</v>
      </c>
      <c r="H12" s="2"/>
    </row>
    <row r="13" spans="2:8" ht="15" thickBot="1">
      <c r="B13" s="1" t="s">
        <v>9</v>
      </c>
      <c r="C13" s="2">
        <v>300</v>
      </c>
      <c r="D13" s="2">
        <v>310</v>
      </c>
      <c r="E13" s="2">
        <v>340</v>
      </c>
      <c r="F13" s="2">
        <v>350</v>
      </c>
      <c r="G13" s="2"/>
      <c r="H13" s="2" t="s">
        <v>118</v>
      </c>
    </row>
    <row r="14" spans="2:8" ht="15" thickBot="1">
      <c r="B14" s="1" t="s">
        <v>11</v>
      </c>
      <c r="C14" s="2">
        <v>20</v>
      </c>
      <c r="D14" s="2">
        <v>20</v>
      </c>
      <c r="E14" s="2">
        <v>20</v>
      </c>
      <c r="F14" s="2">
        <v>20</v>
      </c>
      <c r="G14" s="2"/>
      <c r="H14" s="2">
        <v>4</v>
      </c>
    </row>
    <row r="15" spans="2:8" ht="15" thickBot="1">
      <c r="B15" s="3" t="s">
        <v>12</v>
      </c>
      <c r="C15" s="18"/>
      <c r="D15" s="18"/>
      <c r="E15" s="18"/>
      <c r="F15" s="18"/>
      <c r="G15" s="18"/>
      <c r="H15" s="2"/>
    </row>
    <row r="16" spans="2:8" ht="27" customHeight="1" thickBot="1">
      <c r="B16" s="1" t="s">
        <v>13</v>
      </c>
      <c r="C16" s="1279" t="s">
        <v>98</v>
      </c>
      <c r="D16" s="1280"/>
      <c r="E16" s="1280"/>
      <c r="F16" s="1280"/>
      <c r="G16" s="1280"/>
      <c r="H16" s="1281"/>
    </row>
    <row r="17" spans="2:8" ht="15.6" thickBot="1">
      <c r="B17" s="1" t="s">
        <v>15</v>
      </c>
      <c r="C17" s="1282"/>
      <c r="D17" s="1283"/>
      <c r="E17" s="1283"/>
      <c r="F17" s="1283"/>
      <c r="G17" s="1283"/>
      <c r="H17" s="1284"/>
    </row>
    <row r="18" spans="2:8" ht="15.6" thickBot="1">
      <c r="B18" s="1" t="s">
        <v>17</v>
      </c>
      <c r="C18" s="1282"/>
      <c r="D18" s="1283"/>
      <c r="E18" s="1283"/>
      <c r="F18" s="1283"/>
      <c r="G18" s="1283"/>
      <c r="H18" s="1284"/>
    </row>
    <row r="19" spans="2:8" ht="15.6" thickBot="1">
      <c r="B19" s="1" t="s">
        <v>18</v>
      </c>
      <c r="C19" s="1282"/>
      <c r="D19" s="1283"/>
      <c r="E19" s="1283"/>
      <c r="F19" s="1283"/>
      <c r="G19" s="1283"/>
      <c r="H19" s="1284"/>
    </row>
    <row r="20" spans="2:8" ht="15" thickBot="1">
      <c r="B20" s="1" t="s">
        <v>19</v>
      </c>
      <c r="C20" s="1285"/>
      <c r="D20" s="1286"/>
      <c r="E20" s="1286"/>
      <c r="F20" s="1286"/>
      <c r="G20" s="1286"/>
      <c r="H20" s="1287"/>
    </row>
    <row r="21" spans="2:8" ht="15" thickBot="1">
      <c r="B21" s="3" t="s">
        <v>22</v>
      </c>
      <c r="C21" s="18"/>
      <c r="D21" s="18"/>
      <c r="E21" s="18"/>
      <c r="F21" s="18"/>
      <c r="G21" s="18"/>
      <c r="H21" s="2"/>
    </row>
    <row r="22" spans="2:8" ht="15" thickBot="1">
      <c r="B22" s="1" t="s">
        <v>23</v>
      </c>
      <c r="C22" s="2"/>
      <c r="D22" s="2"/>
      <c r="E22" s="2"/>
      <c r="F22" s="2"/>
      <c r="G22" s="2"/>
      <c r="H22" s="2"/>
    </row>
    <row r="23" spans="2:8">
      <c r="B23" s="6" t="s">
        <v>24</v>
      </c>
      <c r="C23" s="7">
        <v>2.5</v>
      </c>
      <c r="D23" s="7">
        <v>2.4</v>
      </c>
      <c r="E23" s="7">
        <v>2.2000000000000002</v>
      </c>
      <c r="F23" s="7">
        <v>2.1</v>
      </c>
      <c r="G23" s="7" t="s">
        <v>119</v>
      </c>
      <c r="H23" s="7" t="s">
        <v>65</v>
      </c>
    </row>
    <row r="24" spans="2:8">
      <c r="B24" s="6" t="s">
        <v>26</v>
      </c>
      <c r="C24" s="7" t="s">
        <v>120</v>
      </c>
      <c r="D24" s="7">
        <v>90</v>
      </c>
      <c r="E24" s="7">
        <v>90</v>
      </c>
      <c r="F24" s="7">
        <v>90</v>
      </c>
      <c r="G24" s="7" t="s">
        <v>20</v>
      </c>
      <c r="H24" s="7"/>
    </row>
    <row r="25" spans="2:8" ht="15" thickBot="1">
      <c r="B25" s="1" t="s">
        <v>96</v>
      </c>
      <c r="C25" s="2" t="s">
        <v>121</v>
      </c>
      <c r="D25" s="2">
        <v>10</v>
      </c>
      <c r="E25" s="2">
        <v>10</v>
      </c>
      <c r="F25" s="2">
        <v>10</v>
      </c>
      <c r="G25" s="2" t="s">
        <v>20</v>
      </c>
      <c r="H25" s="2"/>
    </row>
    <row r="26" spans="2:8" ht="24.6" thickBot="1">
      <c r="B26" s="1" t="s">
        <v>30</v>
      </c>
      <c r="C26" s="2"/>
      <c r="D26" s="2"/>
      <c r="E26" s="2"/>
      <c r="F26" s="2"/>
      <c r="G26" s="2"/>
      <c r="H26" s="2"/>
    </row>
    <row r="27" spans="2:8" ht="15" thickBot="1">
      <c r="B27" s="1" t="s">
        <v>64</v>
      </c>
      <c r="C27" s="2">
        <v>44</v>
      </c>
      <c r="D27" s="2">
        <v>44</v>
      </c>
      <c r="E27" s="2">
        <v>44</v>
      </c>
      <c r="F27" s="2">
        <v>44</v>
      </c>
      <c r="G27" s="2" t="s">
        <v>76</v>
      </c>
      <c r="H27" s="2">
        <v>2</v>
      </c>
    </row>
    <row r="28" spans="2:8" ht="15" thickBot="1">
      <c r="B28" s="1" t="s">
        <v>31</v>
      </c>
      <c r="C28" s="2"/>
      <c r="D28" s="2"/>
      <c r="E28" s="2"/>
      <c r="F28" s="2"/>
      <c r="G28" s="2"/>
      <c r="H28" s="2"/>
    </row>
    <row r="32" spans="2:8" ht="15" thickBot="1"/>
    <row r="33" spans="2:8">
      <c r="B33" s="1257" t="s">
        <v>0</v>
      </c>
      <c r="C33" s="1259" t="s">
        <v>117</v>
      </c>
      <c r="D33" s="1260"/>
      <c r="E33" s="1260"/>
      <c r="F33" s="1260"/>
      <c r="G33" s="1260"/>
      <c r="H33" s="1261"/>
    </row>
    <row r="34" spans="2:8" ht="15" thickBot="1">
      <c r="B34" s="1258"/>
      <c r="C34" s="1134" t="s">
        <v>35</v>
      </c>
      <c r="D34" s="1135"/>
      <c r="E34" s="1135"/>
      <c r="F34" s="1135"/>
      <c r="G34" s="1135"/>
      <c r="H34" s="1136"/>
    </row>
    <row r="35" spans="2:8" ht="15" thickBot="1">
      <c r="B35" s="1"/>
      <c r="C35" s="2">
        <v>2015</v>
      </c>
      <c r="D35" s="2">
        <v>2020</v>
      </c>
      <c r="E35" s="2">
        <v>2030</v>
      </c>
      <c r="F35" s="2">
        <v>2050</v>
      </c>
      <c r="G35" s="2" t="s">
        <v>2</v>
      </c>
      <c r="H35" s="2" t="s">
        <v>3</v>
      </c>
    </row>
    <row r="36" spans="2:8" ht="15" thickBot="1">
      <c r="B36" s="3" t="s">
        <v>4</v>
      </c>
      <c r="C36" s="4"/>
      <c r="D36" s="4"/>
      <c r="E36" s="4"/>
      <c r="F36" s="4"/>
      <c r="G36" s="4"/>
      <c r="H36" s="5"/>
    </row>
    <row r="37" spans="2:8" ht="15" thickBot="1">
      <c r="B37" s="1" t="s">
        <v>5</v>
      </c>
      <c r="C37" s="2" t="s">
        <v>122</v>
      </c>
      <c r="D37" s="2" t="s">
        <v>122</v>
      </c>
      <c r="E37" s="2" t="s">
        <v>122</v>
      </c>
      <c r="F37" s="2" t="s">
        <v>122</v>
      </c>
      <c r="G37" s="2"/>
      <c r="H37" s="2"/>
    </row>
    <row r="38" spans="2:8" ht="24.6" thickBot="1">
      <c r="B38" s="1" t="s">
        <v>7</v>
      </c>
      <c r="C38" s="2">
        <v>40</v>
      </c>
      <c r="D38" s="2">
        <v>40</v>
      </c>
      <c r="E38" s="2">
        <v>40</v>
      </c>
      <c r="F38" s="2">
        <v>40</v>
      </c>
      <c r="G38" s="2" t="s">
        <v>6</v>
      </c>
      <c r="H38" s="2"/>
    </row>
    <row r="39" spans="2:8" ht="24.6" thickBot="1">
      <c r="B39" s="1" t="s">
        <v>8</v>
      </c>
      <c r="C39" s="2">
        <v>0</v>
      </c>
      <c r="D39" s="2">
        <v>0</v>
      </c>
      <c r="E39" s="2">
        <v>0</v>
      </c>
      <c r="F39" s="2">
        <v>0</v>
      </c>
      <c r="G39" s="2"/>
      <c r="H39" s="2"/>
    </row>
    <row r="40" spans="2:8" ht="15" thickBot="1">
      <c r="B40" s="1" t="s">
        <v>9</v>
      </c>
      <c r="C40" s="2">
        <v>300</v>
      </c>
      <c r="D40" s="2">
        <v>310</v>
      </c>
      <c r="E40" s="2">
        <v>340</v>
      </c>
      <c r="F40" s="2">
        <v>350</v>
      </c>
      <c r="G40" s="2"/>
      <c r="H40" s="2" t="s">
        <v>118</v>
      </c>
    </row>
    <row r="41" spans="2:8" ht="15" thickBot="1">
      <c r="B41" s="1" t="s">
        <v>11</v>
      </c>
      <c r="C41" s="2">
        <v>20</v>
      </c>
      <c r="D41" s="2">
        <v>20</v>
      </c>
      <c r="E41" s="2">
        <v>20</v>
      </c>
      <c r="F41" s="2">
        <v>20</v>
      </c>
      <c r="G41" s="2"/>
      <c r="H41" s="2">
        <v>4</v>
      </c>
    </row>
    <row r="42" spans="2:8" ht="15" thickBot="1">
      <c r="B42" s="3" t="s">
        <v>12</v>
      </c>
      <c r="C42" s="18"/>
      <c r="D42" s="18"/>
      <c r="E42" s="18"/>
      <c r="F42" s="18"/>
      <c r="G42" s="20"/>
      <c r="H42" s="21"/>
    </row>
    <row r="43" spans="2:8" ht="27" customHeight="1" thickBot="1">
      <c r="B43" s="1" t="s">
        <v>13</v>
      </c>
      <c r="C43" s="1279" t="s">
        <v>98</v>
      </c>
      <c r="D43" s="1280"/>
      <c r="E43" s="1280"/>
      <c r="F43" s="1280"/>
      <c r="G43" s="1280"/>
      <c r="H43" s="1281"/>
    </row>
    <row r="44" spans="2:8" ht="15.6" thickBot="1">
      <c r="B44" s="1" t="s">
        <v>15</v>
      </c>
      <c r="C44" s="1282"/>
      <c r="D44" s="1283"/>
      <c r="E44" s="1283"/>
      <c r="F44" s="1283"/>
      <c r="G44" s="1283"/>
      <c r="H44" s="1284"/>
    </row>
    <row r="45" spans="2:8" ht="15.6" thickBot="1">
      <c r="B45" s="1" t="s">
        <v>17</v>
      </c>
      <c r="C45" s="1282"/>
      <c r="D45" s="1283"/>
      <c r="E45" s="1283"/>
      <c r="F45" s="1283"/>
      <c r="G45" s="1283"/>
      <c r="H45" s="1284"/>
    </row>
    <row r="46" spans="2:8" ht="15.6" thickBot="1">
      <c r="B46" s="1" t="s">
        <v>18</v>
      </c>
      <c r="C46" s="1282"/>
      <c r="D46" s="1283"/>
      <c r="E46" s="1283"/>
      <c r="F46" s="1283"/>
      <c r="G46" s="1283"/>
      <c r="H46" s="1284"/>
    </row>
    <row r="47" spans="2:8" ht="15" thickBot="1">
      <c r="B47" s="1" t="s">
        <v>19</v>
      </c>
      <c r="C47" s="1285"/>
      <c r="D47" s="1286"/>
      <c r="E47" s="1286"/>
      <c r="F47" s="1286"/>
      <c r="G47" s="1286"/>
      <c r="H47" s="1287"/>
    </row>
    <row r="48" spans="2:8" ht="15" thickBot="1">
      <c r="B48" s="3" t="s">
        <v>22</v>
      </c>
      <c r="C48" s="18"/>
      <c r="D48" s="18"/>
      <c r="E48" s="18"/>
      <c r="F48" s="18"/>
      <c r="G48" s="20"/>
      <c r="H48" s="21"/>
    </row>
    <row r="49" spans="2:8" ht="15" thickBot="1">
      <c r="B49" s="1" t="s">
        <v>23</v>
      </c>
      <c r="C49" s="2">
        <v>1</v>
      </c>
      <c r="D49" s="2">
        <v>1</v>
      </c>
      <c r="E49" s="2">
        <v>0.9</v>
      </c>
      <c r="F49" s="2">
        <v>0.9</v>
      </c>
      <c r="G49" s="2" t="s">
        <v>16</v>
      </c>
      <c r="H49" s="2" t="s">
        <v>65</v>
      </c>
    </row>
    <row r="50" spans="2:8">
      <c r="B50" s="6" t="s">
        <v>24</v>
      </c>
      <c r="C50" s="7"/>
      <c r="D50" s="7"/>
      <c r="E50" s="7"/>
      <c r="F50" s="7"/>
      <c r="G50" s="7"/>
      <c r="H50" s="7"/>
    </row>
    <row r="51" spans="2:8">
      <c r="B51" s="6" t="s">
        <v>26</v>
      </c>
      <c r="C51" s="7"/>
      <c r="D51" s="7"/>
      <c r="E51" s="7"/>
      <c r="F51" s="7"/>
      <c r="G51" s="7"/>
      <c r="H51" s="7"/>
    </row>
    <row r="52" spans="2:8" ht="15" thickBot="1">
      <c r="B52" s="1" t="s">
        <v>96</v>
      </c>
      <c r="C52" s="2"/>
      <c r="D52" s="2"/>
      <c r="E52" s="2"/>
      <c r="F52" s="2"/>
      <c r="G52" s="2"/>
      <c r="H52" s="2"/>
    </row>
    <row r="53" spans="2:8" ht="24.6" thickBot="1">
      <c r="B53" s="1" t="s">
        <v>30</v>
      </c>
      <c r="C53" s="2"/>
      <c r="D53" s="2"/>
      <c r="E53" s="2"/>
      <c r="F53" s="2"/>
      <c r="G53" s="2"/>
      <c r="H53" s="2"/>
    </row>
    <row r="54" spans="2:8" ht="15" thickBot="1">
      <c r="B54" s="1" t="s">
        <v>64</v>
      </c>
      <c r="C54" s="2">
        <v>135</v>
      </c>
      <c r="D54" s="2">
        <v>135</v>
      </c>
      <c r="E54" s="2">
        <v>135</v>
      </c>
      <c r="F54" s="2">
        <v>135</v>
      </c>
      <c r="G54" s="2" t="s">
        <v>76</v>
      </c>
      <c r="H54" s="2">
        <v>2</v>
      </c>
    </row>
    <row r="55" spans="2:8" ht="15" thickBot="1">
      <c r="B55" s="1" t="s">
        <v>31</v>
      </c>
      <c r="C55" s="2"/>
      <c r="D55" s="2"/>
      <c r="E55" s="2"/>
      <c r="F55" s="2"/>
      <c r="G55" s="2"/>
      <c r="H55" s="2"/>
    </row>
  </sheetData>
  <mergeCells count="8">
    <mergeCell ref="C43:H47"/>
    <mergeCell ref="B6:B7"/>
    <mergeCell ref="C6:H6"/>
    <mergeCell ref="C7:H7"/>
    <mergeCell ref="C16:H20"/>
    <mergeCell ref="B33:B34"/>
    <mergeCell ref="C33:H33"/>
    <mergeCell ref="C34:H34"/>
  </mergeCells>
  <pageMargins left="0.7" right="0.7" top="0.75" bottom="0.75" header="0.3" footer="0.3"/>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1">
    <tabColor theme="4"/>
  </sheetPr>
  <dimension ref="B3:X140"/>
  <sheetViews>
    <sheetView topLeftCell="A49" workbookViewId="0">
      <selection activeCell="L43" sqref="L43"/>
    </sheetView>
  </sheetViews>
  <sheetFormatPr defaultRowHeight="14.4"/>
  <cols>
    <col min="2" max="2" width="36.77734375" customWidth="1"/>
    <col min="3" max="6" width="10" bestFit="1" customWidth="1"/>
    <col min="10" max="10" width="15.77734375" customWidth="1"/>
    <col min="15" max="15" width="10" bestFit="1" customWidth="1"/>
  </cols>
  <sheetData>
    <row r="3" spans="2:24">
      <c r="B3" s="8" t="s">
        <v>318</v>
      </c>
    </row>
    <row r="4" spans="2:24">
      <c r="E4" t="s">
        <v>334</v>
      </c>
      <c r="F4" s="36">
        <v>7.45</v>
      </c>
      <c r="G4" t="s">
        <v>328</v>
      </c>
    </row>
    <row r="5" spans="2:24" ht="15" thickBot="1"/>
    <row r="6" spans="2:24">
      <c r="B6" s="1257" t="s">
        <v>0</v>
      </c>
      <c r="C6" s="1259" t="s">
        <v>131</v>
      </c>
      <c r="D6" s="1260"/>
      <c r="E6" s="1260"/>
      <c r="F6" s="1260"/>
      <c r="G6" s="1260"/>
      <c r="H6" s="1261"/>
      <c r="J6" s="1259" t="str">
        <f>C6</f>
        <v>Electric heating</v>
      </c>
      <c r="K6" s="1260"/>
      <c r="L6" s="1260"/>
      <c r="M6" s="1260"/>
      <c r="N6" s="1260"/>
      <c r="O6" s="1261"/>
    </row>
    <row r="7" spans="2:24" ht="15" thickBot="1">
      <c r="B7" s="1258"/>
      <c r="C7" s="1134" t="s">
        <v>34</v>
      </c>
      <c r="D7" s="1135"/>
      <c r="E7" s="1135"/>
      <c r="F7" s="1135"/>
      <c r="G7" s="1135"/>
      <c r="H7" s="1136"/>
      <c r="J7" s="1134" t="str">
        <f>C7</f>
        <v>One-family house, new building</v>
      </c>
      <c r="K7" s="1135"/>
      <c r="L7" s="1135"/>
      <c r="M7" s="1135"/>
      <c r="N7" s="1135"/>
      <c r="O7" s="1136"/>
    </row>
    <row r="8" spans="2:24" ht="15" thickBot="1">
      <c r="B8" s="1"/>
      <c r="C8" s="2">
        <v>2015</v>
      </c>
      <c r="D8" s="2">
        <v>2020</v>
      </c>
      <c r="E8" s="2">
        <v>2030</v>
      </c>
      <c r="F8" s="2">
        <v>2050</v>
      </c>
      <c r="G8" s="2" t="s">
        <v>2</v>
      </c>
      <c r="H8" s="2" t="s">
        <v>3</v>
      </c>
      <c r="J8" s="53" t="s">
        <v>357</v>
      </c>
    </row>
    <row r="9" spans="2:24" ht="28.2" thickBot="1">
      <c r="B9" s="3" t="s">
        <v>4</v>
      </c>
      <c r="C9" s="4"/>
      <c r="D9" s="4"/>
      <c r="E9" s="4"/>
      <c r="F9" s="4"/>
      <c r="G9" s="4"/>
      <c r="H9" s="5"/>
      <c r="J9" s="46" t="s">
        <v>335</v>
      </c>
      <c r="K9" s="46" t="s">
        <v>336</v>
      </c>
      <c r="L9" s="47" t="s">
        <v>337</v>
      </c>
      <c r="M9" s="47" t="s">
        <v>338</v>
      </c>
      <c r="N9" s="47" t="s">
        <v>339</v>
      </c>
      <c r="O9" s="48" t="s">
        <v>340</v>
      </c>
      <c r="P9" s="49" t="s">
        <v>341</v>
      </c>
      <c r="Q9" s="49" t="s">
        <v>342</v>
      </c>
      <c r="R9" s="49" t="s">
        <v>343</v>
      </c>
      <c r="S9" s="49" t="s">
        <v>344</v>
      </c>
      <c r="T9" s="49" t="s">
        <v>345</v>
      </c>
      <c r="U9" s="49" t="s">
        <v>346</v>
      </c>
      <c r="V9" s="49" t="s">
        <v>347</v>
      </c>
      <c r="W9" s="49" t="s">
        <v>348</v>
      </c>
      <c r="X9" s="49" t="s">
        <v>349</v>
      </c>
    </row>
    <row r="10" spans="2:24" ht="15" thickBot="1">
      <c r="B10" s="1" t="s">
        <v>5</v>
      </c>
      <c r="C10" s="2">
        <v>5</v>
      </c>
      <c r="D10" s="2">
        <v>5</v>
      </c>
      <c r="E10" s="2">
        <v>5</v>
      </c>
      <c r="F10" s="2">
        <v>5</v>
      </c>
      <c r="G10" s="2"/>
      <c r="H10" s="2"/>
      <c r="J10" s="50"/>
      <c r="K10" s="50"/>
      <c r="L10" s="51"/>
      <c r="M10" s="51"/>
      <c r="N10" s="51"/>
      <c r="O10" s="52"/>
      <c r="P10" s="50"/>
      <c r="Q10" s="50"/>
      <c r="R10" s="50"/>
      <c r="S10" s="50"/>
      <c r="T10" s="50"/>
      <c r="U10" s="50"/>
      <c r="V10" s="50"/>
      <c r="W10" s="50"/>
      <c r="X10" s="50"/>
    </row>
    <row r="11" spans="2:24" ht="24.6" thickBot="1">
      <c r="B11" s="1" t="s">
        <v>7</v>
      </c>
      <c r="C11" s="2">
        <v>100</v>
      </c>
      <c r="D11" s="2">
        <v>100</v>
      </c>
      <c r="E11" s="2">
        <v>100</v>
      </c>
      <c r="F11" s="2">
        <v>100</v>
      </c>
      <c r="G11" s="2"/>
      <c r="H11" s="2"/>
      <c r="J11" s="56"/>
      <c r="K11" s="56"/>
      <c r="L11" s="57"/>
      <c r="M11" s="57"/>
      <c r="N11" s="57"/>
      <c r="O11" s="56" t="s">
        <v>350</v>
      </c>
      <c r="P11" s="56" t="s">
        <v>326</v>
      </c>
      <c r="Q11" s="56" t="s">
        <v>327</v>
      </c>
      <c r="R11" s="56" t="s">
        <v>351</v>
      </c>
      <c r="S11" s="56" t="s">
        <v>351</v>
      </c>
      <c r="T11" s="56" t="s">
        <v>352</v>
      </c>
      <c r="U11" s="56" t="s">
        <v>352</v>
      </c>
      <c r="V11" s="56" t="s">
        <v>352</v>
      </c>
      <c r="W11" s="56" t="s">
        <v>352</v>
      </c>
      <c r="X11" s="56" t="s">
        <v>352</v>
      </c>
    </row>
    <row r="12" spans="2:24" ht="24.6" thickBot="1">
      <c r="B12" s="1" t="s">
        <v>8</v>
      </c>
      <c r="C12" s="2">
        <v>100</v>
      </c>
      <c r="D12" s="2">
        <v>100</v>
      </c>
      <c r="E12" s="2">
        <v>100</v>
      </c>
      <c r="F12" s="2">
        <v>100</v>
      </c>
      <c r="G12" s="2"/>
      <c r="H12" s="2"/>
      <c r="J12" s="58">
        <f>C8</f>
        <v>2015</v>
      </c>
      <c r="K12" s="58">
        <f>J12</f>
        <v>2015</v>
      </c>
      <c r="L12" s="58">
        <f>C13/100</f>
        <v>1</v>
      </c>
      <c r="M12" s="58"/>
      <c r="N12" s="58">
        <f>C14</f>
        <v>30</v>
      </c>
      <c r="O12" s="59">
        <f>C29</f>
        <v>5960</v>
      </c>
      <c r="P12" s="59">
        <f>C31</f>
        <v>74.5</v>
      </c>
      <c r="Q12" s="59">
        <f>C32</f>
        <v>0</v>
      </c>
      <c r="R12" s="58"/>
      <c r="S12" s="58"/>
      <c r="T12" s="58"/>
      <c r="U12" s="58"/>
      <c r="V12" s="58"/>
      <c r="W12" s="58"/>
      <c r="X12" s="58"/>
    </row>
    <row r="13" spans="2:24" ht="15" thickBot="1">
      <c r="B13" s="1" t="s">
        <v>9</v>
      </c>
      <c r="C13" s="2">
        <v>100</v>
      </c>
      <c r="D13" s="2">
        <v>100</v>
      </c>
      <c r="E13" s="2">
        <v>100</v>
      </c>
      <c r="F13" s="2">
        <v>100</v>
      </c>
      <c r="G13" s="2" t="s">
        <v>6</v>
      </c>
      <c r="H13" s="2"/>
      <c r="J13" s="58">
        <f>D8</f>
        <v>2020</v>
      </c>
      <c r="K13" s="58"/>
      <c r="L13" s="58">
        <f>D13/100</f>
        <v>1</v>
      </c>
      <c r="M13" s="58"/>
      <c r="N13" s="58">
        <f>D14</f>
        <v>30</v>
      </c>
      <c r="O13" s="59">
        <f>D29</f>
        <v>5960</v>
      </c>
      <c r="P13" s="59">
        <f>D31</f>
        <v>74.5</v>
      </c>
      <c r="Q13" s="59">
        <f>D32</f>
        <v>0</v>
      </c>
      <c r="R13" s="58"/>
      <c r="S13" s="58"/>
      <c r="T13" s="58"/>
      <c r="U13" s="58"/>
      <c r="V13" s="58"/>
      <c r="W13" s="58"/>
      <c r="X13" s="58"/>
    </row>
    <row r="14" spans="2:24" ht="15" thickBot="1">
      <c r="B14" s="1" t="s">
        <v>11</v>
      </c>
      <c r="C14" s="2">
        <v>30</v>
      </c>
      <c r="D14" s="2">
        <v>30</v>
      </c>
      <c r="E14" s="2">
        <v>30</v>
      </c>
      <c r="F14" s="2">
        <v>30</v>
      </c>
      <c r="G14" s="2"/>
      <c r="H14" s="2"/>
      <c r="J14" s="58">
        <f>E8</f>
        <v>2030</v>
      </c>
      <c r="K14" s="58"/>
      <c r="L14" s="58">
        <f>E13/100</f>
        <v>1</v>
      </c>
      <c r="M14" s="58"/>
      <c r="N14" s="58">
        <f>E14</f>
        <v>30</v>
      </c>
      <c r="O14" s="59">
        <f>E29</f>
        <v>5960</v>
      </c>
      <c r="P14" s="59">
        <f>E31</f>
        <v>74.5</v>
      </c>
      <c r="Q14" s="59">
        <f>E32</f>
        <v>0</v>
      </c>
      <c r="R14" s="58"/>
      <c r="S14" s="58"/>
      <c r="T14" s="58"/>
      <c r="U14" s="58"/>
      <c r="V14" s="58"/>
      <c r="W14" s="58"/>
      <c r="X14" s="58"/>
    </row>
    <row r="15" spans="2:24" ht="15" thickBot="1">
      <c r="B15" s="3" t="s">
        <v>12</v>
      </c>
      <c r="C15" s="4"/>
      <c r="D15" s="4"/>
      <c r="E15" s="4"/>
      <c r="F15" s="4"/>
      <c r="G15" s="4"/>
      <c r="H15" s="5"/>
      <c r="J15" s="58">
        <f>F8</f>
        <v>2050</v>
      </c>
      <c r="K15" s="58"/>
      <c r="L15" s="58">
        <f>F13/100</f>
        <v>1</v>
      </c>
      <c r="M15" s="58"/>
      <c r="N15" s="58">
        <f>F14</f>
        <v>30</v>
      </c>
      <c r="O15" s="59">
        <f>F29</f>
        <v>5960</v>
      </c>
      <c r="P15" s="59">
        <f>F31</f>
        <v>74.5</v>
      </c>
      <c r="Q15" s="59">
        <f>F32</f>
        <v>0</v>
      </c>
      <c r="R15" s="58"/>
      <c r="S15" s="58"/>
      <c r="T15" s="58"/>
      <c r="U15" s="58"/>
      <c r="V15" s="58"/>
      <c r="W15" s="58"/>
      <c r="X15" s="58"/>
    </row>
    <row r="16" spans="2:24" ht="27" customHeight="1" thickBot="1">
      <c r="B16" s="1" t="s">
        <v>13</v>
      </c>
      <c r="C16" s="1279" t="s">
        <v>133</v>
      </c>
      <c r="D16" s="1280"/>
      <c r="E16" s="1280"/>
      <c r="F16" s="1280"/>
      <c r="G16" s="1280"/>
      <c r="H16" s="1281"/>
    </row>
    <row r="17" spans="2:8" ht="15.6" thickBot="1">
      <c r="B17" s="1" t="s">
        <v>15</v>
      </c>
      <c r="C17" s="1282"/>
      <c r="D17" s="1283"/>
      <c r="E17" s="1283"/>
      <c r="F17" s="1283"/>
      <c r="G17" s="1283"/>
      <c r="H17" s="1284"/>
    </row>
    <row r="18" spans="2:8" ht="15.6" thickBot="1">
      <c r="B18" s="1" t="s">
        <v>17</v>
      </c>
      <c r="C18" s="1282"/>
      <c r="D18" s="1283"/>
      <c r="E18" s="1283"/>
      <c r="F18" s="1283"/>
      <c r="G18" s="1283"/>
      <c r="H18" s="1284"/>
    </row>
    <row r="19" spans="2:8" ht="15.6" thickBot="1">
      <c r="B19" s="1" t="s">
        <v>18</v>
      </c>
      <c r="C19" s="1282"/>
      <c r="D19" s="1283"/>
      <c r="E19" s="1283"/>
      <c r="F19" s="1283"/>
      <c r="G19" s="1283"/>
      <c r="H19" s="1284"/>
    </row>
    <row r="20" spans="2:8" ht="15" thickBot="1">
      <c r="B20" s="1" t="s">
        <v>19</v>
      </c>
      <c r="C20" s="1285"/>
      <c r="D20" s="1286"/>
      <c r="E20" s="1286"/>
      <c r="F20" s="1286"/>
      <c r="G20" s="1286"/>
      <c r="H20" s="1287"/>
    </row>
    <row r="21" spans="2:8" ht="15" thickBot="1">
      <c r="B21" s="3" t="s">
        <v>22</v>
      </c>
      <c r="C21" s="4"/>
      <c r="D21" s="4"/>
      <c r="E21" s="4"/>
      <c r="F21" s="4"/>
      <c r="G21" s="4"/>
      <c r="H21" s="5"/>
    </row>
    <row r="22" spans="2:8" ht="15" thickBot="1">
      <c r="B22" s="1" t="s">
        <v>23</v>
      </c>
      <c r="C22" s="2"/>
      <c r="D22" s="2"/>
      <c r="E22" s="2"/>
      <c r="F22" s="2"/>
      <c r="G22" s="2"/>
      <c r="H22" s="2"/>
    </row>
    <row r="23" spans="2:8">
      <c r="B23" s="6" t="s">
        <v>24</v>
      </c>
      <c r="C23" s="7">
        <v>4</v>
      </c>
      <c r="D23" s="7">
        <v>4</v>
      </c>
      <c r="E23" s="7">
        <v>4</v>
      </c>
      <c r="F23" s="7">
        <v>4</v>
      </c>
      <c r="G23" s="7" t="s">
        <v>20</v>
      </c>
      <c r="H23" s="7">
        <v>6</v>
      </c>
    </row>
    <row r="24" spans="2:8">
      <c r="B24" s="6" t="s">
        <v>26</v>
      </c>
      <c r="C24" s="7" t="s">
        <v>27</v>
      </c>
      <c r="D24" s="7">
        <v>70</v>
      </c>
      <c r="E24" s="7">
        <v>70</v>
      </c>
      <c r="F24" s="7">
        <v>70</v>
      </c>
      <c r="G24" s="7"/>
      <c r="H24" s="7">
        <v>6</v>
      </c>
    </row>
    <row r="25" spans="2:8" ht="15" thickBot="1">
      <c r="B25" s="1" t="s">
        <v>96</v>
      </c>
      <c r="C25" s="2" t="s">
        <v>29</v>
      </c>
      <c r="D25" s="2">
        <v>30</v>
      </c>
      <c r="E25" s="2">
        <v>30</v>
      </c>
      <c r="F25" s="2">
        <v>30</v>
      </c>
      <c r="G25" s="2"/>
      <c r="H25" s="2">
        <v>6</v>
      </c>
    </row>
    <row r="26" spans="2:8" ht="24.6" thickBot="1">
      <c r="B26" s="1" t="s">
        <v>30</v>
      </c>
      <c r="C26" s="2"/>
      <c r="D26" s="2"/>
      <c r="E26" s="2"/>
      <c r="F26" s="2"/>
      <c r="G26" s="2"/>
      <c r="H26" s="2"/>
    </row>
    <row r="27" spans="2:8" ht="15" thickBot="1">
      <c r="B27" s="1" t="s">
        <v>50</v>
      </c>
      <c r="C27" s="2">
        <v>10</v>
      </c>
      <c r="D27" s="2">
        <v>10</v>
      </c>
      <c r="E27" s="2">
        <v>10</v>
      </c>
      <c r="F27" s="2">
        <v>10</v>
      </c>
      <c r="G27" s="2" t="s">
        <v>16</v>
      </c>
      <c r="H27" s="2"/>
    </row>
    <row r="28" spans="2:8" ht="15" thickBot="1">
      <c r="B28" s="1" t="s">
        <v>31</v>
      </c>
      <c r="C28" s="2"/>
      <c r="D28" s="2"/>
      <c r="E28" s="2"/>
      <c r="F28" s="2"/>
      <c r="G28" s="2"/>
      <c r="H28" s="2"/>
    </row>
    <row r="29" spans="2:8">
      <c r="B29" s="36" t="s">
        <v>353</v>
      </c>
      <c r="C29" s="60">
        <f>C30/C10</f>
        <v>5960</v>
      </c>
      <c r="D29" s="60">
        <f>D30/D10</f>
        <v>5960</v>
      </c>
      <c r="E29" s="60">
        <f>E30/E10</f>
        <v>5960</v>
      </c>
      <c r="F29" s="60">
        <f>F30/F10</f>
        <v>5960</v>
      </c>
      <c r="G29" s="63" t="s">
        <v>332</v>
      </c>
      <c r="H29" s="63"/>
    </row>
    <row r="30" spans="2:8">
      <c r="B30" s="36" t="s">
        <v>354</v>
      </c>
      <c r="C30" s="60">
        <f>C23*$F$4*1000</f>
        <v>29800</v>
      </c>
      <c r="D30" s="60">
        <f>D23*$F$4*1000</f>
        <v>29800</v>
      </c>
      <c r="E30" s="60">
        <f>E23*$F$4*1000</f>
        <v>29800</v>
      </c>
      <c r="F30" s="60">
        <f>F23*$F$4*1000</f>
        <v>29800</v>
      </c>
      <c r="G30" s="70">
        <f>C10</f>
        <v>5</v>
      </c>
      <c r="H30" s="69" t="s">
        <v>330</v>
      </c>
    </row>
    <row r="31" spans="2:8">
      <c r="B31" s="36" t="s">
        <v>355</v>
      </c>
      <c r="C31" s="60">
        <f>C27*$F$4</f>
        <v>74.5</v>
      </c>
      <c r="D31" s="60">
        <f t="shared" ref="D31:F31" si="0">D27*$F$4</f>
        <v>74.5</v>
      </c>
      <c r="E31" s="60">
        <f t="shared" si="0"/>
        <v>74.5</v>
      </c>
      <c r="F31" s="60">
        <f t="shared" si="0"/>
        <v>74.5</v>
      </c>
      <c r="G31" s="69" t="s">
        <v>331</v>
      </c>
      <c r="H31" s="69"/>
    </row>
    <row r="32" spans="2:8" ht="15" thickBot="1">
      <c r="B32" s="36" t="s">
        <v>356</v>
      </c>
      <c r="C32" s="60">
        <f t="shared" ref="C32:F32" si="1">C28*$F$4</f>
        <v>0</v>
      </c>
      <c r="D32" s="60">
        <f t="shared" si="1"/>
        <v>0</v>
      </c>
      <c r="E32" s="60">
        <f t="shared" si="1"/>
        <v>0</v>
      </c>
      <c r="F32" s="60">
        <f t="shared" si="1"/>
        <v>0</v>
      </c>
      <c r="G32" s="61"/>
      <c r="H32" s="61"/>
    </row>
    <row r="33" spans="2:24">
      <c r="B33" s="1257" t="s">
        <v>0</v>
      </c>
      <c r="C33" s="1259" t="s">
        <v>131</v>
      </c>
      <c r="D33" s="1260"/>
      <c r="E33" s="1260"/>
      <c r="F33" s="1260"/>
      <c r="G33" s="1260"/>
      <c r="H33" s="1261"/>
      <c r="J33" s="1257" t="s">
        <v>0</v>
      </c>
      <c r="K33" s="1259" t="s">
        <v>131</v>
      </c>
      <c r="L33" s="1260"/>
      <c r="M33" s="1260"/>
      <c r="N33" s="1260"/>
      <c r="O33" s="1260"/>
      <c r="P33" s="1261"/>
    </row>
    <row r="34" spans="2:24" ht="15.75" customHeight="1" thickBot="1">
      <c r="B34" s="1258"/>
      <c r="C34" s="1134" t="s">
        <v>35</v>
      </c>
      <c r="D34" s="1135"/>
      <c r="E34" s="1135"/>
      <c r="F34" s="1135"/>
      <c r="G34" s="1135"/>
      <c r="H34" s="1136"/>
      <c r="J34" s="1258"/>
      <c r="K34" s="1134" t="s">
        <v>35</v>
      </c>
      <c r="L34" s="1135"/>
      <c r="M34" s="1135"/>
      <c r="N34" s="1135"/>
      <c r="O34" s="1135"/>
      <c r="P34" s="1136"/>
    </row>
    <row r="35" spans="2:24" ht="15" thickBot="1">
      <c r="B35" s="1"/>
      <c r="C35" s="2">
        <v>2015</v>
      </c>
      <c r="D35" s="2">
        <v>2020</v>
      </c>
      <c r="E35" s="2">
        <v>2030</v>
      </c>
      <c r="F35" s="2">
        <v>2050</v>
      </c>
      <c r="G35" s="2" t="s">
        <v>2</v>
      </c>
      <c r="H35" s="2" t="s">
        <v>3</v>
      </c>
      <c r="J35" s="53" t="s">
        <v>357</v>
      </c>
    </row>
    <row r="36" spans="2:24" ht="28.2" thickBot="1">
      <c r="B36" s="3" t="s">
        <v>4</v>
      </c>
      <c r="C36" s="4"/>
      <c r="D36" s="4"/>
      <c r="E36" s="4"/>
      <c r="F36" s="4"/>
      <c r="G36" s="4"/>
      <c r="H36" s="5"/>
      <c r="J36" s="46" t="s">
        <v>335</v>
      </c>
      <c r="K36" s="46" t="s">
        <v>336</v>
      </c>
      <c r="L36" s="47" t="s">
        <v>337</v>
      </c>
      <c r="M36" s="47" t="s">
        <v>338</v>
      </c>
      <c r="N36" s="47" t="s">
        <v>339</v>
      </c>
      <c r="O36" s="48" t="s">
        <v>340</v>
      </c>
      <c r="P36" s="49" t="s">
        <v>341</v>
      </c>
      <c r="Q36" s="49" t="s">
        <v>342</v>
      </c>
      <c r="R36" s="49" t="s">
        <v>343</v>
      </c>
      <c r="S36" s="49" t="s">
        <v>344</v>
      </c>
      <c r="T36" s="49" t="s">
        <v>345</v>
      </c>
      <c r="U36" s="49" t="s">
        <v>346</v>
      </c>
      <c r="V36" s="49" t="s">
        <v>347</v>
      </c>
      <c r="W36" s="49" t="s">
        <v>348</v>
      </c>
      <c r="X36" s="49" t="s">
        <v>349</v>
      </c>
    </row>
    <row r="37" spans="2:24" ht="15" thickBot="1">
      <c r="B37" s="1" t="s">
        <v>5</v>
      </c>
      <c r="C37" s="2">
        <v>400</v>
      </c>
      <c r="D37" s="2">
        <v>400</v>
      </c>
      <c r="E37" s="2">
        <v>400</v>
      </c>
      <c r="F37" s="2">
        <v>400</v>
      </c>
      <c r="G37" s="2" t="s">
        <v>59</v>
      </c>
      <c r="H37" s="2"/>
      <c r="J37" s="50"/>
      <c r="K37" s="50"/>
      <c r="L37" s="51"/>
      <c r="M37" s="51"/>
      <c r="N37" s="51"/>
      <c r="O37" s="52"/>
      <c r="P37" s="50"/>
      <c r="Q37" s="50"/>
      <c r="R37" s="50"/>
      <c r="S37" s="50"/>
      <c r="T37" s="50"/>
      <c r="U37" s="50"/>
      <c r="V37" s="50"/>
      <c r="W37" s="50"/>
      <c r="X37" s="50"/>
    </row>
    <row r="38" spans="2:24" ht="24.6" thickBot="1">
      <c r="B38" s="1" t="s">
        <v>7</v>
      </c>
      <c r="C38" s="2">
        <v>100</v>
      </c>
      <c r="D38" s="2">
        <v>100</v>
      </c>
      <c r="E38" s="2">
        <v>100</v>
      </c>
      <c r="F38" s="2">
        <v>100</v>
      </c>
      <c r="G38" s="2"/>
      <c r="H38" s="2"/>
      <c r="J38" s="56"/>
      <c r="K38" s="56"/>
      <c r="L38" s="57"/>
      <c r="M38" s="57"/>
      <c r="N38" s="57"/>
      <c r="O38" s="56" t="s">
        <v>350</v>
      </c>
      <c r="P38" s="56" t="s">
        <v>326</v>
      </c>
      <c r="Q38" s="56" t="s">
        <v>327</v>
      </c>
      <c r="R38" s="56" t="s">
        <v>351</v>
      </c>
      <c r="S38" s="56" t="s">
        <v>351</v>
      </c>
      <c r="T38" s="56" t="s">
        <v>352</v>
      </c>
      <c r="U38" s="56" t="s">
        <v>352</v>
      </c>
      <c r="V38" s="56" t="s">
        <v>352</v>
      </c>
      <c r="W38" s="56" t="s">
        <v>352</v>
      </c>
      <c r="X38" s="56" t="s">
        <v>352</v>
      </c>
    </row>
    <row r="39" spans="2:24" ht="24.6" thickBot="1">
      <c r="B39" s="1" t="s">
        <v>8</v>
      </c>
      <c r="C39" s="2">
        <v>100</v>
      </c>
      <c r="D39" s="2">
        <v>100</v>
      </c>
      <c r="E39" s="2">
        <v>100</v>
      </c>
      <c r="F39" s="2">
        <v>100</v>
      </c>
      <c r="G39" s="2"/>
      <c r="H39" s="2"/>
      <c r="J39" s="58">
        <f>C35</f>
        <v>2015</v>
      </c>
      <c r="K39" s="58">
        <f>J39</f>
        <v>2015</v>
      </c>
      <c r="L39" s="353">
        <f>C109/100</f>
        <v>0.98</v>
      </c>
      <c r="M39" s="353"/>
      <c r="N39" s="353">
        <f>C114</f>
        <v>20</v>
      </c>
      <c r="O39" s="354">
        <f>C129*1000*7.5</f>
        <v>1125</v>
      </c>
      <c r="P39" s="355">
        <f>C135/1000</f>
        <v>1.1000000000000001</v>
      </c>
      <c r="Q39" s="354">
        <f>C136</f>
        <v>0.8</v>
      </c>
      <c r="R39" s="58"/>
      <c r="S39" s="58"/>
      <c r="T39" s="58"/>
      <c r="U39" s="58"/>
      <c r="V39" s="58"/>
      <c r="W39" s="58"/>
      <c r="X39" s="58"/>
    </row>
    <row r="40" spans="2:24" ht="15" thickBot="1">
      <c r="B40" s="1" t="s">
        <v>9</v>
      </c>
      <c r="C40" s="2">
        <v>95</v>
      </c>
      <c r="D40" s="2">
        <v>95</v>
      </c>
      <c r="E40" s="2">
        <v>95</v>
      </c>
      <c r="F40" s="2">
        <v>95</v>
      </c>
      <c r="G40" s="2" t="s">
        <v>6</v>
      </c>
      <c r="H40" s="2"/>
      <c r="J40" s="58">
        <f>D35</f>
        <v>2020</v>
      </c>
      <c r="K40" s="58"/>
      <c r="L40" s="353">
        <f>D109/100</f>
        <v>0.99</v>
      </c>
      <c r="M40" s="353"/>
      <c r="N40" s="353">
        <f>C114</f>
        <v>20</v>
      </c>
      <c r="O40" s="354">
        <f>D129*1000*7.5</f>
        <v>1125</v>
      </c>
      <c r="P40" s="355">
        <f>D135/1000</f>
        <v>1.07</v>
      </c>
      <c r="Q40" s="354">
        <f>D136</f>
        <v>0.9</v>
      </c>
      <c r="R40" s="58"/>
      <c r="S40" s="58"/>
      <c r="T40" s="58"/>
      <c r="U40" s="58"/>
      <c r="V40" s="58"/>
      <c r="W40" s="58"/>
      <c r="X40" s="58"/>
    </row>
    <row r="41" spans="2:24" ht="15" thickBot="1">
      <c r="B41" s="1" t="s">
        <v>11</v>
      </c>
      <c r="C41" s="2">
        <v>30</v>
      </c>
      <c r="D41" s="2">
        <v>30</v>
      </c>
      <c r="E41" s="2">
        <v>30</v>
      </c>
      <c r="F41" s="2">
        <v>30</v>
      </c>
      <c r="G41" s="2"/>
      <c r="H41" s="2"/>
      <c r="J41" s="58">
        <f>E35</f>
        <v>2030</v>
      </c>
      <c r="K41" s="58"/>
      <c r="L41" s="353">
        <f>E109/100</f>
        <v>0.99</v>
      </c>
      <c r="M41" s="353"/>
      <c r="N41" s="353">
        <f>E114</f>
        <v>20</v>
      </c>
      <c r="O41" s="354">
        <f>E129*1000*7.5</f>
        <v>1050</v>
      </c>
      <c r="P41" s="355">
        <f>E135/1000</f>
        <v>1.02</v>
      </c>
      <c r="Q41" s="354">
        <f>E136</f>
        <v>1</v>
      </c>
      <c r="R41" s="58"/>
      <c r="S41" s="58"/>
      <c r="T41" s="58"/>
      <c r="U41" s="58"/>
      <c r="V41" s="58"/>
      <c r="W41" s="58"/>
      <c r="X41" s="58"/>
    </row>
    <row r="42" spans="2:24" ht="15" thickBot="1">
      <c r="B42" s="3" t="s">
        <v>12</v>
      </c>
      <c r="C42" s="4"/>
      <c r="D42" s="4"/>
      <c r="E42" s="4"/>
      <c r="F42" s="4"/>
      <c r="G42" s="4"/>
      <c r="H42" s="5"/>
      <c r="J42" s="58">
        <f>F35</f>
        <v>2050</v>
      </c>
      <c r="K42" s="58"/>
      <c r="L42" s="353">
        <f>F109/100</f>
        <v>0.99</v>
      </c>
      <c r="M42" s="353"/>
      <c r="N42" s="353">
        <f>F114</f>
        <v>20</v>
      </c>
      <c r="O42" s="354">
        <f>F129*1000*7.5</f>
        <v>975</v>
      </c>
      <c r="P42" s="355">
        <f>F135/1000</f>
        <v>0.92</v>
      </c>
      <c r="Q42" s="354">
        <f>F136</f>
        <v>1</v>
      </c>
      <c r="R42" s="58"/>
      <c r="S42" s="58"/>
      <c r="T42" s="58"/>
      <c r="U42" s="58"/>
      <c r="V42" s="58"/>
      <c r="W42" s="58"/>
      <c r="X42" s="58"/>
    </row>
    <row r="43" spans="2:24" ht="27" customHeight="1" thickBot="1">
      <c r="B43" s="1" t="s">
        <v>13</v>
      </c>
      <c r="C43" s="1279" t="s">
        <v>133</v>
      </c>
      <c r="D43" s="1280"/>
      <c r="E43" s="1280"/>
      <c r="F43" s="1280"/>
      <c r="G43" s="1280"/>
      <c r="H43" s="1281"/>
      <c r="J43" s="58"/>
      <c r="K43" s="58"/>
      <c r="L43" s="58"/>
      <c r="M43" s="58"/>
      <c r="N43" s="58"/>
      <c r="O43" s="59"/>
      <c r="P43" s="59"/>
      <c r="Q43" s="59"/>
      <c r="R43" s="58"/>
      <c r="S43" s="58"/>
      <c r="T43" s="58"/>
      <c r="U43" s="58"/>
      <c r="V43" s="58"/>
      <c r="W43" s="58"/>
      <c r="X43" s="58"/>
    </row>
    <row r="44" spans="2:24" ht="15.6" thickBot="1">
      <c r="B44" s="1" t="s">
        <v>15</v>
      </c>
      <c r="C44" s="1282"/>
      <c r="D44" s="1283"/>
      <c r="E44" s="1283"/>
      <c r="F44" s="1283"/>
      <c r="G44" s="1283"/>
      <c r="H44" s="1284"/>
    </row>
    <row r="45" spans="2:24" ht="15.6" thickBot="1">
      <c r="B45" s="1" t="s">
        <v>17</v>
      </c>
      <c r="C45" s="1282"/>
      <c r="D45" s="1283"/>
      <c r="E45" s="1283"/>
      <c r="F45" s="1283"/>
      <c r="G45" s="1283"/>
      <c r="H45" s="1284"/>
    </row>
    <row r="46" spans="2:24" ht="15.6" thickBot="1">
      <c r="B46" s="1" t="s">
        <v>18</v>
      </c>
      <c r="C46" s="1282"/>
      <c r="D46" s="1283"/>
      <c r="E46" s="1283"/>
      <c r="F46" s="1283"/>
      <c r="G46" s="1283"/>
      <c r="H46" s="1284"/>
    </row>
    <row r="47" spans="2:24" ht="15" thickBot="1">
      <c r="B47" s="1" t="s">
        <v>19</v>
      </c>
      <c r="C47" s="1285"/>
      <c r="D47" s="1286"/>
      <c r="E47" s="1286"/>
      <c r="F47" s="1286"/>
      <c r="G47" s="1286"/>
      <c r="H47" s="1287"/>
    </row>
    <row r="48" spans="2:24" ht="15" thickBot="1">
      <c r="B48" s="3" t="s">
        <v>22</v>
      </c>
      <c r="C48" s="4"/>
      <c r="D48" s="4"/>
      <c r="E48" s="4"/>
      <c r="F48" s="4"/>
      <c r="G48" s="4"/>
      <c r="H48" s="5"/>
    </row>
    <row r="49" spans="2:15" ht="15" thickBot="1">
      <c r="B49" s="1" t="s">
        <v>23</v>
      </c>
      <c r="C49" s="2"/>
      <c r="D49" s="2"/>
      <c r="E49" s="2"/>
      <c r="F49" s="2"/>
      <c r="G49" s="2"/>
      <c r="H49" s="2"/>
    </row>
    <row r="50" spans="2:15">
      <c r="B50" s="6" t="s">
        <v>24</v>
      </c>
      <c r="C50" s="7">
        <v>266</v>
      </c>
      <c r="D50" s="7">
        <v>266</v>
      </c>
      <c r="E50" s="7">
        <v>266</v>
      </c>
      <c r="F50" s="7">
        <v>266</v>
      </c>
      <c r="G50" s="7" t="s">
        <v>132</v>
      </c>
      <c r="H50" s="7">
        <v>6</v>
      </c>
    </row>
    <row r="51" spans="2:15">
      <c r="B51" s="6" t="s">
        <v>26</v>
      </c>
      <c r="C51" s="7" t="s">
        <v>27</v>
      </c>
      <c r="D51" s="7">
        <v>70</v>
      </c>
      <c r="E51" s="7">
        <v>70</v>
      </c>
      <c r="F51" s="7">
        <v>70</v>
      </c>
      <c r="G51" s="7"/>
      <c r="H51" s="7">
        <v>6</v>
      </c>
    </row>
    <row r="52" spans="2:15" ht="15" thickBot="1">
      <c r="B52" s="1" t="s">
        <v>96</v>
      </c>
      <c r="C52" s="2" t="s">
        <v>29</v>
      </c>
      <c r="D52" s="2">
        <v>30</v>
      </c>
      <c r="E52" s="2">
        <v>30</v>
      </c>
      <c r="F52" s="2">
        <v>30</v>
      </c>
      <c r="G52" s="2"/>
      <c r="H52" s="2">
        <v>6</v>
      </c>
    </row>
    <row r="53" spans="2:15" ht="24.6" thickBot="1">
      <c r="B53" s="1" t="s">
        <v>30</v>
      </c>
      <c r="C53" s="2"/>
      <c r="D53" s="2"/>
      <c r="E53" s="2"/>
      <c r="F53" s="2"/>
      <c r="G53" s="2"/>
      <c r="H53" s="2"/>
    </row>
    <row r="54" spans="2:15" ht="15" thickBot="1">
      <c r="B54" s="1" t="s">
        <v>50</v>
      </c>
      <c r="C54" s="2">
        <v>10</v>
      </c>
      <c r="D54" s="2">
        <v>10</v>
      </c>
      <c r="E54" s="2">
        <v>10</v>
      </c>
      <c r="F54" s="2">
        <v>10</v>
      </c>
      <c r="G54" s="2" t="s">
        <v>16</v>
      </c>
      <c r="H54" s="2"/>
    </row>
    <row r="55" spans="2:15" ht="15" thickBot="1">
      <c r="B55" s="1" t="s">
        <v>31</v>
      </c>
      <c r="C55" s="2"/>
      <c r="D55" s="2"/>
      <c r="E55" s="2"/>
      <c r="F55" s="2"/>
      <c r="G55" s="2"/>
      <c r="H55" s="2"/>
    </row>
    <row r="56" spans="2:15">
      <c r="B56" s="36" t="s">
        <v>353</v>
      </c>
      <c r="C56" s="60">
        <f>C50*$F$4/C37*1000</f>
        <v>4954.25</v>
      </c>
      <c r="D56" s="60">
        <f>D50*$F$4/D37*1000</f>
        <v>4954.25</v>
      </c>
      <c r="E56" s="60">
        <f>E50*$F$4/E37*1000</f>
        <v>4954.25</v>
      </c>
      <c r="F56" s="60">
        <f>F50*$F$4/F37*1000</f>
        <v>4954.25</v>
      </c>
      <c r="G56" s="63" t="s">
        <v>332</v>
      </c>
      <c r="H56" s="63"/>
    </row>
    <row r="57" spans="2:15">
      <c r="B57" s="36" t="s">
        <v>354</v>
      </c>
      <c r="C57" s="60">
        <f>C50*$F$4*1000</f>
        <v>1981700</v>
      </c>
      <c r="D57" s="60">
        <f>D50*$F$4*1000</f>
        <v>1981700</v>
      </c>
      <c r="E57" s="60">
        <f>E50*$F$4*1000</f>
        <v>1981700</v>
      </c>
      <c r="F57" s="60">
        <f>F50*$F$4*1000</f>
        <v>1981700</v>
      </c>
      <c r="G57" s="70">
        <f>C37</f>
        <v>400</v>
      </c>
      <c r="H57" s="69" t="s">
        <v>330</v>
      </c>
    </row>
    <row r="58" spans="2:15">
      <c r="B58" s="36" t="s">
        <v>355</v>
      </c>
      <c r="C58" s="307">
        <f>C54*$F$4</f>
        <v>74.5</v>
      </c>
      <c r="D58" s="307">
        <f t="shared" ref="C58:F59" si="2">D54*$F$4</f>
        <v>74.5</v>
      </c>
      <c r="E58" s="307">
        <f t="shared" si="2"/>
        <v>74.5</v>
      </c>
      <c r="F58" s="307">
        <f t="shared" si="2"/>
        <v>74.5</v>
      </c>
      <c r="G58" s="69" t="s">
        <v>331</v>
      </c>
      <c r="H58" s="69"/>
    </row>
    <row r="59" spans="2:15">
      <c r="B59" s="36" t="s">
        <v>356</v>
      </c>
      <c r="C59" s="60">
        <f t="shared" si="2"/>
        <v>0</v>
      </c>
      <c r="D59" s="60">
        <f t="shared" si="2"/>
        <v>0</v>
      </c>
      <c r="E59" s="60">
        <f t="shared" si="2"/>
        <v>0</v>
      </c>
      <c r="F59" s="60">
        <f t="shared" si="2"/>
        <v>0</v>
      </c>
      <c r="G59" s="61"/>
      <c r="H59" s="61"/>
    </row>
    <row r="60" spans="2:15">
      <c r="C60">
        <f>C58/1000</f>
        <v>7.4499999999999997E-2</v>
      </c>
    </row>
    <row r="61" spans="2:15" ht="15" thickBot="1"/>
    <row r="62" spans="2:15">
      <c r="J62" s="1259">
        <f>C62</f>
        <v>0</v>
      </c>
      <c r="K62" s="1260"/>
      <c r="L62" s="1260"/>
      <c r="M62" s="1260"/>
      <c r="N62" s="1260"/>
      <c r="O62" s="1261"/>
    </row>
    <row r="63" spans="2:15" ht="15" thickBot="1">
      <c r="B63" s="124" t="s">
        <v>410</v>
      </c>
      <c r="J63" s="1134">
        <f>C63</f>
        <v>0</v>
      </c>
      <c r="K63" s="1135"/>
      <c r="L63" s="1135"/>
      <c r="M63" s="1135"/>
      <c r="N63" s="1135"/>
      <c r="O63" s="1136"/>
    </row>
    <row r="64" spans="2:15">
      <c r="B64" s="124" t="s">
        <v>411</v>
      </c>
      <c r="J64" s="53" t="s">
        <v>357</v>
      </c>
    </row>
    <row r="65" spans="2:24" ht="27.6">
      <c r="B65" s="124" t="s">
        <v>412</v>
      </c>
      <c r="J65" s="46" t="s">
        <v>335</v>
      </c>
      <c r="K65" s="46" t="s">
        <v>336</v>
      </c>
      <c r="L65" s="47" t="s">
        <v>337</v>
      </c>
      <c r="M65" s="47" t="s">
        <v>338</v>
      </c>
      <c r="N65" s="47" t="s">
        <v>339</v>
      </c>
      <c r="O65" s="48" t="s">
        <v>340</v>
      </c>
      <c r="P65" s="49" t="s">
        <v>341</v>
      </c>
      <c r="Q65" s="49" t="s">
        <v>342</v>
      </c>
      <c r="R65" s="49" t="s">
        <v>343</v>
      </c>
      <c r="S65" s="49" t="s">
        <v>344</v>
      </c>
      <c r="T65" s="49" t="s">
        <v>345</v>
      </c>
      <c r="U65" s="49" t="s">
        <v>346</v>
      </c>
      <c r="V65" s="49" t="s">
        <v>347</v>
      </c>
      <c r="W65" s="49" t="s">
        <v>348</v>
      </c>
      <c r="X65" s="49" t="s">
        <v>349</v>
      </c>
    </row>
    <row r="66" spans="2:24" ht="15" thickBot="1">
      <c r="B66" s="124" t="s">
        <v>413</v>
      </c>
      <c r="J66" s="50"/>
      <c r="K66" s="50"/>
      <c r="L66" s="51"/>
      <c r="M66" s="51"/>
      <c r="N66" s="51"/>
      <c r="O66" s="52"/>
      <c r="P66" s="50"/>
      <c r="Q66" s="50"/>
      <c r="R66" s="50"/>
      <c r="S66" s="50"/>
      <c r="T66" s="50"/>
      <c r="U66" s="50"/>
      <c r="V66" s="50"/>
      <c r="W66" s="50"/>
      <c r="X66" s="50"/>
    </row>
    <row r="67" spans="2:24">
      <c r="B67" s="124" t="s">
        <v>414</v>
      </c>
      <c r="J67" s="56"/>
      <c r="K67" s="56"/>
      <c r="L67" s="57"/>
      <c r="M67" s="57"/>
      <c r="N67" s="57"/>
      <c r="O67" s="56" t="s">
        <v>350</v>
      </c>
      <c r="P67" s="56" t="s">
        <v>326</v>
      </c>
      <c r="Q67" s="56" t="s">
        <v>327</v>
      </c>
      <c r="R67" s="56" t="s">
        <v>351</v>
      </c>
      <c r="S67" s="56" t="s">
        <v>351</v>
      </c>
      <c r="T67" s="56" t="s">
        <v>352</v>
      </c>
      <c r="U67" s="56" t="s">
        <v>352</v>
      </c>
      <c r="V67" s="56" t="s">
        <v>352</v>
      </c>
      <c r="W67" s="56" t="s">
        <v>352</v>
      </c>
      <c r="X67" s="56" t="s">
        <v>352</v>
      </c>
    </row>
    <row r="68" spans="2:24">
      <c r="B68" s="124"/>
      <c r="J68" s="58">
        <f>C64</f>
        <v>0</v>
      </c>
      <c r="K68" s="58">
        <f>J68</f>
        <v>0</v>
      </c>
      <c r="L68" s="58">
        <f>C69/100</f>
        <v>0</v>
      </c>
      <c r="M68" s="58"/>
      <c r="N68" s="58">
        <f>C70</f>
        <v>0</v>
      </c>
      <c r="O68" s="59">
        <f>C85</f>
        <v>0</v>
      </c>
      <c r="P68" s="59">
        <f>C87</f>
        <v>0</v>
      </c>
      <c r="Q68" s="59">
        <f>C88</f>
        <v>0</v>
      </c>
      <c r="R68" s="58"/>
      <c r="S68" s="58"/>
      <c r="T68" s="58"/>
      <c r="U68" s="58"/>
      <c r="V68" s="58"/>
      <c r="W68" s="58"/>
      <c r="X68" s="58"/>
    </row>
    <row r="69" spans="2:24">
      <c r="B69" s="124"/>
      <c r="J69" s="58">
        <f>D64</f>
        <v>0</v>
      </c>
      <c r="K69" s="58"/>
      <c r="L69" s="58">
        <f>D69/100</f>
        <v>0</v>
      </c>
      <c r="M69" s="58"/>
      <c r="N69" s="58">
        <f>D70</f>
        <v>0</v>
      </c>
      <c r="O69" s="59">
        <f>D85</f>
        <v>0</v>
      </c>
      <c r="P69" s="59">
        <f>D87</f>
        <v>0</v>
      </c>
      <c r="Q69" s="59">
        <f>D88</f>
        <v>0</v>
      </c>
      <c r="R69" s="58"/>
      <c r="S69" s="58"/>
      <c r="T69" s="58"/>
      <c r="U69" s="58"/>
      <c r="V69" s="58"/>
      <c r="W69" s="58"/>
      <c r="X69" s="58"/>
    </row>
    <row r="70" spans="2:24">
      <c r="B70" s="124" t="s">
        <v>415</v>
      </c>
      <c r="J70" s="58">
        <f>E64</f>
        <v>0</v>
      </c>
      <c r="K70" s="58"/>
      <c r="L70" s="58">
        <f>E69/100</f>
        <v>0</v>
      </c>
      <c r="M70" s="58"/>
      <c r="N70" s="58">
        <f>E70</f>
        <v>0</v>
      </c>
      <c r="O70" s="59">
        <f>E85</f>
        <v>0</v>
      </c>
      <c r="P70" s="59">
        <f>E87</f>
        <v>0</v>
      </c>
      <c r="Q70" s="59">
        <f>E88</f>
        <v>0</v>
      </c>
      <c r="R70" s="58"/>
      <c r="S70" s="58"/>
      <c r="T70" s="58"/>
      <c r="U70" s="58"/>
      <c r="V70" s="58"/>
      <c r="W70" s="58"/>
      <c r="X70" s="58"/>
    </row>
    <row r="71" spans="2:24">
      <c r="B71" s="124" t="s">
        <v>416</v>
      </c>
      <c r="J71" s="58">
        <f>F64</f>
        <v>0</v>
      </c>
      <c r="K71" s="58"/>
      <c r="L71" s="58">
        <f>F69/100</f>
        <v>0</v>
      </c>
      <c r="M71" s="58"/>
      <c r="N71" s="58">
        <f>F70</f>
        <v>0</v>
      </c>
      <c r="O71" s="59">
        <f>F85</f>
        <v>0</v>
      </c>
      <c r="P71" s="59">
        <f>F87</f>
        <v>0</v>
      </c>
      <c r="Q71" s="59">
        <f>F88</f>
        <v>0</v>
      </c>
      <c r="R71" s="58"/>
      <c r="S71" s="58"/>
      <c r="T71" s="58"/>
      <c r="U71" s="58"/>
      <c r="V71" s="58"/>
      <c r="W71" s="58"/>
      <c r="X71" s="58"/>
    </row>
    <row r="72" spans="2:24">
      <c r="B72" s="124" t="s">
        <v>417</v>
      </c>
    </row>
    <row r="73" spans="2:24">
      <c r="B73" s="124" t="s">
        <v>418</v>
      </c>
    </row>
    <row r="74" spans="2:24">
      <c r="B74" s="124" t="s">
        <v>419</v>
      </c>
    </row>
    <row r="75" spans="2:24">
      <c r="B75" s="124" t="s">
        <v>420</v>
      </c>
    </row>
    <row r="76" spans="2:24">
      <c r="B76" s="124" t="s">
        <v>421</v>
      </c>
    </row>
    <row r="89" spans="10:24" ht="15" thickBot="1"/>
    <row r="90" spans="10:24">
      <c r="J90" s="1259">
        <f>C90</f>
        <v>0</v>
      </c>
      <c r="K90" s="1260"/>
      <c r="L90" s="1260"/>
      <c r="M90" s="1260"/>
      <c r="N90" s="1260"/>
      <c r="O90" s="1261"/>
    </row>
    <row r="91" spans="10:24" ht="15" thickBot="1">
      <c r="J91" s="1134">
        <f>C91</f>
        <v>0</v>
      </c>
      <c r="K91" s="1135"/>
      <c r="L91" s="1135"/>
      <c r="M91" s="1135"/>
      <c r="N91" s="1135"/>
      <c r="O91" s="1136"/>
    </row>
    <row r="92" spans="10:24">
      <c r="J92" s="53" t="s">
        <v>357</v>
      </c>
    </row>
    <row r="93" spans="10:24" ht="27.6">
      <c r="J93" s="46" t="s">
        <v>335</v>
      </c>
      <c r="K93" s="46" t="s">
        <v>336</v>
      </c>
      <c r="L93" s="47" t="s">
        <v>337</v>
      </c>
      <c r="M93" s="47" t="s">
        <v>338</v>
      </c>
      <c r="N93" s="47" t="s">
        <v>339</v>
      </c>
      <c r="O93" s="48" t="s">
        <v>340</v>
      </c>
      <c r="P93" s="49" t="s">
        <v>341</v>
      </c>
      <c r="Q93" s="49" t="s">
        <v>342</v>
      </c>
      <c r="R93" s="49" t="s">
        <v>343</v>
      </c>
      <c r="S93" s="49" t="s">
        <v>344</v>
      </c>
      <c r="T93" s="49" t="s">
        <v>345</v>
      </c>
      <c r="U93" s="49" t="s">
        <v>346</v>
      </c>
      <c r="V93" s="49" t="s">
        <v>347</v>
      </c>
      <c r="W93" s="49" t="s">
        <v>348</v>
      </c>
      <c r="X93" s="49" t="s">
        <v>349</v>
      </c>
    </row>
    <row r="94" spans="10:24" ht="15" thickBot="1">
      <c r="J94" s="50"/>
      <c r="K94" s="50"/>
      <c r="L94" s="51"/>
      <c r="M94" s="51"/>
      <c r="N94" s="51"/>
      <c r="O94" s="52"/>
      <c r="P94" s="50"/>
      <c r="Q94" s="50"/>
      <c r="R94" s="50"/>
      <c r="S94" s="50"/>
      <c r="T94" s="50"/>
      <c r="U94" s="50"/>
      <c r="V94" s="50"/>
      <c r="W94" s="50"/>
      <c r="X94" s="50"/>
    </row>
    <row r="95" spans="10:24">
      <c r="J95" s="56"/>
      <c r="K95" s="56"/>
      <c r="L95" s="57"/>
      <c r="M95" s="57"/>
      <c r="N95" s="57"/>
      <c r="O95" s="56" t="s">
        <v>350</v>
      </c>
      <c r="P95" s="56" t="s">
        <v>326</v>
      </c>
      <c r="Q95" s="56" t="s">
        <v>327</v>
      </c>
      <c r="R95" s="56" t="s">
        <v>351</v>
      </c>
      <c r="S95" s="56" t="s">
        <v>351</v>
      </c>
      <c r="T95" s="56" t="s">
        <v>352</v>
      </c>
      <c r="U95" s="56" t="s">
        <v>352</v>
      </c>
      <c r="V95" s="56" t="s">
        <v>352</v>
      </c>
      <c r="W95" s="56" t="s">
        <v>352</v>
      </c>
      <c r="X95" s="56" t="s">
        <v>352</v>
      </c>
    </row>
    <row r="96" spans="10:24">
      <c r="J96" s="58">
        <f>C92</f>
        <v>0</v>
      </c>
      <c r="K96" s="58">
        <f>J96</f>
        <v>0</v>
      </c>
      <c r="L96" s="58">
        <f>C97/100</f>
        <v>0</v>
      </c>
      <c r="M96" s="58"/>
      <c r="N96" s="58">
        <f>C98</f>
        <v>0</v>
      </c>
      <c r="O96" s="59" t="str">
        <f>C113</f>
        <v>0.2</v>
      </c>
      <c r="P96" s="59" t="str">
        <f>C115</f>
        <v>0.5</v>
      </c>
      <c r="Q96" s="59">
        <f>C116</f>
        <v>0</v>
      </c>
      <c r="R96" s="58"/>
      <c r="S96" s="58"/>
      <c r="T96" s="58"/>
      <c r="U96" s="58"/>
      <c r="V96" s="58"/>
      <c r="W96" s="58"/>
      <c r="X96" s="58"/>
    </row>
    <row r="97" spans="2:24">
      <c r="J97" s="58">
        <f>D92</f>
        <v>0</v>
      </c>
      <c r="K97" s="58"/>
      <c r="L97" s="58">
        <f>D97/100</f>
        <v>0</v>
      </c>
      <c r="M97" s="58"/>
      <c r="N97" s="58">
        <f>D98</f>
        <v>0</v>
      </c>
      <c r="O97" s="59" t="str">
        <f>D113</f>
        <v>0.2</v>
      </c>
      <c r="P97" s="59" t="str">
        <f>D115</f>
        <v>0.5</v>
      </c>
      <c r="Q97" s="59">
        <f>D116</f>
        <v>0</v>
      </c>
      <c r="R97" s="58"/>
      <c r="S97" s="58"/>
      <c r="T97" s="58"/>
      <c r="U97" s="58"/>
      <c r="V97" s="58"/>
      <c r="W97" s="58"/>
      <c r="X97" s="58"/>
    </row>
    <row r="98" spans="2:24">
      <c r="J98" s="58">
        <f>E92</f>
        <v>0</v>
      </c>
      <c r="K98" s="58"/>
      <c r="L98" s="58">
        <f>E97/100</f>
        <v>0</v>
      </c>
      <c r="M98" s="58"/>
      <c r="N98" s="58">
        <f>E98</f>
        <v>0</v>
      </c>
      <c r="O98" s="59" t="str">
        <f>E113</f>
        <v>0.2</v>
      </c>
      <c r="P98" s="59" t="str">
        <f>E115</f>
        <v>0.5</v>
      </c>
      <c r="Q98" s="59">
        <f>E116</f>
        <v>0</v>
      </c>
      <c r="R98" s="58"/>
      <c r="S98" s="58"/>
      <c r="T98" s="58"/>
      <c r="U98" s="58"/>
      <c r="V98" s="58"/>
      <c r="W98" s="58"/>
      <c r="X98" s="58"/>
    </row>
    <row r="99" spans="2:24">
      <c r="J99" s="58">
        <f>F92</f>
        <v>0</v>
      </c>
      <c r="K99" s="58"/>
      <c r="L99" s="58">
        <f>F97/100</f>
        <v>0</v>
      </c>
      <c r="M99" s="58"/>
      <c r="N99" s="58">
        <f>F98</f>
        <v>0</v>
      </c>
      <c r="O99" s="59" t="str">
        <f>F113</f>
        <v>0.2</v>
      </c>
      <c r="P99" s="59" t="str">
        <f>F115</f>
        <v>0.5</v>
      </c>
      <c r="Q99" s="59">
        <f>F116</f>
        <v>0</v>
      </c>
      <c r="R99" s="58"/>
      <c r="S99" s="58"/>
      <c r="T99" s="58"/>
      <c r="U99" s="58"/>
      <c r="V99" s="58"/>
      <c r="W99" s="58"/>
      <c r="X99" s="58"/>
    </row>
    <row r="105" spans="2:24">
      <c r="B105" s="334" t="s">
        <v>0</v>
      </c>
      <c r="C105" s="1306" t="s">
        <v>646</v>
      </c>
      <c r="D105" s="1307"/>
      <c r="E105" s="1307"/>
      <c r="F105" s="1307"/>
      <c r="G105" s="1307"/>
      <c r="H105" s="1307"/>
      <c r="I105" s="1307"/>
      <c r="J105" s="1307"/>
      <c r="K105" s="1307"/>
      <c r="L105" s="1307"/>
    </row>
    <row r="106" spans="2:24">
      <c r="B106" s="335"/>
      <c r="C106" s="336">
        <v>2015</v>
      </c>
      <c r="D106" s="336">
        <v>2020</v>
      </c>
      <c r="E106" s="336">
        <v>2030</v>
      </c>
      <c r="F106" s="336">
        <v>2050</v>
      </c>
      <c r="G106" s="1306" t="s">
        <v>647</v>
      </c>
      <c r="H106" s="1306"/>
      <c r="I106" s="1306" t="s">
        <v>648</v>
      </c>
      <c r="J106" s="1306"/>
      <c r="K106" s="336" t="s">
        <v>2</v>
      </c>
      <c r="L106" s="336" t="s">
        <v>3</v>
      </c>
    </row>
    <row r="107" spans="2:24">
      <c r="B107" s="334" t="s">
        <v>4</v>
      </c>
      <c r="C107" s="334"/>
      <c r="D107" s="334"/>
      <c r="E107" s="334"/>
      <c r="F107" s="334"/>
      <c r="G107" s="336" t="s">
        <v>649</v>
      </c>
      <c r="H107" s="336" t="s">
        <v>650</v>
      </c>
      <c r="I107" s="336" t="s">
        <v>649</v>
      </c>
      <c r="J107" s="336" t="s">
        <v>650</v>
      </c>
      <c r="K107" s="334"/>
      <c r="L107" s="334"/>
    </row>
    <row r="108" spans="2:24">
      <c r="B108" s="335" t="s">
        <v>651</v>
      </c>
      <c r="C108" s="1296">
        <v>5</v>
      </c>
      <c r="D108" s="1296"/>
      <c r="E108" s="1307"/>
      <c r="F108" s="1307"/>
      <c r="G108" s="337">
        <v>1</v>
      </c>
      <c r="H108" s="337">
        <v>25</v>
      </c>
      <c r="I108" s="337">
        <v>1</v>
      </c>
      <c r="J108" s="337">
        <v>25</v>
      </c>
      <c r="K108" s="338"/>
      <c r="L108" s="338"/>
    </row>
    <row r="109" spans="2:24">
      <c r="B109" s="335" t="s">
        <v>652</v>
      </c>
      <c r="C109" s="338">
        <v>98</v>
      </c>
      <c r="D109" s="338">
        <v>99</v>
      </c>
      <c r="E109" s="338">
        <v>99</v>
      </c>
      <c r="F109" s="338">
        <v>99</v>
      </c>
      <c r="G109" s="338">
        <v>98</v>
      </c>
      <c r="H109" s="338">
        <v>99</v>
      </c>
      <c r="I109" s="338">
        <v>99</v>
      </c>
      <c r="J109" s="338">
        <v>99</v>
      </c>
      <c r="K109" s="338"/>
      <c r="L109" s="338">
        <v>1</v>
      </c>
    </row>
    <row r="110" spans="2:24">
      <c r="B110" s="335" t="s">
        <v>653</v>
      </c>
      <c r="C110" s="338">
        <v>98</v>
      </c>
      <c r="D110" s="338">
        <v>99</v>
      </c>
      <c r="E110" s="338">
        <v>99</v>
      </c>
      <c r="F110" s="338">
        <v>99</v>
      </c>
      <c r="G110" s="338">
        <v>98</v>
      </c>
      <c r="H110" s="338">
        <v>99</v>
      </c>
      <c r="I110" s="338">
        <v>99</v>
      </c>
      <c r="J110" s="338">
        <v>99</v>
      </c>
      <c r="K110" s="338"/>
      <c r="L110" s="338">
        <v>1</v>
      </c>
    </row>
    <row r="111" spans="2:24" ht="22.8">
      <c r="B111" s="335" t="s">
        <v>654</v>
      </c>
      <c r="C111" s="339" t="s">
        <v>655</v>
      </c>
      <c r="D111" s="339" t="s">
        <v>655</v>
      </c>
      <c r="E111" s="339" t="s">
        <v>655</v>
      </c>
      <c r="F111" s="339" t="s">
        <v>655</v>
      </c>
      <c r="G111" s="338" t="s">
        <v>656</v>
      </c>
      <c r="H111" s="338" t="s">
        <v>655</v>
      </c>
      <c r="I111" s="338" t="s">
        <v>656</v>
      </c>
      <c r="J111" s="338" t="s">
        <v>655</v>
      </c>
      <c r="K111" s="338"/>
      <c r="L111" s="338">
        <v>1</v>
      </c>
    </row>
    <row r="112" spans="2:24">
      <c r="B112" s="335" t="s">
        <v>657</v>
      </c>
      <c r="C112" s="338">
        <v>1</v>
      </c>
      <c r="D112" s="338">
        <v>1</v>
      </c>
      <c r="E112" s="338">
        <v>1</v>
      </c>
      <c r="F112" s="338">
        <v>1</v>
      </c>
      <c r="G112" s="338" t="s">
        <v>655</v>
      </c>
      <c r="H112" s="338">
        <v>1</v>
      </c>
      <c r="I112" s="338" t="s">
        <v>655</v>
      </c>
      <c r="J112" s="338">
        <v>1</v>
      </c>
      <c r="K112" s="338" t="s">
        <v>76</v>
      </c>
      <c r="L112" s="338">
        <v>1</v>
      </c>
    </row>
    <row r="113" spans="2:12">
      <c r="B113" s="335" t="s">
        <v>658</v>
      </c>
      <c r="C113" s="338" t="s">
        <v>659</v>
      </c>
      <c r="D113" s="338" t="s">
        <v>659</v>
      </c>
      <c r="E113" s="338" t="s">
        <v>659</v>
      </c>
      <c r="F113" s="338" t="s">
        <v>659</v>
      </c>
      <c r="G113" s="338" t="s">
        <v>659</v>
      </c>
      <c r="H113" s="338" t="s">
        <v>659</v>
      </c>
      <c r="I113" s="338" t="s">
        <v>659</v>
      </c>
      <c r="J113" s="338" t="s">
        <v>659</v>
      </c>
      <c r="K113" s="338" t="s">
        <v>76</v>
      </c>
      <c r="L113" s="338">
        <v>1</v>
      </c>
    </row>
    <row r="114" spans="2:12">
      <c r="B114" s="335" t="s">
        <v>11</v>
      </c>
      <c r="C114" s="338">
        <v>20</v>
      </c>
      <c r="D114" s="338">
        <v>20</v>
      </c>
      <c r="E114" s="338">
        <v>20</v>
      </c>
      <c r="F114" s="338">
        <v>20</v>
      </c>
      <c r="G114" s="338">
        <v>20</v>
      </c>
      <c r="H114" s="338">
        <v>20</v>
      </c>
      <c r="I114" s="338">
        <v>20</v>
      </c>
      <c r="J114" s="338">
        <v>20</v>
      </c>
      <c r="K114" s="338"/>
      <c r="L114" s="338">
        <v>1</v>
      </c>
    </row>
    <row r="115" spans="2:12">
      <c r="B115" s="335" t="s">
        <v>273</v>
      </c>
      <c r="C115" s="338" t="s">
        <v>655</v>
      </c>
      <c r="D115" s="338" t="s">
        <v>655</v>
      </c>
      <c r="E115" s="338" t="s">
        <v>655</v>
      </c>
      <c r="F115" s="338" t="s">
        <v>655</v>
      </c>
      <c r="G115" s="338" t="s">
        <v>655</v>
      </c>
      <c r="H115" s="338">
        <v>1</v>
      </c>
      <c r="I115" s="338" t="s">
        <v>655</v>
      </c>
      <c r="J115" s="338">
        <v>1</v>
      </c>
      <c r="K115" s="338"/>
      <c r="L115" s="338">
        <v>1</v>
      </c>
    </row>
    <row r="116" spans="2:12">
      <c r="B116" s="1295" t="s">
        <v>660</v>
      </c>
      <c r="C116" s="1295"/>
      <c r="D116" s="1295"/>
      <c r="E116" s="1295"/>
      <c r="F116" s="1295"/>
      <c r="G116" s="1295"/>
      <c r="H116" s="1295"/>
      <c r="I116" s="1295"/>
      <c r="J116" s="1295"/>
      <c r="K116" s="1295"/>
      <c r="L116" s="1295"/>
    </row>
    <row r="117" spans="2:12">
      <c r="B117" s="335" t="s">
        <v>661</v>
      </c>
      <c r="C117" s="338">
        <v>100</v>
      </c>
      <c r="D117" s="338">
        <v>100</v>
      </c>
      <c r="E117" s="338">
        <v>100</v>
      </c>
      <c r="F117" s="338">
        <v>100</v>
      </c>
      <c r="G117" s="338">
        <v>100</v>
      </c>
      <c r="H117" s="338">
        <v>100</v>
      </c>
      <c r="I117" s="338">
        <v>100</v>
      </c>
      <c r="J117" s="338">
        <v>100</v>
      </c>
      <c r="K117" s="338"/>
      <c r="L117" s="338">
        <v>1</v>
      </c>
    </row>
    <row r="118" spans="2:12">
      <c r="B118" s="335" t="s">
        <v>662</v>
      </c>
      <c r="C118" s="338">
        <v>100</v>
      </c>
      <c r="D118" s="338">
        <v>100</v>
      </c>
      <c r="E118" s="338">
        <v>100</v>
      </c>
      <c r="F118" s="338">
        <v>100</v>
      </c>
      <c r="G118" s="338">
        <v>100</v>
      </c>
      <c r="H118" s="338">
        <v>100</v>
      </c>
      <c r="I118" s="338">
        <v>100</v>
      </c>
      <c r="J118" s="338">
        <v>100</v>
      </c>
      <c r="K118" s="338"/>
      <c r="L118" s="338">
        <v>1</v>
      </c>
    </row>
    <row r="119" spans="2:12">
      <c r="B119" s="335" t="s">
        <v>663</v>
      </c>
      <c r="C119" s="1296">
        <v>5</v>
      </c>
      <c r="D119" s="1296"/>
      <c r="E119" s="1296"/>
      <c r="F119" s="1296"/>
      <c r="G119" s="1296"/>
      <c r="H119" s="1296"/>
      <c r="I119" s="1296"/>
      <c r="J119" s="1296"/>
      <c r="K119" s="338"/>
      <c r="L119" s="338">
        <v>1</v>
      </c>
    </row>
    <row r="120" spans="2:12">
      <c r="B120" s="335" t="s">
        <v>664</v>
      </c>
      <c r="C120" s="1296" t="s">
        <v>665</v>
      </c>
      <c r="D120" s="1296"/>
      <c r="E120" s="1296"/>
      <c r="F120" s="1296"/>
      <c r="G120" s="1296"/>
      <c r="H120" s="1296"/>
      <c r="I120" s="1296"/>
      <c r="J120" s="1296"/>
      <c r="K120" s="338"/>
      <c r="L120" s="338">
        <v>2</v>
      </c>
    </row>
    <row r="121" spans="2:12">
      <c r="B121" s="335" t="s">
        <v>666</v>
      </c>
      <c r="C121" s="1296" t="s">
        <v>667</v>
      </c>
      <c r="D121" s="1296"/>
      <c r="E121" s="1296"/>
      <c r="F121" s="1296"/>
      <c r="G121" s="1296"/>
      <c r="H121" s="1296"/>
      <c r="I121" s="1296"/>
      <c r="J121" s="1296"/>
      <c r="K121" s="338"/>
      <c r="L121" s="338">
        <v>2</v>
      </c>
    </row>
    <row r="122" spans="2:12">
      <c r="B122" s="1295" t="s">
        <v>12</v>
      </c>
      <c r="C122" s="1295"/>
      <c r="D122" s="1295"/>
      <c r="E122" s="1295"/>
      <c r="F122" s="1295"/>
      <c r="G122" s="1295"/>
      <c r="H122" s="1295"/>
      <c r="I122" s="1295"/>
      <c r="J122" s="1295"/>
      <c r="K122" s="1295"/>
      <c r="L122" s="1295"/>
    </row>
    <row r="123" spans="2:12" ht="15">
      <c r="B123" s="335" t="s">
        <v>668</v>
      </c>
      <c r="C123" s="1297" t="s">
        <v>669</v>
      </c>
      <c r="D123" s="1298"/>
      <c r="E123" s="1298"/>
      <c r="F123" s="1298"/>
      <c r="G123" s="1298"/>
      <c r="H123" s="1298"/>
      <c r="I123" s="1298"/>
      <c r="J123" s="1298"/>
      <c r="K123" s="1299"/>
      <c r="L123" s="338"/>
    </row>
    <row r="124" spans="2:12" ht="15">
      <c r="B124" s="335" t="s">
        <v>670</v>
      </c>
      <c r="C124" s="1300"/>
      <c r="D124" s="1301"/>
      <c r="E124" s="1301"/>
      <c r="F124" s="1301"/>
      <c r="G124" s="1301"/>
      <c r="H124" s="1301"/>
      <c r="I124" s="1301"/>
      <c r="J124" s="1301"/>
      <c r="K124" s="1302"/>
      <c r="L124" s="338"/>
    </row>
    <row r="125" spans="2:12" ht="15">
      <c r="B125" s="335" t="s">
        <v>671</v>
      </c>
      <c r="C125" s="1300"/>
      <c r="D125" s="1301"/>
      <c r="E125" s="1301"/>
      <c r="F125" s="1301"/>
      <c r="G125" s="1301"/>
      <c r="H125" s="1301"/>
      <c r="I125" s="1301"/>
      <c r="J125" s="1301"/>
      <c r="K125" s="1302"/>
      <c r="L125" s="338"/>
    </row>
    <row r="126" spans="2:12" ht="15">
      <c r="B126" s="335" t="s">
        <v>672</v>
      </c>
      <c r="C126" s="1300"/>
      <c r="D126" s="1301"/>
      <c r="E126" s="1301"/>
      <c r="F126" s="1301"/>
      <c r="G126" s="1301"/>
      <c r="H126" s="1301"/>
      <c r="I126" s="1301"/>
      <c r="J126" s="1301"/>
      <c r="K126" s="1302"/>
      <c r="L126" s="338"/>
    </row>
    <row r="127" spans="2:12">
      <c r="B127" s="340" t="s">
        <v>673</v>
      </c>
      <c r="C127" s="1303"/>
      <c r="D127" s="1304"/>
      <c r="E127" s="1304"/>
      <c r="F127" s="1304"/>
      <c r="G127" s="1304"/>
      <c r="H127" s="1304"/>
      <c r="I127" s="1304"/>
      <c r="J127" s="1304"/>
      <c r="K127" s="1305"/>
      <c r="L127" s="338"/>
    </row>
    <row r="128" spans="2:12">
      <c r="B128" s="1295" t="s">
        <v>674</v>
      </c>
      <c r="C128" s="1295"/>
      <c r="D128" s="1295"/>
      <c r="E128" s="1295"/>
      <c r="F128" s="1295"/>
      <c r="G128" s="1295"/>
      <c r="H128" s="1295"/>
      <c r="I128" s="1295"/>
      <c r="J128" s="1295"/>
      <c r="K128" s="1295"/>
      <c r="L128" s="1295"/>
    </row>
    <row r="129" spans="2:12" ht="22.8">
      <c r="B129" s="335" t="s">
        <v>675</v>
      </c>
      <c r="C129" s="341">
        <v>0.15</v>
      </c>
      <c r="D129" s="342">
        <v>0.15</v>
      </c>
      <c r="E129" s="342">
        <v>0.14000000000000001</v>
      </c>
      <c r="F129" s="342">
        <v>0.13</v>
      </c>
      <c r="G129" s="343">
        <v>0.1</v>
      </c>
      <c r="H129" s="344">
        <v>0.25</v>
      </c>
      <c r="I129" s="343">
        <v>0.1</v>
      </c>
      <c r="J129" s="344">
        <v>0.25</v>
      </c>
      <c r="K129" s="338" t="s">
        <v>6</v>
      </c>
      <c r="L129" s="338">
        <v>1</v>
      </c>
    </row>
    <row r="130" spans="2:12">
      <c r="B130" s="335" t="s">
        <v>676</v>
      </c>
      <c r="C130" s="344">
        <v>0.12</v>
      </c>
      <c r="D130" s="343">
        <f>$C$29*0.995^(D$5-$C$5)</f>
        <v>5960</v>
      </c>
      <c r="E130" s="343">
        <f>$C$29*0.995^(E$5-$C$5)</f>
        <v>5960</v>
      </c>
      <c r="F130" s="343">
        <f>$C$29*0.995^(F$5-$C$5)</f>
        <v>5960</v>
      </c>
      <c r="G130" s="344">
        <v>0.08</v>
      </c>
      <c r="H130" s="343">
        <v>0.2</v>
      </c>
      <c r="I130" s="343">
        <v>0.08</v>
      </c>
      <c r="J130" s="343">
        <v>0.2</v>
      </c>
      <c r="K130" s="338" t="s">
        <v>59</v>
      </c>
      <c r="L130" s="338">
        <v>1</v>
      </c>
    </row>
    <row r="131" spans="2:12">
      <c r="B131" s="335" t="s">
        <v>677</v>
      </c>
      <c r="C131" s="344">
        <v>0.03</v>
      </c>
      <c r="D131" s="343">
        <f>$C131*0.995^(D$5-$C$5)</f>
        <v>0.03</v>
      </c>
      <c r="E131" s="343">
        <f>$C131*0.995^(E$5-$C$5)</f>
        <v>0.03</v>
      </c>
      <c r="F131" s="343">
        <f>$C131*0.995^(F$5-$C$5)</f>
        <v>0.03</v>
      </c>
      <c r="G131" s="344">
        <v>0.02</v>
      </c>
      <c r="H131" s="344">
        <v>0.05</v>
      </c>
      <c r="I131" s="344">
        <v>0.02</v>
      </c>
      <c r="J131" s="344">
        <v>0.05</v>
      </c>
      <c r="K131" s="338" t="s">
        <v>20</v>
      </c>
      <c r="L131" s="338">
        <v>1</v>
      </c>
    </row>
    <row r="132" spans="2:12" ht="22.8">
      <c r="B132" s="335" t="s">
        <v>678</v>
      </c>
      <c r="C132" s="345">
        <v>7.0000000000000007E-2</v>
      </c>
      <c r="D132" s="345">
        <v>7.0000000000000007E-2</v>
      </c>
      <c r="E132" s="345">
        <v>0.06</v>
      </c>
      <c r="F132" s="345">
        <v>0.06</v>
      </c>
      <c r="G132" s="346">
        <v>0.02</v>
      </c>
      <c r="H132" s="346">
        <v>0.17</v>
      </c>
      <c r="I132" s="346">
        <v>0.02</v>
      </c>
      <c r="J132" s="346">
        <v>0.17</v>
      </c>
      <c r="K132" s="337" t="s">
        <v>6</v>
      </c>
      <c r="L132" s="338">
        <v>1</v>
      </c>
    </row>
    <row r="133" spans="2:12">
      <c r="B133" s="335" t="s">
        <v>676</v>
      </c>
      <c r="C133" s="345">
        <v>0.06</v>
      </c>
      <c r="D133" s="345">
        <f>$C133*0.995^(D$5-$C$5)</f>
        <v>0.06</v>
      </c>
      <c r="E133" s="345">
        <v>0.05</v>
      </c>
      <c r="F133" s="345">
        <f>$C133*0.995^(F$5-$C$5)</f>
        <v>0.06</v>
      </c>
      <c r="G133" s="346">
        <v>0.02</v>
      </c>
      <c r="H133" s="346">
        <v>0.14000000000000001</v>
      </c>
      <c r="I133" s="346">
        <v>0.02</v>
      </c>
      <c r="J133" s="346">
        <v>0.14000000000000001</v>
      </c>
      <c r="K133" s="337" t="s">
        <v>16</v>
      </c>
      <c r="L133" s="338">
        <v>1</v>
      </c>
    </row>
    <row r="134" spans="2:12">
      <c r="B134" s="335" t="s">
        <v>677</v>
      </c>
      <c r="C134" s="345">
        <v>0.01</v>
      </c>
      <c r="D134" s="345">
        <f>$C134*0.995^(D$5-$C$5)</f>
        <v>0.01</v>
      </c>
      <c r="E134" s="345">
        <f>$C134*0.995^(E$5-$C$5)</f>
        <v>0.01</v>
      </c>
      <c r="F134" s="345">
        <f>$C134*0.995^(F$5-$C$5)</f>
        <v>0.01</v>
      </c>
      <c r="G134" s="346">
        <v>0</v>
      </c>
      <c r="H134" s="346">
        <v>0.03</v>
      </c>
      <c r="I134" s="346">
        <v>0</v>
      </c>
      <c r="J134" s="346">
        <v>0.03</v>
      </c>
      <c r="K134" s="337" t="s">
        <v>20</v>
      </c>
      <c r="L134" s="338">
        <v>1</v>
      </c>
    </row>
    <row r="135" spans="2:12">
      <c r="B135" s="335" t="s">
        <v>276</v>
      </c>
      <c r="C135" s="347">
        <v>1100</v>
      </c>
      <c r="D135" s="347">
        <v>1070</v>
      </c>
      <c r="E135" s="347">
        <v>1020</v>
      </c>
      <c r="F135" s="347">
        <v>920</v>
      </c>
      <c r="G135" s="337">
        <v>1000</v>
      </c>
      <c r="H135" s="337">
        <v>1100</v>
      </c>
      <c r="I135" s="337">
        <v>900</v>
      </c>
      <c r="J135" s="337">
        <v>1000</v>
      </c>
      <c r="K135" s="337" t="s">
        <v>6</v>
      </c>
      <c r="L135" s="338">
        <v>1</v>
      </c>
    </row>
    <row r="136" spans="2:12">
      <c r="B136" s="335" t="s">
        <v>679</v>
      </c>
      <c r="C136" s="348">
        <v>0.8</v>
      </c>
      <c r="D136" s="348">
        <v>0.9</v>
      </c>
      <c r="E136" s="348">
        <v>1</v>
      </c>
      <c r="F136" s="348">
        <v>1</v>
      </c>
      <c r="G136" s="348">
        <v>0.5</v>
      </c>
      <c r="H136" s="348">
        <v>0.9</v>
      </c>
      <c r="I136" s="348">
        <v>0.5</v>
      </c>
      <c r="J136" s="348">
        <v>1</v>
      </c>
      <c r="K136" s="349"/>
      <c r="L136" s="338">
        <v>1</v>
      </c>
    </row>
    <row r="137" spans="2:12">
      <c r="B137" s="350" t="s">
        <v>680</v>
      </c>
      <c r="C137" s="348">
        <v>0.3</v>
      </c>
      <c r="D137" s="348">
        <v>0.4</v>
      </c>
      <c r="E137" s="348">
        <v>0.5</v>
      </c>
      <c r="F137" s="348">
        <v>0.8</v>
      </c>
      <c r="G137" s="348">
        <v>0.1</v>
      </c>
      <c r="H137" s="348">
        <v>0.4</v>
      </c>
      <c r="I137" s="348">
        <v>0.2</v>
      </c>
      <c r="J137" s="348">
        <v>0.8</v>
      </c>
      <c r="K137" s="351" t="s">
        <v>25</v>
      </c>
      <c r="L137" s="351"/>
    </row>
    <row r="138" spans="2:12">
      <c r="B138" s="350" t="s">
        <v>681</v>
      </c>
      <c r="C138" s="348">
        <v>0.5</v>
      </c>
      <c r="D138" s="348">
        <v>0.5</v>
      </c>
      <c r="E138" s="348">
        <v>0.5</v>
      </c>
      <c r="F138" s="348">
        <v>0.4</v>
      </c>
      <c r="G138" s="348">
        <v>0.4</v>
      </c>
      <c r="H138" s="348">
        <v>0.5</v>
      </c>
      <c r="I138" s="348">
        <v>0.3</v>
      </c>
      <c r="J138" s="348">
        <v>0.5</v>
      </c>
      <c r="K138" s="337" t="s">
        <v>6</v>
      </c>
      <c r="L138" s="351">
        <v>1</v>
      </c>
    </row>
    <row r="139" spans="2:12">
      <c r="B139" s="1295" t="s">
        <v>682</v>
      </c>
      <c r="C139" s="1295"/>
      <c r="D139" s="1295"/>
      <c r="E139" s="1295"/>
      <c r="F139" s="1295"/>
      <c r="G139" s="1295"/>
      <c r="H139" s="1295"/>
      <c r="I139" s="1295"/>
      <c r="J139" s="1295"/>
      <c r="K139" s="1295"/>
      <c r="L139" s="1295"/>
    </row>
    <row r="140" spans="2:12">
      <c r="B140" s="335" t="s">
        <v>683</v>
      </c>
      <c r="C140" s="352">
        <v>0</v>
      </c>
      <c r="D140" s="352">
        <v>0</v>
      </c>
      <c r="E140" s="352">
        <v>0</v>
      </c>
      <c r="F140" s="352">
        <v>0</v>
      </c>
      <c r="G140" s="352">
        <v>0</v>
      </c>
      <c r="H140" s="352">
        <v>0</v>
      </c>
      <c r="I140" s="352">
        <v>0</v>
      </c>
      <c r="J140" s="352">
        <v>0</v>
      </c>
      <c r="K140" s="338"/>
      <c r="L140" s="338">
        <v>1</v>
      </c>
    </row>
  </sheetData>
  <mergeCells count="29">
    <mergeCell ref="C43:H47"/>
    <mergeCell ref="B6:B7"/>
    <mergeCell ref="C6:H6"/>
    <mergeCell ref="C7:H7"/>
    <mergeCell ref="C16:H20"/>
    <mergeCell ref="B33:B34"/>
    <mergeCell ref="C33:H33"/>
    <mergeCell ref="C34:H34"/>
    <mergeCell ref="J63:O63"/>
    <mergeCell ref="J90:O90"/>
    <mergeCell ref="J91:O91"/>
    <mergeCell ref="J6:O6"/>
    <mergeCell ref="J7:O7"/>
    <mergeCell ref="J62:O62"/>
    <mergeCell ref="J33:J34"/>
    <mergeCell ref="K33:P33"/>
    <mergeCell ref="K34:P34"/>
    <mergeCell ref="C105:L105"/>
    <mergeCell ref="G106:H106"/>
    <mergeCell ref="I106:J106"/>
    <mergeCell ref="C108:F108"/>
    <mergeCell ref="B116:L116"/>
    <mergeCell ref="B128:L128"/>
    <mergeCell ref="B139:L139"/>
    <mergeCell ref="C119:J119"/>
    <mergeCell ref="C120:J120"/>
    <mergeCell ref="C121:J121"/>
    <mergeCell ref="B122:L122"/>
    <mergeCell ref="C123:K127"/>
  </mergeCells>
  <pageMargins left="0.7" right="0.7" top="0.75" bottom="0.75" header="0.3" footer="0.3"/>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theme="4"/>
  </sheetPr>
  <dimension ref="B3:H30"/>
  <sheetViews>
    <sheetView workbookViewId="0">
      <selection activeCell="K36" sqref="K36"/>
    </sheetView>
  </sheetViews>
  <sheetFormatPr defaultRowHeight="14.4"/>
  <cols>
    <col min="2" max="2" width="36.77734375" customWidth="1"/>
  </cols>
  <sheetData>
    <row r="3" spans="2:8">
      <c r="B3" s="8" t="s">
        <v>319</v>
      </c>
    </row>
    <row r="5" spans="2:8" ht="15" thickBot="1"/>
    <row r="6" spans="2:8" ht="15" customHeight="1">
      <c r="B6" s="1257" t="s">
        <v>0</v>
      </c>
      <c r="C6" s="1259" t="s">
        <v>134</v>
      </c>
      <c r="D6" s="1260"/>
      <c r="E6" s="1260"/>
      <c r="F6" s="1260"/>
      <c r="G6" s="1260"/>
      <c r="H6" s="1261"/>
    </row>
    <row r="7" spans="2:8" ht="15.75" customHeight="1" thickBot="1">
      <c r="B7" s="1258"/>
      <c r="C7" s="1134" t="s">
        <v>38</v>
      </c>
      <c r="D7" s="1135"/>
      <c r="E7" s="1135"/>
      <c r="F7" s="1135"/>
      <c r="G7" s="1135"/>
      <c r="H7" s="1136"/>
    </row>
    <row r="8" spans="2:8" ht="15" thickBot="1">
      <c r="B8" s="125"/>
      <c r="C8" s="126">
        <v>2015</v>
      </c>
      <c r="D8" s="126">
        <v>2020</v>
      </c>
      <c r="E8" s="126">
        <v>2030</v>
      </c>
      <c r="F8" s="126">
        <v>2050</v>
      </c>
      <c r="G8" s="126" t="s">
        <v>2</v>
      </c>
      <c r="H8" s="126" t="s">
        <v>3</v>
      </c>
    </row>
    <row r="9" spans="2:8" ht="15" thickBot="1">
      <c r="B9" s="127" t="s">
        <v>4</v>
      </c>
      <c r="C9" s="128"/>
      <c r="D9" s="128"/>
      <c r="E9" s="128"/>
      <c r="F9" s="128"/>
      <c r="G9" s="128"/>
      <c r="H9" s="129"/>
    </row>
    <row r="10" spans="2:8" ht="15" thickBot="1">
      <c r="B10" s="125" t="s">
        <v>5</v>
      </c>
      <c r="C10" s="132" t="s">
        <v>135</v>
      </c>
      <c r="D10" s="132" t="s">
        <v>135</v>
      </c>
      <c r="E10" s="132" t="s">
        <v>135</v>
      </c>
      <c r="F10" s="132"/>
      <c r="G10" s="132" t="s">
        <v>16</v>
      </c>
      <c r="H10" s="132" t="s">
        <v>136</v>
      </c>
    </row>
    <row r="11" spans="2:8" ht="15" thickBot="1">
      <c r="B11" s="125" t="s">
        <v>137</v>
      </c>
      <c r="C11" s="132" t="s">
        <v>138</v>
      </c>
      <c r="D11" s="132" t="s">
        <v>138</v>
      </c>
      <c r="E11" s="132" t="s">
        <v>138</v>
      </c>
      <c r="F11" s="132"/>
      <c r="G11" s="132"/>
      <c r="H11" s="132">
        <v>1</v>
      </c>
    </row>
    <row r="12" spans="2:8" ht="24.6" thickBot="1">
      <c r="B12" s="125" t="s">
        <v>7</v>
      </c>
      <c r="C12" s="132" t="s">
        <v>139</v>
      </c>
      <c r="D12" s="132" t="s">
        <v>139</v>
      </c>
      <c r="E12" s="132" t="s">
        <v>139</v>
      </c>
      <c r="F12" s="132"/>
      <c r="G12" s="132" t="s">
        <v>20</v>
      </c>
      <c r="H12" s="132"/>
    </row>
    <row r="13" spans="2:8" ht="24.6" thickBot="1">
      <c r="B13" s="125" t="s">
        <v>8</v>
      </c>
      <c r="C13" s="132" t="s">
        <v>140</v>
      </c>
      <c r="D13" s="132" t="s">
        <v>140</v>
      </c>
      <c r="E13" s="132" t="s">
        <v>140</v>
      </c>
      <c r="F13" s="132"/>
      <c r="G13" s="132" t="s">
        <v>141</v>
      </c>
      <c r="H13" s="132"/>
    </row>
    <row r="14" spans="2:8" ht="15" thickBot="1">
      <c r="B14" s="125" t="s">
        <v>142</v>
      </c>
      <c r="C14" s="132" t="s">
        <v>143</v>
      </c>
      <c r="D14" s="132" t="s">
        <v>144</v>
      </c>
      <c r="E14" s="132" t="s">
        <v>145</v>
      </c>
      <c r="F14" s="132"/>
      <c r="G14" s="132" t="s">
        <v>51</v>
      </c>
      <c r="H14" s="132">
        <v>1</v>
      </c>
    </row>
    <row r="15" spans="2:8" ht="15" thickBot="1">
      <c r="B15" s="125" t="s">
        <v>146</v>
      </c>
      <c r="C15" s="132" t="s">
        <v>147</v>
      </c>
      <c r="D15" s="132" t="s">
        <v>148</v>
      </c>
      <c r="E15" s="132" t="s">
        <v>148</v>
      </c>
      <c r="F15" s="132"/>
      <c r="G15" s="132" t="s">
        <v>51</v>
      </c>
      <c r="H15" s="132">
        <v>1</v>
      </c>
    </row>
    <row r="16" spans="2:8" ht="15" thickBot="1">
      <c r="B16" s="125" t="s">
        <v>9</v>
      </c>
      <c r="C16" s="132" t="s">
        <v>149</v>
      </c>
      <c r="D16" s="132" t="s">
        <v>150</v>
      </c>
      <c r="E16" s="132" t="s">
        <v>151</v>
      </c>
      <c r="F16" s="132"/>
      <c r="G16" s="132" t="s">
        <v>51</v>
      </c>
      <c r="H16" s="132">
        <v>1</v>
      </c>
    </row>
    <row r="17" spans="2:8" ht="15" thickBot="1">
      <c r="B17" s="125" t="s">
        <v>11</v>
      </c>
      <c r="C17" s="132" t="s">
        <v>152</v>
      </c>
      <c r="D17" s="132" t="s">
        <v>153</v>
      </c>
      <c r="E17" s="132" t="s">
        <v>153</v>
      </c>
      <c r="F17" s="132"/>
      <c r="G17" s="132"/>
      <c r="H17" s="132">
        <v>6</v>
      </c>
    </row>
    <row r="18" spans="2:8" ht="15" thickBot="1">
      <c r="B18" s="127" t="s">
        <v>12</v>
      </c>
      <c r="C18" s="128"/>
      <c r="D18" s="128"/>
      <c r="E18" s="128"/>
      <c r="F18" s="128"/>
      <c r="G18" s="128"/>
      <c r="H18" s="129"/>
    </row>
    <row r="19" spans="2:8" ht="15.6" thickBot="1">
      <c r="B19" s="125" t="s">
        <v>13</v>
      </c>
      <c r="C19" s="126">
        <v>0</v>
      </c>
      <c r="D19" s="126">
        <v>0</v>
      </c>
      <c r="E19" s="126">
        <v>0</v>
      </c>
      <c r="F19" s="126"/>
      <c r="G19" s="126"/>
      <c r="H19" s="126"/>
    </row>
    <row r="20" spans="2:8" ht="15.6" thickBot="1">
      <c r="B20" s="125" t="s">
        <v>15</v>
      </c>
      <c r="C20" s="35">
        <v>2</v>
      </c>
      <c r="D20" s="35">
        <v>2</v>
      </c>
      <c r="E20" s="35">
        <v>2</v>
      </c>
      <c r="F20" s="126"/>
      <c r="G20" s="126"/>
      <c r="H20" s="126" t="s">
        <v>154</v>
      </c>
    </row>
    <row r="21" spans="2:8" ht="15.6" thickBot="1">
      <c r="B21" s="125" t="s">
        <v>17</v>
      </c>
      <c r="C21" s="126" t="s">
        <v>155</v>
      </c>
      <c r="D21" s="126" t="s">
        <v>155</v>
      </c>
      <c r="E21" s="126" t="s">
        <v>155</v>
      </c>
      <c r="F21" s="126"/>
      <c r="G21" s="126" t="s">
        <v>25</v>
      </c>
      <c r="H21" s="126" t="s">
        <v>154</v>
      </c>
    </row>
    <row r="22" spans="2:8" ht="15.6" thickBot="1">
      <c r="B22" s="125" t="s">
        <v>18</v>
      </c>
      <c r="C22" s="35">
        <v>0</v>
      </c>
      <c r="D22" s="35">
        <v>0</v>
      </c>
      <c r="E22" s="35">
        <v>0</v>
      </c>
      <c r="F22" s="126"/>
      <c r="G22" s="126"/>
      <c r="H22" s="126"/>
    </row>
    <row r="23" spans="2:8" ht="15" thickBot="1">
      <c r="B23" s="125" t="s">
        <v>19</v>
      </c>
      <c r="C23" s="126">
        <v>0</v>
      </c>
      <c r="D23" s="126">
        <v>0</v>
      </c>
      <c r="E23" s="126">
        <v>0</v>
      </c>
      <c r="F23" s="126"/>
      <c r="G23" s="126"/>
      <c r="H23" s="126">
        <v>7</v>
      </c>
    </row>
    <row r="24" spans="2:8" ht="15" thickBot="1">
      <c r="B24" s="127" t="s">
        <v>22</v>
      </c>
      <c r="C24" s="128"/>
      <c r="D24" s="128"/>
      <c r="E24" s="128"/>
      <c r="F24" s="128"/>
      <c r="G24" s="128"/>
      <c r="H24" s="129"/>
    </row>
    <row r="25" spans="2:8">
      <c r="B25" s="130" t="s">
        <v>24</v>
      </c>
      <c r="C25" s="139" t="s">
        <v>296</v>
      </c>
      <c r="D25" s="131">
        <v>4.4000000000000004</v>
      </c>
      <c r="E25" s="131">
        <v>2.6</v>
      </c>
      <c r="F25" s="131"/>
      <c r="G25" s="131" t="s">
        <v>109</v>
      </c>
      <c r="H25" s="131" t="s">
        <v>156</v>
      </c>
    </row>
    <row r="26" spans="2:8">
      <c r="B26" s="130" t="s">
        <v>26</v>
      </c>
      <c r="C26" s="131" t="s">
        <v>95</v>
      </c>
      <c r="D26" s="131">
        <v>80</v>
      </c>
      <c r="E26" s="131">
        <v>80</v>
      </c>
      <c r="F26" s="131"/>
      <c r="G26" s="131"/>
      <c r="H26" s="131"/>
    </row>
    <row r="27" spans="2:8" ht="15" thickBot="1">
      <c r="B27" s="125" t="s">
        <v>28</v>
      </c>
      <c r="C27" s="126" t="s">
        <v>97</v>
      </c>
      <c r="D27" s="126">
        <v>20</v>
      </c>
      <c r="E27" s="126">
        <v>20</v>
      </c>
      <c r="F27" s="126"/>
      <c r="G27" s="126"/>
      <c r="H27" s="126"/>
    </row>
    <row r="28" spans="2:8" ht="24.6" thickBot="1">
      <c r="B28" s="125" t="s">
        <v>30</v>
      </c>
      <c r="C28" s="126" t="s">
        <v>157</v>
      </c>
      <c r="D28" s="126" t="s">
        <v>157</v>
      </c>
      <c r="E28" s="126" t="s">
        <v>157</v>
      </c>
      <c r="F28" s="126"/>
      <c r="G28" s="126" t="s">
        <v>76</v>
      </c>
      <c r="H28" s="126"/>
    </row>
    <row r="29" spans="2:8" ht="15" thickBot="1">
      <c r="B29" s="125" t="s">
        <v>50</v>
      </c>
      <c r="C29" s="126" t="s">
        <v>68</v>
      </c>
      <c r="D29" s="126" t="s">
        <v>68</v>
      </c>
      <c r="E29" s="126" t="s">
        <v>68</v>
      </c>
      <c r="F29" s="126"/>
      <c r="G29" s="126"/>
      <c r="H29" s="126"/>
    </row>
    <row r="30" spans="2:8" ht="15" thickBot="1">
      <c r="B30" s="125" t="s">
        <v>31</v>
      </c>
      <c r="C30" s="126" t="s">
        <v>68</v>
      </c>
      <c r="D30" s="126" t="s">
        <v>68</v>
      </c>
      <c r="E30" s="126" t="s">
        <v>68</v>
      </c>
      <c r="F30" s="126"/>
      <c r="G30" s="126"/>
      <c r="H30" s="126"/>
    </row>
  </sheetData>
  <mergeCells count="3">
    <mergeCell ref="B6:B7"/>
    <mergeCell ref="C6:H6"/>
    <mergeCell ref="C7:H7"/>
  </mergeCells>
  <pageMargins left="0.7" right="0.7"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3">
    <tabColor theme="4"/>
  </sheetPr>
  <dimension ref="B3:H31"/>
  <sheetViews>
    <sheetView workbookViewId="0">
      <selection activeCell="K36" sqref="K36"/>
    </sheetView>
  </sheetViews>
  <sheetFormatPr defaultRowHeight="14.4"/>
  <cols>
    <col min="2" max="2" width="36.77734375" customWidth="1"/>
  </cols>
  <sheetData>
    <row r="3" spans="2:8">
      <c r="B3" s="8" t="s">
        <v>320</v>
      </c>
    </row>
    <row r="5" spans="2:8" ht="15" thickBot="1"/>
    <row r="6" spans="2:8">
      <c r="B6" s="1257" t="s">
        <v>0</v>
      </c>
      <c r="C6" s="1259" t="s">
        <v>158</v>
      </c>
      <c r="D6" s="1260"/>
      <c r="E6" s="1260"/>
      <c r="F6" s="1260"/>
      <c r="G6" s="1260"/>
      <c r="H6" s="1261"/>
    </row>
    <row r="7" spans="2:8" ht="15" thickBot="1">
      <c r="B7" s="1258"/>
      <c r="C7" s="1134" t="s">
        <v>38</v>
      </c>
      <c r="D7" s="1135"/>
      <c r="E7" s="1135"/>
      <c r="F7" s="1135"/>
      <c r="G7" s="1135"/>
      <c r="H7" s="1136"/>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9">
        <v>1.6</v>
      </c>
      <c r="D10" s="9">
        <v>1.6</v>
      </c>
      <c r="E10" s="9">
        <v>1.6</v>
      </c>
      <c r="F10" s="9"/>
      <c r="G10" s="9" t="s">
        <v>6</v>
      </c>
      <c r="H10" s="9">
        <v>3</v>
      </c>
    </row>
    <row r="11" spans="2:8" ht="15" thickBot="1">
      <c r="B11" s="1" t="s">
        <v>137</v>
      </c>
      <c r="C11" s="9">
        <v>1.4</v>
      </c>
      <c r="D11" s="9">
        <v>1.4</v>
      </c>
      <c r="E11" s="9">
        <v>1.4</v>
      </c>
      <c r="F11" s="9"/>
      <c r="G11" s="9"/>
      <c r="H11" s="9">
        <v>3</v>
      </c>
    </row>
    <row r="12" spans="2:8" ht="24.6" thickBot="1">
      <c r="B12" s="1" t="s">
        <v>7</v>
      </c>
      <c r="C12" s="9" t="s">
        <v>159</v>
      </c>
      <c r="D12" s="9" t="s">
        <v>159</v>
      </c>
      <c r="E12" s="9" t="s">
        <v>159</v>
      </c>
      <c r="F12" s="9"/>
      <c r="G12" s="9" t="s">
        <v>20</v>
      </c>
      <c r="H12" s="9"/>
    </row>
    <row r="13" spans="2:8" ht="24.6" thickBot="1">
      <c r="B13" s="1" t="s">
        <v>8</v>
      </c>
      <c r="C13" s="9" t="s">
        <v>159</v>
      </c>
      <c r="D13" s="9" t="s">
        <v>159</v>
      </c>
      <c r="E13" s="9" t="s">
        <v>159</v>
      </c>
      <c r="F13" s="9"/>
      <c r="G13" s="9" t="s">
        <v>20</v>
      </c>
      <c r="H13" s="9"/>
    </row>
    <row r="14" spans="2:8" ht="15" thickBot="1">
      <c r="B14" s="1" t="s">
        <v>142</v>
      </c>
      <c r="C14" s="9" t="s">
        <v>160</v>
      </c>
      <c r="D14" s="9" t="s">
        <v>161</v>
      </c>
      <c r="E14" s="9" t="s">
        <v>162</v>
      </c>
      <c r="F14" s="9"/>
      <c r="G14" s="9" t="s">
        <v>76</v>
      </c>
      <c r="H14" s="9">
        <v>1</v>
      </c>
    </row>
    <row r="15" spans="2:8" ht="15" thickBot="1">
      <c r="B15" s="1" t="s">
        <v>146</v>
      </c>
      <c r="C15" s="9" t="s">
        <v>163</v>
      </c>
      <c r="D15" s="9" t="s">
        <v>164</v>
      </c>
      <c r="E15" s="9" t="s">
        <v>144</v>
      </c>
      <c r="F15" s="9"/>
      <c r="G15" s="9" t="s">
        <v>76</v>
      </c>
      <c r="H15" s="9">
        <v>1</v>
      </c>
    </row>
    <row r="16" spans="2:8" ht="15" thickBot="1">
      <c r="B16" s="1" t="s">
        <v>9</v>
      </c>
      <c r="C16" s="9" t="s">
        <v>149</v>
      </c>
      <c r="D16" s="9" t="s">
        <v>165</v>
      </c>
      <c r="E16" s="9" t="s">
        <v>151</v>
      </c>
      <c r="F16" s="9"/>
      <c r="G16" s="9" t="s">
        <v>166</v>
      </c>
      <c r="H16" s="9">
        <v>1</v>
      </c>
    </row>
    <row r="17" spans="2:8" ht="24.6" thickBot="1">
      <c r="B17" s="1" t="s">
        <v>167</v>
      </c>
      <c r="C17" s="9" t="s">
        <v>168</v>
      </c>
      <c r="D17" s="9" t="s">
        <v>169</v>
      </c>
      <c r="E17" s="9" t="s">
        <v>170</v>
      </c>
      <c r="F17" s="9"/>
      <c r="G17" s="9"/>
      <c r="H17" s="9" t="s">
        <v>65</v>
      </c>
    </row>
    <row r="18" spans="2:8" ht="15" thickBot="1">
      <c r="B18" s="1" t="s">
        <v>11</v>
      </c>
      <c r="C18" s="9">
        <v>7</v>
      </c>
      <c r="D18" s="9" t="s">
        <v>153</v>
      </c>
      <c r="E18" s="9" t="s">
        <v>153</v>
      </c>
      <c r="F18" s="9"/>
      <c r="G18" s="9" t="s">
        <v>59</v>
      </c>
      <c r="H18" s="9">
        <v>1</v>
      </c>
    </row>
    <row r="19" spans="2:8" ht="15" thickBot="1">
      <c r="B19" s="3" t="s">
        <v>12</v>
      </c>
      <c r="C19" s="4"/>
      <c r="D19" s="4"/>
      <c r="E19" s="4"/>
      <c r="F19" s="4"/>
      <c r="G19" s="4"/>
      <c r="H19" s="5"/>
    </row>
    <row r="20" spans="2:8" ht="15.75" customHeight="1" thickBot="1">
      <c r="B20" s="22" t="s">
        <v>13</v>
      </c>
      <c r="C20" s="1308" t="s">
        <v>173</v>
      </c>
      <c r="D20" s="1309"/>
      <c r="E20" s="1309"/>
      <c r="F20" s="1309"/>
      <c r="G20" s="1309"/>
      <c r="H20" s="1310"/>
    </row>
    <row r="21" spans="2:8" ht="15.75" customHeight="1" thickBot="1">
      <c r="B21" s="1" t="s">
        <v>15</v>
      </c>
      <c r="C21" s="1311"/>
      <c r="D21" s="1312"/>
      <c r="E21" s="1312"/>
      <c r="F21" s="1312"/>
      <c r="G21" s="1312"/>
      <c r="H21" s="1313"/>
    </row>
    <row r="22" spans="2:8" ht="15.6" thickBot="1">
      <c r="B22" s="1" t="s">
        <v>17</v>
      </c>
      <c r="C22" s="1311"/>
      <c r="D22" s="1312"/>
      <c r="E22" s="1312"/>
      <c r="F22" s="1312"/>
      <c r="G22" s="1312"/>
      <c r="H22" s="1313"/>
    </row>
    <row r="23" spans="2:8" ht="15.6" thickBot="1">
      <c r="B23" s="1" t="s">
        <v>18</v>
      </c>
      <c r="C23" s="1311"/>
      <c r="D23" s="1312"/>
      <c r="E23" s="1312"/>
      <c r="F23" s="1312"/>
      <c r="G23" s="1312"/>
      <c r="H23" s="1313"/>
    </row>
    <row r="24" spans="2:8" ht="15" thickBot="1">
      <c r="B24" s="1" t="s">
        <v>19</v>
      </c>
      <c r="C24" s="1314"/>
      <c r="D24" s="1315"/>
      <c r="E24" s="1315"/>
      <c r="F24" s="1315"/>
      <c r="G24" s="1315"/>
      <c r="H24" s="1316"/>
    </row>
    <row r="25" spans="2:8" ht="15" thickBot="1">
      <c r="B25" s="3" t="s">
        <v>22</v>
      </c>
      <c r="C25" s="4"/>
      <c r="D25" s="4"/>
      <c r="E25" s="4"/>
      <c r="F25" s="4"/>
      <c r="G25" s="4"/>
      <c r="H25" s="5"/>
    </row>
    <row r="26" spans="2:8">
      <c r="B26" s="6" t="s">
        <v>24</v>
      </c>
      <c r="C26" s="7">
        <v>10.5</v>
      </c>
      <c r="D26" s="7">
        <v>4.4000000000000004</v>
      </c>
      <c r="E26" s="7">
        <v>2.6</v>
      </c>
      <c r="F26" s="7"/>
      <c r="G26" s="7"/>
      <c r="H26" s="7">
        <v>1</v>
      </c>
    </row>
    <row r="27" spans="2:8">
      <c r="B27" s="6" t="s">
        <v>26</v>
      </c>
      <c r="C27" s="7" t="s">
        <v>171</v>
      </c>
      <c r="D27" s="7">
        <v>70</v>
      </c>
      <c r="E27" s="7">
        <v>70</v>
      </c>
      <c r="F27" s="7"/>
      <c r="G27" s="7"/>
      <c r="H27" s="7"/>
    </row>
    <row r="28" spans="2:8" ht="15" thickBot="1">
      <c r="B28" s="1" t="s">
        <v>96</v>
      </c>
      <c r="C28" s="2" t="s">
        <v>172</v>
      </c>
      <c r="D28" s="2">
        <v>30</v>
      </c>
      <c r="E28" s="2">
        <v>30</v>
      </c>
      <c r="F28" s="2"/>
      <c r="G28" s="2"/>
      <c r="H28" s="2"/>
    </row>
    <row r="29" spans="2:8" ht="24.6" thickBot="1">
      <c r="B29" s="1" t="s">
        <v>30</v>
      </c>
      <c r="C29" s="2" t="s">
        <v>157</v>
      </c>
      <c r="D29" s="2" t="s">
        <v>157</v>
      </c>
      <c r="E29" s="2" t="s">
        <v>157</v>
      </c>
      <c r="F29" s="2"/>
      <c r="G29" s="2" t="s">
        <v>25</v>
      </c>
      <c r="H29" s="2"/>
    </row>
    <row r="30" spans="2:8" ht="15" thickBot="1">
      <c r="B30" s="1" t="s">
        <v>50</v>
      </c>
      <c r="C30" s="2" t="s">
        <v>68</v>
      </c>
      <c r="D30" s="2" t="s">
        <v>68</v>
      </c>
      <c r="E30" s="2" t="s">
        <v>68</v>
      </c>
      <c r="F30" s="2"/>
      <c r="G30" s="2"/>
      <c r="H30" s="2"/>
    </row>
    <row r="31" spans="2:8" ht="15" thickBot="1">
      <c r="B31" s="1" t="s">
        <v>31</v>
      </c>
      <c r="C31" s="2" t="s">
        <v>68</v>
      </c>
      <c r="D31" s="2" t="s">
        <v>68</v>
      </c>
      <c r="E31" s="2" t="s">
        <v>68</v>
      </c>
      <c r="F31" s="2"/>
      <c r="G31" s="2"/>
      <c r="H31" s="2"/>
    </row>
  </sheetData>
  <mergeCells count="4">
    <mergeCell ref="C20:H24"/>
    <mergeCell ref="B6:B7"/>
    <mergeCell ref="C6:H6"/>
    <mergeCell ref="C7:H7"/>
  </mergeCells>
  <pageMargins left="0.7" right="0.7" top="0.75" bottom="0.75" header="0.3" footer="0.3"/>
  <pageSetup paperSize="9"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4">
    <tabColor theme="4"/>
  </sheetPr>
  <dimension ref="B3:H91"/>
  <sheetViews>
    <sheetView topLeftCell="A10" workbookViewId="0">
      <selection activeCell="K36" sqref="K36"/>
    </sheetView>
  </sheetViews>
  <sheetFormatPr defaultRowHeight="14.4"/>
  <cols>
    <col min="2" max="2" width="36.77734375" customWidth="1"/>
  </cols>
  <sheetData>
    <row r="3" spans="2:8">
      <c r="B3" s="8" t="s">
        <v>321</v>
      </c>
    </row>
    <row r="5" spans="2:8" ht="15" thickBot="1"/>
    <row r="6" spans="2:8">
      <c r="B6" s="1257" t="s">
        <v>0</v>
      </c>
      <c r="C6" s="1259" t="s">
        <v>174</v>
      </c>
      <c r="D6" s="1260"/>
      <c r="E6" s="1260"/>
      <c r="F6" s="1260"/>
      <c r="G6" s="1260"/>
      <c r="H6" s="1261"/>
    </row>
    <row r="7" spans="2:8" ht="15" thickBot="1">
      <c r="B7" s="1258"/>
      <c r="C7" s="1134" t="s">
        <v>1</v>
      </c>
      <c r="D7" s="1135"/>
      <c r="E7" s="1135"/>
      <c r="F7" s="1135"/>
      <c r="G7" s="1135"/>
      <c r="H7" s="1136"/>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32" t="s">
        <v>297</v>
      </c>
      <c r="D10" s="32" t="s">
        <v>298</v>
      </c>
      <c r="E10" s="32" t="s">
        <v>299</v>
      </c>
      <c r="F10" s="9"/>
      <c r="G10" s="9" t="s">
        <v>6</v>
      </c>
      <c r="H10" s="9"/>
    </row>
    <row r="11" spans="2:8" ht="15" thickBot="1">
      <c r="B11" s="1" t="s">
        <v>137</v>
      </c>
      <c r="C11" s="9">
        <v>1</v>
      </c>
      <c r="D11" s="9">
        <v>1</v>
      </c>
      <c r="E11" s="9">
        <v>1</v>
      </c>
      <c r="F11" s="9"/>
      <c r="G11" s="9"/>
      <c r="H11" s="9"/>
    </row>
    <row r="12" spans="2:8" ht="24.6" thickBot="1">
      <c r="B12" s="1" t="s">
        <v>7</v>
      </c>
      <c r="C12" s="9" t="s">
        <v>175</v>
      </c>
      <c r="D12" s="9" t="s">
        <v>175</v>
      </c>
      <c r="E12" s="9" t="s">
        <v>175</v>
      </c>
      <c r="F12" s="9"/>
      <c r="G12" s="9" t="s">
        <v>16</v>
      </c>
      <c r="H12" s="9"/>
    </row>
    <row r="13" spans="2:8" ht="24.6" thickBot="1">
      <c r="B13" s="1" t="s">
        <v>8</v>
      </c>
      <c r="C13" s="9" t="s">
        <v>159</v>
      </c>
      <c r="D13" s="9" t="s">
        <v>159</v>
      </c>
      <c r="E13" s="9" t="s">
        <v>159</v>
      </c>
      <c r="F13" s="9"/>
      <c r="G13" s="9" t="s">
        <v>16</v>
      </c>
      <c r="H13" s="9"/>
    </row>
    <row r="14" spans="2:8" ht="15" thickBot="1">
      <c r="B14" s="1" t="s">
        <v>142</v>
      </c>
      <c r="C14" s="9">
        <v>12</v>
      </c>
      <c r="D14" s="9">
        <v>14</v>
      </c>
      <c r="E14" s="9">
        <v>16</v>
      </c>
      <c r="F14" s="9"/>
      <c r="G14" s="9"/>
      <c r="H14" s="9">
        <v>-4</v>
      </c>
    </row>
    <row r="15" spans="2:8" ht="15" thickBot="1">
      <c r="B15" s="1" t="s">
        <v>146</v>
      </c>
      <c r="C15" s="9" t="s">
        <v>63</v>
      </c>
      <c r="D15" s="9" t="s">
        <v>176</v>
      </c>
      <c r="E15" s="9" t="s">
        <v>169</v>
      </c>
      <c r="F15" s="9"/>
      <c r="G15" s="9"/>
      <c r="H15" s="9">
        <v>-4</v>
      </c>
    </row>
    <row r="16" spans="2:8" ht="15" thickBot="1">
      <c r="B16" s="1" t="s">
        <v>9</v>
      </c>
      <c r="C16" s="9" t="s">
        <v>177</v>
      </c>
      <c r="D16" s="9" t="s">
        <v>178</v>
      </c>
      <c r="E16" s="9" t="s">
        <v>179</v>
      </c>
      <c r="F16" s="9"/>
      <c r="G16" s="9"/>
      <c r="H16" s="9">
        <v>-4</v>
      </c>
    </row>
    <row r="17" spans="2:8" ht="15" thickBot="1">
      <c r="B17" s="1" t="s">
        <v>11</v>
      </c>
      <c r="C17" s="9">
        <v>10</v>
      </c>
      <c r="D17" s="9" t="s">
        <v>153</v>
      </c>
      <c r="E17" s="9" t="s">
        <v>153</v>
      </c>
      <c r="F17" s="9"/>
      <c r="G17" s="9"/>
      <c r="H17" s="9"/>
    </row>
    <row r="18" spans="2:8" ht="15" thickBot="1">
      <c r="B18" s="3" t="s">
        <v>12</v>
      </c>
      <c r="C18" s="4"/>
      <c r="D18" s="4"/>
      <c r="E18" s="4"/>
      <c r="F18" s="4"/>
      <c r="G18" s="4"/>
      <c r="H18" s="5"/>
    </row>
    <row r="19" spans="2:8" ht="15.6" thickBot="1">
      <c r="B19" s="1" t="s">
        <v>13</v>
      </c>
      <c r="C19" s="2">
        <v>0</v>
      </c>
      <c r="D19" s="2">
        <v>0</v>
      </c>
      <c r="E19" s="2">
        <v>0</v>
      </c>
      <c r="F19" s="2"/>
      <c r="G19" s="2"/>
      <c r="H19" s="2"/>
    </row>
    <row r="20" spans="2:8" ht="15.6" thickBot="1">
      <c r="B20" s="1" t="s">
        <v>15</v>
      </c>
      <c r="C20" s="2" t="s">
        <v>180</v>
      </c>
      <c r="D20" s="27" t="s">
        <v>300</v>
      </c>
      <c r="E20" s="27" t="s">
        <v>300</v>
      </c>
      <c r="F20" s="2"/>
      <c r="G20" s="2" t="s">
        <v>59</v>
      </c>
      <c r="H20" s="2">
        <v>3</v>
      </c>
    </row>
    <row r="21" spans="2:8" ht="15.6" thickBot="1">
      <c r="B21" s="1" t="s">
        <v>17</v>
      </c>
      <c r="C21" s="35">
        <v>0</v>
      </c>
      <c r="D21" s="35">
        <v>0</v>
      </c>
      <c r="E21" s="35">
        <v>0</v>
      </c>
      <c r="F21" s="2"/>
      <c r="G21" s="2"/>
      <c r="H21" s="2">
        <v>3</v>
      </c>
    </row>
    <row r="22" spans="2:8" ht="15.6" thickBot="1">
      <c r="B22" s="1" t="s">
        <v>18</v>
      </c>
      <c r="C22" s="35">
        <v>0</v>
      </c>
      <c r="D22" s="35">
        <v>0</v>
      </c>
      <c r="E22" s="35">
        <v>0</v>
      </c>
      <c r="F22" s="2"/>
      <c r="G22" s="2"/>
      <c r="H22" s="2"/>
    </row>
    <row r="23" spans="2:8" ht="15" thickBot="1">
      <c r="B23" s="1" t="s">
        <v>19</v>
      </c>
      <c r="C23" s="35">
        <v>0</v>
      </c>
      <c r="D23" s="35">
        <v>0</v>
      </c>
      <c r="E23" s="35">
        <v>0</v>
      </c>
      <c r="F23" s="2"/>
      <c r="G23" s="2"/>
      <c r="H23" s="2"/>
    </row>
    <row r="24" spans="2:8" ht="15" thickBot="1">
      <c r="B24" s="3" t="s">
        <v>22</v>
      </c>
      <c r="C24" s="4"/>
      <c r="D24" s="4"/>
      <c r="E24" s="4"/>
      <c r="F24" s="4"/>
      <c r="G24" s="4"/>
      <c r="H24" s="5"/>
    </row>
    <row r="25" spans="2:8">
      <c r="B25" s="6" t="s">
        <v>24</v>
      </c>
      <c r="C25" s="26" t="s">
        <v>301</v>
      </c>
      <c r="D25" s="28" t="s">
        <v>302</v>
      </c>
      <c r="E25" s="7">
        <v>5</v>
      </c>
      <c r="F25" s="7"/>
      <c r="G25" s="7"/>
      <c r="H25" s="7" t="s">
        <v>94</v>
      </c>
    </row>
    <row r="26" spans="2:8">
      <c r="B26" s="6" t="s">
        <v>26</v>
      </c>
      <c r="C26" s="7" t="s">
        <v>27</v>
      </c>
      <c r="D26" s="7">
        <v>70</v>
      </c>
      <c r="E26" s="7">
        <v>70</v>
      </c>
      <c r="F26" s="7"/>
      <c r="G26" s="7"/>
      <c r="H26" s="7"/>
    </row>
    <row r="27" spans="2:8" ht="15" thickBot="1">
      <c r="B27" s="1" t="s">
        <v>28</v>
      </c>
      <c r="C27" s="2" t="s">
        <v>29</v>
      </c>
      <c r="D27" s="2">
        <v>30</v>
      </c>
      <c r="E27" s="2">
        <v>30</v>
      </c>
      <c r="F27" s="2"/>
      <c r="G27" s="2"/>
      <c r="H27" s="2"/>
    </row>
    <row r="28" spans="2:8" ht="24.6" thickBot="1">
      <c r="B28" s="1" t="s">
        <v>30</v>
      </c>
      <c r="C28" s="2" t="s">
        <v>157</v>
      </c>
      <c r="D28" s="2" t="s">
        <v>157</v>
      </c>
      <c r="E28" s="2" t="s">
        <v>157</v>
      </c>
      <c r="F28" s="2"/>
      <c r="G28" s="2" t="s">
        <v>16</v>
      </c>
      <c r="H28" s="2"/>
    </row>
    <row r="29" spans="2:8" ht="15" thickBot="1">
      <c r="B29" s="1" t="s">
        <v>50</v>
      </c>
      <c r="C29" s="2" t="s">
        <v>68</v>
      </c>
      <c r="D29" s="2" t="s">
        <v>68</v>
      </c>
      <c r="E29" s="2" t="s">
        <v>68</v>
      </c>
      <c r="F29" s="2"/>
      <c r="G29" s="2"/>
      <c r="H29" s="2"/>
    </row>
    <row r="30" spans="2:8" ht="15" thickBot="1">
      <c r="B30" s="1" t="s">
        <v>31</v>
      </c>
      <c r="C30" s="2" t="s">
        <v>74</v>
      </c>
      <c r="D30" s="2" t="s">
        <v>74</v>
      </c>
      <c r="E30" s="2" t="s">
        <v>74</v>
      </c>
      <c r="F30" s="2"/>
      <c r="G30" s="2"/>
      <c r="H30" s="2">
        <v>3</v>
      </c>
    </row>
    <row r="34" spans="2:8" ht="15" thickBot="1"/>
    <row r="35" spans="2:8">
      <c r="B35" s="1257" t="s">
        <v>0</v>
      </c>
      <c r="C35" s="1259" t="s">
        <v>174</v>
      </c>
      <c r="D35" s="1260"/>
      <c r="E35" s="1260"/>
      <c r="F35" s="1260"/>
      <c r="G35" s="1260"/>
      <c r="H35" s="1261"/>
    </row>
    <row r="36" spans="2:8" ht="15" thickBot="1">
      <c r="B36" s="1258"/>
      <c r="C36" s="1134" t="s">
        <v>34</v>
      </c>
      <c r="D36" s="1135"/>
      <c r="E36" s="1135"/>
      <c r="F36" s="1135"/>
      <c r="G36" s="1135"/>
      <c r="H36" s="1136"/>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5</v>
      </c>
      <c r="C39" s="32" t="s">
        <v>297</v>
      </c>
      <c r="D39" s="32" t="s">
        <v>298</v>
      </c>
      <c r="E39" s="32" t="s">
        <v>299</v>
      </c>
      <c r="F39" s="9"/>
      <c r="G39" s="9" t="s">
        <v>6</v>
      </c>
      <c r="H39" s="9"/>
    </row>
    <row r="40" spans="2:8" ht="15" thickBot="1">
      <c r="B40" s="1" t="s">
        <v>137</v>
      </c>
      <c r="C40" s="9">
        <v>1</v>
      </c>
      <c r="D40" s="9">
        <v>1</v>
      </c>
      <c r="E40" s="9">
        <v>1</v>
      </c>
      <c r="F40" s="9"/>
      <c r="G40" s="9"/>
      <c r="H40" s="9"/>
    </row>
    <row r="41" spans="2:8" ht="24.6" thickBot="1">
      <c r="B41" s="1" t="s">
        <v>7</v>
      </c>
      <c r="C41" s="9" t="s">
        <v>181</v>
      </c>
      <c r="D41" s="9" t="s">
        <v>181</v>
      </c>
      <c r="E41" s="9" t="s">
        <v>181</v>
      </c>
      <c r="F41" s="9"/>
      <c r="G41" s="9" t="s">
        <v>16</v>
      </c>
      <c r="H41" s="9"/>
    </row>
    <row r="42" spans="2:8" ht="24.6" thickBot="1">
      <c r="B42" s="1" t="s">
        <v>8</v>
      </c>
      <c r="C42" s="9" t="s">
        <v>182</v>
      </c>
      <c r="D42" s="9" t="s">
        <v>182</v>
      </c>
      <c r="E42" s="9" t="s">
        <v>182</v>
      </c>
      <c r="F42" s="9"/>
      <c r="G42" s="9" t="s">
        <v>16</v>
      </c>
      <c r="H42" s="9"/>
    </row>
    <row r="43" spans="2:8" ht="15" thickBot="1">
      <c r="B43" s="1" t="s">
        <v>142</v>
      </c>
      <c r="C43" s="9">
        <v>12</v>
      </c>
      <c r="D43" s="9">
        <v>14</v>
      </c>
      <c r="E43" s="9">
        <v>16</v>
      </c>
      <c r="F43" s="9"/>
      <c r="G43" s="9"/>
      <c r="H43" s="9">
        <v>-4</v>
      </c>
    </row>
    <row r="44" spans="2:8" ht="15" thickBot="1">
      <c r="B44" s="1" t="s">
        <v>146</v>
      </c>
      <c r="C44" s="9" t="s">
        <v>63</v>
      </c>
      <c r="D44" s="9" t="s">
        <v>176</v>
      </c>
      <c r="E44" s="9" t="s">
        <v>169</v>
      </c>
      <c r="F44" s="9"/>
      <c r="G44" s="9"/>
      <c r="H44" s="9">
        <v>-4</v>
      </c>
    </row>
    <row r="45" spans="2:8" ht="15" thickBot="1">
      <c r="B45" s="1" t="s">
        <v>9</v>
      </c>
      <c r="C45" s="9" t="s">
        <v>177</v>
      </c>
      <c r="D45" s="9" t="s">
        <v>178</v>
      </c>
      <c r="E45" s="9" t="s">
        <v>179</v>
      </c>
      <c r="F45" s="9"/>
      <c r="G45" s="9"/>
      <c r="H45" s="9">
        <v>-4</v>
      </c>
    </row>
    <row r="46" spans="2:8" ht="15" thickBot="1">
      <c r="B46" s="1" t="s">
        <v>11</v>
      </c>
      <c r="C46" s="9">
        <v>15</v>
      </c>
      <c r="D46" s="9" t="s">
        <v>183</v>
      </c>
      <c r="E46" s="9" t="s">
        <v>183</v>
      </c>
      <c r="F46" s="9"/>
      <c r="G46" s="9" t="s">
        <v>20</v>
      </c>
      <c r="H46" s="9"/>
    </row>
    <row r="47" spans="2:8" ht="15" thickBot="1">
      <c r="B47" s="3" t="s">
        <v>12</v>
      </c>
      <c r="C47" s="4"/>
      <c r="D47" s="4"/>
      <c r="E47" s="4"/>
      <c r="F47" s="4"/>
      <c r="G47" s="4"/>
      <c r="H47" s="5"/>
    </row>
    <row r="48" spans="2:8" ht="15.6" thickBot="1">
      <c r="B48" s="1" t="s">
        <v>13</v>
      </c>
      <c r="C48" s="2">
        <v>0</v>
      </c>
      <c r="D48" s="2">
        <v>0</v>
      </c>
      <c r="E48" s="2">
        <v>0</v>
      </c>
      <c r="F48" s="2"/>
      <c r="G48" s="2"/>
      <c r="H48" s="2"/>
    </row>
    <row r="49" spans="2:8" ht="15.6" thickBot="1">
      <c r="B49" s="1" t="s">
        <v>15</v>
      </c>
      <c r="C49" s="2" t="s">
        <v>180</v>
      </c>
      <c r="D49" s="27" t="s">
        <v>300</v>
      </c>
      <c r="E49" s="27" t="s">
        <v>300</v>
      </c>
      <c r="F49" s="2"/>
      <c r="G49" s="2" t="s">
        <v>59</v>
      </c>
      <c r="H49" s="2">
        <v>3</v>
      </c>
    </row>
    <row r="50" spans="2:8" ht="15.6" thickBot="1">
      <c r="B50" s="1" t="s">
        <v>17</v>
      </c>
      <c r="C50" s="2">
        <v>0</v>
      </c>
      <c r="D50" s="178">
        <v>0</v>
      </c>
      <c r="E50" s="178">
        <v>0</v>
      </c>
      <c r="F50" s="2"/>
      <c r="G50" s="2"/>
      <c r="H50" s="2">
        <v>3</v>
      </c>
    </row>
    <row r="51" spans="2:8" ht="15.6" thickBot="1">
      <c r="B51" s="1" t="s">
        <v>18</v>
      </c>
      <c r="C51" s="178">
        <v>0</v>
      </c>
      <c r="D51" s="178">
        <v>0</v>
      </c>
      <c r="E51" s="178">
        <v>0</v>
      </c>
      <c r="F51" s="2"/>
      <c r="G51" s="2"/>
      <c r="H51" s="2"/>
    </row>
    <row r="52" spans="2:8" ht="15" thickBot="1">
      <c r="B52" s="1" t="s">
        <v>19</v>
      </c>
      <c r="C52" s="178">
        <v>0</v>
      </c>
      <c r="D52" s="178">
        <v>0</v>
      </c>
      <c r="E52" s="178">
        <v>0</v>
      </c>
      <c r="F52" s="2"/>
      <c r="G52" s="2"/>
      <c r="H52" s="2"/>
    </row>
    <row r="53" spans="2:8" ht="15" thickBot="1">
      <c r="B53" s="3" t="s">
        <v>22</v>
      </c>
      <c r="C53" s="4"/>
      <c r="D53" s="4"/>
      <c r="E53" s="4"/>
      <c r="F53" s="4"/>
      <c r="G53" s="4"/>
      <c r="H53" s="5"/>
    </row>
    <row r="54" spans="2:8">
      <c r="B54" s="6" t="s">
        <v>24</v>
      </c>
      <c r="C54" s="26" t="s">
        <v>301</v>
      </c>
      <c r="D54" s="28" t="s">
        <v>302</v>
      </c>
      <c r="E54" s="7">
        <v>5</v>
      </c>
      <c r="F54" s="7"/>
      <c r="G54" s="7"/>
      <c r="H54" s="7" t="s">
        <v>94</v>
      </c>
    </row>
    <row r="55" spans="2:8">
      <c r="B55" s="6" t="s">
        <v>26</v>
      </c>
      <c r="C55" s="7" t="s">
        <v>27</v>
      </c>
      <c r="D55" s="7">
        <v>70</v>
      </c>
      <c r="E55" s="7">
        <v>70</v>
      </c>
      <c r="F55" s="7"/>
      <c r="G55" s="7"/>
      <c r="H55" s="7"/>
    </row>
    <row r="56" spans="2:8" ht="15" thickBot="1">
      <c r="B56" s="1" t="s">
        <v>28</v>
      </c>
      <c r="C56" s="2" t="s">
        <v>29</v>
      </c>
      <c r="D56" s="2">
        <v>30</v>
      </c>
      <c r="E56" s="2">
        <v>30</v>
      </c>
      <c r="F56" s="2"/>
      <c r="G56" s="2"/>
      <c r="H56" s="2"/>
    </row>
    <row r="57" spans="2:8" ht="24.6" thickBot="1">
      <c r="B57" s="1" t="s">
        <v>30</v>
      </c>
      <c r="C57" s="2" t="s">
        <v>157</v>
      </c>
      <c r="D57" s="2" t="s">
        <v>157</v>
      </c>
      <c r="E57" s="2" t="s">
        <v>157</v>
      </c>
      <c r="F57" s="2"/>
      <c r="G57" s="2" t="s">
        <v>16</v>
      </c>
      <c r="H57" s="2"/>
    </row>
    <row r="58" spans="2:8" ht="15" thickBot="1">
      <c r="B58" s="1" t="s">
        <v>50</v>
      </c>
      <c r="C58" s="2" t="s">
        <v>68</v>
      </c>
      <c r="D58" s="2" t="s">
        <v>68</v>
      </c>
      <c r="E58" s="2" t="s">
        <v>68</v>
      </c>
      <c r="F58" s="2"/>
      <c r="G58" s="2"/>
      <c r="H58" s="2"/>
    </row>
    <row r="59" spans="2:8" ht="15" thickBot="1">
      <c r="B59" s="1" t="s">
        <v>31</v>
      </c>
      <c r="C59" s="2" t="s">
        <v>74</v>
      </c>
      <c r="D59" s="2" t="s">
        <v>74</v>
      </c>
      <c r="E59" s="2" t="s">
        <v>74</v>
      </c>
      <c r="F59" s="2"/>
      <c r="G59" s="2"/>
      <c r="H59" s="2">
        <v>3</v>
      </c>
    </row>
    <row r="63" spans="2:8" ht="15" thickBot="1"/>
    <row r="64" spans="2:8">
      <c r="B64" s="1257" t="s">
        <v>0</v>
      </c>
      <c r="C64" s="1259" t="s">
        <v>184</v>
      </c>
      <c r="D64" s="1260"/>
      <c r="E64" s="1260"/>
      <c r="F64" s="1260"/>
      <c r="G64" s="1260"/>
      <c r="H64" s="1261"/>
    </row>
    <row r="65" spans="2:8" ht="15.75" customHeight="1" thickBot="1">
      <c r="B65" s="1258"/>
      <c r="C65" s="1317" t="s">
        <v>188</v>
      </c>
      <c r="D65" s="1318"/>
      <c r="E65" s="1318"/>
      <c r="F65" s="1318"/>
      <c r="G65" s="1318"/>
      <c r="H65" s="1319"/>
    </row>
    <row r="66" spans="2:8" ht="15" thickBot="1">
      <c r="B66" s="1"/>
      <c r="C66" s="2">
        <v>2015</v>
      </c>
      <c r="D66" s="2">
        <v>2020</v>
      </c>
      <c r="E66" s="2">
        <v>2030</v>
      </c>
      <c r="F66" s="2">
        <v>2050</v>
      </c>
      <c r="G66" s="2" t="s">
        <v>2</v>
      </c>
      <c r="H66" s="2" t="s">
        <v>3</v>
      </c>
    </row>
    <row r="67" spans="2:8" ht="15" thickBot="1">
      <c r="B67" s="3" t="s">
        <v>4</v>
      </c>
      <c r="C67" s="4"/>
      <c r="D67" s="4"/>
      <c r="E67" s="4"/>
      <c r="F67" s="4"/>
      <c r="G67" s="4"/>
      <c r="H67" s="5"/>
    </row>
    <row r="68" spans="2:8" ht="15" thickBot="1">
      <c r="B68" s="1" t="s">
        <v>5</v>
      </c>
      <c r="C68" s="9">
        <v>15</v>
      </c>
      <c r="D68" s="9">
        <v>14</v>
      </c>
      <c r="E68" s="9">
        <v>13</v>
      </c>
      <c r="F68" s="9"/>
      <c r="G68" s="9" t="s">
        <v>185</v>
      </c>
      <c r="H68" s="9"/>
    </row>
    <row r="69" spans="2:8" ht="15" thickBot="1">
      <c r="B69" s="1" t="s">
        <v>137</v>
      </c>
      <c r="C69" s="9">
        <v>7</v>
      </c>
      <c r="D69" s="9">
        <v>7</v>
      </c>
      <c r="E69" s="9">
        <v>7</v>
      </c>
      <c r="F69" s="9"/>
      <c r="G69" s="9" t="s">
        <v>6</v>
      </c>
      <c r="H69" s="9"/>
    </row>
    <row r="70" spans="2:8" ht="24.6" thickBot="1">
      <c r="B70" s="1" t="s">
        <v>7</v>
      </c>
      <c r="C70" s="9" t="s">
        <v>175</v>
      </c>
      <c r="D70" s="9" t="s">
        <v>175</v>
      </c>
      <c r="E70" s="9" t="s">
        <v>175</v>
      </c>
      <c r="F70" s="9"/>
      <c r="G70" s="9" t="s">
        <v>45</v>
      </c>
      <c r="H70" s="9"/>
    </row>
    <row r="71" spans="2:8" ht="24.6" thickBot="1">
      <c r="B71" s="1" t="s">
        <v>8</v>
      </c>
      <c r="C71" s="9" t="s">
        <v>186</v>
      </c>
      <c r="D71" s="9" t="s">
        <v>186</v>
      </c>
      <c r="E71" s="9" t="s">
        <v>186</v>
      </c>
      <c r="F71" s="9"/>
      <c r="G71" s="9" t="s">
        <v>45</v>
      </c>
      <c r="H71" s="9"/>
    </row>
    <row r="72" spans="2:8" ht="15" thickBot="1">
      <c r="B72" s="1" t="s">
        <v>142</v>
      </c>
      <c r="C72" s="9">
        <v>25</v>
      </c>
      <c r="D72" s="9">
        <v>27</v>
      </c>
      <c r="E72" s="9">
        <v>30</v>
      </c>
      <c r="F72" s="9"/>
      <c r="G72" s="9"/>
      <c r="H72" s="9">
        <v>1</v>
      </c>
    </row>
    <row r="73" spans="2:8" ht="15" thickBot="1">
      <c r="B73" s="1" t="s">
        <v>146</v>
      </c>
      <c r="C73" s="9">
        <v>55</v>
      </c>
      <c r="D73" s="9">
        <v>55</v>
      </c>
      <c r="E73" s="9">
        <v>55</v>
      </c>
      <c r="F73" s="9"/>
      <c r="G73" s="9"/>
      <c r="H73" s="9">
        <v>1</v>
      </c>
    </row>
    <row r="74" spans="2:8" ht="15" thickBot="1">
      <c r="B74" s="1" t="s">
        <v>9</v>
      </c>
      <c r="C74" s="9">
        <v>80</v>
      </c>
      <c r="D74" s="9">
        <v>82</v>
      </c>
      <c r="E74" s="9">
        <v>85</v>
      </c>
      <c r="F74" s="9"/>
      <c r="G74" s="9"/>
      <c r="H74" s="9">
        <v>1</v>
      </c>
    </row>
    <row r="75" spans="2:8" ht="15" thickBot="1">
      <c r="B75" s="1" t="s">
        <v>11</v>
      </c>
      <c r="C75" s="9">
        <v>10</v>
      </c>
      <c r="D75" s="9" t="s">
        <v>153</v>
      </c>
      <c r="E75" s="9" t="s">
        <v>153</v>
      </c>
      <c r="F75" s="9"/>
      <c r="G75" s="9"/>
      <c r="H75" s="9"/>
    </row>
    <row r="76" spans="2:8" ht="15" thickBot="1">
      <c r="B76" s="3" t="s">
        <v>12</v>
      </c>
      <c r="C76" s="4"/>
      <c r="D76" s="4"/>
      <c r="E76" s="4"/>
      <c r="F76" s="4"/>
      <c r="G76" s="4"/>
      <c r="H76" s="5"/>
    </row>
    <row r="77" spans="2:8" ht="15.6" thickBot="1">
      <c r="B77" s="1" t="s">
        <v>13</v>
      </c>
      <c r="C77" s="2">
        <v>0</v>
      </c>
      <c r="D77" s="2">
        <v>0</v>
      </c>
      <c r="E77" s="2">
        <v>0</v>
      </c>
      <c r="F77" s="2"/>
      <c r="G77" s="2"/>
      <c r="H77" s="2"/>
    </row>
    <row r="78" spans="2:8" ht="15.6" thickBot="1">
      <c r="B78" s="1" t="s">
        <v>15</v>
      </c>
      <c r="C78" s="2">
        <v>20</v>
      </c>
      <c r="D78" s="27" t="s">
        <v>300</v>
      </c>
      <c r="E78" s="27" t="s">
        <v>300</v>
      </c>
      <c r="F78" s="2"/>
      <c r="G78" s="2"/>
      <c r="H78" s="2">
        <v>1</v>
      </c>
    </row>
    <row r="79" spans="2:8" ht="15.6" thickBot="1">
      <c r="B79" s="1" t="s">
        <v>17</v>
      </c>
      <c r="C79" s="35">
        <v>1</v>
      </c>
      <c r="D79" s="35">
        <v>1</v>
      </c>
      <c r="E79" s="35">
        <v>1</v>
      </c>
      <c r="F79" s="2"/>
      <c r="G79" s="2"/>
      <c r="H79" s="2">
        <v>1</v>
      </c>
    </row>
    <row r="80" spans="2:8" ht="15.6" thickBot="1">
      <c r="B80" s="1" t="s">
        <v>18</v>
      </c>
      <c r="C80" s="35">
        <v>0</v>
      </c>
      <c r="D80" s="35">
        <v>0</v>
      </c>
      <c r="E80" s="35">
        <v>0</v>
      </c>
      <c r="F80" s="2"/>
      <c r="G80" s="2"/>
      <c r="H80" s="2"/>
    </row>
    <row r="81" spans="2:8" ht="15" thickBot="1">
      <c r="B81" s="1" t="s">
        <v>19</v>
      </c>
      <c r="C81" s="35">
        <v>0</v>
      </c>
      <c r="D81" s="35">
        <v>0</v>
      </c>
      <c r="E81" s="35">
        <v>0</v>
      </c>
      <c r="F81" s="2"/>
      <c r="G81" s="2"/>
      <c r="H81" s="2"/>
    </row>
    <row r="82" spans="2:8" ht="15" thickBot="1">
      <c r="B82" s="3" t="s">
        <v>22</v>
      </c>
      <c r="C82" s="4"/>
      <c r="D82" s="4"/>
      <c r="E82" s="4"/>
      <c r="F82" s="4"/>
      <c r="G82" s="4"/>
      <c r="H82" s="5"/>
    </row>
    <row r="83" spans="2:8">
      <c r="B83" s="6" t="s">
        <v>24</v>
      </c>
      <c r="C83" s="7">
        <v>20</v>
      </c>
      <c r="D83" s="7">
        <v>18</v>
      </c>
      <c r="E83" s="7">
        <v>15</v>
      </c>
      <c r="F83" s="7"/>
      <c r="G83" s="7"/>
      <c r="H83" s="7"/>
    </row>
    <row r="84" spans="2:8">
      <c r="B84" s="6" t="s">
        <v>26</v>
      </c>
      <c r="C84" s="7" t="s">
        <v>115</v>
      </c>
      <c r="D84" s="7">
        <v>75</v>
      </c>
      <c r="E84" s="7">
        <v>75</v>
      </c>
      <c r="F84" s="7"/>
      <c r="G84" s="7"/>
      <c r="H84" s="7"/>
    </row>
    <row r="85" spans="2:8" ht="15" thickBot="1">
      <c r="B85" s="1" t="s">
        <v>96</v>
      </c>
      <c r="C85" s="2" t="s">
        <v>116</v>
      </c>
      <c r="D85" s="2">
        <v>25</v>
      </c>
      <c r="E85" s="2">
        <v>25</v>
      </c>
      <c r="F85" s="2"/>
      <c r="G85" s="2"/>
      <c r="H85" s="2"/>
    </row>
    <row r="86" spans="2:8" ht="24.6" thickBot="1">
      <c r="B86" s="1" t="s">
        <v>113</v>
      </c>
      <c r="C86" s="2">
        <v>0.2</v>
      </c>
      <c r="D86" s="2">
        <v>0.2</v>
      </c>
      <c r="E86" s="2">
        <v>0.2</v>
      </c>
      <c r="F86" s="2"/>
      <c r="G86" s="2" t="s">
        <v>16</v>
      </c>
      <c r="H86" s="2"/>
    </row>
    <row r="87" spans="2:8" ht="15" thickBot="1">
      <c r="B87" s="1" t="s">
        <v>50</v>
      </c>
      <c r="C87" s="2" t="s">
        <v>68</v>
      </c>
      <c r="D87" s="2" t="s">
        <v>68</v>
      </c>
      <c r="E87" s="2" t="s">
        <v>68</v>
      </c>
      <c r="F87" s="2"/>
      <c r="G87" s="2"/>
      <c r="H87" s="2"/>
    </row>
    <row r="88" spans="2:8" ht="15" thickBot="1">
      <c r="B88" s="1" t="s">
        <v>31</v>
      </c>
      <c r="C88" s="2" t="s">
        <v>187</v>
      </c>
      <c r="D88" s="2" t="s">
        <v>187</v>
      </c>
      <c r="E88" s="2" t="s">
        <v>187</v>
      </c>
      <c r="F88" s="2"/>
      <c r="G88" s="2"/>
      <c r="H88" s="2">
        <v>2</v>
      </c>
    </row>
    <row r="91" spans="2:8">
      <c r="B91" s="23"/>
    </row>
  </sheetData>
  <mergeCells count="9">
    <mergeCell ref="B64:B65"/>
    <mergeCell ref="C64:H64"/>
    <mergeCell ref="C65:H65"/>
    <mergeCell ref="B6:B7"/>
    <mergeCell ref="C6:H6"/>
    <mergeCell ref="C7:H7"/>
    <mergeCell ref="B35:B36"/>
    <mergeCell ref="C35:H35"/>
    <mergeCell ref="C36:H36"/>
  </mergeCells>
  <pageMargins left="0.7" right="0.7" top="0.75" bottom="0.75" header="0.3" footer="0.3"/>
  <pageSetup paperSize="9"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tabColor theme="4"/>
  </sheetPr>
  <dimension ref="B3:H117"/>
  <sheetViews>
    <sheetView workbookViewId="0">
      <selection activeCell="K36" sqref="K36"/>
    </sheetView>
  </sheetViews>
  <sheetFormatPr defaultRowHeight="14.4"/>
  <cols>
    <col min="2" max="2" width="36.77734375" customWidth="1"/>
  </cols>
  <sheetData>
    <row r="3" spans="2:8">
      <c r="B3" s="8" t="s">
        <v>322</v>
      </c>
    </row>
    <row r="5" spans="2:8" ht="15" thickBot="1"/>
    <row r="6" spans="2:8">
      <c r="B6" s="1257" t="s">
        <v>0</v>
      </c>
      <c r="C6" s="1259" t="s">
        <v>189</v>
      </c>
      <c r="D6" s="1260"/>
      <c r="E6" s="1260"/>
      <c r="F6" s="1260"/>
      <c r="G6" s="1260"/>
      <c r="H6" s="1261"/>
    </row>
    <row r="7" spans="2:8" ht="15" thickBot="1">
      <c r="B7" s="1258"/>
      <c r="C7" s="1134" t="s">
        <v>1</v>
      </c>
      <c r="D7" s="1135"/>
      <c r="E7" s="1135"/>
      <c r="F7" s="1135"/>
      <c r="G7" s="1135"/>
      <c r="H7" s="1136"/>
    </row>
    <row r="8" spans="2:8" ht="15" thickBot="1">
      <c r="B8" s="1"/>
      <c r="C8" s="2">
        <v>2015</v>
      </c>
      <c r="D8" s="2">
        <v>2020</v>
      </c>
      <c r="E8" s="2">
        <v>2030</v>
      </c>
      <c r="F8" s="2">
        <v>2050</v>
      </c>
      <c r="G8" s="2" t="s">
        <v>2</v>
      </c>
      <c r="H8" s="2" t="s">
        <v>3</v>
      </c>
    </row>
    <row r="9" spans="2:8" ht="15" thickBot="1">
      <c r="B9" s="3" t="s">
        <v>4</v>
      </c>
      <c r="C9" s="4"/>
      <c r="D9" s="4"/>
      <c r="E9" s="4"/>
      <c r="F9" s="4"/>
      <c r="G9" s="4"/>
      <c r="H9" s="5"/>
    </row>
    <row r="10" spans="2:8" ht="15" thickBot="1">
      <c r="B10" s="1" t="s">
        <v>5</v>
      </c>
      <c r="C10" s="9">
        <v>3.2</v>
      </c>
      <c r="D10" s="9">
        <v>3.2</v>
      </c>
      <c r="E10" s="9">
        <v>3.2</v>
      </c>
      <c r="F10" s="9"/>
      <c r="G10" s="9" t="s">
        <v>16</v>
      </c>
      <c r="H10" s="9">
        <v>2</v>
      </c>
    </row>
    <row r="11" spans="2:8" ht="15" thickBot="1">
      <c r="B11" s="1" t="s">
        <v>137</v>
      </c>
      <c r="C11" s="9">
        <v>1</v>
      </c>
      <c r="D11" s="9">
        <v>1</v>
      </c>
      <c r="E11" s="9">
        <v>1</v>
      </c>
      <c r="F11" s="9"/>
      <c r="G11" s="9"/>
      <c r="H11" s="9">
        <v>2</v>
      </c>
    </row>
    <row r="12" spans="2:8" ht="24.6" thickBot="1">
      <c r="B12" s="1" t="s">
        <v>7</v>
      </c>
      <c r="C12" s="9" t="s">
        <v>168</v>
      </c>
      <c r="D12" s="9" t="s">
        <v>190</v>
      </c>
      <c r="E12" s="9" t="s">
        <v>190</v>
      </c>
      <c r="F12" s="9"/>
      <c r="G12" s="9" t="s">
        <v>6</v>
      </c>
      <c r="H12" s="9"/>
    </row>
    <row r="13" spans="2:8" ht="24.6" thickBot="1">
      <c r="B13" s="1" t="s">
        <v>8</v>
      </c>
      <c r="C13" s="9" t="s">
        <v>191</v>
      </c>
      <c r="D13" s="9" t="s">
        <v>191</v>
      </c>
      <c r="E13" s="9" t="s">
        <v>192</v>
      </c>
      <c r="F13" s="9"/>
      <c r="G13" s="9" t="s">
        <v>6</v>
      </c>
      <c r="H13" s="9"/>
    </row>
    <row r="14" spans="2:8" ht="15" thickBot="1">
      <c r="B14" s="1" t="s">
        <v>142</v>
      </c>
      <c r="C14" s="9">
        <v>20</v>
      </c>
      <c r="D14" s="9">
        <v>22</v>
      </c>
      <c r="E14" s="9">
        <v>25</v>
      </c>
      <c r="F14" s="9"/>
      <c r="G14" s="9"/>
      <c r="H14" s="9">
        <v>2</v>
      </c>
    </row>
    <row r="15" spans="2:8" ht="15" thickBot="1">
      <c r="B15" s="1" t="s">
        <v>146</v>
      </c>
      <c r="C15" s="9">
        <v>65</v>
      </c>
      <c r="D15" s="9">
        <v>70</v>
      </c>
      <c r="E15" s="9" t="s">
        <v>193</v>
      </c>
      <c r="F15" s="9"/>
      <c r="G15" s="9"/>
      <c r="H15" s="9">
        <v>2</v>
      </c>
    </row>
    <row r="16" spans="2:8" ht="15" thickBot="1">
      <c r="B16" s="1" t="s">
        <v>9</v>
      </c>
      <c r="C16" s="9">
        <v>85</v>
      </c>
      <c r="D16" s="9">
        <v>92</v>
      </c>
      <c r="E16" s="9" t="s">
        <v>150</v>
      </c>
      <c r="F16" s="9"/>
      <c r="G16" s="9"/>
      <c r="H16" s="9">
        <v>2</v>
      </c>
    </row>
    <row r="17" spans="2:8" ht="15" thickBot="1">
      <c r="B17" s="1" t="s">
        <v>11</v>
      </c>
      <c r="C17" s="9">
        <v>10</v>
      </c>
      <c r="D17" s="9" t="s">
        <v>153</v>
      </c>
      <c r="E17" s="9" t="s">
        <v>153</v>
      </c>
      <c r="F17" s="9"/>
      <c r="G17" s="9"/>
      <c r="H17" s="9"/>
    </row>
    <row r="18" spans="2:8" ht="15" thickBot="1">
      <c r="B18" s="3" t="s">
        <v>12</v>
      </c>
      <c r="C18" s="4"/>
      <c r="D18" s="4"/>
      <c r="E18" s="4"/>
      <c r="F18" s="4"/>
      <c r="G18" s="4"/>
      <c r="H18" s="5"/>
    </row>
    <row r="19" spans="2:8" ht="15.6" thickBot="1">
      <c r="B19" s="1" t="s">
        <v>13</v>
      </c>
      <c r="C19" s="2">
        <v>0</v>
      </c>
      <c r="D19" s="2">
        <v>0</v>
      </c>
      <c r="E19" s="2">
        <v>0</v>
      </c>
      <c r="F19" s="2"/>
      <c r="G19" s="2"/>
      <c r="H19" s="2"/>
    </row>
    <row r="20" spans="2:8" ht="15.6" thickBot="1">
      <c r="B20" s="1" t="s">
        <v>15</v>
      </c>
      <c r="C20" s="2">
        <v>25</v>
      </c>
      <c r="D20" s="2">
        <v>15</v>
      </c>
      <c r="E20" s="2">
        <v>10</v>
      </c>
      <c r="F20" s="2"/>
      <c r="G20" s="2" t="s">
        <v>59</v>
      </c>
      <c r="H20" s="2">
        <v>1</v>
      </c>
    </row>
    <row r="21" spans="2:8" ht="15.6" thickBot="1">
      <c r="B21" s="1" t="s">
        <v>17</v>
      </c>
      <c r="C21" s="35">
        <v>5</v>
      </c>
      <c r="D21" s="35">
        <v>5</v>
      </c>
      <c r="E21" s="35">
        <v>5</v>
      </c>
      <c r="F21" s="2"/>
      <c r="G21" s="2"/>
      <c r="H21" s="2">
        <v>1</v>
      </c>
    </row>
    <row r="22" spans="2:8" ht="15.6" thickBot="1">
      <c r="B22" s="1" t="s">
        <v>18</v>
      </c>
      <c r="C22" s="35">
        <v>0</v>
      </c>
      <c r="D22" s="35">
        <v>0</v>
      </c>
      <c r="E22" s="35">
        <v>0</v>
      </c>
      <c r="F22" s="2"/>
      <c r="G22" s="2"/>
      <c r="H22" s="2"/>
    </row>
    <row r="23" spans="2:8" ht="15" thickBot="1">
      <c r="B23" s="1" t="s">
        <v>19</v>
      </c>
      <c r="C23" s="35">
        <v>0</v>
      </c>
      <c r="D23" s="35">
        <v>0</v>
      </c>
      <c r="E23" s="35">
        <v>0</v>
      </c>
      <c r="F23" s="2"/>
      <c r="G23" s="2"/>
      <c r="H23" s="2"/>
    </row>
    <row r="24" spans="2:8" ht="15" thickBot="1">
      <c r="B24" s="3" t="s">
        <v>22</v>
      </c>
      <c r="C24" s="4"/>
      <c r="D24" s="4"/>
      <c r="E24" s="4"/>
      <c r="F24" s="4"/>
      <c r="G24" s="4"/>
      <c r="H24" s="5"/>
    </row>
    <row r="25" spans="2:8">
      <c r="B25" s="6" t="s">
        <v>24</v>
      </c>
      <c r="C25" s="7">
        <v>15</v>
      </c>
      <c r="D25" s="7">
        <v>12</v>
      </c>
      <c r="E25" s="7">
        <v>10</v>
      </c>
      <c r="F25" s="7"/>
      <c r="G25" s="7"/>
      <c r="H25" s="7" t="s">
        <v>94</v>
      </c>
    </row>
    <row r="26" spans="2:8">
      <c r="B26" s="6" t="s">
        <v>26</v>
      </c>
      <c r="C26" s="7" t="s">
        <v>27</v>
      </c>
      <c r="D26" s="7">
        <v>70</v>
      </c>
      <c r="E26" s="7">
        <v>70</v>
      </c>
      <c r="F26" s="7"/>
      <c r="G26" s="7"/>
      <c r="H26" s="7"/>
    </row>
    <row r="27" spans="2:8" ht="15" thickBot="1">
      <c r="B27" s="1" t="s">
        <v>28</v>
      </c>
      <c r="C27" s="2" t="s">
        <v>29</v>
      </c>
      <c r="D27" s="2">
        <v>30</v>
      </c>
      <c r="E27" s="2">
        <v>30</v>
      </c>
      <c r="F27" s="2"/>
      <c r="G27" s="2"/>
      <c r="H27" s="2"/>
    </row>
    <row r="28" spans="2:8" ht="24.6" thickBot="1">
      <c r="B28" s="1" t="s">
        <v>30</v>
      </c>
      <c r="C28" s="2" t="s">
        <v>157</v>
      </c>
      <c r="D28" s="2" t="s">
        <v>157</v>
      </c>
      <c r="E28" s="2" t="s">
        <v>157</v>
      </c>
      <c r="F28" s="2"/>
      <c r="G28" s="2" t="s">
        <v>6</v>
      </c>
      <c r="H28" s="2"/>
    </row>
    <row r="29" spans="2:8" ht="15" thickBot="1">
      <c r="B29" s="1" t="s">
        <v>50</v>
      </c>
      <c r="C29" s="2" t="s">
        <v>68</v>
      </c>
      <c r="D29" s="2" t="s">
        <v>68</v>
      </c>
      <c r="E29" s="2" t="s">
        <v>68</v>
      </c>
      <c r="F29" s="2"/>
      <c r="G29" s="2"/>
      <c r="H29" s="2"/>
    </row>
    <row r="30" spans="2:8" ht="15" thickBot="1">
      <c r="B30" s="1" t="s">
        <v>31</v>
      </c>
      <c r="C30" s="2" t="s">
        <v>194</v>
      </c>
      <c r="D30" s="2" t="s">
        <v>194</v>
      </c>
      <c r="E30" s="2" t="s">
        <v>194</v>
      </c>
      <c r="F30" s="2"/>
      <c r="G30" s="2"/>
      <c r="H30" s="2">
        <v>3</v>
      </c>
    </row>
    <row r="34" spans="2:8" ht="15" thickBot="1"/>
    <row r="35" spans="2:8">
      <c r="B35" s="1257" t="s">
        <v>0</v>
      </c>
      <c r="C35" s="1259" t="s">
        <v>195</v>
      </c>
      <c r="D35" s="1260"/>
      <c r="E35" s="1260"/>
      <c r="F35" s="1260"/>
      <c r="G35" s="1260"/>
      <c r="H35" s="1261"/>
    </row>
    <row r="36" spans="2:8" ht="15" thickBot="1">
      <c r="B36" s="1258"/>
      <c r="C36" s="1134" t="s">
        <v>32</v>
      </c>
      <c r="D36" s="1135"/>
      <c r="E36" s="1135"/>
      <c r="F36" s="1135"/>
      <c r="G36" s="1135"/>
      <c r="H36" s="1136"/>
    </row>
    <row r="37" spans="2:8" ht="15" thickBot="1">
      <c r="B37" s="1"/>
      <c r="C37" s="2">
        <v>2015</v>
      </c>
      <c r="D37" s="2">
        <v>2020</v>
      </c>
      <c r="E37" s="2">
        <v>2030</v>
      </c>
      <c r="F37" s="2">
        <v>2050</v>
      </c>
      <c r="G37" s="2" t="s">
        <v>2</v>
      </c>
      <c r="H37" s="2" t="s">
        <v>3</v>
      </c>
    </row>
    <row r="38" spans="2:8" ht="15" thickBot="1">
      <c r="B38" s="3" t="s">
        <v>4</v>
      </c>
      <c r="C38" s="4"/>
      <c r="D38" s="4"/>
      <c r="E38" s="4"/>
      <c r="F38" s="4"/>
      <c r="G38" s="4"/>
      <c r="H38" s="5"/>
    </row>
    <row r="39" spans="2:8" ht="15" thickBot="1">
      <c r="B39" s="1" t="s">
        <v>5</v>
      </c>
      <c r="C39" s="9" t="s">
        <v>196</v>
      </c>
      <c r="D39" s="9" t="s">
        <v>196</v>
      </c>
      <c r="E39" s="9" t="s">
        <v>196</v>
      </c>
      <c r="F39" s="9"/>
      <c r="G39" s="9"/>
      <c r="H39" s="9">
        <v>1</v>
      </c>
    </row>
    <row r="40" spans="2:8" ht="15" thickBot="1">
      <c r="B40" s="1" t="s">
        <v>137</v>
      </c>
      <c r="C40" s="9" t="s">
        <v>197</v>
      </c>
      <c r="D40" s="9" t="s">
        <v>198</v>
      </c>
      <c r="E40" s="9" t="s">
        <v>199</v>
      </c>
      <c r="F40" s="9"/>
      <c r="G40" s="9"/>
      <c r="H40" s="9">
        <v>1</v>
      </c>
    </row>
    <row r="41" spans="2:8" ht="24.6" thickBot="1">
      <c r="B41" s="1" t="s">
        <v>7</v>
      </c>
      <c r="C41" s="9" t="s">
        <v>200</v>
      </c>
      <c r="D41" s="9" t="s">
        <v>200</v>
      </c>
      <c r="E41" s="9" t="s">
        <v>200</v>
      </c>
      <c r="F41" s="9"/>
      <c r="G41" s="9" t="s">
        <v>6</v>
      </c>
      <c r="H41" s="9">
        <v>3</v>
      </c>
    </row>
    <row r="42" spans="2:8" ht="24.6" thickBot="1">
      <c r="B42" s="1" t="s">
        <v>8</v>
      </c>
      <c r="C42" s="9" t="s">
        <v>159</v>
      </c>
      <c r="D42" s="9" t="s">
        <v>159</v>
      </c>
      <c r="E42" s="9" t="s">
        <v>159</v>
      </c>
      <c r="F42" s="9"/>
      <c r="G42" s="9" t="s">
        <v>6</v>
      </c>
      <c r="H42" s="9"/>
    </row>
    <row r="43" spans="2:8" ht="15" thickBot="1">
      <c r="B43" s="1" t="s">
        <v>142</v>
      </c>
      <c r="C43" s="9" t="s">
        <v>201</v>
      </c>
      <c r="D43" s="9" t="s">
        <v>202</v>
      </c>
      <c r="E43" s="9" t="s">
        <v>203</v>
      </c>
      <c r="F43" s="9"/>
      <c r="G43" s="9"/>
      <c r="H43" s="9">
        <v>-1</v>
      </c>
    </row>
    <row r="44" spans="2:8" ht="15" thickBot="1">
      <c r="B44" s="1" t="s">
        <v>146</v>
      </c>
      <c r="C44" s="9" t="s">
        <v>204</v>
      </c>
      <c r="D44" s="9" t="s">
        <v>205</v>
      </c>
      <c r="E44" s="9" t="s">
        <v>206</v>
      </c>
      <c r="F44" s="9"/>
      <c r="G44" s="9"/>
      <c r="H44" s="9">
        <v>-1</v>
      </c>
    </row>
    <row r="45" spans="2:8" ht="15" thickBot="1">
      <c r="B45" s="1" t="s">
        <v>9</v>
      </c>
      <c r="C45" s="9" t="s">
        <v>207</v>
      </c>
      <c r="D45" s="9" t="s">
        <v>208</v>
      </c>
      <c r="E45" s="9" t="s">
        <v>209</v>
      </c>
      <c r="F45" s="9"/>
      <c r="G45" s="9"/>
      <c r="H45" s="9">
        <v>-1</v>
      </c>
    </row>
    <row r="46" spans="2:8" ht="15" thickBot="1">
      <c r="B46" s="1" t="s">
        <v>11</v>
      </c>
      <c r="C46" s="25" t="s">
        <v>303</v>
      </c>
      <c r="D46" s="25" t="s">
        <v>303</v>
      </c>
      <c r="E46" s="25" t="s">
        <v>303</v>
      </c>
      <c r="F46" s="9"/>
      <c r="G46" s="9"/>
      <c r="H46" s="9"/>
    </row>
    <row r="47" spans="2:8" ht="15" thickBot="1">
      <c r="B47" s="3" t="s">
        <v>12</v>
      </c>
      <c r="C47" s="4"/>
      <c r="D47" s="4"/>
      <c r="E47" s="4"/>
      <c r="F47" s="4"/>
      <c r="G47" s="4"/>
      <c r="H47" s="5"/>
    </row>
    <row r="48" spans="2:8" ht="15.6" thickBot="1">
      <c r="B48" s="1" t="s">
        <v>13</v>
      </c>
      <c r="C48" s="2">
        <v>0</v>
      </c>
      <c r="D48" s="2">
        <v>0</v>
      </c>
      <c r="E48" s="2">
        <v>0</v>
      </c>
      <c r="F48" s="2"/>
      <c r="G48" s="2"/>
      <c r="H48" s="2"/>
    </row>
    <row r="49" spans="2:8" ht="15.6" thickBot="1">
      <c r="B49" s="1" t="s">
        <v>15</v>
      </c>
      <c r="C49" s="2" t="s">
        <v>210</v>
      </c>
      <c r="D49" s="11">
        <v>29495</v>
      </c>
      <c r="E49" s="11">
        <v>18537</v>
      </c>
      <c r="F49" s="2"/>
      <c r="G49" s="2"/>
      <c r="H49" s="2"/>
    </row>
    <row r="50" spans="2:8" ht="15.6" thickBot="1">
      <c r="B50" s="1" t="s">
        <v>17</v>
      </c>
      <c r="C50" s="2" t="s">
        <v>211</v>
      </c>
      <c r="D50" s="2" t="s">
        <v>212</v>
      </c>
      <c r="E50" s="2" t="s">
        <v>213</v>
      </c>
      <c r="F50" s="2"/>
      <c r="G50" s="2"/>
      <c r="H50" s="2">
        <v>2</v>
      </c>
    </row>
    <row r="51" spans="2:8" ht="15.6" thickBot="1">
      <c r="B51" s="1" t="s">
        <v>18</v>
      </c>
      <c r="C51" s="2" t="s">
        <v>214</v>
      </c>
      <c r="D51" s="2" t="s">
        <v>215</v>
      </c>
      <c r="E51" s="2" t="s">
        <v>215</v>
      </c>
      <c r="F51" s="2"/>
      <c r="G51" s="2"/>
      <c r="H51" s="2">
        <v>2</v>
      </c>
    </row>
    <row r="52" spans="2:8" ht="15" thickBot="1">
      <c r="B52" s="1" t="s">
        <v>19</v>
      </c>
      <c r="C52" s="35">
        <v>0</v>
      </c>
      <c r="D52" s="35">
        <v>0</v>
      </c>
      <c r="E52" s="35">
        <v>0</v>
      </c>
      <c r="F52" s="2"/>
      <c r="G52" s="2"/>
      <c r="H52" s="2">
        <v>2</v>
      </c>
    </row>
    <row r="53" spans="2:8" ht="15" thickBot="1">
      <c r="B53" s="3" t="s">
        <v>22</v>
      </c>
      <c r="C53" s="4"/>
      <c r="D53" s="4"/>
      <c r="E53" s="4"/>
      <c r="F53" s="4"/>
      <c r="G53" s="4"/>
      <c r="H53" s="5"/>
    </row>
    <row r="54" spans="2:8">
      <c r="B54" s="6" t="s">
        <v>24</v>
      </c>
      <c r="C54" s="7" t="s">
        <v>216</v>
      </c>
      <c r="D54" s="7" t="s">
        <v>216</v>
      </c>
      <c r="E54" s="7" t="s">
        <v>216</v>
      </c>
      <c r="F54" s="7"/>
      <c r="G54" s="7"/>
      <c r="H54" s="7">
        <v>-1</v>
      </c>
    </row>
    <row r="55" spans="2:8">
      <c r="B55" s="6" t="s">
        <v>26</v>
      </c>
      <c r="C55" s="7" t="s">
        <v>217</v>
      </c>
      <c r="D55" s="7" t="s">
        <v>217</v>
      </c>
      <c r="E55" s="7" t="s">
        <v>217</v>
      </c>
      <c r="F55" s="7"/>
      <c r="G55" s="7"/>
      <c r="H55" s="7"/>
    </row>
    <row r="56" spans="2:8" ht="15" thickBot="1">
      <c r="B56" s="1" t="s">
        <v>28</v>
      </c>
      <c r="C56" s="2" t="s">
        <v>218</v>
      </c>
      <c r="D56" s="2" t="s">
        <v>218</v>
      </c>
      <c r="E56" s="2" t="s">
        <v>218</v>
      </c>
      <c r="F56" s="2"/>
      <c r="G56" s="2"/>
      <c r="H56" s="2"/>
    </row>
    <row r="57" spans="2:8" ht="24.6" thickBot="1">
      <c r="B57" s="1" t="s">
        <v>113</v>
      </c>
      <c r="C57" s="2">
        <v>0.2</v>
      </c>
      <c r="D57" s="2">
        <v>0.2</v>
      </c>
      <c r="E57" s="2">
        <v>0.2</v>
      </c>
      <c r="F57" s="2"/>
      <c r="G57" s="2" t="s">
        <v>6</v>
      </c>
      <c r="H57" s="2"/>
    </row>
    <row r="58" spans="2:8" ht="15" thickBot="1">
      <c r="B58" s="1" t="s">
        <v>50</v>
      </c>
      <c r="C58" s="2" t="s">
        <v>68</v>
      </c>
      <c r="D58" s="2" t="s">
        <v>68</v>
      </c>
      <c r="E58" s="2" t="s">
        <v>68</v>
      </c>
      <c r="F58" s="2"/>
      <c r="G58" s="2"/>
      <c r="H58" s="2"/>
    </row>
    <row r="59" spans="2:8" ht="15" thickBot="1">
      <c r="B59" s="1" t="s">
        <v>31</v>
      </c>
      <c r="C59" s="2" t="s">
        <v>219</v>
      </c>
      <c r="D59" s="2" t="s">
        <v>219</v>
      </c>
      <c r="E59" s="2" t="s">
        <v>219</v>
      </c>
      <c r="F59" s="2"/>
      <c r="G59" s="2" t="s">
        <v>59</v>
      </c>
      <c r="H59" s="2">
        <v>4</v>
      </c>
    </row>
    <row r="63" spans="2:8" ht="15" thickBot="1"/>
    <row r="64" spans="2:8">
      <c r="B64" s="1257" t="s">
        <v>0</v>
      </c>
      <c r="C64" s="1259" t="s">
        <v>189</v>
      </c>
      <c r="D64" s="1260"/>
      <c r="E64" s="1260"/>
      <c r="F64" s="1260"/>
      <c r="G64" s="1260"/>
      <c r="H64" s="1261"/>
    </row>
    <row r="65" spans="2:8" ht="15" thickBot="1">
      <c r="B65" s="1258"/>
      <c r="C65" s="1134" t="s">
        <v>34</v>
      </c>
      <c r="D65" s="1135"/>
      <c r="E65" s="1135"/>
      <c r="F65" s="1135"/>
      <c r="G65" s="1135"/>
      <c r="H65" s="1136"/>
    </row>
    <row r="66" spans="2:8" ht="15" thickBot="1">
      <c r="B66" s="1"/>
      <c r="C66" s="2">
        <v>2015</v>
      </c>
      <c r="D66" s="2">
        <v>2020</v>
      </c>
      <c r="E66" s="2">
        <v>2030</v>
      </c>
      <c r="F66" s="2">
        <v>2050</v>
      </c>
      <c r="G66" s="2" t="s">
        <v>2</v>
      </c>
      <c r="H66" s="2" t="s">
        <v>3</v>
      </c>
    </row>
    <row r="67" spans="2:8" ht="15" thickBot="1">
      <c r="B67" s="3" t="s">
        <v>4</v>
      </c>
      <c r="C67" s="4"/>
      <c r="D67" s="4"/>
      <c r="E67" s="4"/>
      <c r="F67" s="4"/>
      <c r="G67" s="4"/>
      <c r="H67" s="5"/>
    </row>
    <row r="68" spans="2:8" ht="15" thickBot="1">
      <c r="B68" s="1" t="s">
        <v>5</v>
      </c>
      <c r="C68" s="2">
        <v>3.2</v>
      </c>
      <c r="D68" s="2">
        <v>3.2</v>
      </c>
      <c r="E68" s="2">
        <v>3</v>
      </c>
      <c r="F68" s="2"/>
      <c r="G68" s="2" t="s">
        <v>16</v>
      </c>
      <c r="H68" s="2">
        <v>2</v>
      </c>
    </row>
    <row r="69" spans="2:8" ht="15" thickBot="1">
      <c r="B69" s="1" t="s">
        <v>137</v>
      </c>
      <c r="C69" s="2">
        <v>1</v>
      </c>
      <c r="D69" s="2">
        <v>1</v>
      </c>
      <c r="E69" s="2">
        <v>1</v>
      </c>
      <c r="F69" s="2"/>
      <c r="G69" s="2"/>
      <c r="H69" s="2">
        <v>2</v>
      </c>
    </row>
    <row r="70" spans="2:8" ht="24.6" thickBot="1">
      <c r="B70" s="1" t="s">
        <v>7</v>
      </c>
      <c r="C70" s="2" t="s">
        <v>175</v>
      </c>
      <c r="D70" s="2" t="s">
        <v>220</v>
      </c>
      <c r="E70" s="2" t="s">
        <v>181</v>
      </c>
      <c r="F70" s="2"/>
      <c r="G70" s="2" t="s">
        <v>6</v>
      </c>
      <c r="H70" s="2"/>
    </row>
    <row r="71" spans="2:8" ht="24.6" thickBot="1">
      <c r="B71" s="1" t="s">
        <v>8</v>
      </c>
      <c r="C71" s="2" t="s">
        <v>221</v>
      </c>
      <c r="D71" s="2" t="s">
        <v>222</v>
      </c>
      <c r="E71" s="2" t="s">
        <v>139</v>
      </c>
      <c r="F71" s="2"/>
      <c r="G71" s="2" t="s">
        <v>6</v>
      </c>
      <c r="H71" s="2"/>
    </row>
    <row r="72" spans="2:8" ht="15" thickBot="1">
      <c r="B72" s="1" t="s">
        <v>142</v>
      </c>
      <c r="C72" s="2">
        <v>20</v>
      </c>
      <c r="D72" s="2">
        <v>22</v>
      </c>
      <c r="E72" s="2">
        <v>25</v>
      </c>
      <c r="F72" s="2"/>
      <c r="G72" s="2"/>
      <c r="H72" s="2"/>
    </row>
    <row r="73" spans="2:8" ht="15" thickBot="1">
      <c r="B73" s="1" t="s">
        <v>146</v>
      </c>
      <c r="C73" s="2">
        <v>65</v>
      </c>
      <c r="D73" s="2">
        <v>70</v>
      </c>
      <c r="E73" s="2" t="s">
        <v>193</v>
      </c>
      <c r="F73" s="2"/>
      <c r="G73" s="2"/>
      <c r="H73" s="2">
        <v>2</v>
      </c>
    </row>
    <row r="74" spans="2:8" ht="15" thickBot="1">
      <c r="B74" s="1" t="s">
        <v>223</v>
      </c>
      <c r="C74" s="2">
        <v>85</v>
      </c>
      <c r="D74" s="2">
        <v>92</v>
      </c>
      <c r="E74" s="2" t="s">
        <v>150</v>
      </c>
      <c r="F74" s="2"/>
      <c r="G74" s="2"/>
      <c r="H74" s="2">
        <v>2</v>
      </c>
    </row>
    <row r="75" spans="2:8" ht="15" thickBot="1">
      <c r="B75" s="1" t="s">
        <v>11</v>
      </c>
      <c r="C75" s="2">
        <v>10</v>
      </c>
      <c r="D75" s="2" t="s">
        <v>153</v>
      </c>
      <c r="E75" s="2" t="s">
        <v>153</v>
      </c>
      <c r="F75" s="2"/>
      <c r="G75" s="2"/>
      <c r="H75" s="2"/>
    </row>
    <row r="76" spans="2:8" ht="15" thickBot="1">
      <c r="B76" s="3" t="s">
        <v>12</v>
      </c>
      <c r="C76" s="4"/>
      <c r="D76" s="4"/>
      <c r="E76" s="4"/>
      <c r="F76" s="4"/>
      <c r="G76" s="4"/>
      <c r="H76" s="5"/>
    </row>
    <row r="77" spans="2:8" ht="15.6" thickBot="1">
      <c r="B77" s="1" t="s">
        <v>13</v>
      </c>
      <c r="C77" s="2">
        <v>0</v>
      </c>
      <c r="D77" s="2">
        <v>0</v>
      </c>
      <c r="E77" s="2">
        <v>0</v>
      </c>
      <c r="F77" s="2"/>
      <c r="G77" s="2"/>
      <c r="H77" s="2"/>
    </row>
    <row r="78" spans="2:8" ht="15.6" thickBot="1">
      <c r="B78" s="1" t="s">
        <v>15</v>
      </c>
      <c r="C78" s="2">
        <v>25</v>
      </c>
      <c r="D78" s="2">
        <v>15</v>
      </c>
      <c r="E78" s="2">
        <v>10</v>
      </c>
      <c r="F78" s="2"/>
      <c r="G78" s="2" t="s">
        <v>59</v>
      </c>
      <c r="H78" s="2">
        <v>1</v>
      </c>
    </row>
    <row r="79" spans="2:8" ht="15.6" thickBot="1">
      <c r="B79" s="1" t="s">
        <v>17</v>
      </c>
      <c r="C79" s="35">
        <v>5</v>
      </c>
      <c r="D79" s="35">
        <v>5</v>
      </c>
      <c r="E79" s="35">
        <v>5</v>
      </c>
      <c r="F79" s="2"/>
      <c r="G79" s="2"/>
      <c r="H79" s="2">
        <v>1</v>
      </c>
    </row>
    <row r="80" spans="2:8" ht="15.6" thickBot="1">
      <c r="B80" s="1" t="s">
        <v>18</v>
      </c>
      <c r="C80" s="35">
        <v>0</v>
      </c>
      <c r="D80" s="35">
        <v>0</v>
      </c>
      <c r="E80" s="35">
        <v>0</v>
      </c>
      <c r="F80" s="2"/>
      <c r="G80" s="2"/>
      <c r="H80" s="2"/>
    </row>
    <row r="81" spans="2:8" ht="15" thickBot="1">
      <c r="B81" s="1" t="s">
        <v>19</v>
      </c>
      <c r="C81" s="35">
        <v>0</v>
      </c>
      <c r="D81" s="35">
        <v>0</v>
      </c>
      <c r="E81" s="35">
        <v>0</v>
      </c>
      <c r="F81" s="2"/>
      <c r="G81" s="2"/>
      <c r="H81" s="2"/>
    </row>
    <row r="82" spans="2:8" ht="15" thickBot="1">
      <c r="B82" s="3" t="s">
        <v>22</v>
      </c>
      <c r="C82" s="4"/>
      <c r="D82" s="4"/>
      <c r="E82" s="4"/>
      <c r="F82" s="4"/>
      <c r="G82" s="4"/>
      <c r="H82" s="5"/>
    </row>
    <row r="83" spans="2:8">
      <c r="B83" s="6" t="s">
        <v>24</v>
      </c>
      <c r="C83" s="7">
        <v>15</v>
      </c>
      <c r="D83" s="7">
        <v>12</v>
      </c>
      <c r="E83" s="7">
        <v>10</v>
      </c>
      <c r="F83" s="7"/>
      <c r="G83" s="7"/>
      <c r="H83" s="7" t="s">
        <v>94</v>
      </c>
    </row>
    <row r="84" spans="2:8">
      <c r="B84" s="6" t="s">
        <v>26</v>
      </c>
      <c r="C84" s="7" t="s">
        <v>27</v>
      </c>
      <c r="D84" s="7">
        <v>70</v>
      </c>
      <c r="E84" s="7">
        <v>70</v>
      </c>
      <c r="F84" s="7"/>
      <c r="G84" s="7"/>
      <c r="H84" s="7"/>
    </row>
    <row r="85" spans="2:8" ht="15" thickBot="1">
      <c r="B85" s="1" t="s">
        <v>28</v>
      </c>
      <c r="C85" s="2" t="s">
        <v>29</v>
      </c>
      <c r="D85" s="2">
        <v>30</v>
      </c>
      <c r="E85" s="2">
        <v>30</v>
      </c>
      <c r="F85" s="2"/>
      <c r="G85" s="2"/>
      <c r="H85" s="2"/>
    </row>
    <row r="86" spans="2:8" ht="24.6" thickBot="1">
      <c r="B86" s="1" t="s">
        <v>30</v>
      </c>
      <c r="C86" s="2" t="s">
        <v>157</v>
      </c>
      <c r="D86" s="2" t="s">
        <v>157</v>
      </c>
      <c r="E86" s="2" t="s">
        <v>157</v>
      </c>
      <c r="F86" s="2"/>
      <c r="G86" s="2" t="s">
        <v>6</v>
      </c>
      <c r="H86" s="2"/>
    </row>
    <row r="87" spans="2:8" ht="15" thickBot="1">
      <c r="B87" s="1" t="s">
        <v>50</v>
      </c>
      <c r="C87" s="2" t="s">
        <v>68</v>
      </c>
      <c r="D87" s="2" t="s">
        <v>68</v>
      </c>
      <c r="E87" s="2" t="s">
        <v>68</v>
      </c>
      <c r="F87" s="2"/>
      <c r="G87" s="2"/>
      <c r="H87" s="2"/>
    </row>
    <row r="88" spans="2:8" ht="15" thickBot="1">
      <c r="B88" s="1" t="s">
        <v>31</v>
      </c>
      <c r="C88" s="2" t="s">
        <v>194</v>
      </c>
      <c r="D88" s="2" t="s">
        <v>194</v>
      </c>
      <c r="E88" s="2" t="s">
        <v>194</v>
      </c>
      <c r="F88" s="2"/>
      <c r="G88" s="2"/>
      <c r="H88" s="2">
        <v>3</v>
      </c>
    </row>
    <row r="92" spans="2:8" ht="15" thickBot="1"/>
    <row r="93" spans="2:8">
      <c r="B93" s="1257" t="s">
        <v>0</v>
      </c>
      <c r="C93" s="1259" t="s">
        <v>195</v>
      </c>
      <c r="D93" s="1260"/>
      <c r="E93" s="1260"/>
      <c r="F93" s="1260"/>
      <c r="G93" s="1260"/>
      <c r="H93" s="1261"/>
    </row>
    <row r="94" spans="2:8" ht="15" thickBot="1">
      <c r="B94" s="1258"/>
      <c r="C94" s="1134" t="s">
        <v>35</v>
      </c>
      <c r="D94" s="1135"/>
      <c r="E94" s="1135"/>
      <c r="F94" s="1135"/>
      <c r="G94" s="1135"/>
      <c r="H94" s="1136"/>
    </row>
    <row r="95" spans="2:8" ht="15" thickBot="1">
      <c r="B95" s="1"/>
      <c r="C95" s="2">
        <v>2015</v>
      </c>
      <c r="D95" s="2">
        <v>2020</v>
      </c>
      <c r="E95" s="2">
        <v>2030</v>
      </c>
      <c r="F95" s="2">
        <v>2050</v>
      </c>
      <c r="G95" s="2" t="s">
        <v>2</v>
      </c>
      <c r="H95" s="2" t="s">
        <v>3</v>
      </c>
    </row>
    <row r="96" spans="2:8" ht="15" thickBot="1">
      <c r="B96" s="3" t="s">
        <v>4</v>
      </c>
      <c r="C96" s="4"/>
      <c r="D96" s="4"/>
      <c r="E96" s="4"/>
      <c r="F96" s="4"/>
      <c r="G96" s="4"/>
      <c r="H96" s="5"/>
    </row>
    <row r="97" spans="2:8" ht="15" thickBot="1">
      <c r="B97" s="1" t="s">
        <v>5</v>
      </c>
      <c r="C97" s="2" t="s">
        <v>224</v>
      </c>
      <c r="D97" s="2" t="s">
        <v>224</v>
      </c>
      <c r="E97" s="2" t="s">
        <v>224</v>
      </c>
      <c r="F97" s="2"/>
      <c r="G97" s="2"/>
      <c r="H97" s="2">
        <v>1</v>
      </c>
    </row>
    <row r="98" spans="2:8" ht="15" thickBot="1">
      <c r="B98" s="1" t="s">
        <v>137</v>
      </c>
      <c r="C98" s="2" t="s">
        <v>225</v>
      </c>
      <c r="D98" s="2" t="s">
        <v>226</v>
      </c>
      <c r="E98" s="2" t="s">
        <v>227</v>
      </c>
      <c r="F98" s="2"/>
      <c r="G98" s="2"/>
      <c r="H98" s="2">
        <v>1</v>
      </c>
    </row>
    <row r="99" spans="2:8" ht="24.6" thickBot="1">
      <c r="B99" s="1" t="s">
        <v>7</v>
      </c>
      <c r="C99" s="2" t="s">
        <v>169</v>
      </c>
      <c r="D99" s="2" t="s">
        <v>169</v>
      </c>
      <c r="E99" s="2" t="s">
        <v>169</v>
      </c>
      <c r="F99" s="2"/>
      <c r="G99" s="2" t="s">
        <v>6</v>
      </c>
      <c r="H99" s="2"/>
    </row>
    <row r="100" spans="2:8" ht="24.6" thickBot="1">
      <c r="B100" s="1" t="s">
        <v>8</v>
      </c>
      <c r="C100" s="2" t="s">
        <v>159</v>
      </c>
      <c r="D100" s="2" t="s">
        <v>159</v>
      </c>
      <c r="E100" s="2" t="s">
        <v>159</v>
      </c>
      <c r="F100" s="2"/>
      <c r="G100" s="2" t="s">
        <v>6</v>
      </c>
      <c r="H100" s="2"/>
    </row>
    <row r="101" spans="2:8" ht="15" thickBot="1">
      <c r="B101" s="1" t="s">
        <v>142</v>
      </c>
      <c r="C101" s="2" t="s">
        <v>228</v>
      </c>
      <c r="D101" s="2" t="s">
        <v>229</v>
      </c>
      <c r="E101" s="2" t="s">
        <v>230</v>
      </c>
      <c r="F101" s="2"/>
      <c r="G101" s="2"/>
      <c r="H101" s="2">
        <v>-1</v>
      </c>
    </row>
    <row r="102" spans="2:8" ht="15" thickBot="1">
      <c r="B102" s="1" t="s">
        <v>146</v>
      </c>
      <c r="C102" s="2" t="s">
        <v>231</v>
      </c>
      <c r="D102" s="2" t="s">
        <v>232</v>
      </c>
      <c r="E102" s="2" t="s">
        <v>233</v>
      </c>
      <c r="F102" s="2"/>
      <c r="G102" s="2"/>
      <c r="H102" s="2">
        <v>-1</v>
      </c>
    </row>
    <row r="103" spans="2:8" ht="15" thickBot="1">
      <c r="B103" s="1" t="s">
        <v>9</v>
      </c>
      <c r="C103" s="2" t="s">
        <v>234</v>
      </c>
      <c r="D103" s="2" t="s">
        <v>235</v>
      </c>
      <c r="E103" s="2" t="s">
        <v>236</v>
      </c>
      <c r="F103" s="2"/>
      <c r="G103" s="2"/>
      <c r="H103" s="2">
        <v>-1</v>
      </c>
    </row>
    <row r="104" spans="2:8" ht="15" thickBot="1">
      <c r="B104" s="1" t="s">
        <v>11</v>
      </c>
      <c r="C104" s="27" t="s">
        <v>303</v>
      </c>
      <c r="D104" s="27" t="s">
        <v>303</v>
      </c>
      <c r="E104" s="27" t="s">
        <v>303</v>
      </c>
      <c r="F104" s="2"/>
      <c r="G104" s="2"/>
      <c r="H104" s="2"/>
    </row>
    <row r="105" spans="2:8" ht="15" thickBot="1">
      <c r="B105" s="3" t="s">
        <v>12</v>
      </c>
      <c r="C105" s="4"/>
      <c r="D105" s="4"/>
      <c r="E105" s="4"/>
      <c r="F105" s="4"/>
      <c r="G105" s="4"/>
      <c r="H105" s="5"/>
    </row>
    <row r="106" spans="2:8" ht="15.6" thickBot="1">
      <c r="B106" s="1" t="s">
        <v>13</v>
      </c>
      <c r="C106" s="2">
        <v>0</v>
      </c>
      <c r="D106" s="2">
        <v>0</v>
      </c>
      <c r="E106" s="2">
        <v>0</v>
      </c>
      <c r="F106" s="2"/>
      <c r="G106" s="2"/>
      <c r="H106" s="2"/>
    </row>
    <row r="107" spans="2:8" ht="15.6" thickBot="1">
      <c r="B107" s="1" t="s">
        <v>15</v>
      </c>
      <c r="C107" s="2" t="s">
        <v>210</v>
      </c>
      <c r="D107" s="27" t="s">
        <v>304</v>
      </c>
      <c r="E107" s="27" t="s">
        <v>305</v>
      </c>
      <c r="F107" s="2"/>
      <c r="G107" s="2"/>
      <c r="H107" s="2">
        <v>1</v>
      </c>
    </row>
    <row r="108" spans="2:8" ht="15.6" thickBot="1">
      <c r="B108" s="1" t="s">
        <v>17</v>
      </c>
      <c r="C108" s="2" t="s">
        <v>211</v>
      </c>
      <c r="D108" s="2" t="s">
        <v>212</v>
      </c>
      <c r="E108" s="2" t="s">
        <v>213</v>
      </c>
      <c r="F108" s="2"/>
      <c r="G108" s="2"/>
      <c r="H108" s="2">
        <v>2</v>
      </c>
    </row>
    <row r="109" spans="2:8" ht="15.6" thickBot="1">
      <c r="B109" s="1" t="s">
        <v>18</v>
      </c>
      <c r="C109" s="2" t="s">
        <v>214</v>
      </c>
      <c r="D109" s="2" t="s">
        <v>215</v>
      </c>
      <c r="E109" s="2" t="s">
        <v>215</v>
      </c>
      <c r="F109" s="2"/>
      <c r="G109" s="2"/>
      <c r="H109" s="2">
        <v>2</v>
      </c>
    </row>
    <row r="110" spans="2:8" ht="15" thickBot="1">
      <c r="B110" s="1" t="s">
        <v>19</v>
      </c>
      <c r="C110" s="35">
        <v>0</v>
      </c>
      <c r="D110" s="35">
        <v>0</v>
      </c>
      <c r="E110" s="35">
        <v>0</v>
      </c>
      <c r="F110" s="2"/>
      <c r="G110" s="2"/>
      <c r="H110" s="2">
        <v>2</v>
      </c>
    </row>
    <row r="111" spans="2:8" ht="15" thickBot="1">
      <c r="B111" s="3" t="s">
        <v>22</v>
      </c>
      <c r="C111" s="4"/>
      <c r="D111" s="4"/>
      <c r="E111" s="4"/>
      <c r="F111" s="4"/>
      <c r="G111" s="4"/>
      <c r="H111" s="5"/>
    </row>
    <row r="112" spans="2:8">
      <c r="B112" s="6" t="s">
        <v>24</v>
      </c>
      <c r="C112" s="7" t="s">
        <v>237</v>
      </c>
      <c r="D112" s="7" t="s">
        <v>237</v>
      </c>
      <c r="E112" s="7" t="s">
        <v>237</v>
      </c>
      <c r="F112" s="7"/>
      <c r="G112" s="7"/>
      <c r="H112" s="7">
        <v>1</v>
      </c>
    </row>
    <row r="113" spans="2:8">
      <c r="B113" s="6" t="s">
        <v>26</v>
      </c>
      <c r="C113" s="7" t="s">
        <v>27</v>
      </c>
      <c r="D113" s="7">
        <v>70</v>
      </c>
      <c r="E113" s="7">
        <v>70</v>
      </c>
      <c r="F113" s="7"/>
      <c r="G113" s="7"/>
      <c r="H113" s="7"/>
    </row>
    <row r="114" spans="2:8" ht="15" thickBot="1">
      <c r="B114" s="1" t="s">
        <v>28</v>
      </c>
      <c r="C114" s="2" t="s">
        <v>29</v>
      </c>
      <c r="D114" s="2">
        <v>30</v>
      </c>
      <c r="E114" s="2">
        <v>30</v>
      </c>
      <c r="F114" s="2"/>
      <c r="G114" s="2"/>
      <c r="H114" s="2"/>
    </row>
    <row r="115" spans="2:8" ht="24.6" thickBot="1">
      <c r="B115" s="1" t="s">
        <v>113</v>
      </c>
      <c r="C115" s="2">
        <v>0.2</v>
      </c>
      <c r="D115" s="2">
        <v>0.2</v>
      </c>
      <c r="E115" s="2">
        <v>0.2</v>
      </c>
      <c r="F115" s="2"/>
      <c r="G115" s="2" t="s">
        <v>6</v>
      </c>
      <c r="H115" s="2"/>
    </row>
    <row r="116" spans="2:8" ht="15" thickBot="1">
      <c r="B116" s="1" t="s">
        <v>50</v>
      </c>
      <c r="C116" s="2" t="s">
        <v>68</v>
      </c>
      <c r="D116" s="2" t="s">
        <v>68</v>
      </c>
      <c r="E116" s="2" t="s">
        <v>68</v>
      </c>
      <c r="F116" s="2"/>
      <c r="G116" s="2"/>
      <c r="H116" s="2"/>
    </row>
    <row r="117" spans="2:8" ht="15" thickBot="1">
      <c r="B117" s="1" t="s">
        <v>31</v>
      </c>
      <c r="C117" s="2" t="s">
        <v>219</v>
      </c>
      <c r="D117" s="2" t="s">
        <v>219</v>
      </c>
      <c r="E117" s="2" t="s">
        <v>219</v>
      </c>
      <c r="F117" s="2"/>
      <c r="G117" s="2" t="s">
        <v>59</v>
      </c>
      <c r="H117" s="2">
        <v>3</v>
      </c>
    </row>
  </sheetData>
  <mergeCells count="12">
    <mergeCell ref="B6:B7"/>
    <mergeCell ref="C6:H6"/>
    <mergeCell ref="C7:H7"/>
    <mergeCell ref="B35:B36"/>
    <mergeCell ref="C35:H35"/>
    <mergeCell ref="C36:H36"/>
    <mergeCell ref="B64:B65"/>
    <mergeCell ref="C64:H64"/>
    <mergeCell ref="C65:H65"/>
    <mergeCell ref="B93:B94"/>
    <mergeCell ref="C93:H93"/>
    <mergeCell ref="C94:H94"/>
  </mergeCells>
  <pageMargins left="0.7" right="0.7" top="0.75" bottom="0.75" header="0.3" footer="0.3"/>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FD97-A13A-4F61-AE74-4DF246F3970E}">
  <sheetPr>
    <tabColor rgb="FF00B0F0"/>
  </sheetPr>
  <dimension ref="B3:P35"/>
  <sheetViews>
    <sheetView workbookViewId="0">
      <selection activeCell="M14" sqref="M14"/>
    </sheetView>
  </sheetViews>
  <sheetFormatPr defaultColWidth="9.109375" defaultRowHeight="13.2"/>
  <cols>
    <col min="1" max="16384" width="9.109375" style="904"/>
  </cols>
  <sheetData>
    <row r="3" spans="2:16" ht="43.2">
      <c r="B3" s="934" t="s">
        <v>1284</v>
      </c>
      <c r="C3" s="934" t="s">
        <v>1133</v>
      </c>
      <c r="D3" s="934" t="s">
        <v>337</v>
      </c>
      <c r="E3" s="934" t="s">
        <v>1275</v>
      </c>
      <c r="F3" s="934" t="s">
        <v>1276</v>
      </c>
      <c r="G3" s="933" t="s">
        <v>340</v>
      </c>
      <c r="H3" s="933" t="s">
        <v>341</v>
      </c>
      <c r="I3" s="933" t="s">
        <v>342</v>
      </c>
      <c r="J3" s="933" t="s">
        <v>343</v>
      </c>
      <c r="K3" s="933" t="s">
        <v>344</v>
      </c>
      <c r="L3" s="933" t="s">
        <v>1274</v>
      </c>
      <c r="M3" s="933" t="s">
        <v>339</v>
      </c>
      <c r="N3" s="905"/>
      <c r="O3" s="905"/>
      <c r="P3" s="905"/>
    </row>
    <row r="4" spans="2:16" ht="72">
      <c r="B4" s="932" t="s">
        <v>1283</v>
      </c>
      <c r="C4" s="932"/>
      <c r="D4" s="932"/>
      <c r="E4" s="932" t="s">
        <v>1272</v>
      </c>
      <c r="F4" s="932" t="s">
        <v>1273</v>
      </c>
      <c r="G4" s="932" t="s">
        <v>1271</v>
      </c>
      <c r="H4" s="932" t="s">
        <v>1270</v>
      </c>
      <c r="I4" s="932" t="s">
        <v>1269</v>
      </c>
      <c r="J4" s="932" t="s">
        <v>1268</v>
      </c>
      <c r="K4" s="932" t="s">
        <v>1267</v>
      </c>
      <c r="L4" s="932" t="s">
        <v>1266</v>
      </c>
      <c r="M4" s="932" t="s">
        <v>1265</v>
      </c>
      <c r="N4" s="905"/>
      <c r="O4" s="905"/>
      <c r="P4" s="905"/>
    </row>
    <row r="5" spans="2:16" ht="15" thickBot="1">
      <c r="B5" s="931"/>
      <c r="C5" s="931"/>
      <c r="D5" s="931"/>
      <c r="E5" s="931"/>
      <c r="F5" s="931" t="s">
        <v>330</v>
      </c>
      <c r="G5" s="931" t="s">
        <v>1262</v>
      </c>
      <c r="H5" s="931" t="s">
        <v>1262</v>
      </c>
      <c r="I5" s="931" t="s">
        <v>1261</v>
      </c>
      <c r="J5" s="931" t="s">
        <v>351</v>
      </c>
      <c r="K5" s="931" t="s">
        <v>351</v>
      </c>
      <c r="L5" s="931"/>
      <c r="M5" s="931" t="s">
        <v>1260</v>
      </c>
      <c r="N5" s="905"/>
      <c r="O5" s="905" t="s">
        <v>1282</v>
      </c>
      <c r="P5" s="905">
        <v>7.45</v>
      </c>
    </row>
    <row r="6" spans="2:16" ht="14.4">
      <c r="B6" s="928"/>
      <c r="C6" s="928">
        <v>2015</v>
      </c>
      <c r="D6" s="928">
        <v>1</v>
      </c>
      <c r="E6" s="927"/>
      <c r="F6" s="913">
        <v>250</v>
      </c>
      <c r="G6" s="927">
        <v>0.52150000000000007</v>
      </c>
      <c r="H6" s="905">
        <v>3.7249999999999998E-2</v>
      </c>
      <c r="I6" s="905">
        <v>0</v>
      </c>
      <c r="J6" s="929">
        <v>3.1536000000000002E-2</v>
      </c>
      <c r="K6" s="930">
        <v>1</v>
      </c>
      <c r="L6" s="929">
        <v>1</v>
      </c>
      <c r="M6" s="905">
        <v>20</v>
      </c>
      <c r="N6" s="905"/>
      <c r="O6" s="905"/>
      <c r="P6" s="905"/>
    </row>
    <row r="7" spans="2:16" ht="14.4">
      <c r="B7" s="928"/>
      <c r="C7" s="928">
        <v>2020</v>
      </c>
      <c r="D7" s="928">
        <v>1</v>
      </c>
      <c r="E7" s="927"/>
      <c r="F7" s="913">
        <v>250</v>
      </c>
      <c r="G7" s="927">
        <v>0.52150000000000007</v>
      </c>
      <c r="H7" s="905">
        <v>3.7249999999999998E-2</v>
      </c>
      <c r="I7" s="905">
        <v>0</v>
      </c>
      <c r="J7" s="905"/>
      <c r="K7" s="905"/>
      <c r="L7" s="905"/>
      <c r="M7" s="905">
        <v>20</v>
      </c>
      <c r="N7" s="905"/>
      <c r="O7" s="905"/>
      <c r="P7" s="905"/>
    </row>
    <row r="8" spans="2:16" ht="14.4">
      <c r="B8" s="928"/>
      <c r="C8" s="928">
        <v>2030</v>
      </c>
      <c r="D8" s="928">
        <v>1</v>
      </c>
      <c r="E8" s="927"/>
      <c r="F8" s="913">
        <v>250</v>
      </c>
      <c r="G8" s="927">
        <v>0.52150000000000007</v>
      </c>
      <c r="H8" s="905">
        <v>3.7249999999999998E-2</v>
      </c>
      <c r="I8" s="905">
        <v>0</v>
      </c>
      <c r="J8" s="905"/>
      <c r="K8" s="905"/>
      <c r="L8" s="905"/>
      <c r="M8" s="905">
        <v>20</v>
      </c>
      <c r="N8" s="905"/>
      <c r="O8" s="905"/>
      <c r="P8" s="905"/>
    </row>
    <row r="9" spans="2:16" ht="14.4">
      <c r="B9" s="928"/>
      <c r="C9" s="928">
        <v>2050</v>
      </c>
      <c r="D9" s="928">
        <v>1</v>
      </c>
      <c r="E9" s="927"/>
      <c r="F9" s="913">
        <v>250</v>
      </c>
      <c r="G9" s="927">
        <v>0.52150000000000007</v>
      </c>
      <c r="H9" s="905">
        <v>3.7249999999999998E-2</v>
      </c>
      <c r="I9" s="905">
        <v>0</v>
      </c>
      <c r="J9" s="905"/>
      <c r="K9" s="905"/>
      <c r="L9" s="905"/>
      <c r="M9" s="905">
        <v>20</v>
      </c>
      <c r="N9" s="905"/>
      <c r="O9" s="905"/>
      <c r="P9" s="905"/>
    </row>
    <row r="11" spans="2:16" ht="14.4">
      <c r="B11" s="905" t="s">
        <v>1281</v>
      </c>
      <c r="C11" s="905"/>
      <c r="D11" s="905"/>
      <c r="E11" s="905"/>
      <c r="F11" s="905"/>
      <c r="G11" s="905"/>
      <c r="H11" s="905"/>
      <c r="I11" s="905"/>
      <c r="J11" s="905"/>
      <c r="K11" s="905"/>
      <c r="L11" s="905"/>
      <c r="M11" s="905"/>
      <c r="N11" s="905"/>
      <c r="O11" s="905"/>
      <c r="P11" s="905"/>
    </row>
    <row r="12" spans="2:16" ht="15" thickBot="1">
      <c r="B12" s="905"/>
      <c r="C12" s="905"/>
      <c r="D12" s="905"/>
      <c r="E12" s="905"/>
      <c r="F12" s="905"/>
      <c r="G12" s="905"/>
      <c r="H12" s="905"/>
      <c r="I12" s="905"/>
      <c r="J12" s="905"/>
      <c r="K12" s="905"/>
      <c r="L12" s="905"/>
      <c r="M12" s="905"/>
      <c r="N12" s="905"/>
      <c r="O12" s="905"/>
      <c r="P12" s="905"/>
    </row>
    <row r="13" spans="2:16" ht="14.4">
      <c r="B13" s="1320" t="s">
        <v>0</v>
      </c>
      <c r="C13" s="1322" t="s">
        <v>58</v>
      </c>
      <c r="D13" s="1323"/>
      <c r="E13" s="1323"/>
      <c r="F13" s="1323"/>
      <c r="G13" s="1323"/>
      <c r="H13" s="1324"/>
      <c r="I13" s="905"/>
      <c r="J13" s="905"/>
      <c r="K13" s="905"/>
      <c r="L13" s="905"/>
      <c r="M13" s="905"/>
      <c r="N13" s="905"/>
      <c r="O13" s="905"/>
      <c r="P13" s="905"/>
    </row>
    <row r="14" spans="2:16" ht="15" thickBot="1">
      <c r="B14" s="1321"/>
      <c r="C14" s="1325" t="s">
        <v>53</v>
      </c>
      <c r="D14" s="1326"/>
      <c r="E14" s="1326"/>
      <c r="F14" s="1326"/>
      <c r="G14" s="1326"/>
      <c r="H14" s="1327"/>
      <c r="I14" s="905"/>
      <c r="J14" s="905"/>
      <c r="K14" s="905"/>
      <c r="L14" s="905"/>
      <c r="M14" s="905"/>
      <c r="N14" s="905"/>
      <c r="O14" s="905"/>
      <c r="P14" s="905"/>
    </row>
    <row r="15" spans="2:16" ht="15" thickBot="1">
      <c r="B15" s="920"/>
      <c r="C15" s="919">
        <v>2015</v>
      </c>
      <c r="D15" s="919">
        <v>2020</v>
      </c>
      <c r="E15" s="919">
        <v>2030</v>
      </c>
      <c r="F15" s="919">
        <v>2050</v>
      </c>
      <c r="G15" s="919" t="s">
        <v>2</v>
      </c>
      <c r="H15" s="919" t="s">
        <v>3</v>
      </c>
      <c r="I15" s="905"/>
      <c r="J15" s="905"/>
      <c r="K15" s="905"/>
      <c r="L15" s="905"/>
      <c r="M15" s="905"/>
      <c r="N15" s="905"/>
      <c r="O15" s="905"/>
      <c r="P15" s="905"/>
    </row>
    <row r="16" spans="2:16" ht="37.200000000000003" thickBot="1">
      <c r="B16" s="926" t="s">
        <v>4</v>
      </c>
      <c r="C16" s="925"/>
      <c r="D16" s="925"/>
      <c r="E16" s="925"/>
      <c r="F16" s="925"/>
      <c r="G16" s="925"/>
      <c r="H16" s="924"/>
      <c r="I16" s="905"/>
      <c r="J16" s="905"/>
      <c r="K16" s="905"/>
      <c r="L16" s="905"/>
      <c r="M16" s="905"/>
      <c r="N16" s="905"/>
      <c r="O16" s="905"/>
      <c r="P16" s="905"/>
    </row>
    <row r="17" spans="2:8" ht="58.2" thickBot="1">
      <c r="B17" s="920" t="s">
        <v>5</v>
      </c>
      <c r="C17" s="919">
        <v>250</v>
      </c>
      <c r="D17" s="919">
        <v>250</v>
      </c>
      <c r="E17" s="919">
        <v>250</v>
      </c>
      <c r="F17" s="919">
        <v>250</v>
      </c>
      <c r="G17" s="919" t="s">
        <v>6</v>
      </c>
      <c r="H17" s="919"/>
    </row>
    <row r="18" spans="2:8" ht="81" thickBot="1">
      <c r="B18" s="920" t="s">
        <v>7</v>
      </c>
      <c r="C18" s="919">
        <v>100</v>
      </c>
      <c r="D18" s="919">
        <v>100</v>
      </c>
      <c r="E18" s="919">
        <v>100</v>
      </c>
      <c r="F18" s="919">
        <v>100</v>
      </c>
      <c r="G18" s="919"/>
      <c r="H18" s="919"/>
    </row>
    <row r="19" spans="2:8" ht="81" thickBot="1">
      <c r="B19" s="920" t="s">
        <v>8</v>
      </c>
      <c r="C19" s="919">
        <v>100</v>
      </c>
      <c r="D19" s="919">
        <v>100</v>
      </c>
      <c r="E19" s="919">
        <v>100</v>
      </c>
      <c r="F19" s="919">
        <v>100</v>
      </c>
      <c r="G19" s="919"/>
      <c r="H19" s="919"/>
    </row>
    <row r="20" spans="2:8" ht="58.2" thickBot="1">
      <c r="B20" s="920" t="s">
        <v>9</v>
      </c>
      <c r="C20" s="919">
        <v>100</v>
      </c>
      <c r="D20" s="919">
        <v>100</v>
      </c>
      <c r="E20" s="919">
        <v>100</v>
      </c>
      <c r="F20" s="919">
        <v>100</v>
      </c>
      <c r="G20" s="919" t="s">
        <v>59</v>
      </c>
      <c r="H20" s="919"/>
    </row>
    <row r="21" spans="2:8" ht="35.4" thickBot="1">
      <c r="B21" s="920" t="s">
        <v>11</v>
      </c>
      <c r="C21" s="919">
        <v>20</v>
      </c>
      <c r="D21" s="919">
        <v>20</v>
      </c>
      <c r="E21" s="919">
        <v>20</v>
      </c>
      <c r="F21" s="919">
        <v>20</v>
      </c>
      <c r="G21" s="919"/>
      <c r="H21" s="919"/>
    </row>
    <row r="22" spans="2:8" ht="24.6" thickBot="1">
      <c r="B22" s="926" t="s">
        <v>12</v>
      </c>
      <c r="C22" s="925"/>
      <c r="D22" s="925"/>
      <c r="E22" s="925"/>
      <c r="F22" s="925"/>
      <c r="G22" s="925"/>
      <c r="H22" s="924"/>
    </row>
    <row r="23" spans="2:8" ht="27.6" thickBot="1">
      <c r="B23" s="920" t="s">
        <v>1280</v>
      </c>
      <c r="C23" s="919" t="s">
        <v>36</v>
      </c>
      <c r="D23" s="919" t="s">
        <v>36</v>
      </c>
      <c r="E23" s="919" t="s">
        <v>36</v>
      </c>
      <c r="F23" s="919" t="s">
        <v>36</v>
      </c>
      <c r="G23" s="919"/>
      <c r="H23" s="919"/>
    </row>
    <row r="24" spans="2:8" ht="27.6" thickBot="1">
      <c r="B24" s="920" t="s">
        <v>1279</v>
      </c>
      <c r="C24" s="919" t="s">
        <v>36</v>
      </c>
      <c r="D24" s="919" t="s">
        <v>36</v>
      </c>
      <c r="E24" s="919" t="s">
        <v>36</v>
      </c>
      <c r="F24" s="919" t="s">
        <v>36</v>
      </c>
      <c r="G24" s="919"/>
      <c r="H24" s="919"/>
    </row>
    <row r="25" spans="2:8" ht="27.6" thickBot="1">
      <c r="B25" s="920" t="s">
        <v>1278</v>
      </c>
      <c r="C25" s="919" t="s">
        <v>36</v>
      </c>
      <c r="D25" s="919" t="s">
        <v>36</v>
      </c>
      <c r="E25" s="919" t="s">
        <v>36</v>
      </c>
      <c r="F25" s="919" t="s">
        <v>36</v>
      </c>
      <c r="G25" s="919"/>
      <c r="H25" s="919"/>
    </row>
    <row r="26" spans="2:8" ht="27.6" thickBot="1">
      <c r="B26" s="920" t="s">
        <v>1277</v>
      </c>
      <c r="C26" s="919" t="s">
        <v>36</v>
      </c>
      <c r="D26" s="919" t="s">
        <v>36</v>
      </c>
      <c r="E26" s="919" t="s">
        <v>36</v>
      </c>
      <c r="F26" s="919" t="s">
        <v>36</v>
      </c>
      <c r="G26" s="919"/>
      <c r="H26" s="919"/>
    </row>
    <row r="27" spans="2:8" ht="24" thickBot="1">
      <c r="B27" s="920" t="s">
        <v>19</v>
      </c>
      <c r="C27" s="919" t="s">
        <v>36</v>
      </c>
      <c r="D27" s="919" t="s">
        <v>36</v>
      </c>
      <c r="E27" s="919" t="s">
        <v>36</v>
      </c>
      <c r="F27" s="919" t="s">
        <v>36</v>
      </c>
      <c r="G27" s="919"/>
      <c r="H27" s="919"/>
    </row>
    <row r="28" spans="2:8" ht="24.6" thickBot="1">
      <c r="B28" s="926" t="s">
        <v>22</v>
      </c>
      <c r="C28" s="925"/>
      <c r="D28" s="925"/>
      <c r="E28" s="925"/>
      <c r="F28" s="925"/>
      <c r="G28" s="925"/>
      <c r="H28" s="924"/>
    </row>
    <row r="29" spans="2:8" ht="46.8" thickBot="1">
      <c r="B29" s="920" t="s">
        <v>23</v>
      </c>
      <c r="C29" s="919">
        <v>7.0000000000000007E-2</v>
      </c>
      <c r="D29" s="919">
        <v>7.0000000000000007E-2</v>
      </c>
      <c r="E29" s="919">
        <v>7.0000000000000007E-2</v>
      </c>
      <c r="F29" s="919">
        <v>7.0000000000000007E-2</v>
      </c>
      <c r="G29" s="919" t="s">
        <v>33</v>
      </c>
      <c r="H29" s="919" t="s">
        <v>65</v>
      </c>
    </row>
    <row r="30" spans="2:8" ht="46.2">
      <c r="B30" s="923" t="s">
        <v>24</v>
      </c>
      <c r="C30" s="922"/>
      <c r="D30" s="922"/>
      <c r="E30" s="922"/>
      <c r="F30" s="922"/>
      <c r="G30" s="922"/>
      <c r="H30" s="922"/>
    </row>
    <row r="31" spans="2:8" ht="34.799999999999997">
      <c r="B31" s="923" t="s">
        <v>26</v>
      </c>
      <c r="C31" s="922" t="s">
        <v>27</v>
      </c>
      <c r="D31" s="922">
        <v>70</v>
      </c>
      <c r="E31" s="922">
        <v>70</v>
      </c>
      <c r="F31" s="922">
        <v>70</v>
      </c>
      <c r="G31" s="922"/>
      <c r="H31" s="922"/>
    </row>
    <row r="32" spans="2:8" ht="35.4" thickBot="1">
      <c r="B32" s="920" t="s">
        <v>28</v>
      </c>
      <c r="C32" s="919" t="s">
        <v>29</v>
      </c>
      <c r="D32" s="919">
        <v>30</v>
      </c>
      <c r="E32" s="919">
        <v>30</v>
      </c>
      <c r="F32" s="919">
        <v>30</v>
      </c>
      <c r="G32" s="919"/>
      <c r="H32" s="919"/>
    </row>
    <row r="33" spans="2:8" ht="69.599999999999994" thickBot="1">
      <c r="B33" s="920" t="s">
        <v>30</v>
      </c>
      <c r="C33" s="919">
        <v>4</v>
      </c>
      <c r="D33" s="919">
        <v>4</v>
      </c>
      <c r="E33" s="919">
        <v>4</v>
      </c>
      <c r="F33" s="919">
        <v>4</v>
      </c>
      <c r="G33" s="919" t="s">
        <v>20</v>
      </c>
      <c r="H33" s="919"/>
    </row>
    <row r="34" spans="2:8" ht="35.4" thickBot="1">
      <c r="B34" s="920" t="s">
        <v>64</v>
      </c>
      <c r="C34" s="921">
        <v>1250</v>
      </c>
      <c r="D34" s="921">
        <v>1250</v>
      </c>
      <c r="E34" s="921">
        <v>1250</v>
      </c>
      <c r="F34" s="921">
        <v>1250</v>
      </c>
      <c r="G34" s="919"/>
      <c r="H34" s="919">
        <v>7</v>
      </c>
    </row>
    <row r="35" spans="2:8" ht="35.4" thickBot="1">
      <c r="B35" s="920" t="s">
        <v>31</v>
      </c>
      <c r="C35" s="919"/>
      <c r="D35" s="919"/>
      <c r="E35" s="919"/>
      <c r="F35" s="919"/>
      <c r="G35" s="919"/>
      <c r="H35" s="919"/>
    </row>
  </sheetData>
  <mergeCells count="3">
    <mergeCell ref="B13:B14"/>
    <mergeCell ref="C13:H13"/>
    <mergeCell ref="C14:H14"/>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C7992-9B97-437C-B269-D5105B20CF6E}">
  <sheetPr>
    <tabColor rgb="FF00B0F0"/>
  </sheetPr>
  <dimension ref="A3:Z54"/>
  <sheetViews>
    <sheetView zoomScale="80" zoomScaleNormal="80" workbookViewId="0">
      <selection activeCell="M14" sqref="M14"/>
    </sheetView>
  </sheetViews>
  <sheetFormatPr defaultColWidth="9.109375" defaultRowHeight="13.2"/>
  <cols>
    <col min="1" max="1" width="9.109375" style="904"/>
    <col min="2" max="2" width="23.44140625" style="904" customWidth="1"/>
    <col min="3" max="3" width="9.109375" style="904"/>
    <col min="4" max="4" width="12.88671875" style="904" customWidth="1"/>
    <col min="5" max="5" width="14.33203125" style="904" customWidth="1"/>
    <col min="6" max="6" width="12.109375" style="904" customWidth="1"/>
    <col min="7" max="7" width="13.33203125" style="904" customWidth="1"/>
    <col min="8" max="9" width="13.6640625" style="904" customWidth="1"/>
    <col min="10" max="10" width="14" style="904" customWidth="1"/>
    <col min="11" max="11" width="14.44140625" style="904" customWidth="1"/>
    <col min="12" max="24" width="9.109375" style="904"/>
    <col min="25" max="25" width="16.6640625" style="904" customWidth="1"/>
    <col min="26" max="16384" width="9.109375" style="904"/>
  </cols>
  <sheetData>
    <row r="3" spans="1:26" ht="28.8">
      <c r="A3" s="905"/>
      <c r="B3" s="934" t="s">
        <v>1284</v>
      </c>
      <c r="C3" s="934" t="s">
        <v>1133</v>
      </c>
      <c r="D3" s="934" t="s">
        <v>1275</v>
      </c>
      <c r="E3" s="934" t="s">
        <v>1276</v>
      </c>
      <c r="F3" s="933" t="s">
        <v>340</v>
      </c>
      <c r="G3" s="933" t="s">
        <v>341</v>
      </c>
      <c r="H3" s="933" t="s">
        <v>342</v>
      </c>
      <c r="I3" s="933" t="s">
        <v>343</v>
      </c>
      <c r="J3" s="933" t="s">
        <v>344</v>
      </c>
      <c r="K3" s="933" t="s">
        <v>1274</v>
      </c>
      <c r="L3" s="933" t="s">
        <v>339</v>
      </c>
      <c r="M3" s="933" t="s">
        <v>1264</v>
      </c>
      <c r="N3" s="905"/>
      <c r="O3" s="905"/>
      <c r="P3" s="905"/>
      <c r="Q3" s="905"/>
    </row>
    <row r="4" spans="1:26" ht="43.2">
      <c r="A4" s="905"/>
      <c r="B4" s="932" t="s">
        <v>1308</v>
      </c>
      <c r="C4" s="932"/>
      <c r="D4" s="978" t="s">
        <v>1272</v>
      </c>
      <c r="E4" s="978" t="s">
        <v>1273</v>
      </c>
      <c r="F4" s="978" t="s">
        <v>1271</v>
      </c>
      <c r="G4" s="978" t="s">
        <v>1270</v>
      </c>
      <c r="H4" s="978" t="s">
        <v>1269</v>
      </c>
      <c r="I4" s="978" t="s">
        <v>1268</v>
      </c>
      <c r="J4" s="978" t="s">
        <v>1267</v>
      </c>
      <c r="K4" s="978" t="s">
        <v>1266</v>
      </c>
      <c r="L4" s="978" t="s">
        <v>1265</v>
      </c>
      <c r="M4" s="978" t="s">
        <v>1263</v>
      </c>
      <c r="N4" s="905"/>
      <c r="O4" s="905"/>
      <c r="P4" s="1328" t="s">
        <v>1307</v>
      </c>
      <c r="Q4" s="1329"/>
    </row>
    <row r="5" spans="1:26" ht="15" thickBot="1">
      <c r="A5" s="905"/>
      <c r="B5" s="931"/>
      <c r="C5" s="931"/>
      <c r="D5" s="977"/>
      <c r="E5" s="977" t="s">
        <v>449</v>
      </c>
      <c r="F5" s="977" t="s">
        <v>1262</v>
      </c>
      <c r="G5" s="977" t="s">
        <v>1262</v>
      </c>
      <c r="H5" s="977" t="s">
        <v>1261</v>
      </c>
      <c r="I5" s="977" t="s">
        <v>351</v>
      </c>
      <c r="J5" s="977" t="s">
        <v>351</v>
      </c>
      <c r="K5" s="977"/>
      <c r="L5" s="977" t="s">
        <v>1260</v>
      </c>
      <c r="M5" s="977" t="s">
        <v>1260</v>
      </c>
      <c r="N5" s="905"/>
      <c r="O5" s="905"/>
      <c r="P5" s="976" t="s">
        <v>1282</v>
      </c>
      <c r="Q5" s="975">
        <v>7.45</v>
      </c>
    </row>
    <row r="6" spans="1:26" ht="14.4">
      <c r="A6" s="905"/>
      <c r="B6" s="974">
        <f>$Z$15</f>
        <v>22.465873891698152</v>
      </c>
      <c r="C6" s="971">
        <v>2015</v>
      </c>
      <c r="D6" s="969">
        <f>1/(C26/100)</f>
        <v>0.22727272727272727</v>
      </c>
      <c r="E6" s="970">
        <f>C22</f>
        <v>4</v>
      </c>
      <c r="F6" s="969">
        <f>C46*$Q$5</f>
        <v>5.2149999999999999</v>
      </c>
      <c r="G6" s="911">
        <f>C49/1000000*$Q$5</f>
        <v>1.49E-2</v>
      </c>
      <c r="H6" s="968">
        <f>C52*$Q$5/3.6</f>
        <v>4.1388888888888893</v>
      </c>
      <c r="I6" s="973">
        <f>8760*3.6/10^6</f>
        <v>3.1536000000000002E-2</v>
      </c>
      <c r="J6" s="972">
        <f>1-C30/52</f>
        <v>0.99038461538461542</v>
      </c>
      <c r="K6" s="972">
        <v>1</v>
      </c>
      <c r="L6" s="911">
        <v>25</v>
      </c>
      <c r="M6" s="911">
        <f>C32</f>
        <v>0.5</v>
      </c>
      <c r="N6" s="905"/>
      <c r="O6" s="905"/>
      <c r="P6" s="905"/>
      <c r="Q6" s="905"/>
    </row>
    <row r="7" spans="1:26" ht="14.4">
      <c r="A7" s="905"/>
      <c r="B7" s="905"/>
      <c r="C7" s="971">
        <v>2020</v>
      </c>
      <c r="D7" s="969">
        <f>1/(D26/100)</f>
        <v>0.2</v>
      </c>
      <c r="E7" s="970">
        <f>D22</f>
        <v>4</v>
      </c>
      <c r="F7" s="969">
        <f>D46*$Q$5</f>
        <v>4.9020999999999999</v>
      </c>
      <c r="G7" s="911">
        <f>D49/1000000*$Q$5</f>
        <v>1.49E-2</v>
      </c>
      <c r="H7" s="968">
        <f>D52*$Q$5/3.6</f>
        <v>3.7250000000000001</v>
      </c>
      <c r="I7" s="911"/>
      <c r="J7" s="911"/>
      <c r="K7" s="911"/>
      <c r="L7" s="911"/>
      <c r="M7" s="911"/>
      <c r="N7" s="905"/>
      <c r="O7" s="905"/>
      <c r="P7" s="905"/>
      <c r="Q7" s="905"/>
    </row>
    <row r="8" spans="1:26" ht="14.4">
      <c r="A8" s="905"/>
      <c r="B8" s="905"/>
      <c r="C8" s="971">
        <v>2030</v>
      </c>
      <c r="D8" s="969">
        <f>1/(E26/100)</f>
        <v>0.16666666666666666</v>
      </c>
      <c r="E8" s="970">
        <f>E22</f>
        <v>4</v>
      </c>
      <c r="F8" s="969">
        <f>E46*$Q$5</f>
        <v>4.4118899999999996</v>
      </c>
      <c r="G8" s="911">
        <f>E49/1000000*$Q$5</f>
        <v>1.49E-2</v>
      </c>
      <c r="H8" s="968">
        <f>E52*$Q$5/3.6</f>
        <v>3.5180555555555553</v>
      </c>
      <c r="I8" s="911"/>
      <c r="J8" s="911"/>
      <c r="K8" s="911"/>
      <c r="L8" s="911"/>
      <c r="M8" s="911"/>
      <c r="N8" s="905"/>
      <c r="O8" s="905"/>
      <c r="P8" s="905"/>
      <c r="Q8" s="905"/>
    </row>
    <row r="9" spans="1:26" ht="14.4">
      <c r="A9" s="905"/>
      <c r="B9" s="905"/>
      <c r="C9" s="971">
        <v>2050</v>
      </c>
      <c r="D9" s="969">
        <f>1/(F26/100)</f>
        <v>0.13513513513513511</v>
      </c>
      <c r="E9" s="970">
        <f>F22</f>
        <v>4</v>
      </c>
      <c r="F9" s="969">
        <f>F46*$Q$5</f>
        <v>3.970701</v>
      </c>
      <c r="G9" s="911">
        <f>F49/1000000*$Q$5</f>
        <v>1.49E-2</v>
      </c>
      <c r="H9" s="968">
        <f>F52*$Q$5/3.6</f>
        <v>3.3111111111111113</v>
      </c>
      <c r="I9" s="911"/>
      <c r="J9" s="911"/>
      <c r="K9" s="911"/>
      <c r="L9" s="911"/>
      <c r="M9" s="911"/>
      <c r="N9" s="905"/>
      <c r="O9" s="905"/>
      <c r="P9" s="905"/>
      <c r="Q9" s="905"/>
    </row>
    <row r="10" spans="1:26" ht="14.4">
      <c r="A10" s="967"/>
      <c r="B10" s="964"/>
      <c r="C10" s="964"/>
      <c r="D10" s="962"/>
      <c r="E10" s="963"/>
      <c r="F10" s="962"/>
      <c r="G10" s="961"/>
      <c r="H10" s="961"/>
      <c r="I10" s="965"/>
      <c r="J10" s="966"/>
      <c r="K10" s="965"/>
      <c r="L10" s="961"/>
      <c r="M10" s="905"/>
      <c r="N10" s="905"/>
      <c r="O10" s="905"/>
      <c r="P10" s="905"/>
      <c r="Q10" s="905"/>
    </row>
    <row r="11" spans="1:26" ht="14.4">
      <c r="A11" s="905"/>
      <c r="B11" s="964"/>
      <c r="C11" s="964"/>
      <c r="D11" s="962"/>
      <c r="E11" s="963"/>
      <c r="F11" s="962"/>
      <c r="G11" s="961"/>
      <c r="H11" s="961"/>
      <c r="I11" s="961"/>
      <c r="J11" s="961"/>
      <c r="K11" s="961"/>
      <c r="L11" s="961"/>
      <c r="M11" s="905"/>
      <c r="N11" s="905"/>
      <c r="O11" s="905"/>
      <c r="P11" s="905"/>
      <c r="Q11" s="905"/>
    </row>
    <row r="12" spans="1:26" ht="14.4">
      <c r="A12" s="905"/>
      <c r="B12" s="964"/>
      <c r="C12" s="964"/>
      <c r="D12" s="962"/>
      <c r="E12" s="963"/>
      <c r="F12" s="962"/>
      <c r="G12" s="961"/>
      <c r="H12" s="961"/>
      <c r="I12" s="961"/>
      <c r="J12" s="961"/>
      <c r="K12" s="961"/>
      <c r="L12" s="961"/>
      <c r="M12" s="905"/>
      <c r="N12" s="905"/>
      <c r="O12" s="905"/>
      <c r="P12" s="905"/>
      <c r="Q12" s="905"/>
      <c r="Y12" s="904" t="s">
        <v>1306</v>
      </c>
      <c r="Z12" s="904">
        <f>28+273</f>
        <v>301</v>
      </c>
    </row>
    <row r="13" spans="1:26" ht="14.4">
      <c r="A13" s="905"/>
      <c r="B13" s="964"/>
      <c r="C13" s="964"/>
      <c r="D13" s="962"/>
      <c r="E13" s="963"/>
      <c r="F13" s="962"/>
      <c r="G13" s="961"/>
      <c r="H13" s="961"/>
      <c r="I13" s="961"/>
      <c r="J13" s="961"/>
      <c r="K13" s="961"/>
      <c r="L13" s="961"/>
      <c r="M13" s="905"/>
      <c r="N13" s="905"/>
      <c r="O13" s="905"/>
      <c r="P13" s="905"/>
      <c r="Q13" s="905"/>
      <c r="Y13" s="904" t="s">
        <v>1305</v>
      </c>
      <c r="Z13" s="904">
        <f>17+273</f>
        <v>290</v>
      </c>
    </row>
    <row r="14" spans="1:26" ht="14.4">
      <c r="A14" s="905"/>
      <c r="B14" s="905"/>
      <c r="C14" s="905"/>
      <c r="D14" s="905"/>
      <c r="E14" s="913"/>
      <c r="F14" s="905"/>
      <c r="G14" s="905"/>
      <c r="H14" s="905"/>
      <c r="I14" s="905"/>
      <c r="J14" s="905"/>
      <c r="K14" s="905"/>
      <c r="L14" s="905"/>
      <c r="M14" s="905"/>
      <c r="N14" s="905"/>
      <c r="O14" s="905"/>
      <c r="P14" s="905"/>
      <c r="Q14" s="905"/>
    </row>
    <row r="15" spans="1:26" ht="14.4">
      <c r="A15" s="905"/>
      <c r="B15" s="905"/>
      <c r="C15" s="905"/>
      <c r="D15" s="905"/>
      <c r="E15" s="913"/>
      <c r="F15" s="905"/>
      <c r="G15" s="905"/>
      <c r="H15" s="905"/>
      <c r="I15" s="905"/>
      <c r="J15" s="927"/>
      <c r="K15" s="905"/>
      <c r="L15" s="905"/>
      <c r="M15" s="905"/>
      <c r="N15" s="905"/>
      <c r="O15" s="905"/>
      <c r="P15" s="905"/>
      <c r="Q15" s="905"/>
      <c r="Y15" s="904" t="s">
        <v>1304</v>
      </c>
      <c r="Z15" s="960">
        <f>(Z12-Z13)/(LN(Z12/Z13))-273</f>
        <v>22.465873891698152</v>
      </c>
    </row>
    <row r="16" spans="1:26" ht="14.4">
      <c r="A16" s="905"/>
      <c r="B16" s="905"/>
      <c r="C16" s="905"/>
      <c r="D16" s="905"/>
      <c r="E16" s="913"/>
      <c r="F16" s="905"/>
      <c r="G16" s="905"/>
      <c r="H16" s="905"/>
      <c r="I16" s="905"/>
      <c r="J16" s="905"/>
      <c r="K16" s="905"/>
      <c r="L16" s="905"/>
      <c r="M16" s="905"/>
      <c r="N16" s="905"/>
      <c r="O16" s="905"/>
      <c r="P16" s="905"/>
      <c r="Q16" s="905"/>
    </row>
    <row r="17" spans="2:12" ht="14.4">
      <c r="B17" s="905" t="s">
        <v>1281</v>
      </c>
      <c r="C17" s="928"/>
      <c r="D17" s="905"/>
      <c r="E17" s="913"/>
      <c r="F17" s="905"/>
      <c r="G17" s="905"/>
      <c r="H17" s="905"/>
      <c r="I17" s="905"/>
      <c r="J17" s="905"/>
      <c r="K17" s="905"/>
      <c r="L17" s="905"/>
    </row>
    <row r="19" spans="2:12" ht="14.4">
      <c r="B19" s="959" t="s">
        <v>0</v>
      </c>
      <c r="C19" s="1334" t="s">
        <v>1303</v>
      </c>
      <c r="D19" s="1335"/>
      <c r="E19" s="1335"/>
      <c r="F19" s="1335"/>
      <c r="G19" s="1335"/>
      <c r="H19" s="1335"/>
      <c r="I19" s="1335"/>
      <c r="J19" s="1335"/>
      <c r="K19" s="1335"/>
      <c r="L19" s="1336"/>
    </row>
    <row r="20" spans="2:12">
      <c r="B20" s="940"/>
      <c r="C20" s="958">
        <v>2015</v>
      </c>
      <c r="D20" s="958">
        <v>2020</v>
      </c>
      <c r="E20" s="958">
        <v>2030</v>
      </c>
      <c r="F20" s="958">
        <v>2050</v>
      </c>
      <c r="G20" s="1334" t="s">
        <v>647</v>
      </c>
      <c r="H20" s="1337"/>
      <c r="I20" s="1334" t="s">
        <v>648</v>
      </c>
      <c r="J20" s="1337"/>
      <c r="K20" s="958" t="s">
        <v>2</v>
      </c>
      <c r="L20" s="958" t="s">
        <v>3</v>
      </c>
    </row>
    <row r="21" spans="2:12">
      <c r="B21" s="957" t="s">
        <v>4</v>
      </c>
      <c r="C21" s="956"/>
      <c r="D21" s="956"/>
      <c r="E21" s="956"/>
      <c r="F21" s="956"/>
      <c r="G21" s="956" t="s">
        <v>649</v>
      </c>
      <c r="H21" s="956" t="s">
        <v>650</v>
      </c>
      <c r="I21" s="956" t="s">
        <v>649</v>
      </c>
      <c r="J21" s="956" t="s">
        <v>650</v>
      </c>
      <c r="K21" s="956"/>
      <c r="L21" s="955"/>
    </row>
    <row r="22" spans="2:12" ht="35.25" customHeight="1">
      <c r="B22" s="951" t="s">
        <v>1302</v>
      </c>
      <c r="C22" s="947">
        <v>4</v>
      </c>
      <c r="D22" s="947">
        <v>4</v>
      </c>
      <c r="E22" s="947">
        <v>4</v>
      </c>
      <c r="F22" s="947">
        <v>4</v>
      </c>
      <c r="G22" s="947">
        <v>3</v>
      </c>
      <c r="H22" s="947">
        <v>6</v>
      </c>
      <c r="I22" s="947">
        <v>3</v>
      </c>
      <c r="J22" s="947">
        <v>10</v>
      </c>
      <c r="K22" s="947"/>
      <c r="L22" s="947">
        <v>3</v>
      </c>
    </row>
    <row r="23" spans="2:12" ht="33.75" customHeight="1">
      <c r="B23" s="936" t="s">
        <v>652</v>
      </c>
      <c r="C23" s="944" t="s">
        <v>1301</v>
      </c>
      <c r="D23" s="944" t="s">
        <v>1301</v>
      </c>
      <c r="E23" s="944" t="s">
        <v>1301</v>
      </c>
      <c r="F23" s="944" t="s">
        <v>1301</v>
      </c>
      <c r="G23" s="944" t="s">
        <v>1301</v>
      </c>
      <c r="H23" s="944" t="s">
        <v>1301</v>
      </c>
      <c r="I23" s="944" t="s">
        <v>1301</v>
      </c>
      <c r="J23" s="944" t="s">
        <v>1301</v>
      </c>
      <c r="K23" s="944"/>
      <c r="L23" s="944"/>
    </row>
    <row r="24" spans="2:12" ht="60.75" customHeight="1">
      <c r="B24" s="954" t="s">
        <v>1300</v>
      </c>
      <c r="C24" s="953">
        <v>350</v>
      </c>
      <c r="D24" s="952">
        <v>360</v>
      </c>
      <c r="E24" s="952">
        <v>380</v>
      </c>
      <c r="F24" s="952">
        <v>410</v>
      </c>
      <c r="G24" s="952">
        <v>350</v>
      </c>
      <c r="H24" s="952">
        <v>380</v>
      </c>
      <c r="I24" s="952">
        <v>350</v>
      </c>
      <c r="J24" s="952">
        <v>450</v>
      </c>
      <c r="K24" s="952" t="s">
        <v>1299</v>
      </c>
      <c r="L24" s="952">
        <v>4</v>
      </c>
    </row>
    <row r="25" spans="2:12" ht="57.75" customHeight="1">
      <c r="B25" s="936" t="s">
        <v>1298</v>
      </c>
      <c r="C25" s="935">
        <v>350</v>
      </c>
      <c r="D25" s="935">
        <v>400</v>
      </c>
      <c r="E25" s="935">
        <v>480</v>
      </c>
      <c r="F25" s="935">
        <v>600</v>
      </c>
      <c r="G25" s="935">
        <v>350</v>
      </c>
      <c r="H25" s="935">
        <v>450</v>
      </c>
      <c r="I25" s="935">
        <v>350</v>
      </c>
      <c r="J25" s="935">
        <v>700</v>
      </c>
      <c r="K25" s="935" t="s">
        <v>1295</v>
      </c>
      <c r="L25" s="935" t="s">
        <v>1294</v>
      </c>
    </row>
    <row r="26" spans="2:12" ht="48.75" customHeight="1">
      <c r="B26" s="951" t="s">
        <v>1297</v>
      </c>
      <c r="C26" s="946">
        <v>440</v>
      </c>
      <c r="D26" s="950">
        <v>500</v>
      </c>
      <c r="E26" s="950">
        <v>600</v>
      </c>
      <c r="F26" s="950">
        <v>740</v>
      </c>
      <c r="G26" s="950">
        <v>440</v>
      </c>
      <c r="H26" s="950">
        <v>600</v>
      </c>
      <c r="I26" s="950">
        <v>440</v>
      </c>
      <c r="J26" s="950">
        <v>850</v>
      </c>
      <c r="K26" s="950" t="s">
        <v>1295</v>
      </c>
      <c r="L26" s="950" t="s">
        <v>1294</v>
      </c>
    </row>
    <row r="27" spans="2:12" ht="50.25" customHeight="1">
      <c r="B27" s="949" t="s">
        <v>1296</v>
      </c>
      <c r="C27" s="935">
        <v>700</v>
      </c>
      <c r="D27" s="935">
        <v>900</v>
      </c>
      <c r="E27" s="935">
        <v>1200</v>
      </c>
      <c r="F27" s="935">
        <v>1800</v>
      </c>
      <c r="G27" s="935">
        <v>700</v>
      </c>
      <c r="H27" s="935">
        <v>1200</v>
      </c>
      <c r="I27" s="935">
        <v>700</v>
      </c>
      <c r="J27" s="935">
        <v>2000</v>
      </c>
      <c r="K27" s="935" t="s">
        <v>1295</v>
      </c>
      <c r="L27" s="935" t="s">
        <v>1294</v>
      </c>
    </row>
    <row r="28" spans="2:12" ht="35.25" customHeight="1">
      <c r="B28" s="936" t="s">
        <v>654</v>
      </c>
      <c r="C28" s="935">
        <v>10</v>
      </c>
      <c r="D28" s="935">
        <v>9</v>
      </c>
      <c r="E28" s="935">
        <v>7</v>
      </c>
      <c r="F28" s="935">
        <v>4</v>
      </c>
      <c r="G28" s="935">
        <v>4</v>
      </c>
      <c r="H28" s="935">
        <v>10</v>
      </c>
      <c r="I28" s="935">
        <v>3</v>
      </c>
      <c r="J28" s="935">
        <v>6</v>
      </c>
      <c r="K28" s="935" t="s">
        <v>1293</v>
      </c>
      <c r="L28" s="935">
        <v>3</v>
      </c>
    </row>
    <row r="29" spans="2:12" ht="25.5" customHeight="1">
      <c r="B29" s="936" t="s">
        <v>657</v>
      </c>
      <c r="C29" s="935">
        <v>0</v>
      </c>
      <c r="D29" s="935">
        <v>0</v>
      </c>
      <c r="E29" s="935">
        <v>0</v>
      </c>
      <c r="F29" s="935">
        <v>0</v>
      </c>
      <c r="G29" s="935">
        <v>0</v>
      </c>
      <c r="H29" s="935">
        <v>1</v>
      </c>
      <c r="I29" s="935">
        <v>0</v>
      </c>
      <c r="J29" s="935">
        <v>1</v>
      </c>
      <c r="K29" s="935" t="s">
        <v>33</v>
      </c>
      <c r="L29" s="935">
        <v>3</v>
      </c>
    </row>
    <row r="30" spans="2:12" ht="32.25" customHeight="1">
      <c r="B30" s="948" t="s">
        <v>658</v>
      </c>
      <c r="C30" s="947">
        <v>0.5</v>
      </c>
      <c r="D30" s="947">
        <v>0.5</v>
      </c>
      <c r="E30" s="947">
        <v>0.5</v>
      </c>
      <c r="F30" s="947">
        <v>0.5</v>
      </c>
      <c r="G30" s="947">
        <v>0</v>
      </c>
      <c r="H30" s="947">
        <v>1</v>
      </c>
      <c r="I30" s="947">
        <v>0</v>
      </c>
      <c r="J30" s="947">
        <v>1</v>
      </c>
      <c r="K30" s="947" t="s">
        <v>51</v>
      </c>
      <c r="L30" s="946">
        <v>3</v>
      </c>
    </row>
    <row r="31" spans="2:12" ht="27.75" customHeight="1">
      <c r="B31" s="948" t="s">
        <v>11</v>
      </c>
      <c r="C31" s="947">
        <v>25</v>
      </c>
      <c r="D31" s="947">
        <v>25</v>
      </c>
      <c r="E31" s="947">
        <v>25</v>
      </c>
      <c r="F31" s="947">
        <v>25</v>
      </c>
      <c r="G31" s="947">
        <v>15</v>
      </c>
      <c r="H31" s="947">
        <v>30</v>
      </c>
      <c r="I31" s="947">
        <v>15</v>
      </c>
      <c r="J31" s="947">
        <v>30</v>
      </c>
      <c r="K31" s="947"/>
      <c r="L31" s="946">
        <v>3</v>
      </c>
    </row>
    <row r="32" spans="2:12" ht="28.5" customHeight="1">
      <c r="B32" s="948" t="s">
        <v>273</v>
      </c>
      <c r="C32" s="947">
        <v>0.5</v>
      </c>
      <c r="D32" s="947">
        <v>0.5</v>
      </c>
      <c r="E32" s="947">
        <v>0.5</v>
      </c>
      <c r="F32" s="947">
        <v>0.5</v>
      </c>
      <c r="G32" s="947">
        <v>0.3</v>
      </c>
      <c r="H32" s="947">
        <v>0.7</v>
      </c>
      <c r="I32" s="947">
        <v>0.3</v>
      </c>
      <c r="J32" s="947">
        <v>0.7</v>
      </c>
      <c r="K32" s="947" t="s">
        <v>16</v>
      </c>
      <c r="L32" s="946"/>
    </row>
    <row r="33" spans="2:12" ht="38.25" customHeight="1">
      <c r="B33" s="945" t="s">
        <v>1292</v>
      </c>
      <c r="C33" s="935">
        <v>0.02</v>
      </c>
      <c r="D33" s="935">
        <v>0.02</v>
      </c>
      <c r="E33" s="935">
        <v>0.02</v>
      </c>
      <c r="F33" s="935">
        <v>0.02</v>
      </c>
      <c r="G33" s="935">
        <v>0.01</v>
      </c>
      <c r="H33" s="935">
        <v>0.04</v>
      </c>
      <c r="I33" s="935">
        <v>0.01</v>
      </c>
      <c r="J33" s="937">
        <v>0.04</v>
      </c>
      <c r="K33" s="937"/>
      <c r="L33" s="935">
        <v>1</v>
      </c>
    </row>
    <row r="34" spans="2:12">
      <c r="B34" s="1330" t="s">
        <v>660</v>
      </c>
      <c r="C34" s="1331"/>
      <c r="D34" s="1331"/>
      <c r="E34" s="1331"/>
      <c r="F34" s="1331"/>
      <c r="G34" s="1331"/>
      <c r="H34" s="1331"/>
      <c r="I34" s="1331"/>
      <c r="J34" s="1331"/>
      <c r="K34" s="1331"/>
      <c r="L34" s="1332"/>
    </row>
    <row r="35" spans="2:12" ht="22.8">
      <c r="B35" s="940" t="s">
        <v>661</v>
      </c>
      <c r="C35" s="937">
        <v>10</v>
      </c>
      <c r="D35" s="937">
        <v>10</v>
      </c>
      <c r="E35" s="937">
        <v>10</v>
      </c>
      <c r="F35" s="937">
        <v>10</v>
      </c>
      <c r="G35" s="937">
        <v>10</v>
      </c>
      <c r="H35" s="937">
        <v>25</v>
      </c>
      <c r="I35" s="937">
        <v>10</v>
      </c>
      <c r="J35" s="937">
        <v>30</v>
      </c>
      <c r="K35" s="937" t="s">
        <v>20</v>
      </c>
      <c r="L35" s="937">
        <v>3</v>
      </c>
    </row>
    <row r="36" spans="2:12" ht="22.8">
      <c r="B36" s="940" t="s">
        <v>662</v>
      </c>
      <c r="C36" s="937">
        <v>20</v>
      </c>
      <c r="D36" s="937">
        <v>20</v>
      </c>
      <c r="E36" s="937">
        <v>20</v>
      </c>
      <c r="F36" s="937">
        <v>20</v>
      </c>
      <c r="G36" s="937">
        <v>20</v>
      </c>
      <c r="H36" s="937">
        <v>40</v>
      </c>
      <c r="I36" s="937">
        <v>20</v>
      </c>
      <c r="J36" s="937">
        <v>40</v>
      </c>
      <c r="K36" s="937" t="s">
        <v>20</v>
      </c>
      <c r="L36" s="937">
        <v>3</v>
      </c>
    </row>
    <row r="37" spans="2:12">
      <c r="B37" s="940" t="s">
        <v>663</v>
      </c>
      <c r="C37" s="937">
        <v>10</v>
      </c>
      <c r="D37" s="937">
        <v>10</v>
      </c>
      <c r="E37" s="937">
        <v>10</v>
      </c>
      <c r="F37" s="937">
        <v>10</v>
      </c>
      <c r="G37" s="937">
        <v>10</v>
      </c>
      <c r="H37" s="937">
        <v>10</v>
      </c>
      <c r="I37" s="937">
        <v>10</v>
      </c>
      <c r="J37" s="937">
        <v>10</v>
      </c>
      <c r="K37" s="937" t="s">
        <v>20</v>
      </c>
      <c r="L37" s="937">
        <v>3</v>
      </c>
    </row>
    <row r="38" spans="2:12">
      <c r="B38" s="940" t="s">
        <v>664</v>
      </c>
      <c r="C38" s="937">
        <v>0</v>
      </c>
      <c r="D38" s="937">
        <v>0</v>
      </c>
      <c r="E38" s="937">
        <v>0</v>
      </c>
      <c r="F38" s="937">
        <v>0</v>
      </c>
      <c r="G38" s="937">
        <v>0</v>
      </c>
      <c r="H38" s="937">
        <v>1</v>
      </c>
      <c r="I38" s="937">
        <v>0</v>
      </c>
      <c r="J38" s="937">
        <v>1</v>
      </c>
      <c r="K38" s="937"/>
      <c r="L38" s="937">
        <v>3</v>
      </c>
    </row>
    <row r="39" spans="2:12">
      <c r="B39" s="940" t="s">
        <v>666</v>
      </c>
      <c r="C39" s="937">
        <v>6</v>
      </c>
      <c r="D39" s="937">
        <v>6</v>
      </c>
      <c r="E39" s="937">
        <v>6</v>
      </c>
      <c r="F39" s="937">
        <v>6</v>
      </c>
      <c r="G39" s="937">
        <v>1</v>
      </c>
      <c r="H39" s="937">
        <v>12</v>
      </c>
      <c r="I39" s="937">
        <v>1</v>
      </c>
      <c r="J39" s="937">
        <v>12</v>
      </c>
      <c r="K39" s="937" t="s">
        <v>76</v>
      </c>
      <c r="L39" s="937" t="s">
        <v>1291</v>
      </c>
    </row>
    <row r="40" spans="2:12">
      <c r="B40" s="1330" t="s">
        <v>12</v>
      </c>
      <c r="C40" s="1331"/>
      <c r="D40" s="1331"/>
      <c r="E40" s="1331"/>
      <c r="F40" s="1331"/>
      <c r="G40" s="1331"/>
      <c r="H40" s="1331"/>
      <c r="I40" s="1331"/>
      <c r="J40" s="1331"/>
      <c r="K40" s="1331"/>
      <c r="L40" s="1332"/>
    </row>
    <row r="41" spans="2:12" ht="15">
      <c r="B41" s="940" t="s">
        <v>668</v>
      </c>
      <c r="C41" s="937">
        <v>0</v>
      </c>
      <c r="D41" s="937">
        <v>0</v>
      </c>
      <c r="E41" s="937">
        <v>0</v>
      </c>
      <c r="F41" s="937">
        <v>0</v>
      </c>
      <c r="G41" s="937">
        <v>0</v>
      </c>
      <c r="H41" s="937">
        <v>0</v>
      </c>
      <c r="I41" s="937">
        <v>0</v>
      </c>
      <c r="J41" s="937">
        <v>0</v>
      </c>
      <c r="K41" s="935"/>
      <c r="L41" s="944"/>
    </row>
    <row r="42" spans="2:12" ht="15">
      <c r="B42" s="940" t="s">
        <v>670</v>
      </c>
      <c r="C42" s="937">
        <v>0</v>
      </c>
      <c r="D42" s="937">
        <v>0</v>
      </c>
      <c r="E42" s="937">
        <v>0</v>
      </c>
      <c r="F42" s="937">
        <v>0</v>
      </c>
      <c r="G42" s="937">
        <v>0</v>
      </c>
      <c r="H42" s="937">
        <v>0</v>
      </c>
      <c r="I42" s="937">
        <v>0</v>
      </c>
      <c r="J42" s="937">
        <v>0</v>
      </c>
      <c r="K42" s="937"/>
      <c r="L42" s="935"/>
    </row>
    <row r="43" spans="2:12">
      <c r="B43" s="940" t="s">
        <v>366</v>
      </c>
      <c r="C43" s="943">
        <v>0</v>
      </c>
      <c r="D43" s="943">
        <v>0</v>
      </c>
      <c r="E43" s="943">
        <v>0</v>
      </c>
      <c r="F43" s="943">
        <v>0</v>
      </c>
      <c r="G43" s="943">
        <v>0</v>
      </c>
      <c r="H43" s="943">
        <v>0</v>
      </c>
      <c r="I43" s="943">
        <v>0</v>
      </c>
      <c r="J43" s="943">
        <v>0</v>
      </c>
      <c r="K43" s="937"/>
      <c r="L43" s="935"/>
    </row>
    <row r="44" spans="2:12">
      <c r="B44" s="940" t="s">
        <v>367</v>
      </c>
      <c r="C44" s="942">
        <v>0</v>
      </c>
      <c r="D44" s="942">
        <v>0</v>
      </c>
      <c r="E44" s="942">
        <v>0</v>
      </c>
      <c r="F44" s="942">
        <v>0</v>
      </c>
      <c r="G44" s="942">
        <v>0</v>
      </c>
      <c r="H44" s="942">
        <v>0</v>
      </c>
      <c r="I44" s="942">
        <v>0</v>
      </c>
      <c r="J44" s="942">
        <v>0</v>
      </c>
      <c r="K44" s="942"/>
      <c r="L44" s="935"/>
    </row>
    <row r="45" spans="2:12">
      <c r="B45" s="1333" t="s">
        <v>674</v>
      </c>
      <c r="C45" s="1333"/>
      <c r="D45" s="1333"/>
      <c r="E45" s="1333"/>
      <c r="F45" s="1333"/>
      <c r="G45" s="1333"/>
      <c r="H45" s="1333"/>
      <c r="I45" s="1333"/>
      <c r="J45" s="1333"/>
      <c r="K45" s="1333"/>
      <c r="L45" s="1333"/>
    </row>
    <row r="46" spans="2:12" ht="37.5" customHeight="1">
      <c r="B46" s="936" t="s">
        <v>1290</v>
      </c>
      <c r="C46" s="941">
        <v>0.7</v>
      </c>
      <c r="D46" s="941">
        <v>0.65799999999999992</v>
      </c>
      <c r="E46" s="941">
        <v>0.59219999999999995</v>
      </c>
      <c r="F46" s="941">
        <v>0.53298000000000001</v>
      </c>
      <c r="G46" s="941">
        <v>0.5</v>
      </c>
      <c r="H46" s="941">
        <v>1</v>
      </c>
      <c r="I46" s="941">
        <v>0.5</v>
      </c>
      <c r="J46" s="941">
        <v>1</v>
      </c>
      <c r="K46" s="937" t="s">
        <v>1289</v>
      </c>
      <c r="L46" s="937"/>
    </row>
    <row r="47" spans="2:12" ht="25.5" customHeight="1">
      <c r="B47" s="940" t="s">
        <v>839</v>
      </c>
      <c r="C47" s="937">
        <v>50</v>
      </c>
      <c r="D47" s="937">
        <v>50</v>
      </c>
      <c r="E47" s="937">
        <v>50</v>
      </c>
      <c r="F47" s="937">
        <v>50</v>
      </c>
      <c r="G47" s="937">
        <v>30</v>
      </c>
      <c r="H47" s="937">
        <v>70</v>
      </c>
      <c r="I47" s="937">
        <v>30</v>
      </c>
      <c r="J47" s="937">
        <v>70</v>
      </c>
      <c r="K47" s="937"/>
      <c r="L47" s="937">
        <v>3</v>
      </c>
    </row>
    <row r="48" spans="2:12" ht="26.25" customHeight="1">
      <c r="B48" s="940" t="s">
        <v>840</v>
      </c>
      <c r="C48" s="937">
        <v>50</v>
      </c>
      <c r="D48" s="937">
        <v>50</v>
      </c>
      <c r="E48" s="937">
        <v>50</v>
      </c>
      <c r="F48" s="937">
        <v>50</v>
      </c>
      <c r="G48" s="937">
        <v>30</v>
      </c>
      <c r="H48" s="937">
        <v>70</v>
      </c>
      <c r="I48" s="937">
        <v>30</v>
      </c>
      <c r="J48" s="937">
        <v>70</v>
      </c>
      <c r="K48" s="937"/>
      <c r="L48" s="937">
        <v>3</v>
      </c>
    </row>
    <row r="49" spans="2:12" ht="30" customHeight="1">
      <c r="B49" s="940" t="s">
        <v>1288</v>
      </c>
      <c r="C49" s="937">
        <v>2000</v>
      </c>
      <c r="D49" s="937">
        <v>2000</v>
      </c>
      <c r="E49" s="937">
        <v>2000</v>
      </c>
      <c r="F49" s="937">
        <v>2000</v>
      </c>
      <c r="G49" s="937">
        <v>1000</v>
      </c>
      <c r="H49" s="937">
        <v>3000</v>
      </c>
      <c r="I49" s="937">
        <v>1000</v>
      </c>
      <c r="J49" s="937">
        <v>3000</v>
      </c>
      <c r="K49" s="937"/>
      <c r="L49" s="937">
        <v>3</v>
      </c>
    </row>
    <row r="50" spans="2:12" ht="30.75" customHeight="1">
      <c r="B50" s="940" t="s">
        <v>1287</v>
      </c>
      <c r="C50" s="938">
        <v>8.4</v>
      </c>
      <c r="D50" s="938">
        <v>8.2000000000000011</v>
      </c>
      <c r="E50" s="938">
        <v>8.7999999999999989</v>
      </c>
      <c r="F50" s="938">
        <v>8.1999999999999993</v>
      </c>
      <c r="G50" s="938">
        <v>4.3</v>
      </c>
      <c r="H50" s="938">
        <v>9.1</v>
      </c>
      <c r="I50" s="938">
        <v>6.5</v>
      </c>
      <c r="J50" s="938">
        <v>11.9</v>
      </c>
      <c r="K50" s="937"/>
      <c r="L50" s="937"/>
    </row>
    <row r="51" spans="2:12" ht="36.75" customHeight="1">
      <c r="B51" s="939" t="s">
        <v>1286</v>
      </c>
      <c r="C51" s="938">
        <v>6.4</v>
      </c>
      <c r="D51" s="938">
        <v>6.4</v>
      </c>
      <c r="E51" s="938">
        <v>7.1</v>
      </c>
      <c r="F51" s="938">
        <v>6.6</v>
      </c>
      <c r="G51" s="938">
        <v>2.8</v>
      </c>
      <c r="H51" s="938">
        <v>7.1</v>
      </c>
      <c r="I51" s="938">
        <v>5</v>
      </c>
      <c r="J51" s="938">
        <v>9.9</v>
      </c>
      <c r="K51" s="937" t="s">
        <v>886</v>
      </c>
      <c r="L51" s="937"/>
    </row>
    <row r="52" spans="2:12" ht="37.5" customHeight="1">
      <c r="B52" s="939" t="s">
        <v>1285</v>
      </c>
      <c r="C52" s="938">
        <v>2</v>
      </c>
      <c r="D52" s="938">
        <v>1.8</v>
      </c>
      <c r="E52" s="938">
        <v>1.7</v>
      </c>
      <c r="F52" s="938">
        <v>1.6</v>
      </c>
      <c r="G52" s="938">
        <v>1.5</v>
      </c>
      <c r="H52" s="938">
        <v>2</v>
      </c>
      <c r="I52" s="938">
        <v>1.5</v>
      </c>
      <c r="J52" s="938">
        <v>2</v>
      </c>
      <c r="K52" s="937" t="s">
        <v>25</v>
      </c>
      <c r="L52" s="937">
        <v>3</v>
      </c>
    </row>
    <row r="53" spans="2:12">
      <c r="B53" s="1330" t="s">
        <v>682</v>
      </c>
      <c r="C53" s="1331"/>
      <c r="D53" s="1331"/>
      <c r="E53" s="1331"/>
      <c r="F53" s="1331"/>
      <c r="G53" s="1331"/>
      <c r="H53" s="1331"/>
      <c r="I53" s="1331"/>
      <c r="J53" s="1331"/>
      <c r="K53" s="1331"/>
      <c r="L53" s="1332"/>
    </row>
    <row r="54" spans="2:12">
      <c r="B54" s="936"/>
      <c r="C54" s="935"/>
      <c r="D54" s="935"/>
      <c r="E54" s="935"/>
      <c r="F54" s="935"/>
      <c r="G54" s="935"/>
      <c r="H54" s="935"/>
      <c r="I54" s="935"/>
      <c r="J54" s="935"/>
      <c r="K54" s="935"/>
      <c r="L54" s="935"/>
    </row>
  </sheetData>
  <mergeCells count="8">
    <mergeCell ref="P4:Q4"/>
    <mergeCell ref="B53:L53"/>
    <mergeCell ref="B45:L45"/>
    <mergeCell ref="C19:L19"/>
    <mergeCell ref="G20:H20"/>
    <mergeCell ref="I20:J20"/>
    <mergeCell ref="B34:L34"/>
    <mergeCell ref="B40:L40"/>
  </mergeCells>
  <pageMargins left="0.7" right="0.7" top="0.75" bottom="0.75" header="0.3" footer="0.3"/>
  <pageSetup paperSize="9" orientation="portrait"/>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5F01C-7B84-4D5C-8996-D82722FC84BC}">
  <sheetPr>
    <tabColor theme="4" tint="0.39997558519241921"/>
  </sheetPr>
  <dimension ref="A3:Q54"/>
  <sheetViews>
    <sheetView workbookViewId="0">
      <selection activeCell="M14" sqref="M14"/>
    </sheetView>
  </sheetViews>
  <sheetFormatPr defaultColWidth="9.109375" defaultRowHeight="14.4"/>
  <cols>
    <col min="1" max="1" width="9.109375" style="912"/>
    <col min="2" max="2" width="15.88671875" style="979" customWidth="1"/>
    <col min="3" max="3" width="12.33203125" style="912" bestFit="1" customWidth="1"/>
    <col min="4" max="4" width="9.109375" style="912"/>
    <col min="5" max="5" width="17.44140625" style="912" bestFit="1" customWidth="1"/>
    <col min="6" max="16384" width="9.109375" style="912"/>
  </cols>
  <sheetData>
    <row r="3" spans="1:17" ht="28.8">
      <c r="B3" s="918" t="s">
        <v>1284</v>
      </c>
      <c r="C3" s="918" t="s">
        <v>1133</v>
      </c>
      <c r="D3" s="918" t="s">
        <v>1275</v>
      </c>
      <c r="E3" s="918" t="s">
        <v>1276</v>
      </c>
      <c r="F3" s="917" t="s">
        <v>340</v>
      </c>
      <c r="G3" s="917" t="s">
        <v>341</v>
      </c>
      <c r="H3" s="917" t="s">
        <v>342</v>
      </c>
      <c r="I3" s="917" t="s">
        <v>343</v>
      </c>
      <c r="J3" s="917" t="s">
        <v>344</v>
      </c>
      <c r="K3" s="917" t="s">
        <v>1274</v>
      </c>
      <c r="L3" s="917" t="s">
        <v>339</v>
      </c>
    </row>
    <row r="4" spans="1:17" ht="42" customHeight="1">
      <c r="B4" s="916" t="s">
        <v>1283</v>
      </c>
      <c r="C4" s="916"/>
      <c r="D4" s="916" t="s">
        <v>1272</v>
      </c>
      <c r="E4" s="916" t="s">
        <v>1273</v>
      </c>
      <c r="F4" s="916" t="s">
        <v>1271</v>
      </c>
      <c r="G4" s="916" t="s">
        <v>1270</v>
      </c>
      <c r="H4" s="916" t="s">
        <v>1269</v>
      </c>
      <c r="I4" s="916" t="s">
        <v>1268</v>
      </c>
      <c r="J4" s="916" t="s">
        <v>1267</v>
      </c>
      <c r="K4" s="916" t="s">
        <v>1266</v>
      </c>
      <c r="L4" s="916" t="s">
        <v>1265</v>
      </c>
    </row>
    <row r="5" spans="1:17" ht="15" thickBot="1">
      <c r="B5" s="915"/>
      <c r="C5" s="915"/>
      <c r="D5" s="915"/>
      <c r="E5" s="915" t="s">
        <v>449</v>
      </c>
      <c r="F5" s="915" t="s">
        <v>1262</v>
      </c>
      <c r="G5" s="915" t="s">
        <v>1262</v>
      </c>
      <c r="H5" s="915" t="s">
        <v>1261</v>
      </c>
      <c r="I5" s="915" t="s">
        <v>351</v>
      </c>
      <c r="J5" s="915" t="s">
        <v>351</v>
      </c>
      <c r="K5" s="915"/>
      <c r="L5" s="915" t="s">
        <v>1260</v>
      </c>
      <c r="P5" s="912" t="s">
        <v>1282</v>
      </c>
      <c r="Q5" s="912">
        <v>7.45</v>
      </c>
    </row>
    <row r="6" spans="1:17">
      <c r="B6" s="979">
        <v>40</v>
      </c>
      <c r="C6" s="979">
        <v>2015</v>
      </c>
      <c r="D6" s="914">
        <f>1/(C27/100)</f>
        <v>0.14285714285714285</v>
      </c>
      <c r="E6" s="913">
        <f>C22</f>
        <v>4</v>
      </c>
      <c r="F6" s="914">
        <f>C46*$Q$5</f>
        <v>5.2149999999999999</v>
      </c>
      <c r="G6" s="912">
        <f>C49/1000000*$Q$5</f>
        <v>1.49E-2</v>
      </c>
      <c r="H6" s="912">
        <f>C52*$Q$5/3.6</f>
        <v>4.1388888888888893</v>
      </c>
      <c r="I6" s="929">
        <v>3.1536000000000002E-2</v>
      </c>
      <c r="J6" s="930">
        <v>0.98</v>
      </c>
      <c r="K6" s="929">
        <v>1</v>
      </c>
      <c r="L6" s="912">
        <f>C31</f>
        <v>25</v>
      </c>
    </row>
    <row r="7" spans="1:17">
      <c r="C7" s="979">
        <v>2020</v>
      </c>
      <c r="D7" s="914">
        <f>1/(D27/100)</f>
        <v>0.1111111111111111</v>
      </c>
      <c r="E7" s="913">
        <f>D22</f>
        <v>4</v>
      </c>
      <c r="F7" s="914">
        <f>D46*$Q$5</f>
        <v>4.9020999999999999</v>
      </c>
      <c r="G7" s="912">
        <f>D49/1000000*$Q$5</f>
        <v>1.49E-2</v>
      </c>
      <c r="H7" s="912">
        <f>D52*$Q$5/3.6</f>
        <v>3.7250000000000001</v>
      </c>
      <c r="L7" s="912">
        <f>D31</f>
        <v>25</v>
      </c>
    </row>
    <row r="8" spans="1:17">
      <c r="C8" s="979">
        <v>2030</v>
      </c>
      <c r="D8" s="914">
        <f>1/(E27/100)</f>
        <v>8.3333333333333329E-2</v>
      </c>
      <c r="E8" s="913">
        <f>E22</f>
        <v>4</v>
      </c>
      <c r="F8" s="914">
        <f>E46*$Q$5</f>
        <v>4.4118899999999996</v>
      </c>
      <c r="G8" s="912">
        <f>E49/1000000*$Q$5</f>
        <v>1.49E-2</v>
      </c>
      <c r="H8" s="912">
        <f>E52*$Q$5/3.6</f>
        <v>3.5180555555555553</v>
      </c>
      <c r="L8" s="912">
        <f>E31</f>
        <v>25</v>
      </c>
    </row>
    <row r="9" spans="1:17">
      <c r="C9" s="979">
        <v>2050</v>
      </c>
      <c r="D9" s="914">
        <f>1/(F27/100)</f>
        <v>5.5555555555555552E-2</v>
      </c>
      <c r="E9" s="913">
        <f>F22</f>
        <v>4</v>
      </c>
      <c r="F9" s="914">
        <f>F46*$Q$5</f>
        <v>3.970701</v>
      </c>
      <c r="G9" s="912">
        <f>F49/1000000*$Q$5</f>
        <v>1.49E-2</v>
      </c>
      <c r="H9" s="912">
        <f>F52*$Q$5/3.6</f>
        <v>3.3111111111111113</v>
      </c>
      <c r="L9" s="912">
        <f>F31</f>
        <v>25</v>
      </c>
    </row>
    <row r="10" spans="1:17">
      <c r="A10" s="1001"/>
      <c r="B10" s="1000">
        <v>80</v>
      </c>
      <c r="C10" s="1000">
        <v>2015</v>
      </c>
      <c r="D10" s="999">
        <f>1/(C27*2/100)</f>
        <v>7.1428571428571425E-2</v>
      </c>
      <c r="E10" s="963">
        <f>C22</f>
        <v>4</v>
      </c>
      <c r="F10" s="999">
        <f>C46*$Q$5</f>
        <v>5.2149999999999999</v>
      </c>
      <c r="G10" s="998">
        <f>C49/1000000*$Q$5</f>
        <v>1.49E-2</v>
      </c>
      <c r="H10" s="998">
        <f>C52*$Q$5/3.6</f>
        <v>4.1388888888888893</v>
      </c>
      <c r="I10" s="965">
        <v>3.1536000000000002E-2</v>
      </c>
      <c r="J10" s="966">
        <v>0.98</v>
      </c>
      <c r="K10" s="965">
        <v>1</v>
      </c>
      <c r="L10" s="998">
        <f>C31</f>
        <v>25</v>
      </c>
    </row>
    <row r="11" spans="1:17">
      <c r="B11" s="1000"/>
      <c r="C11" s="1000">
        <v>2020</v>
      </c>
      <c r="D11" s="999">
        <f>1/(D27*2/100)</f>
        <v>5.5555555555555552E-2</v>
      </c>
      <c r="E11" s="963">
        <f>D22</f>
        <v>4</v>
      </c>
      <c r="F11" s="999">
        <f>D46*$Q$5</f>
        <v>4.9020999999999999</v>
      </c>
      <c r="G11" s="998">
        <f>D49/1000000*$Q$5</f>
        <v>1.49E-2</v>
      </c>
      <c r="H11" s="998">
        <f>D52*$Q$5/3.6</f>
        <v>3.7250000000000001</v>
      </c>
      <c r="I11" s="998"/>
      <c r="J11" s="998"/>
      <c r="K11" s="998"/>
      <c r="L11" s="998">
        <f>D31</f>
        <v>25</v>
      </c>
    </row>
    <row r="12" spans="1:17">
      <c r="B12" s="1000"/>
      <c r="C12" s="1000">
        <v>2030</v>
      </c>
      <c r="D12" s="999">
        <f>1/(E27*2/100)</f>
        <v>4.1666666666666664E-2</v>
      </c>
      <c r="E12" s="963">
        <f>E22</f>
        <v>4</v>
      </c>
      <c r="F12" s="999">
        <f>E46*$Q$5</f>
        <v>4.4118899999999996</v>
      </c>
      <c r="G12" s="998">
        <f>E49/1000000*$Q$5</f>
        <v>1.49E-2</v>
      </c>
      <c r="H12" s="998">
        <f>E52*$Q$5/3.6</f>
        <v>3.5180555555555553</v>
      </c>
      <c r="I12" s="998"/>
      <c r="J12" s="998"/>
      <c r="K12" s="998"/>
      <c r="L12" s="998">
        <f>E31</f>
        <v>25</v>
      </c>
    </row>
    <row r="13" spans="1:17">
      <c r="B13" s="1000"/>
      <c r="C13" s="1000">
        <v>2050</v>
      </c>
      <c r="D13" s="999">
        <f>1/(F27*2/100)</f>
        <v>2.7777777777777776E-2</v>
      </c>
      <c r="E13" s="963">
        <f>F22</f>
        <v>4</v>
      </c>
      <c r="F13" s="999">
        <f>F46*$Q$5</f>
        <v>3.970701</v>
      </c>
      <c r="G13" s="998">
        <f>F49/1000000*$Q$5</f>
        <v>1.49E-2</v>
      </c>
      <c r="H13" s="998">
        <f>F52*$Q$5/3.6</f>
        <v>3.3111111111111113</v>
      </c>
      <c r="I13" s="998"/>
      <c r="J13" s="998"/>
      <c r="K13" s="998"/>
      <c r="L13" s="998">
        <f>F31</f>
        <v>25</v>
      </c>
    </row>
    <row r="14" spans="1:17">
      <c r="E14" s="913"/>
    </row>
    <row r="15" spans="1:17">
      <c r="E15" s="913"/>
    </row>
    <row r="16" spans="1:17">
      <c r="E16" s="913"/>
    </row>
    <row r="17" spans="2:12">
      <c r="B17" s="912" t="s">
        <v>1281</v>
      </c>
      <c r="C17" s="979"/>
      <c r="E17" s="913"/>
    </row>
    <row r="19" spans="2:12">
      <c r="B19" s="997" t="s">
        <v>0</v>
      </c>
      <c r="C19" s="1342" t="s">
        <v>1303</v>
      </c>
      <c r="D19" s="1343"/>
      <c r="E19" s="1343"/>
      <c r="F19" s="1343"/>
      <c r="G19" s="1343"/>
      <c r="H19" s="1343"/>
      <c r="I19" s="1343"/>
      <c r="J19" s="1343"/>
      <c r="K19" s="1343"/>
      <c r="L19" s="1344"/>
    </row>
    <row r="20" spans="2:12">
      <c r="B20" s="985"/>
      <c r="C20" s="996">
        <v>2015</v>
      </c>
      <c r="D20" s="996">
        <v>2020</v>
      </c>
      <c r="E20" s="996">
        <v>2030</v>
      </c>
      <c r="F20" s="996">
        <v>2050</v>
      </c>
      <c r="G20" s="1342" t="s">
        <v>647</v>
      </c>
      <c r="H20" s="1345"/>
      <c r="I20" s="1342" t="s">
        <v>648</v>
      </c>
      <c r="J20" s="1345"/>
      <c r="K20" s="996" t="s">
        <v>2</v>
      </c>
      <c r="L20" s="996" t="s">
        <v>3</v>
      </c>
    </row>
    <row r="21" spans="2:12" ht="26.4">
      <c r="B21" s="995" t="s">
        <v>4</v>
      </c>
      <c r="C21" s="994"/>
      <c r="D21" s="994"/>
      <c r="E21" s="994"/>
      <c r="F21" s="994"/>
      <c r="G21" s="994" t="s">
        <v>649</v>
      </c>
      <c r="H21" s="994" t="s">
        <v>650</v>
      </c>
      <c r="I21" s="994" t="s">
        <v>649</v>
      </c>
      <c r="J21" s="994" t="s">
        <v>650</v>
      </c>
      <c r="K21" s="994"/>
      <c r="L21" s="993"/>
    </row>
    <row r="22" spans="2:12" ht="37.799999999999997">
      <c r="B22" s="981" t="s">
        <v>1302</v>
      </c>
      <c r="C22" s="982">
        <v>4</v>
      </c>
      <c r="D22" s="982">
        <v>4</v>
      </c>
      <c r="E22" s="982">
        <v>4</v>
      </c>
      <c r="F22" s="982">
        <v>4</v>
      </c>
      <c r="G22" s="982">
        <v>3</v>
      </c>
      <c r="H22" s="982">
        <v>6</v>
      </c>
      <c r="I22" s="982">
        <v>3</v>
      </c>
      <c r="J22" s="982">
        <v>10</v>
      </c>
      <c r="K22" s="982"/>
      <c r="L22" s="982">
        <v>3</v>
      </c>
    </row>
    <row r="23" spans="2:12" ht="22.8">
      <c r="B23" s="981" t="s">
        <v>652</v>
      </c>
      <c r="C23" s="989" t="s">
        <v>1301</v>
      </c>
      <c r="D23" s="989" t="s">
        <v>1301</v>
      </c>
      <c r="E23" s="989" t="s">
        <v>1301</v>
      </c>
      <c r="F23" s="989" t="s">
        <v>1301</v>
      </c>
      <c r="G23" s="989" t="s">
        <v>1301</v>
      </c>
      <c r="H23" s="989" t="s">
        <v>1301</v>
      </c>
      <c r="I23" s="989" t="s">
        <v>1301</v>
      </c>
      <c r="J23" s="989" t="s">
        <v>1301</v>
      </c>
      <c r="K23" s="989"/>
      <c r="L23" s="989"/>
    </row>
    <row r="24" spans="2:12" ht="57">
      <c r="B24" s="981" t="s">
        <v>1300</v>
      </c>
      <c r="C24" s="980">
        <v>350</v>
      </c>
      <c r="D24" s="992">
        <v>360</v>
      </c>
      <c r="E24" s="992">
        <v>380</v>
      </c>
      <c r="F24" s="992">
        <v>410</v>
      </c>
      <c r="G24" s="992">
        <v>350</v>
      </c>
      <c r="H24" s="992">
        <v>380</v>
      </c>
      <c r="I24" s="992">
        <v>350</v>
      </c>
      <c r="J24" s="992">
        <v>450</v>
      </c>
      <c r="K24" s="992" t="s">
        <v>1299</v>
      </c>
      <c r="L24" s="992">
        <v>4</v>
      </c>
    </row>
    <row r="25" spans="2:12" ht="57">
      <c r="B25" s="981" t="s">
        <v>1298</v>
      </c>
      <c r="C25" s="980">
        <v>350</v>
      </c>
      <c r="D25" s="980">
        <v>400</v>
      </c>
      <c r="E25" s="980">
        <v>480</v>
      </c>
      <c r="F25" s="980">
        <v>600</v>
      </c>
      <c r="G25" s="980">
        <v>350</v>
      </c>
      <c r="H25" s="980">
        <v>450</v>
      </c>
      <c r="I25" s="980">
        <v>350</v>
      </c>
      <c r="J25" s="980">
        <v>700</v>
      </c>
      <c r="K25" s="980" t="s">
        <v>1295</v>
      </c>
      <c r="L25" s="980" t="s">
        <v>1294</v>
      </c>
    </row>
    <row r="26" spans="2:12" ht="57">
      <c r="B26" s="981" t="s">
        <v>1309</v>
      </c>
      <c r="C26" s="980">
        <v>440</v>
      </c>
      <c r="D26" s="980">
        <v>500</v>
      </c>
      <c r="E26" s="980">
        <v>600</v>
      </c>
      <c r="F26" s="980">
        <v>740</v>
      </c>
      <c r="G26" s="980">
        <v>440</v>
      </c>
      <c r="H26" s="980">
        <v>600</v>
      </c>
      <c r="I26" s="980">
        <v>440</v>
      </c>
      <c r="J26" s="980">
        <v>850</v>
      </c>
      <c r="K26" s="980" t="s">
        <v>1295</v>
      </c>
      <c r="L26" s="980" t="s">
        <v>1294</v>
      </c>
    </row>
    <row r="27" spans="2:12" ht="57">
      <c r="B27" s="991" t="s">
        <v>1296</v>
      </c>
      <c r="C27" s="980">
        <v>700</v>
      </c>
      <c r="D27" s="980">
        <v>900</v>
      </c>
      <c r="E27" s="980">
        <v>1200</v>
      </c>
      <c r="F27" s="980">
        <v>1800</v>
      </c>
      <c r="G27" s="980">
        <v>700</v>
      </c>
      <c r="H27" s="980">
        <v>1200</v>
      </c>
      <c r="I27" s="980">
        <v>700</v>
      </c>
      <c r="J27" s="980">
        <v>2000</v>
      </c>
      <c r="K27" s="980" t="s">
        <v>1295</v>
      </c>
      <c r="L27" s="980" t="s">
        <v>1294</v>
      </c>
    </row>
    <row r="28" spans="2:12" ht="45.6">
      <c r="B28" s="981" t="s">
        <v>654</v>
      </c>
      <c r="C28" s="980">
        <v>10</v>
      </c>
      <c r="D28" s="980">
        <v>9</v>
      </c>
      <c r="E28" s="980">
        <v>7</v>
      </c>
      <c r="F28" s="980">
        <v>4</v>
      </c>
      <c r="G28" s="980">
        <v>4</v>
      </c>
      <c r="H28" s="980">
        <v>10</v>
      </c>
      <c r="I28" s="980">
        <v>3</v>
      </c>
      <c r="J28" s="980">
        <v>6</v>
      </c>
      <c r="K28" s="980" t="s">
        <v>1293</v>
      </c>
      <c r="L28" s="980">
        <v>3</v>
      </c>
    </row>
    <row r="29" spans="2:12">
      <c r="B29" s="981" t="s">
        <v>657</v>
      </c>
      <c r="C29" s="980">
        <v>0</v>
      </c>
      <c r="D29" s="980">
        <v>0</v>
      </c>
      <c r="E29" s="980">
        <v>0</v>
      </c>
      <c r="F29" s="980">
        <v>0</v>
      </c>
      <c r="G29" s="980">
        <v>0</v>
      </c>
      <c r="H29" s="980">
        <v>1</v>
      </c>
      <c r="I29" s="980">
        <v>0</v>
      </c>
      <c r="J29" s="980">
        <v>1</v>
      </c>
      <c r="K29" s="980" t="s">
        <v>33</v>
      </c>
      <c r="L29" s="980">
        <v>3</v>
      </c>
    </row>
    <row r="30" spans="2:12" ht="22.8">
      <c r="B30" s="985" t="s">
        <v>658</v>
      </c>
      <c r="C30" s="982">
        <v>0.5</v>
      </c>
      <c r="D30" s="982">
        <v>0.5</v>
      </c>
      <c r="E30" s="982">
        <v>0.5</v>
      </c>
      <c r="F30" s="982">
        <v>0.5</v>
      </c>
      <c r="G30" s="982">
        <v>0</v>
      </c>
      <c r="H30" s="982">
        <v>1</v>
      </c>
      <c r="I30" s="982">
        <v>0</v>
      </c>
      <c r="J30" s="982">
        <v>1</v>
      </c>
      <c r="K30" s="982" t="s">
        <v>51</v>
      </c>
      <c r="L30" s="980">
        <v>3</v>
      </c>
    </row>
    <row r="31" spans="2:12" ht="22.8">
      <c r="B31" s="985" t="s">
        <v>11</v>
      </c>
      <c r="C31" s="982">
        <v>25</v>
      </c>
      <c r="D31" s="982">
        <v>25</v>
      </c>
      <c r="E31" s="982">
        <v>25</v>
      </c>
      <c r="F31" s="982">
        <v>25</v>
      </c>
      <c r="G31" s="982">
        <v>15</v>
      </c>
      <c r="H31" s="982">
        <v>30</v>
      </c>
      <c r="I31" s="982">
        <v>15</v>
      </c>
      <c r="J31" s="982">
        <v>30</v>
      </c>
      <c r="K31" s="982"/>
      <c r="L31" s="980">
        <v>3</v>
      </c>
    </row>
    <row r="32" spans="2:12" ht="22.8">
      <c r="B32" s="985" t="s">
        <v>273</v>
      </c>
      <c r="C32" s="982">
        <v>0.5</v>
      </c>
      <c r="D32" s="982">
        <v>0.5</v>
      </c>
      <c r="E32" s="982">
        <v>0.5</v>
      </c>
      <c r="F32" s="982">
        <v>0.5</v>
      </c>
      <c r="G32" s="982">
        <v>0.3</v>
      </c>
      <c r="H32" s="982">
        <v>0.7</v>
      </c>
      <c r="I32" s="982">
        <v>0.3</v>
      </c>
      <c r="J32" s="982">
        <v>0.7</v>
      </c>
      <c r="K32" s="982" t="s">
        <v>16</v>
      </c>
      <c r="L32" s="980"/>
    </row>
    <row r="33" spans="2:12" ht="37.799999999999997">
      <c r="B33" s="990" t="s">
        <v>1292</v>
      </c>
      <c r="C33" s="980">
        <v>0.02</v>
      </c>
      <c r="D33" s="980">
        <v>0.02</v>
      </c>
      <c r="E33" s="980">
        <v>0.02</v>
      </c>
      <c r="F33" s="980">
        <v>0.02</v>
      </c>
      <c r="G33" s="980">
        <v>0.01</v>
      </c>
      <c r="H33" s="980">
        <v>0.04</v>
      </c>
      <c r="I33" s="980">
        <v>0.01</v>
      </c>
      <c r="J33" s="982">
        <v>0.04</v>
      </c>
      <c r="K33" s="982"/>
      <c r="L33" s="980">
        <v>1</v>
      </c>
    </row>
    <row r="34" spans="2:12">
      <c r="B34" s="1338" t="s">
        <v>660</v>
      </c>
      <c r="C34" s="1339"/>
      <c r="D34" s="1339"/>
      <c r="E34" s="1339"/>
      <c r="F34" s="1339"/>
      <c r="G34" s="1339"/>
      <c r="H34" s="1339"/>
      <c r="I34" s="1339"/>
      <c r="J34" s="1339"/>
      <c r="K34" s="1339"/>
      <c r="L34" s="1340"/>
    </row>
    <row r="35" spans="2:12" ht="22.8">
      <c r="B35" s="985" t="s">
        <v>661</v>
      </c>
      <c r="C35" s="982">
        <v>10</v>
      </c>
      <c r="D35" s="982">
        <v>10</v>
      </c>
      <c r="E35" s="982">
        <v>10</v>
      </c>
      <c r="F35" s="982">
        <v>10</v>
      </c>
      <c r="G35" s="982">
        <v>10</v>
      </c>
      <c r="H35" s="982">
        <v>25</v>
      </c>
      <c r="I35" s="982">
        <v>10</v>
      </c>
      <c r="J35" s="982">
        <v>30</v>
      </c>
      <c r="K35" s="982" t="s">
        <v>20</v>
      </c>
      <c r="L35" s="982">
        <v>3</v>
      </c>
    </row>
    <row r="36" spans="2:12" ht="34.200000000000003">
      <c r="B36" s="985" t="s">
        <v>662</v>
      </c>
      <c r="C36" s="982">
        <v>20</v>
      </c>
      <c r="D36" s="982">
        <v>20</v>
      </c>
      <c r="E36" s="982">
        <v>20</v>
      </c>
      <c r="F36" s="982">
        <v>20</v>
      </c>
      <c r="G36" s="982">
        <v>20</v>
      </c>
      <c r="H36" s="982">
        <v>40</v>
      </c>
      <c r="I36" s="982">
        <v>20</v>
      </c>
      <c r="J36" s="982">
        <v>40</v>
      </c>
      <c r="K36" s="982" t="s">
        <v>20</v>
      </c>
      <c r="L36" s="982">
        <v>3</v>
      </c>
    </row>
    <row r="37" spans="2:12" ht="22.8">
      <c r="B37" s="985" t="s">
        <v>663</v>
      </c>
      <c r="C37" s="982">
        <v>10</v>
      </c>
      <c r="D37" s="982">
        <v>10</v>
      </c>
      <c r="E37" s="982">
        <v>10</v>
      </c>
      <c r="F37" s="982">
        <v>10</v>
      </c>
      <c r="G37" s="982">
        <v>10</v>
      </c>
      <c r="H37" s="982">
        <v>10</v>
      </c>
      <c r="I37" s="982">
        <v>10</v>
      </c>
      <c r="J37" s="982">
        <v>10</v>
      </c>
      <c r="K37" s="982" t="s">
        <v>20</v>
      </c>
      <c r="L37" s="982">
        <v>3</v>
      </c>
    </row>
    <row r="38" spans="2:12" ht="22.8">
      <c r="B38" s="985" t="s">
        <v>664</v>
      </c>
      <c r="C38" s="982">
        <v>0</v>
      </c>
      <c r="D38" s="982">
        <v>0</v>
      </c>
      <c r="E38" s="982">
        <v>0</v>
      </c>
      <c r="F38" s="982">
        <v>0</v>
      </c>
      <c r="G38" s="982">
        <v>0</v>
      </c>
      <c r="H38" s="982">
        <v>1</v>
      </c>
      <c r="I38" s="982">
        <v>0</v>
      </c>
      <c r="J38" s="982">
        <v>1</v>
      </c>
      <c r="K38" s="982"/>
      <c r="L38" s="982">
        <v>3</v>
      </c>
    </row>
    <row r="39" spans="2:12" ht="22.8">
      <c r="B39" s="985" t="s">
        <v>666</v>
      </c>
      <c r="C39" s="982">
        <v>6</v>
      </c>
      <c r="D39" s="982">
        <v>6</v>
      </c>
      <c r="E39" s="982">
        <v>6</v>
      </c>
      <c r="F39" s="982">
        <v>6</v>
      </c>
      <c r="G39" s="982">
        <v>1</v>
      </c>
      <c r="H39" s="982">
        <v>12</v>
      </c>
      <c r="I39" s="982">
        <v>1</v>
      </c>
      <c r="J39" s="982">
        <v>12</v>
      </c>
      <c r="K39" s="982" t="s">
        <v>76</v>
      </c>
      <c r="L39" s="982" t="s">
        <v>1291</v>
      </c>
    </row>
    <row r="40" spans="2:12">
      <c r="B40" s="1338" t="s">
        <v>12</v>
      </c>
      <c r="C40" s="1339"/>
      <c r="D40" s="1339"/>
      <c r="E40" s="1339"/>
      <c r="F40" s="1339"/>
      <c r="G40" s="1339"/>
      <c r="H40" s="1339"/>
      <c r="I40" s="1339"/>
      <c r="J40" s="1339"/>
      <c r="K40" s="1339"/>
      <c r="L40" s="1340"/>
    </row>
    <row r="41" spans="2:12" ht="15">
      <c r="B41" s="985" t="s">
        <v>668</v>
      </c>
      <c r="C41" s="982">
        <v>0</v>
      </c>
      <c r="D41" s="982">
        <v>0</v>
      </c>
      <c r="E41" s="982">
        <v>0</v>
      </c>
      <c r="F41" s="982">
        <v>0</v>
      </c>
      <c r="G41" s="982">
        <v>0</v>
      </c>
      <c r="H41" s="982">
        <v>0</v>
      </c>
      <c r="I41" s="982">
        <v>0</v>
      </c>
      <c r="J41" s="982">
        <v>0</v>
      </c>
      <c r="K41" s="980"/>
      <c r="L41" s="989"/>
    </row>
    <row r="42" spans="2:12" ht="15">
      <c r="B42" s="985" t="s">
        <v>670</v>
      </c>
      <c r="C42" s="982">
        <v>0</v>
      </c>
      <c r="D42" s="982">
        <v>0</v>
      </c>
      <c r="E42" s="982">
        <v>0</v>
      </c>
      <c r="F42" s="982">
        <v>0</v>
      </c>
      <c r="G42" s="982">
        <v>0</v>
      </c>
      <c r="H42" s="982">
        <v>0</v>
      </c>
      <c r="I42" s="982">
        <v>0</v>
      </c>
      <c r="J42" s="982">
        <v>0</v>
      </c>
      <c r="K42" s="982"/>
      <c r="L42" s="980"/>
    </row>
    <row r="43" spans="2:12">
      <c r="B43" s="985" t="s">
        <v>366</v>
      </c>
      <c r="C43" s="988">
        <v>0</v>
      </c>
      <c r="D43" s="988">
        <v>0</v>
      </c>
      <c r="E43" s="988">
        <v>0</v>
      </c>
      <c r="F43" s="988">
        <v>0</v>
      </c>
      <c r="G43" s="988">
        <v>0</v>
      </c>
      <c r="H43" s="988">
        <v>0</v>
      </c>
      <c r="I43" s="988">
        <v>0</v>
      </c>
      <c r="J43" s="988">
        <v>0</v>
      </c>
      <c r="K43" s="982"/>
      <c r="L43" s="980"/>
    </row>
    <row r="44" spans="2:12">
      <c r="B44" s="985" t="s">
        <v>367</v>
      </c>
      <c r="C44" s="987">
        <v>0</v>
      </c>
      <c r="D44" s="987">
        <v>0</v>
      </c>
      <c r="E44" s="987">
        <v>0</v>
      </c>
      <c r="F44" s="987">
        <v>0</v>
      </c>
      <c r="G44" s="987">
        <v>0</v>
      </c>
      <c r="H44" s="987">
        <v>0</v>
      </c>
      <c r="I44" s="987">
        <v>0</v>
      </c>
      <c r="J44" s="987">
        <v>0</v>
      </c>
      <c r="K44" s="987"/>
      <c r="L44" s="980"/>
    </row>
    <row r="45" spans="2:12">
      <c r="B45" s="1341" t="s">
        <v>674</v>
      </c>
      <c r="C45" s="1341"/>
      <c r="D45" s="1341"/>
      <c r="E45" s="1341"/>
      <c r="F45" s="1341"/>
      <c r="G45" s="1341"/>
      <c r="H45" s="1341"/>
      <c r="I45" s="1341"/>
      <c r="J45" s="1341"/>
      <c r="K45" s="1341"/>
      <c r="L45" s="1341"/>
    </row>
    <row r="46" spans="2:12" ht="26.4">
      <c r="B46" s="981" t="s">
        <v>1290</v>
      </c>
      <c r="C46" s="986">
        <v>0.7</v>
      </c>
      <c r="D46" s="986">
        <v>0.65799999999999992</v>
      </c>
      <c r="E46" s="986">
        <v>0.59219999999999995</v>
      </c>
      <c r="F46" s="986">
        <v>0.53298000000000001</v>
      </c>
      <c r="G46" s="986">
        <v>0.5</v>
      </c>
      <c r="H46" s="986">
        <v>1</v>
      </c>
      <c r="I46" s="986">
        <v>0.5</v>
      </c>
      <c r="J46" s="986">
        <v>1</v>
      </c>
      <c r="K46" s="982" t="s">
        <v>1289</v>
      </c>
      <c r="L46" s="982"/>
    </row>
    <row r="47" spans="2:12" ht="22.8">
      <c r="B47" s="985" t="s">
        <v>839</v>
      </c>
      <c r="C47" s="982">
        <v>50</v>
      </c>
      <c r="D47" s="982">
        <v>50</v>
      </c>
      <c r="E47" s="982">
        <v>50</v>
      </c>
      <c r="F47" s="982">
        <v>50</v>
      </c>
      <c r="G47" s="982">
        <v>30</v>
      </c>
      <c r="H47" s="982">
        <v>70</v>
      </c>
      <c r="I47" s="982">
        <v>30</v>
      </c>
      <c r="J47" s="982">
        <v>70</v>
      </c>
      <c r="K47" s="982"/>
      <c r="L47" s="982">
        <v>3</v>
      </c>
    </row>
    <row r="48" spans="2:12" ht="22.8">
      <c r="B48" s="985" t="s">
        <v>840</v>
      </c>
      <c r="C48" s="982">
        <v>50</v>
      </c>
      <c r="D48" s="982">
        <v>50</v>
      </c>
      <c r="E48" s="982">
        <v>50</v>
      </c>
      <c r="F48" s="982">
        <v>50</v>
      </c>
      <c r="G48" s="982">
        <v>30</v>
      </c>
      <c r="H48" s="982">
        <v>70</v>
      </c>
      <c r="I48" s="982">
        <v>30</v>
      </c>
      <c r="J48" s="982">
        <v>70</v>
      </c>
      <c r="K48" s="982"/>
      <c r="L48" s="982">
        <v>3</v>
      </c>
    </row>
    <row r="49" spans="2:12" ht="26.4">
      <c r="B49" s="985" t="s">
        <v>1288</v>
      </c>
      <c r="C49" s="982">
        <v>2000</v>
      </c>
      <c r="D49" s="982">
        <v>2000</v>
      </c>
      <c r="E49" s="982">
        <v>2000</v>
      </c>
      <c r="F49" s="982">
        <v>2000</v>
      </c>
      <c r="G49" s="982">
        <v>1000</v>
      </c>
      <c r="H49" s="982">
        <v>3000</v>
      </c>
      <c r="I49" s="982">
        <v>1000</v>
      </c>
      <c r="J49" s="982">
        <v>3000</v>
      </c>
      <c r="K49" s="982"/>
      <c r="L49" s="982">
        <v>3</v>
      </c>
    </row>
    <row r="50" spans="2:12" ht="26.4">
      <c r="B50" s="985" t="s">
        <v>1287</v>
      </c>
      <c r="C50" s="983">
        <v>8.4</v>
      </c>
      <c r="D50" s="983">
        <v>8.2000000000000011</v>
      </c>
      <c r="E50" s="983">
        <v>8.7999999999999989</v>
      </c>
      <c r="F50" s="983">
        <v>8.1999999999999993</v>
      </c>
      <c r="G50" s="983">
        <v>4.3</v>
      </c>
      <c r="H50" s="983">
        <v>9.1</v>
      </c>
      <c r="I50" s="983">
        <v>6.5</v>
      </c>
      <c r="J50" s="983">
        <v>11.9</v>
      </c>
      <c r="K50" s="982"/>
      <c r="L50" s="982"/>
    </row>
    <row r="51" spans="2:12" ht="37.799999999999997">
      <c r="B51" s="984" t="s">
        <v>1286</v>
      </c>
      <c r="C51" s="983">
        <v>6.4</v>
      </c>
      <c r="D51" s="983">
        <v>6.4</v>
      </c>
      <c r="E51" s="983">
        <v>7.1</v>
      </c>
      <c r="F51" s="983">
        <v>6.6</v>
      </c>
      <c r="G51" s="983">
        <v>2.8</v>
      </c>
      <c r="H51" s="983">
        <v>7.1</v>
      </c>
      <c r="I51" s="983">
        <v>5</v>
      </c>
      <c r="J51" s="983">
        <v>9.9</v>
      </c>
      <c r="K51" s="982" t="s">
        <v>886</v>
      </c>
      <c r="L51" s="982"/>
    </row>
    <row r="52" spans="2:12" ht="37.799999999999997">
      <c r="B52" s="984" t="s">
        <v>1285</v>
      </c>
      <c r="C52" s="983">
        <v>2</v>
      </c>
      <c r="D52" s="983">
        <v>1.8</v>
      </c>
      <c r="E52" s="983">
        <v>1.7</v>
      </c>
      <c r="F52" s="983">
        <v>1.6</v>
      </c>
      <c r="G52" s="983">
        <v>1.5</v>
      </c>
      <c r="H52" s="983">
        <v>2</v>
      </c>
      <c r="I52" s="983">
        <v>1.5</v>
      </c>
      <c r="J52" s="983">
        <v>2</v>
      </c>
      <c r="K52" s="982" t="s">
        <v>25</v>
      </c>
      <c r="L52" s="982">
        <v>3</v>
      </c>
    </row>
    <row r="53" spans="2:12">
      <c r="B53" s="1338" t="s">
        <v>682</v>
      </c>
      <c r="C53" s="1339"/>
      <c r="D53" s="1339"/>
      <c r="E53" s="1339"/>
      <c r="F53" s="1339"/>
      <c r="G53" s="1339"/>
      <c r="H53" s="1339"/>
      <c r="I53" s="1339"/>
      <c r="J53" s="1339"/>
      <c r="K53" s="1339"/>
      <c r="L53" s="1340"/>
    </row>
    <row r="54" spans="2:12">
      <c r="B54" s="981"/>
      <c r="C54" s="980"/>
      <c r="D54" s="980"/>
      <c r="E54" s="980"/>
      <c r="F54" s="980"/>
      <c r="G54" s="980"/>
      <c r="H54" s="980"/>
      <c r="I54" s="980"/>
      <c r="J54" s="980"/>
      <c r="K54" s="980"/>
      <c r="L54" s="980"/>
    </row>
  </sheetData>
  <mergeCells count="7">
    <mergeCell ref="B53:L53"/>
    <mergeCell ref="B45:L45"/>
    <mergeCell ref="C19:L19"/>
    <mergeCell ref="G20:H20"/>
    <mergeCell ref="I20:J20"/>
    <mergeCell ref="B34:L34"/>
    <mergeCell ref="B40:L40"/>
  </mergeCells>
  <pageMargins left="0.7" right="0.7" top="0.75" bottom="0.75" header="0.3" footer="0.3"/>
  <pageSetup orientation="portrait" horizontalDpi="1200" verticalDpi="1200"/>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58962-B9B5-4FA4-9E49-1724C60FCE95}">
  <sheetPr>
    <tabColor theme="4" tint="0.39997558519241921"/>
  </sheetPr>
  <dimension ref="B3:P35"/>
  <sheetViews>
    <sheetView workbookViewId="0">
      <selection activeCell="M14" sqref="M14"/>
    </sheetView>
  </sheetViews>
  <sheetFormatPr defaultColWidth="9.109375" defaultRowHeight="14.4"/>
  <cols>
    <col min="1" max="1" width="9.109375" style="912"/>
    <col min="2" max="2" width="18.88671875" style="912" customWidth="1"/>
    <col min="3" max="3" width="5.44140625" style="912" bestFit="1" customWidth="1"/>
    <col min="4" max="4" width="8.88671875" style="912" customWidth="1"/>
    <col min="5" max="5" width="12.33203125" style="912" customWidth="1"/>
    <col min="6" max="6" width="12.33203125" style="912" bestFit="1" customWidth="1"/>
    <col min="7" max="7" width="15" style="912" bestFit="1" customWidth="1"/>
    <col min="8" max="8" width="14.109375" style="912" customWidth="1"/>
    <col min="9" max="9" width="18.6640625" style="912" customWidth="1"/>
    <col min="10" max="10" width="18.33203125" style="912" bestFit="1" customWidth="1"/>
    <col min="11" max="11" width="10.109375" style="912" customWidth="1"/>
    <col min="12" max="16384" width="9.109375" style="912"/>
  </cols>
  <sheetData>
    <row r="3" spans="2:16" ht="28.8">
      <c r="B3" s="918" t="s">
        <v>1284</v>
      </c>
      <c r="C3" s="918" t="s">
        <v>1133</v>
      </c>
      <c r="D3" s="918" t="s">
        <v>337</v>
      </c>
      <c r="E3" s="918" t="s">
        <v>1275</v>
      </c>
      <c r="F3" s="918" t="s">
        <v>1276</v>
      </c>
      <c r="G3" s="917" t="s">
        <v>340</v>
      </c>
      <c r="H3" s="917" t="s">
        <v>341</v>
      </c>
      <c r="I3" s="917" t="s">
        <v>342</v>
      </c>
      <c r="J3" s="917" t="s">
        <v>343</v>
      </c>
      <c r="K3" s="917" t="s">
        <v>344</v>
      </c>
      <c r="L3" s="917" t="s">
        <v>1274</v>
      </c>
      <c r="M3" s="917" t="s">
        <v>339</v>
      </c>
    </row>
    <row r="4" spans="2:16" ht="42.75" customHeight="1">
      <c r="B4" s="916" t="s">
        <v>1283</v>
      </c>
      <c r="C4" s="916"/>
      <c r="D4" s="916"/>
      <c r="E4" s="916" t="s">
        <v>1272</v>
      </c>
      <c r="F4" s="916" t="s">
        <v>1273</v>
      </c>
      <c r="G4" s="916" t="s">
        <v>1271</v>
      </c>
      <c r="H4" s="916" t="s">
        <v>1270</v>
      </c>
      <c r="I4" s="916" t="s">
        <v>1269</v>
      </c>
      <c r="J4" s="916" t="s">
        <v>1268</v>
      </c>
      <c r="K4" s="916" t="s">
        <v>1267</v>
      </c>
      <c r="L4" s="916" t="s">
        <v>1266</v>
      </c>
      <c r="M4" s="916" t="s">
        <v>1265</v>
      </c>
    </row>
    <row r="5" spans="2:16" ht="15" thickBot="1">
      <c r="B5" s="915"/>
      <c r="C5" s="915"/>
      <c r="D5" s="915"/>
      <c r="E5" s="915"/>
      <c r="F5" s="915" t="s">
        <v>330</v>
      </c>
      <c r="G5" s="915" t="s">
        <v>1262</v>
      </c>
      <c r="H5" s="915" t="s">
        <v>1262</v>
      </c>
      <c r="I5" s="915" t="s">
        <v>1261</v>
      </c>
      <c r="J5" s="915" t="s">
        <v>351</v>
      </c>
      <c r="K5" s="915" t="s">
        <v>351</v>
      </c>
      <c r="L5" s="915"/>
      <c r="M5" s="915" t="s">
        <v>1260</v>
      </c>
      <c r="O5" s="912" t="s">
        <v>1282</v>
      </c>
      <c r="P5" s="912">
        <v>7.45</v>
      </c>
    </row>
    <row r="6" spans="2:16">
      <c r="B6" s="979">
        <v>40</v>
      </c>
      <c r="C6" s="979">
        <v>2015</v>
      </c>
      <c r="D6" s="979">
        <f>C20/100</f>
        <v>1</v>
      </c>
      <c r="E6" s="914"/>
      <c r="F6" s="913">
        <f>C17</f>
        <v>250</v>
      </c>
      <c r="G6" s="914">
        <f>C29*$P$5</f>
        <v>0.52150000000000007</v>
      </c>
      <c r="H6" s="912">
        <f>(C34*$P$5/1000000)*1/(C17/1000)</f>
        <v>3.7249999999999998E-2</v>
      </c>
      <c r="I6" s="912">
        <f>C35</f>
        <v>0</v>
      </c>
      <c r="J6" s="929">
        <v>3.1536000000000002E-2</v>
      </c>
      <c r="K6" s="930">
        <v>1</v>
      </c>
      <c r="L6" s="929">
        <v>1</v>
      </c>
      <c r="M6" s="912">
        <f>C21</f>
        <v>20</v>
      </c>
    </row>
    <row r="7" spans="2:16">
      <c r="B7" s="979"/>
      <c r="C7" s="979">
        <v>2020</v>
      </c>
      <c r="D7" s="979">
        <f>D20/100</f>
        <v>1</v>
      </c>
      <c r="E7" s="914"/>
      <c r="F7" s="913">
        <f>D17</f>
        <v>250</v>
      </c>
      <c r="G7" s="914">
        <f>D29*$P$5</f>
        <v>0.52150000000000007</v>
      </c>
      <c r="H7" s="912">
        <f>(D34*$P$5/1000000)*1/(D17/1000)</f>
        <v>3.7249999999999998E-2</v>
      </c>
      <c r="I7" s="912">
        <f>D35</f>
        <v>0</v>
      </c>
      <c r="M7" s="912">
        <f>D21</f>
        <v>20</v>
      </c>
    </row>
    <row r="8" spans="2:16">
      <c r="B8" s="979"/>
      <c r="C8" s="979">
        <v>2030</v>
      </c>
      <c r="D8" s="979">
        <f>E20/100</f>
        <v>1</v>
      </c>
      <c r="E8" s="914"/>
      <c r="F8" s="913">
        <f>E17</f>
        <v>250</v>
      </c>
      <c r="G8" s="914">
        <f>E29*$P$5</f>
        <v>0.52150000000000007</v>
      </c>
      <c r="H8" s="912">
        <f>(E34*$P$5/1000000)*1/(E17/1000)</f>
        <v>3.7249999999999998E-2</v>
      </c>
      <c r="I8" s="912">
        <f>E35</f>
        <v>0</v>
      </c>
      <c r="M8" s="912">
        <f>E21</f>
        <v>20</v>
      </c>
    </row>
    <row r="9" spans="2:16">
      <c r="B9" s="979"/>
      <c r="C9" s="979">
        <v>2050</v>
      </c>
      <c r="D9" s="979">
        <f>F20/100</f>
        <v>1</v>
      </c>
      <c r="E9" s="914"/>
      <c r="F9" s="913">
        <f>F17</f>
        <v>250</v>
      </c>
      <c r="G9" s="914">
        <f>F29*$P$5</f>
        <v>0.52150000000000007</v>
      </c>
      <c r="H9" s="912">
        <f>(F34*$P$5/1000000)*1/(F17/1000)</f>
        <v>3.7249999999999998E-2</v>
      </c>
      <c r="I9" s="912">
        <f>F35</f>
        <v>0</v>
      </c>
      <c r="M9" s="912">
        <f>F21</f>
        <v>20</v>
      </c>
    </row>
    <row r="11" spans="2:16">
      <c r="B11" s="912" t="s">
        <v>1281</v>
      </c>
    </row>
    <row r="12" spans="2:16" ht="15" thickBot="1"/>
    <row r="13" spans="2:16">
      <c r="B13" s="1346" t="s">
        <v>0</v>
      </c>
      <c r="C13" s="1348" t="s">
        <v>58</v>
      </c>
      <c r="D13" s="1349"/>
      <c r="E13" s="1349"/>
      <c r="F13" s="1349"/>
      <c r="G13" s="1349"/>
      <c r="H13" s="1350"/>
    </row>
    <row r="14" spans="2:16" ht="15" thickBot="1">
      <c r="B14" s="1347"/>
      <c r="C14" s="1351" t="s">
        <v>53</v>
      </c>
      <c r="D14" s="1352"/>
      <c r="E14" s="1352"/>
      <c r="F14" s="1352"/>
      <c r="G14" s="1352"/>
      <c r="H14" s="1353"/>
    </row>
    <row r="15" spans="2:16" ht="15" thickBot="1">
      <c r="B15" s="1003"/>
      <c r="C15" s="1002">
        <v>2015</v>
      </c>
      <c r="D15" s="1002">
        <v>2020</v>
      </c>
      <c r="E15" s="1002">
        <v>2030</v>
      </c>
      <c r="F15" s="1002">
        <v>2050</v>
      </c>
      <c r="G15" s="1002" t="s">
        <v>2</v>
      </c>
      <c r="H15" s="1002" t="s">
        <v>3</v>
      </c>
    </row>
    <row r="16" spans="2:16" ht="15" thickBot="1">
      <c r="B16" s="1009" t="s">
        <v>4</v>
      </c>
      <c r="C16" s="1008"/>
      <c r="D16" s="1008"/>
      <c r="E16" s="1008"/>
      <c r="F16" s="1008"/>
      <c r="G16" s="1008"/>
      <c r="H16" s="1007"/>
    </row>
    <row r="17" spans="2:8" ht="24.6" thickBot="1">
      <c r="B17" s="1003" t="s">
        <v>5</v>
      </c>
      <c r="C17" s="1002">
        <v>250</v>
      </c>
      <c r="D17" s="1002">
        <v>250</v>
      </c>
      <c r="E17" s="1002">
        <v>250</v>
      </c>
      <c r="F17" s="1002">
        <v>250</v>
      </c>
      <c r="G17" s="1002" t="s">
        <v>6</v>
      </c>
      <c r="H17" s="1002"/>
    </row>
    <row r="18" spans="2:8" ht="36" thickBot="1">
      <c r="B18" s="1003" t="s">
        <v>7</v>
      </c>
      <c r="C18" s="1002">
        <v>100</v>
      </c>
      <c r="D18" s="1002">
        <v>100</v>
      </c>
      <c r="E18" s="1002">
        <v>100</v>
      </c>
      <c r="F18" s="1002">
        <v>100</v>
      </c>
      <c r="G18" s="1002"/>
      <c r="H18" s="1002"/>
    </row>
    <row r="19" spans="2:8" ht="36" thickBot="1">
      <c r="B19" s="1003" t="s">
        <v>8</v>
      </c>
      <c r="C19" s="1002">
        <v>100</v>
      </c>
      <c r="D19" s="1002">
        <v>100</v>
      </c>
      <c r="E19" s="1002">
        <v>100</v>
      </c>
      <c r="F19" s="1002">
        <v>100</v>
      </c>
      <c r="G19" s="1002"/>
      <c r="H19" s="1002"/>
    </row>
    <row r="20" spans="2:8" ht="24.6" thickBot="1">
      <c r="B20" s="1003" t="s">
        <v>9</v>
      </c>
      <c r="C20" s="1002">
        <v>100</v>
      </c>
      <c r="D20" s="1002">
        <v>100</v>
      </c>
      <c r="E20" s="1002">
        <v>100</v>
      </c>
      <c r="F20" s="1002">
        <v>100</v>
      </c>
      <c r="G20" s="1002" t="s">
        <v>59</v>
      </c>
      <c r="H20" s="1002"/>
    </row>
    <row r="21" spans="2:8" ht="24.6" thickBot="1">
      <c r="B21" s="1003" t="s">
        <v>11</v>
      </c>
      <c r="C21" s="1002">
        <v>20</v>
      </c>
      <c r="D21" s="1002">
        <v>20</v>
      </c>
      <c r="E21" s="1002">
        <v>20</v>
      </c>
      <c r="F21" s="1002">
        <v>20</v>
      </c>
      <c r="G21" s="1002"/>
      <c r="H21" s="1002"/>
    </row>
    <row r="22" spans="2:8" ht="15" thickBot="1">
      <c r="B22" s="1009" t="s">
        <v>12</v>
      </c>
      <c r="C22" s="1008"/>
      <c r="D22" s="1008"/>
      <c r="E22" s="1008"/>
      <c r="F22" s="1008"/>
      <c r="G22" s="1008"/>
      <c r="H22" s="1007"/>
    </row>
    <row r="23" spans="2:8" ht="15.6" thickBot="1">
      <c r="B23" s="1003" t="s">
        <v>1280</v>
      </c>
      <c r="C23" s="1002" t="s">
        <v>36</v>
      </c>
      <c r="D23" s="1002" t="s">
        <v>36</v>
      </c>
      <c r="E23" s="1002" t="s">
        <v>36</v>
      </c>
      <c r="F23" s="1002" t="s">
        <v>36</v>
      </c>
      <c r="G23" s="1002"/>
      <c r="H23" s="1002"/>
    </row>
    <row r="24" spans="2:8" ht="15.6" thickBot="1">
      <c r="B24" s="1003" t="s">
        <v>1279</v>
      </c>
      <c r="C24" s="1002" t="s">
        <v>36</v>
      </c>
      <c r="D24" s="1002" t="s">
        <v>36</v>
      </c>
      <c r="E24" s="1002" t="s">
        <v>36</v>
      </c>
      <c r="F24" s="1002" t="s">
        <v>36</v>
      </c>
      <c r="G24" s="1002"/>
      <c r="H24" s="1002"/>
    </row>
    <row r="25" spans="2:8" ht="15.6" thickBot="1">
      <c r="B25" s="1003" t="s">
        <v>1278</v>
      </c>
      <c r="C25" s="1002" t="s">
        <v>36</v>
      </c>
      <c r="D25" s="1002" t="s">
        <v>36</v>
      </c>
      <c r="E25" s="1002" t="s">
        <v>36</v>
      </c>
      <c r="F25" s="1002" t="s">
        <v>36</v>
      </c>
      <c r="G25" s="1002"/>
      <c r="H25" s="1002"/>
    </row>
    <row r="26" spans="2:8" ht="15.6" thickBot="1">
      <c r="B26" s="1003" t="s">
        <v>1277</v>
      </c>
      <c r="C26" s="1002" t="s">
        <v>36</v>
      </c>
      <c r="D26" s="1002" t="s">
        <v>36</v>
      </c>
      <c r="E26" s="1002" t="s">
        <v>36</v>
      </c>
      <c r="F26" s="1002" t="s">
        <v>36</v>
      </c>
      <c r="G26" s="1002"/>
      <c r="H26" s="1002"/>
    </row>
    <row r="27" spans="2:8" ht="15" thickBot="1">
      <c r="B27" s="1003" t="s">
        <v>19</v>
      </c>
      <c r="C27" s="1002" t="s">
        <v>36</v>
      </c>
      <c r="D27" s="1002" t="s">
        <v>36</v>
      </c>
      <c r="E27" s="1002" t="s">
        <v>36</v>
      </c>
      <c r="F27" s="1002" t="s">
        <v>36</v>
      </c>
      <c r="G27" s="1002"/>
      <c r="H27" s="1002"/>
    </row>
    <row r="28" spans="2:8" ht="15" thickBot="1">
      <c r="B28" s="1009" t="s">
        <v>22</v>
      </c>
      <c r="C28" s="1008"/>
      <c r="D28" s="1008"/>
      <c r="E28" s="1008"/>
      <c r="F28" s="1008"/>
      <c r="G28" s="1008"/>
      <c r="H28" s="1007"/>
    </row>
    <row r="29" spans="2:8" ht="24.6" thickBot="1">
      <c r="B29" s="1003" t="s">
        <v>23</v>
      </c>
      <c r="C29" s="1002">
        <v>7.0000000000000007E-2</v>
      </c>
      <c r="D29" s="1002">
        <v>7.0000000000000007E-2</v>
      </c>
      <c r="E29" s="1002">
        <v>7.0000000000000007E-2</v>
      </c>
      <c r="F29" s="1002">
        <v>7.0000000000000007E-2</v>
      </c>
      <c r="G29" s="1002" t="s">
        <v>33</v>
      </c>
      <c r="H29" s="1002" t="s">
        <v>65</v>
      </c>
    </row>
    <row r="30" spans="2:8" ht="24">
      <c r="B30" s="1006" t="s">
        <v>24</v>
      </c>
      <c r="C30" s="1005"/>
      <c r="D30" s="1005"/>
      <c r="E30" s="1005"/>
      <c r="F30" s="1005"/>
      <c r="G30" s="1005"/>
      <c r="H30" s="1005"/>
    </row>
    <row r="31" spans="2:8">
      <c r="B31" s="1006" t="s">
        <v>26</v>
      </c>
      <c r="C31" s="1005" t="s">
        <v>27</v>
      </c>
      <c r="D31" s="1005">
        <v>70</v>
      </c>
      <c r="E31" s="1005">
        <v>70</v>
      </c>
      <c r="F31" s="1005">
        <v>70</v>
      </c>
      <c r="G31" s="1005"/>
      <c r="H31" s="1005"/>
    </row>
    <row r="32" spans="2:8" ht="15" thickBot="1">
      <c r="B32" s="1003" t="s">
        <v>28</v>
      </c>
      <c r="C32" s="1002" t="s">
        <v>29</v>
      </c>
      <c r="D32" s="1002">
        <v>30</v>
      </c>
      <c r="E32" s="1002">
        <v>30</v>
      </c>
      <c r="F32" s="1002">
        <v>30</v>
      </c>
      <c r="G32" s="1002"/>
      <c r="H32" s="1002"/>
    </row>
    <row r="33" spans="2:8" ht="36" thickBot="1">
      <c r="B33" s="1003" t="s">
        <v>30</v>
      </c>
      <c r="C33" s="1002">
        <v>4</v>
      </c>
      <c r="D33" s="1002">
        <v>4</v>
      </c>
      <c r="E33" s="1002">
        <v>4</v>
      </c>
      <c r="F33" s="1002">
        <v>4</v>
      </c>
      <c r="G33" s="1002" t="s">
        <v>20</v>
      </c>
      <c r="H33" s="1002"/>
    </row>
    <row r="34" spans="2:8" ht="15" thickBot="1">
      <c r="B34" s="1003" t="s">
        <v>64</v>
      </c>
      <c r="C34" s="1004">
        <v>1250</v>
      </c>
      <c r="D34" s="1004">
        <v>1250</v>
      </c>
      <c r="E34" s="1004">
        <v>1250</v>
      </c>
      <c r="F34" s="1004">
        <v>1250</v>
      </c>
      <c r="G34" s="1002"/>
      <c r="H34" s="1002">
        <v>7</v>
      </c>
    </row>
    <row r="35" spans="2:8" ht="15" thickBot="1">
      <c r="B35" s="1003" t="s">
        <v>31</v>
      </c>
      <c r="C35" s="1002"/>
      <c r="D35" s="1002"/>
      <c r="E35" s="1002"/>
      <c r="F35" s="1002"/>
      <c r="G35" s="1002"/>
      <c r="H35" s="1002"/>
    </row>
  </sheetData>
  <mergeCells count="3">
    <mergeCell ref="B13:B14"/>
    <mergeCell ref="C13:H13"/>
    <mergeCell ref="C14:H14"/>
  </mergeCell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EB86D-53D5-402C-B0B6-B2C5E6670ACE}">
  <sheetPr>
    <tabColor rgb="FF0070C0"/>
  </sheetPr>
  <dimension ref="A1:CD444"/>
  <sheetViews>
    <sheetView topLeftCell="AS43" zoomScale="90" zoomScaleNormal="90" workbookViewId="0">
      <selection activeCell="M14" sqref="M14"/>
    </sheetView>
  </sheetViews>
  <sheetFormatPr defaultColWidth="9.109375" defaultRowHeight="14.4"/>
  <cols>
    <col min="1" max="1" width="12.6640625" style="906" bestFit="1" customWidth="1"/>
    <col min="2" max="2" width="76.6640625" style="906" bestFit="1" customWidth="1"/>
    <col min="3" max="3" width="14" style="906" bestFit="1" customWidth="1"/>
    <col min="4" max="4" width="10.5546875" style="906" bestFit="1" customWidth="1"/>
    <col min="5" max="5" width="11.44140625" style="906" bestFit="1" customWidth="1"/>
    <col min="6" max="6" width="16.33203125" style="1010" bestFit="1" customWidth="1"/>
    <col min="7" max="7" width="17.88671875" style="906" bestFit="1" customWidth="1"/>
    <col min="8" max="9" width="16.33203125" style="906" bestFit="1" customWidth="1"/>
    <col min="10" max="10" width="16.5546875" style="906" bestFit="1" customWidth="1"/>
    <col min="11" max="11" width="9.44140625" style="906" customWidth="1"/>
    <col min="12" max="12" width="16.33203125" style="906" customWidth="1"/>
    <col min="13" max="13" width="9.109375" style="906"/>
    <col min="14" max="14" width="59.6640625" style="906" bestFit="1" customWidth="1"/>
    <col min="15" max="26" width="9.109375" style="906"/>
    <col min="27" max="27" width="12.44140625" style="906" bestFit="1" customWidth="1"/>
    <col min="28" max="28" width="9.109375" style="906"/>
    <col min="29" max="29" width="19.33203125" style="906" customWidth="1"/>
    <col min="30" max="30" width="17.88671875" style="906" customWidth="1"/>
    <col min="31" max="31" width="19.33203125" style="906" bestFit="1" customWidth="1"/>
    <col min="32" max="32" width="17.88671875" style="906" bestFit="1" customWidth="1"/>
    <col min="33" max="33" width="16.6640625" style="906" bestFit="1" customWidth="1"/>
    <col min="34" max="34" width="15" style="906" bestFit="1" customWidth="1"/>
    <col min="35" max="35" width="17.6640625" style="906" bestFit="1" customWidth="1"/>
    <col min="36" max="36" width="17.88671875" style="906" bestFit="1" customWidth="1"/>
    <col min="37" max="37" width="9.109375" style="906"/>
    <col min="38" max="38" width="11.109375" style="906" bestFit="1" customWidth="1"/>
    <col min="39" max="39" width="10.33203125" style="906" bestFit="1" customWidth="1"/>
    <col min="40" max="46" width="9.109375" style="906"/>
    <col min="47" max="47" width="12.44140625" style="906" bestFit="1" customWidth="1"/>
    <col min="48" max="48" width="9.109375" style="906"/>
    <col min="49" max="49" width="19.33203125" style="906" customWidth="1"/>
    <col min="50" max="50" width="17.88671875" style="906" customWidth="1"/>
    <col min="51" max="51" width="11.44140625" style="906" customWidth="1"/>
    <col min="52" max="52" width="11.109375" style="906" customWidth="1"/>
    <col min="53" max="53" width="10.33203125" style="906" customWidth="1"/>
    <col min="54" max="54" width="10.6640625" style="906" customWidth="1"/>
    <col min="55" max="55" width="17.6640625" style="906" bestFit="1" customWidth="1"/>
    <col min="56" max="56" width="17.88671875" style="906" bestFit="1" customWidth="1"/>
    <col min="57" max="57" width="9.109375" style="906"/>
    <col min="58" max="58" width="11.109375" style="906" bestFit="1" customWidth="1"/>
    <col min="59" max="60" width="11.109375" style="906" customWidth="1"/>
    <col min="61" max="61" width="10.33203125" style="906" bestFit="1" customWidth="1"/>
    <col min="62" max="68" width="9.109375" style="906"/>
    <col min="69" max="69" width="21.109375" style="906" bestFit="1" customWidth="1"/>
    <col min="70" max="79" width="9.109375" style="906"/>
    <col min="80" max="80" width="22.109375" style="906" bestFit="1" customWidth="1"/>
    <col min="81" max="81" width="20.6640625" style="906" bestFit="1" customWidth="1"/>
    <col min="82" max="82" width="21.33203125" style="906" bestFit="1" customWidth="1"/>
    <col min="83" max="16384" width="9.109375" style="906"/>
  </cols>
  <sheetData>
    <row r="1" spans="1:82">
      <c r="A1" s="906" t="s">
        <v>2000</v>
      </c>
      <c r="B1" s="906" t="s">
        <v>1999</v>
      </c>
      <c r="C1" s="906" t="s">
        <v>1998</v>
      </c>
      <c r="D1" s="906" t="s">
        <v>1997</v>
      </c>
      <c r="E1" s="906" t="s">
        <v>1996</v>
      </c>
      <c r="F1" s="1010" t="s">
        <v>1995</v>
      </c>
      <c r="G1" s="906" t="s">
        <v>1874</v>
      </c>
      <c r="H1" s="906" t="s">
        <v>1873</v>
      </c>
      <c r="I1" s="906" t="s">
        <v>1870</v>
      </c>
      <c r="J1" s="906" t="s">
        <v>1869</v>
      </c>
      <c r="K1" s="906" t="s">
        <v>1994</v>
      </c>
      <c r="L1" s="1105" t="s">
        <v>1993</v>
      </c>
    </row>
    <row r="2" spans="1:82">
      <c r="A2" s="906">
        <v>1</v>
      </c>
      <c r="B2" s="906" t="s">
        <v>1992</v>
      </c>
      <c r="C2" s="906">
        <v>29189</v>
      </c>
      <c r="D2" s="906" t="s">
        <v>1256</v>
      </c>
      <c r="E2" s="906" t="s">
        <v>1258</v>
      </c>
      <c r="F2" s="1015"/>
      <c r="G2" s="1014"/>
      <c r="H2" s="1014"/>
      <c r="I2" s="1014"/>
      <c r="J2" s="1013"/>
      <c r="K2" s="1012"/>
      <c r="L2" s="1011"/>
      <c r="N2" s="1104" t="s">
        <v>1991</v>
      </c>
      <c r="O2" s="1103"/>
      <c r="P2" s="1036">
        <v>75</v>
      </c>
      <c r="Q2" s="1014">
        <v>46</v>
      </c>
      <c r="R2" s="1014">
        <v>81</v>
      </c>
      <c r="S2" s="1013">
        <v>42</v>
      </c>
      <c r="T2" s="1012">
        <v>27.491034722222221</v>
      </c>
      <c r="U2" s="1035">
        <v>0.21000010862127022</v>
      </c>
      <c r="V2" s="906">
        <v>1818.2439999999999</v>
      </c>
      <c r="X2" s="906">
        <v>1</v>
      </c>
      <c r="AA2" s="906" t="s">
        <v>1990</v>
      </c>
      <c r="AU2" s="909" t="s">
        <v>1989</v>
      </c>
    </row>
    <row r="3" spans="1:82" ht="15" thickBot="1">
      <c r="A3" s="906">
        <v>2</v>
      </c>
      <c r="B3" s="906" t="s">
        <v>1988</v>
      </c>
      <c r="C3" s="906">
        <v>60183</v>
      </c>
      <c r="D3" s="906" t="s">
        <v>1256</v>
      </c>
      <c r="E3" s="906" t="s">
        <v>1259</v>
      </c>
      <c r="F3" s="1015"/>
      <c r="H3" s="1014"/>
      <c r="I3" s="1014"/>
      <c r="J3" s="1013"/>
      <c r="K3" s="1012"/>
      <c r="L3" s="1011"/>
      <c r="N3" s="1032" t="s">
        <v>1987</v>
      </c>
      <c r="O3" s="1031"/>
      <c r="P3" s="1030">
        <v>75</v>
      </c>
      <c r="Q3" s="1029">
        <v>37</v>
      </c>
      <c r="R3" s="1029">
        <v>83</v>
      </c>
      <c r="S3" s="1028">
        <v>37</v>
      </c>
      <c r="T3" s="1027"/>
      <c r="U3" s="1026">
        <v>0.27873918417799753</v>
      </c>
      <c r="V3" s="906">
        <v>11.67</v>
      </c>
      <c r="X3" s="906">
        <v>2</v>
      </c>
      <c r="AC3" s="1356" t="s">
        <v>1882</v>
      </c>
      <c r="AD3" s="1356"/>
      <c r="AE3" s="1357" t="s">
        <v>1881</v>
      </c>
      <c r="AF3" s="1357"/>
      <c r="AG3" s="1358" t="s">
        <v>1880</v>
      </c>
      <c r="AH3" s="1358"/>
      <c r="AI3" s="1359" t="s">
        <v>1879</v>
      </c>
      <c r="AJ3" s="1359"/>
      <c r="AL3" s="906" t="s">
        <v>1986</v>
      </c>
      <c r="AV3" s="1096"/>
      <c r="AW3" s="1356" t="s">
        <v>1882</v>
      </c>
      <c r="AX3" s="1356"/>
      <c r="AY3" s="1357" t="s">
        <v>1881</v>
      </c>
      <c r="AZ3" s="1357"/>
      <c r="BA3" s="1358" t="s">
        <v>1880</v>
      </c>
      <c r="BB3" s="1358"/>
      <c r="BC3" s="1359" t="s">
        <v>1879</v>
      </c>
      <c r="BD3" s="1359"/>
      <c r="BF3" s="906" t="s">
        <v>1986</v>
      </c>
    </row>
    <row r="4" spans="1:82" ht="15.6">
      <c r="A4" s="906">
        <v>3</v>
      </c>
      <c r="B4" s="906" t="s">
        <v>1985</v>
      </c>
      <c r="C4" s="906">
        <v>29189</v>
      </c>
      <c r="D4" s="906" t="s">
        <v>1256</v>
      </c>
      <c r="E4" s="906" t="s">
        <v>1258</v>
      </c>
      <c r="F4" s="1015">
        <f t="shared" ref="F4:L5" si="0">O3</f>
        <v>0</v>
      </c>
      <c r="G4" s="1014">
        <f t="shared" si="0"/>
        <v>75</v>
      </c>
      <c r="H4" s="1014">
        <f t="shared" si="0"/>
        <v>37</v>
      </c>
      <c r="I4" s="1014">
        <f t="shared" si="0"/>
        <v>83</v>
      </c>
      <c r="J4" s="1013">
        <f t="shared" si="0"/>
        <v>37</v>
      </c>
      <c r="K4" s="1012">
        <f t="shared" si="0"/>
        <v>0</v>
      </c>
      <c r="L4" s="1011">
        <f t="shared" si="0"/>
        <v>0.27873918417799753</v>
      </c>
      <c r="N4" s="1032" t="s">
        <v>1984</v>
      </c>
      <c r="O4" s="1031"/>
      <c r="P4" s="1030">
        <v>75</v>
      </c>
      <c r="Q4" s="1029">
        <v>35</v>
      </c>
      <c r="R4" s="1029">
        <v>82</v>
      </c>
      <c r="S4" s="1028">
        <v>38</v>
      </c>
      <c r="T4" s="1027">
        <v>28.778797668068407</v>
      </c>
      <c r="U4" s="1026">
        <v>0.15252544113528155</v>
      </c>
      <c r="V4" s="906">
        <v>9.0772999999999993</v>
      </c>
      <c r="X4" s="906">
        <v>3</v>
      </c>
      <c r="AA4" s="1077"/>
      <c r="AB4" s="1089"/>
      <c r="AC4" s="1076" t="s">
        <v>1876</v>
      </c>
      <c r="AD4" s="1076" t="s">
        <v>1875</v>
      </c>
      <c r="AE4" s="1075" t="s">
        <v>1874</v>
      </c>
      <c r="AF4" s="1075" t="s">
        <v>1873</v>
      </c>
      <c r="AG4" s="1074" t="s">
        <v>1872</v>
      </c>
      <c r="AH4" s="1074" t="s">
        <v>1871</v>
      </c>
      <c r="AI4" s="1073" t="s">
        <v>1870</v>
      </c>
      <c r="AJ4" s="1072" t="s">
        <v>1869</v>
      </c>
      <c r="AK4" s="1102"/>
      <c r="AL4" s="1101"/>
      <c r="AM4" s="1099" t="s">
        <v>1983</v>
      </c>
      <c r="AN4" s="1099"/>
      <c r="AO4" s="1099" t="s">
        <v>1982</v>
      </c>
      <c r="AP4" s="1099"/>
      <c r="AQ4" s="1099" t="s">
        <v>1981</v>
      </c>
      <c r="AR4" s="1098"/>
      <c r="AU4" s="1090" t="s">
        <v>1958</v>
      </c>
      <c r="AV4" s="1089"/>
      <c r="AW4" s="1076" t="s">
        <v>1876</v>
      </c>
      <c r="AX4" s="1076" t="s">
        <v>1875</v>
      </c>
      <c r="AY4" s="1075" t="s">
        <v>1874</v>
      </c>
      <c r="AZ4" s="1075" t="s">
        <v>1873</v>
      </c>
      <c r="BA4" s="1074" t="s">
        <v>1872</v>
      </c>
      <c r="BB4" s="1074" t="s">
        <v>1871</v>
      </c>
      <c r="BC4" s="1073" t="s">
        <v>1870</v>
      </c>
      <c r="BD4" s="1072" t="s">
        <v>1869</v>
      </c>
      <c r="BE4" s="1102"/>
      <c r="BF4" s="1101"/>
      <c r="BG4" s="1100"/>
      <c r="BH4" s="1100"/>
      <c r="BI4" s="1099" t="s">
        <v>1983</v>
      </c>
      <c r="BJ4" s="1099"/>
      <c r="BK4" s="1099" t="s">
        <v>1982</v>
      </c>
      <c r="BL4" s="1099"/>
      <c r="BM4" s="1099" t="s">
        <v>1981</v>
      </c>
      <c r="BN4" s="1098"/>
      <c r="BR4" s="909" t="s">
        <v>1980</v>
      </c>
    </row>
    <row r="5" spans="1:82" ht="21">
      <c r="A5" s="906">
        <v>4</v>
      </c>
      <c r="B5" s="906" t="s">
        <v>1979</v>
      </c>
      <c r="C5" s="906">
        <v>29189</v>
      </c>
      <c r="D5" s="906" t="s">
        <v>1256</v>
      </c>
      <c r="E5" s="906" t="s">
        <v>1258</v>
      </c>
      <c r="F5" s="1015">
        <f t="shared" si="0"/>
        <v>0</v>
      </c>
      <c r="G5" s="1014">
        <f t="shared" si="0"/>
        <v>75</v>
      </c>
      <c r="H5" s="1014">
        <f t="shared" si="0"/>
        <v>35</v>
      </c>
      <c r="I5" s="1014">
        <f t="shared" si="0"/>
        <v>82</v>
      </c>
      <c r="J5" s="1013">
        <f t="shared" si="0"/>
        <v>38</v>
      </c>
      <c r="K5" s="1012">
        <f t="shared" si="0"/>
        <v>28.778797668068407</v>
      </c>
      <c r="L5" s="1011">
        <f t="shared" si="0"/>
        <v>0.15252544113528155</v>
      </c>
      <c r="N5" s="1032" t="s">
        <v>1978</v>
      </c>
      <c r="O5" s="1031">
        <v>2.6848387184879734E-2</v>
      </c>
      <c r="P5" s="1030">
        <v>76</v>
      </c>
      <c r="Q5" s="1029">
        <v>38</v>
      </c>
      <c r="R5" s="1029">
        <v>76</v>
      </c>
      <c r="S5" s="1028">
        <v>34</v>
      </c>
      <c r="T5" s="1027">
        <v>41.416233020206796</v>
      </c>
      <c r="U5" s="1026">
        <v>0.24038731406118438</v>
      </c>
      <c r="V5" s="906">
        <v>10.826000000000001</v>
      </c>
      <c r="X5" s="906">
        <v>4</v>
      </c>
      <c r="AA5" s="1057" t="s">
        <v>1257</v>
      </c>
      <c r="AB5" s="1082" t="s">
        <v>1259</v>
      </c>
      <c r="AC5" s="1071">
        <f t="shared" ref="AC5:AD8" si="1">AG5</f>
        <v>81.850000000000009</v>
      </c>
      <c r="AD5" s="1071">
        <f t="shared" si="1"/>
        <v>48.903125000000003</v>
      </c>
      <c r="AE5" s="1088">
        <f>AVERAGEIFS(G$2:G$439,$E$2:$E$439,"=DKE",$D$2:$D$439,"=Central",G$2:G$439,"&gt;0",G$2:G$439,"&lt;140")</f>
        <v>77.835294117647067</v>
      </c>
      <c r="AF5" s="1088">
        <f>AVERAGEIFS(H$2:H$439,$E$2:$E$439,"=DKE",$D$2:$D$439,"=Central",H$2:H$439,"&gt;0",H$2:H$439,"&lt;60")</f>
        <v>49.1875</v>
      </c>
      <c r="AG5" s="1069">
        <f t="shared" ref="AG5:AH8" si="2">AVERAGE(AE5,AI5)</f>
        <v>81.850000000000009</v>
      </c>
      <c r="AH5" s="1069">
        <f t="shared" si="2"/>
        <v>48.903125000000003</v>
      </c>
      <c r="AI5" s="1068">
        <f>AVERAGEIFS(I$2:I$439,$E$2:$E$439,"=DKE",$D$2:$D$439,"=Central",I$2:I$439,"&gt;0",I$2:I$439,"&lt;140")</f>
        <v>85.864705882352951</v>
      </c>
      <c r="AJ5" s="1067">
        <f>AVERAGEIFS(J$2:J$439,$E$2:$E$439,"=DKE",$D$2:$D$439,"=Central",J$2:J$439,"&gt;0",J$2:J$439,"&lt;60")</f>
        <v>48.618750000000006</v>
      </c>
      <c r="AL5" s="1051" t="s">
        <v>1977</v>
      </c>
      <c r="AM5" s="906">
        <v>47</v>
      </c>
      <c r="AN5" s="1097" t="s">
        <v>1960</v>
      </c>
      <c r="AO5" s="906">
        <v>5</v>
      </c>
      <c r="AQ5" s="906">
        <v>10</v>
      </c>
      <c r="AR5" s="1050"/>
      <c r="AU5" s="1057" t="s">
        <v>1257</v>
      </c>
      <c r="AV5" s="1082" t="s">
        <v>1259</v>
      </c>
      <c r="AW5" s="1071">
        <f t="shared" ref="AW5:BD8" si="3">AC5</f>
        <v>81.850000000000009</v>
      </c>
      <c r="AX5" s="1071">
        <f t="shared" si="3"/>
        <v>48.903125000000003</v>
      </c>
      <c r="AY5" s="1088">
        <f t="shared" si="3"/>
        <v>77.835294117647067</v>
      </c>
      <c r="AZ5" s="1088">
        <f t="shared" si="3"/>
        <v>49.1875</v>
      </c>
      <c r="BA5" s="1069">
        <f t="shared" si="3"/>
        <v>81.850000000000009</v>
      </c>
      <c r="BB5" s="1069">
        <f t="shared" si="3"/>
        <v>48.903125000000003</v>
      </c>
      <c r="BC5" s="1068">
        <f t="shared" si="3"/>
        <v>85.864705882352951</v>
      </c>
      <c r="BD5" s="1067">
        <f t="shared" si="3"/>
        <v>48.618750000000006</v>
      </c>
      <c r="BF5" s="1051" t="s">
        <v>1977</v>
      </c>
      <c r="BG5" s="906">
        <v>37.5</v>
      </c>
      <c r="BH5" s="1096" t="s">
        <v>1958</v>
      </c>
      <c r="BI5" s="906">
        <f>BG5+273.15</f>
        <v>310.64999999999998</v>
      </c>
      <c r="BJ5" s="1096" t="s">
        <v>1946</v>
      </c>
      <c r="BK5" s="906">
        <v>5</v>
      </c>
      <c r="BM5" s="906">
        <f>273.15+15</f>
        <v>288.14999999999998</v>
      </c>
      <c r="BN5" s="1096" t="s">
        <v>1946</v>
      </c>
    </row>
    <row r="6" spans="1:82" ht="21">
      <c r="A6" s="906">
        <v>5</v>
      </c>
      <c r="B6" s="906" t="s">
        <v>1962</v>
      </c>
      <c r="C6" s="906">
        <v>29189</v>
      </c>
      <c r="D6" s="906" t="s">
        <v>1257</v>
      </c>
      <c r="E6" s="906" t="s">
        <v>1258</v>
      </c>
      <c r="F6" s="1015">
        <f t="shared" ref="F6:L6" si="4">O137</f>
        <v>0</v>
      </c>
      <c r="G6" s="1014">
        <f t="shared" si="4"/>
        <v>63</v>
      </c>
      <c r="H6" s="1014">
        <f t="shared" si="4"/>
        <v>63</v>
      </c>
      <c r="I6" s="1014">
        <f t="shared" si="4"/>
        <v>73</v>
      </c>
      <c r="J6" s="1013">
        <f t="shared" si="4"/>
        <v>73</v>
      </c>
      <c r="K6" s="1012">
        <f t="shared" si="4"/>
        <v>20.783333333333335</v>
      </c>
      <c r="L6" s="1011">
        <f t="shared" si="4"/>
        <v>0.21572413793103448</v>
      </c>
      <c r="N6" s="1032" t="s">
        <v>1976</v>
      </c>
      <c r="O6" s="1031">
        <v>7.0248372927870801E-3</v>
      </c>
      <c r="P6" s="1030">
        <v>75</v>
      </c>
      <c r="Q6" s="1029">
        <v>43</v>
      </c>
      <c r="R6" s="1029">
        <v>75</v>
      </c>
      <c r="S6" s="1028">
        <v>38</v>
      </c>
      <c r="T6" s="1027">
        <v>36.218348662556075</v>
      </c>
      <c r="U6" s="1026">
        <v>0.24022658750966139</v>
      </c>
      <c r="V6" s="906">
        <v>66.662000000000006</v>
      </c>
      <c r="X6" s="906">
        <v>5</v>
      </c>
      <c r="AA6" s="1057" t="s">
        <v>1257</v>
      </c>
      <c r="AB6" s="1082" t="s">
        <v>1258</v>
      </c>
      <c r="AC6" s="1071">
        <f t="shared" si="1"/>
        <v>74.086206896551715</v>
      </c>
      <c r="AD6" s="1071">
        <f t="shared" si="1"/>
        <v>41.023807692307699</v>
      </c>
      <c r="AE6" s="1088">
        <f>AVERAGEIFS(G$2:G$439,$E$2:$E$439,"=DKW",$D$2:$D$439,"=Central",G$2:G$439,"&gt;0",G$2:G$439,"&lt;140")</f>
        <v>70.565862068965515</v>
      </c>
      <c r="AF6" s="1088">
        <f>AVERAGEIFS(H$2:H$439,$E$2:$E$439,"=DKW",$D$2:$D$439,"=Central",H$2:H$439,"&gt;0",H$2:H$439,"&lt;60")</f>
        <v>42.59961538461539</v>
      </c>
      <c r="AG6" s="1069">
        <f t="shared" si="2"/>
        <v>74.086206896551715</v>
      </c>
      <c r="AH6" s="1069">
        <f t="shared" si="2"/>
        <v>41.023807692307699</v>
      </c>
      <c r="AI6" s="1068">
        <f>AVERAGEIFS(I$2:I$439,$E$2:$E$439,"=DKW",$D$2:$D$439,"=Central",I$2:I$439,"&gt;0",I$2:I$439,"&lt;140")</f>
        <v>77.60655172413793</v>
      </c>
      <c r="AJ6" s="1067">
        <f>AVERAGEIFS(J$2:J$439,$E$2:$E$439,"=DKW",$D$2:$D$439,"=Central",J$2:J$439,"&gt;0",J$2:J$439,"&lt;60")</f>
        <v>39.448</v>
      </c>
      <c r="AL6" s="1051" t="s">
        <v>1849</v>
      </c>
      <c r="AM6" s="906">
        <v>70</v>
      </c>
      <c r="AN6" s="1097" t="s">
        <v>1960</v>
      </c>
      <c r="AO6" s="906">
        <v>10</v>
      </c>
      <c r="AQ6" s="906">
        <v>10</v>
      </c>
      <c r="AR6" s="1050"/>
      <c r="AU6" s="1057" t="s">
        <v>1257</v>
      </c>
      <c r="AV6" s="1082" t="s">
        <v>1258</v>
      </c>
      <c r="AW6" s="1071">
        <f t="shared" si="3"/>
        <v>74.086206896551715</v>
      </c>
      <c r="AX6" s="1071">
        <f t="shared" si="3"/>
        <v>41.023807692307699</v>
      </c>
      <c r="AY6" s="1088">
        <f t="shared" si="3"/>
        <v>70.565862068965515</v>
      </c>
      <c r="AZ6" s="1088">
        <f t="shared" si="3"/>
        <v>42.59961538461539</v>
      </c>
      <c r="BA6" s="1069">
        <f t="shared" si="3"/>
        <v>74.086206896551715</v>
      </c>
      <c r="BB6" s="1069">
        <f t="shared" si="3"/>
        <v>41.023807692307699</v>
      </c>
      <c r="BC6" s="1068">
        <f t="shared" si="3"/>
        <v>77.60655172413793</v>
      </c>
      <c r="BD6" s="1067">
        <f t="shared" si="3"/>
        <v>39.448</v>
      </c>
      <c r="BF6" s="1051" t="s">
        <v>1849</v>
      </c>
      <c r="BG6" s="906">
        <v>70</v>
      </c>
      <c r="BH6" s="1096" t="s">
        <v>1958</v>
      </c>
      <c r="BI6" s="906">
        <f>BG6+273.15</f>
        <v>343.15</v>
      </c>
      <c r="BJ6" s="1096" t="s">
        <v>1946</v>
      </c>
      <c r="BK6" s="906">
        <v>10</v>
      </c>
      <c r="BM6" s="906">
        <f>273.15+15</f>
        <v>288.14999999999998</v>
      </c>
      <c r="BN6" s="1096" t="s">
        <v>1946</v>
      </c>
      <c r="BQ6" s="909" t="s">
        <v>1975</v>
      </c>
      <c r="BR6" s="909" t="s">
        <v>1133</v>
      </c>
      <c r="BS6" s="909" t="s">
        <v>1974</v>
      </c>
      <c r="BT6" s="909" t="s">
        <v>1973</v>
      </c>
      <c r="BU6" s="909" t="s">
        <v>1972</v>
      </c>
      <c r="BV6" s="909" t="s">
        <v>1971</v>
      </c>
      <c r="BW6" s="909" t="s">
        <v>1970</v>
      </c>
      <c r="BX6" s="909" t="s">
        <v>1969</v>
      </c>
      <c r="BY6" s="909" t="s">
        <v>1968</v>
      </c>
      <c r="BZ6" s="909" t="s">
        <v>1967</v>
      </c>
      <c r="CA6" s="909" t="s">
        <v>1966</v>
      </c>
      <c r="CB6" s="909" t="s">
        <v>1965</v>
      </c>
      <c r="CC6" s="909" t="s">
        <v>1964</v>
      </c>
      <c r="CD6" s="909" t="s">
        <v>1963</v>
      </c>
    </row>
    <row r="7" spans="1:82" ht="21">
      <c r="A7" s="906">
        <v>6</v>
      </c>
      <c r="B7" s="906" t="s">
        <v>1962</v>
      </c>
      <c r="C7" s="906">
        <v>29189</v>
      </c>
      <c r="D7" s="906" t="s">
        <v>1256</v>
      </c>
      <c r="E7" s="906" t="s">
        <v>1258</v>
      </c>
      <c r="F7" s="1015">
        <f t="shared" ref="F7:L7" si="5">F6</f>
        <v>0</v>
      </c>
      <c r="G7" s="1014">
        <f t="shared" si="5"/>
        <v>63</v>
      </c>
      <c r="H7" s="1014">
        <f t="shared" si="5"/>
        <v>63</v>
      </c>
      <c r="I7" s="1014">
        <f t="shared" si="5"/>
        <v>73</v>
      </c>
      <c r="J7" s="1013">
        <f t="shared" si="5"/>
        <v>73</v>
      </c>
      <c r="K7" s="1012">
        <f t="shared" si="5"/>
        <v>20.783333333333335</v>
      </c>
      <c r="L7" s="1011">
        <f t="shared" si="5"/>
        <v>0.21572413793103448</v>
      </c>
      <c r="N7" s="1032" t="s">
        <v>1961</v>
      </c>
      <c r="O7" s="1031"/>
      <c r="P7" s="1030">
        <v>67</v>
      </c>
      <c r="Q7" s="1029">
        <v>38</v>
      </c>
      <c r="R7" s="1029">
        <v>67</v>
      </c>
      <c r="S7" s="1028">
        <v>34</v>
      </c>
      <c r="T7" s="1027">
        <v>32.944934232948974</v>
      </c>
      <c r="U7" s="1026">
        <v>0.25541295960947957</v>
      </c>
      <c r="V7" s="906">
        <v>9.4570000000000007</v>
      </c>
      <c r="X7" s="906">
        <v>6</v>
      </c>
      <c r="AA7" s="1057" t="s">
        <v>1256</v>
      </c>
      <c r="AB7" s="1082" t="s">
        <v>1259</v>
      </c>
      <c r="AC7" s="1071">
        <f t="shared" si="1"/>
        <v>78.112857142857138</v>
      </c>
      <c r="AD7" s="1071">
        <f t="shared" si="1"/>
        <v>44.137931034482762</v>
      </c>
      <c r="AE7" s="1088">
        <f>AVERAGEIFS(G$2:G$439,$E$2:$E$439,"=DKE",$D$2:$D$439,"=Decentral",G$2:G$439,"&gt;0",G$2:G$439,"&lt;140")</f>
        <v>74.52</v>
      </c>
      <c r="AF7" s="1088">
        <f>AVERAGEIFS(H$2:H$439,$E$2:$E$439,"=DKE",$D$2:$D$439,"=Decentral",H$2:H$439,"&gt;0",H$2:H$439,"&lt;60")</f>
        <v>45.817241379310346</v>
      </c>
      <c r="AG7" s="1069">
        <f t="shared" si="2"/>
        <v>78.112857142857138</v>
      </c>
      <c r="AH7" s="1069">
        <f t="shared" si="2"/>
        <v>44.137931034482762</v>
      </c>
      <c r="AI7" s="1068">
        <f>AVERAGEIFS(I$2:I$439,$E$2:$E$439,"=DKE",$D$2:$D$439,"=Decentral",I$2:I$439,"&gt;0",I$2:I$439,"&lt;140")</f>
        <v>81.705714285714279</v>
      </c>
      <c r="AJ7" s="1067">
        <f>AVERAGEIFS(J$2:J$439,$E$2:$E$439,"=DKE",$D$2:$D$439,"=Decentral",J$2:J$439,"&gt;0",J$2:J$439,"&lt;60")</f>
        <v>42.45862068965517</v>
      </c>
      <c r="AL7" s="1051" t="s">
        <v>1959</v>
      </c>
      <c r="AM7" s="906">
        <v>100</v>
      </c>
      <c r="AN7" s="1097" t="s">
        <v>1960</v>
      </c>
      <c r="AO7" s="906">
        <v>5</v>
      </c>
      <c r="AR7" s="1050"/>
      <c r="AU7" s="1057" t="s">
        <v>1256</v>
      </c>
      <c r="AV7" s="1082" t="s">
        <v>1259</v>
      </c>
      <c r="AW7" s="1071">
        <f t="shared" si="3"/>
        <v>78.112857142857138</v>
      </c>
      <c r="AX7" s="1071">
        <f t="shared" si="3"/>
        <v>44.137931034482762</v>
      </c>
      <c r="AY7" s="1088">
        <f t="shared" si="3"/>
        <v>74.52</v>
      </c>
      <c r="AZ7" s="1088">
        <f t="shared" si="3"/>
        <v>45.817241379310346</v>
      </c>
      <c r="BA7" s="1069">
        <f t="shared" si="3"/>
        <v>78.112857142857138</v>
      </c>
      <c r="BB7" s="1069">
        <f t="shared" si="3"/>
        <v>44.137931034482762</v>
      </c>
      <c r="BC7" s="1068">
        <f t="shared" si="3"/>
        <v>81.705714285714279</v>
      </c>
      <c r="BD7" s="1067">
        <f t="shared" si="3"/>
        <v>42.45862068965517</v>
      </c>
      <c r="BF7" s="1051" t="s">
        <v>1959</v>
      </c>
      <c r="BG7" s="906">
        <v>215</v>
      </c>
      <c r="BH7" s="1096" t="s">
        <v>1958</v>
      </c>
      <c r="BI7" s="906">
        <f>BG7+273.15</f>
        <v>488.15</v>
      </c>
      <c r="BJ7" s="1096" t="s">
        <v>1946</v>
      </c>
      <c r="BK7" s="906">
        <v>5</v>
      </c>
      <c r="BM7" s="906">
        <f>273.15+40</f>
        <v>313.14999999999998</v>
      </c>
      <c r="BN7" s="1096" t="s">
        <v>1946</v>
      </c>
      <c r="BQ7" s="909" t="s">
        <v>1939</v>
      </c>
      <c r="BR7" s="906">
        <v>2015</v>
      </c>
      <c r="BS7" s="906">
        <v>3.5</v>
      </c>
      <c r="BV7" s="906">
        <f t="shared" ref="BV7:BV12" si="6">40+273.15</f>
        <v>313.14999999999998</v>
      </c>
      <c r="BW7" s="906">
        <f>80+273.15</f>
        <v>353.15</v>
      </c>
      <c r="BX7" s="906">
        <f t="shared" ref="BX7:BX14" si="7">7.5+273.15</f>
        <v>280.64999999999998</v>
      </c>
      <c r="BY7" s="906">
        <f t="shared" ref="BY7:BY14" si="8">2.5+273.15</f>
        <v>275.64999999999998</v>
      </c>
      <c r="BZ7" s="909" t="s">
        <v>1938</v>
      </c>
      <c r="CA7" s="1087" t="s">
        <v>1937</v>
      </c>
      <c r="CB7" s="908">
        <f t="shared" ref="CB7:CB22" si="9">BS7/((($BV7-$BW7)/LN($BV7/$BW7))/(($BV7-$BW7)/LN($BV7/$BW7)-($BX7-$BY7)/LN($BX7/$BY7)))</f>
        <v>0.57437849443193578</v>
      </c>
      <c r="CC7" s="908"/>
      <c r="CD7" s="908"/>
    </row>
    <row r="8" spans="1:82" ht="21.6" thickBot="1">
      <c r="A8" s="906">
        <v>7</v>
      </c>
      <c r="B8" s="906" t="s">
        <v>1957</v>
      </c>
      <c r="C8" s="906">
        <v>29189</v>
      </c>
      <c r="D8" s="906" t="s">
        <v>1256</v>
      </c>
      <c r="E8" s="906" t="s">
        <v>1258</v>
      </c>
      <c r="F8" s="1015">
        <f t="shared" ref="F8:L8" si="10">O152</f>
        <v>3.2552457602759412E-2</v>
      </c>
      <c r="G8" s="1014">
        <f t="shared" si="10"/>
        <v>71.3</v>
      </c>
      <c r="H8" s="1014">
        <f t="shared" si="10"/>
        <v>34.6</v>
      </c>
      <c r="I8" s="1014">
        <f t="shared" si="10"/>
        <v>69.5</v>
      </c>
      <c r="J8" s="1013">
        <f t="shared" si="10"/>
        <v>32.6</v>
      </c>
      <c r="K8" s="1012">
        <f t="shared" si="10"/>
        <v>35.553078526925404</v>
      </c>
      <c r="L8" s="1011">
        <f t="shared" si="10"/>
        <v>0.17525811483324669</v>
      </c>
      <c r="N8" s="1032" t="s">
        <v>1956</v>
      </c>
      <c r="O8" s="1031">
        <v>9.2234454031538231E-3</v>
      </c>
      <c r="P8" s="1030">
        <v>72</v>
      </c>
      <c r="Q8" s="1029">
        <v>36.799999999999997</v>
      </c>
      <c r="R8" s="1029">
        <v>72</v>
      </c>
      <c r="S8" s="1028">
        <v>33.299999999999997</v>
      </c>
      <c r="T8" s="1027">
        <v>36.219113113587859</v>
      </c>
      <c r="U8" s="1026">
        <v>0.25401651651651652</v>
      </c>
      <c r="V8" s="906">
        <v>19.873000000000001</v>
      </c>
      <c r="X8" s="906">
        <v>7</v>
      </c>
      <c r="AA8" s="1055" t="s">
        <v>1256</v>
      </c>
      <c r="AB8" s="1081" t="s">
        <v>1258</v>
      </c>
      <c r="AC8" s="1066">
        <f t="shared" si="1"/>
        <v>72.672803468208087</v>
      </c>
      <c r="AD8" s="1066">
        <f t="shared" si="1"/>
        <v>38.255032467532459</v>
      </c>
      <c r="AE8" s="1086">
        <f>AVERAGEIFS(G$2:G$439,$E$2:$E$439,"=DKW",$D$2:$D$439,"=Decentral",G$2:G$439,"&gt;0",G$2:G$439,"&lt;140")</f>
        <v>70.699017341040459</v>
      </c>
      <c r="AF8" s="1086">
        <f>AVERAGEIFS(H$2:H$439,$E$2:$E$439,"=DKW",$D$2:$D$439,"=Decentral",H$2:H$439,"&gt;0",H$2:H$439,"&lt;60")</f>
        <v>39.665064935064933</v>
      </c>
      <c r="AG8" s="1063">
        <f t="shared" si="2"/>
        <v>72.672803468208087</v>
      </c>
      <c r="AH8" s="1063">
        <f t="shared" si="2"/>
        <v>38.255032467532459</v>
      </c>
      <c r="AI8" s="1062">
        <f>AVERAGEIFS(I$2:I$439,$E$2:$E$439,"=DKW",$D$2:$D$439,"=Decentral",I$2:I$439,"&gt;0",I$2:I$439,"&lt;140")</f>
        <v>74.64658959537573</v>
      </c>
      <c r="AJ8" s="1061">
        <f>AVERAGEIFS(J$2:J$439,$E$2:$E$439,"=DKW",$D$2:$D$439,"=Decentral",J$2:J$439,"&gt;0",J$2:J$439,"&lt;60")</f>
        <v>36.844999999999992</v>
      </c>
      <c r="AL8" s="1051" t="s">
        <v>1955</v>
      </c>
      <c r="AM8" s="906">
        <v>0.55000000000000004</v>
      </c>
      <c r="AR8" s="1050"/>
      <c r="AU8" s="1055" t="s">
        <v>1256</v>
      </c>
      <c r="AV8" s="1081" t="s">
        <v>1258</v>
      </c>
      <c r="AW8" s="1066">
        <f t="shared" si="3"/>
        <v>72.672803468208087</v>
      </c>
      <c r="AX8" s="1066">
        <f t="shared" si="3"/>
        <v>38.255032467532459</v>
      </c>
      <c r="AY8" s="1086">
        <f t="shared" si="3"/>
        <v>70.699017341040459</v>
      </c>
      <c r="AZ8" s="1086">
        <f t="shared" si="3"/>
        <v>39.665064935064933</v>
      </c>
      <c r="BA8" s="1063">
        <f t="shared" si="3"/>
        <v>72.672803468208087</v>
      </c>
      <c r="BB8" s="1063">
        <f t="shared" si="3"/>
        <v>38.255032467532459</v>
      </c>
      <c r="BC8" s="1062">
        <f t="shared" si="3"/>
        <v>74.64658959537573</v>
      </c>
      <c r="BD8" s="1061">
        <f t="shared" si="3"/>
        <v>36.844999999999992</v>
      </c>
      <c r="BF8" s="1095" t="s">
        <v>1954</v>
      </c>
      <c r="BI8" s="908">
        <f>CB19</f>
        <v>0.57137667700311223</v>
      </c>
      <c r="BN8" s="1050"/>
      <c r="BQ8" s="909" t="s">
        <v>1939</v>
      </c>
      <c r="BR8" s="906">
        <v>2020</v>
      </c>
      <c r="BS8" s="906">
        <v>3.6</v>
      </c>
      <c r="BT8" s="906">
        <v>3.5</v>
      </c>
      <c r="BU8" s="906">
        <v>3.8</v>
      </c>
      <c r="BV8" s="906">
        <f t="shared" si="6"/>
        <v>313.14999999999998</v>
      </c>
      <c r="BW8" s="906">
        <f>80+273.15</f>
        <v>353.15</v>
      </c>
      <c r="BX8" s="906">
        <f t="shared" si="7"/>
        <v>280.64999999999998</v>
      </c>
      <c r="BY8" s="906">
        <f t="shared" si="8"/>
        <v>275.64999999999998</v>
      </c>
      <c r="BZ8" s="909" t="s">
        <v>1938</v>
      </c>
      <c r="CA8" s="1087" t="s">
        <v>1937</v>
      </c>
      <c r="CB8" s="908">
        <f t="shared" si="9"/>
        <v>0.5907893085585626</v>
      </c>
      <c r="CC8" s="908">
        <f>BT8/((($BV8-$BW8)/LN($BV8/$BW8))/(($BV8-$BW8)/LN($BV8/$BW8)-($BX8-$BY8)/LN($BX8/$BY8)))</f>
        <v>0.57437849443193578</v>
      </c>
      <c r="CD8" s="908">
        <f>BU8/((($BV8-$BW8)/LN($BV8/$BW8))/(($BV8-$BW8)/LN($BV8/$BW8)-($BX8-$BY8)/LN($BX8/$BY8)))</f>
        <v>0.62361093681181601</v>
      </c>
    </row>
    <row r="9" spans="1:82" ht="21">
      <c r="A9" s="906">
        <v>8</v>
      </c>
      <c r="B9" s="906" t="s">
        <v>1953</v>
      </c>
      <c r="C9" s="906">
        <v>29189</v>
      </c>
      <c r="D9" s="906" t="s">
        <v>1256</v>
      </c>
      <c r="E9" s="906" t="s">
        <v>1258</v>
      </c>
      <c r="F9" s="1015"/>
      <c r="G9" s="1014"/>
      <c r="H9" s="1014"/>
      <c r="I9" s="1014"/>
      <c r="J9" s="1013"/>
      <c r="K9" s="1012"/>
      <c r="L9" s="1011"/>
      <c r="N9" s="1032" t="s">
        <v>1952</v>
      </c>
      <c r="O9" s="1031">
        <v>1.8127714881827821E-3</v>
      </c>
      <c r="P9" s="1030">
        <v>72</v>
      </c>
      <c r="Q9" s="1029">
        <v>35</v>
      </c>
      <c r="R9" s="1029">
        <v>72</v>
      </c>
      <c r="S9" s="1028">
        <v>32</v>
      </c>
      <c r="T9" s="1027" t="s">
        <v>842</v>
      </c>
      <c r="U9" s="1026">
        <v>0.28255208333333331</v>
      </c>
      <c r="V9" s="906">
        <v>20.937999999999999</v>
      </c>
      <c r="X9" s="906">
        <v>8</v>
      </c>
      <c r="AL9" s="1093" t="s">
        <v>1951</v>
      </c>
      <c r="AM9" s="1092">
        <v>1</v>
      </c>
      <c r="AN9" s="1092"/>
      <c r="AO9" s="1092"/>
      <c r="AP9" s="1092"/>
      <c r="AQ9" s="1092"/>
      <c r="AR9" s="1091"/>
      <c r="AU9" s="1094"/>
      <c r="AV9" s="1082"/>
      <c r="AW9" s="1071"/>
      <c r="AX9" s="1071"/>
      <c r="AY9" s="1088"/>
      <c r="AZ9" s="1088"/>
      <c r="BA9" s="1069"/>
      <c r="BB9" s="1069"/>
      <c r="BC9" s="1068"/>
      <c r="BD9" s="1068"/>
      <c r="BF9" s="1093" t="s">
        <v>1951</v>
      </c>
      <c r="BG9" s="1092"/>
      <c r="BH9" s="1092"/>
      <c r="BI9" s="1092">
        <v>1</v>
      </c>
      <c r="BJ9" s="1092"/>
      <c r="BK9" s="1092"/>
      <c r="BL9" s="1092"/>
      <c r="BM9" s="1092"/>
      <c r="BN9" s="1091"/>
      <c r="BQ9" s="909" t="s">
        <v>1939</v>
      </c>
      <c r="BR9" s="906">
        <v>2030</v>
      </c>
      <c r="BS9" s="906">
        <v>3.8</v>
      </c>
      <c r="BV9" s="906">
        <f t="shared" si="6"/>
        <v>313.14999999999998</v>
      </c>
      <c r="BW9" s="906">
        <f>80+273.15</f>
        <v>353.15</v>
      </c>
      <c r="BX9" s="906">
        <f t="shared" si="7"/>
        <v>280.64999999999998</v>
      </c>
      <c r="BY9" s="906">
        <f t="shared" si="8"/>
        <v>275.64999999999998</v>
      </c>
      <c r="BZ9" s="909" t="s">
        <v>1938</v>
      </c>
      <c r="CA9" s="1087" t="s">
        <v>1937</v>
      </c>
      <c r="CB9" s="908">
        <f t="shared" si="9"/>
        <v>0.62361093681181601</v>
      </c>
      <c r="CC9" s="908"/>
      <c r="CD9" s="908"/>
    </row>
    <row r="10" spans="1:82" ht="15" thickBot="1">
      <c r="A10" s="906">
        <v>9</v>
      </c>
      <c r="B10" s="906" t="s">
        <v>1950</v>
      </c>
      <c r="C10" s="906">
        <v>29189</v>
      </c>
      <c r="D10" s="906" t="s">
        <v>1256</v>
      </c>
      <c r="E10" s="906" t="s">
        <v>1258</v>
      </c>
      <c r="F10" s="1015">
        <f t="shared" ref="F10:L10" si="11">O5</f>
        <v>2.6848387184879734E-2</v>
      </c>
      <c r="G10" s="1014">
        <f t="shared" si="11"/>
        <v>76</v>
      </c>
      <c r="H10" s="1014">
        <f t="shared" si="11"/>
        <v>38</v>
      </c>
      <c r="I10" s="1014">
        <f t="shared" si="11"/>
        <v>76</v>
      </c>
      <c r="J10" s="1013">
        <f t="shared" si="11"/>
        <v>34</v>
      </c>
      <c r="K10" s="1012">
        <f t="shared" si="11"/>
        <v>41.416233020206796</v>
      </c>
      <c r="L10" s="1011">
        <f t="shared" si="11"/>
        <v>0.24038731406118438</v>
      </c>
      <c r="N10" s="1032" t="s">
        <v>1949</v>
      </c>
      <c r="O10" s="1031"/>
      <c r="P10" s="1030">
        <v>71</v>
      </c>
      <c r="Q10" s="1029">
        <v>39</v>
      </c>
      <c r="R10" s="1029">
        <v>74</v>
      </c>
      <c r="S10" s="1028">
        <v>36</v>
      </c>
      <c r="T10" s="1027">
        <v>36.171486224056316</v>
      </c>
      <c r="U10" s="1026">
        <v>0.28352421318423665</v>
      </c>
      <c r="V10" s="906">
        <v>7.9450000000000003</v>
      </c>
      <c r="X10" s="906">
        <v>9</v>
      </c>
      <c r="AA10" s="906" t="s">
        <v>1836</v>
      </c>
      <c r="AC10" s="906" t="s">
        <v>1848</v>
      </c>
      <c r="AD10" s="906" t="s">
        <v>1847</v>
      </c>
      <c r="AE10" s="906" t="s">
        <v>1846</v>
      </c>
      <c r="AF10" s="906" t="s">
        <v>1845</v>
      </c>
      <c r="AW10" s="1356" t="s">
        <v>1882</v>
      </c>
      <c r="AX10" s="1356"/>
      <c r="AY10" s="1357" t="s">
        <v>1881</v>
      </c>
      <c r="AZ10" s="1357"/>
      <c r="BA10" s="1358" t="s">
        <v>1880</v>
      </c>
      <c r="BB10" s="1358"/>
      <c r="BC10" s="1359" t="s">
        <v>1879</v>
      </c>
      <c r="BD10" s="1359"/>
      <c r="BQ10" s="909" t="s">
        <v>1939</v>
      </c>
      <c r="BR10" s="906">
        <v>2050</v>
      </c>
      <c r="BS10" s="906">
        <v>4.0999999999999996</v>
      </c>
      <c r="BT10" s="906">
        <v>3.5</v>
      </c>
      <c r="BU10" s="906">
        <v>4.5</v>
      </c>
      <c r="BV10" s="906">
        <f t="shared" si="6"/>
        <v>313.14999999999998</v>
      </c>
      <c r="BW10" s="906">
        <f>80+273.15</f>
        <v>353.15</v>
      </c>
      <c r="BX10" s="906">
        <f t="shared" si="7"/>
        <v>280.64999999999998</v>
      </c>
      <c r="BY10" s="906">
        <f t="shared" si="8"/>
        <v>275.64999999999998</v>
      </c>
      <c r="BZ10" s="909" t="s">
        <v>1938</v>
      </c>
      <c r="CA10" s="1087" t="s">
        <v>1937</v>
      </c>
      <c r="CB10" s="908">
        <f t="shared" si="9"/>
        <v>0.67284337919169623</v>
      </c>
      <c r="CC10" s="908">
        <f>BT10/((($BV10-$BW10)/LN($BV10/$BW10))/(($BV10-$BW10)/LN($BV10/$BW10)-($BX10-$BY10)/LN($BX10/$BY10)))</f>
        <v>0.57437849443193578</v>
      </c>
      <c r="CD10" s="908">
        <f>BU10/((($BV10-$BW10)/LN($BV10/$BW10))/(($BV10-$BW10)/LN($BV10/$BW10)-($BX10-$BY10)/LN($BX10/$BY10)))</f>
        <v>0.73848663569820316</v>
      </c>
    </row>
    <row r="11" spans="1:82" ht="18">
      <c r="A11" s="906">
        <v>10</v>
      </c>
      <c r="B11" s="906" t="s">
        <v>1948</v>
      </c>
      <c r="C11" s="906">
        <v>29189</v>
      </c>
      <c r="D11" s="906" t="s">
        <v>1256</v>
      </c>
      <c r="E11" s="906" t="s">
        <v>1258</v>
      </c>
      <c r="F11" s="1015"/>
      <c r="G11" s="1014"/>
      <c r="H11" s="1014"/>
      <c r="I11" s="1014"/>
      <c r="J11" s="1013"/>
      <c r="K11" s="1012"/>
      <c r="L11" s="1011"/>
      <c r="N11" s="1032" t="s">
        <v>1947</v>
      </c>
      <c r="O11" s="1031"/>
      <c r="P11" s="1030">
        <v>67</v>
      </c>
      <c r="Q11" s="1029">
        <v>39</v>
      </c>
      <c r="R11" s="1029">
        <v>68</v>
      </c>
      <c r="S11" s="1028">
        <v>39</v>
      </c>
      <c r="T11" s="1027" t="s">
        <v>842</v>
      </c>
      <c r="U11" s="1026">
        <v>0.13224844990753837</v>
      </c>
      <c r="V11" s="906">
        <v>7.9772400000000001</v>
      </c>
      <c r="X11" s="906">
        <v>10</v>
      </c>
      <c r="AA11" s="1362" t="s">
        <v>1257</v>
      </c>
      <c r="AB11" s="1083" t="s">
        <v>1259</v>
      </c>
      <c r="AC11" s="1059">
        <f>(AC5+273.15+$AO$5)/((AC5+273.15+$AO$5)-($AM$5+273.15-$AO$5))*$AM$8*$AM$9</f>
        <v>4.414715719063544</v>
      </c>
      <c r="AD11" s="1059">
        <f>(AE5+273.15+$AO$5)/((AE5+273.15+$AO$5)-($AM$5+273.15-$AO$5))*$AM$8*$AM$9</f>
        <v>4.7946737251512497</v>
      </c>
      <c r="AE11" s="1059">
        <f>(AG5+273.15+$AO$5)/((AG5+273.15+$AO$5)-($AM$5+273.15-$AO$5))*$AM$8*$AM$9</f>
        <v>4.414715719063544</v>
      </c>
      <c r="AF11" s="1058">
        <f>(AI5+273.15+$AO$5)/((AI5+273.15+$AO$5)-($AM$5+273.15-$AO$5))*$AM$8</f>
        <v>4.097192127121704</v>
      </c>
      <c r="AH11" s="1084"/>
      <c r="AI11" s="1085"/>
      <c r="AJ11" s="1085"/>
      <c r="AK11" s="1085"/>
      <c r="AL11" s="1085"/>
      <c r="AU11" s="1090" t="s">
        <v>1946</v>
      </c>
      <c r="AV11" s="1089"/>
      <c r="AW11" s="1076" t="s">
        <v>1876</v>
      </c>
      <c r="AX11" s="1076" t="s">
        <v>1875</v>
      </c>
      <c r="AY11" s="1075" t="s">
        <v>1874</v>
      </c>
      <c r="AZ11" s="1075" t="s">
        <v>1873</v>
      </c>
      <c r="BA11" s="1074" t="s">
        <v>1872</v>
      </c>
      <c r="BB11" s="1074" t="s">
        <v>1871</v>
      </c>
      <c r="BC11" s="1073" t="s">
        <v>1870</v>
      </c>
      <c r="BD11" s="1072" t="s">
        <v>1869</v>
      </c>
      <c r="BE11" s="1085"/>
      <c r="BF11" s="1085"/>
      <c r="BG11" s="1085"/>
      <c r="BH11" s="1085"/>
      <c r="BQ11" s="909" t="s">
        <v>1939</v>
      </c>
      <c r="BR11" s="906">
        <v>2015</v>
      </c>
      <c r="BS11" s="906">
        <v>3.5</v>
      </c>
      <c r="BV11" s="906">
        <f t="shared" si="6"/>
        <v>313.14999999999998</v>
      </c>
      <c r="BW11" s="906">
        <f>80+273.15</f>
        <v>353.15</v>
      </c>
      <c r="BX11" s="906">
        <f t="shared" si="7"/>
        <v>280.64999999999998</v>
      </c>
      <c r="BY11" s="906">
        <f t="shared" si="8"/>
        <v>275.64999999999998</v>
      </c>
      <c r="BZ11" s="909" t="s">
        <v>1938</v>
      </c>
      <c r="CA11" s="1087" t="s">
        <v>1937</v>
      </c>
      <c r="CB11" s="908">
        <f t="shared" si="9"/>
        <v>0.57437849443193578</v>
      </c>
      <c r="CC11" s="908"/>
      <c r="CD11" s="908"/>
    </row>
    <row r="12" spans="1:82" ht="21">
      <c r="A12" s="906">
        <v>11</v>
      </c>
      <c r="B12" s="906" t="s">
        <v>1945</v>
      </c>
      <c r="C12" s="906">
        <v>29189</v>
      </c>
      <c r="D12" s="906" t="s">
        <v>1256</v>
      </c>
      <c r="E12" s="906" t="s">
        <v>1258</v>
      </c>
      <c r="F12" s="1015">
        <f t="shared" ref="F12:L12" si="12">O6</f>
        <v>7.0248372927870801E-3</v>
      </c>
      <c r="G12" s="1014">
        <f t="shared" si="12"/>
        <v>75</v>
      </c>
      <c r="H12" s="1014">
        <f t="shared" si="12"/>
        <v>43</v>
      </c>
      <c r="I12" s="1014">
        <f t="shared" si="12"/>
        <v>75</v>
      </c>
      <c r="J12" s="1013">
        <f t="shared" si="12"/>
        <v>38</v>
      </c>
      <c r="K12" s="1012">
        <f t="shared" si="12"/>
        <v>36.218348662556075</v>
      </c>
      <c r="L12" s="1011">
        <f t="shared" si="12"/>
        <v>0.24022658750966139</v>
      </c>
      <c r="N12" s="1032" t="s">
        <v>1944</v>
      </c>
      <c r="O12" s="1031"/>
      <c r="P12" s="1030">
        <v>72</v>
      </c>
      <c r="Q12" s="1029">
        <v>42</v>
      </c>
      <c r="R12" s="1029">
        <v>85</v>
      </c>
      <c r="S12" s="1028">
        <v>45</v>
      </c>
      <c r="T12" s="1027">
        <v>32.071334210213017</v>
      </c>
      <c r="U12" s="1026">
        <v>0.16574868264164008</v>
      </c>
      <c r="V12" s="906">
        <v>65.069099999999992</v>
      </c>
      <c r="X12" s="906">
        <v>11</v>
      </c>
      <c r="AA12" s="1360"/>
      <c r="AB12" s="1082" t="s">
        <v>1258</v>
      </c>
      <c r="AC12" s="908">
        <f>(AC6+273.15+$AO$5)/((AC6+273.15+$AO$5)-($AM$5+273.15-$AO$5))*$AM$8*$AM$9</f>
        <v>5.2237726638772637</v>
      </c>
      <c r="AD12" s="908">
        <f>(AE6+273.15+$AO$5)/((AE6+273.15+$AO$5)-($AM$5+273.15-$AO$5))*$AM$8*$AM$9</f>
        <v>5.7139519832341934</v>
      </c>
      <c r="AE12" s="908">
        <f>(AG6+273.15+$AO$5)/((AG6+273.15+$AO$5)-($AM$5+273.15-$AO$5))*$AM$8*$AM$9</f>
        <v>5.2237726638772637</v>
      </c>
      <c r="AF12" s="1056">
        <f>(AI6+273.15+$AO$5)/((AI6+273.15+$AO$5)-($AM$5+273.15-$AO$5))*$AM$8</f>
        <v>4.8185845667847031</v>
      </c>
      <c r="AH12" s="1084"/>
      <c r="AI12" s="1085"/>
      <c r="AJ12" s="1085"/>
      <c r="AK12" s="1085"/>
      <c r="AL12" s="1085"/>
      <c r="AU12" s="1057" t="s">
        <v>1257</v>
      </c>
      <c r="AV12" s="1082" t="s">
        <v>1259</v>
      </c>
      <c r="AW12" s="1071">
        <f t="shared" ref="AW12:BD15" si="13">AC5+273.15</f>
        <v>355</v>
      </c>
      <c r="AX12" s="1071">
        <f t="shared" si="13"/>
        <v>322.05312499999997</v>
      </c>
      <c r="AY12" s="1088">
        <f t="shared" si="13"/>
        <v>350.98529411764707</v>
      </c>
      <c r="AZ12" s="1088">
        <f t="shared" si="13"/>
        <v>322.33749999999998</v>
      </c>
      <c r="BA12" s="1069">
        <f t="shared" si="13"/>
        <v>355</v>
      </c>
      <c r="BB12" s="1069">
        <f t="shared" si="13"/>
        <v>322.05312499999997</v>
      </c>
      <c r="BC12" s="1068">
        <f t="shared" si="13"/>
        <v>359.01470588235293</v>
      </c>
      <c r="BD12" s="1067">
        <f t="shared" si="13"/>
        <v>321.76874999999995</v>
      </c>
      <c r="BE12" s="1085"/>
      <c r="BF12" s="1085"/>
      <c r="BG12" s="1085"/>
      <c r="BH12" s="1085"/>
      <c r="BQ12" s="909" t="s">
        <v>1939</v>
      </c>
      <c r="BR12" s="906">
        <v>2020</v>
      </c>
      <c r="BS12" s="906">
        <v>4</v>
      </c>
      <c r="BT12" s="906">
        <v>3.5</v>
      </c>
      <c r="BU12" s="906">
        <v>4.5</v>
      </c>
      <c r="BV12" s="906">
        <f t="shared" si="6"/>
        <v>313.14999999999998</v>
      </c>
      <c r="BW12" s="906">
        <f>75+273.15</f>
        <v>348.15</v>
      </c>
      <c r="BX12" s="906">
        <f t="shared" si="7"/>
        <v>280.64999999999998</v>
      </c>
      <c r="BY12" s="906">
        <f t="shared" si="8"/>
        <v>275.64999999999998</v>
      </c>
      <c r="BZ12" s="909" t="s">
        <v>1938</v>
      </c>
      <c r="CA12" s="1087" t="s">
        <v>1937</v>
      </c>
      <c r="CB12" s="908">
        <f t="shared" si="9"/>
        <v>0.63205619065481244</v>
      </c>
      <c r="CC12" s="908">
        <f>BT12/((($BV12-$BW12)/LN($BV12/$BW12))/(($BV12-$BW12)/LN($BV12/$BW12)-($BX12-$BY12)/LN($BX12/$BY12)))</f>
        <v>0.5530491668229609</v>
      </c>
      <c r="CD12" s="908">
        <f>BU12/((($BV12-$BW12)/LN($BV12/$BW12))/(($BV12-$BW12)/LN($BV12/$BW12)-($BX12-$BY12)/LN($BX12/$BY12)))</f>
        <v>0.71106321448666399</v>
      </c>
    </row>
    <row r="13" spans="1:82" ht="21">
      <c r="A13" s="906">
        <v>12</v>
      </c>
      <c r="B13" s="906" t="s">
        <v>1943</v>
      </c>
      <c r="C13" s="906">
        <v>29189</v>
      </c>
      <c r="D13" s="906" t="s">
        <v>1256</v>
      </c>
      <c r="E13" s="906" t="s">
        <v>1258</v>
      </c>
      <c r="F13" s="1015"/>
      <c r="G13" s="1014"/>
      <c r="H13" s="1014"/>
      <c r="I13" s="1014"/>
      <c r="J13" s="1013"/>
      <c r="K13" s="1012"/>
      <c r="L13" s="1011"/>
      <c r="N13" s="1032" t="s">
        <v>1942</v>
      </c>
      <c r="O13" s="1031">
        <v>7.1007682553889756E-2</v>
      </c>
      <c r="P13" s="1030">
        <v>68</v>
      </c>
      <c r="Q13" s="1029">
        <v>38</v>
      </c>
      <c r="R13" s="1029">
        <v>72</v>
      </c>
      <c r="S13" s="1028">
        <v>33</v>
      </c>
      <c r="T13" s="1027">
        <v>35.785327457812848</v>
      </c>
      <c r="U13" s="1026">
        <v>0.28133279807306305</v>
      </c>
      <c r="V13" s="906">
        <v>8.9510000000000005</v>
      </c>
      <c r="X13" s="906">
        <v>12</v>
      </c>
      <c r="AA13" s="1360" t="s">
        <v>1256</v>
      </c>
      <c r="AB13" s="1082" t="s">
        <v>1259</v>
      </c>
      <c r="AC13" s="908">
        <f>(AC7+273.15+$AO$5)/((AC7+273.15+$AO$5)-($AM$5+273.15-$AO$5))*$AM$8*$AM$9</f>
        <v>4.7660168873136666</v>
      </c>
      <c r="AD13" s="908">
        <f>(AE7+273.15+$AO$5)/((AE7+273.15+$AO$5)-($AM$5+273.15-$AO$5))*$AM$8*$AM$9</f>
        <v>5.1697361407249485</v>
      </c>
      <c r="AE13" s="908">
        <f>(AG7+273.15+$AO$5)/((AG7+273.15+$AO$5)-($AM$5+273.15-$AO$5))*$AM$8*$AM$9</f>
        <v>4.7660168873136666</v>
      </c>
      <c r="AF13" s="1056">
        <f>(AI7+273.15+$AO$5)/((AI7+273.15+$AO$5)-($AM$5+273.15-$AO$5))*$AM$8</f>
        <v>4.4271889180034503</v>
      </c>
      <c r="AH13" s="1084"/>
      <c r="AI13" s="1084"/>
      <c r="AJ13" s="1084"/>
      <c r="AK13" s="1084"/>
      <c r="AL13" s="1084"/>
      <c r="AU13" s="1057" t="s">
        <v>1257</v>
      </c>
      <c r="AV13" s="1082" t="s">
        <v>1258</v>
      </c>
      <c r="AW13" s="1071">
        <f t="shared" si="13"/>
        <v>347.23620689655172</v>
      </c>
      <c r="AX13" s="1071">
        <f t="shared" si="13"/>
        <v>314.17380769230766</v>
      </c>
      <c r="AY13" s="1088">
        <f t="shared" si="13"/>
        <v>343.71586206896552</v>
      </c>
      <c r="AZ13" s="1088">
        <f t="shared" si="13"/>
        <v>315.74961538461537</v>
      </c>
      <c r="BA13" s="1069">
        <f t="shared" si="13"/>
        <v>347.23620689655172</v>
      </c>
      <c r="BB13" s="1069">
        <f t="shared" si="13"/>
        <v>314.17380769230766</v>
      </c>
      <c r="BC13" s="1068">
        <f t="shared" si="13"/>
        <v>350.75655172413792</v>
      </c>
      <c r="BD13" s="1067">
        <f t="shared" si="13"/>
        <v>312.59799999999996</v>
      </c>
      <c r="BE13" s="1084"/>
      <c r="BF13" s="1084"/>
      <c r="BG13" s="1084"/>
      <c r="BH13" s="1084"/>
      <c r="BQ13" s="909" t="s">
        <v>1939</v>
      </c>
      <c r="BR13" s="906">
        <v>2030</v>
      </c>
      <c r="BS13" s="906">
        <v>4.8</v>
      </c>
      <c r="BV13" s="906">
        <f>35+273.15</f>
        <v>308.14999999999998</v>
      </c>
      <c r="BW13" s="906">
        <f>70+273.15</f>
        <v>343.15</v>
      </c>
      <c r="BX13" s="906">
        <f t="shared" si="7"/>
        <v>280.64999999999998</v>
      </c>
      <c r="BY13" s="906">
        <f t="shared" si="8"/>
        <v>275.64999999999998</v>
      </c>
      <c r="BZ13" s="909" t="s">
        <v>1938</v>
      </c>
      <c r="CA13" s="1087" t="s">
        <v>1937</v>
      </c>
      <c r="CB13" s="908">
        <f t="shared" si="9"/>
        <v>0.69629525282299742</v>
      </c>
      <c r="CC13" s="908"/>
      <c r="CD13" s="908"/>
    </row>
    <row r="14" spans="1:82" ht="21.6" thickBot="1">
      <c r="A14" s="906">
        <v>13</v>
      </c>
      <c r="B14" s="906" t="s">
        <v>1941</v>
      </c>
      <c r="C14" s="906">
        <v>29189</v>
      </c>
      <c r="D14" s="906" t="s">
        <v>1256</v>
      </c>
      <c r="E14" s="906" t="s">
        <v>1258</v>
      </c>
      <c r="F14" s="1015">
        <f t="shared" ref="F14:L16" si="14">O7</f>
        <v>0</v>
      </c>
      <c r="G14" s="1014">
        <f t="shared" si="14"/>
        <v>67</v>
      </c>
      <c r="H14" s="1014">
        <f t="shared" si="14"/>
        <v>38</v>
      </c>
      <c r="I14" s="1014">
        <f t="shared" si="14"/>
        <v>67</v>
      </c>
      <c r="J14" s="1013">
        <f t="shared" si="14"/>
        <v>34</v>
      </c>
      <c r="K14" s="1012">
        <f t="shared" si="14"/>
        <v>32.944934232948974</v>
      </c>
      <c r="L14" s="1011">
        <f t="shared" si="14"/>
        <v>0.25541295960947957</v>
      </c>
      <c r="N14" s="1032" t="s">
        <v>1940</v>
      </c>
      <c r="O14" s="1031"/>
      <c r="P14" s="1030">
        <v>69</v>
      </c>
      <c r="Q14" s="1029">
        <v>41</v>
      </c>
      <c r="R14" s="1029">
        <v>72</v>
      </c>
      <c r="S14" s="1028">
        <v>36</v>
      </c>
      <c r="T14" s="1027">
        <v>34.4</v>
      </c>
      <c r="U14" s="1026">
        <v>0.18216666666666667</v>
      </c>
      <c r="V14" s="906">
        <v>63.790999999999997</v>
      </c>
      <c r="X14" s="906">
        <v>13</v>
      </c>
      <c r="AA14" s="1361"/>
      <c r="AB14" s="1081" t="s">
        <v>1258</v>
      </c>
      <c r="AC14" s="1054">
        <f>(AC8+273.15+$AO$5)/((AC8+273.15+$AO$5)-($AM$5+273.15-$AO$5))*$AM$8*$AM$9</f>
        <v>5.4089536887527059</v>
      </c>
      <c r="AD14" s="1054">
        <f>(AE8+273.15+$AO$5)/((AE8+273.15+$AO$5)-($AM$5+273.15-$AO$5))*$AM$8*$AM$9</f>
        <v>5.6935476069180924</v>
      </c>
      <c r="AE14" s="1054">
        <f>(AG8+273.15+$AO$5)/((AG8+273.15+$AO$5)-($AM$5+273.15-$AO$5))*$AM$8*$AM$9</f>
        <v>5.4089536887527059</v>
      </c>
      <c r="AF14" s="1053">
        <f>(AI8+273.15+$AO$5)/((AI8+273.15+$AO$5)-($AM$5+273.15-$AO$5))*$AM$8</f>
        <v>5.1542019174371889</v>
      </c>
      <c r="AH14" s="1084"/>
      <c r="AI14" s="1084"/>
      <c r="AJ14" s="1084"/>
      <c r="AU14" s="1057" t="s">
        <v>1256</v>
      </c>
      <c r="AV14" s="1082" t="s">
        <v>1259</v>
      </c>
      <c r="AW14" s="1071">
        <f t="shared" si="13"/>
        <v>351.26285714285711</v>
      </c>
      <c r="AX14" s="1071">
        <f t="shared" si="13"/>
        <v>317.28793103448277</v>
      </c>
      <c r="AY14" s="1088">
        <f t="shared" si="13"/>
        <v>347.66999999999996</v>
      </c>
      <c r="AZ14" s="1088">
        <f t="shared" si="13"/>
        <v>318.96724137931034</v>
      </c>
      <c r="BA14" s="1069">
        <f t="shared" si="13"/>
        <v>351.26285714285711</v>
      </c>
      <c r="BB14" s="1069">
        <f t="shared" si="13"/>
        <v>317.28793103448277</v>
      </c>
      <c r="BC14" s="1068">
        <f t="shared" si="13"/>
        <v>354.85571428571427</v>
      </c>
      <c r="BD14" s="1067">
        <f t="shared" si="13"/>
        <v>315.60862068965514</v>
      </c>
      <c r="BI14" s="908"/>
      <c r="BQ14" s="909" t="s">
        <v>1939</v>
      </c>
      <c r="BR14" s="906">
        <v>2050</v>
      </c>
      <c r="BS14" s="906">
        <v>6</v>
      </c>
      <c r="BT14" s="906">
        <v>3.5</v>
      </c>
      <c r="BU14" s="906">
        <v>7</v>
      </c>
      <c r="BV14" s="906">
        <f>30+273.15</f>
        <v>303.14999999999998</v>
      </c>
      <c r="BW14" s="906">
        <f>60+273.15</f>
        <v>333.15</v>
      </c>
      <c r="BX14" s="906">
        <f t="shared" si="7"/>
        <v>280.64999999999998</v>
      </c>
      <c r="BY14" s="906">
        <f t="shared" si="8"/>
        <v>275.64999999999998</v>
      </c>
      <c r="BZ14" s="909" t="s">
        <v>1938</v>
      </c>
      <c r="CA14" s="1087" t="s">
        <v>1937</v>
      </c>
      <c r="CB14" s="908">
        <f t="shared" si="9"/>
        <v>0.75061048720144463</v>
      </c>
      <c r="CC14" s="908">
        <f>BT14/((($BV14-$BW14)/LN($BV14/$BW14))/(($BV14-$BW14)/LN($BV14/$BW14)-($BX14-$BY14)/LN($BX14/$BY14)))</f>
        <v>0.43785611753417603</v>
      </c>
      <c r="CD14" s="908">
        <f>BU14/((($BV14-$BW14)/LN($BV14/$BW14))/(($BV14-$BW14)/LN($BV14/$BW14)-($BX14-$BY14)/LN($BX14/$BY14)))</f>
        <v>0.87571223506835205</v>
      </c>
    </row>
    <row r="15" spans="1:82" ht="21.6" thickBot="1">
      <c r="A15" s="906">
        <v>14</v>
      </c>
      <c r="B15" s="906" t="s">
        <v>1936</v>
      </c>
      <c r="C15" s="906">
        <v>29189</v>
      </c>
      <c r="D15" s="906" t="s">
        <v>1256</v>
      </c>
      <c r="E15" s="906" t="s">
        <v>1258</v>
      </c>
      <c r="F15" s="1015">
        <f t="shared" si="14"/>
        <v>9.2234454031538231E-3</v>
      </c>
      <c r="G15" s="1014">
        <f t="shared" si="14"/>
        <v>72</v>
      </c>
      <c r="H15" s="1014">
        <f t="shared" si="14"/>
        <v>36.799999999999997</v>
      </c>
      <c r="I15" s="1014">
        <f t="shared" si="14"/>
        <v>72</v>
      </c>
      <c r="J15" s="1013">
        <f t="shared" si="14"/>
        <v>33.299999999999997</v>
      </c>
      <c r="K15" s="1012">
        <f t="shared" si="14"/>
        <v>36.219113113587859</v>
      </c>
      <c r="L15" s="1011">
        <f t="shared" si="14"/>
        <v>0.25401651651651652</v>
      </c>
      <c r="N15" s="1032" t="s">
        <v>1935</v>
      </c>
      <c r="O15" s="1031"/>
      <c r="P15" s="1030">
        <v>68</v>
      </c>
      <c r="Q15" s="1029">
        <v>38</v>
      </c>
      <c r="R15" s="1029">
        <v>66</v>
      </c>
      <c r="S15" s="1028">
        <v>35</v>
      </c>
      <c r="T15" s="1027" t="s">
        <v>842</v>
      </c>
      <c r="U15" s="1026">
        <v>0.20638929769658007</v>
      </c>
      <c r="V15" s="906">
        <v>28.148578000000001</v>
      </c>
      <c r="X15" s="906">
        <v>14</v>
      </c>
      <c r="AI15" s="1014"/>
      <c r="AU15" s="1055" t="s">
        <v>1256</v>
      </c>
      <c r="AV15" s="1081" t="s">
        <v>1258</v>
      </c>
      <c r="AW15" s="1066">
        <f t="shared" si="13"/>
        <v>345.82280346820806</v>
      </c>
      <c r="AX15" s="1066">
        <f t="shared" si="13"/>
        <v>311.40503246753246</v>
      </c>
      <c r="AY15" s="1086">
        <f t="shared" si="13"/>
        <v>343.84901734104045</v>
      </c>
      <c r="AZ15" s="1086">
        <f t="shared" si="13"/>
        <v>312.81506493506492</v>
      </c>
      <c r="BA15" s="1063">
        <f t="shared" si="13"/>
        <v>345.82280346820806</v>
      </c>
      <c r="BB15" s="1063">
        <f t="shared" si="13"/>
        <v>311.40503246753246</v>
      </c>
      <c r="BC15" s="1062">
        <f t="shared" si="13"/>
        <v>347.79658959537574</v>
      </c>
      <c r="BD15" s="1061">
        <f t="shared" si="13"/>
        <v>309.99499999999995</v>
      </c>
      <c r="BI15" s="908"/>
      <c r="BQ15" s="909" t="s">
        <v>1928</v>
      </c>
      <c r="BR15" s="906">
        <v>2015</v>
      </c>
      <c r="BS15" s="906">
        <v>4.4000000000000004</v>
      </c>
      <c r="BV15" s="906">
        <f>40+273.15</f>
        <v>313.14999999999998</v>
      </c>
      <c r="BW15" s="906">
        <f>80+273.15</f>
        <v>353.15</v>
      </c>
      <c r="BX15" s="906">
        <f>20+273.15</f>
        <v>293.14999999999998</v>
      </c>
      <c r="BY15" s="906">
        <f>15+273.15</f>
        <v>288.14999999999998</v>
      </c>
      <c r="CB15" s="908">
        <f t="shared" si="9"/>
        <v>0.55678200488073171</v>
      </c>
      <c r="CC15" s="908"/>
      <c r="CD15" s="908"/>
    </row>
    <row r="16" spans="1:82">
      <c r="A16" s="906">
        <v>15</v>
      </c>
      <c r="B16" s="906" t="s">
        <v>1934</v>
      </c>
      <c r="C16" s="906">
        <v>29189</v>
      </c>
      <c r="D16" s="906" t="s">
        <v>1256</v>
      </c>
      <c r="E16" s="906" t="s">
        <v>1258</v>
      </c>
      <c r="F16" s="1015">
        <f t="shared" si="14"/>
        <v>1.8127714881827821E-3</v>
      </c>
      <c r="G16" s="1014">
        <f t="shared" si="14"/>
        <v>72</v>
      </c>
      <c r="H16" s="1014">
        <f t="shared" si="14"/>
        <v>35</v>
      </c>
      <c r="I16" s="1014">
        <f t="shared" si="14"/>
        <v>72</v>
      </c>
      <c r="J16" s="1013">
        <f t="shared" si="14"/>
        <v>32</v>
      </c>
      <c r="K16" s="1012" t="str">
        <f t="shared" si="14"/>
        <v/>
      </c>
      <c r="L16" s="1011">
        <f t="shared" si="14"/>
        <v>0.28255208333333331</v>
      </c>
      <c r="N16" s="1032" t="s">
        <v>1933</v>
      </c>
      <c r="O16" s="1031"/>
      <c r="P16" s="1030">
        <v>75</v>
      </c>
      <c r="Q16" s="1029">
        <v>45</v>
      </c>
      <c r="R16" s="1029">
        <v>80</v>
      </c>
      <c r="S16" s="1028">
        <v>42</v>
      </c>
      <c r="T16" s="1027" t="s">
        <v>842</v>
      </c>
      <c r="U16" s="1026">
        <v>0.23425876726886291</v>
      </c>
      <c r="V16" s="906">
        <v>23.058</v>
      </c>
      <c r="X16" s="906">
        <v>15</v>
      </c>
      <c r="BI16" s="908"/>
      <c r="BQ16" s="909" t="s">
        <v>1928</v>
      </c>
      <c r="BR16" s="906">
        <v>2020</v>
      </c>
      <c r="BS16" s="906">
        <v>5</v>
      </c>
      <c r="BT16" s="906">
        <v>4.4000000000000004</v>
      </c>
      <c r="BU16" s="906">
        <v>6</v>
      </c>
      <c r="BV16" s="906">
        <f>40+273.15</f>
        <v>313.14999999999998</v>
      </c>
      <c r="BW16" s="906">
        <f>75+273.15</f>
        <v>348.15</v>
      </c>
      <c r="BX16" s="906">
        <f>20+273.15</f>
        <v>293.14999999999998</v>
      </c>
      <c r="BY16" s="906">
        <f>15+273.15</f>
        <v>288.14999999999998</v>
      </c>
      <c r="CB16" s="908">
        <f t="shared" si="9"/>
        <v>0.60086694739965307</v>
      </c>
      <c r="CC16" s="908">
        <f>BT16/((($BV16-$BW16)/LN($BV16/$BW16))/(($BV16-$BW16)/LN($BV16/$BW16)-($BX16-$BY16)/LN($BX16/$BY16)))</f>
        <v>0.52876291371169482</v>
      </c>
      <c r="CD16" s="908">
        <f>BU16/((($BV16-$BW16)/LN($BV16/$BW16))/(($BV16-$BW16)/LN($BV16/$BW16)-($BX16-$BY16)/LN($BX16/$BY16)))</f>
        <v>0.7210403368795838</v>
      </c>
    </row>
    <row r="17" spans="1:82" ht="15" thickBot="1">
      <c r="A17" s="906">
        <v>16</v>
      </c>
      <c r="B17" s="906" t="s">
        <v>1932</v>
      </c>
      <c r="C17" s="906">
        <v>29189</v>
      </c>
      <c r="D17" s="906" t="s">
        <v>1256</v>
      </c>
      <c r="E17" s="906" t="s">
        <v>1258</v>
      </c>
      <c r="F17" s="1015"/>
      <c r="G17" s="1014"/>
      <c r="H17" s="1014"/>
      <c r="I17" s="1014"/>
      <c r="J17" s="1013"/>
      <c r="K17" s="1012"/>
      <c r="L17" s="1011"/>
      <c r="N17" s="1032" t="s">
        <v>1931</v>
      </c>
      <c r="O17" s="1031"/>
      <c r="P17" s="1030">
        <v>68</v>
      </c>
      <c r="Q17" s="1029">
        <v>42</v>
      </c>
      <c r="R17" s="1029">
        <v>71</v>
      </c>
      <c r="S17" s="1028">
        <v>39</v>
      </c>
      <c r="T17" s="1027"/>
      <c r="U17" s="1026">
        <v>0.36491505815015529</v>
      </c>
      <c r="V17" s="906">
        <v>10.43</v>
      </c>
      <c r="X17" s="906">
        <v>16</v>
      </c>
      <c r="AA17" s="906" t="s">
        <v>1849</v>
      </c>
      <c r="AC17" s="906" t="s">
        <v>1848</v>
      </c>
      <c r="AD17" s="906" t="s">
        <v>1847</v>
      </c>
      <c r="AE17" s="906" t="s">
        <v>1846</v>
      </c>
      <c r="AF17" s="906" t="s">
        <v>1845</v>
      </c>
      <c r="AU17" s="906" t="s">
        <v>1836</v>
      </c>
      <c r="AW17" s="906" t="s">
        <v>1848</v>
      </c>
      <c r="AX17" s="906" t="s">
        <v>1847</v>
      </c>
      <c r="AY17" s="906" t="s">
        <v>1846</v>
      </c>
      <c r="AZ17" s="906" t="s">
        <v>1845</v>
      </c>
      <c r="BI17" s="908"/>
      <c r="BQ17" s="909" t="s">
        <v>1928</v>
      </c>
      <c r="BR17" s="906">
        <v>2030</v>
      </c>
      <c r="BS17" s="906">
        <v>6</v>
      </c>
      <c r="BV17" s="906">
        <f>35+273.15</f>
        <v>308.14999999999998</v>
      </c>
      <c r="BW17" s="906">
        <f>70+273.15</f>
        <v>343.15</v>
      </c>
      <c r="BX17" s="906">
        <f>20+273.15</f>
        <v>293.14999999999998</v>
      </c>
      <c r="BY17" s="906">
        <f>15+273.15</f>
        <v>288.14999999999998</v>
      </c>
      <c r="CB17" s="908">
        <f t="shared" si="9"/>
        <v>0.63983242792604467</v>
      </c>
      <c r="CC17" s="908"/>
      <c r="CD17" s="908"/>
    </row>
    <row r="18" spans="1:82" ht="18">
      <c r="A18" s="906">
        <v>17</v>
      </c>
      <c r="B18" s="906" t="s">
        <v>1930</v>
      </c>
      <c r="C18" s="906">
        <v>55606</v>
      </c>
      <c r="D18" s="906" t="s">
        <v>1257</v>
      </c>
      <c r="E18" s="906" t="s">
        <v>1259</v>
      </c>
      <c r="F18" s="1015">
        <f t="shared" ref="F18:L18" si="15">O47</f>
        <v>0</v>
      </c>
      <c r="G18" s="1014">
        <f t="shared" si="15"/>
        <v>165</v>
      </c>
      <c r="H18" s="1014">
        <f t="shared" si="15"/>
        <v>100</v>
      </c>
      <c r="I18" s="1014">
        <f t="shared" si="15"/>
        <v>165</v>
      </c>
      <c r="J18" s="1013">
        <f t="shared" si="15"/>
        <v>70</v>
      </c>
      <c r="K18" s="1012" t="str">
        <f t="shared" si="15"/>
        <v/>
      </c>
      <c r="L18" s="1011">
        <f t="shared" si="15"/>
        <v>0.2390308275898915</v>
      </c>
      <c r="N18" s="1038" t="s">
        <v>1929</v>
      </c>
      <c r="O18" s="1037"/>
      <c r="P18" s="1036">
        <v>68</v>
      </c>
      <c r="Q18" s="1014">
        <v>0</v>
      </c>
      <c r="R18" s="1014">
        <v>68</v>
      </c>
      <c r="S18" s="1013">
        <v>0</v>
      </c>
      <c r="T18" s="1012" t="s">
        <v>842</v>
      </c>
      <c r="U18" s="1035"/>
      <c r="V18" s="906" t="s">
        <v>842</v>
      </c>
      <c r="X18" s="906">
        <v>17</v>
      </c>
      <c r="AA18" s="1362" t="s">
        <v>1257</v>
      </c>
      <c r="AB18" s="1083" t="s">
        <v>1259</v>
      </c>
      <c r="AC18" s="1059">
        <f>(AC5+273.15+$AO$6)/((AC5+273.15+$AO$6)-($AM$6+273.15-$AO$6))*$AM$8*$AM$9</f>
        <v>6.302982731554156</v>
      </c>
      <c r="AD18" s="1059">
        <f>(AE5+273.15+$AO$6)/((AE5+273.15+$AO$6)-($AM$6+273.15-$AO$6))*$AM$8*$AM$9</f>
        <v>7.1327398562975395</v>
      </c>
      <c r="AE18" s="1059">
        <f>(AG5+273.15+$AO$6)/((AG5+273.15+$AO$6)-($AM$6+273.15-$AO$6))*$AM$8*$AM$9</f>
        <v>6.302982731554156</v>
      </c>
      <c r="AF18" s="1058">
        <f>(AI5+273.15+$AO$6)/((AI5+273.15+$AO$6)-($AM$6+273.15-$AO$6))*$AM$8</f>
        <v>5.6589921272757078</v>
      </c>
      <c r="AU18" s="1362" t="s">
        <v>1257</v>
      </c>
      <c r="AV18" s="1083" t="s">
        <v>1259</v>
      </c>
      <c r="AW18" s="1059">
        <f>((AX12-AW12)/LN(AX12/AW12))/((AX12-AW12)/LN(AX12/AW12)-($BI$5-$BK$5-$BM$5)/LN(($BI$5-$BK$5)/$BM$5))*$BI$8</f>
        <v>4.6633529060719239</v>
      </c>
      <c r="AX18" s="1059">
        <f>((AZ12-AY12)/LN(AZ12/AY12))/((AZ12-AY12)/LN(AZ12/AY12)-($BI$5-$BK$5-$BM$5)/LN(($BI$5-$BK$5)/$BM$5))*$BI$8</f>
        <v>4.8492510247196225</v>
      </c>
      <c r="AY18" s="1059">
        <f>((BB12-BA12)/LN(BB12/BA12))/((BB12-BA12)/LN(BB12/BA12)-($BI$5-$BK$5-$BM$5)/LN(($BI$5-$BK$5)/$BM$5))*$BI$8</f>
        <v>4.6633529060719239</v>
      </c>
      <c r="AZ18" s="1059">
        <f>((BD12-BC12)/LN(BD12/BC12))/((BD12-BC12)/LN(BD12/BC12)-($BI$5-$BK$5-$BM$5)/LN(($BI$5-$BK$5)/$BM$5))*$BI$8</f>
        <v>4.4936985661605204</v>
      </c>
      <c r="BB18" s="1084"/>
      <c r="BC18" s="1085"/>
      <c r="BD18" s="1085"/>
      <c r="BQ18" s="909" t="s">
        <v>1928</v>
      </c>
      <c r="BR18" s="906">
        <v>2050</v>
      </c>
      <c r="BS18" s="906">
        <v>7.4</v>
      </c>
      <c r="BT18" s="906">
        <v>4.4000000000000004</v>
      </c>
      <c r="BU18" s="906">
        <v>8.5</v>
      </c>
      <c r="BV18" s="906">
        <f>30+273.15</f>
        <v>303.14999999999998</v>
      </c>
      <c r="BW18" s="906">
        <f>60+273.15</f>
        <v>333.15</v>
      </c>
      <c r="BX18" s="906">
        <f>20+273.15</f>
        <v>293.14999999999998</v>
      </c>
      <c r="BY18" s="906">
        <f>15+273.15</f>
        <v>288.14999999999998</v>
      </c>
      <c r="CB18" s="908">
        <f t="shared" si="9"/>
        <v>0.63478635747606904</v>
      </c>
      <c r="CC18" s="908">
        <f>BT18/((($BV18-$BW18)/LN($BV18/$BW18))/(($BV18-$BW18)/LN($BV18/$BW18)-($BX18-$BY18)/LN($BX18/$BY18)))</f>
        <v>0.37744053687766266</v>
      </c>
      <c r="CD18" s="908">
        <f>BU18/((($BV18-$BW18)/LN($BV18/$BW18))/(($BV18-$BW18)/LN($BV18/$BW18)-($BX18-$BY18)/LN($BX18/$BY18)))</f>
        <v>0.72914649169548462</v>
      </c>
    </row>
    <row r="19" spans="1:82" ht="18">
      <c r="A19" s="906">
        <v>18</v>
      </c>
      <c r="B19" s="906" t="s">
        <v>1927</v>
      </c>
      <c r="C19" s="906">
        <v>23795</v>
      </c>
      <c r="D19" s="906" t="s">
        <v>1256</v>
      </c>
      <c r="E19" s="906" t="s">
        <v>1258</v>
      </c>
      <c r="F19" s="1015"/>
      <c r="G19" s="1014"/>
      <c r="H19" s="1014"/>
      <c r="I19" s="1014"/>
      <c r="J19" s="1013"/>
      <c r="K19" s="1012"/>
      <c r="L19" s="1011"/>
      <c r="N19" s="1032" t="s">
        <v>1926</v>
      </c>
      <c r="O19" s="1031"/>
      <c r="P19" s="1030">
        <v>70</v>
      </c>
      <c r="Q19" s="1029">
        <v>0</v>
      </c>
      <c r="R19" s="1029">
        <v>75</v>
      </c>
      <c r="S19" s="1028">
        <v>0</v>
      </c>
      <c r="T19" s="1027" t="s">
        <v>842</v>
      </c>
      <c r="U19" s="1026"/>
      <c r="V19" s="906" t="s">
        <v>842</v>
      </c>
      <c r="X19" s="906">
        <v>18</v>
      </c>
      <c r="AA19" s="1360"/>
      <c r="AB19" s="1082" t="s">
        <v>1258</v>
      </c>
      <c r="AC19" s="908">
        <f>(AC6+273.15+$AO$6)/((AC6+273.15+$AO$6)-($AM$6+273.15-$AO$6))*$AM$8*$AM$9</f>
        <v>8.1573622047244037</v>
      </c>
      <c r="AD19" s="908">
        <f>(AE6+273.15+$AO$6)/((AE6+273.15+$AO$6)-($AM$6+273.15-$AO$6))*$AM$8*$AM$9</f>
        <v>9.459546285273543</v>
      </c>
      <c r="AE19" s="908">
        <f>(AG6+273.15+$AO$6)/((AG6+273.15+$AO$6)-($AM$6+273.15-$AO$6))*$AM$8*$AM$9</f>
        <v>8.1573622047244037</v>
      </c>
      <c r="AF19" s="1056">
        <f>(AI6+273.15+$AO$6)/((AI6+273.15+$AO$6)-($AM$6+273.15-$AO$6))*$AM$8</f>
        <v>7.1872831286925862</v>
      </c>
      <c r="AU19" s="1360"/>
      <c r="AV19" s="1082" t="s">
        <v>1258</v>
      </c>
      <c r="AW19" s="908">
        <f>((AX13-AW13)/LN(AX13/AW13))/((AX13-AW13)/LN(AX13/AW13)-($BI$5-$BK$5-$BM$5)/LN(($BI$5-$BK$5)/$BM$5))*$BI$8</f>
        <v>5.6164711608549638</v>
      </c>
      <c r="AX19" s="908">
        <f>((AZ13-AY13)/LN(AZ13/AY13))/((AZ13-AY13)/LN(AZ13/AY13)-($BI$5-$BK$5-$BM$5)/LN(($BI$5-$BK$5)/$BM$5))*$BI$8</f>
        <v>5.7543730542548044</v>
      </c>
      <c r="AY19" s="908">
        <f>((BB13-BA13)/LN(BB13/BA13))/((BB13-BA13)/LN(BB13/BA13)-($BI$5-$BK$5-$BM$5)/LN(($BI$5-$BK$5)/$BM$5))*$BI$8</f>
        <v>5.6164711608549638</v>
      </c>
      <c r="AZ19" s="908">
        <f>((BD13-BC13)/LN(BD13/BC13))/((BD13-BC13)/LN(BD13/BC13)-($BI$5-$BK$5-$BM$5)/LN(($BI$5-$BK$5)/$BM$5))*$BI$8</f>
        <v>5.4875186252728483</v>
      </c>
      <c r="BB19" s="1084"/>
      <c r="BC19" s="1085"/>
      <c r="BD19" s="1085"/>
      <c r="BQ19" s="909" t="s">
        <v>1919</v>
      </c>
      <c r="BR19" s="906">
        <v>2015</v>
      </c>
      <c r="BS19" s="906">
        <v>7</v>
      </c>
      <c r="BV19" s="906">
        <f>40+273.15</f>
        <v>313.14999999999998</v>
      </c>
      <c r="BW19" s="906">
        <f>80+273.15</f>
        <v>353.15</v>
      </c>
      <c r="BX19" s="906">
        <f>40+273.15</f>
        <v>313.14999999999998</v>
      </c>
      <c r="BY19" s="906">
        <f>25+273.15</f>
        <v>298.14999999999998</v>
      </c>
      <c r="CB19" s="908">
        <f t="shared" si="9"/>
        <v>0.57137667700311223</v>
      </c>
      <c r="CC19" s="908"/>
      <c r="CD19" s="908"/>
    </row>
    <row r="20" spans="1:82" ht="18">
      <c r="A20" s="906">
        <v>19</v>
      </c>
      <c r="B20" s="906" t="s">
        <v>1925</v>
      </c>
      <c r="C20" s="906">
        <v>29189</v>
      </c>
      <c r="D20" s="906" t="s">
        <v>1256</v>
      </c>
      <c r="E20" s="906" t="s">
        <v>1258</v>
      </c>
      <c r="F20" s="1015">
        <f t="shared" ref="F20:L24" si="16">O10</f>
        <v>0</v>
      </c>
      <c r="G20" s="1014">
        <f t="shared" si="16"/>
        <v>71</v>
      </c>
      <c r="H20" s="1014">
        <f t="shared" si="16"/>
        <v>39</v>
      </c>
      <c r="I20" s="1014">
        <f t="shared" si="16"/>
        <v>74</v>
      </c>
      <c r="J20" s="1013">
        <f t="shared" si="16"/>
        <v>36</v>
      </c>
      <c r="K20" s="1012">
        <f t="shared" si="16"/>
        <v>36.171486224056316</v>
      </c>
      <c r="L20" s="1011">
        <f t="shared" si="16"/>
        <v>0.28352421318423665</v>
      </c>
      <c r="N20" s="1038" t="s">
        <v>1924</v>
      </c>
      <c r="O20" s="1037">
        <v>1.9270222743259086E-2</v>
      </c>
      <c r="P20" s="1036">
        <v>65</v>
      </c>
      <c r="Q20" s="1014">
        <v>65</v>
      </c>
      <c r="R20" s="1014">
        <v>72</v>
      </c>
      <c r="S20" s="1013">
        <v>72</v>
      </c>
      <c r="T20" s="1012">
        <v>37.546684236792231</v>
      </c>
      <c r="U20" s="1035"/>
      <c r="V20" s="906">
        <v>9.9410000000000002E-3</v>
      </c>
      <c r="X20" s="906">
        <v>19</v>
      </c>
      <c r="AA20" s="1360" t="s">
        <v>1256</v>
      </c>
      <c r="AB20" s="1082" t="s">
        <v>1259</v>
      </c>
      <c r="AC20" s="908">
        <f>(AC7+273.15+$AO$6)/((AC7+273.15+$AO$6)-($AM$6+273.15-$AO$6))*$AM$8*$AM$9</f>
        <v>7.0677473448854125</v>
      </c>
      <c r="AD20" s="908">
        <f>(AE7+273.15+$AO$6)/((AE7+273.15+$AO$6)-($AM$6+273.15-$AO$6))*$AM$8*$AM$9</f>
        <v>8.0227773246329583</v>
      </c>
      <c r="AE20" s="908">
        <f>(AG7+273.15+$AO$6)/((AG7+273.15+$AO$6)-($AM$6+273.15-$AO$6))*$AM$8*$AM$9</f>
        <v>7.0677473448854125</v>
      </c>
      <c r="AF20" s="1056">
        <f>(AI7+273.15+$AO$6)/((AI7+273.15+$AO$6)-($AM$6+273.15-$AO$6))*$AM$8</f>
        <v>6.329163287374965</v>
      </c>
      <c r="AU20" s="1360" t="s">
        <v>1256</v>
      </c>
      <c r="AV20" s="1082" t="s">
        <v>1259</v>
      </c>
      <c r="AW20" s="908">
        <f>((AX14-AW14)/LN(AX14/AW14))/((AX14-AW14)/LN(AX14/AW14)-($BI$5-$BK$5-$BM$5)/LN(($BI$5-$BK$5)/$BM$5))*$BI$8</f>
        <v>5.1335784752540965</v>
      </c>
      <c r="AX20" s="908">
        <f>((AZ14-AY14)/LN(AZ14/AY14))/((AZ14-AY14)/LN(AZ14/AY14)-($BI$5-$BK$5-$BM$5)/LN(($BI$5-$BK$5)/$BM$5))*$BI$8</f>
        <v>5.2435392226385922</v>
      </c>
      <c r="AY20" s="908">
        <f>((BB14-BA14)/LN(BB14/BA14))/((BB14-BA14)/LN(BB14/BA14)-($BI$5-$BK$5-$BM$5)/LN(($BI$5-$BK$5)/$BM$5))*$BI$8</f>
        <v>5.1335784752540965</v>
      </c>
      <c r="AZ20" s="908">
        <f>((BD14-BC14)/LN(BD14/BC14))/((BD14-BC14)/LN(BD14/BC14)-($BI$5-$BK$5-$BM$5)/LN(($BI$5-$BK$5)/$BM$5))*$BI$8</f>
        <v>5.030245890805495</v>
      </c>
      <c r="BB20" s="1084"/>
      <c r="BC20" s="1084"/>
      <c r="BD20" s="1084"/>
      <c r="BQ20" s="909" t="s">
        <v>1919</v>
      </c>
      <c r="BR20" s="906">
        <v>2020</v>
      </c>
      <c r="BS20" s="906">
        <v>9</v>
      </c>
      <c r="BT20" s="906">
        <v>7</v>
      </c>
      <c r="BU20" s="906">
        <v>12</v>
      </c>
      <c r="BV20" s="906">
        <f>40+273.15</f>
        <v>313.14999999999998</v>
      </c>
      <c r="BW20" s="906">
        <f>75+273.15</f>
        <v>348.15</v>
      </c>
      <c r="BX20" s="906">
        <f>40+273.15</f>
        <v>313.14999999999998</v>
      </c>
      <c r="BY20" s="906">
        <f>25+273.15</f>
        <v>298.14999999999998</v>
      </c>
      <c r="CB20" s="908">
        <f t="shared" si="9"/>
        <v>0.67436821805068214</v>
      </c>
      <c r="CC20" s="908">
        <f>BT20/((($BV20-$BW20)/LN($BV20/$BW20))/(($BV20-$BW20)/LN($BV20/$BW20)-($BX20-$BY20)/LN($BX20/$BY20)))</f>
        <v>0.52450861403941951</v>
      </c>
      <c r="CD20" s="908">
        <f>BU20/((($BV20-$BW20)/LN($BV20/$BW20))/(($BV20-$BW20)/LN($BV20/$BW20)-($BX20-$BY20)/LN($BX20/$BY20)))</f>
        <v>0.89915762406757627</v>
      </c>
    </row>
    <row r="21" spans="1:82" ht="18.600000000000001" thickBot="1">
      <c r="A21" s="906">
        <v>20</v>
      </c>
      <c r="B21" s="906" t="s">
        <v>1923</v>
      </c>
      <c r="C21" s="906">
        <v>29189</v>
      </c>
      <c r="D21" s="906" t="s">
        <v>1256</v>
      </c>
      <c r="E21" s="906" t="s">
        <v>1258</v>
      </c>
      <c r="F21" s="1015">
        <f t="shared" si="16"/>
        <v>0</v>
      </c>
      <c r="G21" s="1014">
        <f t="shared" si="16"/>
        <v>67</v>
      </c>
      <c r="H21" s="1014">
        <f t="shared" si="16"/>
        <v>39</v>
      </c>
      <c r="I21" s="1014">
        <f t="shared" si="16"/>
        <v>68</v>
      </c>
      <c r="J21" s="1013">
        <f t="shared" si="16"/>
        <v>39</v>
      </c>
      <c r="K21" s="1012" t="str">
        <f t="shared" si="16"/>
        <v/>
      </c>
      <c r="L21" s="1011">
        <f t="shared" si="16"/>
        <v>0.13224844990753837</v>
      </c>
      <c r="N21" s="1032" t="s">
        <v>1922</v>
      </c>
      <c r="O21" s="1031"/>
      <c r="P21" s="1030">
        <v>72</v>
      </c>
      <c r="Q21" s="1029">
        <v>42</v>
      </c>
      <c r="R21" s="1029">
        <v>74</v>
      </c>
      <c r="S21" s="1028">
        <v>40</v>
      </c>
      <c r="T21" s="1027">
        <v>32.595774946199725</v>
      </c>
      <c r="U21" s="1026">
        <v>0.25657123145912386</v>
      </c>
      <c r="V21" s="906">
        <v>10.776</v>
      </c>
      <c r="X21" s="906">
        <v>20</v>
      </c>
      <c r="AA21" s="1361"/>
      <c r="AB21" s="1081" t="s">
        <v>1258</v>
      </c>
      <c r="AC21" s="1054">
        <f>(AC8+273.15+$AO$6)/((AC8+273.15+$AO$6)-($AM$6+273.15-$AO$6))*$AM$8*$AM$9</f>
        <v>8.6315987426049663</v>
      </c>
      <c r="AD21" s="1054">
        <f>(AE8+273.15+$AO$6)/((AE8+273.15+$AO$6)-($AM$6+273.15-$AO$6))*$AM$8*$AM$9</f>
        <v>9.4022318224595232</v>
      </c>
      <c r="AE21" s="1054">
        <f>(AG8+273.15+$AO$6)/((AG8+273.15+$AO$6)-($AM$6+273.15-$AO$6))*$AM$8*$AM$9</f>
        <v>8.6315987426049663</v>
      </c>
      <c r="AF21" s="1053">
        <f>(AI8+273.15+$AO$6)/((AI8+273.15+$AO$6)-($AM$6+273.15-$AO$6))*$AM$8</f>
        <v>7.9843957118667017</v>
      </c>
      <c r="AU21" s="1361"/>
      <c r="AV21" s="1081" t="s">
        <v>1258</v>
      </c>
      <c r="AW21" s="1054">
        <f>((AX15-AW15)/LN(AX15/AW15))/((AX15-AW15)/LN(AX15/AW15)-($BI$5-$BK$5-$BM$5)/LN(($BI$5-$BK$5)/$BM$5))*$BI$8</f>
        <v>5.9553926797050414</v>
      </c>
      <c r="AX21" s="1054">
        <f>((AZ15-AY15)/LN(AZ15/AY15))/((AZ15-AY15)/LN(AZ15/AY15)-($BI$5-$BK$5-$BM$5)/LN(($BI$5-$BK$5)/$BM$5))*$BI$8</f>
        <v>5.9942745260623997</v>
      </c>
      <c r="AY21" s="1054">
        <f>((BB15-BA15)/LN(BB15/BA15))/((BB15-BA15)/LN(BB15/BA15)-($BI$5-$BK$5-$BM$5)/LN(($BI$5-$BK$5)/$BM$5))*$BI$8</f>
        <v>5.9553926797050414</v>
      </c>
      <c r="AZ21" s="1054">
        <f>((BD15-BC15)/LN(BD15/BC15))/((BD15-BC15)/LN(BD15/BC15)-($BI$5-$BK$5-$BM$5)/LN(($BI$5-$BK$5)/$BM$5))*$BI$8</f>
        <v>5.9180303774552367</v>
      </c>
      <c r="BB21" s="1084"/>
      <c r="BC21" s="1084"/>
      <c r="BD21" s="1084"/>
      <c r="BQ21" s="909" t="s">
        <v>1919</v>
      </c>
      <c r="BR21" s="906">
        <v>2030</v>
      </c>
      <c r="BS21" s="906">
        <v>12</v>
      </c>
      <c r="BV21" s="906">
        <f>35+273.15</f>
        <v>308.14999999999998</v>
      </c>
      <c r="BW21" s="906">
        <f>70+273.15</f>
        <v>343.15</v>
      </c>
      <c r="BX21" s="906">
        <f>40+273.15</f>
        <v>313.14999999999998</v>
      </c>
      <c r="BY21" s="906">
        <f>25+273.15</f>
        <v>298.14999999999998</v>
      </c>
      <c r="CB21" s="908">
        <f t="shared" si="9"/>
        <v>0.72838984888070513</v>
      </c>
      <c r="CC21" s="908"/>
      <c r="CD21" s="908"/>
    </row>
    <row r="22" spans="1:82">
      <c r="A22" s="906">
        <v>21</v>
      </c>
      <c r="B22" s="906" t="s">
        <v>1921</v>
      </c>
      <c r="C22" s="906">
        <v>29189</v>
      </c>
      <c r="D22" s="906" t="s">
        <v>1256</v>
      </c>
      <c r="E22" s="906" t="s">
        <v>1258</v>
      </c>
      <c r="F22" s="1015">
        <f t="shared" si="16"/>
        <v>0</v>
      </c>
      <c r="G22" s="1014">
        <f t="shared" si="16"/>
        <v>72</v>
      </c>
      <c r="H22" s="1014">
        <f t="shared" si="16"/>
        <v>42</v>
      </c>
      <c r="I22" s="1014">
        <f t="shared" si="16"/>
        <v>85</v>
      </c>
      <c r="J22" s="1013">
        <f t="shared" si="16"/>
        <v>45</v>
      </c>
      <c r="K22" s="1012">
        <f t="shared" si="16"/>
        <v>32.071334210213017</v>
      </c>
      <c r="L22" s="1011">
        <f t="shared" si="16"/>
        <v>0.16574868264164008</v>
      </c>
      <c r="N22" s="1032" t="s">
        <v>1920</v>
      </c>
      <c r="O22" s="1031">
        <v>5.0035402407363698E-2</v>
      </c>
      <c r="P22" s="1030">
        <v>72</v>
      </c>
      <c r="Q22" s="1029">
        <v>38</v>
      </c>
      <c r="R22" s="1029">
        <v>76</v>
      </c>
      <c r="S22" s="1028">
        <v>33</v>
      </c>
      <c r="T22" s="1027">
        <v>40.247738014723978</v>
      </c>
      <c r="U22" s="1026">
        <v>0.2653447329192547</v>
      </c>
      <c r="V22" s="906">
        <v>17.736999999999998</v>
      </c>
      <c r="X22" s="906">
        <v>21</v>
      </c>
      <c r="BC22" s="1014"/>
      <c r="BQ22" s="909" t="s">
        <v>1919</v>
      </c>
      <c r="BR22" s="906">
        <v>2050</v>
      </c>
      <c r="BS22" s="906">
        <v>18</v>
      </c>
      <c r="BT22" s="906">
        <v>7</v>
      </c>
      <c r="BU22" s="906">
        <v>20</v>
      </c>
      <c r="BV22" s="906">
        <f>30+273.15</f>
        <v>303.14999999999998</v>
      </c>
      <c r="BW22" s="906">
        <f>60+273.15</f>
        <v>333.15</v>
      </c>
      <c r="BX22" s="906">
        <f>40+273.15</f>
        <v>313.14999999999998</v>
      </c>
      <c r="BY22" s="906">
        <f>25+273.15</f>
        <v>298.14999999999998</v>
      </c>
      <c r="CB22" s="908">
        <f t="shared" si="9"/>
        <v>0.69785695659241953</v>
      </c>
      <c r="CC22" s="908">
        <f>BT22/((($BV22-$BW22)/LN($BV22/$BW22))/(($BV22-$BW22)/LN($BV22/$BW22)-($BX22-$BY22)/LN($BX22/$BY22)))</f>
        <v>0.2713888164526076</v>
      </c>
      <c r="CD22" s="908">
        <f>BU22/((($BV22-$BW22)/LN($BV22/$BW22))/(($BV22-$BW22)/LN($BV22/$BW22)-($BX22-$BY22)/LN($BX22/$BY22)))</f>
        <v>0.7753966184360217</v>
      </c>
    </row>
    <row r="23" spans="1:82">
      <c r="A23" s="906">
        <v>22</v>
      </c>
      <c r="B23" s="906" t="s">
        <v>1918</v>
      </c>
      <c r="C23" s="906">
        <v>29189</v>
      </c>
      <c r="D23" s="906" t="s">
        <v>1256</v>
      </c>
      <c r="E23" s="906" t="s">
        <v>1258</v>
      </c>
      <c r="F23" s="1015">
        <f t="shared" si="16"/>
        <v>7.1007682553889756E-2</v>
      </c>
      <c r="G23" s="1014">
        <f t="shared" si="16"/>
        <v>68</v>
      </c>
      <c r="H23" s="1014">
        <f t="shared" si="16"/>
        <v>38</v>
      </c>
      <c r="I23" s="1014">
        <f t="shared" si="16"/>
        <v>72</v>
      </c>
      <c r="J23" s="1013">
        <f t="shared" si="16"/>
        <v>33</v>
      </c>
      <c r="K23" s="1012">
        <f t="shared" si="16"/>
        <v>35.785327457812848</v>
      </c>
      <c r="L23" s="1011">
        <f t="shared" si="16"/>
        <v>0.28133279807306305</v>
      </c>
      <c r="N23" s="1032" t="s">
        <v>1917</v>
      </c>
      <c r="O23" s="1031"/>
      <c r="P23" s="1030">
        <v>75</v>
      </c>
      <c r="Q23" s="1029">
        <v>39</v>
      </c>
      <c r="R23" s="1029">
        <v>80</v>
      </c>
      <c r="S23" s="1028">
        <v>36</v>
      </c>
      <c r="T23" s="1027" t="s">
        <v>842</v>
      </c>
      <c r="U23" s="1026">
        <v>0.30849074850106378</v>
      </c>
      <c r="V23" s="906">
        <v>21.452000000000002</v>
      </c>
      <c r="X23" s="906">
        <v>22</v>
      </c>
    </row>
    <row r="24" spans="1:82" ht="15" thickBot="1">
      <c r="A24" s="906">
        <v>23</v>
      </c>
      <c r="B24" s="906" t="s">
        <v>1916</v>
      </c>
      <c r="C24" s="906">
        <v>29189</v>
      </c>
      <c r="D24" s="906" t="s">
        <v>1256</v>
      </c>
      <c r="E24" s="906" t="s">
        <v>1258</v>
      </c>
      <c r="F24" s="1015">
        <f t="shared" si="16"/>
        <v>0</v>
      </c>
      <c r="G24" s="1014">
        <f t="shared" si="16"/>
        <v>69</v>
      </c>
      <c r="H24" s="1014">
        <f t="shared" si="16"/>
        <v>41</v>
      </c>
      <c r="I24" s="1014">
        <f t="shared" si="16"/>
        <v>72</v>
      </c>
      <c r="J24" s="1013">
        <f t="shared" si="16"/>
        <v>36</v>
      </c>
      <c r="K24" s="1012">
        <f t="shared" si="16"/>
        <v>34.4</v>
      </c>
      <c r="L24" s="1011">
        <f t="shared" si="16"/>
        <v>0.18216666666666667</v>
      </c>
      <c r="N24" s="1032" t="s">
        <v>1915</v>
      </c>
      <c r="O24" s="1031">
        <v>1.9463230203951222E-2</v>
      </c>
      <c r="P24" s="1030">
        <v>68</v>
      </c>
      <c r="Q24" s="1029">
        <v>38</v>
      </c>
      <c r="R24" s="1029">
        <v>75</v>
      </c>
      <c r="S24" s="1028">
        <v>35</v>
      </c>
      <c r="T24" s="1027">
        <v>36.000250071042913</v>
      </c>
      <c r="U24" s="1026"/>
      <c r="V24" s="906" t="s">
        <v>842</v>
      </c>
      <c r="X24" s="906">
        <v>23</v>
      </c>
      <c r="AA24" s="1080" t="s">
        <v>1901</v>
      </c>
      <c r="AB24" s="1079"/>
      <c r="AC24" s="1079" t="s">
        <v>1900</v>
      </c>
      <c r="AD24" s="1079"/>
      <c r="AE24" s="1079"/>
      <c r="AF24" s="1079"/>
      <c r="AG24" s="1079"/>
      <c r="AH24" s="1079"/>
      <c r="AI24" s="1079"/>
      <c r="AU24" s="906" t="s">
        <v>1849</v>
      </c>
      <c r="AW24" s="906" t="s">
        <v>1848</v>
      </c>
      <c r="AX24" s="906" t="s">
        <v>1847</v>
      </c>
      <c r="AY24" s="906" t="s">
        <v>1846</v>
      </c>
      <c r="AZ24" s="906" t="s">
        <v>1845</v>
      </c>
    </row>
    <row r="25" spans="1:82" ht="18">
      <c r="A25" s="906">
        <v>24</v>
      </c>
      <c r="B25" s="906" t="s">
        <v>1914</v>
      </c>
      <c r="C25" s="906">
        <v>29189</v>
      </c>
      <c r="D25" s="906" t="s">
        <v>1256</v>
      </c>
      <c r="E25" s="906" t="s">
        <v>1258</v>
      </c>
      <c r="F25" s="1015"/>
      <c r="G25" s="1014"/>
      <c r="H25" s="1014"/>
      <c r="I25" s="1014"/>
      <c r="J25" s="1013"/>
      <c r="K25" s="1012"/>
      <c r="L25" s="1011"/>
      <c r="N25" s="1032" t="s">
        <v>1913</v>
      </c>
      <c r="O25" s="1031">
        <v>0.13582889469679427</v>
      </c>
      <c r="P25" s="1030">
        <v>70.3</v>
      </c>
      <c r="Q25" s="1029">
        <v>47.6</v>
      </c>
      <c r="R25" s="1029">
        <v>75.5</v>
      </c>
      <c r="S25" s="1028">
        <v>48.5</v>
      </c>
      <c r="T25" s="1027"/>
      <c r="U25" s="1026">
        <v>0.13322763311626915</v>
      </c>
      <c r="V25" s="906">
        <v>226.101</v>
      </c>
      <c r="X25" s="906">
        <v>24</v>
      </c>
      <c r="AU25" s="1362" t="s">
        <v>1257</v>
      </c>
      <c r="AV25" s="1083" t="s">
        <v>1259</v>
      </c>
      <c r="AW25" s="1059">
        <f>((AX12-AW12)/LN(AX12/AW12))/((AX12-AW12)/LN(AX12/AW12)-($BI$6-$BK$6-$BM$6)/LN(($BI$6-$BK$6)/$BM$6))*$BI$8</f>
        <v>6.865069691519631</v>
      </c>
      <c r="AX25" s="1059">
        <f>((AZ12-AY12)/LN(AZ12/AY12))/((AZ12-AY12)/LN(AZ12/AY12)-($BI$6-$BK$6-$BM$6)/LN(($BI$6-$BK$6)/$BM$6))*$BI$8</f>
        <v>7.2952104605878532</v>
      </c>
      <c r="AY25" s="1059">
        <f>((BB12-BA12)/LN(BB12/BA12))/((BB12-BA12)/LN(BB12/BA12)-($BI$6-$BK$6-$BM$6)/LN(($BI$6-$BK$6)/$BM$6))*$BI$8</f>
        <v>6.865069691519631</v>
      </c>
      <c r="AZ25" s="1059">
        <f>((BD12-BC12)/LN(BD12/BC12))/((BD12-BC12)/LN(BD12/BC12)-($BI$6-$BK$6-$BM$6)/LN(($BI$6-$BK$6)/$BM$6))*$BI$8</f>
        <v>6.4883094676976381</v>
      </c>
      <c r="BA25" s="908"/>
      <c r="BR25" s="909">
        <f>31+28</f>
        <v>59</v>
      </c>
      <c r="BS25" s="906">
        <f>31+30+31+BR25</f>
        <v>151</v>
      </c>
      <c r="BT25" s="906">
        <f>31+30+31+BS25</f>
        <v>243</v>
      </c>
      <c r="BU25" s="906">
        <f>31+30+30+BT25</f>
        <v>334</v>
      </c>
      <c r="BV25" s="906">
        <f>BU25+31</f>
        <v>365</v>
      </c>
    </row>
    <row r="26" spans="1:82" ht="18.600000000000001" thickBot="1">
      <c r="A26" s="906">
        <v>25</v>
      </c>
      <c r="B26" s="906" t="s">
        <v>1912</v>
      </c>
      <c r="C26" s="906">
        <v>29189</v>
      </c>
      <c r="D26" s="906" t="s">
        <v>1256</v>
      </c>
      <c r="E26" s="906" t="s">
        <v>1258</v>
      </c>
      <c r="F26" s="1015"/>
      <c r="G26" s="1014"/>
      <c r="H26" s="1014"/>
      <c r="I26" s="1014"/>
      <c r="J26" s="1013"/>
      <c r="K26" s="1012"/>
      <c r="L26" s="1011"/>
      <c r="N26" s="1032" t="s">
        <v>1911</v>
      </c>
      <c r="O26" s="1031"/>
      <c r="P26" s="1030">
        <v>65</v>
      </c>
      <c r="Q26" s="1029">
        <v>35</v>
      </c>
      <c r="R26" s="1029">
        <v>65</v>
      </c>
      <c r="S26" s="1028">
        <v>33</v>
      </c>
      <c r="T26" s="1027" t="s">
        <v>842</v>
      </c>
      <c r="U26" s="1026">
        <v>0.16795656732669273</v>
      </c>
      <c r="V26" s="906">
        <v>20.632180999999999</v>
      </c>
      <c r="X26" s="906">
        <v>25</v>
      </c>
      <c r="AB26" s="1356" t="s">
        <v>1882</v>
      </c>
      <c r="AC26" s="1356"/>
      <c r="AD26" s="1357" t="s">
        <v>1881</v>
      </c>
      <c r="AE26" s="1357"/>
      <c r="AF26" s="1358" t="s">
        <v>1880</v>
      </c>
      <c r="AG26" s="1358"/>
      <c r="AH26" s="1359" t="s">
        <v>1879</v>
      </c>
      <c r="AI26" s="1359"/>
      <c r="AU26" s="1360"/>
      <c r="AV26" s="1082" t="s">
        <v>1258</v>
      </c>
      <c r="AW26" s="908">
        <f>((AX13-AW13)/LN(AX13/AW13))/((AX13-AW13)/LN(AX13/AW13)-($BI$6-$BK$6-$BM$6)/LN(($BI$6-$BK$6)/$BM$6))*$BI$8</f>
        <v>9.2897896563308411</v>
      </c>
      <c r="AX26" s="908">
        <f>((AZ13-AY13)/LN(AZ13/AY13))/((AZ13-AY13)/LN(AZ13/AY13)-($BI$6-$BK$6-$BM$6)/LN(($BI$6-$BK$6)/$BM$6))*$BI$8</f>
        <v>9.6911318795609045</v>
      </c>
      <c r="AY26" s="908">
        <f>((BB13-BA13)/LN(BB13/BA13))/((BB13-BA13)/LN(BB13/BA13)-($BI$6-$BK$6-$BM$6)/LN(($BI$6-$BK$6)/$BM$6))*$BI$8</f>
        <v>9.2897896563308411</v>
      </c>
      <c r="AZ26" s="908">
        <f>((BD13-BC13)/LN(BD13/BC13))/((BD13-BC13)/LN(BD13/BC13)-($BI$6-$BK$6-$BM$6)/LN(($BI$6-$BK$6)/$BM$6))*$BI$8</f>
        <v>8.9272626825264094</v>
      </c>
      <c r="BA26" s="908"/>
    </row>
    <row r="27" spans="1:82" ht="18">
      <c r="A27" s="906">
        <v>26</v>
      </c>
      <c r="B27" s="906" t="s">
        <v>1910</v>
      </c>
      <c r="C27" s="906">
        <v>29188</v>
      </c>
      <c r="D27" s="906" t="s">
        <v>1256</v>
      </c>
      <c r="E27" s="906" t="s">
        <v>1258</v>
      </c>
      <c r="F27" s="1015">
        <f t="shared" ref="F27:L27" si="17">O15</f>
        <v>0</v>
      </c>
      <c r="G27" s="1014">
        <f t="shared" si="17"/>
        <v>68</v>
      </c>
      <c r="H27" s="1014">
        <f t="shared" si="17"/>
        <v>38</v>
      </c>
      <c r="I27" s="1014">
        <f t="shared" si="17"/>
        <v>66</v>
      </c>
      <c r="J27" s="1013">
        <f t="shared" si="17"/>
        <v>35</v>
      </c>
      <c r="K27" s="1012" t="str">
        <f t="shared" si="17"/>
        <v/>
      </c>
      <c r="L27" s="1011">
        <f t="shared" si="17"/>
        <v>0.20638929769658007</v>
      </c>
      <c r="N27" s="1032" t="s">
        <v>1909</v>
      </c>
      <c r="O27" s="1031"/>
      <c r="P27" s="1030">
        <v>69</v>
      </c>
      <c r="Q27" s="1029">
        <v>0</v>
      </c>
      <c r="R27" s="1029">
        <v>78</v>
      </c>
      <c r="S27" s="1028">
        <v>0</v>
      </c>
      <c r="T27" s="1027" t="s">
        <v>842</v>
      </c>
      <c r="U27" s="1026"/>
      <c r="V27" s="906" t="s">
        <v>842</v>
      </c>
      <c r="X27" s="906">
        <v>26</v>
      </c>
      <c r="AA27" s="1077"/>
      <c r="AB27" s="1076" t="s">
        <v>1876</v>
      </c>
      <c r="AC27" s="1076" t="s">
        <v>1875</v>
      </c>
      <c r="AD27" s="1075" t="s">
        <v>1874</v>
      </c>
      <c r="AE27" s="1075" t="s">
        <v>1873</v>
      </c>
      <c r="AF27" s="1074" t="s">
        <v>1872</v>
      </c>
      <c r="AG27" s="1074" t="s">
        <v>1871</v>
      </c>
      <c r="AH27" s="1073" t="s">
        <v>1870</v>
      </c>
      <c r="AI27" s="1072" t="s">
        <v>1869</v>
      </c>
      <c r="AU27" s="1360" t="s">
        <v>1256</v>
      </c>
      <c r="AV27" s="1082" t="s">
        <v>1259</v>
      </c>
      <c r="AW27" s="908">
        <f>((AX14-AW14)/LN(AX14/AW14))/((AX14-AW14)/LN(AX14/AW14)-($BI$6-$BK$6-$BM$6)/LN(($BI$6-$BK$6)/$BM$6))*$BI$8</f>
        <v>7.9908434205699788</v>
      </c>
      <c r="AX27" s="908">
        <f>((AZ14-AY14)/LN(AZ14/AY14))/((AZ14-AY14)/LN(AZ14/AY14)-($BI$6-$BK$6-$BM$6)/LN(($BI$6-$BK$6)/$BM$6))*$BI$8</f>
        <v>8.2729893765411635</v>
      </c>
      <c r="AY27" s="908">
        <f>((BB14-BA14)/LN(BB14/BA14))/((BB14-BA14)/LN(BB14/BA14)-($BI$6-$BK$6-$BM$6)/LN(($BI$6-$BK$6)/$BM$6))*$BI$8</f>
        <v>7.9908434205699788</v>
      </c>
      <c r="AZ27" s="908">
        <f>((BD14-BC14)/LN(BD14/BC14))/((BD14-BC14)/LN(BD14/BC14)-($BI$6-$BK$6-$BM$6)/LN(($BI$6-$BK$6)/$BM$6))*$BI$8</f>
        <v>7.732517958339483</v>
      </c>
      <c r="BA27" s="908"/>
      <c r="BQ27" s="909" t="s">
        <v>1908</v>
      </c>
    </row>
    <row r="28" spans="1:82" ht="21.6" thickBot="1">
      <c r="A28" s="906">
        <v>27</v>
      </c>
      <c r="B28" s="906" t="s">
        <v>1907</v>
      </c>
      <c r="C28" s="906">
        <v>26696</v>
      </c>
      <c r="D28" s="906" t="s">
        <v>1256</v>
      </c>
      <c r="E28" s="906" t="s">
        <v>1259</v>
      </c>
      <c r="F28" s="1015"/>
      <c r="G28" s="1014"/>
      <c r="H28" s="1014"/>
      <c r="I28" s="1014"/>
      <c r="J28" s="1013"/>
      <c r="K28" s="1012"/>
      <c r="L28" s="1011"/>
      <c r="N28" s="1032" t="s">
        <v>1906</v>
      </c>
      <c r="O28" s="1031"/>
      <c r="P28" s="1030">
        <v>70</v>
      </c>
      <c r="Q28" s="1029">
        <v>43</v>
      </c>
      <c r="R28" s="1029">
        <v>76</v>
      </c>
      <c r="S28" s="1028">
        <v>36</v>
      </c>
      <c r="T28" s="1027" t="s">
        <v>842</v>
      </c>
      <c r="U28" s="1026">
        <v>0.26724137931034481</v>
      </c>
      <c r="V28" s="906">
        <v>6.29</v>
      </c>
      <c r="X28" s="906">
        <v>27</v>
      </c>
      <c r="AA28" s="1057">
        <v>2020</v>
      </c>
      <c r="AB28" s="1071">
        <v>75</v>
      </c>
      <c r="AC28" s="1071">
        <v>40</v>
      </c>
      <c r="AD28" s="1070">
        <f t="shared" ref="AD28:AE30" si="18">AVERAGE(AE5:AE8)/AVERAGE(AC5:AC8)*AB28</f>
        <v>71.796358027935881</v>
      </c>
      <c r="AE28" s="1070">
        <f t="shared" si="18"/>
        <v>41.1489156189106</v>
      </c>
      <c r="AF28" s="1069">
        <v>75</v>
      </c>
      <c r="AG28" s="1069">
        <v>40</v>
      </c>
      <c r="AH28" s="1068">
        <f t="shared" ref="AH28:AI30" si="19">AVERAGE(AI5:AI8)/AVERAGE(AG5:AG8)*AF28</f>
        <v>78.203641972064148</v>
      </c>
      <c r="AI28" s="1067">
        <f t="shared" si="19"/>
        <v>38.851084381089407</v>
      </c>
      <c r="AU28" s="1361"/>
      <c r="AV28" s="1081" t="s">
        <v>1258</v>
      </c>
      <c r="AW28" s="1054">
        <f>((AX15-AW15)/LN(AX15/AW15))/((AX15-AW15)/LN(AX15/AW15)-($BI$6-$BK$6-$BM$6)/LN(($BI$6-$BK$6)/$BM$6))*$BI$8</f>
        <v>10.30305423297294</v>
      </c>
      <c r="AX28" s="1054">
        <f>((AZ15-AY15)/LN(AZ15/AY15))/((AZ15-AY15)/LN(AZ15/AY15)-($BI$6-$BK$6-$BM$6)/LN(($BI$6-$BK$6)/$BM$6))*$BI$8</f>
        <v>10.425284720592808</v>
      </c>
      <c r="AY28" s="1054">
        <f>((BB15-BA15)/LN(BB15/BA15))/((BB15-BA15)/LN(BB15/BA15)-($BI$6-$BK$6-$BM$6)/LN(($BI$6-$BK$6)/$BM$6))*$BI$8</f>
        <v>10.30305423297294</v>
      </c>
      <c r="AZ28" s="1054">
        <f>((BD15-BC15)/LN(BD15/BC15))/((BD15-BC15)/LN(BD15/BC15)-($BI$6-$BK$6-$BM$6)/LN(($BI$6-$BK$6)/$BM$6))*$BI$8</f>
        <v>10.18680878319549</v>
      </c>
      <c r="BA28" s="908"/>
      <c r="BQ28" s="909" t="s">
        <v>1259</v>
      </c>
      <c r="BR28" s="909" t="s">
        <v>1845</v>
      </c>
      <c r="BS28" s="909" t="s">
        <v>1848</v>
      </c>
      <c r="BT28" s="909" t="s">
        <v>1847</v>
      </c>
      <c r="BU28" s="909" t="s">
        <v>1846</v>
      </c>
    </row>
    <row r="29" spans="1:82" ht="21">
      <c r="A29" s="906">
        <v>28</v>
      </c>
      <c r="B29" s="906" t="s">
        <v>1905</v>
      </c>
      <c r="C29" s="906">
        <v>29189</v>
      </c>
      <c r="D29" s="906" t="s">
        <v>1256</v>
      </c>
      <c r="E29" s="906" t="s">
        <v>1259</v>
      </c>
      <c r="F29" s="1015">
        <f t="shared" ref="F29:L30" si="20">O16</f>
        <v>0</v>
      </c>
      <c r="G29" s="1014">
        <f t="shared" si="20"/>
        <v>75</v>
      </c>
      <c r="H29" s="1014">
        <f t="shared" si="20"/>
        <v>45</v>
      </c>
      <c r="I29" s="1014">
        <f t="shared" si="20"/>
        <v>80</v>
      </c>
      <c r="J29" s="1013">
        <f t="shared" si="20"/>
        <v>42</v>
      </c>
      <c r="K29" s="1012" t="str">
        <f t="shared" si="20"/>
        <v/>
      </c>
      <c r="L29" s="1011">
        <f t="shared" si="20"/>
        <v>0.23425876726886291</v>
      </c>
      <c r="N29" s="1032" t="s">
        <v>1904</v>
      </c>
      <c r="O29" s="1031">
        <v>3.0235450529656475E-2</v>
      </c>
      <c r="P29" s="1030">
        <v>70</v>
      </c>
      <c r="Q29" s="1029">
        <v>39</v>
      </c>
      <c r="R29" s="1029">
        <v>70</v>
      </c>
      <c r="S29" s="1028">
        <v>36</v>
      </c>
      <c r="T29" s="1027">
        <v>34.829437787688285</v>
      </c>
      <c r="U29" s="1026">
        <v>0.24540067220944631</v>
      </c>
      <c r="V29" s="906">
        <v>17.062999999999999</v>
      </c>
      <c r="X29" s="906">
        <v>28</v>
      </c>
      <c r="AA29" s="1057">
        <v>2030</v>
      </c>
      <c r="AB29" s="1071">
        <v>70</v>
      </c>
      <c r="AC29" s="1071">
        <v>35</v>
      </c>
      <c r="AD29" s="1070">
        <f t="shared" si="18"/>
        <v>67.171326169507537</v>
      </c>
      <c r="AE29" s="1070">
        <f t="shared" si="18"/>
        <v>36.322999022606751</v>
      </c>
      <c r="AF29" s="1069">
        <v>70</v>
      </c>
      <c r="AG29" s="1069">
        <v>35</v>
      </c>
      <c r="AH29" s="1068">
        <f t="shared" si="19"/>
        <v>72.828673830492477</v>
      </c>
      <c r="AI29" s="1067">
        <f t="shared" si="19"/>
        <v>33.677000977393234</v>
      </c>
      <c r="BQ29" s="909" t="s">
        <v>1893</v>
      </c>
      <c r="BR29" s="906" t="e">
        <v>#REF!</v>
      </c>
      <c r="BS29" s="906">
        <v>6.1699954710144986</v>
      </c>
      <c r="BT29" s="906" t="e">
        <v>#REF!</v>
      </c>
      <c r="BU29" s="906" t="e">
        <v>#REF!</v>
      </c>
    </row>
    <row r="30" spans="1:82" ht="21.6" thickBot="1">
      <c r="A30" s="906">
        <v>29</v>
      </c>
      <c r="B30" s="906" t="s">
        <v>1902</v>
      </c>
      <c r="C30" s="906">
        <v>32264</v>
      </c>
      <c r="D30" s="906" t="s">
        <v>1257</v>
      </c>
      <c r="E30" s="906" t="s">
        <v>1258</v>
      </c>
      <c r="F30" s="1015">
        <f t="shared" si="20"/>
        <v>0</v>
      </c>
      <c r="G30" s="1014">
        <f t="shared" si="20"/>
        <v>68</v>
      </c>
      <c r="H30" s="1014">
        <f t="shared" si="20"/>
        <v>42</v>
      </c>
      <c r="I30" s="1014">
        <f t="shared" si="20"/>
        <v>71</v>
      </c>
      <c r="J30" s="1013">
        <f t="shared" si="20"/>
        <v>39</v>
      </c>
      <c r="K30" s="1012">
        <f t="shared" si="20"/>
        <v>0</v>
      </c>
      <c r="L30" s="1011">
        <f t="shared" si="20"/>
        <v>0.36491505815015529</v>
      </c>
      <c r="N30" s="1032" t="s">
        <v>1903</v>
      </c>
      <c r="O30" s="1031"/>
      <c r="P30" s="1030">
        <v>65</v>
      </c>
      <c r="Q30" s="1029">
        <v>48</v>
      </c>
      <c r="R30" s="1029">
        <v>67</v>
      </c>
      <c r="S30" s="1028">
        <v>43</v>
      </c>
      <c r="T30" s="1027">
        <v>27.127571597013578</v>
      </c>
      <c r="U30" s="1026">
        <v>0.32371300580157158</v>
      </c>
      <c r="V30" s="906">
        <v>36.835999999999999</v>
      </c>
      <c r="X30" s="906">
        <v>29</v>
      </c>
      <c r="AA30" s="1055">
        <v>2050</v>
      </c>
      <c r="AB30" s="1066">
        <v>60</v>
      </c>
      <c r="AC30" s="1066">
        <v>30</v>
      </c>
      <c r="AD30" s="1065">
        <f t="shared" si="18"/>
        <v>57.784944570671094</v>
      </c>
      <c r="AE30" s="1064">
        <f t="shared" si="18"/>
        <v>31.124856789118102</v>
      </c>
      <c r="AF30" s="1063">
        <v>60</v>
      </c>
      <c r="AG30" s="1063">
        <v>30</v>
      </c>
      <c r="AH30" s="1062">
        <f t="shared" si="19"/>
        <v>62.215055429328899</v>
      </c>
      <c r="AI30" s="1061">
        <f t="shared" si="19"/>
        <v>28.875143210881898</v>
      </c>
      <c r="BQ30" s="909" t="s">
        <v>1890</v>
      </c>
      <c r="BR30" s="906" t="e">
        <v>#REF!</v>
      </c>
      <c r="BS30" s="906">
        <v>5.3999999999999879</v>
      </c>
      <c r="BT30" s="906" t="e">
        <v>#REF!</v>
      </c>
      <c r="BU30" s="906" t="e">
        <v>#REF!</v>
      </c>
    </row>
    <row r="31" spans="1:82">
      <c r="A31" s="906">
        <v>30</v>
      </c>
      <c r="B31" s="906" t="s">
        <v>1902</v>
      </c>
      <c r="C31" s="906">
        <v>32264</v>
      </c>
      <c r="D31" s="906" t="s">
        <v>1256</v>
      </c>
      <c r="E31" s="906" t="s">
        <v>1258</v>
      </c>
      <c r="F31" s="1015">
        <f t="shared" ref="F31:L31" si="21">O17</f>
        <v>0</v>
      </c>
      <c r="G31" s="1014">
        <f t="shared" si="21"/>
        <v>68</v>
      </c>
      <c r="H31" s="1014">
        <f t="shared" si="21"/>
        <v>42</v>
      </c>
      <c r="I31" s="1014">
        <f t="shared" si="21"/>
        <v>71</v>
      </c>
      <c r="J31" s="1013">
        <f t="shared" si="21"/>
        <v>39</v>
      </c>
      <c r="K31" s="1012">
        <f t="shared" si="21"/>
        <v>0</v>
      </c>
      <c r="L31" s="1011">
        <f t="shared" si="21"/>
        <v>0.36491505815015529</v>
      </c>
      <c r="N31" s="1032" t="s">
        <v>1842</v>
      </c>
      <c r="O31" s="1031">
        <v>1.843368237347295E-2</v>
      </c>
      <c r="P31" s="1030">
        <v>68</v>
      </c>
      <c r="Q31" s="1029">
        <v>36</v>
      </c>
      <c r="R31" s="1029">
        <v>72</v>
      </c>
      <c r="S31" s="1028">
        <v>36</v>
      </c>
      <c r="T31" s="1027">
        <v>34.286461102250577</v>
      </c>
      <c r="U31" s="1026">
        <v>0.16590732303589287</v>
      </c>
      <c r="V31" s="906">
        <v>7.5060000000000002</v>
      </c>
      <c r="X31" s="906">
        <v>30</v>
      </c>
      <c r="AU31" s="1080" t="s">
        <v>1901</v>
      </c>
      <c r="AV31" s="1079"/>
      <c r="AW31" s="1079" t="s">
        <v>1900</v>
      </c>
      <c r="AX31" s="1079"/>
      <c r="AY31" s="1079"/>
      <c r="AZ31" s="1079"/>
      <c r="BA31" s="1079"/>
      <c r="BB31" s="1079"/>
      <c r="BC31" s="1079"/>
      <c r="BP31" s="1078" t="s">
        <v>1887</v>
      </c>
      <c r="BQ31" s="909" t="s">
        <v>1886</v>
      </c>
      <c r="BR31" s="906">
        <f>AVERAGE(3,2.2,4.5)</f>
        <v>3.2333333333333329</v>
      </c>
      <c r="BS31" s="909">
        <f>AVERAGE(6,10.5,3)</f>
        <v>6.5</v>
      </c>
      <c r="BT31" s="906">
        <f>AVERAGE(14.5,17.5,18)</f>
        <v>16.666666666666668</v>
      </c>
      <c r="BU31" s="906">
        <f>AVERAGE(16,12.5,8.5)</f>
        <v>12.333333333333334</v>
      </c>
    </row>
    <row r="32" spans="1:82" ht="16.2" thickBot="1">
      <c r="A32" s="906">
        <v>31</v>
      </c>
      <c r="B32" s="906" t="s">
        <v>1899</v>
      </c>
      <c r="C32" s="906">
        <v>29189</v>
      </c>
      <c r="D32" s="906" t="s">
        <v>1256</v>
      </c>
      <c r="E32" s="906" t="s">
        <v>1258</v>
      </c>
      <c r="F32" s="1015">
        <f t="shared" ref="F32:K32" si="22">O19</f>
        <v>0</v>
      </c>
      <c r="G32" s="1014">
        <f t="shared" si="22"/>
        <v>70</v>
      </c>
      <c r="H32" s="1014">
        <f t="shared" si="22"/>
        <v>0</v>
      </c>
      <c r="I32" s="1014">
        <f t="shared" si="22"/>
        <v>75</v>
      </c>
      <c r="J32" s="1013">
        <f t="shared" si="22"/>
        <v>0</v>
      </c>
      <c r="K32" s="1012" t="str">
        <f t="shared" si="22"/>
        <v/>
      </c>
      <c r="L32" s="1016">
        <v>0.22800028617798151</v>
      </c>
      <c r="N32" s="1032" t="s">
        <v>1898</v>
      </c>
      <c r="O32" s="1031"/>
      <c r="P32" s="1030">
        <v>70</v>
      </c>
      <c r="Q32" s="1029">
        <v>0</v>
      </c>
      <c r="R32" s="1029">
        <v>76</v>
      </c>
      <c r="S32" s="1028">
        <v>0</v>
      </c>
      <c r="T32" s="1027">
        <v>47.210473186119877</v>
      </c>
      <c r="U32" s="1026">
        <v>0.22411217101482589</v>
      </c>
      <c r="V32" s="906">
        <v>6.7510000000000003</v>
      </c>
      <c r="X32" s="906">
        <v>31</v>
      </c>
      <c r="AA32" s="906" t="s">
        <v>1836</v>
      </c>
      <c r="AB32" s="906" t="s">
        <v>1848</v>
      </c>
      <c r="AC32" s="906" t="s">
        <v>1847</v>
      </c>
      <c r="AD32" s="906" t="s">
        <v>1846</v>
      </c>
      <c r="AE32" s="906" t="s">
        <v>1845</v>
      </c>
      <c r="BQ32" s="909"/>
    </row>
    <row r="33" spans="1:73" ht="18.600000000000001" thickBot="1">
      <c r="A33" s="906">
        <v>32</v>
      </c>
      <c r="B33" s="906" t="s">
        <v>1897</v>
      </c>
      <c r="C33" s="906">
        <v>29189</v>
      </c>
      <c r="D33" s="906" t="s">
        <v>1256</v>
      </c>
      <c r="E33" s="906" t="s">
        <v>1258</v>
      </c>
      <c r="F33" s="1015">
        <f t="shared" ref="F33:L35" si="23">O21</f>
        <v>0</v>
      </c>
      <c r="G33" s="1014">
        <f t="shared" si="23"/>
        <v>72</v>
      </c>
      <c r="H33" s="1014">
        <f t="shared" si="23"/>
        <v>42</v>
      </c>
      <c r="I33" s="1014">
        <f t="shared" si="23"/>
        <v>74</v>
      </c>
      <c r="J33" s="1013">
        <f t="shared" si="23"/>
        <v>40</v>
      </c>
      <c r="K33" s="1012">
        <f t="shared" si="23"/>
        <v>32.595774946199725</v>
      </c>
      <c r="L33" s="1011">
        <f t="shared" si="23"/>
        <v>0.25657123145912386</v>
      </c>
      <c r="N33" s="1032" t="s">
        <v>1896</v>
      </c>
      <c r="O33" s="1031"/>
      <c r="P33" s="1030">
        <v>75</v>
      </c>
      <c r="Q33" s="1029">
        <v>41</v>
      </c>
      <c r="R33" s="1029">
        <v>75</v>
      </c>
      <c r="S33" s="1028">
        <v>36</v>
      </c>
      <c r="T33" s="1027">
        <v>40.59779889728101</v>
      </c>
      <c r="U33" s="1026">
        <v>0.21783451189273578</v>
      </c>
      <c r="V33" s="906">
        <v>42.585000000000001</v>
      </c>
      <c r="X33" s="906">
        <v>32</v>
      </c>
      <c r="AA33" s="1060">
        <v>2020</v>
      </c>
      <c r="AB33" s="1059">
        <f>(AB28+273.15+$AO$5)/((AB28+273.15+$AO$5)-($AM$5+273.15-$AO$5))*$AM$8*$AM$9</f>
        <v>5.111381578947368</v>
      </c>
      <c r="AC33" s="1059">
        <f>(AD28+273.15+$AO$5)/((AD28+273.15+$AO$5)-($AM$5+273.15-$AO$5))*$AM$8*$AM$9</f>
        <v>5.5313402845447772</v>
      </c>
      <c r="AD33" s="1059">
        <f>(AF28+273.15+$AO$5)/((AF28+273.15+$AO$5)-($AM$5+273.15-$AO$5))*$AM$8*$AM$9</f>
        <v>5.111381578947368</v>
      </c>
      <c r="AE33" s="1058">
        <f>(AH28+273.15+$AO$5)/((AH28+273.15+$AO$5)-($AM$5+273.15-$AO$5))*$AM$8</f>
        <v>4.7567276508595668</v>
      </c>
      <c r="AV33" s="1356" t="s">
        <v>1882</v>
      </c>
      <c r="AW33" s="1356"/>
      <c r="AX33" s="1357" t="s">
        <v>1881</v>
      </c>
      <c r="AY33" s="1357"/>
      <c r="AZ33" s="1358" t="s">
        <v>1880</v>
      </c>
      <c r="BA33" s="1358"/>
      <c r="BB33" s="1359" t="s">
        <v>1879</v>
      </c>
      <c r="BC33" s="1359"/>
      <c r="BQ33" s="909" t="s">
        <v>1258</v>
      </c>
      <c r="BR33" s="909" t="s">
        <v>1845</v>
      </c>
      <c r="BS33" s="909" t="s">
        <v>1848</v>
      </c>
      <c r="BT33" s="909" t="s">
        <v>1847</v>
      </c>
      <c r="BU33" s="909" t="s">
        <v>1846</v>
      </c>
    </row>
    <row r="34" spans="1:73" ht="18">
      <c r="A34" s="906">
        <v>33</v>
      </c>
      <c r="B34" s="906" t="s">
        <v>1895</v>
      </c>
      <c r="C34" s="906">
        <v>29189</v>
      </c>
      <c r="D34" s="906" t="s">
        <v>1256</v>
      </c>
      <c r="E34" s="906" t="s">
        <v>1258</v>
      </c>
      <c r="F34" s="1015">
        <f t="shared" si="23"/>
        <v>5.0035402407363698E-2</v>
      </c>
      <c r="G34" s="1014">
        <f t="shared" si="23"/>
        <v>72</v>
      </c>
      <c r="H34" s="1014">
        <f t="shared" si="23"/>
        <v>38</v>
      </c>
      <c r="I34" s="1014">
        <f t="shared" si="23"/>
        <v>76</v>
      </c>
      <c r="J34" s="1013">
        <f t="shared" si="23"/>
        <v>33</v>
      </c>
      <c r="K34" s="1012">
        <f t="shared" si="23"/>
        <v>40.247738014723978</v>
      </c>
      <c r="L34" s="1011">
        <f t="shared" si="23"/>
        <v>0.2653447329192547</v>
      </c>
      <c r="N34" s="1038" t="s">
        <v>1894</v>
      </c>
      <c r="O34" s="1037"/>
      <c r="P34" s="1036">
        <v>65</v>
      </c>
      <c r="Q34" s="1014">
        <v>70</v>
      </c>
      <c r="R34" s="1014">
        <v>70</v>
      </c>
      <c r="S34" s="1013">
        <v>70</v>
      </c>
      <c r="T34" s="1012" t="s">
        <v>842</v>
      </c>
      <c r="U34" s="1035"/>
      <c r="V34" s="906" t="s">
        <v>842</v>
      </c>
      <c r="X34" s="906">
        <v>33</v>
      </c>
      <c r="AA34" s="1057">
        <v>2030</v>
      </c>
      <c r="AB34" s="908">
        <f>(AB29+273.15+$AO$5)/((AB29+273.15+$AO$5)-($AM$5+273.15-$AO$5))*$AM$8*$AM$9</f>
        <v>5.8025000000000002</v>
      </c>
      <c r="AC34" s="908">
        <f>(AD29+273.15+$AO$5)/((AD29+273.15+$AO$5)-($AM$5+273.15-$AO$5))*$AM$8*$AM$9</f>
        <v>6.2949413733486246</v>
      </c>
      <c r="AD34" s="908">
        <f>(AF29+273.15+$AO$5)/((AF29+273.15+$AO$5)-($AM$5+273.15-$AO$5))*$AM$8*$AM$9</f>
        <v>5.8025000000000002</v>
      </c>
      <c r="AE34" s="1056">
        <f>(AH29+273.15+$AO$5)/((AH29+273.15+$AO$5)-($AM$5+273.15-$AO$5))*$AM$8</f>
        <v>5.3878151203710809</v>
      </c>
      <c r="AU34" s="1077"/>
      <c r="AV34" s="1076" t="s">
        <v>1876</v>
      </c>
      <c r="AW34" s="1076" t="s">
        <v>1875</v>
      </c>
      <c r="AX34" s="1075" t="s">
        <v>1874</v>
      </c>
      <c r="AY34" s="1075" t="s">
        <v>1873</v>
      </c>
      <c r="AZ34" s="1074" t="s">
        <v>1872</v>
      </c>
      <c r="BA34" s="1074" t="s">
        <v>1871</v>
      </c>
      <c r="BB34" s="1073" t="s">
        <v>1870</v>
      </c>
      <c r="BC34" s="1072" t="s">
        <v>1869</v>
      </c>
      <c r="BQ34" s="909" t="s">
        <v>1893</v>
      </c>
      <c r="BR34" s="906" t="e">
        <v>#REF!</v>
      </c>
      <c r="BS34" s="906">
        <v>6.0428291062801973</v>
      </c>
      <c r="BT34" s="906" t="e">
        <v>#REF!</v>
      </c>
      <c r="BU34" s="906" t="e">
        <v>#REF!</v>
      </c>
    </row>
    <row r="35" spans="1:73" ht="21.6" thickBot="1">
      <c r="A35" s="906">
        <v>34</v>
      </c>
      <c r="B35" s="906" t="s">
        <v>1892</v>
      </c>
      <c r="C35" s="906">
        <v>29189</v>
      </c>
      <c r="D35" s="906" t="s">
        <v>1256</v>
      </c>
      <c r="E35" s="906" t="s">
        <v>1258</v>
      </c>
      <c r="F35" s="1015">
        <f t="shared" si="23"/>
        <v>0</v>
      </c>
      <c r="G35" s="1014">
        <f t="shared" si="23"/>
        <v>75</v>
      </c>
      <c r="H35" s="1014">
        <f t="shared" si="23"/>
        <v>39</v>
      </c>
      <c r="I35" s="1014">
        <f t="shared" si="23"/>
        <v>80</v>
      </c>
      <c r="J35" s="1013">
        <f t="shared" si="23"/>
        <v>36</v>
      </c>
      <c r="K35" s="1012" t="str">
        <f t="shared" si="23"/>
        <v/>
      </c>
      <c r="L35" s="1011">
        <f t="shared" si="23"/>
        <v>0.30849074850106378</v>
      </c>
      <c r="N35" s="1032" t="s">
        <v>1891</v>
      </c>
      <c r="O35" s="1031">
        <v>9.067439078143693E-3</v>
      </c>
      <c r="P35" s="1030">
        <v>68</v>
      </c>
      <c r="Q35" s="1029">
        <v>36</v>
      </c>
      <c r="R35" s="1029">
        <v>68</v>
      </c>
      <c r="S35" s="1028">
        <v>36</v>
      </c>
      <c r="T35" s="1027">
        <v>33.374071251901881</v>
      </c>
      <c r="U35" s="1026">
        <v>0.24477346381139989</v>
      </c>
      <c r="V35" s="906">
        <v>11.885</v>
      </c>
      <c r="X35" s="906">
        <v>34</v>
      </c>
      <c r="AA35" s="1055">
        <v>2050</v>
      </c>
      <c r="AB35" s="1054">
        <f>(AB30+273.15+$AO$5)/((AB30+273.15+$AO$5)-($AM$5+273.15-$AO$5))*$AM$8*$AM$9</f>
        <v>8.0861956521739131</v>
      </c>
      <c r="AC35" s="1054">
        <f>(AD30+273.15+$AO$5)/((AD30+273.15+$AO$5)-($AM$5+273.15-$AO$5))*$AM$8*$AM$9</f>
        <v>8.8893294319669955</v>
      </c>
      <c r="AD35" s="1054">
        <f>(AF30+273.15+$AO$5)/((AF30+273.15+$AO$5)-($AM$5+273.15-$AO$5))*$AM$8*$AM$9</f>
        <v>8.0861956521739131</v>
      </c>
      <c r="AE35" s="1053">
        <f>(AH30+273.15+$AO$5)/((AH30+273.15+$AO$5)-($AM$5+273.15-$AO$5))*$AM$8</f>
        <v>7.4241669232417449</v>
      </c>
      <c r="AU35" s="1057">
        <v>2020</v>
      </c>
      <c r="AV35" s="1071">
        <v>75</v>
      </c>
      <c r="AW35" s="1071">
        <v>40</v>
      </c>
      <c r="AX35" s="1070">
        <f t="shared" ref="AX35:AY37" si="24">AVERAGE(AY12:AY15)/AVERAGE(AW12:AW15)*AV35</f>
        <v>74.297783396862442</v>
      </c>
      <c r="AY35" s="1070">
        <f t="shared" si="24"/>
        <v>40.156516646455131</v>
      </c>
      <c r="AZ35" s="1069">
        <v>75</v>
      </c>
      <c r="BA35" s="1069">
        <v>40</v>
      </c>
      <c r="BB35" s="1068">
        <f t="shared" ref="BB35:BC37" si="25">AVERAGE(BC12:BC15)/AVERAGE(BA12:BA15)*AZ35</f>
        <v>75.702216603137543</v>
      </c>
      <c r="BC35" s="1067">
        <f t="shared" si="25"/>
        <v>39.843483353544862</v>
      </c>
      <c r="BQ35" s="909" t="s">
        <v>1890</v>
      </c>
      <c r="BR35" s="906" t="e">
        <v>#REF!</v>
      </c>
      <c r="BS35" s="906">
        <v>5.318840579710165</v>
      </c>
      <c r="BT35" s="906" t="e">
        <v>#REF!</v>
      </c>
      <c r="BU35" s="906" t="e">
        <v>#REF!</v>
      </c>
    </row>
    <row r="36" spans="1:73" ht="21">
      <c r="A36" s="906">
        <v>35</v>
      </c>
      <c r="B36" s="906" t="s">
        <v>1889</v>
      </c>
      <c r="C36" s="906">
        <v>29189</v>
      </c>
      <c r="D36" s="906" t="s">
        <v>1256</v>
      </c>
      <c r="E36" s="906" t="s">
        <v>1258</v>
      </c>
      <c r="F36" s="1015">
        <f t="shared" ref="F36:K37" si="26">O24</f>
        <v>1.9463230203951222E-2</v>
      </c>
      <c r="G36" s="1014">
        <f t="shared" si="26"/>
        <v>68</v>
      </c>
      <c r="H36" s="1014">
        <f t="shared" si="26"/>
        <v>38</v>
      </c>
      <c r="I36" s="1014">
        <f t="shared" si="26"/>
        <v>75</v>
      </c>
      <c r="J36" s="1013">
        <f t="shared" si="26"/>
        <v>35</v>
      </c>
      <c r="K36" s="1012">
        <f t="shared" si="26"/>
        <v>36.000250071042913</v>
      </c>
      <c r="L36" s="1016">
        <v>0.22800028617798151</v>
      </c>
      <c r="N36" s="1032" t="s">
        <v>1888</v>
      </c>
      <c r="O36" s="1031"/>
      <c r="P36" s="1030">
        <v>69</v>
      </c>
      <c r="Q36" s="1029">
        <v>41</v>
      </c>
      <c r="R36" s="1029">
        <v>70</v>
      </c>
      <c r="S36" s="1028">
        <v>39</v>
      </c>
      <c r="T36" s="1027">
        <v>21.286858901815219</v>
      </c>
      <c r="U36" s="1026">
        <v>0.32589612289685443</v>
      </c>
      <c r="V36" s="906">
        <v>1.843</v>
      </c>
      <c r="X36" s="906">
        <v>35</v>
      </c>
      <c r="AU36" s="1057">
        <v>2030</v>
      </c>
      <c r="AV36" s="1071">
        <v>70</v>
      </c>
      <c r="AW36" s="1071">
        <v>35</v>
      </c>
      <c r="AX36" s="1070">
        <f t="shared" si="24"/>
        <v>69.390906973583867</v>
      </c>
      <c r="AY36" s="1070">
        <f t="shared" si="24"/>
        <v>35.173174273027513</v>
      </c>
      <c r="AZ36" s="1069">
        <v>70</v>
      </c>
      <c r="BA36" s="1069">
        <v>35</v>
      </c>
      <c r="BB36" s="1068">
        <f t="shared" si="25"/>
        <v>70.609093026416147</v>
      </c>
      <c r="BC36" s="1067">
        <f t="shared" si="25"/>
        <v>34.826825726972494</v>
      </c>
      <c r="BP36" s="1078" t="s">
        <v>1887</v>
      </c>
      <c r="BQ36" s="909" t="s">
        <v>1886</v>
      </c>
      <c r="BR36" s="906">
        <f>AVERAGE(3.8,3,4.8)</f>
        <v>3.8666666666666667</v>
      </c>
      <c r="BS36" s="909">
        <f>AVERAGE(6,10.5,3.5)</f>
        <v>6.666666666666667</v>
      </c>
      <c r="BT36" s="906">
        <f>AVERAGE(14.5,17,17.8)</f>
        <v>16.433333333333334</v>
      </c>
      <c r="BU36" s="906">
        <f>AVERAGE(15.5,12.5,9)</f>
        <v>12.333333333333334</v>
      </c>
    </row>
    <row r="37" spans="1:73" ht="21.6" thickBot="1">
      <c r="A37" s="906">
        <v>36</v>
      </c>
      <c r="B37" s="906" t="s">
        <v>1884</v>
      </c>
      <c r="C37" s="906">
        <v>65113</v>
      </c>
      <c r="D37" s="906" t="s">
        <v>1257</v>
      </c>
      <c r="E37" s="906" t="s">
        <v>1259</v>
      </c>
      <c r="F37" s="1015">
        <f t="shared" si="26"/>
        <v>0.13582889469679427</v>
      </c>
      <c r="G37" s="1014">
        <f t="shared" si="26"/>
        <v>70.3</v>
      </c>
      <c r="H37" s="1014">
        <f t="shared" si="26"/>
        <v>47.6</v>
      </c>
      <c r="I37" s="1014">
        <f t="shared" si="26"/>
        <v>75.5</v>
      </c>
      <c r="J37" s="1013">
        <f t="shared" si="26"/>
        <v>48.5</v>
      </c>
      <c r="K37" s="1012">
        <f t="shared" si="26"/>
        <v>0</v>
      </c>
      <c r="L37" s="1011">
        <f>U25</f>
        <v>0.13322763311626915</v>
      </c>
      <c r="N37" s="1032" t="s">
        <v>1885</v>
      </c>
      <c r="O37" s="1031">
        <v>3.3558611046376134E-2</v>
      </c>
      <c r="P37" s="1030">
        <v>70</v>
      </c>
      <c r="Q37" s="1029">
        <v>32</v>
      </c>
      <c r="R37" s="1029">
        <v>70</v>
      </c>
      <c r="S37" s="1028">
        <v>32</v>
      </c>
      <c r="T37" s="1027">
        <v>36.56048017140192</v>
      </c>
      <c r="U37" s="1026">
        <v>0.18971545695683625</v>
      </c>
      <c r="V37" s="906">
        <v>13.441000000000001</v>
      </c>
      <c r="X37" s="906">
        <v>36</v>
      </c>
      <c r="AU37" s="1055">
        <v>2050</v>
      </c>
      <c r="AV37" s="1066">
        <v>60</v>
      </c>
      <c r="AW37" s="1066">
        <v>30</v>
      </c>
      <c r="AX37" s="1065">
        <f t="shared" si="24"/>
        <v>59.520864342685371</v>
      </c>
      <c r="AY37" s="1064">
        <f t="shared" si="24"/>
        <v>30.147417403647317</v>
      </c>
      <c r="AZ37" s="1063">
        <v>60</v>
      </c>
      <c r="BA37" s="1063">
        <v>30</v>
      </c>
      <c r="BB37" s="1062">
        <f t="shared" si="25"/>
        <v>60.479135657314643</v>
      </c>
      <c r="BC37" s="1061">
        <f t="shared" si="25"/>
        <v>29.852582596352686</v>
      </c>
    </row>
    <row r="38" spans="1:73" ht="15" thickBot="1">
      <c r="A38" s="906">
        <v>37</v>
      </c>
      <c r="B38" s="906" t="s">
        <v>1884</v>
      </c>
      <c r="C38" s="906">
        <v>65120</v>
      </c>
      <c r="D38" s="906" t="s">
        <v>1257</v>
      </c>
      <c r="E38" s="906" t="s">
        <v>1259</v>
      </c>
      <c r="F38" s="1015">
        <f t="shared" ref="F38:L38" si="27">O25</f>
        <v>0.13582889469679427</v>
      </c>
      <c r="G38" s="1014">
        <f t="shared" si="27"/>
        <v>70.3</v>
      </c>
      <c r="H38" s="1014">
        <f t="shared" si="27"/>
        <v>47.6</v>
      </c>
      <c r="I38" s="1014">
        <f t="shared" si="27"/>
        <v>75.5</v>
      </c>
      <c r="J38" s="1013">
        <f t="shared" si="27"/>
        <v>48.5</v>
      </c>
      <c r="K38" s="1012">
        <f t="shared" si="27"/>
        <v>0</v>
      </c>
      <c r="L38" s="1011">
        <f t="shared" si="27"/>
        <v>0.13322763311626915</v>
      </c>
      <c r="N38" s="1032" t="s">
        <v>1883</v>
      </c>
      <c r="O38" s="1031"/>
      <c r="P38" s="1030">
        <v>78</v>
      </c>
      <c r="Q38" s="1029">
        <v>0</v>
      </c>
      <c r="R38" s="1029">
        <v>83</v>
      </c>
      <c r="S38" s="1028">
        <v>0</v>
      </c>
      <c r="T38" s="1027" t="s">
        <v>842</v>
      </c>
      <c r="U38" s="1026">
        <v>0.41862845445240532</v>
      </c>
      <c r="V38" s="906">
        <v>6.2480000000000002</v>
      </c>
      <c r="X38" s="906">
        <v>37</v>
      </c>
      <c r="AA38" s="906" t="s">
        <v>1849</v>
      </c>
      <c r="AB38" s="906" t="s">
        <v>1848</v>
      </c>
      <c r="AC38" s="906" t="s">
        <v>1847</v>
      </c>
      <c r="AD38" s="906" t="s">
        <v>1846</v>
      </c>
      <c r="AE38" s="906" t="s">
        <v>1845</v>
      </c>
      <c r="AV38" s="1356" t="s">
        <v>1882</v>
      </c>
      <c r="AW38" s="1356"/>
      <c r="AX38" s="1357" t="s">
        <v>1881</v>
      </c>
      <c r="AY38" s="1357"/>
      <c r="AZ38" s="1358" t="s">
        <v>1880</v>
      </c>
      <c r="BA38" s="1358"/>
      <c r="BB38" s="1359" t="s">
        <v>1879</v>
      </c>
      <c r="BC38" s="1359"/>
    </row>
    <row r="39" spans="1:73" ht="18">
      <c r="A39" s="906">
        <v>38</v>
      </c>
      <c r="B39" s="906" t="s">
        <v>1878</v>
      </c>
      <c r="C39" s="906">
        <v>29189</v>
      </c>
      <c r="D39" s="906" t="s">
        <v>1256</v>
      </c>
      <c r="E39" s="906" t="s">
        <v>1258</v>
      </c>
      <c r="F39" s="1015"/>
      <c r="G39" s="1014"/>
      <c r="H39" s="1014"/>
      <c r="I39" s="1014"/>
      <c r="J39" s="1013"/>
      <c r="K39" s="1012"/>
      <c r="L39" s="1011"/>
      <c r="N39" s="1038" t="s">
        <v>1877</v>
      </c>
      <c r="O39" s="1037"/>
      <c r="P39" s="1036">
        <v>80</v>
      </c>
      <c r="Q39" s="1014">
        <v>44</v>
      </c>
      <c r="R39" s="1014">
        <v>93</v>
      </c>
      <c r="S39" s="1013">
        <v>41</v>
      </c>
      <c r="T39" s="1012" t="s">
        <v>842</v>
      </c>
      <c r="U39" s="1035">
        <v>2.4996677333278809E-2</v>
      </c>
      <c r="V39" s="906">
        <v>286.10399999999998</v>
      </c>
      <c r="X39" s="906">
        <v>38</v>
      </c>
      <c r="AA39" s="1060">
        <v>2020</v>
      </c>
      <c r="AB39" s="1059">
        <f>(AB28+273.15+$AO$6)/((AB28+273.15+$AO$6)-($AM$6+273.15-$AO$6))*$AM$8*$AM$9</f>
        <v>7.8792999999999997</v>
      </c>
      <c r="AC39" s="1059">
        <f>(AD28+273.15+$AO$6)/((AD28+273.15+$AO$6)-($AM$6+273.15-$AO$6))*$AM$8*$AM$9</f>
        <v>8.9565649759081456</v>
      </c>
      <c r="AD39" s="1059">
        <f>(AF28+273.15+$AO$6)/((AF28+273.15+$AO$6)-($AM$6+273.15-$AO$6))*$AM$8*$AM$9</f>
        <v>7.8792999999999997</v>
      </c>
      <c r="AE39" s="1058">
        <f>(AH28+273.15+$AO$6)/((AH28+273.15+$AO$6)-($AM$6+273.15-$AO$6))*$AM$8</f>
        <v>7.0467673388242851</v>
      </c>
      <c r="AU39" s="1077"/>
      <c r="AV39" s="1076" t="s">
        <v>1876</v>
      </c>
      <c r="AW39" s="1076" t="s">
        <v>1875</v>
      </c>
      <c r="AX39" s="1075" t="s">
        <v>1874</v>
      </c>
      <c r="AY39" s="1075" t="s">
        <v>1873</v>
      </c>
      <c r="AZ39" s="1074" t="s">
        <v>1872</v>
      </c>
      <c r="BA39" s="1074" t="s">
        <v>1871</v>
      </c>
      <c r="BB39" s="1073" t="s">
        <v>1870</v>
      </c>
      <c r="BC39" s="1072" t="s">
        <v>1869</v>
      </c>
    </row>
    <row r="40" spans="1:73" ht="21">
      <c r="A40" s="906">
        <v>39</v>
      </c>
      <c r="B40" s="906" t="s">
        <v>1868</v>
      </c>
      <c r="C40" s="906">
        <v>29189</v>
      </c>
      <c r="D40" s="906" t="s">
        <v>1256</v>
      </c>
      <c r="E40" s="906" t="s">
        <v>1258</v>
      </c>
      <c r="F40" s="1015">
        <f t="shared" ref="F40:L40" si="28">O26</f>
        <v>0</v>
      </c>
      <c r="G40" s="1014">
        <f t="shared" si="28"/>
        <v>65</v>
      </c>
      <c r="H40" s="1014">
        <f t="shared" si="28"/>
        <v>35</v>
      </c>
      <c r="I40" s="1014">
        <f t="shared" si="28"/>
        <v>65</v>
      </c>
      <c r="J40" s="1013">
        <f t="shared" si="28"/>
        <v>33</v>
      </c>
      <c r="K40" s="1012" t="str">
        <f t="shared" si="28"/>
        <v/>
      </c>
      <c r="L40" s="1011">
        <f t="shared" si="28"/>
        <v>0.16795656732669273</v>
      </c>
      <c r="N40" s="1038" t="s">
        <v>1867</v>
      </c>
      <c r="O40" s="1037"/>
      <c r="P40" s="1036">
        <v>70</v>
      </c>
      <c r="Q40" s="1014">
        <v>40</v>
      </c>
      <c r="R40" s="1014">
        <v>72</v>
      </c>
      <c r="S40" s="1013">
        <v>36</v>
      </c>
      <c r="T40" s="1012">
        <v>32.408687686394138</v>
      </c>
      <c r="U40" s="1035">
        <v>0.19836697371627801</v>
      </c>
      <c r="V40" s="906">
        <v>448.43799999999999</v>
      </c>
      <c r="X40" s="906">
        <v>39</v>
      </c>
      <c r="AA40" s="1057">
        <v>2030</v>
      </c>
      <c r="AB40" s="908">
        <f>(AB29+273.15+$AO$6)/((AB29+273.15+$AO$6)-($AM$6+273.15-$AO$6))*$AM$8*$AM$9</f>
        <v>9.7116249999999997</v>
      </c>
      <c r="AC40" s="908">
        <f>(AD29+273.15+$AO$6)/((AD29+273.15+$AO$6)-($AM$6+273.15-$AO$6))*$AM$8*$AM$9</f>
        <v>11.220841505845954</v>
      </c>
      <c r="AD40" s="908">
        <f>(AF29+273.15+$AO$6)/((AF29+273.15+$AO$6)-($AM$6+273.15-$AO$6))*$AM$8*$AM$9</f>
        <v>9.7116249999999997</v>
      </c>
      <c r="AE40" s="1056">
        <f>(AH29+273.15+$AO$6)/((AH29+273.15+$AO$6)-($AM$6+273.15-$AO$6))*$AM$8</f>
        <v>8.5764189396431263</v>
      </c>
      <c r="AU40" s="1057">
        <v>2020</v>
      </c>
      <c r="AV40" s="1071">
        <f t="shared" ref="AV40:BC42" si="29">AV35+273.15</f>
        <v>348.15</v>
      </c>
      <c r="AW40" s="1071">
        <f t="shared" si="29"/>
        <v>313.14999999999998</v>
      </c>
      <c r="AX40" s="1070">
        <f t="shared" si="29"/>
        <v>347.44778339686241</v>
      </c>
      <c r="AY40" s="1070">
        <f t="shared" si="29"/>
        <v>313.30651664645512</v>
      </c>
      <c r="AZ40" s="1069">
        <f t="shared" si="29"/>
        <v>348.15</v>
      </c>
      <c r="BA40" s="1069">
        <f t="shared" si="29"/>
        <v>313.14999999999998</v>
      </c>
      <c r="BB40" s="1068">
        <f t="shared" si="29"/>
        <v>348.85221660313755</v>
      </c>
      <c r="BC40" s="1067">
        <f t="shared" si="29"/>
        <v>312.99348335354483</v>
      </c>
    </row>
    <row r="41" spans="1:73" ht="21.6" thickBot="1">
      <c r="A41" s="906">
        <v>40</v>
      </c>
      <c r="B41" s="906" t="s">
        <v>1866</v>
      </c>
      <c r="C41" s="906">
        <v>29189</v>
      </c>
      <c r="D41" s="906" t="s">
        <v>1256</v>
      </c>
      <c r="E41" s="906" t="s">
        <v>1258</v>
      </c>
      <c r="F41" s="1015">
        <f t="shared" ref="F41:K42" si="30">O27</f>
        <v>0</v>
      </c>
      <c r="G41" s="1014">
        <f t="shared" si="30"/>
        <v>69</v>
      </c>
      <c r="H41" s="1014">
        <f t="shared" si="30"/>
        <v>0</v>
      </c>
      <c r="I41" s="1014">
        <f t="shared" si="30"/>
        <v>78</v>
      </c>
      <c r="J41" s="1013">
        <f t="shared" si="30"/>
        <v>0</v>
      </c>
      <c r="K41" s="1012" t="str">
        <f t="shared" si="30"/>
        <v/>
      </c>
      <c r="L41" s="1016">
        <v>0.22800028617798151</v>
      </c>
      <c r="N41" s="1032" t="s">
        <v>1865</v>
      </c>
      <c r="O41" s="1031"/>
      <c r="P41" s="1030">
        <v>75</v>
      </c>
      <c r="Q41" s="1029">
        <v>40</v>
      </c>
      <c r="R41" s="1029">
        <v>85</v>
      </c>
      <c r="S41" s="1028">
        <v>38</v>
      </c>
      <c r="T41" s="1027" t="s">
        <v>842</v>
      </c>
      <c r="U41" s="1026">
        <v>0.10113396244729383</v>
      </c>
      <c r="V41" s="906">
        <v>842.69500000000005</v>
      </c>
      <c r="X41" s="906">
        <v>40</v>
      </c>
      <c r="AA41" s="1055">
        <v>2050</v>
      </c>
      <c r="AB41" s="1054">
        <f>(AB30+273.15+$AO$6)/((AB30+273.15+$AO$6)-($AM$6+273.15-$AO$6))*$AM$8*$AM$9</f>
        <v>18.873249999999999</v>
      </c>
      <c r="AC41" s="1054">
        <f>(AD30+273.15+$AO$6)/((AD30+273.15+$AO$6)-($AM$6+273.15-$AO$6))*$AM$8*$AM$9</f>
        <v>24.086776445436499</v>
      </c>
      <c r="AD41" s="1054">
        <f>(AF30+273.15+$AO$6)/((AF30+273.15+$AO$6)-($AM$6+273.15-$AO$6))*$AM$8*$AM$9</f>
        <v>18.873249999999999</v>
      </c>
      <c r="AE41" s="1053">
        <f>(AH30+273.15+$AO$6)/((AH30+273.15+$AO$6)-($AM$6+273.15-$AO$6))*$AM$8</f>
        <v>15.550545929578862</v>
      </c>
      <c r="AU41" s="1057">
        <v>2030</v>
      </c>
      <c r="AV41" s="1071">
        <f t="shared" si="29"/>
        <v>343.15</v>
      </c>
      <c r="AW41" s="1071">
        <f t="shared" si="29"/>
        <v>308.14999999999998</v>
      </c>
      <c r="AX41" s="1070">
        <f t="shared" si="29"/>
        <v>342.54090697358384</v>
      </c>
      <c r="AY41" s="1070">
        <f t="shared" si="29"/>
        <v>308.32317427302746</v>
      </c>
      <c r="AZ41" s="1069">
        <f t="shared" si="29"/>
        <v>343.15</v>
      </c>
      <c r="BA41" s="1069">
        <f t="shared" si="29"/>
        <v>308.14999999999998</v>
      </c>
      <c r="BB41" s="1068">
        <f t="shared" si="29"/>
        <v>343.75909302641611</v>
      </c>
      <c r="BC41" s="1067">
        <f t="shared" si="29"/>
        <v>307.97682572697249</v>
      </c>
    </row>
    <row r="42" spans="1:73" ht="21.6" thickBot="1">
      <c r="A42" s="906">
        <v>41</v>
      </c>
      <c r="B42" s="906" t="s">
        <v>1864</v>
      </c>
      <c r="C42" s="906">
        <v>29189</v>
      </c>
      <c r="D42" s="906" t="s">
        <v>1256</v>
      </c>
      <c r="E42" s="906" t="s">
        <v>1258</v>
      </c>
      <c r="F42" s="1015">
        <f t="shared" si="30"/>
        <v>0</v>
      </c>
      <c r="G42" s="1014">
        <f t="shared" si="30"/>
        <v>70</v>
      </c>
      <c r="H42" s="1014">
        <f t="shared" si="30"/>
        <v>43</v>
      </c>
      <c r="I42" s="1014">
        <f t="shared" si="30"/>
        <v>76</v>
      </c>
      <c r="J42" s="1013">
        <f t="shared" si="30"/>
        <v>36</v>
      </c>
      <c r="K42" s="1012" t="str">
        <f t="shared" si="30"/>
        <v/>
      </c>
      <c r="L42" s="1011">
        <f>U28</f>
        <v>0.26724137931034481</v>
      </c>
      <c r="N42" s="1032" t="s">
        <v>1863</v>
      </c>
      <c r="O42" s="1031"/>
      <c r="P42" s="1030">
        <v>72</v>
      </c>
      <c r="Q42" s="1029">
        <v>40</v>
      </c>
      <c r="R42" s="1029">
        <v>78</v>
      </c>
      <c r="S42" s="1028">
        <v>35</v>
      </c>
      <c r="T42" s="1027">
        <v>54.930040106085251</v>
      </c>
      <c r="U42" s="1026">
        <v>0.28083553337884187</v>
      </c>
      <c r="V42" s="906">
        <v>32.595999999999997</v>
      </c>
      <c r="X42" s="906">
        <v>41</v>
      </c>
      <c r="AU42" s="1055">
        <v>2050</v>
      </c>
      <c r="AV42" s="1066">
        <f t="shared" si="29"/>
        <v>333.15</v>
      </c>
      <c r="AW42" s="1066">
        <f t="shared" si="29"/>
        <v>303.14999999999998</v>
      </c>
      <c r="AX42" s="1065">
        <f t="shared" si="29"/>
        <v>332.67086434268538</v>
      </c>
      <c r="AY42" s="1064">
        <f t="shared" si="29"/>
        <v>303.29741740364727</v>
      </c>
      <c r="AZ42" s="1063">
        <f t="shared" si="29"/>
        <v>333.15</v>
      </c>
      <c r="BA42" s="1063">
        <f t="shared" si="29"/>
        <v>303.14999999999998</v>
      </c>
      <c r="BB42" s="1062">
        <f t="shared" si="29"/>
        <v>333.62913565731463</v>
      </c>
      <c r="BC42" s="1061">
        <f t="shared" si="29"/>
        <v>303.00258259635268</v>
      </c>
    </row>
    <row r="43" spans="1:73">
      <c r="A43" s="906">
        <v>42</v>
      </c>
      <c r="B43" s="906" t="s">
        <v>1862</v>
      </c>
      <c r="C43" s="906">
        <v>29189</v>
      </c>
      <c r="D43" s="906" t="s">
        <v>1256</v>
      </c>
      <c r="E43" s="906" t="s">
        <v>1258</v>
      </c>
      <c r="F43" s="1015"/>
      <c r="G43" s="1014"/>
      <c r="H43" s="1014"/>
      <c r="I43" s="1014"/>
      <c r="J43" s="1013"/>
      <c r="K43" s="1012"/>
      <c r="L43" s="1011"/>
      <c r="N43" s="1032" t="s">
        <v>1861</v>
      </c>
      <c r="O43" s="1031"/>
      <c r="P43" s="1030">
        <v>72</v>
      </c>
      <c r="Q43" s="1029">
        <v>0</v>
      </c>
      <c r="R43" s="1029">
        <v>80</v>
      </c>
      <c r="S43" s="1028">
        <v>0</v>
      </c>
      <c r="T43" s="1027" t="s">
        <v>842</v>
      </c>
      <c r="U43" s="1026"/>
      <c r="V43" s="906" t="s">
        <v>842</v>
      </c>
      <c r="X43" s="906">
        <v>42</v>
      </c>
    </row>
    <row r="44" spans="1:73" ht="15" thickBot="1">
      <c r="A44" s="906">
        <v>43</v>
      </c>
      <c r="B44" s="906" t="s">
        <v>1860</v>
      </c>
      <c r="C44" s="906">
        <v>29189</v>
      </c>
      <c r="D44" s="906" t="s">
        <v>1256</v>
      </c>
      <c r="E44" s="906" t="s">
        <v>1258</v>
      </c>
      <c r="F44" s="1015">
        <f t="shared" ref="F44:L44" si="31">O29</f>
        <v>3.0235450529656475E-2</v>
      </c>
      <c r="G44" s="1014">
        <f t="shared" si="31"/>
        <v>70</v>
      </c>
      <c r="H44" s="1014">
        <f t="shared" si="31"/>
        <v>39</v>
      </c>
      <c r="I44" s="1014">
        <f t="shared" si="31"/>
        <v>70</v>
      </c>
      <c r="J44" s="1013">
        <f t="shared" si="31"/>
        <v>36</v>
      </c>
      <c r="K44" s="1012">
        <f t="shared" si="31"/>
        <v>34.829437787688285</v>
      </c>
      <c r="L44" s="1011">
        <f t="shared" si="31"/>
        <v>0.24540067220944631</v>
      </c>
      <c r="N44" s="1032" t="s">
        <v>1859</v>
      </c>
      <c r="O44" s="1031">
        <v>4.4507744347516464E-3</v>
      </c>
      <c r="P44" s="1030">
        <v>72</v>
      </c>
      <c r="Q44" s="1029">
        <v>42</v>
      </c>
      <c r="R44" s="1029">
        <v>75</v>
      </c>
      <c r="S44" s="1028">
        <v>39</v>
      </c>
      <c r="T44" s="1027" t="s">
        <v>842</v>
      </c>
      <c r="U44" s="1026">
        <v>0.28107117310443491</v>
      </c>
      <c r="V44" s="906">
        <v>16.081</v>
      </c>
      <c r="X44" s="906">
        <v>43</v>
      </c>
      <c r="AC44" s="1354" t="str">
        <f>AA32</f>
        <v>LTMEH</v>
      </c>
      <c r="AD44" s="1354"/>
      <c r="AE44" s="1354"/>
      <c r="AU44" s="906" t="s">
        <v>1836</v>
      </c>
      <c r="AV44" s="906" t="s">
        <v>1848</v>
      </c>
      <c r="AW44" s="906" t="s">
        <v>1847</v>
      </c>
      <c r="AX44" s="906" t="s">
        <v>1846</v>
      </c>
      <c r="AY44" s="906" t="s">
        <v>1845</v>
      </c>
    </row>
    <row r="45" spans="1:73" ht="18">
      <c r="A45" s="906">
        <v>44</v>
      </c>
      <c r="B45" s="906" t="s">
        <v>1858</v>
      </c>
      <c r="C45" s="906">
        <v>29188</v>
      </c>
      <c r="D45" s="906" t="s">
        <v>1256</v>
      </c>
      <c r="E45" s="906" t="s">
        <v>1259</v>
      </c>
      <c r="F45" s="1015"/>
      <c r="G45" s="1014"/>
      <c r="H45" s="1014"/>
      <c r="I45" s="1014"/>
      <c r="J45" s="1013"/>
      <c r="K45" s="1012"/>
      <c r="L45" s="1011"/>
      <c r="N45" s="1032" t="s">
        <v>1857</v>
      </c>
      <c r="O45" s="1031">
        <v>0.26081833761782347</v>
      </c>
      <c r="P45" s="1030">
        <v>75</v>
      </c>
      <c r="Q45" s="1029">
        <v>42</v>
      </c>
      <c r="R45" s="1029">
        <v>85</v>
      </c>
      <c r="S45" s="1028">
        <v>42</v>
      </c>
      <c r="T45" s="1027" t="s">
        <v>842</v>
      </c>
      <c r="U45" s="1026"/>
      <c r="V45" s="906" t="s">
        <v>842</v>
      </c>
      <c r="X45" s="906">
        <v>44</v>
      </c>
      <c r="AC45" s="906" t="s">
        <v>694</v>
      </c>
      <c r="AD45" s="906">
        <v>2020</v>
      </c>
      <c r="AE45" s="908">
        <f>AE33</f>
        <v>4.7567276508595668</v>
      </c>
      <c r="AU45" s="1060">
        <v>2020</v>
      </c>
      <c r="AV45" s="1059">
        <f>((AW40-AV40)/LN(AW40/AV40))/((AW40-AV40)/LN(AW40/AV40)-($BI$5-$BK$5-$BM$5)/LN(($BI$5-$BK$5)/$BM$5))*$CB20</f>
        <v>6.6445378076781401</v>
      </c>
      <c r="AW45" s="1059">
        <f>((AY40-AX40)/LN(AY40/AX40))/((AY40-AX40)/LN(AY40/AX40)-($BI$5-$BK$5-$BM$5)/LN(($BI$5-$BK$5)/$BM$5))*$CB20</f>
        <v>6.6908556685573926</v>
      </c>
      <c r="AX45" s="1059">
        <f>((BA40-AZ40)/LN(BA40/AZ40))/((BA40-AZ40)/LN(BA40/AZ40)-($BI$5-$BK$5-$BM$5)/LN(($BI$5-$BK$5)/$BM$5))*$CB20</f>
        <v>6.6445378076781401</v>
      </c>
      <c r="AY45" s="1058">
        <f>((BC40-BB40)/LN(BC40/BB40))/((BC40-BB40)/LN(BC40/BB40)-($BI$5-$BK$5-$BM$5)/LN(($BI$5-$BK$5)/$BM$5))*$CB20</f>
        <v>6.5989887992630001</v>
      </c>
      <c r="BA45" s="908"/>
    </row>
    <row r="46" spans="1:73" ht="18">
      <c r="A46" s="906">
        <v>45</v>
      </c>
      <c r="B46" s="906" t="s">
        <v>1856</v>
      </c>
      <c r="C46" s="906">
        <v>29189</v>
      </c>
      <c r="D46" s="906" t="s">
        <v>1256</v>
      </c>
      <c r="E46" s="906" t="s">
        <v>1258</v>
      </c>
      <c r="F46" s="1015">
        <f t="shared" ref="F46:L46" si="32">O30</f>
        <v>0</v>
      </c>
      <c r="G46" s="1014">
        <f t="shared" si="32"/>
        <v>65</v>
      </c>
      <c r="H46" s="1014">
        <f t="shared" si="32"/>
        <v>48</v>
      </c>
      <c r="I46" s="1014">
        <f t="shared" si="32"/>
        <v>67</v>
      </c>
      <c r="J46" s="1013">
        <f t="shared" si="32"/>
        <v>43</v>
      </c>
      <c r="K46" s="1012">
        <f t="shared" si="32"/>
        <v>27.127571597013578</v>
      </c>
      <c r="L46" s="1011">
        <f t="shared" si="32"/>
        <v>0.32371300580157158</v>
      </c>
      <c r="N46" s="1032" t="s">
        <v>1793</v>
      </c>
      <c r="O46" s="1031"/>
      <c r="P46" s="1030">
        <v>75</v>
      </c>
      <c r="Q46" s="1029">
        <v>42</v>
      </c>
      <c r="R46" s="1029">
        <v>85</v>
      </c>
      <c r="S46" s="1028">
        <v>36</v>
      </c>
      <c r="T46" s="1027">
        <v>34.802769684210524</v>
      </c>
      <c r="U46" s="1026">
        <v>0.17170737620018459</v>
      </c>
      <c r="V46" s="906">
        <v>1590.2919999999999</v>
      </c>
      <c r="X46" s="906">
        <v>45</v>
      </c>
      <c r="AC46" s="906" t="s">
        <v>691</v>
      </c>
      <c r="AD46" s="906">
        <v>2020</v>
      </c>
      <c r="AE46" s="908">
        <f>AB33</f>
        <v>5.111381578947368</v>
      </c>
      <c r="AU46" s="1057">
        <v>2030</v>
      </c>
      <c r="AV46" s="908">
        <f>((AW41-AV41)/LN(AW41/AV41))/((AW41-AV41)/LN(AW41/AV41)-($BI$5-$BK$5-$BM$5)/LN(($BI$5-$BK$5)/$BM$5))*$CB21</f>
        <v>8.3083053026786882</v>
      </c>
      <c r="AW46" s="908">
        <f>((AY41-AX41)/LN(AY41/AX41))/((AY41-AX41)/LN(AY41/AX41)-($BI$5-$BK$5-$BM$5)/LN(($BI$5-$BK$5)/$BM$5))*$CB21</f>
        <v>8.3629861752110095</v>
      </c>
      <c r="AX46" s="908">
        <f>((BA41-AZ41)/LN(BA41/AZ41))/((BA41-AZ41)/LN(BA41/AZ41)-($BI$5-$BK$5-$BM$5)/LN(($BI$5-$BK$5)/$BM$5))*$CB21</f>
        <v>8.3083053026786882</v>
      </c>
      <c r="AY46" s="1056">
        <f>((BC41-BB41)/LN(BC41/BB41))/((BC41-BB41)/LN(BC41/BB41)-($BI$5-$BK$5-$BM$5)/LN(($BI$5-$BK$5)/$BM$5))*$CB21</f>
        <v>8.2544797063462862</v>
      </c>
      <c r="BA46" s="908"/>
    </row>
    <row r="47" spans="1:73" ht="18.600000000000001" thickBot="1">
      <c r="A47" s="906">
        <v>46</v>
      </c>
      <c r="B47" s="906" t="s">
        <v>1855</v>
      </c>
      <c r="C47" s="906">
        <v>29189</v>
      </c>
      <c r="D47" s="906" t="s">
        <v>1256</v>
      </c>
      <c r="E47" s="906" t="s">
        <v>1259</v>
      </c>
      <c r="F47" s="1015"/>
      <c r="G47" s="1014"/>
      <c r="H47" s="1014"/>
      <c r="I47" s="1014"/>
      <c r="J47" s="1013"/>
      <c r="K47" s="1012"/>
      <c r="L47" s="1011"/>
      <c r="N47" s="1032" t="s">
        <v>1854</v>
      </c>
      <c r="O47" s="1031"/>
      <c r="P47" s="1030">
        <v>165</v>
      </c>
      <c r="Q47" s="1029">
        <v>100</v>
      </c>
      <c r="R47" s="1029">
        <v>165</v>
      </c>
      <c r="S47" s="1028">
        <v>70</v>
      </c>
      <c r="T47" s="1027" t="s">
        <v>842</v>
      </c>
      <c r="U47" s="1026">
        <v>0.2390308275898915</v>
      </c>
      <c r="V47" s="1018">
        <v>71.215299999999999</v>
      </c>
      <c r="W47" s="1018"/>
      <c r="X47" s="1018">
        <v>46</v>
      </c>
      <c r="AC47" s="906" t="s">
        <v>693</v>
      </c>
      <c r="AD47" s="906">
        <v>2020</v>
      </c>
      <c r="AE47" s="908">
        <f>AC33</f>
        <v>5.5313402845447772</v>
      </c>
      <c r="AU47" s="1055">
        <v>2050</v>
      </c>
      <c r="AV47" s="1054">
        <f>((AW42-AV42)/LN(AW42/AV42))/((AW42-AV42)/LN(AW42/AV42)-($BI$5-$BK$5-$BM$5)/LN(($BI$5-$BK$5)/$BM$5))*$CB22</f>
        <v>10.514574982307002</v>
      </c>
      <c r="AW47" s="1054">
        <f>((AY42-AX42)/LN(AY42/AX42))/((AY42-AX42)/LN(AY42/AX42)-($BI$5-$BK$5-$BM$5)/LN(($BI$5-$BK$5)/$BM$5))*$CB22</f>
        <v>10.5877985827362</v>
      </c>
      <c r="AX47" s="1054">
        <f>((BA42-AZ42)/LN(BA42/AZ42))/((BA42-AZ42)/LN(BA42/AZ42)-($BI$5-$BK$5-$BM$5)/LN(($BI$5-$BK$5)/$BM$5))*$CB22</f>
        <v>10.514574982307002</v>
      </c>
      <c r="AY47" s="1053">
        <f>((BC42-BB42)/LN(BC42/BB42))/((BC42-BB42)/LN(BC42/BB42)-($BI$5-$BK$5-$BM$5)/LN(($BI$5-$BK$5)/$BM$5))*$CB22</f>
        <v>10.442517635565746</v>
      </c>
      <c r="BA47" s="908"/>
    </row>
    <row r="48" spans="1:73">
      <c r="A48" s="906">
        <v>47</v>
      </c>
      <c r="B48" s="906" t="s">
        <v>1853</v>
      </c>
      <c r="C48" s="906">
        <v>29189</v>
      </c>
      <c r="D48" s="906" t="s">
        <v>1256</v>
      </c>
      <c r="E48" s="906" t="s">
        <v>1258</v>
      </c>
      <c r="F48" s="1015"/>
      <c r="G48" s="1014"/>
      <c r="H48" s="1014"/>
      <c r="I48" s="1014"/>
      <c r="J48" s="1013"/>
      <c r="K48" s="1012"/>
      <c r="L48" s="1011"/>
      <c r="N48" s="1032" t="s">
        <v>1787</v>
      </c>
      <c r="O48" s="1031"/>
      <c r="P48" s="1030">
        <v>76</v>
      </c>
      <c r="Q48" s="1029">
        <v>0</v>
      </c>
      <c r="R48" s="1029">
        <v>80</v>
      </c>
      <c r="S48" s="1028">
        <v>0</v>
      </c>
      <c r="T48" s="1027" t="s">
        <v>842</v>
      </c>
      <c r="U48" s="1026">
        <v>0.30656911045818702</v>
      </c>
      <c r="V48" s="906">
        <v>43.52</v>
      </c>
      <c r="X48" s="906">
        <v>47</v>
      </c>
      <c r="AC48" s="906" t="s">
        <v>25</v>
      </c>
      <c r="AD48" s="906">
        <v>2020</v>
      </c>
      <c r="AE48" s="908">
        <f>AD33</f>
        <v>5.111381578947368</v>
      </c>
    </row>
    <row r="49" spans="1:63">
      <c r="A49" s="906">
        <v>48</v>
      </c>
      <c r="B49" s="906" t="s">
        <v>1852</v>
      </c>
      <c r="C49" s="906">
        <v>29189</v>
      </c>
      <c r="D49" s="906" t="s">
        <v>1256</v>
      </c>
      <c r="E49" s="906" t="s">
        <v>1258</v>
      </c>
      <c r="F49" s="1015"/>
      <c r="G49" s="1014"/>
      <c r="H49" s="1014"/>
      <c r="I49" s="1014"/>
      <c r="J49" s="1013"/>
      <c r="K49" s="1012"/>
      <c r="L49" s="1011"/>
      <c r="N49" s="1032" t="s">
        <v>1780</v>
      </c>
      <c r="O49" s="1031"/>
      <c r="P49" s="1030">
        <v>65</v>
      </c>
      <c r="Q49" s="1029">
        <v>45</v>
      </c>
      <c r="R49" s="1029">
        <v>75</v>
      </c>
      <c r="S49" s="1028">
        <v>41</v>
      </c>
      <c r="T49" s="1027">
        <v>31.617746183189187</v>
      </c>
      <c r="U49" s="1026">
        <v>0.12362072151822474</v>
      </c>
      <c r="V49" s="906">
        <v>238.42746296000001</v>
      </c>
      <c r="X49" s="906">
        <v>48</v>
      </c>
      <c r="AC49" s="906" t="s">
        <v>694</v>
      </c>
      <c r="AD49" s="906">
        <v>2030</v>
      </c>
      <c r="AE49" s="908">
        <f>AE34</f>
        <v>5.3878151203710809</v>
      </c>
    </row>
    <row r="50" spans="1:63" ht="15" thickBot="1">
      <c r="A50" s="906">
        <v>49</v>
      </c>
      <c r="B50" s="906" t="s">
        <v>1851</v>
      </c>
      <c r="C50" s="906">
        <v>29189</v>
      </c>
      <c r="D50" s="906" t="s">
        <v>1256</v>
      </c>
      <c r="E50" s="906" t="s">
        <v>1258</v>
      </c>
      <c r="F50" s="1015"/>
      <c r="G50" s="1014"/>
      <c r="H50" s="1014"/>
      <c r="I50" s="1014"/>
      <c r="J50" s="1013"/>
      <c r="K50" s="1012"/>
      <c r="L50" s="1011"/>
      <c r="N50" s="1032" t="s">
        <v>1850</v>
      </c>
      <c r="O50" s="1031">
        <v>2.4049357844371694E-2</v>
      </c>
      <c r="P50" s="1030">
        <v>70</v>
      </c>
      <c r="Q50" s="1029">
        <v>40</v>
      </c>
      <c r="R50" s="1029">
        <v>73</v>
      </c>
      <c r="S50" s="1028">
        <v>33</v>
      </c>
      <c r="T50" s="1027">
        <v>35.076642969526986</v>
      </c>
      <c r="U50" s="1026">
        <v>0.25854728422139078</v>
      </c>
      <c r="V50" s="906">
        <v>11.494</v>
      </c>
      <c r="X50" s="906">
        <v>49</v>
      </c>
      <c r="AC50" s="906" t="s">
        <v>691</v>
      </c>
      <c r="AD50" s="906">
        <v>2030</v>
      </c>
      <c r="AE50" s="908">
        <f>AB34</f>
        <v>5.8025000000000002</v>
      </c>
      <c r="AU50" s="906" t="s">
        <v>1849</v>
      </c>
      <c r="AV50" s="906" t="s">
        <v>1848</v>
      </c>
      <c r="AW50" s="906" t="s">
        <v>1847</v>
      </c>
      <c r="AX50" s="906" t="s">
        <v>1846</v>
      </c>
      <c r="AY50" s="906" t="s">
        <v>1845</v>
      </c>
    </row>
    <row r="51" spans="1:63" ht="18">
      <c r="A51" s="906">
        <v>50</v>
      </c>
      <c r="B51" s="906" t="s">
        <v>1844</v>
      </c>
      <c r="C51" s="906">
        <v>11715</v>
      </c>
      <c r="D51" s="906" t="s">
        <v>1257</v>
      </c>
      <c r="E51" s="906" t="s">
        <v>1259</v>
      </c>
      <c r="F51" s="1015"/>
      <c r="G51" s="1014"/>
      <c r="H51" s="1014"/>
      <c r="I51" s="1014"/>
      <c r="J51" s="1013"/>
      <c r="K51" s="1012"/>
      <c r="L51" s="1011"/>
      <c r="N51" s="1032" t="s">
        <v>1843</v>
      </c>
      <c r="O51" s="1031"/>
      <c r="P51" s="1030">
        <v>75.900000000000006</v>
      </c>
      <c r="Q51" s="1029">
        <v>49.2</v>
      </c>
      <c r="R51" s="1029">
        <v>82.5</v>
      </c>
      <c r="S51" s="1028">
        <v>47.9</v>
      </c>
      <c r="T51" s="1027" t="s">
        <v>842</v>
      </c>
      <c r="U51" s="1026">
        <v>7.2431643736827686E-2</v>
      </c>
      <c r="V51" s="906">
        <v>663.69</v>
      </c>
      <c r="X51" s="906">
        <v>50</v>
      </c>
      <c r="AC51" s="906" t="s">
        <v>693</v>
      </c>
      <c r="AD51" s="906">
        <v>2030</v>
      </c>
      <c r="AE51" s="908">
        <f>AC34</f>
        <v>6.2949413733486246</v>
      </c>
      <c r="AU51" s="1060">
        <v>2020</v>
      </c>
      <c r="AV51" s="1059">
        <f>((AW40-AV40)/LN(AW40/AV40))/((AW40-AV40)/LN(AW40/AV40)-($BI$6-$BK$6-$BM$6)/LN(($BI$6-$BK$6)/$BM$6))*$CB20</f>
        <v>11.009210126041081</v>
      </c>
      <c r="AW51" s="1059">
        <f>((AY40-AX40)/LN(AY40/AX40))/((AY40-AX40)/LN(AY40/AX40)-($BI$6-$BK$6-$BM$6)/LN(($BI$6-$BK$6)/$BM$6))*$CB20</f>
        <v>11.142739240666591</v>
      </c>
      <c r="AX51" s="1059">
        <f>((BA40-AZ40)/LN(BA40/AZ40))/((BA40-AZ40)/LN(BA40/AZ40)-($BI$6-$BK$6-$BM$6)/LN(($BI$6-$BK$6)/$BM$6))*$CB20</f>
        <v>11.009210126041081</v>
      </c>
      <c r="AY51" s="1058">
        <f>((BC40-BB40)/LN(BC40/BB40))/((BC40-BB40)/LN(BC40/BB40)-($BI$6-$BK$6-$BM$6)/LN(($BI$6-$BK$6)/$BM$6))*$CB20</f>
        <v>10.87921819581009</v>
      </c>
    </row>
    <row r="52" spans="1:63" ht="18">
      <c r="A52" s="906">
        <v>51</v>
      </c>
      <c r="B52" s="906" t="s">
        <v>1842</v>
      </c>
      <c r="C52" s="906">
        <v>29189</v>
      </c>
      <c r="D52" s="906" t="s">
        <v>1256</v>
      </c>
      <c r="E52" s="906" t="s">
        <v>1258</v>
      </c>
      <c r="F52" s="1015">
        <f t="shared" ref="F52:L53" si="33">O31</f>
        <v>1.843368237347295E-2</v>
      </c>
      <c r="G52" s="1014">
        <f t="shared" si="33"/>
        <v>68</v>
      </c>
      <c r="H52" s="1014">
        <f t="shared" si="33"/>
        <v>36</v>
      </c>
      <c r="I52" s="1014">
        <f t="shared" si="33"/>
        <v>72</v>
      </c>
      <c r="J52" s="1013">
        <f t="shared" si="33"/>
        <v>36</v>
      </c>
      <c r="K52" s="1012">
        <f t="shared" si="33"/>
        <v>34.286461102250577</v>
      </c>
      <c r="L52" s="1011">
        <f t="shared" si="33"/>
        <v>0.16590732303589287</v>
      </c>
      <c r="N52" s="1032" t="s">
        <v>1774</v>
      </c>
      <c r="O52" s="1031">
        <v>2.7058694647798771E-2</v>
      </c>
      <c r="P52" s="1030">
        <v>75</v>
      </c>
      <c r="Q52" s="1029">
        <v>70</v>
      </c>
      <c r="R52" s="1029">
        <v>85</v>
      </c>
      <c r="S52" s="1028">
        <v>75</v>
      </c>
      <c r="T52" s="1027"/>
      <c r="U52" s="1026">
        <v>0.17929211337935086</v>
      </c>
      <c r="V52" s="906">
        <v>167.64599999999999</v>
      </c>
      <c r="X52" s="906">
        <v>51</v>
      </c>
      <c r="AC52" s="906" t="s">
        <v>25</v>
      </c>
      <c r="AD52" s="906">
        <v>2030</v>
      </c>
      <c r="AE52" s="908">
        <f>AD34</f>
        <v>5.8025000000000002</v>
      </c>
      <c r="AU52" s="1057">
        <v>2030</v>
      </c>
      <c r="AV52" s="908">
        <f>((AW41-AV41)/LN(AW41/AV41))/((AW41-AV41)/LN(AW41/AV41)-($BI$6-$BK$6-$BM$6)/LN(($BI$6-$BK$6)/$BM$6))*$CB21</f>
        <v>15.559264158948105</v>
      </c>
      <c r="AW52" s="908">
        <f>((AY41-AX41)/LN(AY41/AX41))/((AY41-AX41)/LN(AY41/AX41)-($BI$6-$BK$6-$BM$6)/LN(($BI$6-$BK$6)/$BM$6))*$CB21</f>
        <v>15.760895171138014</v>
      </c>
      <c r="AX52" s="908">
        <f>((BA41-AZ41)/LN(BA41/AZ41))/((BA41-AZ41)/LN(BA41/AZ41)-($BI$6-$BK$6-$BM$6)/LN(($BI$6-$BK$6)/$BM$6))*$CB21</f>
        <v>15.559264158948105</v>
      </c>
      <c r="AY52" s="1056">
        <f>((BC41-BB41)/LN(BC41/BB41))/((BC41-BB41)/LN(BC41/BB41)-($BI$6-$BK$6-$BM$6)/LN(($BI$6-$BK$6)/$BM$6))*$CB21</f>
        <v>15.363251250973041</v>
      </c>
    </row>
    <row r="53" spans="1:63" ht="18.600000000000001" thickBot="1">
      <c r="A53" s="906">
        <v>52</v>
      </c>
      <c r="B53" s="906" t="s">
        <v>1841</v>
      </c>
      <c r="C53" s="906">
        <v>29189</v>
      </c>
      <c r="D53" s="906" t="s">
        <v>1256</v>
      </c>
      <c r="E53" s="906" t="s">
        <v>1258</v>
      </c>
      <c r="F53" s="1015">
        <f t="shared" si="33"/>
        <v>0</v>
      </c>
      <c r="G53" s="1014">
        <f t="shared" si="33"/>
        <v>70</v>
      </c>
      <c r="H53" s="1014">
        <f t="shared" si="33"/>
        <v>0</v>
      </c>
      <c r="I53" s="1014">
        <f t="shared" si="33"/>
        <v>76</v>
      </c>
      <c r="J53" s="1013">
        <f t="shared" si="33"/>
        <v>0</v>
      </c>
      <c r="K53" s="1012">
        <f t="shared" si="33"/>
        <v>47.210473186119877</v>
      </c>
      <c r="L53" s="1011">
        <f t="shared" si="33"/>
        <v>0.22411217101482589</v>
      </c>
      <c r="N53" s="1032" t="s">
        <v>1840</v>
      </c>
      <c r="O53" s="1031"/>
      <c r="P53" s="1030">
        <v>69</v>
      </c>
      <c r="Q53" s="1029">
        <v>44</v>
      </c>
      <c r="R53" s="1029">
        <v>75</v>
      </c>
      <c r="S53" s="1028">
        <v>41</v>
      </c>
      <c r="T53" s="1027" t="s">
        <v>842</v>
      </c>
      <c r="U53" s="1026"/>
      <c r="V53" s="906" t="s">
        <v>842</v>
      </c>
      <c r="X53" s="906">
        <v>52</v>
      </c>
      <c r="AC53" s="906" t="s">
        <v>694</v>
      </c>
      <c r="AD53" s="906">
        <v>2050</v>
      </c>
      <c r="AE53" s="908">
        <f>AE35</f>
        <v>7.4241669232417449</v>
      </c>
      <c r="AU53" s="1055">
        <v>2050</v>
      </c>
      <c r="AV53" s="1054">
        <f>((AW42-AV42)/LN(AW42/AV42))/((AW42-AV42)/LN(AW42/AV42)-($BI$6-$BK$6-$BM$6)/LN(($BI$6-$BK$6)/$BM$6))*$CB22</f>
        <v>28.413900873646334</v>
      </c>
      <c r="AW53" s="1054">
        <f>((AY42-AX42)/LN(AY42/AX42))/((AY42-AX42)/LN(AY42/AX42)-($BI$6-$BK$6-$BM$6)/LN(($BI$6-$BK$6)/$BM$6))*$CB22</f>
        <v>28.979755737759366</v>
      </c>
      <c r="AX53" s="1054">
        <f>((BA42-AZ42)/LN(BA42/AZ42))/((BA42-AZ42)/LN(BA42/AZ42)-($BI$6-$BK$6-$BM$6)/LN(($BI$6-$BK$6)/$BM$6))*$CB22</f>
        <v>28.413900873646334</v>
      </c>
      <c r="AY53" s="1053">
        <f>((BC42-BB42)/LN(BC42/BB42))/((BC42-BB42)/LN(BC42/BB42)-($BI$6-$BK$6-$BM$6)/LN(($BI$6-$BK$6)/$BM$6))*$CB22</f>
        <v>27.870914179192194</v>
      </c>
    </row>
    <row r="54" spans="1:63">
      <c r="A54" s="906">
        <v>53</v>
      </c>
      <c r="B54" s="906" t="s">
        <v>1839</v>
      </c>
      <c r="C54" s="906">
        <v>29188</v>
      </c>
      <c r="D54" s="906" t="s">
        <v>1256</v>
      </c>
      <c r="E54" s="906" t="s">
        <v>1259</v>
      </c>
      <c r="F54" s="1015"/>
      <c r="G54" s="1014"/>
      <c r="H54" s="1014"/>
      <c r="I54" s="1014"/>
      <c r="J54" s="1013"/>
      <c r="K54" s="1012"/>
      <c r="L54" s="1011"/>
      <c r="N54" s="1032" t="s">
        <v>1768</v>
      </c>
      <c r="O54" s="1031"/>
      <c r="P54" s="1030">
        <v>70</v>
      </c>
      <c r="Q54" s="1029">
        <v>0</v>
      </c>
      <c r="R54" s="1029">
        <v>80</v>
      </c>
      <c r="S54" s="1028">
        <v>0</v>
      </c>
      <c r="T54" s="1027" t="s">
        <v>842</v>
      </c>
      <c r="U54" s="1026"/>
      <c r="V54" s="906" t="s">
        <v>842</v>
      </c>
      <c r="X54" s="906">
        <v>53</v>
      </c>
      <c r="AC54" s="906" t="s">
        <v>691</v>
      </c>
      <c r="AD54" s="906">
        <v>2050</v>
      </c>
      <c r="AE54" s="908">
        <f>AB35</f>
        <v>8.0861956521739131</v>
      </c>
    </row>
    <row r="55" spans="1:63">
      <c r="A55" s="906">
        <v>54</v>
      </c>
      <c r="B55" s="906" t="s">
        <v>1839</v>
      </c>
      <c r="C55" s="906">
        <v>29189</v>
      </c>
      <c r="D55" s="906" t="s">
        <v>1256</v>
      </c>
      <c r="E55" s="906" t="s">
        <v>1259</v>
      </c>
      <c r="F55" s="1015"/>
      <c r="G55" s="1014"/>
      <c r="H55" s="1014"/>
      <c r="I55" s="1014"/>
      <c r="J55" s="1013"/>
      <c r="K55" s="1012"/>
      <c r="L55" s="1011"/>
      <c r="N55" s="1032" t="s">
        <v>1838</v>
      </c>
      <c r="O55" s="1031"/>
      <c r="P55" s="1030">
        <v>75</v>
      </c>
      <c r="Q55" s="1029">
        <v>37</v>
      </c>
      <c r="R55" s="1029">
        <v>78</v>
      </c>
      <c r="S55" s="1028">
        <v>37</v>
      </c>
      <c r="T55" s="1027" t="s">
        <v>842</v>
      </c>
      <c r="U55" s="1026">
        <v>0.17356165075516491</v>
      </c>
      <c r="V55" s="1018">
        <v>32.722000000000001</v>
      </c>
      <c r="W55" s="1018"/>
      <c r="X55" s="1018">
        <v>54</v>
      </c>
      <c r="AC55" s="906" t="s">
        <v>693</v>
      </c>
      <c r="AD55" s="906">
        <v>2050</v>
      </c>
      <c r="AE55" s="908">
        <f>AC35</f>
        <v>8.8893294319669955</v>
      </c>
      <c r="AY55" s="910" t="s">
        <v>1259</v>
      </c>
      <c r="AZ55" s="910" t="s">
        <v>1259</v>
      </c>
      <c r="BA55" s="909" t="s">
        <v>1258</v>
      </c>
      <c r="BB55" s="909" t="s">
        <v>1258</v>
      </c>
      <c r="BC55" s="909"/>
      <c r="BD55" s="909"/>
      <c r="BH55" s="910" t="s">
        <v>1259</v>
      </c>
      <c r="BI55" s="910" t="s">
        <v>1259</v>
      </c>
      <c r="BJ55" s="909" t="s">
        <v>1258</v>
      </c>
      <c r="BK55" s="909" t="s">
        <v>1258</v>
      </c>
    </row>
    <row r="56" spans="1:63">
      <c r="A56" s="906">
        <v>55</v>
      </c>
      <c r="B56" s="906" t="s">
        <v>1834</v>
      </c>
      <c r="C56" s="906">
        <v>18957</v>
      </c>
      <c r="D56" s="906" t="s">
        <v>1256</v>
      </c>
      <c r="E56" s="906" t="s">
        <v>1259</v>
      </c>
      <c r="F56" s="1015"/>
      <c r="G56" s="1014"/>
      <c r="H56" s="1014"/>
      <c r="I56" s="1014"/>
      <c r="J56" s="1013"/>
      <c r="K56" s="1012"/>
      <c r="L56" s="1011"/>
      <c r="N56" s="1032" t="s">
        <v>1837</v>
      </c>
      <c r="O56" s="1031"/>
      <c r="P56" s="1030">
        <v>72</v>
      </c>
      <c r="Q56" s="1029">
        <v>36</v>
      </c>
      <c r="R56" s="1029">
        <v>74</v>
      </c>
      <c r="S56" s="1028">
        <v>37</v>
      </c>
      <c r="T56" s="1027"/>
      <c r="U56" s="1026">
        <v>0.30976614978254435</v>
      </c>
      <c r="V56" s="1018">
        <v>30.312999999999999</v>
      </c>
      <c r="W56" s="1018"/>
      <c r="X56" s="1018">
        <v>55</v>
      </c>
      <c r="AC56" s="906" t="s">
        <v>25</v>
      </c>
      <c r="AD56" s="906">
        <v>2050</v>
      </c>
      <c r="AE56" s="908">
        <f>AD35</f>
        <v>8.0861956521739131</v>
      </c>
      <c r="AV56" s="1354" t="str">
        <f>AU44</f>
        <v>LTMEH</v>
      </c>
      <c r="AW56" s="1354"/>
      <c r="AX56" s="1354"/>
      <c r="AY56" s="909" t="s">
        <v>1257</v>
      </c>
      <c r="AZ56" s="909" t="s">
        <v>1256</v>
      </c>
      <c r="BA56" s="909" t="s">
        <v>1257</v>
      </c>
      <c r="BB56" s="909" t="s">
        <v>1256</v>
      </c>
      <c r="BC56" s="909"/>
      <c r="BE56" s="1354" t="s">
        <v>1836</v>
      </c>
      <c r="BF56" s="1354"/>
      <c r="BG56" s="1354"/>
      <c r="BH56" s="909" t="s">
        <v>1257</v>
      </c>
      <c r="BI56" s="909" t="s">
        <v>1256</v>
      </c>
      <c r="BJ56" s="909" t="s">
        <v>1257</v>
      </c>
      <c r="BK56" s="909" t="s">
        <v>1256</v>
      </c>
    </row>
    <row r="57" spans="1:63">
      <c r="A57" s="906">
        <v>56</v>
      </c>
      <c r="B57" s="906" t="s">
        <v>1834</v>
      </c>
      <c r="C57" s="906">
        <v>29188</v>
      </c>
      <c r="D57" s="906" t="s">
        <v>1256</v>
      </c>
      <c r="E57" s="906" t="s">
        <v>1259</v>
      </c>
      <c r="F57" s="1015"/>
      <c r="G57" s="1014"/>
      <c r="H57" s="1014"/>
      <c r="I57" s="1014"/>
      <c r="J57" s="1013"/>
      <c r="K57" s="1012"/>
      <c r="L57" s="1011"/>
      <c r="N57" s="1032" t="s">
        <v>1835</v>
      </c>
      <c r="O57" s="1031"/>
      <c r="P57" s="1027">
        <v>67.900000000000006</v>
      </c>
      <c r="Q57" s="1040">
        <v>44</v>
      </c>
      <c r="R57" s="1040">
        <v>68.52</v>
      </c>
      <c r="S57" s="1039">
        <v>38</v>
      </c>
      <c r="T57" s="1027"/>
      <c r="U57" s="1026">
        <v>0.25009485094850947</v>
      </c>
      <c r="V57" s="1018">
        <v>55.343000000000004</v>
      </c>
      <c r="W57" s="1018"/>
      <c r="X57" s="1018">
        <v>56</v>
      </c>
      <c r="AC57" s="1355" t="str">
        <f>AA38</f>
        <v>MTEH</v>
      </c>
      <c r="AD57" s="1355"/>
      <c r="AE57" s="1355"/>
      <c r="AV57" s="907"/>
      <c r="AW57" s="906" t="s">
        <v>694</v>
      </c>
      <c r="AX57" s="906">
        <v>2015</v>
      </c>
      <c r="AY57" s="908">
        <f>AZ18</f>
        <v>4.4936985661605204</v>
      </c>
      <c r="AZ57" s="908">
        <f>AZ20</f>
        <v>5.030245890805495</v>
      </c>
      <c r="BA57" s="908">
        <f>AZ19</f>
        <v>5.4875186252728483</v>
      </c>
      <c r="BB57" s="908">
        <f>AZ21</f>
        <v>5.9180303774552367</v>
      </c>
      <c r="BC57" s="908"/>
      <c r="BD57" s="908"/>
      <c r="BE57" s="907"/>
      <c r="BF57" s="906" t="s">
        <v>694</v>
      </c>
      <c r="BG57" s="906">
        <v>2015</v>
      </c>
      <c r="BH57" s="908">
        <f t="shared" ref="BH57:BK60" si="34">AY57</f>
        <v>4.4936985661605204</v>
      </c>
      <c r="BI57" s="908">
        <f t="shared" si="34"/>
        <v>5.030245890805495</v>
      </c>
      <c r="BJ57" s="908">
        <f t="shared" si="34"/>
        <v>5.4875186252728483</v>
      </c>
      <c r="BK57" s="908">
        <f t="shared" si="34"/>
        <v>5.9180303774552367</v>
      </c>
    </row>
    <row r="58" spans="1:63">
      <c r="A58" s="906">
        <v>57</v>
      </c>
      <c r="B58" s="906" t="s">
        <v>1834</v>
      </c>
      <c r="C58" s="906">
        <v>29189</v>
      </c>
      <c r="D58" s="906" t="s">
        <v>1256</v>
      </c>
      <c r="E58" s="906" t="s">
        <v>1259</v>
      </c>
      <c r="F58" s="1015"/>
      <c r="G58" s="1014"/>
      <c r="H58" s="1014"/>
      <c r="I58" s="1014"/>
      <c r="J58" s="1013"/>
      <c r="K58" s="1012"/>
      <c r="L58" s="1011"/>
      <c r="N58" s="1032" t="s">
        <v>1833</v>
      </c>
      <c r="O58" s="1031">
        <v>0.05</v>
      </c>
      <c r="P58" s="1030">
        <v>68</v>
      </c>
      <c r="Q58" s="1029">
        <v>33</v>
      </c>
      <c r="R58" s="1029">
        <v>72</v>
      </c>
      <c r="S58" s="1028">
        <v>35</v>
      </c>
      <c r="T58" s="1027">
        <v>35.964255843641325</v>
      </c>
      <c r="U58" s="1026">
        <v>0.27610526315789474</v>
      </c>
      <c r="V58" s="1018">
        <v>6.8769999999999998</v>
      </c>
      <c r="W58" s="1018"/>
      <c r="X58" s="1018">
        <v>57</v>
      </c>
      <c r="AC58" s="906" t="s">
        <v>694</v>
      </c>
      <c r="AD58" s="906">
        <v>2020</v>
      </c>
      <c r="AE58" s="908">
        <f>AE39</f>
        <v>7.0467673388242851</v>
      </c>
      <c r="AV58" s="907"/>
      <c r="AW58" s="906" t="s">
        <v>691</v>
      </c>
      <c r="AX58" s="906">
        <v>2015</v>
      </c>
      <c r="AY58" s="908">
        <f>AW18</f>
        <v>4.6633529060719239</v>
      </c>
      <c r="AZ58" s="908">
        <f>AW20</f>
        <v>5.1335784752540965</v>
      </c>
      <c r="BA58" s="908">
        <f>AW19</f>
        <v>5.6164711608549638</v>
      </c>
      <c r="BB58" s="908">
        <f>AW21</f>
        <v>5.9553926797050414</v>
      </c>
      <c r="BC58" s="908"/>
      <c r="BE58" s="907"/>
      <c r="BF58" s="906" t="s">
        <v>691</v>
      </c>
      <c r="BG58" s="906">
        <v>2015</v>
      </c>
      <c r="BH58" s="908">
        <f t="shared" si="34"/>
        <v>4.6633529060719239</v>
      </c>
      <c r="BI58" s="908">
        <f t="shared" si="34"/>
        <v>5.1335784752540965</v>
      </c>
      <c r="BJ58" s="908">
        <f t="shared" si="34"/>
        <v>5.6164711608549638</v>
      </c>
      <c r="BK58" s="908">
        <f t="shared" si="34"/>
        <v>5.9553926797050414</v>
      </c>
    </row>
    <row r="59" spans="1:63">
      <c r="A59" s="906">
        <v>58</v>
      </c>
      <c r="B59" s="906" t="s">
        <v>1832</v>
      </c>
      <c r="C59" s="906">
        <v>29189</v>
      </c>
      <c r="D59" s="906" t="s">
        <v>1256</v>
      </c>
      <c r="E59" s="906" t="s">
        <v>1258</v>
      </c>
      <c r="F59" s="1015">
        <f t="shared" ref="F59:L59" si="35">O33</f>
        <v>0</v>
      </c>
      <c r="G59" s="1014">
        <f t="shared" si="35"/>
        <v>75</v>
      </c>
      <c r="H59" s="1014">
        <f t="shared" si="35"/>
        <v>41</v>
      </c>
      <c r="I59" s="1014">
        <f t="shared" si="35"/>
        <v>75</v>
      </c>
      <c r="J59" s="1013">
        <f t="shared" si="35"/>
        <v>36</v>
      </c>
      <c r="K59" s="1012">
        <f t="shared" si="35"/>
        <v>40.59779889728101</v>
      </c>
      <c r="L59" s="1011">
        <f t="shared" si="35"/>
        <v>0.21783451189273578</v>
      </c>
      <c r="N59" s="1032" t="s">
        <v>1831</v>
      </c>
      <c r="O59" s="1031">
        <v>1.2185833968012186E-2</v>
      </c>
      <c r="P59" s="1030">
        <v>65</v>
      </c>
      <c r="Q59" s="1029">
        <v>40</v>
      </c>
      <c r="R59" s="1029">
        <v>72</v>
      </c>
      <c r="S59" s="1028">
        <v>38</v>
      </c>
      <c r="T59" s="1027">
        <v>28.453720804465171</v>
      </c>
      <c r="U59" s="1026">
        <v>0.40100231303006939</v>
      </c>
      <c r="V59" s="1018">
        <v>7.7690000000000001</v>
      </c>
      <c r="W59" s="1018"/>
      <c r="X59" s="1018">
        <v>58</v>
      </c>
      <c r="AC59" s="906" t="s">
        <v>691</v>
      </c>
      <c r="AD59" s="906">
        <v>2020</v>
      </c>
      <c r="AE59" s="908">
        <f>AB39</f>
        <v>7.8792999999999997</v>
      </c>
      <c r="AV59" s="907"/>
      <c r="AW59" s="906" t="s">
        <v>693</v>
      </c>
      <c r="AX59" s="906">
        <v>2015</v>
      </c>
      <c r="AY59" s="1052">
        <f>AX18</f>
        <v>4.8492510247196225</v>
      </c>
      <c r="AZ59" s="908">
        <f>AX20</f>
        <v>5.2435392226385922</v>
      </c>
      <c r="BA59" s="908">
        <f>AX19</f>
        <v>5.7543730542548044</v>
      </c>
      <c r="BB59" s="908">
        <f>AX21</f>
        <v>5.9942745260623997</v>
      </c>
      <c r="BC59" s="908"/>
      <c r="BE59" s="907"/>
      <c r="BF59" s="906" t="s">
        <v>693</v>
      </c>
      <c r="BG59" s="906">
        <v>2015</v>
      </c>
      <c r="BH59" s="908">
        <f t="shared" si="34"/>
        <v>4.8492510247196225</v>
      </c>
      <c r="BI59" s="908">
        <f t="shared" si="34"/>
        <v>5.2435392226385922</v>
      </c>
      <c r="BJ59" s="908">
        <f t="shared" si="34"/>
        <v>5.7543730542548044</v>
      </c>
      <c r="BK59" s="908">
        <f t="shared" si="34"/>
        <v>5.9942745260623997</v>
      </c>
    </row>
    <row r="60" spans="1:63">
      <c r="A60" s="906">
        <v>59</v>
      </c>
      <c r="B60" s="906" t="s">
        <v>1830</v>
      </c>
      <c r="C60" s="906">
        <v>29189</v>
      </c>
      <c r="D60" s="906" t="s">
        <v>1256</v>
      </c>
      <c r="E60" s="906" t="s">
        <v>1258</v>
      </c>
      <c r="F60" s="1015"/>
      <c r="G60" s="1014"/>
      <c r="H60" s="1014"/>
      <c r="I60" s="1014"/>
      <c r="J60" s="1013"/>
      <c r="K60" s="1012"/>
      <c r="L60" s="1011"/>
      <c r="N60" s="1038" t="s">
        <v>1829</v>
      </c>
      <c r="O60" s="1037">
        <v>1.6662200001848274E-2</v>
      </c>
      <c r="P60" s="1036">
        <v>70</v>
      </c>
      <c r="Q60" s="1014">
        <v>45</v>
      </c>
      <c r="R60" s="1014">
        <v>82</v>
      </c>
      <c r="S60" s="1013">
        <v>37</v>
      </c>
      <c r="T60" s="1012">
        <v>34.709931774311684</v>
      </c>
      <c r="U60" s="1035">
        <v>0.23961994624363286</v>
      </c>
      <c r="V60" s="906">
        <v>80.909000000000006</v>
      </c>
      <c r="X60" s="906">
        <v>59</v>
      </c>
      <c r="AC60" s="906" t="s">
        <v>693</v>
      </c>
      <c r="AD60" s="906">
        <v>2020</v>
      </c>
      <c r="AE60" s="908">
        <f>AC39</f>
        <v>8.9565649759081456</v>
      </c>
      <c r="AV60" s="907"/>
      <c r="AW60" s="906" t="s">
        <v>25</v>
      </c>
      <c r="AX60" s="906">
        <v>2015</v>
      </c>
      <c r="AY60" s="908">
        <f>AY18</f>
        <v>4.6633529060719239</v>
      </c>
      <c r="AZ60" s="908">
        <f>AY20</f>
        <v>5.1335784752540965</v>
      </c>
      <c r="BA60" s="908">
        <f>AY19</f>
        <v>5.6164711608549638</v>
      </c>
      <c r="BB60" s="908">
        <f>AY21</f>
        <v>5.9553926797050414</v>
      </c>
      <c r="BC60" s="908"/>
      <c r="BE60" s="907"/>
      <c r="BF60" s="906" t="s">
        <v>25</v>
      </c>
      <c r="BG60" s="906">
        <v>2015</v>
      </c>
      <c r="BH60" s="908">
        <f t="shared" si="34"/>
        <v>4.6633529060719239</v>
      </c>
      <c r="BI60" s="908">
        <f t="shared" si="34"/>
        <v>5.1335784752540965</v>
      </c>
      <c r="BJ60" s="908">
        <f t="shared" si="34"/>
        <v>5.6164711608549638</v>
      </c>
      <c r="BK60" s="908">
        <f t="shared" si="34"/>
        <v>5.9553926797050414</v>
      </c>
    </row>
    <row r="61" spans="1:63">
      <c r="A61" s="906">
        <v>60</v>
      </c>
      <c r="B61" s="906" t="s">
        <v>1828</v>
      </c>
      <c r="C61" s="906">
        <v>29189</v>
      </c>
      <c r="D61" s="906" t="s">
        <v>1256</v>
      </c>
      <c r="E61" s="906" t="s">
        <v>1258</v>
      </c>
      <c r="F61" s="1015">
        <f t="shared" ref="F61:L63" si="36">O35</f>
        <v>9.067439078143693E-3</v>
      </c>
      <c r="G61" s="1014">
        <f t="shared" si="36"/>
        <v>68</v>
      </c>
      <c r="H61" s="1014">
        <f t="shared" si="36"/>
        <v>36</v>
      </c>
      <c r="I61" s="1014">
        <f t="shared" si="36"/>
        <v>68</v>
      </c>
      <c r="J61" s="1013">
        <f t="shared" si="36"/>
        <v>36</v>
      </c>
      <c r="K61" s="1012">
        <f t="shared" si="36"/>
        <v>33.374071251901881</v>
      </c>
      <c r="L61" s="1011">
        <f t="shared" si="36"/>
        <v>0.24477346381139989</v>
      </c>
      <c r="N61" s="1032" t="s">
        <v>1827</v>
      </c>
      <c r="O61" s="1031">
        <v>6.0532337821525582E-2</v>
      </c>
      <c r="P61" s="1030">
        <v>76</v>
      </c>
      <c r="Q61" s="1029">
        <v>43</v>
      </c>
      <c r="R61" s="1029">
        <v>77</v>
      </c>
      <c r="S61" s="1028">
        <v>41</v>
      </c>
      <c r="T61" s="1027">
        <v>36.951352733977416</v>
      </c>
      <c r="U61" s="1026">
        <v>0.32881061639588244</v>
      </c>
      <c r="V61" s="1018">
        <v>27.059000000000001</v>
      </c>
      <c r="W61" s="1018"/>
      <c r="X61" s="1018">
        <v>60</v>
      </c>
      <c r="AC61" s="906" t="s">
        <v>25</v>
      </c>
      <c r="AD61" s="906">
        <v>2020</v>
      </c>
      <c r="AE61" s="908">
        <f>AD39</f>
        <v>7.8792999999999997</v>
      </c>
      <c r="AV61" s="907"/>
      <c r="AW61" s="906" t="s">
        <v>694</v>
      </c>
      <c r="AX61" s="906">
        <v>2020</v>
      </c>
      <c r="AY61" s="908">
        <f>AY45</f>
        <v>6.5989887992630001</v>
      </c>
      <c r="AZ61" s="908">
        <f t="shared" ref="AZ61:BB72" si="37">AY61</f>
        <v>6.5989887992630001</v>
      </c>
      <c r="BA61" s="908">
        <f t="shared" si="37"/>
        <v>6.5989887992630001</v>
      </c>
      <c r="BB61" s="908">
        <f t="shared" si="37"/>
        <v>6.5989887992630001</v>
      </c>
      <c r="BC61" s="908"/>
      <c r="BE61" s="907"/>
      <c r="BF61" s="906" t="s">
        <v>694</v>
      </c>
      <c r="BG61" s="906">
        <v>2020</v>
      </c>
      <c r="BH61" s="908">
        <f t="shared" ref="BH61:BK64" si="38">BH57/$CB$19*$CB$20</f>
        <v>5.3036947717452412</v>
      </c>
      <c r="BI61" s="908">
        <f t="shared" si="38"/>
        <v>5.9369555921177213</v>
      </c>
      <c r="BJ61" s="908">
        <f t="shared" si="38"/>
        <v>6.476652453255495</v>
      </c>
      <c r="BK61" s="908">
        <f t="shared" si="38"/>
        <v>6.9847646231324125</v>
      </c>
    </row>
    <row r="62" spans="1:63">
      <c r="A62" s="906">
        <v>61</v>
      </c>
      <c r="B62" s="906" t="s">
        <v>1826</v>
      </c>
      <c r="C62" s="906">
        <v>29189</v>
      </c>
      <c r="D62" s="906" t="s">
        <v>1256</v>
      </c>
      <c r="E62" s="906" t="s">
        <v>1258</v>
      </c>
      <c r="F62" s="1015">
        <f t="shared" si="36"/>
        <v>0</v>
      </c>
      <c r="G62" s="1014">
        <f t="shared" si="36"/>
        <v>69</v>
      </c>
      <c r="H62" s="1014">
        <f t="shared" si="36"/>
        <v>41</v>
      </c>
      <c r="I62" s="1014">
        <f t="shared" si="36"/>
        <v>70</v>
      </c>
      <c r="J62" s="1013">
        <f t="shared" si="36"/>
        <v>39</v>
      </c>
      <c r="K62" s="1012">
        <f t="shared" si="36"/>
        <v>21.286858901815219</v>
      </c>
      <c r="L62" s="1011">
        <f t="shared" si="36"/>
        <v>0.32589612289685443</v>
      </c>
      <c r="N62" s="1032" t="s">
        <v>1825</v>
      </c>
      <c r="O62" s="1031"/>
      <c r="P62" s="1030">
        <v>67</v>
      </c>
      <c r="Q62" s="1029">
        <v>36</v>
      </c>
      <c r="R62" s="1029">
        <v>71</v>
      </c>
      <c r="S62" s="1028">
        <v>34</v>
      </c>
      <c r="T62" s="1027">
        <v>35.586149795173704</v>
      </c>
      <c r="U62" s="1026">
        <v>0.33608655188459746</v>
      </c>
      <c r="V62" s="1018">
        <v>5.7069999999999999</v>
      </c>
      <c r="W62" s="1018"/>
      <c r="X62" s="1018">
        <v>61</v>
      </c>
      <c r="AC62" s="906" t="s">
        <v>694</v>
      </c>
      <c r="AD62" s="906">
        <v>2030</v>
      </c>
      <c r="AE62" s="908">
        <f>AE40</f>
        <v>8.5764189396431263</v>
      </c>
      <c r="AV62" s="907"/>
      <c r="AW62" s="906" t="s">
        <v>691</v>
      </c>
      <c r="AX62" s="906">
        <v>2020</v>
      </c>
      <c r="AY62" s="908">
        <f>AV45</f>
        <v>6.6445378076781401</v>
      </c>
      <c r="AZ62" s="908">
        <f t="shared" si="37"/>
        <v>6.6445378076781401</v>
      </c>
      <c r="BA62" s="908">
        <f t="shared" si="37"/>
        <v>6.6445378076781401</v>
      </c>
      <c r="BB62" s="908">
        <f t="shared" si="37"/>
        <v>6.6445378076781401</v>
      </c>
      <c r="BC62" s="908"/>
      <c r="BE62" s="907"/>
      <c r="BF62" s="906" t="s">
        <v>691</v>
      </c>
      <c r="BG62" s="906">
        <v>2020</v>
      </c>
      <c r="BH62" s="908">
        <f t="shared" si="38"/>
        <v>5.5039295721761912</v>
      </c>
      <c r="BI62" s="908">
        <f t="shared" si="38"/>
        <v>6.0589140367757546</v>
      </c>
      <c r="BJ62" s="908">
        <f t="shared" si="38"/>
        <v>6.6288488853705481</v>
      </c>
      <c r="BK62" s="908">
        <f t="shared" si="38"/>
        <v>7.0288615388879272</v>
      </c>
    </row>
    <row r="63" spans="1:63">
      <c r="A63" s="906">
        <v>62</v>
      </c>
      <c r="B63" s="906" t="s">
        <v>1824</v>
      </c>
      <c r="C63" s="906">
        <v>29189</v>
      </c>
      <c r="D63" s="906" t="s">
        <v>1256</v>
      </c>
      <c r="E63" s="906" t="s">
        <v>1258</v>
      </c>
      <c r="F63" s="1015">
        <f t="shared" si="36"/>
        <v>3.3558611046376134E-2</v>
      </c>
      <c r="G63" s="1014">
        <f t="shared" si="36"/>
        <v>70</v>
      </c>
      <c r="H63" s="1014">
        <f t="shared" si="36"/>
        <v>32</v>
      </c>
      <c r="I63" s="1014">
        <f t="shared" si="36"/>
        <v>70</v>
      </c>
      <c r="J63" s="1013">
        <f t="shared" si="36"/>
        <v>32</v>
      </c>
      <c r="K63" s="1012">
        <f t="shared" si="36"/>
        <v>36.56048017140192</v>
      </c>
      <c r="L63" s="1011">
        <f t="shared" si="36"/>
        <v>0.18971545695683625</v>
      </c>
      <c r="N63" s="1032" t="s">
        <v>1823</v>
      </c>
      <c r="O63" s="1031"/>
      <c r="P63" s="1030">
        <v>80</v>
      </c>
      <c r="Q63" s="1029">
        <v>50</v>
      </c>
      <c r="R63" s="1029">
        <v>90</v>
      </c>
      <c r="S63" s="1028">
        <v>55</v>
      </c>
      <c r="T63" s="1027">
        <v>26.462430536530587</v>
      </c>
      <c r="U63" s="1026">
        <v>0.10822587144872053</v>
      </c>
      <c r="V63" s="1018">
        <v>70.813999999999993</v>
      </c>
      <c r="W63" s="1018"/>
      <c r="X63" s="1018">
        <v>62</v>
      </c>
      <c r="AC63" s="906" t="s">
        <v>691</v>
      </c>
      <c r="AD63" s="906">
        <v>2030</v>
      </c>
      <c r="AE63" s="908">
        <f>AB40</f>
        <v>9.7116249999999997</v>
      </c>
      <c r="AV63" s="907"/>
      <c r="AW63" s="906" t="s">
        <v>693</v>
      </c>
      <c r="AX63" s="906">
        <v>2020</v>
      </c>
      <c r="AY63" s="1052">
        <f>AW45</f>
        <v>6.6908556685573926</v>
      </c>
      <c r="AZ63" s="908">
        <f t="shared" si="37"/>
        <v>6.6908556685573926</v>
      </c>
      <c r="BA63" s="908">
        <f t="shared" si="37"/>
        <v>6.6908556685573926</v>
      </c>
      <c r="BB63" s="908">
        <f t="shared" si="37"/>
        <v>6.6908556685573926</v>
      </c>
      <c r="BC63" s="908"/>
      <c r="BE63" s="907"/>
      <c r="BF63" s="906" t="s">
        <v>693</v>
      </c>
      <c r="BG63" s="906">
        <v>2020</v>
      </c>
      <c r="BH63" s="908">
        <f t="shared" si="38"/>
        <v>5.723336117905288</v>
      </c>
      <c r="BI63" s="908">
        <f t="shared" si="38"/>
        <v>6.1886953811213852</v>
      </c>
      <c r="BJ63" s="908">
        <f t="shared" si="38"/>
        <v>6.7916078110684532</v>
      </c>
      <c r="BK63" s="908">
        <f t="shared" si="38"/>
        <v>7.0747518989566309</v>
      </c>
    </row>
    <row r="64" spans="1:63">
      <c r="A64" s="906">
        <v>63</v>
      </c>
      <c r="B64" s="906" t="s">
        <v>1822</v>
      </c>
      <c r="C64" s="906">
        <v>29188</v>
      </c>
      <c r="D64" s="906" t="s">
        <v>1256</v>
      </c>
      <c r="E64" s="906" t="s">
        <v>1259</v>
      </c>
      <c r="F64" s="1015"/>
      <c r="G64" s="1014"/>
      <c r="H64" s="1014"/>
      <c r="I64" s="1014"/>
      <c r="J64" s="1013"/>
      <c r="K64" s="1012"/>
      <c r="L64" s="1011"/>
      <c r="N64" s="1038" t="s">
        <v>1821</v>
      </c>
      <c r="O64" s="1037">
        <v>1.212241653418124E-2</v>
      </c>
      <c r="P64" s="1036">
        <v>68</v>
      </c>
      <c r="Q64" s="1014">
        <v>40</v>
      </c>
      <c r="R64" s="1014">
        <v>75</v>
      </c>
      <c r="S64" s="1013">
        <v>37</v>
      </c>
      <c r="T64" s="1012">
        <v>30.688489286098847</v>
      </c>
      <c r="U64" s="1035">
        <v>0.20056326694830015</v>
      </c>
      <c r="V64" s="906">
        <v>3.9740000000000002</v>
      </c>
      <c r="X64" s="906">
        <v>63</v>
      </c>
      <c r="AC64" s="906" t="s">
        <v>693</v>
      </c>
      <c r="AD64" s="906">
        <v>2030</v>
      </c>
      <c r="AE64" s="908">
        <f>AC40</f>
        <v>11.220841505845954</v>
      </c>
      <c r="AV64" s="907"/>
      <c r="AW64" s="906" t="s">
        <v>25</v>
      </c>
      <c r="AX64" s="906">
        <v>2020</v>
      </c>
      <c r="AY64" s="908">
        <f>AX45</f>
        <v>6.6445378076781401</v>
      </c>
      <c r="AZ64" s="908">
        <f t="shared" si="37"/>
        <v>6.6445378076781401</v>
      </c>
      <c r="BA64" s="908">
        <f t="shared" si="37"/>
        <v>6.6445378076781401</v>
      </c>
      <c r="BB64" s="908">
        <f t="shared" si="37"/>
        <v>6.6445378076781401</v>
      </c>
      <c r="BC64" s="908"/>
      <c r="BE64" s="907"/>
      <c r="BF64" s="906" t="s">
        <v>25</v>
      </c>
      <c r="BG64" s="906">
        <v>2020</v>
      </c>
      <c r="BH64" s="908">
        <f t="shared" si="38"/>
        <v>5.5039295721761912</v>
      </c>
      <c r="BI64" s="908">
        <f t="shared" si="38"/>
        <v>6.0589140367757546</v>
      </c>
      <c r="BJ64" s="908">
        <f t="shared" si="38"/>
        <v>6.6288488853705481</v>
      </c>
      <c r="BK64" s="908">
        <f t="shared" si="38"/>
        <v>7.0288615388879272</v>
      </c>
    </row>
    <row r="65" spans="1:63">
      <c r="A65" s="906">
        <v>64</v>
      </c>
      <c r="B65" s="906" t="s">
        <v>1820</v>
      </c>
      <c r="C65" s="906">
        <v>29189</v>
      </c>
      <c r="D65" s="906" t="s">
        <v>1256</v>
      </c>
      <c r="E65" s="906" t="s">
        <v>1258</v>
      </c>
      <c r="F65" s="1015">
        <f t="shared" ref="F65:L65" si="39">O38</f>
        <v>0</v>
      </c>
      <c r="G65" s="1014">
        <f t="shared" si="39"/>
        <v>78</v>
      </c>
      <c r="H65" s="1014">
        <f t="shared" si="39"/>
        <v>0</v>
      </c>
      <c r="I65" s="1014">
        <f t="shared" si="39"/>
        <v>83</v>
      </c>
      <c r="J65" s="1013">
        <f t="shared" si="39"/>
        <v>0</v>
      </c>
      <c r="K65" s="1012" t="str">
        <f t="shared" si="39"/>
        <v/>
      </c>
      <c r="L65" s="1011">
        <f t="shared" si="39"/>
        <v>0.41862845445240532</v>
      </c>
      <c r="N65" s="1032" t="s">
        <v>1819</v>
      </c>
      <c r="O65" s="1031"/>
      <c r="P65" s="1030">
        <v>75</v>
      </c>
      <c r="Q65" s="1029">
        <v>36</v>
      </c>
      <c r="R65" s="1029">
        <v>75</v>
      </c>
      <c r="S65" s="1028">
        <v>34</v>
      </c>
      <c r="T65" s="1027" t="s">
        <v>842</v>
      </c>
      <c r="U65" s="1026">
        <v>0.27605633802816903</v>
      </c>
      <c r="V65" s="1018">
        <v>18.247</v>
      </c>
      <c r="W65" s="1018"/>
      <c r="X65" s="1018">
        <v>64</v>
      </c>
      <c r="AC65" s="906" t="s">
        <v>25</v>
      </c>
      <c r="AD65" s="906">
        <v>2030</v>
      </c>
      <c r="AE65" s="908">
        <f>AD40</f>
        <v>9.7116249999999997</v>
      </c>
      <c r="AV65" s="907"/>
      <c r="AW65" s="906" t="s">
        <v>694</v>
      </c>
      <c r="AX65" s="906">
        <v>2030</v>
      </c>
      <c r="AY65" s="908">
        <f>AY45</f>
        <v>6.5989887992630001</v>
      </c>
      <c r="AZ65" s="908">
        <f t="shared" si="37"/>
        <v>6.5989887992630001</v>
      </c>
      <c r="BA65" s="908">
        <f t="shared" si="37"/>
        <v>6.5989887992630001</v>
      </c>
      <c r="BB65" s="908">
        <f t="shared" si="37"/>
        <v>6.5989887992630001</v>
      </c>
      <c r="BC65" s="908"/>
      <c r="BE65" s="907"/>
      <c r="BF65" s="906" t="s">
        <v>694</v>
      </c>
      <c r="BG65" s="906">
        <v>2030</v>
      </c>
      <c r="BH65" s="908">
        <f t="shared" ref="BH65:BK68" si="40">BH57/$CB$19*$CB$21</f>
        <v>5.7285579745553292</v>
      </c>
      <c r="BI65" s="908">
        <f t="shared" si="40"/>
        <v>6.4125474344775277</v>
      </c>
      <c r="BJ65" s="908">
        <f t="shared" si="40"/>
        <v>6.9954778048645707</v>
      </c>
      <c r="BK65" s="908">
        <f t="shared" si="40"/>
        <v>7.5442933283791742</v>
      </c>
    </row>
    <row r="66" spans="1:63">
      <c r="A66" s="906">
        <v>65</v>
      </c>
      <c r="B66" s="906" t="s">
        <v>1817</v>
      </c>
      <c r="C66" s="906">
        <v>29189</v>
      </c>
      <c r="D66" s="906" t="s">
        <v>1257</v>
      </c>
      <c r="E66" s="906" t="s">
        <v>1258</v>
      </c>
      <c r="F66" s="1015"/>
      <c r="G66" s="1014"/>
      <c r="H66" s="1014"/>
      <c r="I66" s="1014"/>
      <c r="J66" s="1013"/>
      <c r="K66" s="1012"/>
      <c r="L66" s="1011"/>
      <c r="N66" s="1032" t="s">
        <v>1818</v>
      </c>
      <c r="O66" s="1031"/>
      <c r="P66" s="1030">
        <v>68</v>
      </c>
      <c r="Q66" s="1029">
        <v>41</v>
      </c>
      <c r="R66" s="1029">
        <v>70</v>
      </c>
      <c r="S66" s="1028">
        <v>36</v>
      </c>
      <c r="T66" s="1027">
        <v>30.64825300254796</v>
      </c>
      <c r="U66" s="1026">
        <v>0.19962812148031642</v>
      </c>
      <c r="V66" s="1018">
        <v>120.095</v>
      </c>
      <c r="W66" s="1018"/>
      <c r="X66" s="1018">
        <v>65</v>
      </c>
      <c r="AC66" s="906" t="s">
        <v>694</v>
      </c>
      <c r="AD66" s="906">
        <v>2050</v>
      </c>
      <c r="AE66" s="908">
        <f>AE41</f>
        <v>15.550545929578862</v>
      </c>
      <c r="AV66" s="907"/>
      <c r="AW66" s="906" t="s">
        <v>691</v>
      </c>
      <c r="AX66" s="906">
        <v>2030</v>
      </c>
      <c r="AY66" s="908">
        <f>AV45</f>
        <v>6.6445378076781401</v>
      </c>
      <c r="AZ66" s="908">
        <f t="shared" si="37"/>
        <v>6.6445378076781401</v>
      </c>
      <c r="BA66" s="908">
        <f t="shared" si="37"/>
        <v>6.6445378076781401</v>
      </c>
      <c r="BB66" s="908">
        <f t="shared" si="37"/>
        <v>6.6445378076781401</v>
      </c>
      <c r="BC66" s="908"/>
      <c r="BE66" s="907"/>
      <c r="BF66" s="906" t="s">
        <v>691</v>
      </c>
      <c r="BG66" s="906">
        <v>2030</v>
      </c>
      <c r="BH66" s="908">
        <f t="shared" si="40"/>
        <v>5.9448329888911866</v>
      </c>
      <c r="BI66" s="908">
        <f t="shared" si="40"/>
        <v>6.5442756071529411</v>
      </c>
      <c r="BJ66" s="908">
        <f t="shared" si="40"/>
        <v>7.159866240175047</v>
      </c>
      <c r="BK66" s="908">
        <f t="shared" si="40"/>
        <v>7.5919227168104806</v>
      </c>
    </row>
    <row r="67" spans="1:63">
      <c r="A67" s="906">
        <v>66</v>
      </c>
      <c r="B67" s="906" t="s">
        <v>1817</v>
      </c>
      <c r="C67" s="906">
        <v>29189</v>
      </c>
      <c r="D67" s="906" t="s">
        <v>1256</v>
      </c>
      <c r="E67" s="906" t="s">
        <v>1258</v>
      </c>
      <c r="F67" s="1015"/>
      <c r="G67" s="1014"/>
      <c r="H67" s="1014"/>
      <c r="I67" s="1014"/>
      <c r="J67" s="1013"/>
      <c r="K67" s="1012"/>
      <c r="L67" s="1011"/>
      <c r="N67" s="1032" t="s">
        <v>1816</v>
      </c>
      <c r="O67" s="1031"/>
      <c r="P67" s="1030">
        <v>80.5</v>
      </c>
      <c r="Q67" s="1029">
        <v>52.2</v>
      </c>
      <c r="R67" s="1029">
        <v>85</v>
      </c>
      <c r="S67" s="1028">
        <v>51.2</v>
      </c>
      <c r="T67" s="1027" t="s">
        <v>842</v>
      </c>
      <c r="U67" s="1026">
        <v>9.8541692509985887E-2</v>
      </c>
      <c r="V67" s="1018">
        <v>90.837699999999998</v>
      </c>
      <c r="W67" s="1018"/>
      <c r="X67" s="1018">
        <v>66</v>
      </c>
      <c r="AC67" s="906" t="s">
        <v>691</v>
      </c>
      <c r="AD67" s="906">
        <v>2050</v>
      </c>
      <c r="AE67" s="908">
        <f>AB41</f>
        <v>18.873249999999999</v>
      </c>
      <c r="AV67" s="907"/>
      <c r="AW67" s="906" t="s">
        <v>693</v>
      </c>
      <c r="AX67" s="906">
        <v>2030</v>
      </c>
      <c r="AY67" s="908">
        <f>AW45</f>
        <v>6.6908556685573926</v>
      </c>
      <c r="AZ67" s="908">
        <f t="shared" si="37"/>
        <v>6.6908556685573926</v>
      </c>
      <c r="BA67" s="908">
        <f t="shared" si="37"/>
        <v>6.6908556685573926</v>
      </c>
      <c r="BB67" s="908">
        <f t="shared" si="37"/>
        <v>6.6908556685573926</v>
      </c>
      <c r="BC67" s="908"/>
      <c r="BE67" s="907"/>
      <c r="BF67" s="906" t="s">
        <v>693</v>
      </c>
      <c r="BG67" s="906">
        <v>2030</v>
      </c>
      <c r="BH67" s="908">
        <f t="shared" si="40"/>
        <v>6.1818155399802768</v>
      </c>
      <c r="BI67" s="908">
        <f t="shared" si="40"/>
        <v>6.6844533487266764</v>
      </c>
      <c r="BJ67" s="908">
        <f t="shared" si="40"/>
        <v>7.3356632989922135</v>
      </c>
      <c r="BK67" s="908">
        <f t="shared" si="40"/>
        <v>7.64148921704109</v>
      </c>
    </row>
    <row r="68" spans="1:63">
      <c r="A68" s="906">
        <v>67</v>
      </c>
      <c r="B68" s="906" t="s">
        <v>1814</v>
      </c>
      <c r="C68" s="906">
        <v>29189</v>
      </c>
      <c r="D68" s="906" t="s">
        <v>1257</v>
      </c>
      <c r="E68" s="906" t="s">
        <v>1258</v>
      </c>
      <c r="F68" s="1015">
        <f t="shared" ref="F68:L68" si="41">O41</f>
        <v>0</v>
      </c>
      <c r="G68" s="1014">
        <f t="shared" si="41"/>
        <v>75</v>
      </c>
      <c r="H68" s="1014">
        <f t="shared" si="41"/>
        <v>40</v>
      </c>
      <c r="I68" s="1014">
        <f t="shared" si="41"/>
        <v>85</v>
      </c>
      <c r="J68" s="1013">
        <f t="shared" si="41"/>
        <v>38</v>
      </c>
      <c r="K68" s="1012" t="str">
        <f t="shared" si="41"/>
        <v/>
      </c>
      <c r="L68" s="1011">
        <f t="shared" si="41"/>
        <v>0.10113396244729383</v>
      </c>
      <c r="N68" s="1032" t="s">
        <v>1815</v>
      </c>
      <c r="O68" s="1031"/>
      <c r="P68" s="1030">
        <v>77</v>
      </c>
      <c r="Q68" s="1029">
        <v>42</v>
      </c>
      <c r="R68" s="1029">
        <v>77</v>
      </c>
      <c r="S68" s="1028">
        <v>38</v>
      </c>
      <c r="T68" s="1027">
        <v>36.021988361628907</v>
      </c>
      <c r="U68" s="1026">
        <v>0.33411008062636904</v>
      </c>
      <c r="V68" s="1018">
        <v>14.288</v>
      </c>
      <c r="W68" s="1018"/>
      <c r="X68" s="1018">
        <v>67</v>
      </c>
      <c r="AC68" s="906" t="s">
        <v>693</v>
      </c>
      <c r="AD68" s="906">
        <v>2050</v>
      </c>
      <c r="AE68" s="908">
        <f>AC41</f>
        <v>24.086776445436499</v>
      </c>
      <c r="AV68" s="907"/>
      <c r="AW68" s="906" t="s">
        <v>25</v>
      </c>
      <c r="AX68" s="906">
        <v>2030</v>
      </c>
      <c r="AY68" s="908">
        <f>AX45</f>
        <v>6.6445378076781401</v>
      </c>
      <c r="AZ68" s="908">
        <f t="shared" si="37"/>
        <v>6.6445378076781401</v>
      </c>
      <c r="BA68" s="908">
        <f t="shared" si="37"/>
        <v>6.6445378076781401</v>
      </c>
      <c r="BB68" s="908">
        <f t="shared" si="37"/>
        <v>6.6445378076781401</v>
      </c>
      <c r="BC68" s="908"/>
      <c r="BE68" s="907"/>
      <c r="BF68" s="906" t="s">
        <v>25</v>
      </c>
      <c r="BG68" s="906">
        <v>2030</v>
      </c>
      <c r="BH68" s="908">
        <f t="shared" si="40"/>
        <v>5.9448329888911866</v>
      </c>
      <c r="BI68" s="908">
        <f t="shared" si="40"/>
        <v>6.5442756071529411</v>
      </c>
      <c r="BJ68" s="908">
        <f t="shared" si="40"/>
        <v>7.159866240175047</v>
      </c>
      <c r="BK68" s="908">
        <f t="shared" si="40"/>
        <v>7.5919227168104806</v>
      </c>
    </row>
    <row r="69" spans="1:63">
      <c r="A69" s="906">
        <v>68</v>
      </c>
      <c r="B69" s="906" t="s">
        <v>1814</v>
      </c>
      <c r="C69" s="906">
        <v>29189</v>
      </c>
      <c r="D69" s="906" t="s">
        <v>1256</v>
      </c>
      <c r="E69" s="906" t="s">
        <v>1258</v>
      </c>
      <c r="F69" s="1015">
        <f t="shared" ref="F69:L69" si="42">F68</f>
        <v>0</v>
      </c>
      <c r="G69" s="1014">
        <f t="shared" si="42"/>
        <v>75</v>
      </c>
      <c r="H69" s="1014">
        <f t="shared" si="42"/>
        <v>40</v>
      </c>
      <c r="I69" s="1014">
        <f t="shared" si="42"/>
        <v>85</v>
      </c>
      <c r="J69" s="1013">
        <f t="shared" si="42"/>
        <v>38</v>
      </c>
      <c r="K69" s="1012" t="str">
        <f t="shared" si="42"/>
        <v/>
      </c>
      <c r="L69" s="1011">
        <f t="shared" si="42"/>
        <v>0.10113396244729383</v>
      </c>
      <c r="N69" s="1032" t="s">
        <v>1813</v>
      </c>
      <c r="O69" s="1031"/>
      <c r="P69" s="1030">
        <v>75</v>
      </c>
      <c r="Q69" s="1029">
        <v>40</v>
      </c>
      <c r="R69" s="1029">
        <v>75</v>
      </c>
      <c r="S69" s="1028">
        <v>38</v>
      </c>
      <c r="T69" s="1027" t="s">
        <v>842</v>
      </c>
      <c r="U69" s="1026">
        <v>0.27943296492071118</v>
      </c>
      <c r="V69" s="1018">
        <v>23.992000000000001</v>
      </c>
      <c r="W69" s="1018"/>
      <c r="X69" s="1018">
        <v>68</v>
      </c>
      <c r="AC69" s="906" t="s">
        <v>25</v>
      </c>
      <c r="AD69" s="906">
        <v>2050</v>
      </c>
      <c r="AE69" s="908">
        <f>AD41</f>
        <v>18.873249999999999</v>
      </c>
      <c r="AV69" s="907"/>
      <c r="AW69" s="906" t="s">
        <v>694</v>
      </c>
      <c r="AX69" s="906">
        <v>2050</v>
      </c>
      <c r="AY69" s="908">
        <f>AY47</f>
        <v>10.442517635565746</v>
      </c>
      <c r="AZ69" s="908">
        <f t="shared" si="37"/>
        <v>10.442517635565746</v>
      </c>
      <c r="BA69" s="908">
        <f t="shared" si="37"/>
        <v>10.442517635565746</v>
      </c>
      <c r="BB69" s="908">
        <f t="shared" si="37"/>
        <v>10.442517635565746</v>
      </c>
      <c r="BC69" s="908"/>
      <c r="BE69" s="907"/>
      <c r="BF69" s="906" t="s">
        <v>694</v>
      </c>
      <c r="BG69" s="906">
        <v>2050</v>
      </c>
      <c r="BH69" s="908">
        <f t="shared" ref="BH69:BK72" si="43">BH57/$CB$19*$CB$22</f>
        <v>5.4884263419233319</v>
      </c>
      <c r="BI69" s="908">
        <f t="shared" si="43"/>
        <v>6.1437441000937572</v>
      </c>
      <c r="BJ69" s="908">
        <f t="shared" si="43"/>
        <v>6.7022389978586201</v>
      </c>
      <c r="BK69" s="908">
        <f t="shared" si="43"/>
        <v>7.2280490864521294</v>
      </c>
    </row>
    <row r="70" spans="1:63">
      <c r="A70" s="906">
        <v>69</v>
      </c>
      <c r="B70" s="906" t="s">
        <v>1812</v>
      </c>
      <c r="C70" s="906">
        <v>29189</v>
      </c>
      <c r="D70" s="906" t="s">
        <v>1256</v>
      </c>
      <c r="E70" s="906" t="s">
        <v>1258</v>
      </c>
      <c r="F70" s="1015">
        <f t="shared" ref="F70:L70" si="44">O42</f>
        <v>0</v>
      </c>
      <c r="G70" s="1014">
        <f t="shared" si="44"/>
        <v>72</v>
      </c>
      <c r="H70" s="1014">
        <f t="shared" si="44"/>
        <v>40</v>
      </c>
      <c r="I70" s="1014">
        <f t="shared" si="44"/>
        <v>78</v>
      </c>
      <c r="J70" s="1013">
        <f t="shared" si="44"/>
        <v>35</v>
      </c>
      <c r="K70" s="1012">
        <f t="shared" si="44"/>
        <v>54.930040106085251</v>
      </c>
      <c r="L70" s="1011">
        <f t="shared" si="44"/>
        <v>0.28083553337884187</v>
      </c>
      <c r="N70" s="1032" t="s">
        <v>1811</v>
      </c>
      <c r="O70" s="1031"/>
      <c r="P70" s="1030">
        <v>78</v>
      </c>
      <c r="Q70" s="1029">
        <v>45</v>
      </c>
      <c r="R70" s="1029">
        <v>84</v>
      </c>
      <c r="S70" s="1028">
        <v>40</v>
      </c>
      <c r="T70" s="1027">
        <v>38.648805715167462</v>
      </c>
      <c r="U70" s="1026">
        <v>0.2534529513430398</v>
      </c>
      <c r="V70" s="1018">
        <v>164.40700000000001</v>
      </c>
      <c r="W70" s="1018"/>
      <c r="X70" s="1018">
        <v>69</v>
      </c>
      <c r="AV70" s="907"/>
      <c r="AW70" s="906" t="s">
        <v>691</v>
      </c>
      <c r="AX70" s="906">
        <v>2050</v>
      </c>
      <c r="AY70" s="908">
        <f>AV47</f>
        <v>10.514574982307002</v>
      </c>
      <c r="AZ70" s="908">
        <f t="shared" si="37"/>
        <v>10.514574982307002</v>
      </c>
      <c r="BA70" s="908">
        <f t="shared" si="37"/>
        <v>10.514574982307002</v>
      </c>
      <c r="BB70" s="908">
        <f t="shared" si="37"/>
        <v>10.514574982307002</v>
      </c>
      <c r="BC70" s="908"/>
      <c r="BE70" s="907"/>
      <c r="BF70" s="906" t="s">
        <v>691</v>
      </c>
      <c r="BG70" s="906">
        <v>2050</v>
      </c>
      <c r="BH70" s="908">
        <f t="shared" si="43"/>
        <v>5.6956354669864169</v>
      </c>
      <c r="BI70" s="908">
        <f t="shared" si="43"/>
        <v>6.2699504466292098</v>
      </c>
      <c r="BJ70" s="908">
        <f t="shared" si="43"/>
        <v>6.8597365430825761</v>
      </c>
      <c r="BK70" s="908">
        <f t="shared" si="43"/>
        <v>7.2736819300538169</v>
      </c>
    </row>
    <row r="71" spans="1:63">
      <c r="A71" s="906">
        <v>70</v>
      </c>
      <c r="B71" s="906" t="s">
        <v>1810</v>
      </c>
      <c r="C71" s="906">
        <v>29188</v>
      </c>
      <c r="D71" s="906" t="s">
        <v>1256</v>
      </c>
      <c r="E71" s="906" t="s">
        <v>1259</v>
      </c>
      <c r="F71" s="1015"/>
      <c r="G71" s="1014"/>
      <c r="H71" s="1014"/>
      <c r="I71" s="1014"/>
      <c r="J71" s="1013"/>
      <c r="K71" s="1012"/>
      <c r="L71" s="1011"/>
      <c r="N71" s="1032" t="s">
        <v>1809</v>
      </c>
      <c r="O71" s="1031">
        <v>2.9754204398447608E-2</v>
      </c>
      <c r="P71" s="1030">
        <v>65</v>
      </c>
      <c r="Q71" s="1029">
        <v>40</v>
      </c>
      <c r="R71" s="1029">
        <v>75</v>
      </c>
      <c r="S71" s="1028">
        <v>39</v>
      </c>
      <c r="T71" s="1027"/>
      <c r="U71" s="1026">
        <v>0.39011764705882351</v>
      </c>
      <c r="V71" s="1018">
        <v>7.7759999999999998</v>
      </c>
      <c r="W71" s="1018"/>
      <c r="X71" s="1018">
        <v>70</v>
      </c>
      <c r="AV71" s="907"/>
      <c r="AW71" s="906" t="s">
        <v>693</v>
      </c>
      <c r="AX71" s="906">
        <v>2050</v>
      </c>
      <c r="AY71" s="908">
        <f>AW47</f>
        <v>10.5877985827362</v>
      </c>
      <c r="AZ71" s="908">
        <f t="shared" si="37"/>
        <v>10.5877985827362</v>
      </c>
      <c r="BA71" s="908">
        <f t="shared" si="37"/>
        <v>10.5877985827362</v>
      </c>
      <c r="BB71" s="908">
        <f t="shared" si="37"/>
        <v>10.5877985827362</v>
      </c>
      <c r="BC71" s="908"/>
      <c r="BE71" s="907"/>
      <c r="BF71" s="906" t="s">
        <v>693</v>
      </c>
      <c r="BG71" s="906">
        <v>2050</v>
      </c>
      <c r="BH71" s="908">
        <f t="shared" si="43"/>
        <v>5.9226841032663904</v>
      </c>
      <c r="BI71" s="908">
        <f t="shared" si="43"/>
        <v>6.404252170173228</v>
      </c>
      <c r="BJ71" s="908">
        <f t="shared" si="43"/>
        <v>7.0281644812705757</v>
      </c>
      <c r="BK71" s="908">
        <f t="shared" si="43"/>
        <v>7.3211706849465772</v>
      </c>
    </row>
    <row r="72" spans="1:63" ht="15.6">
      <c r="A72" s="906">
        <v>71</v>
      </c>
      <c r="B72" s="906" t="s">
        <v>1808</v>
      </c>
      <c r="C72" s="906">
        <v>29188</v>
      </c>
      <c r="D72" s="906" t="s">
        <v>1256</v>
      </c>
      <c r="E72" s="906" t="s">
        <v>1259</v>
      </c>
      <c r="F72" s="1015">
        <f t="shared" ref="F72:K72" si="45">O43</f>
        <v>0</v>
      </c>
      <c r="G72" s="1014">
        <f t="shared" si="45"/>
        <v>72</v>
      </c>
      <c r="H72" s="1014">
        <f t="shared" si="45"/>
        <v>0</v>
      </c>
      <c r="I72" s="1014">
        <f t="shared" si="45"/>
        <v>80</v>
      </c>
      <c r="J72" s="1013">
        <f t="shared" si="45"/>
        <v>0</v>
      </c>
      <c r="K72" s="1012" t="str">
        <f t="shared" si="45"/>
        <v/>
      </c>
      <c r="L72" s="1016">
        <v>0.22800028617798151</v>
      </c>
      <c r="N72" s="1038" t="s">
        <v>1807</v>
      </c>
      <c r="O72" s="1037"/>
      <c r="P72" s="1036">
        <v>75</v>
      </c>
      <c r="Q72" s="1014">
        <v>35</v>
      </c>
      <c r="R72" s="1014">
        <v>80</v>
      </c>
      <c r="S72" s="1013">
        <v>35</v>
      </c>
      <c r="T72" s="1012">
        <v>36.925362639902907</v>
      </c>
      <c r="U72" s="1035">
        <v>0.24807918793113118</v>
      </c>
      <c r="V72" s="906">
        <v>13.407500000000001</v>
      </c>
      <c r="X72" s="906">
        <v>71</v>
      </c>
      <c r="AV72" s="907"/>
      <c r="AW72" s="906" t="s">
        <v>25</v>
      </c>
      <c r="AX72" s="906">
        <v>2050</v>
      </c>
      <c r="AY72" s="908">
        <f>AX47</f>
        <v>10.514574982307002</v>
      </c>
      <c r="AZ72" s="908">
        <f t="shared" si="37"/>
        <v>10.514574982307002</v>
      </c>
      <c r="BA72" s="908">
        <f t="shared" si="37"/>
        <v>10.514574982307002</v>
      </c>
      <c r="BB72" s="908">
        <f t="shared" si="37"/>
        <v>10.514574982307002</v>
      </c>
      <c r="BC72" s="908"/>
      <c r="BE72" s="907"/>
      <c r="BF72" s="906" t="s">
        <v>25</v>
      </c>
      <c r="BG72" s="906">
        <v>2050</v>
      </c>
      <c r="BH72" s="908">
        <f t="shared" si="43"/>
        <v>5.6956354669864169</v>
      </c>
      <c r="BI72" s="908">
        <f t="shared" si="43"/>
        <v>6.2699504466292098</v>
      </c>
      <c r="BJ72" s="908">
        <f t="shared" si="43"/>
        <v>6.8597365430825761</v>
      </c>
      <c r="BK72" s="908">
        <f t="shared" si="43"/>
        <v>7.2736819300538169</v>
      </c>
    </row>
    <row r="73" spans="1:63">
      <c r="A73" s="906">
        <v>72</v>
      </c>
      <c r="B73" s="906" t="s">
        <v>1806</v>
      </c>
      <c r="C73" s="906">
        <v>29189</v>
      </c>
      <c r="D73" s="906" t="s">
        <v>1256</v>
      </c>
      <c r="E73" s="906" t="s">
        <v>1258</v>
      </c>
      <c r="F73" s="1015"/>
      <c r="G73" s="1014"/>
      <c r="H73" s="1014"/>
      <c r="I73" s="1014"/>
      <c r="J73" s="1013"/>
      <c r="K73" s="1012"/>
      <c r="L73" s="1011"/>
      <c r="N73" s="1032" t="s">
        <v>1805</v>
      </c>
      <c r="O73" s="1031"/>
      <c r="P73" s="1030">
        <v>75</v>
      </c>
      <c r="Q73" s="1029">
        <v>42</v>
      </c>
      <c r="R73" s="1029">
        <v>82</v>
      </c>
      <c r="S73" s="1028">
        <v>40</v>
      </c>
      <c r="T73" s="1027" t="s">
        <v>842</v>
      </c>
      <c r="U73" s="1026">
        <v>0.15905077413790744</v>
      </c>
      <c r="V73" s="1018">
        <v>122.861</v>
      </c>
      <c r="W73" s="1018"/>
      <c r="X73" s="1018">
        <v>72</v>
      </c>
      <c r="BC73" s="908"/>
      <c r="BH73" s="910" t="s">
        <v>1259</v>
      </c>
      <c r="BI73" s="910" t="s">
        <v>1259</v>
      </c>
      <c r="BJ73" s="909" t="s">
        <v>1258</v>
      </c>
      <c r="BK73" s="909" t="s">
        <v>1258</v>
      </c>
    </row>
    <row r="74" spans="1:63">
      <c r="A74" s="906">
        <v>73</v>
      </c>
      <c r="B74" s="906" t="s">
        <v>1804</v>
      </c>
      <c r="C74" s="906">
        <v>29189</v>
      </c>
      <c r="D74" s="906" t="s">
        <v>1256</v>
      </c>
      <c r="E74" s="906" t="s">
        <v>1259</v>
      </c>
      <c r="F74" s="1015">
        <f t="shared" ref="F74:L74" si="46">O44</f>
        <v>4.4507744347516464E-3</v>
      </c>
      <c r="G74" s="1014">
        <f t="shared" si="46"/>
        <v>72</v>
      </c>
      <c r="H74" s="1014">
        <f t="shared" si="46"/>
        <v>42</v>
      </c>
      <c r="I74" s="1014">
        <f t="shared" si="46"/>
        <v>75</v>
      </c>
      <c r="J74" s="1013">
        <f t="shared" si="46"/>
        <v>39</v>
      </c>
      <c r="K74" s="1012" t="str">
        <f t="shared" si="46"/>
        <v/>
      </c>
      <c r="L74" s="1011">
        <f t="shared" si="46"/>
        <v>0.28107117310443491</v>
      </c>
      <c r="N74" s="1032" t="s">
        <v>1803</v>
      </c>
      <c r="O74" s="1031">
        <v>1.7511330861145447E-3</v>
      </c>
      <c r="P74" s="1030">
        <v>64</v>
      </c>
      <c r="Q74" s="1029">
        <v>45</v>
      </c>
      <c r="R74" s="1029">
        <v>78</v>
      </c>
      <c r="S74" s="1028">
        <v>39</v>
      </c>
      <c r="T74" s="1027">
        <v>41.341454254271277</v>
      </c>
      <c r="U74" s="1026">
        <v>0.23941212022937336</v>
      </c>
      <c r="V74" s="1018">
        <v>51.595999999999997</v>
      </c>
      <c r="W74" s="1018"/>
      <c r="X74" s="1018">
        <v>73</v>
      </c>
      <c r="BC74" s="908"/>
      <c r="BE74" s="1354">
        <f>BD62</f>
        <v>0</v>
      </c>
      <c r="BF74" s="1354"/>
      <c r="BG74" s="1354"/>
      <c r="BH74" s="909" t="s">
        <v>1257</v>
      </c>
      <c r="BI74" s="909" t="s">
        <v>1256</v>
      </c>
      <c r="BJ74" s="909" t="s">
        <v>1257</v>
      </c>
      <c r="BK74" s="909" t="s">
        <v>1256</v>
      </c>
    </row>
    <row r="75" spans="1:63">
      <c r="A75" s="906">
        <v>74</v>
      </c>
      <c r="B75" s="906" t="s">
        <v>1802</v>
      </c>
      <c r="C75" s="906">
        <v>29188</v>
      </c>
      <c r="D75" s="906" t="s">
        <v>1256</v>
      </c>
      <c r="E75" s="906" t="s">
        <v>1258</v>
      </c>
      <c r="F75" s="1015"/>
      <c r="G75" s="1014"/>
      <c r="H75" s="1014"/>
      <c r="I75" s="1014"/>
      <c r="J75" s="1013"/>
      <c r="K75" s="1012"/>
      <c r="L75" s="1011"/>
      <c r="N75" s="1032" t="s">
        <v>1801</v>
      </c>
      <c r="O75" s="1031"/>
      <c r="P75" s="1030">
        <v>68.400000000000006</v>
      </c>
      <c r="Q75" s="1029">
        <v>38.1</v>
      </c>
      <c r="R75" s="1029">
        <v>73.3</v>
      </c>
      <c r="S75" s="1028">
        <v>33.1</v>
      </c>
      <c r="T75" s="1027">
        <v>45.625742555994066</v>
      </c>
      <c r="U75" s="1026">
        <v>0.23402607664954564</v>
      </c>
      <c r="V75" s="1018">
        <v>48.466999999999999</v>
      </c>
      <c r="W75" s="1018"/>
      <c r="X75" s="1018">
        <v>74</v>
      </c>
      <c r="BD75" s="907"/>
      <c r="BE75" s="907"/>
      <c r="BG75" s="906">
        <v>2015</v>
      </c>
      <c r="BH75" s="908">
        <f>AVERAGE(BH57:BH60)</f>
        <v>4.6674138507559979</v>
      </c>
      <c r="BI75" s="908">
        <f>AVERAGE(BI57:BI60)</f>
        <v>5.1352355159880698</v>
      </c>
      <c r="BJ75" s="908">
        <f>AVERAGE(BJ57:BJ60)</f>
        <v>5.6187085003093955</v>
      </c>
      <c r="BK75" s="908">
        <f>AVERAGE(BK57:BK60)</f>
        <v>5.9557725657319303</v>
      </c>
    </row>
    <row r="76" spans="1:63">
      <c r="A76" s="906">
        <v>75</v>
      </c>
      <c r="B76" s="906" t="s">
        <v>1800</v>
      </c>
      <c r="C76" s="906">
        <v>29188</v>
      </c>
      <c r="D76" s="906" t="s">
        <v>1256</v>
      </c>
      <c r="E76" s="906" t="s">
        <v>1258</v>
      </c>
      <c r="F76" s="1015"/>
      <c r="G76" s="1014"/>
      <c r="H76" s="1014"/>
      <c r="I76" s="1014"/>
      <c r="J76" s="1013"/>
      <c r="K76" s="1012"/>
      <c r="L76" s="1011"/>
      <c r="N76" s="1032" t="s">
        <v>1799</v>
      </c>
      <c r="O76" s="1031"/>
      <c r="P76" s="1030">
        <v>70</v>
      </c>
      <c r="Q76" s="1029">
        <v>38</v>
      </c>
      <c r="R76" s="1029">
        <v>71</v>
      </c>
      <c r="S76" s="1028">
        <v>34</v>
      </c>
      <c r="T76" s="1027">
        <v>39.165090999099291</v>
      </c>
      <c r="U76" s="1026">
        <v>0.24730127576054955</v>
      </c>
      <c r="V76" s="1018">
        <v>19.942</v>
      </c>
      <c r="W76" s="1018"/>
      <c r="X76" s="1018">
        <v>75</v>
      </c>
      <c r="BD76" s="907"/>
      <c r="BE76" s="907"/>
      <c r="BG76" s="906">
        <v>2020</v>
      </c>
      <c r="BH76" s="908">
        <f>AVERAGE(BH61:BH64)</f>
        <v>5.5087225085007274</v>
      </c>
      <c r="BI76" s="908">
        <f>AVERAGE(BI61:BI64)</f>
        <v>6.0608697616976537</v>
      </c>
      <c r="BJ76" s="908">
        <f>AVERAGE(BJ61:BJ64)</f>
        <v>6.6314895087662613</v>
      </c>
      <c r="BK76" s="908">
        <f>AVERAGE(BK61:BK64)</f>
        <v>7.0293098999662247</v>
      </c>
    </row>
    <row r="77" spans="1:63" ht="15.6">
      <c r="A77" s="906">
        <v>76</v>
      </c>
      <c r="B77" s="906" t="s">
        <v>1798</v>
      </c>
      <c r="C77" s="906">
        <v>29189</v>
      </c>
      <c r="D77" s="906" t="s">
        <v>1256</v>
      </c>
      <c r="E77" s="906" t="s">
        <v>1258</v>
      </c>
      <c r="F77" s="1015">
        <f t="shared" ref="F77:K77" si="47">O45</f>
        <v>0.26081833761782347</v>
      </c>
      <c r="G77" s="1014">
        <f t="shared" si="47"/>
        <v>75</v>
      </c>
      <c r="H77" s="1014">
        <f t="shared" si="47"/>
        <v>42</v>
      </c>
      <c r="I77" s="1014">
        <f t="shared" si="47"/>
        <v>85</v>
      </c>
      <c r="J77" s="1013">
        <f t="shared" si="47"/>
        <v>42</v>
      </c>
      <c r="K77" s="1012" t="str">
        <f t="shared" si="47"/>
        <v/>
      </c>
      <c r="L77" s="1016">
        <v>0.22800028617798151</v>
      </c>
      <c r="N77" s="1032" t="s">
        <v>1797</v>
      </c>
      <c r="O77" s="1031"/>
      <c r="P77" s="1030">
        <v>75</v>
      </c>
      <c r="Q77" s="1029">
        <v>40</v>
      </c>
      <c r="R77" s="1029">
        <v>80</v>
      </c>
      <c r="S77" s="1028">
        <v>37</v>
      </c>
      <c r="T77" s="1027" t="s">
        <v>842</v>
      </c>
      <c r="U77" s="1026"/>
      <c r="V77" s="1018" t="s">
        <v>842</v>
      </c>
      <c r="W77" s="1018"/>
      <c r="X77" s="1018">
        <v>76</v>
      </c>
      <c r="BD77" s="907"/>
      <c r="BE77" s="907"/>
      <c r="BG77" s="906">
        <v>2030</v>
      </c>
      <c r="BH77" s="908">
        <f>AVERAGE(BH65:BH68)</f>
        <v>5.9500098730794946</v>
      </c>
      <c r="BI77" s="908">
        <f>AVERAGE(BI65:BI68)</f>
        <v>6.5463879993775214</v>
      </c>
      <c r="BJ77" s="908">
        <f>AVERAGE(BJ65:BJ68)</f>
        <v>7.1627183960517193</v>
      </c>
      <c r="BK77" s="908">
        <f>AVERAGE(BK65:BK68)</f>
        <v>7.5924069947603066</v>
      </c>
    </row>
    <row r="78" spans="1:63">
      <c r="A78" s="906">
        <v>77</v>
      </c>
      <c r="B78" s="906" t="s">
        <v>1796</v>
      </c>
      <c r="C78" s="906">
        <v>29189</v>
      </c>
      <c r="D78" s="906" t="s">
        <v>1256</v>
      </c>
      <c r="E78" s="906" t="s">
        <v>1258</v>
      </c>
      <c r="F78" s="1015"/>
      <c r="G78" s="1014"/>
      <c r="H78" s="1014"/>
      <c r="I78" s="1014"/>
      <c r="J78" s="1013"/>
      <c r="K78" s="1012"/>
      <c r="L78" s="1011"/>
      <c r="N78" s="1032" t="s">
        <v>1795</v>
      </c>
      <c r="O78" s="1031"/>
      <c r="P78" s="1034">
        <v>71</v>
      </c>
      <c r="Q78" s="1018">
        <v>42</v>
      </c>
      <c r="R78" s="1018">
        <v>77</v>
      </c>
      <c r="S78" s="1033">
        <v>40</v>
      </c>
      <c r="T78" s="1027" t="s">
        <v>842</v>
      </c>
      <c r="U78" s="1026">
        <v>0.22894129556392462</v>
      </c>
      <c r="V78" s="1018">
        <v>89.88</v>
      </c>
      <c r="W78" s="1018"/>
      <c r="X78" s="1018">
        <v>77</v>
      </c>
      <c r="BC78" s="908"/>
      <c r="BD78" s="907"/>
      <c r="BE78" s="907"/>
      <c r="BG78" s="906">
        <v>2050</v>
      </c>
      <c r="BH78" s="908">
        <f>AVERAGE(BH69:BH72)</f>
        <v>5.7005953447906395</v>
      </c>
      <c r="BI78" s="908">
        <f>AVERAGE(BI69:BI72)</f>
        <v>6.2719742908813512</v>
      </c>
      <c r="BJ78" s="908">
        <f>AVERAGE(BJ69:BJ72)</f>
        <v>6.8624691413235865</v>
      </c>
      <c r="BK78" s="908">
        <f>AVERAGE(BK69:BK72)</f>
        <v>7.2741459078765853</v>
      </c>
    </row>
    <row r="79" spans="1:63">
      <c r="A79" s="906">
        <v>78</v>
      </c>
      <c r="B79" s="906" t="s">
        <v>1793</v>
      </c>
      <c r="C79" s="906">
        <v>29188</v>
      </c>
      <c r="D79" s="906" t="s">
        <v>1257</v>
      </c>
      <c r="E79" s="906" t="s">
        <v>1258</v>
      </c>
      <c r="F79" s="1015">
        <f t="shared" ref="F79:L79" si="48">O46</f>
        <v>0</v>
      </c>
      <c r="G79" s="1014">
        <f t="shared" si="48"/>
        <v>75</v>
      </c>
      <c r="H79" s="1014">
        <f t="shared" si="48"/>
        <v>42</v>
      </c>
      <c r="I79" s="1014">
        <f t="shared" si="48"/>
        <v>85</v>
      </c>
      <c r="J79" s="1013">
        <f t="shared" si="48"/>
        <v>36</v>
      </c>
      <c r="K79" s="1012">
        <f t="shared" si="48"/>
        <v>34.802769684210524</v>
      </c>
      <c r="L79" s="1011">
        <f t="shared" si="48"/>
        <v>0.17170737620018459</v>
      </c>
      <c r="N79" s="1032" t="s">
        <v>1685</v>
      </c>
      <c r="O79" s="1031"/>
      <c r="P79" s="1030">
        <v>73</v>
      </c>
      <c r="Q79" s="1029">
        <v>42</v>
      </c>
      <c r="R79" s="1029">
        <v>73</v>
      </c>
      <c r="S79" s="1028">
        <v>38</v>
      </c>
      <c r="T79" s="1027">
        <v>29.801433962264152</v>
      </c>
      <c r="U79" s="1026">
        <v>0.26657954916693893</v>
      </c>
      <c r="V79" s="1018">
        <v>6.7350000000000003</v>
      </c>
      <c r="W79" s="1018"/>
      <c r="X79" s="1018">
        <v>78</v>
      </c>
      <c r="AV79" s="907"/>
      <c r="AY79" s="908"/>
      <c r="AZ79" s="908"/>
      <c r="BA79" s="908"/>
      <c r="BB79" s="908"/>
      <c r="BD79" s="907"/>
      <c r="BG79" s="908"/>
      <c r="BH79" s="908"/>
      <c r="BI79" s="908"/>
      <c r="BJ79" s="908"/>
    </row>
    <row r="80" spans="1:63">
      <c r="A80" s="906">
        <v>79</v>
      </c>
      <c r="B80" s="906" t="s">
        <v>1793</v>
      </c>
      <c r="C80" s="906">
        <v>35209</v>
      </c>
      <c r="D80" s="906" t="s">
        <v>1257</v>
      </c>
      <c r="E80" s="906" t="s">
        <v>1258</v>
      </c>
      <c r="F80" s="1015">
        <f t="shared" ref="F80:L81" si="49">F79</f>
        <v>0</v>
      </c>
      <c r="G80" s="1014">
        <f t="shared" si="49"/>
        <v>75</v>
      </c>
      <c r="H80" s="1014">
        <f t="shared" si="49"/>
        <v>42</v>
      </c>
      <c r="I80" s="1014">
        <f t="shared" si="49"/>
        <v>85</v>
      </c>
      <c r="J80" s="1013">
        <f t="shared" si="49"/>
        <v>36</v>
      </c>
      <c r="K80" s="1012">
        <f t="shared" si="49"/>
        <v>34.802769684210524</v>
      </c>
      <c r="L80" s="1011">
        <f t="shared" si="49"/>
        <v>0.17170737620018459</v>
      </c>
      <c r="N80" s="1032" t="s">
        <v>1794</v>
      </c>
      <c r="O80" s="1031">
        <v>7.1261491595495843E-2</v>
      </c>
      <c r="P80" s="1030">
        <v>68</v>
      </c>
      <c r="Q80" s="1029">
        <v>43</v>
      </c>
      <c r="R80" s="1029">
        <v>72</v>
      </c>
      <c r="S80" s="1028">
        <v>40</v>
      </c>
      <c r="T80" s="1027">
        <v>30.647035126791668</v>
      </c>
      <c r="U80" s="1026">
        <v>0.28758859017161598</v>
      </c>
      <c r="V80" s="1018">
        <v>12.163</v>
      </c>
      <c r="W80" s="1018"/>
      <c r="X80" s="1018">
        <v>79</v>
      </c>
      <c r="AV80" s="907"/>
      <c r="AY80" s="908"/>
      <c r="AZ80" s="908"/>
      <c r="BA80" s="908"/>
      <c r="BB80" s="908"/>
      <c r="BD80" s="907"/>
      <c r="BG80" s="908"/>
      <c r="BH80" s="908"/>
      <c r="BI80" s="908"/>
      <c r="BJ80" s="908"/>
    </row>
    <row r="81" spans="1:62">
      <c r="A81" s="906">
        <v>80</v>
      </c>
      <c r="B81" s="906" t="s">
        <v>1793</v>
      </c>
      <c r="C81" s="906">
        <v>35209</v>
      </c>
      <c r="D81" s="906" t="s">
        <v>1256</v>
      </c>
      <c r="E81" s="906" t="s">
        <v>1258</v>
      </c>
      <c r="F81" s="1015">
        <f t="shared" si="49"/>
        <v>0</v>
      </c>
      <c r="G81" s="1014">
        <f t="shared" si="49"/>
        <v>75</v>
      </c>
      <c r="H81" s="1014">
        <f t="shared" si="49"/>
        <v>42</v>
      </c>
      <c r="I81" s="1014">
        <f t="shared" si="49"/>
        <v>85</v>
      </c>
      <c r="J81" s="1013">
        <f t="shared" si="49"/>
        <v>36</v>
      </c>
      <c r="K81" s="1012">
        <f t="shared" si="49"/>
        <v>34.802769684210524</v>
      </c>
      <c r="L81" s="1011">
        <f t="shared" si="49"/>
        <v>0.17170737620018459</v>
      </c>
      <c r="N81" s="1032" t="s">
        <v>1792</v>
      </c>
      <c r="O81" s="1031"/>
      <c r="P81" s="1030">
        <v>78</v>
      </c>
      <c r="Q81" s="1029">
        <v>0</v>
      </c>
      <c r="R81" s="1029">
        <v>78</v>
      </c>
      <c r="S81" s="1028">
        <v>0</v>
      </c>
      <c r="T81" s="1027" t="s">
        <v>842</v>
      </c>
      <c r="U81" s="1026"/>
      <c r="V81" s="1018" t="s">
        <v>842</v>
      </c>
      <c r="W81" s="1018"/>
      <c r="X81" s="1018">
        <v>80</v>
      </c>
      <c r="AV81" s="907"/>
      <c r="AY81" s="908"/>
      <c r="AZ81" s="908"/>
      <c r="BA81" s="908"/>
      <c r="BB81" s="908"/>
      <c r="BD81" s="907"/>
      <c r="BG81" s="908"/>
      <c r="BH81" s="908"/>
      <c r="BI81" s="908"/>
      <c r="BJ81" s="908"/>
    </row>
    <row r="82" spans="1:62">
      <c r="A82" s="906">
        <v>81</v>
      </c>
      <c r="B82" s="906" t="s">
        <v>1791</v>
      </c>
      <c r="C82" s="906">
        <v>55606</v>
      </c>
      <c r="D82" s="906" t="s">
        <v>1257</v>
      </c>
      <c r="E82" s="906" t="s">
        <v>1259</v>
      </c>
      <c r="F82" s="1015">
        <f t="shared" ref="F82:L82" si="50">O47</f>
        <v>0</v>
      </c>
      <c r="G82" s="1014">
        <f t="shared" si="50"/>
        <v>165</v>
      </c>
      <c r="H82" s="1014">
        <f t="shared" si="50"/>
        <v>100</v>
      </c>
      <c r="I82" s="1014">
        <f t="shared" si="50"/>
        <v>165</v>
      </c>
      <c r="J82" s="1013">
        <f t="shared" si="50"/>
        <v>70</v>
      </c>
      <c r="K82" s="1012" t="str">
        <f t="shared" si="50"/>
        <v/>
      </c>
      <c r="L82" s="1011">
        <f t="shared" si="50"/>
        <v>0.2390308275898915</v>
      </c>
      <c r="N82" s="1032" t="s">
        <v>1790</v>
      </c>
      <c r="O82" s="1031"/>
      <c r="P82" s="1030">
        <v>72</v>
      </c>
      <c r="Q82" s="1029">
        <v>49.3</v>
      </c>
      <c r="R82" s="1029">
        <v>72</v>
      </c>
      <c r="S82" s="1028">
        <v>43.7</v>
      </c>
      <c r="T82" s="1027">
        <v>26.738828983587556</v>
      </c>
      <c r="U82" s="1026">
        <v>0.22799820425097142</v>
      </c>
      <c r="V82" s="1018">
        <v>49.869</v>
      </c>
      <c r="W82" s="1018"/>
      <c r="X82" s="1018">
        <v>81</v>
      </c>
      <c r="AV82" s="907"/>
      <c r="AY82" s="908"/>
      <c r="AZ82" s="908"/>
      <c r="BA82" s="908"/>
      <c r="BB82" s="908"/>
      <c r="BD82" s="907"/>
      <c r="BG82" s="908"/>
      <c r="BH82" s="908"/>
      <c r="BI82" s="908"/>
      <c r="BJ82" s="908"/>
    </row>
    <row r="83" spans="1:62">
      <c r="A83" s="906">
        <v>82</v>
      </c>
      <c r="B83" s="906" t="s">
        <v>1789</v>
      </c>
      <c r="C83" s="906">
        <v>29188</v>
      </c>
      <c r="D83" s="906" t="s">
        <v>1256</v>
      </c>
      <c r="E83" s="906" t="s">
        <v>1259</v>
      </c>
      <c r="F83" s="1015">
        <f t="shared" ref="F83:L83" si="51">O253</f>
        <v>1.6757865937072503E-2</v>
      </c>
      <c r="G83" s="1014">
        <f t="shared" si="51"/>
        <v>70</v>
      </c>
      <c r="H83" s="1014">
        <f t="shared" si="51"/>
        <v>0</v>
      </c>
      <c r="I83" s="1014">
        <f t="shared" si="51"/>
        <v>80</v>
      </c>
      <c r="J83" s="1013">
        <f t="shared" si="51"/>
        <v>0</v>
      </c>
      <c r="K83" s="1012" t="str">
        <f t="shared" si="51"/>
        <v/>
      </c>
      <c r="L83" s="1011">
        <f t="shared" si="51"/>
        <v>0.30536956521739128</v>
      </c>
      <c r="N83" s="1032" t="s">
        <v>1788</v>
      </c>
      <c r="O83" s="1031">
        <v>1.2080536912751677E-2</v>
      </c>
      <c r="P83" s="1030">
        <v>65</v>
      </c>
      <c r="Q83" s="1029">
        <v>43</v>
      </c>
      <c r="R83" s="1029">
        <v>75</v>
      </c>
      <c r="S83" s="1028">
        <v>38</v>
      </c>
      <c r="T83" s="1027">
        <v>33.747721896932802</v>
      </c>
      <c r="U83" s="1026">
        <v>0.3286808300395257</v>
      </c>
      <c r="V83" s="1018">
        <v>5.4349999999999996</v>
      </c>
      <c r="W83" s="1018"/>
      <c r="X83" s="1018">
        <v>82</v>
      </c>
      <c r="AV83" s="907"/>
      <c r="AY83" s="908"/>
      <c r="AZ83" s="908"/>
      <c r="BA83" s="908"/>
      <c r="BB83" s="908"/>
      <c r="BD83" s="907"/>
      <c r="BG83" s="908"/>
      <c r="BH83" s="908"/>
      <c r="BI83" s="908"/>
      <c r="BJ83" s="908"/>
    </row>
    <row r="84" spans="1:62">
      <c r="A84" s="906">
        <v>83</v>
      </c>
      <c r="B84" s="906" t="s">
        <v>1787</v>
      </c>
      <c r="C84" s="906">
        <v>29189</v>
      </c>
      <c r="D84" s="906" t="s">
        <v>1256</v>
      </c>
      <c r="E84" s="906" t="s">
        <v>1258</v>
      </c>
      <c r="F84" s="1015">
        <f t="shared" ref="F84:L84" si="52">O48</f>
        <v>0</v>
      </c>
      <c r="G84" s="1014">
        <f t="shared" si="52"/>
        <v>76</v>
      </c>
      <c r="H84" s="1014">
        <f t="shared" si="52"/>
        <v>0</v>
      </c>
      <c r="I84" s="1014">
        <f t="shared" si="52"/>
        <v>80</v>
      </c>
      <c r="J84" s="1013">
        <f t="shared" si="52"/>
        <v>0</v>
      </c>
      <c r="K84" s="1012" t="str">
        <f t="shared" si="52"/>
        <v/>
      </c>
      <c r="L84" s="1011">
        <f t="shared" si="52"/>
        <v>0.30656911045818702</v>
      </c>
      <c r="N84" s="1032" t="s">
        <v>1670</v>
      </c>
      <c r="O84" s="1031">
        <v>3.2411973850212182E-2</v>
      </c>
      <c r="P84" s="1030">
        <v>70</v>
      </c>
      <c r="Q84" s="1029">
        <v>45</v>
      </c>
      <c r="R84" s="1029">
        <v>80</v>
      </c>
      <c r="S84" s="1028">
        <v>40</v>
      </c>
      <c r="T84" s="1027">
        <v>31.777020942610172</v>
      </c>
      <c r="U84" s="1026">
        <v>0.26890616850789434</v>
      </c>
      <c r="V84" s="1018">
        <v>30.838999999999999</v>
      </c>
      <c r="W84" s="1018"/>
      <c r="X84" s="1018">
        <v>83</v>
      </c>
      <c r="AV84" s="907"/>
      <c r="AY84" s="908"/>
      <c r="AZ84" s="908"/>
      <c r="BA84" s="908"/>
      <c r="BB84" s="908"/>
      <c r="BD84" s="907"/>
      <c r="BG84" s="908"/>
      <c r="BH84" s="908"/>
      <c r="BI84" s="908"/>
      <c r="BJ84" s="908"/>
    </row>
    <row r="85" spans="1:62">
      <c r="A85" s="906">
        <v>84</v>
      </c>
      <c r="B85" s="906" t="s">
        <v>1786</v>
      </c>
      <c r="C85" s="906">
        <v>29189</v>
      </c>
      <c r="D85" s="906" t="s">
        <v>1256</v>
      </c>
      <c r="E85" s="906" t="s">
        <v>1258</v>
      </c>
      <c r="F85" s="1015"/>
      <c r="G85" s="1014"/>
      <c r="H85" s="1014"/>
      <c r="I85" s="1014"/>
      <c r="J85" s="1013"/>
      <c r="K85" s="1012"/>
      <c r="L85" s="1011"/>
      <c r="N85" s="1032" t="s">
        <v>1785</v>
      </c>
      <c r="O85" s="1031"/>
      <c r="P85" s="1030">
        <v>68</v>
      </c>
      <c r="Q85" s="1029">
        <v>47</v>
      </c>
      <c r="R85" s="1029">
        <v>75</v>
      </c>
      <c r="S85" s="1028">
        <v>37</v>
      </c>
      <c r="T85" s="1027" t="s">
        <v>842</v>
      </c>
      <c r="U85" s="1026">
        <v>0.25414852895132867</v>
      </c>
      <c r="V85" s="1018">
        <v>59.078000000000003</v>
      </c>
      <c r="W85" s="1018"/>
      <c r="X85" s="1018">
        <v>84</v>
      </c>
      <c r="AV85" s="907"/>
      <c r="AY85" s="908"/>
      <c r="AZ85" s="908"/>
      <c r="BA85" s="908"/>
      <c r="BB85" s="908"/>
      <c r="BD85" s="907"/>
      <c r="BG85" s="908"/>
      <c r="BH85" s="908"/>
      <c r="BI85" s="908"/>
      <c r="BJ85" s="908"/>
    </row>
    <row r="86" spans="1:62">
      <c r="A86" s="906">
        <v>85</v>
      </c>
      <c r="B86" s="906" t="s">
        <v>1784</v>
      </c>
      <c r="C86" s="906">
        <v>64502</v>
      </c>
      <c r="D86" s="906" t="s">
        <v>1256</v>
      </c>
      <c r="E86" s="906" t="s">
        <v>1259</v>
      </c>
      <c r="F86" s="1015"/>
      <c r="G86" s="1014"/>
      <c r="H86" s="1014"/>
      <c r="I86" s="1014"/>
      <c r="J86" s="1013"/>
      <c r="K86" s="1012"/>
      <c r="L86" s="1011"/>
      <c r="N86" s="1049" t="s">
        <v>1783</v>
      </c>
      <c r="O86" s="1048">
        <v>1.0352179986765679E-2</v>
      </c>
      <c r="P86" s="1047">
        <v>74</v>
      </c>
      <c r="Q86" s="1046">
        <v>39</v>
      </c>
      <c r="R86" s="1046">
        <v>70</v>
      </c>
      <c r="S86" s="1045">
        <v>37</v>
      </c>
      <c r="T86" s="1044">
        <v>45.378171948085345</v>
      </c>
      <c r="U86" s="1043">
        <v>0.27424555355789659</v>
      </c>
      <c r="V86" s="1042">
        <v>48.844000000000001</v>
      </c>
      <c r="W86" s="1042"/>
      <c r="X86" s="1042">
        <v>85</v>
      </c>
      <c r="AV86" s="907"/>
      <c r="AY86" s="908"/>
      <c r="AZ86" s="908"/>
      <c r="BA86" s="908"/>
      <c r="BB86" s="908"/>
      <c r="BD86" s="907"/>
      <c r="BG86" s="908"/>
      <c r="BH86" s="908"/>
      <c r="BI86" s="908"/>
      <c r="BJ86" s="908"/>
    </row>
    <row r="87" spans="1:62">
      <c r="A87" s="906">
        <v>86</v>
      </c>
      <c r="B87" s="906" t="s">
        <v>1782</v>
      </c>
      <c r="C87" s="906">
        <v>29188</v>
      </c>
      <c r="D87" s="906" t="s">
        <v>1256</v>
      </c>
      <c r="E87" s="906" t="s">
        <v>1259</v>
      </c>
      <c r="F87" s="1015"/>
      <c r="G87" s="1014"/>
      <c r="H87" s="1014"/>
      <c r="I87" s="1014"/>
      <c r="J87" s="1013"/>
      <c r="K87" s="1012"/>
      <c r="L87" s="1011"/>
      <c r="N87" s="1049" t="s">
        <v>1781</v>
      </c>
      <c r="O87" s="1048"/>
      <c r="P87" s="1047">
        <v>75</v>
      </c>
      <c r="Q87" s="1046">
        <v>42</v>
      </c>
      <c r="R87" s="1046">
        <v>80</v>
      </c>
      <c r="S87" s="1045">
        <v>37</v>
      </c>
      <c r="T87" s="1044" t="s">
        <v>842</v>
      </c>
      <c r="U87" s="1043">
        <v>0.27379140817043196</v>
      </c>
      <c r="V87" s="1042">
        <v>24.815999999999999</v>
      </c>
      <c r="W87" s="1042"/>
      <c r="X87" s="1042">
        <v>86</v>
      </c>
      <c r="AV87" s="907"/>
      <c r="AY87" s="908"/>
      <c r="AZ87" s="908"/>
      <c r="BA87" s="908"/>
      <c r="BB87" s="908"/>
      <c r="BD87" s="907"/>
      <c r="BG87" s="908"/>
      <c r="BH87" s="908"/>
      <c r="BI87" s="908"/>
      <c r="BJ87" s="908"/>
    </row>
    <row r="88" spans="1:62">
      <c r="A88" s="906">
        <v>87</v>
      </c>
      <c r="B88" s="906" t="s">
        <v>1780</v>
      </c>
      <c r="C88" s="906">
        <v>69116</v>
      </c>
      <c r="D88" s="906" t="s">
        <v>1257</v>
      </c>
      <c r="E88" s="906" t="s">
        <v>1258</v>
      </c>
      <c r="F88" s="1015">
        <f t="shared" ref="F88:L91" si="53">O49</f>
        <v>0</v>
      </c>
      <c r="G88" s="1014">
        <f t="shared" si="53"/>
        <v>65</v>
      </c>
      <c r="H88" s="1014">
        <f t="shared" si="53"/>
        <v>45</v>
      </c>
      <c r="I88" s="1014">
        <f t="shared" si="53"/>
        <v>75</v>
      </c>
      <c r="J88" s="1013">
        <f t="shared" si="53"/>
        <v>41</v>
      </c>
      <c r="K88" s="1012">
        <f t="shared" si="53"/>
        <v>31.617746183189187</v>
      </c>
      <c r="L88" s="1011">
        <f t="shared" si="53"/>
        <v>0.12362072151822474</v>
      </c>
      <c r="N88" s="1049" t="s">
        <v>1779</v>
      </c>
      <c r="O88" s="1048"/>
      <c r="P88" s="1047">
        <v>75</v>
      </c>
      <c r="Q88" s="1046">
        <v>42</v>
      </c>
      <c r="R88" s="1046">
        <v>80</v>
      </c>
      <c r="S88" s="1045">
        <v>42</v>
      </c>
      <c r="T88" s="1044" t="s">
        <v>842</v>
      </c>
      <c r="U88" s="1043">
        <v>0.19338545966684473</v>
      </c>
      <c r="V88" s="1042">
        <v>16.609000000000002</v>
      </c>
      <c r="W88" s="1042"/>
      <c r="X88" s="1042">
        <v>87</v>
      </c>
      <c r="AV88" s="907"/>
      <c r="AY88" s="908"/>
      <c r="AZ88" s="908"/>
      <c r="BA88" s="908"/>
      <c r="BB88" s="908"/>
      <c r="BD88" s="907"/>
      <c r="BG88" s="908"/>
      <c r="BH88" s="908"/>
      <c r="BI88" s="908"/>
      <c r="BJ88" s="908"/>
    </row>
    <row r="89" spans="1:62">
      <c r="A89" s="906">
        <v>88</v>
      </c>
      <c r="B89" s="906" t="s">
        <v>1778</v>
      </c>
      <c r="C89" s="906">
        <v>29189</v>
      </c>
      <c r="D89" s="906" t="s">
        <v>1256</v>
      </c>
      <c r="E89" s="906" t="s">
        <v>1258</v>
      </c>
      <c r="F89" s="1015">
        <f t="shared" si="53"/>
        <v>2.4049357844371694E-2</v>
      </c>
      <c r="G89" s="1014">
        <f t="shared" si="53"/>
        <v>70</v>
      </c>
      <c r="H89" s="1014">
        <f t="shared" si="53"/>
        <v>40</v>
      </c>
      <c r="I89" s="1014">
        <f t="shared" si="53"/>
        <v>73</v>
      </c>
      <c r="J89" s="1013">
        <f t="shared" si="53"/>
        <v>33</v>
      </c>
      <c r="K89" s="1012">
        <f t="shared" si="53"/>
        <v>35.076642969526986</v>
      </c>
      <c r="L89" s="1011">
        <f t="shared" si="53"/>
        <v>0.25854728422139078</v>
      </c>
      <c r="N89" s="1049" t="s">
        <v>1777</v>
      </c>
      <c r="O89" s="1048"/>
      <c r="P89" s="1047">
        <v>68</v>
      </c>
      <c r="Q89" s="1046">
        <v>45</v>
      </c>
      <c r="R89" s="1046">
        <v>76</v>
      </c>
      <c r="S89" s="1045">
        <v>41</v>
      </c>
      <c r="T89" s="1044">
        <v>33.24808408180693</v>
      </c>
      <c r="U89" s="1043">
        <v>0.19381967805610387</v>
      </c>
      <c r="V89" s="1042">
        <v>231.98</v>
      </c>
      <c r="W89" s="1042"/>
      <c r="X89" s="1042">
        <v>88</v>
      </c>
      <c r="AV89" s="907"/>
      <c r="AY89" s="908"/>
      <c r="AZ89" s="908"/>
      <c r="BA89" s="908"/>
      <c r="BB89" s="908"/>
      <c r="BD89" s="907"/>
      <c r="BG89" s="908"/>
      <c r="BH89" s="908"/>
      <c r="BI89" s="908"/>
      <c r="BJ89" s="908"/>
    </row>
    <row r="90" spans="1:62">
      <c r="A90" s="906">
        <v>89</v>
      </c>
      <c r="B90" s="906" t="s">
        <v>1776</v>
      </c>
      <c r="C90" s="906">
        <v>11259</v>
      </c>
      <c r="D90" s="906" t="s">
        <v>1257</v>
      </c>
      <c r="E90" s="906" t="s">
        <v>1259</v>
      </c>
      <c r="F90" s="1015">
        <f t="shared" si="53"/>
        <v>0</v>
      </c>
      <c r="G90" s="1014">
        <f t="shared" si="53"/>
        <v>75.900000000000006</v>
      </c>
      <c r="H90" s="1014">
        <f t="shared" si="53"/>
        <v>49.2</v>
      </c>
      <c r="I90" s="1014">
        <f t="shared" si="53"/>
        <v>82.5</v>
      </c>
      <c r="J90" s="1013">
        <f t="shared" si="53"/>
        <v>47.9</v>
      </c>
      <c r="K90" s="1012" t="str">
        <f t="shared" si="53"/>
        <v/>
      </c>
      <c r="L90" s="1011">
        <f t="shared" si="53"/>
        <v>7.2431643736827686E-2</v>
      </c>
      <c r="N90" s="1049" t="s">
        <v>1775</v>
      </c>
      <c r="O90" s="1048"/>
      <c r="P90" s="1047">
        <v>72.900000000000006</v>
      </c>
      <c r="Q90" s="1046">
        <v>40.200000000000003</v>
      </c>
      <c r="R90" s="1046">
        <v>80.099999999999994</v>
      </c>
      <c r="S90" s="1045">
        <v>49.7</v>
      </c>
      <c r="T90" s="1044">
        <v>40.717182043157479</v>
      </c>
      <c r="U90" s="1043">
        <v>0.21341618305097992</v>
      </c>
      <c r="V90" s="1042">
        <v>40.255000000000003</v>
      </c>
      <c r="W90" s="1042"/>
      <c r="X90" s="1042">
        <v>89</v>
      </c>
    </row>
    <row r="91" spans="1:62">
      <c r="A91" s="906">
        <v>90</v>
      </c>
      <c r="B91" s="906" t="s">
        <v>1774</v>
      </c>
      <c r="C91" s="906">
        <v>29189</v>
      </c>
      <c r="D91" s="906" t="s">
        <v>1256</v>
      </c>
      <c r="E91" s="906" t="s">
        <v>1258</v>
      </c>
      <c r="F91" s="1015">
        <f t="shared" si="53"/>
        <v>2.7058694647798771E-2</v>
      </c>
      <c r="G91" s="1014">
        <f t="shared" si="53"/>
        <v>75</v>
      </c>
      <c r="H91" s="1014">
        <f t="shared" si="53"/>
        <v>70</v>
      </c>
      <c r="I91" s="1014">
        <f t="shared" si="53"/>
        <v>85</v>
      </c>
      <c r="J91" s="1013">
        <f t="shared" si="53"/>
        <v>75</v>
      </c>
      <c r="K91" s="1012">
        <f t="shared" si="53"/>
        <v>0</v>
      </c>
      <c r="L91" s="1011">
        <f t="shared" si="53"/>
        <v>0.17929211337935086</v>
      </c>
      <c r="N91" s="1038" t="s">
        <v>1773</v>
      </c>
      <c r="O91" s="1037"/>
      <c r="P91" s="1036">
        <v>82</v>
      </c>
      <c r="Q91" s="1014">
        <v>48</v>
      </c>
      <c r="R91" s="1014">
        <v>71</v>
      </c>
      <c r="S91" s="1013">
        <v>50</v>
      </c>
      <c r="T91" s="1012" t="s">
        <v>842</v>
      </c>
      <c r="U91" s="1035">
        <v>0.15440123823992286</v>
      </c>
      <c r="V91" s="906">
        <v>3842.29</v>
      </c>
      <c r="X91" s="906">
        <v>90</v>
      </c>
    </row>
    <row r="92" spans="1:62">
      <c r="A92" s="906">
        <v>91</v>
      </c>
      <c r="B92" s="906" t="s">
        <v>1772</v>
      </c>
      <c r="C92" s="906">
        <v>29189</v>
      </c>
      <c r="D92" s="906" t="s">
        <v>1256</v>
      </c>
      <c r="E92" s="906" t="s">
        <v>1258</v>
      </c>
      <c r="F92" s="1015"/>
      <c r="G92" s="1014"/>
      <c r="H92" s="1014"/>
      <c r="I92" s="1014"/>
      <c r="J92" s="1013"/>
      <c r="K92" s="1012"/>
      <c r="L92" s="1011"/>
      <c r="N92" s="1049" t="s">
        <v>1771</v>
      </c>
      <c r="O92" s="1048"/>
      <c r="P92" s="1047">
        <v>67</v>
      </c>
      <c r="Q92" s="1046">
        <v>47</v>
      </c>
      <c r="R92" s="1046">
        <v>71</v>
      </c>
      <c r="S92" s="1045">
        <v>42</v>
      </c>
      <c r="T92" s="1044">
        <v>32.374826091609592</v>
      </c>
      <c r="U92" s="1043">
        <v>0.27105062099109822</v>
      </c>
      <c r="V92" s="1042">
        <v>41.026000000000003</v>
      </c>
      <c r="W92" s="1042"/>
      <c r="X92" s="1042">
        <v>91</v>
      </c>
    </row>
    <row r="93" spans="1:62" ht="15.6">
      <c r="A93" s="906">
        <v>92</v>
      </c>
      <c r="B93" s="906" t="s">
        <v>1770</v>
      </c>
      <c r="C93" s="906">
        <v>29189</v>
      </c>
      <c r="D93" s="906" t="s">
        <v>1256</v>
      </c>
      <c r="E93" s="906" t="s">
        <v>1259</v>
      </c>
      <c r="F93" s="1015">
        <f t="shared" ref="F93:K94" si="54">O53</f>
        <v>0</v>
      </c>
      <c r="G93" s="1014">
        <f t="shared" si="54"/>
        <v>69</v>
      </c>
      <c r="H93" s="1014">
        <f t="shared" si="54"/>
        <v>44</v>
      </c>
      <c r="I93" s="1014">
        <f t="shared" si="54"/>
        <v>75</v>
      </c>
      <c r="J93" s="1013">
        <f t="shared" si="54"/>
        <v>41</v>
      </c>
      <c r="K93" s="1012" t="str">
        <f t="shared" si="54"/>
        <v/>
      </c>
      <c r="L93" s="1016">
        <v>0.22800028617798151</v>
      </c>
      <c r="N93" s="1049" t="s">
        <v>1769</v>
      </c>
      <c r="O93" s="1048"/>
      <c r="P93" s="1047">
        <v>71</v>
      </c>
      <c r="Q93" s="1046">
        <v>41</v>
      </c>
      <c r="R93" s="1046">
        <v>73</v>
      </c>
      <c r="S93" s="1045">
        <v>38</v>
      </c>
      <c r="T93" s="1044" t="s">
        <v>842</v>
      </c>
      <c r="U93" s="1043"/>
      <c r="V93" s="1042" t="s">
        <v>842</v>
      </c>
      <c r="W93" s="1042"/>
      <c r="X93" s="1042">
        <v>92</v>
      </c>
    </row>
    <row r="94" spans="1:62" ht="15.6">
      <c r="A94" s="906">
        <v>93</v>
      </c>
      <c r="B94" s="906" t="s">
        <v>1768</v>
      </c>
      <c r="C94" s="906">
        <v>29189</v>
      </c>
      <c r="D94" s="906" t="s">
        <v>1256</v>
      </c>
      <c r="E94" s="906" t="s">
        <v>1258</v>
      </c>
      <c r="F94" s="1015">
        <f t="shared" si="54"/>
        <v>0</v>
      </c>
      <c r="G94" s="1014">
        <f t="shared" si="54"/>
        <v>70</v>
      </c>
      <c r="H94" s="1014">
        <f t="shared" si="54"/>
        <v>0</v>
      </c>
      <c r="I94" s="1014">
        <f t="shared" si="54"/>
        <v>80</v>
      </c>
      <c r="J94" s="1013">
        <f t="shared" si="54"/>
        <v>0</v>
      </c>
      <c r="K94" s="1012" t="str">
        <f t="shared" si="54"/>
        <v/>
      </c>
      <c r="L94" s="1016">
        <v>0.22800028617798151</v>
      </c>
      <c r="N94" s="1038" t="s">
        <v>1767</v>
      </c>
      <c r="O94" s="1037"/>
      <c r="P94" s="1051">
        <v>78</v>
      </c>
      <c r="Q94" s="906">
        <v>55</v>
      </c>
      <c r="R94" s="906">
        <v>85</v>
      </c>
      <c r="S94" s="1050">
        <v>50</v>
      </c>
      <c r="T94" s="1012" t="s">
        <v>842</v>
      </c>
      <c r="U94" s="1035">
        <v>0.19652124828266659</v>
      </c>
      <c r="V94" s="906">
        <v>68.893000000000001</v>
      </c>
      <c r="X94" s="906">
        <v>93</v>
      </c>
    </row>
    <row r="95" spans="1:62">
      <c r="A95" s="906">
        <v>94</v>
      </c>
      <c r="B95" s="906" t="s">
        <v>1766</v>
      </c>
      <c r="C95" s="906">
        <v>29189</v>
      </c>
      <c r="D95" s="906" t="s">
        <v>1256</v>
      </c>
      <c r="E95" s="906" t="s">
        <v>1258</v>
      </c>
      <c r="F95" s="1015"/>
      <c r="G95" s="1014"/>
      <c r="H95" s="1014"/>
      <c r="I95" s="1014"/>
      <c r="J95" s="1013"/>
      <c r="K95" s="1012"/>
      <c r="L95" s="1011"/>
      <c r="N95" s="1049" t="s">
        <v>1765</v>
      </c>
      <c r="O95" s="1048"/>
      <c r="P95" s="1047">
        <v>75</v>
      </c>
      <c r="Q95" s="1046">
        <v>0</v>
      </c>
      <c r="R95" s="1046">
        <v>90</v>
      </c>
      <c r="S95" s="1045">
        <v>0</v>
      </c>
      <c r="T95" s="1044" t="s">
        <v>842</v>
      </c>
      <c r="U95" s="1043"/>
      <c r="V95" s="1042" t="s">
        <v>842</v>
      </c>
      <c r="W95" s="1042"/>
      <c r="X95" s="1042">
        <v>94</v>
      </c>
    </row>
    <row r="96" spans="1:62">
      <c r="A96" s="906">
        <v>95</v>
      </c>
      <c r="B96" s="906" t="s">
        <v>1764</v>
      </c>
      <c r="C96" s="906">
        <v>29189</v>
      </c>
      <c r="D96" s="906" t="s">
        <v>1256</v>
      </c>
      <c r="E96" s="906" t="s">
        <v>1258</v>
      </c>
      <c r="F96" s="1015">
        <f t="shared" ref="F96:L97" si="55">O55</f>
        <v>0</v>
      </c>
      <c r="G96" s="1014">
        <f t="shared" si="55"/>
        <v>75</v>
      </c>
      <c r="H96" s="1014">
        <f t="shared" si="55"/>
        <v>37</v>
      </c>
      <c r="I96" s="1014">
        <f t="shared" si="55"/>
        <v>78</v>
      </c>
      <c r="J96" s="1013">
        <f t="shared" si="55"/>
        <v>37</v>
      </c>
      <c r="K96" s="1012" t="str">
        <f t="shared" si="55"/>
        <v/>
      </c>
      <c r="L96" s="1011">
        <f t="shared" si="55"/>
        <v>0.17356165075516491</v>
      </c>
      <c r="N96" s="1049" t="s">
        <v>1763</v>
      </c>
      <c r="O96" s="1048"/>
      <c r="P96" s="1047">
        <v>66</v>
      </c>
      <c r="Q96" s="1046">
        <v>38</v>
      </c>
      <c r="R96" s="1046">
        <v>80</v>
      </c>
      <c r="S96" s="1045">
        <v>36</v>
      </c>
      <c r="T96" s="1044" t="s">
        <v>842</v>
      </c>
      <c r="U96" s="1043"/>
      <c r="V96" s="1042" t="s">
        <v>842</v>
      </c>
      <c r="W96" s="1042"/>
      <c r="X96" s="1042">
        <v>95</v>
      </c>
    </row>
    <row r="97" spans="1:24">
      <c r="A97" s="906">
        <v>96</v>
      </c>
      <c r="B97" s="906" t="s">
        <v>1762</v>
      </c>
      <c r="C97" s="906">
        <v>29189</v>
      </c>
      <c r="D97" s="906" t="s">
        <v>1257</v>
      </c>
      <c r="E97" s="906" t="s">
        <v>1258</v>
      </c>
      <c r="F97" s="1015">
        <f t="shared" si="55"/>
        <v>0</v>
      </c>
      <c r="G97" s="1014">
        <f t="shared" si="55"/>
        <v>72</v>
      </c>
      <c r="H97" s="1014">
        <f t="shared" si="55"/>
        <v>36</v>
      </c>
      <c r="I97" s="1014">
        <f t="shared" si="55"/>
        <v>74</v>
      </c>
      <c r="J97" s="1013">
        <f t="shared" si="55"/>
        <v>37</v>
      </c>
      <c r="K97" s="1012">
        <f t="shared" si="55"/>
        <v>0</v>
      </c>
      <c r="L97" s="1011">
        <f t="shared" si="55"/>
        <v>0.30976614978254435</v>
      </c>
      <c r="N97" s="1049" t="s">
        <v>1761</v>
      </c>
      <c r="O97" s="1048"/>
      <c r="P97" s="1047">
        <v>67</v>
      </c>
      <c r="Q97" s="1046">
        <v>48</v>
      </c>
      <c r="R97" s="1046">
        <v>69</v>
      </c>
      <c r="S97" s="1045">
        <v>42</v>
      </c>
      <c r="T97" s="1044">
        <v>24.980858148348673</v>
      </c>
      <c r="U97" s="1043">
        <v>0.1265196059700936</v>
      </c>
      <c r="V97" s="1042">
        <v>187.45151300000001</v>
      </c>
      <c r="W97" s="1042"/>
      <c r="X97" s="1042">
        <v>96</v>
      </c>
    </row>
    <row r="98" spans="1:24">
      <c r="A98" s="906">
        <v>97</v>
      </c>
      <c r="B98" s="906" t="s">
        <v>1759</v>
      </c>
      <c r="C98" s="906">
        <v>35209</v>
      </c>
      <c r="D98" s="906" t="s">
        <v>1257</v>
      </c>
      <c r="E98" s="906" t="s">
        <v>1258</v>
      </c>
      <c r="F98" s="1015"/>
      <c r="G98" s="1014"/>
      <c r="H98" s="1014"/>
      <c r="I98" s="1014"/>
      <c r="J98" s="1013"/>
      <c r="K98" s="1012"/>
      <c r="L98" s="1011"/>
      <c r="N98" s="1049" t="s">
        <v>1760</v>
      </c>
      <c r="O98" s="1048">
        <v>3.4891220672580145E-2</v>
      </c>
      <c r="P98" s="1047">
        <v>69</v>
      </c>
      <c r="Q98" s="1046">
        <v>39</v>
      </c>
      <c r="R98" s="1046">
        <v>70</v>
      </c>
      <c r="S98" s="1045">
        <v>35</v>
      </c>
      <c r="T98" s="1044">
        <v>30.593606605570255</v>
      </c>
      <c r="U98" s="1043">
        <v>0.27331848232250644</v>
      </c>
      <c r="V98" s="1042">
        <v>10.112500000000001</v>
      </c>
      <c r="W98" s="1042"/>
      <c r="X98" s="1042">
        <v>97</v>
      </c>
    </row>
    <row r="99" spans="1:24">
      <c r="A99" s="906">
        <v>98</v>
      </c>
      <c r="B99" s="906" t="s">
        <v>1759</v>
      </c>
      <c r="C99" s="906">
        <v>35209</v>
      </c>
      <c r="D99" s="906" t="s">
        <v>1256</v>
      </c>
      <c r="E99" s="906" t="s">
        <v>1258</v>
      </c>
      <c r="F99" s="1015"/>
      <c r="G99" s="1014"/>
      <c r="H99" s="1014"/>
      <c r="I99" s="1014"/>
      <c r="J99" s="1013"/>
      <c r="K99" s="1012"/>
      <c r="L99" s="1011"/>
      <c r="N99" s="1049" t="s">
        <v>1758</v>
      </c>
      <c r="O99" s="1048"/>
      <c r="P99" s="1047">
        <v>70</v>
      </c>
      <c r="Q99" s="1046">
        <v>42</v>
      </c>
      <c r="R99" s="1046">
        <v>70</v>
      </c>
      <c r="S99" s="1045">
        <v>38</v>
      </c>
      <c r="T99" s="1044" t="s">
        <v>842</v>
      </c>
      <c r="U99" s="1043">
        <v>0.23610619469026548</v>
      </c>
      <c r="V99" s="1042">
        <v>34.527999999999999</v>
      </c>
      <c r="W99" s="1042"/>
      <c r="X99" s="1042">
        <v>98</v>
      </c>
    </row>
    <row r="100" spans="1:24">
      <c r="A100" s="906">
        <v>99</v>
      </c>
      <c r="B100" s="906" t="s">
        <v>1756</v>
      </c>
      <c r="C100" s="906">
        <v>35209</v>
      </c>
      <c r="D100" s="906" t="s">
        <v>1257</v>
      </c>
      <c r="E100" s="906" t="s">
        <v>1258</v>
      </c>
      <c r="F100" s="1015"/>
      <c r="G100" s="1014"/>
      <c r="H100" s="1014"/>
      <c r="I100" s="1014"/>
      <c r="J100" s="1013"/>
      <c r="K100" s="1012"/>
      <c r="L100" s="1011"/>
      <c r="N100" s="1038" t="s">
        <v>1757</v>
      </c>
      <c r="O100" s="1037"/>
      <c r="P100" s="1036">
        <v>70</v>
      </c>
      <c r="Q100" s="1014">
        <v>0</v>
      </c>
      <c r="R100" s="1014">
        <v>75</v>
      </c>
      <c r="S100" s="1013">
        <v>0</v>
      </c>
      <c r="T100" s="1012" t="s">
        <v>842</v>
      </c>
      <c r="U100" s="1035"/>
      <c r="V100" s="906" t="s">
        <v>842</v>
      </c>
      <c r="X100" s="906">
        <v>99</v>
      </c>
    </row>
    <row r="101" spans="1:24">
      <c r="A101" s="906">
        <v>100</v>
      </c>
      <c r="B101" s="906" t="s">
        <v>1756</v>
      </c>
      <c r="C101" s="906">
        <v>35209</v>
      </c>
      <c r="D101" s="906" t="s">
        <v>1256</v>
      </c>
      <c r="E101" s="906" t="s">
        <v>1258</v>
      </c>
      <c r="F101" s="1015"/>
      <c r="G101" s="1014"/>
      <c r="H101" s="1014"/>
      <c r="I101" s="1014"/>
      <c r="J101" s="1013"/>
      <c r="K101" s="1012"/>
      <c r="L101" s="1011"/>
      <c r="N101" s="1049" t="s">
        <v>1755</v>
      </c>
      <c r="O101" s="1048"/>
      <c r="P101" s="1047">
        <v>72</v>
      </c>
      <c r="Q101" s="1046">
        <v>45</v>
      </c>
      <c r="R101" s="1046">
        <v>80</v>
      </c>
      <c r="S101" s="1045">
        <v>42</v>
      </c>
      <c r="T101" s="1044"/>
      <c r="U101" s="1043">
        <v>0.28730906781643772</v>
      </c>
      <c r="V101" s="1042">
        <v>21.323</v>
      </c>
      <c r="W101" s="1042"/>
      <c r="X101" s="1042">
        <v>100</v>
      </c>
    </row>
    <row r="102" spans="1:24">
      <c r="A102" s="906">
        <v>101</v>
      </c>
      <c r="B102" s="906" t="s">
        <v>1753</v>
      </c>
      <c r="C102" s="906">
        <v>35209</v>
      </c>
      <c r="D102" s="906" t="s">
        <v>1257</v>
      </c>
      <c r="E102" s="906" t="s">
        <v>1258</v>
      </c>
      <c r="F102" s="1015"/>
      <c r="G102" s="1014"/>
      <c r="H102" s="1014"/>
      <c r="I102" s="1014"/>
      <c r="J102" s="1013"/>
      <c r="K102" s="1012"/>
      <c r="L102" s="1011"/>
      <c r="N102" s="1049" t="s">
        <v>1754</v>
      </c>
      <c r="O102" s="1048"/>
      <c r="P102" s="1047">
        <v>74.3</v>
      </c>
      <c r="Q102" s="1046">
        <v>37.5</v>
      </c>
      <c r="R102" s="1046">
        <v>75.5</v>
      </c>
      <c r="S102" s="1045">
        <v>34.5</v>
      </c>
      <c r="T102" s="1044" t="s">
        <v>842</v>
      </c>
      <c r="U102" s="1043">
        <v>0.26546329054096318</v>
      </c>
      <c r="V102" s="1042">
        <v>10.568</v>
      </c>
      <c r="W102" s="1042"/>
      <c r="X102" s="1042">
        <v>101</v>
      </c>
    </row>
    <row r="103" spans="1:24">
      <c r="A103" s="906">
        <v>102</v>
      </c>
      <c r="B103" s="906" t="s">
        <v>1753</v>
      </c>
      <c r="C103" s="906">
        <v>35209</v>
      </c>
      <c r="D103" s="906" t="s">
        <v>1256</v>
      </c>
      <c r="E103" s="906" t="s">
        <v>1258</v>
      </c>
      <c r="F103" s="1015"/>
      <c r="G103" s="1014"/>
      <c r="H103" s="1014"/>
      <c r="I103" s="1014"/>
      <c r="J103" s="1013"/>
      <c r="K103" s="1012"/>
      <c r="L103" s="1011"/>
      <c r="N103" s="1049" t="s">
        <v>1752</v>
      </c>
      <c r="O103" s="1048">
        <v>4.198931344086293E-2</v>
      </c>
      <c r="P103" s="1047">
        <v>70</v>
      </c>
      <c r="Q103" s="1046">
        <v>40</v>
      </c>
      <c r="R103" s="1046">
        <v>80</v>
      </c>
      <c r="S103" s="1045">
        <v>39</v>
      </c>
      <c r="T103" s="1044">
        <v>31.889129498295652</v>
      </c>
      <c r="U103" s="1043">
        <v>0.31770808967621539</v>
      </c>
      <c r="V103" s="1042">
        <v>26.251999999999999</v>
      </c>
      <c r="W103" s="1042"/>
      <c r="X103" s="1042">
        <v>102</v>
      </c>
    </row>
    <row r="104" spans="1:24">
      <c r="A104" s="906">
        <v>103</v>
      </c>
      <c r="B104" s="906" t="s">
        <v>1751</v>
      </c>
      <c r="C104" s="906">
        <v>35209</v>
      </c>
      <c r="D104" s="906" t="s">
        <v>1257</v>
      </c>
      <c r="E104" s="906" t="s">
        <v>1258</v>
      </c>
      <c r="F104" s="1015"/>
      <c r="G104" s="1014"/>
      <c r="H104" s="1014"/>
      <c r="I104" s="1014"/>
      <c r="J104" s="1013"/>
      <c r="K104" s="1012"/>
      <c r="L104" s="1011"/>
      <c r="N104" s="1049" t="s">
        <v>1750</v>
      </c>
      <c r="O104" s="1048"/>
      <c r="P104" s="1047">
        <v>74</v>
      </c>
      <c r="Q104" s="1046">
        <v>48</v>
      </c>
      <c r="R104" s="1046">
        <v>88</v>
      </c>
      <c r="S104" s="1045">
        <v>42</v>
      </c>
      <c r="T104" s="1044">
        <v>31.018432008135505</v>
      </c>
      <c r="U104" s="1043">
        <v>0.3725274241155998</v>
      </c>
      <c r="V104" s="1042">
        <v>14.243</v>
      </c>
      <c r="W104" s="1042"/>
      <c r="X104" s="1042">
        <v>103</v>
      </c>
    </row>
    <row r="105" spans="1:24">
      <c r="A105" s="906">
        <v>104</v>
      </c>
      <c r="B105" s="906" t="s">
        <v>1749</v>
      </c>
      <c r="C105" s="906">
        <v>29189</v>
      </c>
      <c r="D105" s="906" t="s">
        <v>1256</v>
      </c>
      <c r="E105" s="906" t="s">
        <v>1258</v>
      </c>
      <c r="F105" s="1015"/>
      <c r="G105" s="1014"/>
      <c r="H105" s="1014"/>
      <c r="I105" s="1014"/>
      <c r="J105" s="1013"/>
      <c r="K105" s="1012"/>
      <c r="L105" s="1011"/>
      <c r="N105" s="1049" t="s">
        <v>1748</v>
      </c>
      <c r="O105" s="1048"/>
      <c r="P105" s="1047">
        <v>80</v>
      </c>
      <c r="Q105" s="1046">
        <v>45</v>
      </c>
      <c r="R105" s="1046">
        <v>85</v>
      </c>
      <c r="S105" s="1045">
        <v>45</v>
      </c>
      <c r="T105" s="1044" t="s">
        <v>842</v>
      </c>
      <c r="U105" s="1043">
        <v>0.10795193210896252</v>
      </c>
      <c r="V105" s="1042">
        <v>137.70099999999999</v>
      </c>
      <c r="W105" s="1042"/>
      <c r="X105" s="1042">
        <v>104</v>
      </c>
    </row>
    <row r="106" spans="1:24">
      <c r="A106" s="906">
        <v>105</v>
      </c>
      <c r="B106" s="906" t="s">
        <v>1747</v>
      </c>
      <c r="C106" s="906">
        <v>29189</v>
      </c>
      <c r="D106" s="906" t="s">
        <v>1257</v>
      </c>
      <c r="E106" s="906" t="s">
        <v>1258</v>
      </c>
      <c r="F106" s="1015">
        <f t="shared" ref="F106:L106" si="56">O57</f>
        <v>0</v>
      </c>
      <c r="G106" s="1014">
        <f t="shared" si="56"/>
        <v>67.900000000000006</v>
      </c>
      <c r="H106" s="1014">
        <f t="shared" si="56"/>
        <v>44</v>
      </c>
      <c r="I106" s="1014">
        <f t="shared" si="56"/>
        <v>68.52</v>
      </c>
      <c r="J106" s="1013">
        <f t="shared" si="56"/>
        <v>38</v>
      </c>
      <c r="K106" s="1012">
        <f t="shared" si="56"/>
        <v>0</v>
      </c>
      <c r="L106" s="1011">
        <f t="shared" si="56"/>
        <v>0.25009485094850947</v>
      </c>
      <c r="N106" s="1049" t="s">
        <v>1611</v>
      </c>
      <c r="O106" s="1048"/>
      <c r="P106" s="1047">
        <v>74</v>
      </c>
      <c r="Q106" s="1046">
        <v>52</v>
      </c>
      <c r="R106" s="1046">
        <v>82</v>
      </c>
      <c r="S106" s="1045">
        <v>48</v>
      </c>
      <c r="T106" s="1044" t="s">
        <v>842</v>
      </c>
      <c r="U106" s="1043">
        <v>0.1757134564395425</v>
      </c>
      <c r="V106" s="1042">
        <v>262.69600000000003</v>
      </c>
      <c r="W106" s="1042"/>
      <c r="X106" s="1042">
        <v>105</v>
      </c>
    </row>
    <row r="107" spans="1:24">
      <c r="A107" s="906">
        <v>106</v>
      </c>
      <c r="B107" s="906" t="s">
        <v>1746</v>
      </c>
      <c r="C107" s="906">
        <v>29188</v>
      </c>
      <c r="D107" s="906" t="s">
        <v>1256</v>
      </c>
      <c r="E107" s="906" t="s">
        <v>1259</v>
      </c>
      <c r="F107" s="1015"/>
      <c r="G107" s="1014"/>
      <c r="H107" s="1014"/>
      <c r="I107" s="1014"/>
      <c r="J107" s="1013"/>
      <c r="K107" s="1012"/>
      <c r="L107" s="1011"/>
      <c r="N107" s="1049" t="s">
        <v>1745</v>
      </c>
      <c r="O107" s="1048">
        <v>1.6020721412125863E-2</v>
      </c>
      <c r="P107" s="1047">
        <v>75</v>
      </c>
      <c r="Q107" s="1046">
        <v>41</v>
      </c>
      <c r="R107" s="1046">
        <v>76</v>
      </c>
      <c r="S107" s="1045">
        <v>36</v>
      </c>
      <c r="T107" s="1044">
        <v>38.430332926347113</v>
      </c>
      <c r="U107" s="1043">
        <v>0.28141756848981181</v>
      </c>
      <c r="V107" s="1042">
        <v>29.481999999999999</v>
      </c>
      <c r="W107" s="1042"/>
      <c r="X107" s="1042">
        <v>106</v>
      </c>
    </row>
    <row r="108" spans="1:24">
      <c r="A108" s="906">
        <v>107</v>
      </c>
      <c r="B108" s="906" t="s">
        <v>1744</v>
      </c>
      <c r="C108" s="906">
        <v>29189</v>
      </c>
      <c r="D108" s="906" t="s">
        <v>1256</v>
      </c>
      <c r="E108" s="906" t="s">
        <v>1258</v>
      </c>
      <c r="F108" s="1015"/>
      <c r="G108" s="1014"/>
      <c r="H108" s="1014"/>
      <c r="I108" s="1014"/>
      <c r="J108" s="1013"/>
      <c r="K108" s="1012"/>
      <c r="L108" s="1011"/>
      <c r="N108" s="1032" t="s">
        <v>1599</v>
      </c>
      <c r="O108" s="1031">
        <v>3.8071326441955766E-2</v>
      </c>
      <c r="P108" s="1030">
        <v>68.7</v>
      </c>
      <c r="Q108" s="1029">
        <v>49.7</v>
      </c>
      <c r="R108" s="1029">
        <v>70.8</v>
      </c>
      <c r="S108" s="1028">
        <v>46</v>
      </c>
      <c r="T108" s="1027">
        <v>22.152504600492247</v>
      </c>
      <c r="U108" s="1026">
        <v>0.20717171142467</v>
      </c>
      <c r="V108" s="1018">
        <v>111.47799999999999</v>
      </c>
      <c r="W108" s="1018"/>
      <c r="X108" s="1018">
        <v>107</v>
      </c>
    </row>
    <row r="109" spans="1:24">
      <c r="A109" s="906">
        <v>108</v>
      </c>
      <c r="B109" s="906" t="s">
        <v>1743</v>
      </c>
      <c r="C109" s="906">
        <v>29189</v>
      </c>
      <c r="D109" s="906" t="s">
        <v>1256</v>
      </c>
      <c r="E109" s="906" t="s">
        <v>1258</v>
      </c>
      <c r="F109" s="1015">
        <f t="shared" ref="F109:L110" si="57">O58</f>
        <v>0.05</v>
      </c>
      <c r="G109" s="1014">
        <f t="shared" si="57"/>
        <v>68</v>
      </c>
      <c r="H109" s="1014">
        <f t="shared" si="57"/>
        <v>33</v>
      </c>
      <c r="I109" s="1014">
        <f t="shared" si="57"/>
        <v>72</v>
      </c>
      <c r="J109" s="1013">
        <f t="shared" si="57"/>
        <v>35</v>
      </c>
      <c r="K109" s="1012">
        <f t="shared" si="57"/>
        <v>35.964255843641325</v>
      </c>
      <c r="L109" s="1011">
        <f t="shared" si="57"/>
        <v>0.27610526315789474</v>
      </c>
      <c r="N109" s="1049" t="s">
        <v>1592</v>
      </c>
      <c r="O109" s="1048"/>
      <c r="P109" s="1047">
        <v>69</v>
      </c>
      <c r="Q109" s="1046">
        <v>40</v>
      </c>
      <c r="R109" s="1046">
        <v>73</v>
      </c>
      <c r="S109" s="1045">
        <v>36</v>
      </c>
      <c r="T109" s="1044">
        <v>42.092665479648893</v>
      </c>
      <c r="U109" s="1043">
        <v>0.23629304613748173</v>
      </c>
      <c r="V109" s="1042">
        <v>143.596</v>
      </c>
      <c r="W109" s="1042"/>
      <c r="X109" s="1042">
        <v>108</v>
      </c>
    </row>
    <row r="110" spans="1:24">
      <c r="A110" s="906">
        <v>109</v>
      </c>
      <c r="B110" s="906" t="s">
        <v>1742</v>
      </c>
      <c r="C110" s="906">
        <v>29189</v>
      </c>
      <c r="D110" s="906" t="s">
        <v>1256</v>
      </c>
      <c r="E110" s="906" t="s">
        <v>1258</v>
      </c>
      <c r="F110" s="1015">
        <f t="shared" si="57"/>
        <v>1.2185833968012186E-2</v>
      </c>
      <c r="G110" s="1014">
        <f t="shared" si="57"/>
        <v>65</v>
      </c>
      <c r="H110" s="1014">
        <f t="shared" si="57"/>
        <v>40</v>
      </c>
      <c r="I110" s="1014">
        <f t="shared" si="57"/>
        <v>72</v>
      </c>
      <c r="J110" s="1013">
        <f t="shared" si="57"/>
        <v>38</v>
      </c>
      <c r="K110" s="1012">
        <f t="shared" si="57"/>
        <v>28.453720804465171</v>
      </c>
      <c r="L110" s="1011">
        <f t="shared" si="57"/>
        <v>0.40100231303006939</v>
      </c>
      <c r="N110" s="1049" t="s">
        <v>1741</v>
      </c>
      <c r="O110" s="1048"/>
      <c r="P110" s="1047">
        <v>85</v>
      </c>
      <c r="Q110" s="1046">
        <v>50</v>
      </c>
      <c r="R110" s="1046">
        <v>105</v>
      </c>
      <c r="S110" s="1045">
        <v>50</v>
      </c>
      <c r="T110" s="1044" t="s">
        <v>842</v>
      </c>
      <c r="U110" s="1043"/>
      <c r="V110" s="1042" t="s">
        <v>842</v>
      </c>
      <c r="W110" s="1042"/>
      <c r="X110" s="1042">
        <v>109</v>
      </c>
    </row>
    <row r="111" spans="1:24">
      <c r="A111" s="906">
        <v>110</v>
      </c>
      <c r="B111" s="906" t="s">
        <v>1740</v>
      </c>
      <c r="C111" s="906">
        <v>19438</v>
      </c>
      <c r="D111" s="906" t="s">
        <v>1257</v>
      </c>
      <c r="E111" s="906" t="s">
        <v>1259</v>
      </c>
      <c r="F111" s="1015"/>
      <c r="G111" s="1014"/>
      <c r="H111" s="1014"/>
      <c r="I111" s="1014"/>
      <c r="J111" s="1013"/>
      <c r="K111" s="1012"/>
      <c r="L111" s="1011"/>
      <c r="N111" s="1049" t="s">
        <v>1586</v>
      </c>
      <c r="O111" s="1048"/>
      <c r="P111" s="1047">
        <v>70</v>
      </c>
      <c r="Q111" s="1046">
        <v>36</v>
      </c>
      <c r="R111" s="1046">
        <v>73</v>
      </c>
      <c r="S111" s="1045">
        <v>34</v>
      </c>
      <c r="T111" s="1044">
        <v>37.872396067668497</v>
      </c>
      <c r="U111" s="1043">
        <v>0.19338463012036652</v>
      </c>
      <c r="V111" s="1042">
        <v>25.263999999999999</v>
      </c>
      <c r="W111" s="1042"/>
      <c r="X111" s="1042">
        <v>110</v>
      </c>
    </row>
    <row r="112" spans="1:24">
      <c r="A112" s="906">
        <v>111</v>
      </c>
      <c r="B112" s="906" t="s">
        <v>1740</v>
      </c>
      <c r="C112" s="906">
        <v>19438</v>
      </c>
      <c r="D112" s="906" t="s">
        <v>1256</v>
      </c>
      <c r="E112" s="906" t="s">
        <v>1259</v>
      </c>
      <c r="F112" s="1015"/>
      <c r="G112" s="1014"/>
      <c r="H112" s="1014"/>
      <c r="I112" s="1014"/>
      <c r="J112" s="1013"/>
      <c r="K112" s="1012"/>
      <c r="L112" s="1011"/>
      <c r="N112" s="1049" t="s">
        <v>1739</v>
      </c>
      <c r="O112" s="1048"/>
      <c r="P112" s="1047">
        <v>72</v>
      </c>
      <c r="Q112" s="1046">
        <v>0</v>
      </c>
      <c r="R112" s="1046">
        <v>72</v>
      </c>
      <c r="S112" s="1045">
        <v>0</v>
      </c>
      <c r="T112" s="1044" t="s">
        <v>842</v>
      </c>
      <c r="U112" s="1043"/>
      <c r="V112" s="1042" t="s">
        <v>842</v>
      </c>
      <c r="W112" s="1042"/>
      <c r="X112" s="1042">
        <v>111</v>
      </c>
    </row>
    <row r="113" spans="1:24">
      <c r="A113" s="906">
        <v>112</v>
      </c>
      <c r="B113" s="906" t="s">
        <v>1738</v>
      </c>
      <c r="C113" s="906">
        <v>29189</v>
      </c>
      <c r="D113" s="906" t="s">
        <v>1256</v>
      </c>
      <c r="E113" s="906" t="s">
        <v>1258</v>
      </c>
      <c r="F113" s="1015"/>
      <c r="G113" s="1014"/>
      <c r="H113" s="1014"/>
      <c r="I113" s="1014"/>
      <c r="J113" s="1013"/>
      <c r="K113" s="1012"/>
      <c r="L113" s="1011"/>
      <c r="N113" s="1049" t="s">
        <v>1737</v>
      </c>
      <c r="O113" s="1048">
        <v>1.1251839242953175E-2</v>
      </c>
      <c r="P113" s="1047">
        <v>67</v>
      </c>
      <c r="Q113" s="1046">
        <v>40</v>
      </c>
      <c r="R113" s="1046">
        <v>80</v>
      </c>
      <c r="S113" s="1045">
        <v>38</v>
      </c>
      <c r="T113" s="1044">
        <v>32.019368239910655</v>
      </c>
      <c r="U113" s="1043">
        <v>0.30101251787225353</v>
      </c>
      <c r="V113" s="1042">
        <v>23.954999999999998</v>
      </c>
      <c r="W113" s="1042"/>
      <c r="X113" s="1042">
        <v>112</v>
      </c>
    </row>
    <row r="114" spans="1:24">
      <c r="A114" s="906">
        <v>113</v>
      </c>
      <c r="B114" s="906" t="s">
        <v>1736</v>
      </c>
      <c r="C114" s="906">
        <v>29188</v>
      </c>
      <c r="D114" s="906" t="s">
        <v>1256</v>
      </c>
      <c r="E114" s="906" t="s">
        <v>1259</v>
      </c>
      <c r="F114" s="1015">
        <f t="shared" ref="F114:L114" si="58">O61</f>
        <v>6.0532337821525582E-2</v>
      </c>
      <c r="G114" s="1014">
        <f t="shared" si="58"/>
        <v>76</v>
      </c>
      <c r="H114" s="1014">
        <f t="shared" si="58"/>
        <v>43</v>
      </c>
      <c r="I114" s="1014">
        <f t="shared" si="58"/>
        <v>77</v>
      </c>
      <c r="J114" s="1013">
        <f t="shared" si="58"/>
        <v>41</v>
      </c>
      <c r="K114" s="1012">
        <f t="shared" si="58"/>
        <v>36.951352733977416</v>
      </c>
      <c r="L114" s="1011">
        <f t="shared" si="58"/>
        <v>0.32881061639588244</v>
      </c>
      <c r="N114" s="1049" t="s">
        <v>1735</v>
      </c>
      <c r="O114" s="1048"/>
      <c r="P114" s="1047">
        <v>83.5</v>
      </c>
      <c r="Q114" s="1046">
        <v>55.9</v>
      </c>
      <c r="R114" s="1046">
        <v>87.3</v>
      </c>
      <c r="S114" s="1045">
        <v>51.9</v>
      </c>
      <c r="T114" s="1044" t="s">
        <v>842</v>
      </c>
      <c r="U114" s="1043">
        <v>0.24901553425563058</v>
      </c>
      <c r="V114" s="1042">
        <v>159.05099999999999</v>
      </c>
      <c r="W114" s="1042"/>
      <c r="X114" s="1042">
        <v>113</v>
      </c>
    </row>
    <row r="115" spans="1:24">
      <c r="A115" s="906">
        <v>114</v>
      </c>
      <c r="B115" s="906" t="s">
        <v>1734</v>
      </c>
      <c r="C115" s="906">
        <v>29189</v>
      </c>
      <c r="D115" s="906" t="s">
        <v>1256</v>
      </c>
      <c r="E115" s="906" t="s">
        <v>1258</v>
      </c>
      <c r="F115" s="1015"/>
      <c r="G115" s="1014"/>
      <c r="H115" s="1014"/>
      <c r="I115" s="1014"/>
      <c r="J115" s="1013"/>
      <c r="K115" s="1012"/>
      <c r="L115" s="1011"/>
      <c r="N115" s="1049" t="s">
        <v>1733</v>
      </c>
      <c r="O115" s="1048"/>
      <c r="P115" s="1047">
        <v>68</v>
      </c>
      <c r="Q115" s="1046">
        <v>0</v>
      </c>
      <c r="R115" s="1046">
        <v>70</v>
      </c>
      <c r="S115" s="1045">
        <v>0</v>
      </c>
      <c r="T115" s="1044" t="s">
        <v>842</v>
      </c>
      <c r="U115" s="1043"/>
      <c r="V115" s="1042" t="s">
        <v>842</v>
      </c>
      <c r="W115" s="1042"/>
      <c r="X115" s="1042">
        <v>114</v>
      </c>
    </row>
    <row r="116" spans="1:24">
      <c r="A116" s="906">
        <v>115</v>
      </c>
      <c r="B116" s="906" t="s">
        <v>1732</v>
      </c>
      <c r="C116" s="906">
        <v>29189</v>
      </c>
      <c r="D116" s="906" t="s">
        <v>1256</v>
      </c>
      <c r="E116" s="906" t="s">
        <v>1258</v>
      </c>
      <c r="F116" s="1015"/>
      <c r="G116" s="1014"/>
      <c r="H116" s="1014"/>
      <c r="I116" s="1014"/>
      <c r="J116" s="1013"/>
      <c r="K116" s="1012"/>
      <c r="L116" s="1011"/>
      <c r="N116" s="1049" t="s">
        <v>1731</v>
      </c>
      <c r="O116" s="1048"/>
      <c r="P116" s="1047">
        <v>65</v>
      </c>
      <c r="Q116" s="1046">
        <v>33</v>
      </c>
      <c r="R116" s="1046">
        <v>65</v>
      </c>
      <c r="S116" s="1045">
        <v>34</v>
      </c>
      <c r="T116" s="1044" t="s">
        <v>842</v>
      </c>
      <c r="U116" s="1043">
        <v>0.26867898178124799</v>
      </c>
      <c r="V116" s="1042">
        <v>23.041</v>
      </c>
      <c r="W116" s="1042"/>
      <c r="X116" s="1042">
        <v>115</v>
      </c>
    </row>
    <row r="117" spans="1:24">
      <c r="A117" s="906">
        <v>116</v>
      </c>
      <c r="B117" s="906" t="s">
        <v>1730</v>
      </c>
      <c r="C117" s="906">
        <v>29189</v>
      </c>
      <c r="D117" s="906" t="s">
        <v>1256</v>
      </c>
      <c r="E117" s="906" t="s">
        <v>1258</v>
      </c>
      <c r="F117" s="1015">
        <f t="shared" ref="F117:L117" si="59">O62</f>
        <v>0</v>
      </c>
      <c r="G117" s="1014">
        <f t="shared" si="59"/>
        <v>67</v>
      </c>
      <c r="H117" s="1014">
        <f t="shared" si="59"/>
        <v>36</v>
      </c>
      <c r="I117" s="1014">
        <f t="shared" si="59"/>
        <v>71</v>
      </c>
      <c r="J117" s="1013">
        <f t="shared" si="59"/>
        <v>34</v>
      </c>
      <c r="K117" s="1012">
        <f t="shared" si="59"/>
        <v>35.586149795173704</v>
      </c>
      <c r="L117" s="1011">
        <f t="shared" si="59"/>
        <v>0.33608655188459746</v>
      </c>
      <c r="N117" s="1049" t="s">
        <v>1729</v>
      </c>
      <c r="O117" s="1048"/>
      <c r="P117" s="1047">
        <v>68</v>
      </c>
      <c r="Q117" s="1046">
        <v>31</v>
      </c>
      <c r="R117" s="1046">
        <v>70</v>
      </c>
      <c r="S117" s="1045">
        <v>32</v>
      </c>
      <c r="T117" s="1044">
        <v>36.00190348631601</v>
      </c>
      <c r="U117" s="1043">
        <v>0.18422348746035186</v>
      </c>
      <c r="V117" s="1042">
        <v>41.408000000000001</v>
      </c>
      <c r="W117" s="1042"/>
      <c r="X117" s="1042">
        <v>116</v>
      </c>
    </row>
    <row r="118" spans="1:24">
      <c r="A118" s="906">
        <v>117</v>
      </c>
      <c r="B118" s="906" t="s">
        <v>1728</v>
      </c>
      <c r="C118" s="906">
        <v>62761</v>
      </c>
      <c r="D118" s="906" t="s">
        <v>1257</v>
      </c>
      <c r="E118" s="906" t="s">
        <v>1259</v>
      </c>
      <c r="F118" s="1015"/>
      <c r="G118" s="1014"/>
      <c r="H118" s="1014"/>
      <c r="I118" s="1014"/>
      <c r="J118" s="1013"/>
      <c r="K118" s="1012"/>
      <c r="L118" s="1011"/>
      <c r="N118" s="1049" t="s">
        <v>1727</v>
      </c>
      <c r="O118" s="1048"/>
      <c r="P118" s="1047">
        <v>70</v>
      </c>
      <c r="Q118" s="1046">
        <v>40</v>
      </c>
      <c r="R118" s="1046">
        <v>75</v>
      </c>
      <c r="S118" s="1045">
        <v>35</v>
      </c>
      <c r="T118" s="1044" t="s">
        <v>842</v>
      </c>
      <c r="U118" s="1043"/>
      <c r="V118" s="1042" t="s">
        <v>842</v>
      </c>
      <c r="W118" s="1042"/>
      <c r="X118" s="1042">
        <v>117</v>
      </c>
    </row>
    <row r="119" spans="1:24">
      <c r="A119" s="906">
        <v>118</v>
      </c>
      <c r="B119" s="906" t="s">
        <v>1726</v>
      </c>
      <c r="C119" s="906">
        <v>29189</v>
      </c>
      <c r="D119" s="906" t="s">
        <v>1256</v>
      </c>
      <c r="E119" s="906" t="s">
        <v>1258</v>
      </c>
      <c r="F119" s="1015"/>
      <c r="G119" s="1014"/>
      <c r="H119" s="1014"/>
      <c r="I119" s="1014"/>
      <c r="J119" s="1013"/>
      <c r="K119" s="1012"/>
      <c r="L119" s="1011"/>
      <c r="N119" s="1049" t="s">
        <v>1725</v>
      </c>
      <c r="O119" s="1048"/>
      <c r="P119" s="1047">
        <v>65</v>
      </c>
      <c r="Q119" s="1046">
        <v>35</v>
      </c>
      <c r="R119" s="1046">
        <v>80</v>
      </c>
      <c r="S119" s="1045">
        <v>32</v>
      </c>
      <c r="T119" s="1044"/>
      <c r="U119" s="1043">
        <v>0.3172579453067258</v>
      </c>
      <c r="V119" s="1042">
        <v>11.085000000000001</v>
      </c>
      <c r="W119" s="1042"/>
      <c r="X119" s="1042">
        <v>118</v>
      </c>
    </row>
    <row r="120" spans="1:24">
      <c r="A120" s="906">
        <v>119</v>
      </c>
      <c r="B120" s="906" t="s">
        <v>1724</v>
      </c>
      <c r="C120" s="906">
        <v>65120</v>
      </c>
      <c r="D120" s="906" t="s">
        <v>1257</v>
      </c>
      <c r="E120" s="906" t="s">
        <v>1259</v>
      </c>
      <c r="F120" s="1015">
        <f t="shared" ref="F120:L120" si="60">O63</f>
        <v>0</v>
      </c>
      <c r="G120" s="1014">
        <f t="shared" si="60"/>
        <v>80</v>
      </c>
      <c r="H120" s="1014">
        <f t="shared" si="60"/>
        <v>50</v>
      </c>
      <c r="I120" s="1014">
        <f t="shared" si="60"/>
        <v>90</v>
      </c>
      <c r="J120" s="1013">
        <f t="shared" si="60"/>
        <v>55</v>
      </c>
      <c r="K120" s="1012">
        <f t="shared" si="60"/>
        <v>26.462430536530587</v>
      </c>
      <c r="L120" s="1011">
        <f t="shared" si="60"/>
        <v>0.10822587144872053</v>
      </c>
      <c r="N120" s="1049" t="s">
        <v>1723</v>
      </c>
      <c r="O120" s="1048">
        <v>0.27485276378343859</v>
      </c>
      <c r="P120" s="1047">
        <v>73</v>
      </c>
      <c r="Q120" s="1046">
        <v>36</v>
      </c>
      <c r="R120" s="1046">
        <v>75</v>
      </c>
      <c r="S120" s="1045">
        <v>38</v>
      </c>
      <c r="T120" s="1044">
        <v>35.047064945836929</v>
      </c>
      <c r="U120" s="1043">
        <v>0.27305641176182788</v>
      </c>
      <c r="V120" s="1042">
        <v>14.858000000000001</v>
      </c>
      <c r="W120" s="1042"/>
      <c r="X120" s="1042">
        <v>119</v>
      </c>
    </row>
    <row r="121" spans="1:24">
      <c r="A121" s="906">
        <v>120</v>
      </c>
      <c r="B121" s="906" t="s">
        <v>1722</v>
      </c>
      <c r="C121" s="906">
        <v>29189</v>
      </c>
      <c r="D121" s="906" t="s">
        <v>1256</v>
      </c>
      <c r="E121" s="906" t="s">
        <v>1258</v>
      </c>
      <c r="F121" s="1015">
        <f t="shared" ref="F121:L123" si="61">O65</f>
        <v>0</v>
      </c>
      <c r="G121" s="1014">
        <f t="shared" si="61"/>
        <v>75</v>
      </c>
      <c r="H121" s="1014">
        <f t="shared" si="61"/>
        <v>36</v>
      </c>
      <c r="I121" s="1014">
        <f t="shared" si="61"/>
        <v>75</v>
      </c>
      <c r="J121" s="1013">
        <f t="shared" si="61"/>
        <v>34</v>
      </c>
      <c r="K121" s="1012" t="str">
        <f t="shared" si="61"/>
        <v/>
      </c>
      <c r="L121" s="1011">
        <f t="shared" si="61"/>
        <v>0.27605633802816903</v>
      </c>
      <c r="N121" s="1049" t="s">
        <v>1721</v>
      </c>
      <c r="O121" s="1048"/>
      <c r="P121" s="1047">
        <v>72</v>
      </c>
      <c r="Q121" s="1046">
        <v>42</v>
      </c>
      <c r="R121" s="1046">
        <v>74</v>
      </c>
      <c r="S121" s="1045">
        <v>37</v>
      </c>
      <c r="T121" s="1044">
        <v>32.767900746998279</v>
      </c>
      <c r="U121" s="1043">
        <v>0.32580379714834662</v>
      </c>
      <c r="V121" s="1042">
        <v>5.3337009999999996</v>
      </c>
      <c r="W121" s="1042"/>
      <c r="X121" s="1042">
        <v>120</v>
      </c>
    </row>
    <row r="122" spans="1:24">
      <c r="A122" s="906">
        <v>121</v>
      </c>
      <c r="B122" s="906" t="s">
        <v>1720</v>
      </c>
      <c r="C122" s="906">
        <v>29189</v>
      </c>
      <c r="D122" s="906" t="s">
        <v>1256</v>
      </c>
      <c r="E122" s="906" t="s">
        <v>1258</v>
      </c>
      <c r="F122" s="1015">
        <f t="shared" si="61"/>
        <v>0</v>
      </c>
      <c r="G122" s="1014">
        <f t="shared" si="61"/>
        <v>68</v>
      </c>
      <c r="H122" s="1014">
        <f t="shared" si="61"/>
        <v>41</v>
      </c>
      <c r="I122" s="1014">
        <f t="shared" si="61"/>
        <v>70</v>
      </c>
      <c r="J122" s="1013">
        <f t="shared" si="61"/>
        <v>36</v>
      </c>
      <c r="K122" s="1012">
        <f t="shared" si="61"/>
        <v>30.64825300254796</v>
      </c>
      <c r="L122" s="1011">
        <f t="shared" si="61"/>
        <v>0.19962812148031642</v>
      </c>
      <c r="N122" s="1049" t="s">
        <v>1541</v>
      </c>
      <c r="O122" s="1048">
        <v>2.1120897419043862E-2</v>
      </c>
      <c r="P122" s="1047">
        <v>80</v>
      </c>
      <c r="Q122" s="1046">
        <v>40</v>
      </c>
      <c r="R122" s="1046">
        <v>80</v>
      </c>
      <c r="S122" s="1045">
        <v>40</v>
      </c>
      <c r="T122" s="1044">
        <v>51.616798161181421</v>
      </c>
      <c r="U122" s="1043">
        <v>0.11332199292716773</v>
      </c>
      <c r="V122" s="1042">
        <v>39.615000000000002</v>
      </c>
      <c r="W122" s="1042"/>
      <c r="X122" s="1042">
        <v>121</v>
      </c>
    </row>
    <row r="123" spans="1:24">
      <c r="A123" s="906">
        <v>122</v>
      </c>
      <c r="B123" s="906" t="s">
        <v>1719</v>
      </c>
      <c r="C123" s="906">
        <v>44023</v>
      </c>
      <c r="D123" s="906" t="s">
        <v>1257</v>
      </c>
      <c r="E123" s="906" t="s">
        <v>1259</v>
      </c>
      <c r="F123" s="1015">
        <f t="shared" si="61"/>
        <v>0</v>
      </c>
      <c r="G123" s="1014">
        <f t="shared" si="61"/>
        <v>80.5</v>
      </c>
      <c r="H123" s="1014">
        <f t="shared" si="61"/>
        <v>52.2</v>
      </c>
      <c r="I123" s="1014">
        <f t="shared" si="61"/>
        <v>85</v>
      </c>
      <c r="J123" s="1013">
        <f t="shared" si="61"/>
        <v>51.2</v>
      </c>
      <c r="K123" s="1012" t="str">
        <f t="shared" si="61"/>
        <v/>
      </c>
      <c r="L123" s="1011">
        <f t="shared" si="61"/>
        <v>9.8541692509985887E-2</v>
      </c>
      <c r="N123" s="1049" t="s">
        <v>1718</v>
      </c>
      <c r="O123" s="1048"/>
      <c r="P123" s="1047">
        <v>66</v>
      </c>
      <c r="Q123" s="1046">
        <v>37.5</v>
      </c>
      <c r="R123" s="1046">
        <v>75</v>
      </c>
      <c r="S123" s="1045">
        <v>36</v>
      </c>
      <c r="T123" s="1044">
        <v>28.233937756446295</v>
      </c>
      <c r="U123" s="1043">
        <v>0.18274293308797218</v>
      </c>
      <c r="V123" s="1042">
        <v>63.951999999999998</v>
      </c>
      <c r="W123" s="1042"/>
      <c r="X123" s="1042">
        <v>122</v>
      </c>
    </row>
    <row r="124" spans="1:24">
      <c r="A124" s="906">
        <v>123</v>
      </c>
      <c r="B124" s="906" t="s">
        <v>1717</v>
      </c>
      <c r="C124" s="906">
        <v>44023</v>
      </c>
      <c r="D124" s="906" t="s">
        <v>1257</v>
      </c>
      <c r="E124" s="906" t="s">
        <v>1259</v>
      </c>
      <c r="F124" s="1015">
        <f t="shared" ref="F124:L124" si="62">F123</f>
        <v>0</v>
      </c>
      <c r="G124" s="1014">
        <f t="shared" si="62"/>
        <v>80.5</v>
      </c>
      <c r="H124" s="1014">
        <f t="shared" si="62"/>
        <v>52.2</v>
      </c>
      <c r="I124" s="1014">
        <f t="shared" si="62"/>
        <v>85</v>
      </c>
      <c r="J124" s="1013">
        <f t="shared" si="62"/>
        <v>51.2</v>
      </c>
      <c r="K124" s="1012" t="str">
        <f t="shared" si="62"/>
        <v/>
      </c>
      <c r="L124" s="1011">
        <f t="shared" si="62"/>
        <v>9.8541692509985887E-2</v>
      </c>
      <c r="N124" s="1049" t="s">
        <v>1716</v>
      </c>
      <c r="O124" s="1048"/>
      <c r="P124" s="1047">
        <v>65</v>
      </c>
      <c r="Q124" s="1046">
        <v>43</v>
      </c>
      <c r="R124" s="1046">
        <v>68</v>
      </c>
      <c r="S124" s="1045">
        <v>36</v>
      </c>
      <c r="T124" s="1044">
        <v>28.562911929118126</v>
      </c>
      <c r="U124" s="1043">
        <v>0.25218417118295644</v>
      </c>
      <c r="V124" s="1042">
        <v>64.025000000000006</v>
      </c>
      <c r="W124" s="1042"/>
      <c r="X124" s="1042">
        <v>123</v>
      </c>
    </row>
    <row r="125" spans="1:24">
      <c r="A125" s="906">
        <v>124</v>
      </c>
      <c r="B125" s="906" t="s">
        <v>1715</v>
      </c>
      <c r="C125" s="906">
        <v>29189</v>
      </c>
      <c r="D125" s="906" t="s">
        <v>1256</v>
      </c>
      <c r="E125" s="906" t="s">
        <v>1258</v>
      </c>
      <c r="F125" s="1015"/>
      <c r="G125" s="1014"/>
      <c r="H125" s="1014"/>
      <c r="I125" s="1014"/>
      <c r="J125" s="1013"/>
      <c r="K125" s="1012"/>
      <c r="L125" s="1011"/>
      <c r="N125" s="1049" t="s">
        <v>1714</v>
      </c>
      <c r="O125" s="1048">
        <v>2.4506092104357405E-2</v>
      </c>
      <c r="P125" s="1047">
        <v>70</v>
      </c>
      <c r="Q125" s="1046">
        <v>36</v>
      </c>
      <c r="R125" s="1046">
        <v>75</v>
      </c>
      <c r="S125" s="1045">
        <v>33</v>
      </c>
      <c r="T125" s="1044">
        <v>35.419468841367362</v>
      </c>
      <c r="U125" s="1043">
        <v>0.27393973608072825</v>
      </c>
      <c r="V125" s="1042">
        <v>10.289</v>
      </c>
      <c r="W125" s="1042"/>
      <c r="X125" s="1042">
        <v>124</v>
      </c>
    </row>
    <row r="126" spans="1:24">
      <c r="A126" s="906">
        <v>125</v>
      </c>
      <c r="B126" s="906" t="s">
        <v>1713</v>
      </c>
      <c r="C126" s="906">
        <v>29188</v>
      </c>
      <c r="D126" s="906" t="s">
        <v>1256</v>
      </c>
      <c r="E126" s="906" t="s">
        <v>1259</v>
      </c>
      <c r="F126" s="1015">
        <f t="shared" ref="F126:L129" si="63">O68</f>
        <v>0</v>
      </c>
      <c r="G126" s="1014">
        <f t="shared" si="63"/>
        <v>77</v>
      </c>
      <c r="H126" s="1014">
        <f t="shared" si="63"/>
        <v>42</v>
      </c>
      <c r="I126" s="1014">
        <f t="shared" si="63"/>
        <v>77</v>
      </c>
      <c r="J126" s="1013">
        <f t="shared" si="63"/>
        <v>38</v>
      </c>
      <c r="K126" s="1012">
        <f t="shared" si="63"/>
        <v>36.021988361628907</v>
      </c>
      <c r="L126" s="1011">
        <f t="shared" si="63"/>
        <v>0.33411008062636904</v>
      </c>
      <c r="N126" s="1049" t="s">
        <v>1712</v>
      </c>
      <c r="O126" s="1048"/>
      <c r="P126" s="1047">
        <v>75</v>
      </c>
      <c r="Q126" s="1046">
        <v>43</v>
      </c>
      <c r="R126" s="1046">
        <v>80</v>
      </c>
      <c r="S126" s="1045">
        <v>40</v>
      </c>
      <c r="T126" s="1044" t="s">
        <v>842</v>
      </c>
      <c r="U126" s="1043">
        <v>0.26871273487421904</v>
      </c>
      <c r="V126" s="1042">
        <v>61.57</v>
      </c>
      <c r="W126" s="1042"/>
      <c r="X126" s="1042">
        <v>125</v>
      </c>
    </row>
    <row r="127" spans="1:24">
      <c r="A127" s="906">
        <v>126</v>
      </c>
      <c r="B127" s="906" t="s">
        <v>1711</v>
      </c>
      <c r="C127" s="906">
        <v>29189</v>
      </c>
      <c r="D127" s="906" t="s">
        <v>1256</v>
      </c>
      <c r="E127" s="906" t="s">
        <v>1258</v>
      </c>
      <c r="F127" s="1015">
        <f t="shared" si="63"/>
        <v>0</v>
      </c>
      <c r="G127" s="1014">
        <f t="shared" si="63"/>
        <v>75</v>
      </c>
      <c r="H127" s="1014">
        <f t="shared" si="63"/>
        <v>40</v>
      </c>
      <c r="I127" s="1014">
        <f t="shared" si="63"/>
        <v>75</v>
      </c>
      <c r="J127" s="1013">
        <f t="shared" si="63"/>
        <v>38</v>
      </c>
      <c r="K127" s="1012" t="str">
        <f t="shared" si="63"/>
        <v/>
      </c>
      <c r="L127" s="1011">
        <f t="shared" si="63"/>
        <v>0.27943296492071118</v>
      </c>
      <c r="N127" s="1038" t="s">
        <v>1710</v>
      </c>
      <c r="O127" s="1037">
        <v>0.13181579101162993</v>
      </c>
      <c r="P127" s="1036">
        <v>69</v>
      </c>
      <c r="Q127" s="1014">
        <v>38</v>
      </c>
      <c r="R127" s="1014">
        <v>72</v>
      </c>
      <c r="S127" s="1013">
        <v>34</v>
      </c>
      <c r="T127" s="1012">
        <v>34.959378292219078</v>
      </c>
      <c r="U127" s="1035">
        <v>0.24600316381138299</v>
      </c>
      <c r="V127" s="906">
        <v>22.402000000000001</v>
      </c>
      <c r="X127" s="906">
        <v>126</v>
      </c>
    </row>
    <row r="128" spans="1:24">
      <c r="A128" s="906">
        <v>127</v>
      </c>
      <c r="B128" s="906" t="s">
        <v>1709</v>
      </c>
      <c r="C128" s="906">
        <v>29188</v>
      </c>
      <c r="D128" s="906" t="s">
        <v>1256</v>
      </c>
      <c r="E128" s="906" t="s">
        <v>1259</v>
      </c>
      <c r="F128" s="1015">
        <f t="shared" si="63"/>
        <v>0</v>
      </c>
      <c r="G128" s="1014">
        <f t="shared" si="63"/>
        <v>78</v>
      </c>
      <c r="H128" s="1014">
        <f t="shared" si="63"/>
        <v>45</v>
      </c>
      <c r="I128" s="1014">
        <f t="shared" si="63"/>
        <v>84</v>
      </c>
      <c r="J128" s="1013">
        <f t="shared" si="63"/>
        <v>40</v>
      </c>
      <c r="K128" s="1012">
        <f t="shared" si="63"/>
        <v>38.648805715167462</v>
      </c>
      <c r="L128" s="1011">
        <f t="shared" si="63"/>
        <v>0.2534529513430398</v>
      </c>
      <c r="N128" s="1049" t="s">
        <v>1708</v>
      </c>
      <c r="O128" s="1048"/>
      <c r="P128" s="1047">
        <v>70</v>
      </c>
      <c r="Q128" s="1046">
        <v>42</v>
      </c>
      <c r="R128" s="1046">
        <v>72</v>
      </c>
      <c r="S128" s="1045">
        <v>35</v>
      </c>
      <c r="T128" s="1044">
        <v>31.90301255026986</v>
      </c>
      <c r="U128" s="1043">
        <v>0.24153851746828081</v>
      </c>
      <c r="V128" s="1042">
        <v>20.863</v>
      </c>
      <c r="W128" s="1042"/>
      <c r="X128" s="1042">
        <v>127</v>
      </c>
    </row>
    <row r="129" spans="1:24">
      <c r="A129" s="906">
        <v>128</v>
      </c>
      <c r="B129" s="906" t="s">
        <v>1707</v>
      </c>
      <c r="C129" s="906">
        <v>32264</v>
      </c>
      <c r="D129" s="906" t="s">
        <v>1256</v>
      </c>
      <c r="E129" s="906" t="s">
        <v>1258</v>
      </c>
      <c r="F129" s="1015">
        <f t="shared" si="63"/>
        <v>2.9754204398447608E-2</v>
      </c>
      <c r="G129" s="1014">
        <f t="shared" si="63"/>
        <v>65</v>
      </c>
      <c r="H129" s="1014">
        <f t="shared" si="63"/>
        <v>40</v>
      </c>
      <c r="I129" s="1014">
        <f t="shared" si="63"/>
        <v>75</v>
      </c>
      <c r="J129" s="1013">
        <f t="shared" si="63"/>
        <v>39</v>
      </c>
      <c r="K129" s="1012">
        <f t="shared" si="63"/>
        <v>0</v>
      </c>
      <c r="L129" s="1011">
        <f t="shared" si="63"/>
        <v>0.39011764705882351</v>
      </c>
      <c r="N129" s="1049" t="s">
        <v>1706</v>
      </c>
      <c r="O129" s="1048"/>
      <c r="P129" s="1047">
        <v>68</v>
      </c>
      <c r="Q129" s="1046">
        <v>44</v>
      </c>
      <c r="R129" s="1046">
        <v>70</v>
      </c>
      <c r="S129" s="1045">
        <v>39</v>
      </c>
      <c r="T129" s="1044">
        <v>27.076615304008193</v>
      </c>
      <c r="U129" s="1043">
        <v>0.49924357034795763</v>
      </c>
      <c r="V129" s="1042">
        <v>5.9580000000000002</v>
      </c>
      <c r="W129" s="1042"/>
      <c r="X129" s="1042">
        <v>128</v>
      </c>
    </row>
    <row r="130" spans="1:24">
      <c r="A130" s="906">
        <v>129</v>
      </c>
      <c r="B130" s="906" t="s">
        <v>1705</v>
      </c>
      <c r="C130" s="906">
        <v>29189</v>
      </c>
      <c r="D130" s="906" t="s">
        <v>1257</v>
      </c>
      <c r="E130" s="906" t="s">
        <v>1258</v>
      </c>
      <c r="F130" s="1015"/>
      <c r="G130" s="1014"/>
      <c r="H130" s="1014"/>
      <c r="I130" s="1014"/>
      <c r="J130" s="1013"/>
      <c r="K130" s="1012"/>
      <c r="L130" s="1011"/>
      <c r="N130" s="1049" t="s">
        <v>1704</v>
      </c>
      <c r="O130" s="1048"/>
      <c r="P130" s="1047">
        <v>66</v>
      </c>
      <c r="Q130" s="1046">
        <v>37</v>
      </c>
      <c r="R130" s="1046">
        <v>65</v>
      </c>
      <c r="S130" s="1045">
        <v>35</v>
      </c>
      <c r="T130" s="1044" t="s">
        <v>842</v>
      </c>
      <c r="U130" s="1043">
        <v>0.22099775357097445</v>
      </c>
      <c r="V130" s="1042">
        <v>18.379000000000001</v>
      </c>
      <c r="W130" s="1042"/>
      <c r="X130" s="1042">
        <v>129</v>
      </c>
    </row>
    <row r="131" spans="1:24">
      <c r="A131" s="906">
        <v>130</v>
      </c>
      <c r="B131" s="906" t="s">
        <v>1703</v>
      </c>
      <c r="C131" s="906">
        <v>29189</v>
      </c>
      <c r="D131" s="906" t="s">
        <v>1256</v>
      </c>
      <c r="E131" s="906" t="s">
        <v>1258</v>
      </c>
      <c r="F131" s="1015">
        <f t="shared" ref="F131:L131" si="64">O73</f>
        <v>0</v>
      </c>
      <c r="G131" s="1014">
        <f t="shared" si="64"/>
        <v>75</v>
      </c>
      <c r="H131" s="1014">
        <f t="shared" si="64"/>
        <v>42</v>
      </c>
      <c r="I131" s="1014">
        <f t="shared" si="64"/>
        <v>82</v>
      </c>
      <c r="J131" s="1013">
        <f t="shared" si="64"/>
        <v>40</v>
      </c>
      <c r="K131" s="1012" t="str">
        <f t="shared" si="64"/>
        <v/>
      </c>
      <c r="L131" s="1011">
        <f t="shared" si="64"/>
        <v>0.15905077413790744</v>
      </c>
      <c r="N131" s="1049" t="s">
        <v>1702</v>
      </c>
      <c r="O131" s="1048"/>
      <c r="P131" s="1047">
        <v>60.38</v>
      </c>
      <c r="Q131" s="1046">
        <v>38</v>
      </c>
      <c r="R131" s="1046">
        <v>68</v>
      </c>
      <c r="S131" s="1045">
        <v>35</v>
      </c>
      <c r="T131" s="1044" t="s">
        <v>842</v>
      </c>
      <c r="U131" s="1043"/>
      <c r="V131" s="1042" t="s">
        <v>842</v>
      </c>
      <c r="W131" s="1042"/>
      <c r="X131" s="1042">
        <v>130</v>
      </c>
    </row>
    <row r="132" spans="1:24">
      <c r="A132" s="906">
        <v>131</v>
      </c>
      <c r="B132" s="906" t="s">
        <v>1701</v>
      </c>
      <c r="C132" s="906">
        <v>29189</v>
      </c>
      <c r="D132" s="906" t="s">
        <v>1256</v>
      </c>
      <c r="E132" s="906" t="s">
        <v>1258</v>
      </c>
      <c r="F132" s="1015"/>
      <c r="G132" s="1014"/>
      <c r="H132" s="1014"/>
      <c r="I132" s="1014"/>
      <c r="J132" s="1013"/>
      <c r="K132" s="1012"/>
      <c r="L132" s="1011"/>
      <c r="N132" s="1049" t="s">
        <v>1700</v>
      </c>
      <c r="O132" s="1048">
        <v>0.2041240088577756</v>
      </c>
      <c r="P132" s="1047">
        <v>70</v>
      </c>
      <c r="Q132" s="1046">
        <v>42</v>
      </c>
      <c r="R132" s="1046">
        <v>72</v>
      </c>
      <c r="S132" s="1045">
        <v>35</v>
      </c>
      <c r="T132" s="1044">
        <v>27.81311459801638</v>
      </c>
      <c r="U132" s="1043">
        <v>0.24184353444267848</v>
      </c>
      <c r="V132" s="1042">
        <v>21.117439999999998</v>
      </c>
      <c r="W132" s="1042"/>
      <c r="X132" s="1042">
        <v>131</v>
      </c>
    </row>
    <row r="133" spans="1:24">
      <c r="A133" s="906">
        <v>132</v>
      </c>
      <c r="B133" s="906" t="s">
        <v>1699</v>
      </c>
      <c r="C133" s="906">
        <v>29189</v>
      </c>
      <c r="D133" s="906" t="s">
        <v>1256</v>
      </c>
      <c r="E133" s="906" t="s">
        <v>1258</v>
      </c>
      <c r="F133" s="1015">
        <f t="shared" ref="F133:L134" si="65">O74</f>
        <v>1.7511330861145447E-3</v>
      </c>
      <c r="G133" s="1014">
        <f t="shared" si="65"/>
        <v>64</v>
      </c>
      <c r="H133" s="1014">
        <f t="shared" si="65"/>
        <v>45</v>
      </c>
      <c r="I133" s="1014">
        <f t="shared" si="65"/>
        <v>78</v>
      </c>
      <c r="J133" s="1013">
        <f t="shared" si="65"/>
        <v>39</v>
      </c>
      <c r="K133" s="1012">
        <f t="shared" si="65"/>
        <v>41.341454254271277</v>
      </c>
      <c r="L133" s="1011">
        <f t="shared" si="65"/>
        <v>0.23941212022937336</v>
      </c>
      <c r="N133" s="1049" t="s">
        <v>1698</v>
      </c>
      <c r="O133" s="1048"/>
      <c r="P133" s="1047">
        <v>64</v>
      </c>
      <c r="Q133" s="1046">
        <v>45</v>
      </c>
      <c r="R133" s="1046">
        <v>65</v>
      </c>
      <c r="S133" s="1045">
        <v>40</v>
      </c>
      <c r="T133" s="1044" t="s">
        <v>842</v>
      </c>
      <c r="U133" s="1043">
        <v>0.19586194937631596</v>
      </c>
      <c r="V133" s="1042">
        <v>91.226111000000003</v>
      </c>
      <c r="W133" s="1042"/>
      <c r="X133" s="1042">
        <v>132</v>
      </c>
    </row>
    <row r="134" spans="1:24">
      <c r="A134" s="906">
        <v>133</v>
      </c>
      <c r="B134" s="906" t="s">
        <v>1697</v>
      </c>
      <c r="C134" s="906">
        <v>29189</v>
      </c>
      <c r="D134" s="906" t="s">
        <v>1256</v>
      </c>
      <c r="E134" s="906" t="s">
        <v>1258</v>
      </c>
      <c r="F134" s="1015">
        <f t="shared" si="65"/>
        <v>0</v>
      </c>
      <c r="G134" s="1014">
        <f t="shared" si="65"/>
        <v>68.400000000000006</v>
      </c>
      <c r="H134" s="1014">
        <f t="shared" si="65"/>
        <v>38.1</v>
      </c>
      <c r="I134" s="1014">
        <f t="shared" si="65"/>
        <v>73.3</v>
      </c>
      <c r="J134" s="1013">
        <f t="shared" si="65"/>
        <v>33.1</v>
      </c>
      <c r="K134" s="1012">
        <f t="shared" si="65"/>
        <v>45.625742555994066</v>
      </c>
      <c r="L134" s="1011">
        <f t="shared" si="65"/>
        <v>0.23402607664954564</v>
      </c>
      <c r="N134" s="1049" t="s">
        <v>1696</v>
      </c>
      <c r="O134" s="1048"/>
      <c r="P134" s="1047">
        <v>73</v>
      </c>
      <c r="Q134" s="1046">
        <v>0</v>
      </c>
      <c r="R134" s="1046">
        <v>73</v>
      </c>
      <c r="S134" s="1045">
        <v>0</v>
      </c>
      <c r="T134" s="1044" t="s">
        <v>842</v>
      </c>
      <c r="U134" s="1043"/>
      <c r="V134" s="1042" t="s">
        <v>842</v>
      </c>
      <c r="W134" s="1042"/>
      <c r="X134" s="1042">
        <v>133</v>
      </c>
    </row>
    <row r="135" spans="1:24">
      <c r="A135" s="906">
        <v>134</v>
      </c>
      <c r="B135" s="906" t="s">
        <v>1695</v>
      </c>
      <c r="C135" s="906">
        <v>29189</v>
      </c>
      <c r="D135" s="906" t="s">
        <v>1256</v>
      </c>
      <c r="E135" s="906" t="s">
        <v>1258</v>
      </c>
      <c r="F135" s="1015"/>
      <c r="G135" s="1014"/>
      <c r="H135" s="1014"/>
      <c r="I135" s="1014"/>
      <c r="J135" s="1013"/>
      <c r="K135" s="1012"/>
      <c r="L135" s="1011"/>
      <c r="N135" s="1049" t="s">
        <v>1694</v>
      </c>
      <c r="O135" s="1048"/>
      <c r="P135" s="1047">
        <v>73</v>
      </c>
      <c r="Q135" s="1046">
        <v>0</v>
      </c>
      <c r="R135" s="1046">
        <v>73</v>
      </c>
      <c r="S135" s="1045">
        <v>0</v>
      </c>
      <c r="T135" s="1044">
        <v>28.55022805146475</v>
      </c>
      <c r="U135" s="1043">
        <v>0.26233766233766231</v>
      </c>
      <c r="V135" s="1042">
        <v>5.3959999999999999</v>
      </c>
      <c r="W135" s="1042"/>
      <c r="X135" s="1042">
        <v>134</v>
      </c>
    </row>
    <row r="136" spans="1:24">
      <c r="A136" s="906">
        <v>135</v>
      </c>
      <c r="B136" s="906" t="s">
        <v>1693</v>
      </c>
      <c r="C136" s="906">
        <v>29189</v>
      </c>
      <c r="D136" s="906" t="s">
        <v>1256</v>
      </c>
      <c r="E136" s="906" t="s">
        <v>1258</v>
      </c>
      <c r="F136" s="1015">
        <f t="shared" ref="F136:L136" si="66">O76</f>
        <v>0</v>
      </c>
      <c r="G136" s="1014">
        <f t="shared" si="66"/>
        <v>70</v>
      </c>
      <c r="H136" s="1014">
        <f t="shared" si="66"/>
        <v>38</v>
      </c>
      <c r="I136" s="1014">
        <f t="shared" si="66"/>
        <v>71</v>
      </c>
      <c r="J136" s="1013">
        <f t="shared" si="66"/>
        <v>34</v>
      </c>
      <c r="K136" s="1012">
        <f t="shared" si="66"/>
        <v>39.165090999099291</v>
      </c>
      <c r="L136" s="1011">
        <f t="shared" si="66"/>
        <v>0.24730127576054955</v>
      </c>
      <c r="N136" s="1049" t="s">
        <v>1692</v>
      </c>
      <c r="O136" s="1048">
        <v>7.3937588207621141E-2</v>
      </c>
      <c r="P136" s="1047">
        <v>70</v>
      </c>
      <c r="Q136" s="1046">
        <v>34.5</v>
      </c>
      <c r="R136" s="1046">
        <v>72</v>
      </c>
      <c r="S136" s="1045">
        <v>33</v>
      </c>
      <c r="T136" s="1044">
        <v>33.602151604771642</v>
      </c>
      <c r="U136" s="1043">
        <v>0.21691643383286766</v>
      </c>
      <c r="V136" s="1042">
        <v>9.2490000000000006</v>
      </c>
      <c r="W136" s="1042"/>
      <c r="X136" s="1042">
        <v>135</v>
      </c>
    </row>
    <row r="137" spans="1:24">
      <c r="A137" s="906">
        <v>136</v>
      </c>
      <c r="B137" s="906" t="s">
        <v>1691</v>
      </c>
      <c r="C137" s="906">
        <v>29188</v>
      </c>
      <c r="D137" s="906" t="s">
        <v>1256</v>
      </c>
      <c r="E137" s="906" t="s">
        <v>1259</v>
      </c>
      <c r="F137" s="1015"/>
      <c r="G137" s="1014"/>
      <c r="H137" s="1014"/>
      <c r="I137" s="1014"/>
      <c r="J137" s="1013"/>
      <c r="K137" s="1012"/>
      <c r="L137" s="1011"/>
      <c r="N137" s="1032" t="s">
        <v>1690</v>
      </c>
      <c r="O137" s="1031"/>
      <c r="P137" s="1030">
        <v>63</v>
      </c>
      <c r="Q137" s="1029">
        <v>63</v>
      </c>
      <c r="R137" s="1029">
        <v>73</v>
      </c>
      <c r="S137" s="1028">
        <v>73</v>
      </c>
      <c r="T137" s="1027">
        <v>20.783333333333335</v>
      </c>
      <c r="U137" s="1026">
        <v>0.21572413793103448</v>
      </c>
      <c r="V137" s="1018">
        <v>45.488</v>
      </c>
      <c r="W137" s="1018"/>
      <c r="X137" s="1018">
        <v>136</v>
      </c>
    </row>
    <row r="138" spans="1:24" ht="15.6">
      <c r="A138" s="906">
        <v>137</v>
      </c>
      <c r="B138" s="906" t="s">
        <v>1689</v>
      </c>
      <c r="C138" s="906">
        <v>29189</v>
      </c>
      <c r="D138" s="906" t="s">
        <v>1256</v>
      </c>
      <c r="E138" s="906" t="s">
        <v>1258</v>
      </c>
      <c r="F138" s="1015">
        <f t="shared" ref="F138:K140" si="67">O77</f>
        <v>0</v>
      </c>
      <c r="G138" s="1014">
        <f t="shared" si="67"/>
        <v>75</v>
      </c>
      <c r="H138" s="1014">
        <f t="shared" si="67"/>
        <v>40</v>
      </c>
      <c r="I138" s="1014">
        <f t="shared" si="67"/>
        <v>80</v>
      </c>
      <c r="J138" s="1013">
        <f t="shared" si="67"/>
        <v>37</v>
      </c>
      <c r="K138" s="1012" t="str">
        <f t="shared" si="67"/>
        <v/>
      </c>
      <c r="L138" s="1016">
        <v>0.22800028617798151</v>
      </c>
      <c r="N138" s="1032" t="s">
        <v>1688</v>
      </c>
      <c r="O138" s="1031"/>
      <c r="P138" s="1030">
        <v>72</v>
      </c>
      <c r="Q138" s="1029">
        <v>40</v>
      </c>
      <c r="R138" s="1029">
        <v>72</v>
      </c>
      <c r="S138" s="1028">
        <v>40</v>
      </c>
      <c r="T138" s="1027" t="s">
        <v>842</v>
      </c>
      <c r="U138" s="1026">
        <v>0.2803927933776984</v>
      </c>
      <c r="V138" s="1018">
        <v>8.8670000000000009</v>
      </c>
      <c r="W138" s="1018"/>
      <c r="X138" s="1018">
        <v>137</v>
      </c>
    </row>
    <row r="139" spans="1:24">
      <c r="A139" s="906">
        <v>138</v>
      </c>
      <c r="B139" s="906" t="s">
        <v>1687</v>
      </c>
      <c r="C139" s="906">
        <v>29189</v>
      </c>
      <c r="D139" s="906" t="s">
        <v>1256</v>
      </c>
      <c r="E139" s="906" t="s">
        <v>1258</v>
      </c>
      <c r="F139" s="1015">
        <f t="shared" si="67"/>
        <v>0</v>
      </c>
      <c r="G139" s="1014">
        <f t="shared" si="67"/>
        <v>71</v>
      </c>
      <c r="H139" s="1014">
        <f t="shared" si="67"/>
        <v>42</v>
      </c>
      <c r="I139" s="1014">
        <f t="shared" si="67"/>
        <v>77</v>
      </c>
      <c r="J139" s="1013">
        <f t="shared" si="67"/>
        <v>40</v>
      </c>
      <c r="K139" s="1012" t="str">
        <f t="shared" si="67"/>
        <v/>
      </c>
      <c r="L139" s="1011">
        <f>U78</f>
        <v>0.22894129556392462</v>
      </c>
      <c r="N139" s="1032" t="s">
        <v>1686</v>
      </c>
      <c r="O139" s="1031">
        <v>9.4308389379192305E-3</v>
      </c>
      <c r="P139" s="1030">
        <v>67</v>
      </c>
      <c r="Q139" s="1029">
        <v>42</v>
      </c>
      <c r="R139" s="1029">
        <v>81</v>
      </c>
      <c r="S139" s="1028">
        <v>34</v>
      </c>
      <c r="T139" s="1027">
        <v>32.415217939027464</v>
      </c>
      <c r="U139" s="1026">
        <v>0.3305003819709702</v>
      </c>
      <c r="V139" s="1018">
        <v>7.0110000000000001</v>
      </c>
      <c r="W139" s="1018"/>
      <c r="X139" s="1018">
        <v>138</v>
      </c>
    </row>
    <row r="140" spans="1:24">
      <c r="A140" s="906">
        <v>139</v>
      </c>
      <c r="B140" s="906" t="s">
        <v>1685</v>
      </c>
      <c r="C140" s="906">
        <v>29189</v>
      </c>
      <c r="D140" s="906" t="s">
        <v>1256</v>
      </c>
      <c r="E140" s="906" t="s">
        <v>1258</v>
      </c>
      <c r="F140" s="1015">
        <f t="shared" si="67"/>
        <v>0</v>
      </c>
      <c r="G140" s="1014">
        <f t="shared" si="67"/>
        <v>73</v>
      </c>
      <c r="H140" s="1014">
        <f t="shared" si="67"/>
        <v>42</v>
      </c>
      <c r="I140" s="1014">
        <f t="shared" si="67"/>
        <v>73</v>
      </c>
      <c r="J140" s="1013">
        <f t="shared" si="67"/>
        <v>38</v>
      </c>
      <c r="K140" s="1012">
        <f t="shared" si="67"/>
        <v>29.801433962264152</v>
      </c>
      <c r="L140" s="1011">
        <f>U79</f>
        <v>0.26657954916693893</v>
      </c>
      <c r="N140" s="1032" t="s">
        <v>1684</v>
      </c>
      <c r="O140" s="1031"/>
      <c r="P140" s="1030">
        <v>71</v>
      </c>
      <c r="Q140" s="1029">
        <v>0</v>
      </c>
      <c r="R140" s="1029">
        <v>79</v>
      </c>
      <c r="S140" s="1028">
        <v>0</v>
      </c>
      <c r="T140" s="1027" t="s">
        <v>842</v>
      </c>
      <c r="U140" s="1026"/>
      <c r="V140" s="1018" t="s">
        <v>842</v>
      </c>
      <c r="W140" s="1018"/>
      <c r="X140" s="1018">
        <v>139</v>
      </c>
    </row>
    <row r="141" spans="1:24">
      <c r="A141" s="906">
        <v>140</v>
      </c>
      <c r="B141" s="906" t="s">
        <v>1683</v>
      </c>
      <c r="C141" s="906">
        <v>29189</v>
      </c>
      <c r="D141" s="906" t="s">
        <v>1256</v>
      </c>
      <c r="E141" s="906" t="s">
        <v>1258</v>
      </c>
      <c r="F141" s="1015"/>
      <c r="G141" s="1014"/>
      <c r="H141" s="1014"/>
      <c r="I141" s="1014"/>
      <c r="J141" s="1013"/>
      <c r="K141" s="1012"/>
      <c r="L141" s="1011"/>
      <c r="N141" s="1032" t="s">
        <v>1682</v>
      </c>
      <c r="O141" s="1031"/>
      <c r="P141" s="1030">
        <v>70</v>
      </c>
      <c r="Q141" s="1029">
        <v>41</v>
      </c>
      <c r="R141" s="1029">
        <v>70</v>
      </c>
      <c r="S141" s="1028">
        <v>41</v>
      </c>
      <c r="T141" s="1027" t="s">
        <v>842</v>
      </c>
      <c r="U141" s="1026">
        <v>0.31760591573840757</v>
      </c>
      <c r="V141" s="1018">
        <v>5.7953000000000001</v>
      </c>
      <c r="W141" s="1018"/>
      <c r="X141" s="1018">
        <v>140</v>
      </c>
    </row>
    <row r="142" spans="1:24">
      <c r="A142" s="906">
        <v>141</v>
      </c>
      <c r="B142" s="906" t="s">
        <v>1681</v>
      </c>
      <c r="C142" s="906">
        <v>29189</v>
      </c>
      <c r="D142" s="906" t="s">
        <v>1256</v>
      </c>
      <c r="E142" s="906" t="s">
        <v>1258</v>
      </c>
      <c r="F142" s="1015">
        <f t="shared" ref="F142:L142" si="68">O80</f>
        <v>7.1261491595495843E-2</v>
      </c>
      <c r="G142" s="1014">
        <f t="shared" si="68"/>
        <v>68</v>
      </c>
      <c r="H142" s="1014">
        <f t="shared" si="68"/>
        <v>43</v>
      </c>
      <c r="I142" s="1014">
        <f t="shared" si="68"/>
        <v>72</v>
      </c>
      <c r="J142" s="1013">
        <f t="shared" si="68"/>
        <v>40</v>
      </c>
      <c r="K142" s="1012">
        <f t="shared" si="68"/>
        <v>30.647035126791668</v>
      </c>
      <c r="L142" s="1011">
        <f t="shared" si="68"/>
        <v>0.28758859017161598</v>
      </c>
      <c r="N142" s="1032" t="s">
        <v>1680</v>
      </c>
      <c r="O142" s="1031"/>
      <c r="P142" s="1030">
        <v>60</v>
      </c>
      <c r="Q142" s="1029">
        <v>0</v>
      </c>
      <c r="R142" s="1029">
        <v>80</v>
      </c>
      <c r="S142" s="1028">
        <v>0</v>
      </c>
      <c r="T142" s="1027" t="s">
        <v>842</v>
      </c>
      <c r="U142" s="1026"/>
      <c r="V142" s="1018" t="s">
        <v>842</v>
      </c>
      <c r="W142" s="1018"/>
      <c r="X142" s="1018">
        <v>141</v>
      </c>
    </row>
    <row r="143" spans="1:24" ht="15.6">
      <c r="A143" s="906">
        <v>142</v>
      </c>
      <c r="B143" s="906" t="s">
        <v>1679</v>
      </c>
      <c r="C143" s="906">
        <v>29188</v>
      </c>
      <c r="D143" s="906" t="s">
        <v>1256</v>
      </c>
      <c r="E143" s="906" t="s">
        <v>1259</v>
      </c>
      <c r="F143" s="1015">
        <f t="shared" ref="F143:K145" si="69">O81</f>
        <v>0</v>
      </c>
      <c r="G143" s="1014">
        <f t="shared" si="69"/>
        <v>78</v>
      </c>
      <c r="H143" s="1014">
        <f t="shared" si="69"/>
        <v>0</v>
      </c>
      <c r="I143" s="1014">
        <f t="shared" si="69"/>
        <v>78</v>
      </c>
      <c r="J143" s="1013">
        <f t="shared" si="69"/>
        <v>0</v>
      </c>
      <c r="K143" s="1012" t="str">
        <f t="shared" si="69"/>
        <v/>
      </c>
      <c r="L143" s="1016">
        <v>0.22800028617798151</v>
      </c>
      <c r="N143" s="1032" t="s">
        <v>1678</v>
      </c>
      <c r="O143" s="1031">
        <v>7.2396076599719368E-3</v>
      </c>
      <c r="P143" s="1030">
        <v>72</v>
      </c>
      <c r="Q143" s="1029">
        <v>38</v>
      </c>
      <c r="R143" s="1029">
        <v>76</v>
      </c>
      <c r="S143" s="1028">
        <v>35</v>
      </c>
      <c r="T143" s="1027">
        <v>34.726955023416103</v>
      </c>
      <c r="U143" s="1026">
        <v>0.15658695901921843</v>
      </c>
      <c r="V143" s="1018">
        <v>15.417</v>
      </c>
      <c r="W143" s="1018"/>
      <c r="X143" s="1018">
        <v>142</v>
      </c>
    </row>
    <row r="144" spans="1:24">
      <c r="A144" s="906">
        <v>143</v>
      </c>
      <c r="B144" s="906" t="s">
        <v>1677</v>
      </c>
      <c r="C144" s="906">
        <v>29188</v>
      </c>
      <c r="D144" s="906" t="s">
        <v>1256</v>
      </c>
      <c r="E144" s="906" t="s">
        <v>1259</v>
      </c>
      <c r="F144" s="1015">
        <f t="shared" si="69"/>
        <v>0</v>
      </c>
      <c r="G144" s="1014">
        <f t="shared" si="69"/>
        <v>72</v>
      </c>
      <c r="H144" s="1014">
        <f t="shared" si="69"/>
        <v>49.3</v>
      </c>
      <c r="I144" s="1014">
        <f t="shared" si="69"/>
        <v>72</v>
      </c>
      <c r="J144" s="1013">
        <f t="shared" si="69"/>
        <v>43.7</v>
      </c>
      <c r="K144" s="1012">
        <f t="shared" si="69"/>
        <v>26.738828983587556</v>
      </c>
      <c r="L144" s="1011">
        <f>U82</f>
        <v>0.22799820425097142</v>
      </c>
      <c r="N144" s="1038" t="s">
        <v>1676</v>
      </c>
      <c r="O144" s="1037"/>
      <c r="P144" s="1036">
        <v>71</v>
      </c>
      <c r="Q144" s="1014">
        <v>46</v>
      </c>
      <c r="R144" s="1014">
        <v>76</v>
      </c>
      <c r="S144" s="1013">
        <v>40</v>
      </c>
      <c r="T144" s="1012">
        <v>33.153323059986747</v>
      </c>
      <c r="U144" s="1035">
        <v>0.20928852603192599</v>
      </c>
      <c r="V144" s="906">
        <v>149.24600000000001</v>
      </c>
      <c r="X144" s="906">
        <v>143</v>
      </c>
    </row>
    <row r="145" spans="1:24">
      <c r="A145" s="906">
        <v>144</v>
      </c>
      <c r="B145" s="906" t="s">
        <v>1675</v>
      </c>
      <c r="C145" s="906">
        <v>29189</v>
      </c>
      <c r="D145" s="906" t="s">
        <v>1256</v>
      </c>
      <c r="E145" s="906" t="s">
        <v>1258</v>
      </c>
      <c r="F145" s="1015">
        <f t="shared" si="69"/>
        <v>1.2080536912751677E-2</v>
      </c>
      <c r="G145" s="1014">
        <f t="shared" si="69"/>
        <v>65</v>
      </c>
      <c r="H145" s="1014">
        <f t="shared" si="69"/>
        <v>43</v>
      </c>
      <c r="I145" s="1014">
        <f t="shared" si="69"/>
        <v>75</v>
      </c>
      <c r="J145" s="1013">
        <f t="shared" si="69"/>
        <v>38</v>
      </c>
      <c r="K145" s="1012">
        <f t="shared" si="69"/>
        <v>33.747721896932802</v>
      </c>
      <c r="L145" s="1011">
        <f>U83</f>
        <v>0.3286808300395257</v>
      </c>
      <c r="N145" s="1032" t="s">
        <v>1674</v>
      </c>
      <c r="O145" s="1031"/>
      <c r="P145" s="1030">
        <v>74</v>
      </c>
      <c r="Q145" s="1029">
        <v>40</v>
      </c>
      <c r="R145" s="1029">
        <v>74</v>
      </c>
      <c r="S145" s="1028">
        <v>38</v>
      </c>
      <c r="T145" s="1027">
        <v>36.844128774010883</v>
      </c>
      <c r="U145" s="1026">
        <v>0.2188596691126202</v>
      </c>
      <c r="V145" s="1018">
        <v>34.277999999999999</v>
      </c>
      <c r="W145" s="1018"/>
      <c r="X145" s="1018">
        <v>144</v>
      </c>
    </row>
    <row r="146" spans="1:24">
      <c r="A146" s="906">
        <v>145</v>
      </c>
      <c r="B146" s="906" t="s">
        <v>1673</v>
      </c>
      <c r="C146" s="906">
        <v>29189</v>
      </c>
      <c r="D146" s="906" t="s">
        <v>1256</v>
      </c>
      <c r="E146" s="906" t="s">
        <v>1258</v>
      </c>
      <c r="F146" s="1015"/>
      <c r="G146" s="1014"/>
      <c r="H146" s="1014"/>
      <c r="I146" s="1014"/>
      <c r="J146" s="1013"/>
      <c r="K146" s="1012"/>
      <c r="L146" s="1011"/>
      <c r="N146" s="1032" t="s">
        <v>1672</v>
      </c>
      <c r="O146" s="1031"/>
      <c r="P146" s="1030">
        <v>73</v>
      </c>
      <c r="Q146" s="1029">
        <v>41</v>
      </c>
      <c r="R146" s="1029">
        <v>75</v>
      </c>
      <c r="S146" s="1028">
        <v>40</v>
      </c>
      <c r="T146" s="1027">
        <v>3.5520143126997965</v>
      </c>
      <c r="U146" s="1026">
        <v>0.27656720684271863</v>
      </c>
      <c r="V146" s="1018">
        <v>32.901000000000003</v>
      </c>
      <c r="W146" s="1018"/>
      <c r="X146" s="1018">
        <v>145</v>
      </c>
    </row>
    <row r="147" spans="1:24">
      <c r="A147" s="906">
        <v>146</v>
      </c>
      <c r="B147" s="906" t="s">
        <v>1671</v>
      </c>
      <c r="C147" s="906">
        <v>29189</v>
      </c>
      <c r="D147" s="906" t="s">
        <v>1256</v>
      </c>
      <c r="E147" s="906" t="s">
        <v>1258</v>
      </c>
      <c r="F147" s="1015"/>
      <c r="G147" s="1014"/>
      <c r="H147" s="1014"/>
      <c r="I147" s="1014"/>
      <c r="J147" s="1013"/>
      <c r="K147" s="1012"/>
      <c r="L147" s="1011"/>
      <c r="N147" s="1032" t="s">
        <v>1472</v>
      </c>
      <c r="O147" s="1031"/>
      <c r="P147" s="1030">
        <v>67</v>
      </c>
      <c r="Q147" s="1029">
        <v>67</v>
      </c>
      <c r="R147" s="1029">
        <v>71</v>
      </c>
      <c r="S147" s="1028">
        <v>71</v>
      </c>
      <c r="T147" s="1027">
        <v>33.030288913026958</v>
      </c>
      <c r="U147" s="1026">
        <v>0.26487182298263534</v>
      </c>
      <c r="V147" s="1018">
        <v>11.497999999999999</v>
      </c>
      <c r="W147" s="1018"/>
      <c r="X147" s="1018">
        <v>146</v>
      </c>
    </row>
    <row r="148" spans="1:24">
      <c r="A148" s="906">
        <v>147</v>
      </c>
      <c r="B148" s="906" t="s">
        <v>1670</v>
      </c>
      <c r="C148" s="906">
        <v>29188</v>
      </c>
      <c r="D148" s="906" t="s">
        <v>1256</v>
      </c>
      <c r="E148" s="906" t="s">
        <v>1259</v>
      </c>
      <c r="F148" s="1015">
        <f t="shared" ref="F148:L148" si="70">O84</f>
        <v>3.2411973850212182E-2</v>
      </c>
      <c r="G148" s="1014">
        <f t="shared" si="70"/>
        <v>70</v>
      </c>
      <c r="H148" s="1014">
        <f t="shared" si="70"/>
        <v>45</v>
      </c>
      <c r="I148" s="1014">
        <f t="shared" si="70"/>
        <v>80</v>
      </c>
      <c r="J148" s="1013">
        <f t="shared" si="70"/>
        <v>40</v>
      </c>
      <c r="K148" s="1012">
        <f t="shared" si="70"/>
        <v>31.777020942610172</v>
      </c>
      <c r="L148" s="1011">
        <f t="shared" si="70"/>
        <v>0.26890616850789434</v>
      </c>
      <c r="N148" s="1032" t="s">
        <v>1669</v>
      </c>
      <c r="O148" s="1031"/>
      <c r="P148" s="1034">
        <v>75</v>
      </c>
      <c r="Q148" s="1018">
        <v>53</v>
      </c>
      <c r="R148" s="1018">
        <v>85</v>
      </c>
      <c r="S148" s="1033">
        <v>47</v>
      </c>
      <c r="T148" s="1027">
        <v>34.118186758900578</v>
      </c>
      <c r="U148" s="1026">
        <v>0.19083493483106331</v>
      </c>
      <c r="V148" s="1018">
        <v>173.892</v>
      </c>
      <c r="W148" s="1018"/>
      <c r="X148" s="1018">
        <v>147</v>
      </c>
    </row>
    <row r="149" spans="1:24">
      <c r="A149" s="906">
        <v>148</v>
      </c>
      <c r="B149" s="906" t="s">
        <v>1668</v>
      </c>
      <c r="C149" s="906">
        <v>29189</v>
      </c>
      <c r="D149" s="906" t="s">
        <v>1256</v>
      </c>
      <c r="E149" s="906" t="s">
        <v>1258</v>
      </c>
      <c r="F149" s="1015"/>
      <c r="G149" s="1014"/>
      <c r="H149" s="1014"/>
      <c r="I149" s="1014"/>
      <c r="J149" s="1013"/>
      <c r="K149" s="1012"/>
      <c r="L149" s="1011"/>
      <c r="N149" s="1032" t="s">
        <v>1667</v>
      </c>
      <c r="O149" s="1031"/>
      <c r="P149" s="1030">
        <v>68</v>
      </c>
      <c r="Q149" s="1029">
        <v>40</v>
      </c>
      <c r="R149" s="1029">
        <v>70</v>
      </c>
      <c r="S149" s="1028">
        <v>37</v>
      </c>
      <c r="T149" s="1027" t="s">
        <v>842</v>
      </c>
      <c r="U149" s="1026">
        <v>0.23822738827421522</v>
      </c>
      <c r="V149" s="1018">
        <v>18.789349999999999</v>
      </c>
      <c r="W149" s="1018"/>
      <c r="X149" s="1018">
        <v>148</v>
      </c>
    </row>
    <row r="150" spans="1:24">
      <c r="A150" s="906">
        <v>149</v>
      </c>
      <c r="B150" s="906" t="s">
        <v>1666</v>
      </c>
      <c r="C150" s="906">
        <v>29189</v>
      </c>
      <c r="D150" s="906" t="s">
        <v>1256</v>
      </c>
      <c r="E150" s="906" t="s">
        <v>1259</v>
      </c>
      <c r="F150" s="1015"/>
      <c r="G150" s="1014"/>
      <c r="H150" s="1014"/>
      <c r="I150" s="1014"/>
      <c r="J150" s="1013"/>
      <c r="K150" s="1012"/>
      <c r="L150" s="1011"/>
      <c r="N150" s="1032" t="s">
        <v>1665</v>
      </c>
      <c r="O150" s="1031"/>
      <c r="P150" s="1030">
        <v>75</v>
      </c>
      <c r="Q150" s="1029">
        <v>52</v>
      </c>
      <c r="R150" s="1029">
        <v>80</v>
      </c>
      <c r="S150" s="1028">
        <v>45</v>
      </c>
      <c r="T150" s="1027" t="s">
        <v>842</v>
      </c>
      <c r="U150" s="1026">
        <v>0.25359712230215825</v>
      </c>
      <c r="V150" s="1018">
        <v>16.184999999999999</v>
      </c>
      <c r="W150" s="1018"/>
      <c r="X150" s="1018">
        <v>149</v>
      </c>
    </row>
    <row r="151" spans="1:24">
      <c r="A151" s="906">
        <v>150</v>
      </c>
      <c r="B151" s="906" t="s">
        <v>1664</v>
      </c>
      <c r="C151" s="906">
        <v>29189</v>
      </c>
      <c r="D151" s="906" t="s">
        <v>1256</v>
      </c>
      <c r="E151" s="906" t="s">
        <v>1258</v>
      </c>
      <c r="F151" s="1015">
        <f t="shared" ref="F151:L155" si="71">O85</f>
        <v>0</v>
      </c>
      <c r="G151" s="1014">
        <f t="shared" si="71"/>
        <v>68</v>
      </c>
      <c r="H151" s="1014">
        <f t="shared" si="71"/>
        <v>47</v>
      </c>
      <c r="I151" s="1014">
        <f t="shared" si="71"/>
        <v>75</v>
      </c>
      <c r="J151" s="1013">
        <f t="shared" si="71"/>
        <v>37</v>
      </c>
      <c r="K151" s="1012" t="str">
        <f t="shared" si="71"/>
        <v/>
      </c>
      <c r="L151" s="1011">
        <f t="shared" si="71"/>
        <v>0.25414852895132867</v>
      </c>
      <c r="N151" s="1032" t="s">
        <v>1663</v>
      </c>
      <c r="O151" s="1031"/>
      <c r="P151" s="1030">
        <v>69.13</v>
      </c>
      <c r="Q151" s="1029">
        <v>44.59</v>
      </c>
      <c r="R151" s="1029">
        <v>73.069999999999993</v>
      </c>
      <c r="S151" s="1028">
        <v>39.200000000000003</v>
      </c>
      <c r="T151" s="1027"/>
      <c r="U151" s="1026">
        <v>0.24214000347403161</v>
      </c>
      <c r="V151" s="1018">
        <v>78.534000000000006</v>
      </c>
      <c r="W151" s="1018"/>
      <c r="X151" s="1018">
        <v>150</v>
      </c>
    </row>
    <row r="152" spans="1:24">
      <c r="A152" s="906">
        <v>151</v>
      </c>
      <c r="B152" s="906" t="s">
        <v>1662</v>
      </c>
      <c r="C152" s="906">
        <v>29189</v>
      </c>
      <c r="D152" s="906" t="s">
        <v>1256</v>
      </c>
      <c r="E152" s="906" t="s">
        <v>1258</v>
      </c>
      <c r="F152" s="1015">
        <f t="shared" si="71"/>
        <v>1.0352179986765679E-2</v>
      </c>
      <c r="G152" s="1014">
        <f t="shared" si="71"/>
        <v>74</v>
      </c>
      <c r="H152" s="1014">
        <f t="shared" si="71"/>
        <v>39</v>
      </c>
      <c r="I152" s="1014">
        <f t="shared" si="71"/>
        <v>70</v>
      </c>
      <c r="J152" s="1013">
        <f t="shared" si="71"/>
        <v>37</v>
      </c>
      <c r="K152" s="1012">
        <f t="shared" si="71"/>
        <v>45.378171948085345</v>
      </c>
      <c r="L152" s="1011">
        <f t="shared" si="71"/>
        <v>0.27424555355789659</v>
      </c>
      <c r="N152" s="1032" t="s">
        <v>1661</v>
      </c>
      <c r="O152" s="1031">
        <v>3.2552457602759412E-2</v>
      </c>
      <c r="P152" s="1030">
        <v>71.3</v>
      </c>
      <c r="Q152" s="1029">
        <v>34.6</v>
      </c>
      <c r="R152" s="1029">
        <v>69.5</v>
      </c>
      <c r="S152" s="1028">
        <v>32.6</v>
      </c>
      <c r="T152" s="1027">
        <v>35.553078526925404</v>
      </c>
      <c r="U152" s="1026">
        <v>0.17525811483324669</v>
      </c>
      <c r="V152" s="1018">
        <v>22.207000000000001</v>
      </c>
      <c r="W152" s="1018"/>
      <c r="X152" s="1018">
        <v>151</v>
      </c>
    </row>
    <row r="153" spans="1:24">
      <c r="A153" s="906">
        <v>152</v>
      </c>
      <c r="B153" s="906" t="s">
        <v>1660</v>
      </c>
      <c r="C153" s="906">
        <v>29189</v>
      </c>
      <c r="D153" s="906" t="s">
        <v>1256</v>
      </c>
      <c r="E153" s="906" t="s">
        <v>1258</v>
      </c>
      <c r="F153" s="1015">
        <f t="shared" si="71"/>
        <v>0</v>
      </c>
      <c r="G153" s="1014">
        <f t="shared" si="71"/>
        <v>75</v>
      </c>
      <c r="H153" s="1014">
        <f t="shared" si="71"/>
        <v>42</v>
      </c>
      <c r="I153" s="1014">
        <f t="shared" si="71"/>
        <v>80</v>
      </c>
      <c r="J153" s="1013">
        <f t="shared" si="71"/>
        <v>37</v>
      </c>
      <c r="K153" s="1012" t="str">
        <f t="shared" si="71"/>
        <v/>
      </c>
      <c r="L153" s="1011">
        <f t="shared" si="71"/>
        <v>0.27379140817043196</v>
      </c>
      <c r="N153" s="1032" t="s">
        <v>1659</v>
      </c>
      <c r="O153" s="1031"/>
      <c r="P153" s="1030">
        <v>70</v>
      </c>
      <c r="Q153" s="1029">
        <v>40</v>
      </c>
      <c r="R153" s="1029">
        <v>74</v>
      </c>
      <c r="S153" s="1028">
        <v>36</v>
      </c>
      <c r="T153" s="1027">
        <v>30.217456453888268</v>
      </c>
      <c r="U153" s="1026">
        <v>0.24838776783856875</v>
      </c>
      <c r="V153" s="1018">
        <v>7.226</v>
      </c>
      <c r="W153" s="1018"/>
      <c r="X153" s="1018">
        <v>152</v>
      </c>
    </row>
    <row r="154" spans="1:24">
      <c r="A154" s="906">
        <v>153</v>
      </c>
      <c r="B154" s="906" t="s">
        <v>1658</v>
      </c>
      <c r="C154" s="906">
        <v>29189</v>
      </c>
      <c r="D154" s="906" t="s">
        <v>1257</v>
      </c>
      <c r="E154" s="906" t="s">
        <v>1258</v>
      </c>
      <c r="F154" s="1015">
        <f t="shared" si="71"/>
        <v>0</v>
      </c>
      <c r="G154" s="1014">
        <f t="shared" si="71"/>
        <v>75</v>
      </c>
      <c r="H154" s="1014">
        <f t="shared" si="71"/>
        <v>42</v>
      </c>
      <c r="I154" s="1014">
        <f t="shared" si="71"/>
        <v>80</v>
      </c>
      <c r="J154" s="1013">
        <f t="shared" si="71"/>
        <v>42</v>
      </c>
      <c r="K154" s="1012" t="str">
        <f t="shared" si="71"/>
        <v/>
      </c>
      <c r="L154" s="1011">
        <f t="shared" si="71"/>
        <v>0.19338545966684473</v>
      </c>
      <c r="N154" s="1032" t="s">
        <v>1657</v>
      </c>
      <c r="O154" s="1031"/>
      <c r="P154" s="1030">
        <v>65</v>
      </c>
      <c r="Q154" s="1029">
        <v>40</v>
      </c>
      <c r="R154" s="1029">
        <v>70</v>
      </c>
      <c r="S154" s="1028">
        <v>35</v>
      </c>
      <c r="T154" s="1027">
        <v>32.20957264957265</v>
      </c>
      <c r="U154" s="1026">
        <v>0.24167047010497489</v>
      </c>
      <c r="V154" s="1018">
        <v>9.9689999999999994</v>
      </c>
      <c r="W154" s="1018"/>
      <c r="X154" s="1018">
        <v>153</v>
      </c>
    </row>
    <row r="155" spans="1:24">
      <c r="A155" s="906">
        <v>154</v>
      </c>
      <c r="B155" s="906" t="s">
        <v>1656</v>
      </c>
      <c r="C155" s="906">
        <v>29189</v>
      </c>
      <c r="D155" s="906" t="s">
        <v>1256</v>
      </c>
      <c r="E155" s="906" t="s">
        <v>1258</v>
      </c>
      <c r="F155" s="1015">
        <f t="shared" si="71"/>
        <v>0</v>
      </c>
      <c r="G155" s="1014">
        <f t="shared" si="71"/>
        <v>68</v>
      </c>
      <c r="H155" s="1014">
        <f t="shared" si="71"/>
        <v>45</v>
      </c>
      <c r="I155" s="1014">
        <f t="shared" si="71"/>
        <v>76</v>
      </c>
      <c r="J155" s="1013">
        <f t="shared" si="71"/>
        <v>41</v>
      </c>
      <c r="K155" s="1012">
        <f t="shared" si="71"/>
        <v>33.24808408180693</v>
      </c>
      <c r="L155" s="1011">
        <f t="shared" si="71"/>
        <v>0.19381967805610387</v>
      </c>
      <c r="N155" s="1032" t="s">
        <v>1655</v>
      </c>
      <c r="O155" s="1031"/>
      <c r="P155" s="1030">
        <v>70</v>
      </c>
      <c r="Q155" s="1029">
        <v>40</v>
      </c>
      <c r="R155" s="1029">
        <v>77</v>
      </c>
      <c r="S155" s="1028">
        <v>36</v>
      </c>
      <c r="T155" s="1027"/>
      <c r="U155" s="1026">
        <v>0.24604347931460702</v>
      </c>
      <c r="V155" s="1018">
        <v>31.109000000000002</v>
      </c>
      <c r="W155" s="1018"/>
      <c r="X155" s="1018">
        <v>154</v>
      </c>
    </row>
    <row r="156" spans="1:24">
      <c r="A156" s="906">
        <v>155</v>
      </c>
      <c r="B156" s="906" t="s">
        <v>1652</v>
      </c>
      <c r="C156" s="906">
        <v>19501</v>
      </c>
      <c r="D156" s="906" t="s">
        <v>1257</v>
      </c>
      <c r="E156" s="906" t="s">
        <v>1259</v>
      </c>
      <c r="F156" s="1015"/>
      <c r="G156" s="1014"/>
      <c r="H156" s="1014"/>
      <c r="I156" s="1014"/>
      <c r="J156" s="1013"/>
      <c r="K156" s="1012"/>
      <c r="L156" s="1011"/>
      <c r="N156" s="1032" t="s">
        <v>1654</v>
      </c>
      <c r="O156" s="1031"/>
      <c r="P156" s="1030">
        <v>75</v>
      </c>
      <c r="Q156" s="1029">
        <v>38</v>
      </c>
      <c r="R156" s="1029">
        <v>84</v>
      </c>
      <c r="S156" s="1028">
        <v>40</v>
      </c>
      <c r="T156" s="1027" t="s">
        <v>842</v>
      </c>
      <c r="U156" s="1026">
        <v>0.30186201957507758</v>
      </c>
      <c r="V156" s="1018">
        <v>5.8490000000000002</v>
      </c>
      <c r="W156" s="1018"/>
      <c r="X156" s="1018">
        <v>155</v>
      </c>
    </row>
    <row r="157" spans="1:24">
      <c r="A157" s="906">
        <v>156</v>
      </c>
      <c r="B157" s="906" t="s">
        <v>1652</v>
      </c>
      <c r="C157" s="906">
        <v>29189</v>
      </c>
      <c r="D157" s="906" t="s">
        <v>1256</v>
      </c>
      <c r="E157" s="906" t="s">
        <v>1259</v>
      </c>
      <c r="F157" s="1015"/>
      <c r="G157" s="1014"/>
      <c r="H157" s="1014"/>
      <c r="I157" s="1014"/>
      <c r="J157" s="1013"/>
      <c r="K157" s="1012"/>
      <c r="L157" s="1011"/>
      <c r="N157" s="1032" t="s">
        <v>1653</v>
      </c>
      <c r="O157" s="1031"/>
      <c r="P157" s="1030">
        <v>75</v>
      </c>
      <c r="Q157" s="1029">
        <v>0</v>
      </c>
      <c r="R157" s="1029">
        <v>80</v>
      </c>
      <c r="S157" s="1028">
        <v>0</v>
      </c>
      <c r="T157" s="1027" t="s">
        <v>842</v>
      </c>
      <c r="U157" s="1026">
        <v>0.23113988857099835</v>
      </c>
      <c r="V157" s="1018">
        <v>15.318</v>
      </c>
      <c r="W157" s="1018"/>
      <c r="X157" s="1018">
        <v>156</v>
      </c>
    </row>
    <row r="158" spans="1:24">
      <c r="A158" s="906">
        <v>157</v>
      </c>
      <c r="B158" s="906" t="s">
        <v>1652</v>
      </c>
      <c r="C158" s="906">
        <v>29189</v>
      </c>
      <c r="D158" s="906" t="s">
        <v>1256</v>
      </c>
      <c r="E158" s="906" t="s">
        <v>1258</v>
      </c>
      <c r="F158" s="1015"/>
      <c r="G158" s="1014"/>
      <c r="H158" s="1014"/>
      <c r="I158" s="1014"/>
      <c r="J158" s="1013"/>
      <c r="K158" s="1012"/>
      <c r="L158" s="1011"/>
      <c r="N158" s="1032" t="s">
        <v>1651</v>
      </c>
      <c r="O158" s="1031"/>
      <c r="P158" s="1030">
        <v>74</v>
      </c>
      <c r="Q158" s="1029">
        <v>42</v>
      </c>
      <c r="R158" s="1029">
        <v>77</v>
      </c>
      <c r="S158" s="1028">
        <v>40</v>
      </c>
      <c r="T158" s="1027">
        <v>29.494048140043763</v>
      </c>
      <c r="U158" s="1026">
        <v>0.47068206469725005</v>
      </c>
      <c r="V158" s="1018">
        <v>8.2959999999999994</v>
      </c>
      <c r="W158" s="1018"/>
      <c r="X158" s="1018">
        <v>157</v>
      </c>
    </row>
    <row r="159" spans="1:24">
      <c r="A159" s="906">
        <v>158</v>
      </c>
      <c r="B159" s="906" t="s">
        <v>1650</v>
      </c>
      <c r="C159" s="906">
        <v>29189</v>
      </c>
      <c r="D159" s="906" t="s">
        <v>1256</v>
      </c>
      <c r="E159" s="906" t="s">
        <v>1258</v>
      </c>
      <c r="F159" s="1015">
        <f t="shared" ref="F159:L159" si="72">O90</f>
        <v>0</v>
      </c>
      <c r="G159" s="1014">
        <f t="shared" si="72"/>
        <v>72.900000000000006</v>
      </c>
      <c r="H159" s="1014">
        <f t="shared" si="72"/>
        <v>40.200000000000003</v>
      </c>
      <c r="I159" s="1014">
        <f t="shared" si="72"/>
        <v>80.099999999999994</v>
      </c>
      <c r="J159" s="1013">
        <f t="shared" si="72"/>
        <v>49.7</v>
      </c>
      <c r="K159" s="1012">
        <f t="shared" si="72"/>
        <v>40.717182043157479</v>
      </c>
      <c r="L159" s="1011">
        <f t="shared" si="72"/>
        <v>0.21341618305097992</v>
      </c>
      <c r="N159" s="1032" t="s">
        <v>1649</v>
      </c>
      <c r="O159" s="1031"/>
      <c r="P159" s="1030">
        <v>69</v>
      </c>
      <c r="Q159" s="1029">
        <v>69</v>
      </c>
      <c r="R159" s="1029">
        <v>75</v>
      </c>
      <c r="S159" s="1028">
        <v>75</v>
      </c>
      <c r="T159" s="1027" t="s">
        <v>842</v>
      </c>
      <c r="U159" s="1026"/>
      <c r="V159" s="1018" t="s">
        <v>842</v>
      </c>
      <c r="W159" s="1018"/>
      <c r="X159" s="1018">
        <v>158</v>
      </c>
    </row>
    <row r="160" spans="1:24">
      <c r="A160" s="906">
        <v>159</v>
      </c>
      <c r="B160" s="906" t="s">
        <v>1648</v>
      </c>
      <c r="C160" s="906">
        <v>29188</v>
      </c>
      <c r="D160" s="906" t="s">
        <v>1256</v>
      </c>
      <c r="E160" s="906" t="s">
        <v>1259</v>
      </c>
      <c r="F160" s="1015"/>
      <c r="G160" s="1014"/>
      <c r="H160" s="1014"/>
      <c r="I160" s="1014"/>
      <c r="J160" s="1013"/>
      <c r="K160" s="1012"/>
      <c r="L160" s="1011"/>
      <c r="N160" s="1038" t="s">
        <v>1647</v>
      </c>
      <c r="O160" s="1037">
        <v>6.3045178780834099E-2</v>
      </c>
      <c r="P160" s="1036">
        <v>68</v>
      </c>
      <c r="Q160" s="1014">
        <v>39</v>
      </c>
      <c r="R160" s="1014">
        <v>70</v>
      </c>
      <c r="S160" s="1013">
        <v>37</v>
      </c>
      <c r="T160" s="1012">
        <v>34.619867704569735</v>
      </c>
      <c r="U160" s="1035">
        <v>0.18063503242656337</v>
      </c>
      <c r="V160" s="906">
        <v>55.843000000000004</v>
      </c>
      <c r="X160" s="906">
        <v>159</v>
      </c>
    </row>
    <row r="161" spans="1:24">
      <c r="A161" s="906">
        <v>160</v>
      </c>
      <c r="B161" s="906" t="s">
        <v>1646</v>
      </c>
      <c r="C161" s="906">
        <v>55133</v>
      </c>
      <c r="D161" s="906" t="s">
        <v>1257</v>
      </c>
      <c r="E161" s="906" t="s">
        <v>1258</v>
      </c>
      <c r="F161" s="1015">
        <f t="shared" ref="F161:L161" si="73">O92</f>
        <v>0</v>
      </c>
      <c r="G161" s="1014">
        <f t="shared" si="73"/>
        <v>67</v>
      </c>
      <c r="H161" s="1014">
        <f t="shared" si="73"/>
        <v>47</v>
      </c>
      <c r="I161" s="1014">
        <f t="shared" si="73"/>
        <v>71</v>
      </c>
      <c r="J161" s="1013">
        <f t="shared" si="73"/>
        <v>42</v>
      </c>
      <c r="K161" s="1012">
        <f t="shared" si="73"/>
        <v>32.374826091609592</v>
      </c>
      <c r="L161" s="1011">
        <f t="shared" si="73"/>
        <v>0.27105062099109822</v>
      </c>
      <c r="N161" s="1032" t="s">
        <v>1645</v>
      </c>
      <c r="O161" s="1031"/>
      <c r="P161" s="1030">
        <v>69</v>
      </c>
      <c r="Q161" s="1029">
        <v>42</v>
      </c>
      <c r="R161" s="1029">
        <v>79</v>
      </c>
      <c r="S161" s="1028">
        <v>40</v>
      </c>
      <c r="T161" s="1027">
        <v>31.922208718287816</v>
      </c>
      <c r="U161" s="1026">
        <v>0.25570625535959229</v>
      </c>
      <c r="V161" s="1018">
        <v>44.872800000000005</v>
      </c>
      <c r="W161" s="1018"/>
      <c r="X161" s="1018">
        <v>160</v>
      </c>
    </row>
    <row r="162" spans="1:24" ht="15.6">
      <c r="A162" s="906">
        <v>161</v>
      </c>
      <c r="B162" s="906" t="s">
        <v>1644</v>
      </c>
      <c r="C162" s="906">
        <v>29189</v>
      </c>
      <c r="D162" s="906" t="s">
        <v>1256</v>
      </c>
      <c r="E162" s="906" t="s">
        <v>1258</v>
      </c>
      <c r="F162" s="1015">
        <f t="shared" ref="F162:K162" si="74">O93</f>
        <v>0</v>
      </c>
      <c r="G162" s="1014">
        <f t="shared" si="74"/>
        <v>71</v>
      </c>
      <c r="H162" s="1014">
        <f t="shared" si="74"/>
        <v>41</v>
      </c>
      <c r="I162" s="1014">
        <f t="shared" si="74"/>
        <v>73</v>
      </c>
      <c r="J162" s="1013">
        <f t="shared" si="74"/>
        <v>38</v>
      </c>
      <c r="K162" s="1012" t="str">
        <f t="shared" si="74"/>
        <v/>
      </c>
      <c r="L162" s="1016">
        <v>0.22800028617798151</v>
      </c>
      <c r="N162" s="1032" t="s">
        <v>1643</v>
      </c>
      <c r="O162" s="1031">
        <v>6.5034355946966028E-3</v>
      </c>
      <c r="P162" s="1030">
        <v>67</v>
      </c>
      <c r="Q162" s="1029">
        <v>39</v>
      </c>
      <c r="R162" s="1029">
        <v>67</v>
      </c>
      <c r="S162" s="1028">
        <v>35</v>
      </c>
      <c r="T162" s="1027" t="s">
        <v>842</v>
      </c>
      <c r="U162" s="1026">
        <v>0.25355062440335874</v>
      </c>
      <c r="V162" s="1018">
        <v>76.629000000000005</v>
      </c>
      <c r="W162" s="1018"/>
      <c r="X162" s="1018">
        <v>161</v>
      </c>
    </row>
    <row r="163" spans="1:24" ht="15.6">
      <c r="A163" s="906">
        <v>162</v>
      </c>
      <c r="B163" s="906" t="s">
        <v>1642</v>
      </c>
      <c r="C163" s="906">
        <v>64502</v>
      </c>
      <c r="D163" s="906" t="s">
        <v>1256</v>
      </c>
      <c r="E163" s="906" t="s">
        <v>1259</v>
      </c>
      <c r="F163" s="1015">
        <f t="shared" ref="F163:K166" si="75">O95</f>
        <v>0</v>
      </c>
      <c r="G163" s="1014">
        <f t="shared" si="75"/>
        <v>75</v>
      </c>
      <c r="H163" s="1014">
        <f t="shared" si="75"/>
        <v>0</v>
      </c>
      <c r="I163" s="1014">
        <f t="shared" si="75"/>
        <v>90</v>
      </c>
      <c r="J163" s="1013">
        <f t="shared" si="75"/>
        <v>0</v>
      </c>
      <c r="K163" s="1012" t="str">
        <f t="shared" si="75"/>
        <v/>
      </c>
      <c r="L163" s="1016">
        <v>0.22800028617798151</v>
      </c>
      <c r="N163" s="1032" t="s">
        <v>1641</v>
      </c>
      <c r="O163" s="1031"/>
      <c r="P163" s="1030">
        <v>75</v>
      </c>
      <c r="Q163" s="1029">
        <v>45</v>
      </c>
      <c r="R163" s="1029">
        <v>85</v>
      </c>
      <c r="S163" s="1028">
        <v>48</v>
      </c>
      <c r="T163" s="1027"/>
      <c r="U163" s="1026">
        <v>0.18813899613899615</v>
      </c>
      <c r="V163" s="1018">
        <v>105.136</v>
      </c>
      <c r="W163" s="1018"/>
      <c r="X163" s="1018">
        <v>162</v>
      </c>
    </row>
    <row r="164" spans="1:24" ht="15.6">
      <c r="A164" s="906">
        <v>163</v>
      </c>
      <c r="B164" s="906" t="s">
        <v>1640</v>
      </c>
      <c r="C164" s="906">
        <v>29189</v>
      </c>
      <c r="D164" s="906" t="s">
        <v>1257</v>
      </c>
      <c r="E164" s="906" t="s">
        <v>1258</v>
      </c>
      <c r="F164" s="1015">
        <f t="shared" si="75"/>
        <v>0</v>
      </c>
      <c r="G164" s="1014">
        <f t="shared" si="75"/>
        <v>66</v>
      </c>
      <c r="H164" s="1014">
        <f t="shared" si="75"/>
        <v>38</v>
      </c>
      <c r="I164" s="1014">
        <f t="shared" si="75"/>
        <v>80</v>
      </c>
      <c r="J164" s="1013">
        <f t="shared" si="75"/>
        <v>36</v>
      </c>
      <c r="K164" s="1012" t="str">
        <f t="shared" si="75"/>
        <v/>
      </c>
      <c r="L164" s="1016">
        <v>0.17374718282373314</v>
      </c>
      <c r="N164" s="1032" t="s">
        <v>1639</v>
      </c>
      <c r="O164" s="1031"/>
      <c r="P164" s="1030">
        <v>84</v>
      </c>
      <c r="Q164" s="1029">
        <v>40</v>
      </c>
      <c r="R164" s="1029">
        <v>82</v>
      </c>
      <c r="S164" s="1028">
        <v>36</v>
      </c>
      <c r="T164" s="1027" t="s">
        <v>842</v>
      </c>
      <c r="U164" s="1026">
        <v>0.34889287851585876</v>
      </c>
      <c r="V164" s="1018">
        <v>2.1760000000000002</v>
      </c>
      <c r="W164" s="1018"/>
      <c r="X164" s="1018">
        <v>163</v>
      </c>
    </row>
    <row r="165" spans="1:24" ht="15.6">
      <c r="A165" s="906">
        <v>164</v>
      </c>
      <c r="B165" s="906" t="s">
        <v>1638</v>
      </c>
      <c r="C165" s="906">
        <v>29189</v>
      </c>
      <c r="D165" s="906" t="s">
        <v>1256</v>
      </c>
      <c r="E165" s="906" t="s">
        <v>1258</v>
      </c>
      <c r="F165" s="1015">
        <f t="shared" si="75"/>
        <v>0</v>
      </c>
      <c r="G165" s="1014">
        <f t="shared" si="75"/>
        <v>67</v>
      </c>
      <c r="H165" s="1014">
        <f t="shared" si="75"/>
        <v>48</v>
      </c>
      <c r="I165" s="1014">
        <f t="shared" si="75"/>
        <v>69</v>
      </c>
      <c r="J165" s="1013">
        <f t="shared" si="75"/>
        <v>42</v>
      </c>
      <c r="K165" s="1012">
        <f t="shared" si="75"/>
        <v>24.980858148348673</v>
      </c>
      <c r="L165" s="1041">
        <f>U97</f>
        <v>0.1265196059700936</v>
      </c>
      <c r="N165" s="1032" t="s">
        <v>1442</v>
      </c>
      <c r="O165" s="1031"/>
      <c r="P165" s="1030">
        <v>76</v>
      </c>
      <c r="Q165" s="1029">
        <v>48</v>
      </c>
      <c r="R165" s="1029">
        <v>77</v>
      </c>
      <c r="S165" s="1028">
        <v>46</v>
      </c>
      <c r="T165" s="1027">
        <v>30.891617926391213</v>
      </c>
      <c r="U165" s="1026">
        <v>0.19897859012715033</v>
      </c>
      <c r="V165" s="1018">
        <v>342.709</v>
      </c>
      <c r="W165" s="1018"/>
      <c r="X165" s="1018">
        <v>164</v>
      </c>
    </row>
    <row r="166" spans="1:24">
      <c r="A166" s="906">
        <v>165</v>
      </c>
      <c r="B166" s="906" t="s">
        <v>1637</v>
      </c>
      <c r="C166" s="906">
        <v>29189</v>
      </c>
      <c r="D166" s="906" t="s">
        <v>1256</v>
      </c>
      <c r="E166" s="906" t="s">
        <v>1258</v>
      </c>
      <c r="F166" s="1015">
        <f t="shared" si="75"/>
        <v>3.4891220672580145E-2</v>
      </c>
      <c r="G166" s="1014">
        <f t="shared" si="75"/>
        <v>69</v>
      </c>
      <c r="H166" s="1014">
        <f t="shared" si="75"/>
        <v>39</v>
      </c>
      <c r="I166" s="1014">
        <f t="shared" si="75"/>
        <v>70</v>
      </c>
      <c r="J166" s="1013">
        <f t="shared" si="75"/>
        <v>35</v>
      </c>
      <c r="K166" s="1012">
        <f t="shared" si="75"/>
        <v>30.593606605570255</v>
      </c>
      <c r="L166" s="1011">
        <f>U98</f>
        <v>0.27331848232250644</v>
      </c>
      <c r="N166" s="1038" t="s">
        <v>1636</v>
      </c>
      <c r="O166" s="1037"/>
      <c r="P166" s="1036">
        <v>69</v>
      </c>
      <c r="Q166" s="1014">
        <v>44</v>
      </c>
      <c r="R166" s="1014">
        <v>69</v>
      </c>
      <c r="S166" s="1013">
        <v>40</v>
      </c>
      <c r="T166" s="1012">
        <v>27.059326758843259</v>
      </c>
      <c r="U166" s="1035">
        <v>0.17438589911869493</v>
      </c>
      <c r="V166" s="906">
        <v>8.8059999999999992</v>
      </c>
      <c r="X166" s="906">
        <v>165</v>
      </c>
    </row>
    <row r="167" spans="1:24">
      <c r="A167" s="906">
        <v>166</v>
      </c>
      <c r="B167" s="906" t="s">
        <v>1635</v>
      </c>
      <c r="C167" s="906">
        <v>29188</v>
      </c>
      <c r="D167" s="906" t="s">
        <v>1256</v>
      </c>
      <c r="E167" s="906" t="s">
        <v>1259</v>
      </c>
      <c r="F167" s="1015"/>
      <c r="G167" s="1014"/>
      <c r="H167" s="1014"/>
      <c r="I167" s="1014"/>
      <c r="J167" s="1013"/>
      <c r="K167" s="1012"/>
      <c r="L167" s="1011"/>
      <c r="N167" s="1038" t="s">
        <v>1634</v>
      </c>
      <c r="O167" s="1037"/>
      <c r="P167" s="1036">
        <v>73</v>
      </c>
      <c r="Q167" s="1014">
        <v>47</v>
      </c>
      <c r="R167" s="1014">
        <v>75</v>
      </c>
      <c r="S167" s="1013">
        <v>44</v>
      </c>
      <c r="T167" s="1012">
        <v>29.46588670296757</v>
      </c>
      <c r="U167" s="1035">
        <v>0.21280308596620132</v>
      </c>
      <c r="V167" s="906">
        <v>119.994</v>
      </c>
      <c r="X167" s="906">
        <v>166</v>
      </c>
    </row>
    <row r="168" spans="1:24">
      <c r="A168" s="906">
        <v>167</v>
      </c>
      <c r="B168" s="906" t="s">
        <v>1633</v>
      </c>
      <c r="C168" s="906">
        <v>32264</v>
      </c>
      <c r="D168" s="906" t="s">
        <v>1256</v>
      </c>
      <c r="E168" s="906" t="s">
        <v>1258</v>
      </c>
      <c r="F168" s="1015"/>
      <c r="G168" s="1014"/>
      <c r="H168" s="1014"/>
      <c r="I168" s="1014"/>
      <c r="J168" s="1013"/>
      <c r="K168" s="1012"/>
      <c r="L168" s="1011"/>
      <c r="N168" s="1032" t="s">
        <v>1632</v>
      </c>
      <c r="O168" s="1031"/>
      <c r="P168" s="1030">
        <v>66</v>
      </c>
      <c r="Q168" s="1029">
        <v>0</v>
      </c>
      <c r="R168" s="1029">
        <v>72</v>
      </c>
      <c r="S168" s="1028">
        <v>0</v>
      </c>
      <c r="T168" s="1027" t="s">
        <v>842</v>
      </c>
      <c r="U168" s="1026">
        <v>0.22408497568466854</v>
      </c>
      <c r="V168" s="1018">
        <v>42.441000000000003</v>
      </c>
      <c r="W168" s="1018"/>
      <c r="X168" s="1018">
        <v>167</v>
      </c>
    </row>
    <row r="169" spans="1:24">
      <c r="A169" s="906">
        <v>168</v>
      </c>
      <c r="B169" s="906" t="s">
        <v>1631</v>
      </c>
      <c r="C169" s="906">
        <v>29188</v>
      </c>
      <c r="D169" s="906" t="s">
        <v>1256</v>
      </c>
      <c r="E169" s="906" t="s">
        <v>1259</v>
      </c>
      <c r="F169" s="1015"/>
      <c r="G169" s="1014"/>
      <c r="H169" s="1014"/>
      <c r="I169" s="1014"/>
      <c r="J169" s="1013"/>
      <c r="K169" s="1012"/>
      <c r="L169" s="1011"/>
      <c r="N169" s="1032" t="s">
        <v>1630</v>
      </c>
      <c r="O169" s="1031"/>
      <c r="P169" s="1030">
        <v>70</v>
      </c>
      <c r="Q169" s="1029">
        <v>38</v>
      </c>
      <c r="R169" s="1029">
        <v>75</v>
      </c>
      <c r="S169" s="1028">
        <v>38</v>
      </c>
      <c r="T169" s="1027" t="s">
        <v>842</v>
      </c>
      <c r="U169" s="1026">
        <v>0.31825006729629263</v>
      </c>
      <c r="V169" s="1018">
        <v>5.9517110000000004</v>
      </c>
      <c r="W169" s="1018"/>
      <c r="X169" s="1018">
        <v>168</v>
      </c>
    </row>
    <row r="170" spans="1:24">
      <c r="A170" s="906">
        <v>169</v>
      </c>
      <c r="B170" s="906" t="s">
        <v>1629</v>
      </c>
      <c r="C170" s="906">
        <v>29189</v>
      </c>
      <c r="D170" s="906" t="s">
        <v>1256</v>
      </c>
      <c r="E170" s="906" t="s">
        <v>1258</v>
      </c>
      <c r="F170" s="1015">
        <f t="shared" ref="F170:L170" si="76">O99</f>
        <v>0</v>
      </c>
      <c r="G170" s="1014">
        <f t="shared" si="76"/>
        <v>70</v>
      </c>
      <c r="H170" s="1014">
        <f t="shared" si="76"/>
        <v>42</v>
      </c>
      <c r="I170" s="1014">
        <f t="shared" si="76"/>
        <v>70</v>
      </c>
      <c r="J170" s="1013">
        <f t="shared" si="76"/>
        <v>38</v>
      </c>
      <c r="K170" s="1012" t="str">
        <f t="shared" si="76"/>
        <v/>
      </c>
      <c r="L170" s="1011">
        <f t="shared" si="76"/>
        <v>0.23610619469026548</v>
      </c>
      <c r="N170" s="1032" t="s">
        <v>1628</v>
      </c>
      <c r="O170" s="1031"/>
      <c r="P170" s="1030">
        <v>70</v>
      </c>
      <c r="Q170" s="1029">
        <v>40</v>
      </c>
      <c r="R170" s="1029">
        <v>70</v>
      </c>
      <c r="S170" s="1028">
        <v>40</v>
      </c>
      <c r="T170" s="1027" t="s">
        <v>842</v>
      </c>
      <c r="U170" s="1026">
        <v>0.27653055540081334</v>
      </c>
      <c r="V170" s="1018">
        <v>12.987</v>
      </c>
      <c r="W170" s="1018"/>
      <c r="X170" s="1018">
        <v>169</v>
      </c>
    </row>
    <row r="171" spans="1:24">
      <c r="A171" s="906">
        <v>170</v>
      </c>
      <c r="B171" s="906" t="s">
        <v>1627</v>
      </c>
      <c r="C171" s="906">
        <v>29188</v>
      </c>
      <c r="D171" s="906" t="s">
        <v>1256</v>
      </c>
      <c r="E171" s="906" t="s">
        <v>1259</v>
      </c>
      <c r="F171" s="1015">
        <f t="shared" ref="F171:L171" si="77">O101</f>
        <v>0</v>
      </c>
      <c r="G171" s="1014">
        <f t="shared" si="77"/>
        <v>72</v>
      </c>
      <c r="H171" s="1014">
        <f t="shared" si="77"/>
        <v>45</v>
      </c>
      <c r="I171" s="1014">
        <f t="shared" si="77"/>
        <v>80</v>
      </c>
      <c r="J171" s="1013">
        <f t="shared" si="77"/>
        <v>42</v>
      </c>
      <c r="K171" s="1012">
        <f t="shared" si="77"/>
        <v>0</v>
      </c>
      <c r="L171" s="1011">
        <f t="shared" si="77"/>
        <v>0.28730906781643772</v>
      </c>
      <c r="N171" s="1032" t="s">
        <v>1626</v>
      </c>
      <c r="O171" s="1031"/>
      <c r="P171" s="1034">
        <v>68</v>
      </c>
      <c r="Q171" s="1018">
        <v>43</v>
      </c>
      <c r="R171" s="1018">
        <v>72</v>
      </c>
      <c r="S171" s="1033">
        <v>39</v>
      </c>
      <c r="T171" s="1027" t="s">
        <v>842</v>
      </c>
      <c r="U171" s="1026">
        <v>0.4113171659533999</v>
      </c>
      <c r="V171" s="1018">
        <v>3.714</v>
      </c>
      <c r="W171" s="1018"/>
      <c r="X171" s="1018">
        <v>170</v>
      </c>
    </row>
    <row r="172" spans="1:24">
      <c r="A172" s="906">
        <v>171</v>
      </c>
      <c r="B172" s="906" t="s">
        <v>1625</v>
      </c>
      <c r="C172" s="906">
        <v>29189</v>
      </c>
      <c r="D172" s="906" t="s">
        <v>1256</v>
      </c>
      <c r="E172" s="906" t="s">
        <v>1258</v>
      </c>
      <c r="F172" s="1015"/>
      <c r="G172" s="1014"/>
      <c r="H172" s="1014"/>
      <c r="I172" s="1014"/>
      <c r="J172" s="1013"/>
      <c r="K172" s="1012"/>
      <c r="L172" s="1011"/>
      <c r="N172" s="1032" t="s">
        <v>1624</v>
      </c>
      <c r="O172" s="1031">
        <v>4.1460488828909882E-2</v>
      </c>
      <c r="P172" s="1030">
        <v>75</v>
      </c>
      <c r="Q172" s="1029">
        <v>52</v>
      </c>
      <c r="R172" s="1029">
        <v>80</v>
      </c>
      <c r="S172" s="1028">
        <v>45</v>
      </c>
      <c r="T172" s="1027">
        <v>33.037664698547196</v>
      </c>
      <c r="U172" s="1026">
        <v>0.28146265154477906</v>
      </c>
      <c r="V172" s="1018">
        <v>18.373000000000001</v>
      </c>
      <c r="W172" s="1018"/>
      <c r="X172" s="1018">
        <v>171</v>
      </c>
    </row>
    <row r="173" spans="1:24">
      <c r="A173" s="906">
        <v>172</v>
      </c>
      <c r="B173" s="906" t="s">
        <v>1623</v>
      </c>
      <c r="C173" s="906">
        <v>29189</v>
      </c>
      <c r="D173" s="906" t="s">
        <v>1256</v>
      </c>
      <c r="E173" s="906" t="s">
        <v>1258</v>
      </c>
      <c r="F173" s="1015">
        <f t="shared" ref="F173:L175" si="78">O102</f>
        <v>0</v>
      </c>
      <c r="G173" s="1014">
        <f t="shared" si="78"/>
        <v>74.3</v>
      </c>
      <c r="H173" s="1014">
        <f t="shared" si="78"/>
        <v>37.5</v>
      </c>
      <c r="I173" s="1014">
        <f t="shared" si="78"/>
        <v>75.5</v>
      </c>
      <c r="J173" s="1013">
        <f t="shared" si="78"/>
        <v>34.5</v>
      </c>
      <c r="K173" s="1012" t="str">
        <f t="shared" si="78"/>
        <v/>
      </c>
      <c r="L173" s="1011">
        <f t="shared" si="78"/>
        <v>0.26546329054096318</v>
      </c>
      <c r="N173" s="1032" t="s">
        <v>1622</v>
      </c>
      <c r="O173" s="1031"/>
      <c r="P173" s="1030">
        <v>78</v>
      </c>
      <c r="Q173" s="1029">
        <v>49</v>
      </c>
      <c r="R173" s="1029">
        <v>86</v>
      </c>
      <c r="S173" s="1028">
        <v>46</v>
      </c>
      <c r="T173" s="1027">
        <v>28.562707285434296</v>
      </c>
      <c r="U173" s="1026">
        <v>0.23777803861728974</v>
      </c>
      <c r="V173" s="1018">
        <v>25.975000000000001</v>
      </c>
      <c r="W173" s="1018"/>
      <c r="X173" s="1018">
        <v>172</v>
      </c>
    </row>
    <row r="174" spans="1:24">
      <c r="A174" s="906">
        <v>173</v>
      </c>
      <c r="B174" s="906" t="s">
        <v>1621</v>
      </c>
      <c r="C174" s="906">
        <v>29189</v>
      </c>
      <c r="D174" s="906" t="s">
        <v>1256</v>
      </c>
      <c r="E174" s="906" t="s">
        <v>1258</v>
      </c>
      <c r="F174" s="1015">
        <f t="shared" si="78"/>
        <v>4.198931344086293E-2</v>
      </c>
      <c r="G174" s="1014">
        <f t="shared" si="78"/>
        <v>70</v>
      </c>
      <c r="H174" s="1014">
        <f t="shared" si="78"/>
        <v>40</v>
      </c>
      <c r="I174" s="1014">
        <f t="shared" si="78"/>
        <v>80</v>
      </c>
      <c r="J174" s="1013">
        <f t="shared" si="78"/>
        <v>39</v>
      </c>
      <c r="K174" s="1012">
        <f t="shared" si="78"/>
        <v>31.889129498295652</v>
      </c>
      <c r="L174" s="1011">
        <f t="shared" si="78"/>
        <v>0.31770808967621539</v>
      </c>
      <c r="N174" s="1032" t="s">
        <v>1433</v>
      </c>
      <c r="O174" s="1031"/>
      <c r="P174" s="1030">
        <v>77</v>
      </c>
      <c r="Q174" s="1029">
        <v>39</v>
      </c>
      <c r="R174" s="1029">
        <v>77</v>
      </c>
      <c r="S174" s="1028">
        <v>39</v>
      </c>
      <c r="T174" s="1027">
        <v>37.862868754626078</v>
      </c>
      <c r="U174" s="1026">
        <v>4.7737212692701383E-2</v>
      </c>
      <c r="V174" s="1018">
        <v>30.7</v>
      </c>
      <c r="W174" s="1018"/>
      <c r="X174" s="1018">
        <v>173</v>
      </c>
    </row>
    <row r="175" spans="1:24">
      <c r="A175" s="906">
        <v>174</v>
      </c>
      <c r="B175" s="906" t="s">
        <v>1619</v>
      </c>
      <c r="C175" s="906">
        <v>29189</v>
      </c>
      <c r="D175" s="906" t="s">
        <v>1257</v>
      </c>
      <c r="E175" s="906" t="s">
        <v>1259</v>
      </c>
      <c r="F175" s="1015">
        <f t="shared" si="78"/>
        <v>0</v>
      </c>
      <c r="G175" s="1014">
        <f t="shared" si="78"/>
        <v>74</v>
      </c>
      <c r="H175" s="1014">
        <f t="shared" si="78"/>
        <v>48</v>
      </c>
      <c r="I175" s="1014">
        <f t="shared" si="78"/>
        <v>88</v>
      </c>
      <c r="J175" s="1013">
        <f t="shared" si="78"/>
        <v>42</v>
      </c>
      <c r="K175" s="1012">
        <f t="shared" si="78"/>
        <v>31.018432008135505</v>
      </c>
      <c r="L175" s="1011">
        <f t="shared" si="78"/>
        <v>0.3725274241155998</v>
      </c>
      <c r="N175" s="1032" t="s">
        <v>1620</v>
      </c>
      <c r="O175" s="1031"/>
      <c r="P175" s="1030">
        <v>65</v>
      </c>
      <c r="Q175" s="1029">
        <v>41</v>
      </c>
      <c r="R175" s="1029">
        <v>75</v>
      </c>
      <c r="S175" s="1028">
        <v>32</v>
      </c>
      <c r="T175" s="1027" t="s">
        <v>842</v>
      </c>
      <c r="U175" s="1026">
        <v>0.25466067349495247</v>
      </c>
      <c r="V175" s="1018">
        <v>10.115</v>
      </c>
      <c r="W175" s="1018"/>
      <c r="X175" s="1018">
        <v>174</v>
      </c>
    </row>
    <row r="176" spans="1:24">
      <c r="A176" s="906">
        <v>175</v>
      </c>
      <c r="B176" s="906" t="s">
        <v>1619</v>
      </c>
      <c r="C176" s="906">
        <v>29189</v>
      </c>
      <c r="D176" s="906" t="s">
        <v>1256</v>
      </c>
      <c r="E176" s="906" t="s">
        <v>1259</v>
      </c>
      <c r="F176" s="1015">
        <f t="shared" ref="F176:L176" si="79">F175</f>
        <v>0</v>
      </c>
      <c r="G176" s="1014">
        <f t="shared" si="79"/>
        <v>74</v>
      </c>
      <c r="H176" s="1014">
        <f t="shared" si="79"/>
        <v>48</v>
      </c>
      <c r="I176" s="1014">
        <f t="shared" si="79"/>
        <v>88</v>
      </c>
      <c r="J176" s="1013">
        <f t="shared" si="79"/>
        <v>42</v>
      </c>
      <c r="K176" s="1012">
        <f t="shared" si="79"/>
        <v>31.018432008135505</v>
      </c>
      <c r="L176" s="1011">
        <f t="shared" si="79"/>
        <v>0.3725274241155998</v>
      </c>
      <c r="N176" s="1032" t="s">
        <v>1618</v>
      </c>
      <c r="O176" s="1031"/>
      <c r="P176" s="1030">
        <v>70.2</v>
      </c>
      <c r="Q176" s="1029">
        <v>47.3</v>
      </c>
      <c r="R176" s="1029">
        <v>75.900000000000006</v>
      </c>
      <c r="S176" s="1028">
        <v>46.7</v>
      </c>
      <c r="T176" s="1027">
        <v>26.803716840015852</v>
      </c>
      <c r="U176" s="1026">
        <v>7.0796840732193278E-2</v>
      </c>
      <c r="V176" s="1018">
        <v>129.648</v>
      </c>
      <c r="W176" s="1018"/>
      <c r="X176" s="1018">
        <v>175</v>
      </c>
    </row>
    <row r="177" spans="1:24">
      <c r="A177" s="906">
        <v>176</v>
      </c>
      <c r="B177" s="906" t="s">
        <v>1616</v>
      </c>
      <c r="C177" s="906">
        <v>55606</v>
      </c>
      <c r="D177" s="906" t="s">
        <v>1257</v>
      </c>
      <c r="E177" s="906" t="s">
        <v>1259</v>
      </c>
      <c r="F177" s="1015">
        <f t="shared" ref="F177:L177" si="80">O105</f>
        <v>0</v>
      </c>
      <c r="G177" s="1014">
        <f t="shared" si="80"/>
        <v>80</v>
      </c>
      <c r="H177" s="1014">
        <f t="shared" si="80"/>
        <v>45</v>
      </c>
      <c r="I177" s="1014">
        <f t="shared" si="80"/>
        <v>85</v>
      </c>
      <c r="J177" s="1013">
        <f t="shared" si="80"/>
        <v>45</v>
      </c>
      <c r="K177" s="1012" t="str">
        <f t="shared" si="80"/>
        <v/>
      </c>
      <c r="L177" s="1011">
        <f t="shared" si="80"/>
        <v>0.10795193210896252</v>
      </c>
      <c r="N177" s="1032" t="s">
        <v>1617</v>
      </c>
      <c r="O177" s="1031"/>
      <c r="P177" s="1030">
        <v>73</v>
      </c>
      <c r="Q177" s="1029">
        <v>46</v>
      </c>
      <c r="R177" s="1029">
        <v>78</v>
      </c>
      <c r="S177" s="1028">
        <v>46</v>
      </c>
      <c r="T177" s="1027" t="s">
        <v>842</v>
      </c>
      <c r="U177" s="1026">
        <v>0.27856629710890629</v>
      </c>
      <c r="V177" s="1018">
        <v>37.155999999999999</v>
      </c>
      <c r="W177" s="1018"/>
      <c r="X177" s="1018">
        <v>176</v>
      </c>
    </row>
    <row r="178" spans="1:24">
      <c r="A178" s="906">
        <v>177</v>
      </c>
      <c r="B178" s="906" t="s">
        <v>1616</v>
      </c>
      <c r="C178" s="906">
        <v>55606</v>
      </c>
      <c r="D178" s="906" t="s">
        <v>1256</v>
      </c>
      <c r="E178" s="906" t="s">
        <v>1259</v>
      </c>
      <c r="F178" s="1015">
        <f t="shared" ref="F178:L178" si="81">F177</f>
        <v>0</v>
      </c>
      <c r="G178" s="1014">
        <f t="shared" si="81"/>
        <v>80</v>
      </c>
      <c r="H178" s="1014">
        <f t="shared" si="81"/>
        <v>45</v>
      </c>
      <c r="I178" s="1014">
        <f t="shared" si="81"/>
        <v>85</v>
      </c>
      <c r="J178" s="1013">
        <f t="shared" si="81"/>
        <v>45</v>
      </c>
      <c r="K178" s="1012" t="str">
        <f t="shared" si="81"/>
        <v/>
      </c>
      <c r="L178" s="1011">
        <f t="shared" si="81"/>
        <v>0.10795193210896252</v>
      </c>
      <c r="N178" s="1032" t="s">
        <v>1615</v>
      </c>
      <c r="O178" s="1031"/>
      <c r="P178" s="1030">
        <v>72</v>
      </c>
      <c r="Q178" s="1029">
        <v>35</v>
      </c>
      <c r="R178" s="1029">
        <v>75</v>
      </c>
      <c r="S178" s="1028">
        <v>35</v>
      </c>
      <c r="T178" s="1027">
        <v>33.511714440642471</v>
      </c>
      <c r="U178" s="1026">
        <v>0.22924664107485604</v>
      </c>
      <c r="V178" s="1018">
        <v>6.4249999999999998</v>
      </c>
      <c r="W178" s="1018"/>
      <c r="X178" s="1018">
        <v>177</v>
      </c>
    </row>
    <row r="179" spans="1:24">
      <c r="A179" s="906">
        <v>178</v>
      </c>
      <c r="B179" s="906" t="s">
        <v>1614</v>
      </c>
      <c r="C179" s="906">
        <v>29189</v>
      </c>
      <c r="D179" s="906" t="s">
        <v>1256</v>
      </c>
      <c r="E179" s="906" t="s">
        <v>1259</v>
      </c>
      <c r="F179" s="1015"/>
      <c r="G179" s="1014"/>
      <c r="H179" s="1014"/>
      <c r="I179" s="1014"/>
      <c r="J179" s="1013"/>
      <c r="K179" s="1012"/>
      <c r="L179" s="1011"/>
      <c r="N179" s="1032" t="s">
        <v>1613</v>
      </c>
      <c r="O179" s="1031">
        <v>3.628439117406701E-2</v>
      </c>
      <c r="P179" s="1030">
        <v>65</v>
      </c>
      <c r="Q179" s="1029">
        <v>40</v>
      </c>
      <c r="R179" s="1029">
        <v>68</v>
      </c>
      <c r="S179" s="1028">
        <v>34</v>
      </c>
      <c r="T179" s="1027">
        <v>32.310391334359899</v>
      </c>
      <c r="U179" s="1026">
        <v>0.25445191927186389</v>
      </c>
      <c r="V179" s="1018">
        <v>13.188000000000001</v>
      </c>
      <c r="W179" s="1018"/>
      <c r="X179" s="1018">
        <v>178</v>
      </c>
    </row>
    <row r="180" spans="1:24">
      <c r="A180" s="906">
        <v>179</v>
      </c>
      <c r="B180" s="906" t="s">
        <v>1611</v>
      </c>
      <c r="C180" s="906">
        <v>19501</v>
      </c>
      <c r="D180" s="906" t="s">
        <v>1257</v>
      </c>
      <c r="E180" s="906" t="s">
        <v>1259</v>
      </c>
      <c r="F180" s="1015">
        <f t="shared" ref="F180:L180" si="82">O106</f>
        <v>0</v>
      </c>
      <c r="G180" s="1014">
        <f t="shared" si="82"/>
        <v>74</v>
      </c>
      <c r="H180" s="1014">
        <f t="shared" si="82"/>
        <v>52</v>
      </c>
      <c r="I180" s="1014">
        <f t="shared" si="82"/>
        <v>82</v>
      </c>
      <c r="J180" s="1013">
        <f t="shared" si="82"/>
        <v>48</v>
      </c>
      <c r="K180" s="1012" t="str">
        <f t="shared" si="82"/>
        <v/>
      </c>
      <c r="L180" s="1011">
        <f t="shared" si="82"/>
        <v>0.1757134564395425</v>
      </c>
      <c r="N180" s="1038" t="s">
        <v>1612</v>
      </c>
      <c r="O180" s="1037"/>
      <c r="P180" s="1036">
        <v>65</v>
      </c>
      <c r="Q180" s="1014">
        <v>0</v>
      </c>
      <c r="R180" s="1014">
        <v>70</v>
      </c>
      <c r="S180" s="1013">
        <v>0</v>
      </c>
      <c r="T180" s="1012" t="s">
        <v>842</v>
      </c>
      <c r="U180" s="1035"/>
      <c r="V180" s="906" t="s">
        <v>842</v>
      </c>
      <c r="X180" s="906">
        <v>179</v>
      </c>
    </row>
    <row r="181" spans="1:24">
      <c r="A181" s="906">
        <v>180</v>
      </c>
      <c r="B181" s="906" t="s">
        <v>1611</v>
      </c>
      <c r="C181" s="906">
        <v>19501</v>
      </c>
      <c r="D181" s="906" t="s">
        <v>1256</v>
      </c>
      <c r="E181" s="906" t="s">
        <v>1259</v>
      </c>
      <c r="F181" s="1015">
        <f t="shared" ref="F181:L181" si="83">F180</f>
        <v>0</v>
      </c>
      <c r="G181" s="1014">
        <f t="shared" si="83"/>
        <v>74</v>
      </c>
      <c r="H181" s="1014">
        <f t="shared" si="83"/>
        <v>52</v>
      </c>
      <c r="I181" s="1014">
        <f t="shared" si="83"/>
        <v>82</v>
      </c>
      <c r="J181" s="1013">
        <f t="shared" si="83"/>
        <v>48</v>
      </c>
      <c r="K181" s="1012" t="str">
        <f t="shared" si="83"/>
        <v/>
      </c>
      <c r="L181" s="1011">
        <f t="shared" si="83"/>
        <v>0.1757134564395425</v>
      </c>
      <c r="N181" s="1032" t="s">
        <v>1421</v>
      </c>
      <c r="O181" s="1031"/>
      <c r="P181" s="1030">
        <v>68</v>
      </c>
      <c r="Q181" s="1029">
        <v>36</v>
      </c>
      <c r="R181" s="1029">
        <v>70</v>
      </c>
      <c r="S181" s="1028">
        <v>33</v>
      </c>
      <c r="T181" s="1027"/>
      <c r="U181" s="1026">
        <v>0.26015151515151513</v>
      </c>
      <c r="V181" s="1018">
        <v>4.883</v>
      </c>
      <c r="W181" s="1018"/>
      <c r="X181" s="1018">
        <v>180</v>
      </c>
    </row>
    <row r="182" spans="1:24">
      <c r="A182" s="906">
        <v>181</v>
      </c>
      <c r="B182" s="906" t="s">
        <v>1610</v>
      </c>
      <c r="C182" s="906">
        <v>29189</v>
      </c>
      <c r="D182" s="906" t="s">
        <v>1256</v>
      </c>
      <c r="E182" s="906" t="s">
        <v>1258</v>
      </c>
      <c r="F182" s="1015"/>
      <c r="G182" s="1014"/>
      <c r="H182" s="1014"/>
      <c r="I182" s="1014"/>
      <c r="J182" s="1013"/>
      <c r="K182" s="1012"/>
      <c r="L182" s="1011"/>
      <c r="N182" s="1032" t="s">
        <v>1609</v>
      </c>
      <c r="O182" s="1031"/>
      <c r="P182" s="1030">
        <v>66.099999999999994</v>
      </c>
      <c r="Q182" s="1029">
        <v>44</v>
      </c>
      <c r="R182" s="1029">
        <v>69</v>
      </c>
      <c r="S182" s="1028">
        <v>39.5</v>
      </c>
      <c r="T182" s="1027">
        <v>27.789915231702551</v>
      </c>
      <c r="U182" s="1026">
        <v>0.17671806501226486</v>
      </c>
      <c r="V182" s="1018">
        <v>293.33699999999999</v>
      </c>
      <c r="W182" s="1018"/>
      <c r="X182" s="1018">
        <v>181</v>
      </c>
    </row>
    <row r="183" spans="1:24">
      <c r="A183" s="906">
        <v>182</v>
      </c>
      <c r="B183" s="906" t="s">
        <v>1608</v>
      </c>
      <c r="C183" s="906">
        <v>29189</v>
      </c>
      <c r="D183" s="906" t="s">
        <v>1256</v>
      </c>
      <c r="E183" s="906" t="s">
        <v>1259</v>
      </c>
      <c r="F183" s="1015">
        <f t="shared" ref="F183:L183" si="84">O107</f>
        <v>1.6020721412125863E-2</v>
      </c>
      <c r="G183" s="1014">
        <f t="shared" si="84"/>
        <v>75</v>
      </c>
      <c r="H183" s="1014">
        <f t="shared" si="84"/>
        <v>41</v>
      </c>
      <c r="I183" s="1014">
        <f t="shared" si="84"/>
        <v>76</v>
      </c>
      <c r="J183" s="1013">
        <f t="shared" si="84"/>
        <v>36</v>
      </c>
      <c r="K183" s="1012">
        <f t="shared" si="84"/>
        <v>38.430332926347113</v>
      </c>
      <c r="L183" s="1011">
        <f t="shared" si="84"/>
        <v>0.28141756848981181</v>
      </c>
      <c r="N183" s="1032" t="s">
        <v>1607</v>
      </c>
      <c r="O183" s="1031">
        <v>3.3328752061572292E-3</v>
      </c>
      <c r="P183" s="1030">
        <v>68</v>
      </c>
      <c r="Q183" s="1029">
        <v>34</v>
      </c>
      <c r="R183" s="1029">
        <v>68</v>
      </c>
      <c r="S183" s="1028">
        <v>32</v>
      </c>
      <c r="T183" s="1027">
        <v>37.040916326142735</v>
      </c>
      <c r="U183" s="1026">
        <v>0.25273209914848138</v>
      </c>
      <c r="V183" s="1018">
        <v>21.675999999999998</v>
      </c>
      <c r="W183" s="1018"/>
      <c r="X183" s="1018">
        <v>182</v>
      </c>
    </row>
    <row r="184" spans="1:24">
      <c r="A184" s="906">
        <v>183</v>
      </c>
      <c r="B184" s="906" t="s">
        <v>1606</v>
      </c>
      <c r="C184" s="906">
        <v>29189</v>
      </c>
      <c r="D184" s="906" t="s">
        <v>1256</v>
      </c>
      <c r="E184" s="906" t="s">
        <v>1258</v>
      </c>
      <c r="F184" s="1015"/>
      <c r="G184" s="1014"/>
      <c r="H184" s="1014"/>
      <c r="I184" s="1014"/>
      <c r="J184" s="1013"/>
      <c r="K184" s="1012"/>
      <c r="L184" s="1011"/>
      <c r="N184" s="1032" t="s">
        <v>1605</v>
      </c>
      <c r="O184" s="1031">
        <v>1.2688216132485934E-2</v>
      </c>
      <c r="P184" s="1030">
        <v>67</v>
      </c>
      <c r="Q184" s="1029">
        <v>46</v>
      </c>
      <c r="R184" s="1029">
        <v>83</v>
      </c>
      <c r="S184" s="1028">
        <v>41</v>
      </c>
      <c r="T184" s="1027">
        <v>29.11144538321798</v>
      </c>
      <c r="U184" s="1026">
        <v>0.3055235106824789</v>
      </c>
      <c r="V184" s="1018">
        <v>30.1</v>
      </c>
      <c r="W184" s="1018"/>
      <c r="X184" s="1018">
        <v>183</v>
      </c>
    </row>
    <row r="185" spans="1:24">
      <c r="A185" s="906">
        <v>184</v>
      </c>
      <c r="B185" s="906" t="s">
        <v>1604</v>
      </c>
      <c r="C185" s="906">
        <v>29189</v>
      </c>
      <c r="D185" s="906" t="s">
        <v>1256</v>
      </c>
      <c r="E185" s="906" t="s">
        <v>1258</v>
      </c>
      <c r="F185" s="1015"/>
      <c r="G185" s="1014"/>
      <c r="H185" s="1014"/>
      <c r="I185" s="1014"/>
      <c r="J185" s="1013"/>
      <c r="K185" s="1012"/>
      <c r="L185" s="1011"/>
      <c r="N185" s="1032" t="s">
        <v>1603</v>
      </c>
      <c r="O185" s="1031"/>
      <c r="P185" s="1030">
        <v>70</v>
      </c>
      <c r="Q185" s="1029">
        <v>38</v>
      </c>
      <c r="R185" s="1029">
        <v>74</v>
      </c>
      <c r="S185" s="1028">
        <v>34</v>
      </c>
      <c r="T185" s="1027">
        <v>37.892150655978803</v>
      </c>
      <c r="U185" s="1026">
        <v>0.28466427189831445</v>
      </c>
      <c r="V185" s="1018">
        <v>12.944000000000001</v>
      </c>
      <c r="W185" s="1018"/>
      <c r="X185" s="1018">
        <v>184</v>
      </c>
    </row>
    <row r="186" spans="1:24">
      <c r="A186" s="906">
        <v>185</v>
      </c>
      <c r="B186" s="906" t="s">
        <v>1601</v>
      </c>
      <c r="C186" s="906">
        <v>29188</v>
      </c>
      <c r="D186" s="906" t="s">
        <v>1256</v>
      </c>
      <c r="E186" s="906" t="s">
        <v>1259</v>
      </c>
      <c r="F186" s="1015"/>
      <c r="G186" s="1014"/>
      <c r="H186" s="1014"/>
      <c r="I186" s="1014"/>
      <c r="J186" s="1013"/>
      <c r="K186" s="1012"/>
      <c r="L186" s="1011"/>
      <c r="N186" s="1032" t="s">
        <v>1602</v>
      </c>
      <c r="O186" s="1031"/>
      <c r="P186" s="1030">
        <v>65</v>
      </c>
      <c r="Q186" s="1029">
        <v>39</v>
      </c>
      <c r="R186" s="1029">
        <v>75</v>
      </c>
      <c r="S186" s="1028">
        <v>37</v>
      </c>
      <c r="T186" s="1027" t="s">
        <v>842</v>
      </c>
      <c r="U186" s="1026">
        <v>0.22543422128847049</v>
      </c>
      <c r="V186" s="1018">
        <v>193.18600000000001</v>
      </c>
      <c r="W186" s="1018"/>
      <c r="X186" s="1018">
        <v>185</v>
      </c>
    </row>
    <row r="187" spans="1:24">
      <c r="A187" s="906">
        <v>186</v>
      </c>
      <c r="B187" s="906" t="s">
        <v>1601</v>
      </c>
      <c r="C187" s="906">
        <v>70960</v>
      </c>
      <c r="D187" s="906" t="s">
        <v>1256</v>
      </c>
      <c r="E187" s="906" t="s">
        <v>1259</v>
      </c>
      <c r="F187" s="1015"/>
      <c r="G187" s="1014"/>
      <c r="H187" s="1014"/>
      <c r="I187" s="1014"/>
      <c r="J187" s="1013"/>
      <c r="K187" s="1012"/>
      <c r="L187" s="1011"/>
      <c r="N187" s="1032" t="s">
        <v>1600</v>
      </c>
      <c r="O187" s="1031"/>
      <c r="P187" s="1030">
        <v>72</v>
      </c>
      <c r="Q187" s="1029">
        <v>37</v>
      </c>
      <c r="R187" s="1029">
        <v>68</v>
      </c>
      <c r="S187" s="1028">
        <v>33</v>
      </c>
      <c r="T187" s="1027">
        <v>34.04097488484021</v>
      </c>
      <c r="U187" s="1026">
        <v>0.22778636344302505</v>
      </c>
      <c r="V187" s="1018">
        <v>54.465000000000003</v>
      </c>
      <c r="W187" s="1018"/>
      <c r="X187" s="1018">
        <v>186</v>
      </c>
    </row>
    <row r="188" spans="1:24">
      <c r="A188" s="906">
        <v>187</v>
      </c>
      <c r="B188" s="906" t="s">
        <v>1599</v>
      </c>
      <c r="C188" s="906">
        <v>29189</v>
      </c>
      <c r="D188" s="906" t="s">
        <v>1256</v>
      </c>
      <c r="E188" s="906" t="s">
        <v>1258</v>
      </c>
      <c r="F188" s="1015">
        <f t="shared" ref="F188:L188" si="85">O108</f>
        <v>3.8071326441955766E-2</v>
      </c>
      <c r="G188" s="1014">
        <f t="shared" si="85"/>
        <v>68.7</v>
      </c>
      <c r="H188" s="1014">
        <f t="shared" si="85"/>
        <v>49.7</v>
      </c>
      <c r="I188" s="1014">
        <f t="shared" si="85"/>
        <v>70.8</v>
      </c>
      <c r="J188" s="1013">
        <f t="shared" si="85"/>
        <v>46</v>
      </c>
      <c r="K188" s="1012">
        <f t="shared" si="85"/>
        <v>22.152504600492247</v>
      </c>
      <c r="L188" s="1011">
        <f t="shared" si="85"/>
        <v>0.20717171142467</v>
      </c>
      <c r="N188" s="1032" t="s">
        <v>1598</v>
      </c>
      <c r="O188" s="1031"/>
      <c r="P188" s="1030">
        <v>63</v>
      </c>
      <c r="Q188" s="1029">
        <v>38</v>
      </c>
      <c r="R188" s="1029">
        <v>70</v>
      </c>
      <c r="S188" s="1028">
        <v>36</v>
      </c>
      <c r="T188" s="1027"/>
      <c r="U188" s="1026"/>
      <c r="V188" s="1018" t="s">
        <v>842</v>
      </c>
      <c r="W188" s="1018"/>
      <c r="X188" s="1018">
        <v>187</v>
      </c>
    </row>
    <row r="189" spans="1:24">
      <c r="A189" s="906">
        <v>188</v>
      </c>
      <c r="B189" s="906" t="s">
        <v>1595</v>
      </c>
      <c r="C189" s="906">
        <v>29188</v>
      </c>
      <c r="D189" s="906" t="s">
        <v>1256</v>
      </c>
      <c r="E189" s="906" t="s">
        <v>1259</v>
      </c>
      <c r="F189" s="1015"/>
      <c r="G189" s="1014"/>
      <c r="H189" s="1014"/>
      <c r="I189" s="1014"/>
      <c r="J189" s="1013"/>
      <c r="K189" s="1012"/>
      <c r="L189" s="1011"/>
      <c r="N189" s="1038" t="s">
        <v>1597</v>
      </c>
      <c r="O189" s="1037">
        <v>1.1426705843943846E-2</v>
      </c>
      <c r="P189" s="1036">
        <v>69</v>
      </c>
      <c r="Q189" s="1014">
        <v>33</v>
      </c>
      <c r="R189" s="1014">
        <v>69</v>
      </c>
      <c r="S189" s="1013">
        <v>34</v>
      </c>
      <c r="T189" s="1012">
        <v>35.45147203192289</v>
      </c>
      <c r="U189" s="1035">
        <v>0.20369147218552766</v>
      </c>
      <c r="V189" s="906">
        <v>21.701000000000001</v>
      </c>
      <c r="X189" s="906">
        <v>188</v>
      </c>
    </row>
    <row r="190" spans="1:24">
      <c r="A190" s="906">
        <v>189</v>
      </c>
      <c r="B190" s="906" t="s">
        <v>1595</v>
      </c>
      <c r="C190" s="906">
        <v>58271</v>
      </c>
      <c r="D190" s="906" t="s">
        <v>1256</v>
      </c>
      <c r="E190" s="906" t="s">
        <v>1259</v>
      </c>
      <c r="F190" s="1015"/>
      <c r="G190" s="1014"/>
      <c r="H190" s="1014"/>
      <c r="I190" s="1014"/>
      <c r="J190" s="1013"/>
      <c r="K190" s="1012"/>
      <c r="L190" s="1011"/>
      <c r="N190" s="1032" t="s">
        <v>1596</v>
      </c>
      <c r="O190" s="1031"/>
      <c r="P190" s="1030">
        <v>80</v>
      </c>
      <c r="Q190" s="1029">
        <v>37</v>
      </c>
      <c r="R190" s="1029">
        <v>89</v>
      </c>
      <c r="S190" s="1028">
        <v>36</v>
      </c>
      <c r="T190" s="1027" t="s">
        <v>842</v>
      </c>
      <c r="U190" s="1026">
        <v>0.25266230607059842</v>
      </c>
      <c r="V190" s="1018">
        <v>27.65</v>
      </c>
      <c r="W190" s="1018"/>
      <c r="X190" s="1018">
        <v>189</v>
      </c>
    </row>
    <row r="191" spans="1:24">
      <c r="A191" s="906">
        <v>190</v>
      </c>
      <c r="B191" s="906" t="s">
        <v>1595</v>
      </c>
      <c r="C191" s="906">
        <v>63640</v>
      </c>
      <c r="D191" s="906" t="s">
        <v>1256</v>
      </c>
      <c r="E191" s="906" t="s">
        <v>1259</v>
      </c>
      <c r="F191" s="1015"/>
      <c r="G191" s="1014"/>
      <c r="H191" s="1014"/>
      <c r="I191" s="1014"/>
      <c r="J191" s="1013"/>
      <c r="K191" s="1012"/>
      <c r="L191" s="1011"/>
      <c r="N191" s="1038" t="s">
        <v>1594</v>
      </c>
      <c r="O191" s="1037"/>
      <c r="P191" s="1036">
        <v>66</v>
      </c>
      <c r="Q191" s="1014">
        <v>46</v>
      </c>
      <c r="R191" s="1014">
        <v>73</v>
      </c>
      <c r="S191" s="1013">
        <v>42</v>
      </c>
      <c r="T191" s="1012">
        <v>21.990494296577946</v>
      </c>
      <c r="U191" s="1035">
        <v>0.40520446096654272</v>
      </c>
      <c r="V191" s="906">
        <v>3.2</v>
      </c>
      <c r="X191" s="906">
        <v>190</v>
      </c>
    </row>
    <row r="192" spans="1:24">
      <c r="A192" s="906">
        <v>191</v>
      </c>
      <c r="B192" s="906" t="s">
        <v>1592</v>
      </c>
      <c r="C192" s="906">
        <v>29189</v>
      </c>
      <c r="D192" s="906" t="s">
        <v>1257</v>
      </c>
      <c r="E192" s="906" t="s">
        <v>1258</v>
      </c>
      <c r="F192" s="1015">
        <f t="shared" ref="F192:L192" si="86">O109</f>
        <v>0</v>
      </c>
      <c r="G192" s="1014">
        <f t="shared" si="86"/>
        <v>69</v>
      </c>
      <c r="H192" s="1014">
        <f t="shared" si="86"/>
        <v>40</v>
      </c>
      <c r="I192" s="1014">
        <f t="shared" si="86"/>
        <v>73</v>
      </c>
      <c r="J192" s="1013">
        <f t="shared" si="86"/>
        <v>36</v>
      </c>
      <c r="K192" s="1012">
        <f t="shared" si="86"/>
        <v>42.092665479648893</v>
      </c>
      <c r="L192" s="1011">
        <f t="shared" si="86"/>
        <v>0.23629304613748173</v>
      </c>
      <c r="N192" s="1032" t="s">
        <v>1593</v>
      </c>
      <c r="O192" s="1031">
        <v>1.9295246130958989E-2</v>
      </c>
      <c r="P192" s="1030">
        <v>70</v>
      </c>
      <c r="Q192" s="1029">
        <v>47</v>
      </c>
      <c r="R192" s="1029">
        <v>82</v>
      </c>
      <c r="S192" s="1028">
        <v>44</v>
      </c>
      <c r="T192" s="1027">
        <v>35.799021344934445</v>
      </c>
      <c r="U192" s="1026">
        <v>0.28027078427821045</v>
      </c>
      <c r="V192" s="1018">
        <v>31.789000000000001</v>
      </c>
      <c r="W192" s="1018"/>
      <c r="X192" s="1018">
        <v>191</v>
      </c>
    </row>
    <row r="193" spans="1:24">
      <c r="A193" s="906">
        <v>192</v>
      </c>
      <c r="B193" s="906" t="s">
        <v>1592</v>
      </c>
      <c r="C193" s="906">
        <v>29189</v>
      </c>
      <c r="D193" s="906" t="s">
        <v>1256</v>
      </c>
      <c r="E193" s="906" t="s">
        <v>1258</v>
      </c>
      <c r="F193" s="1015">
        <f t="shared" ref="F193:L193" si="87">F192</f>
        <v>0</v>
      </c>
      <c r="G193" s="1014">
        <f t="shared" si="87"/>
        <v>69</v>
      </c>
      <c r="H193" s="1014">
        <f t="shared" si="87"/>
        <v>40</v>
      </c>
      <c r="I193" s="1014">
        <f t="shared" si="87"/>
        <v>73</v>
      </c>
      <c r="J193" s="1013">
        <f t="shared" si="87"/>
        <v>36</v>
      </c>
      <c r="K193" s="1012">
        <f t="shared" si="87"/>
        <v>42.092665479648893</v>
      </c>
      <c r="L193" s="1011">
        <f t="shared" si="87"/>
        <v>0.23629304613748173</v>
      </c>
      <c r="N193" s="1032" t="s">
        <v>1591</v>
      </c>
      <c r="O193" s="1031"/>
      <c r="P193" s="1030">
        <v>68</v>
      </c>
      <c r="Q193" s="1029">
        <v>45</v>
      </c>
      <c r="R193" s="1029">
        <v>73</v>
      </c>
      <c r="S193" s="1028">
        <v>41</v>
      </c>
      <c r="T193" s="1027">
        <v>31.864698078790894</v>
      </c>
      <c r="U193" s="1026">
        <v>0.22919297348272941</v>
      </c>
      <c r="V193" s="1018">
        <v>48.223999999999997</v>
      </c>
      <c r="W193" s="1018"/>
      <c r="X193" s="1018">
        <v>192</v>
      </c>
    </row>
    <row r="194" spans="1:24">
      <c r="A194" s="906">
        <v>193</v>
      </c>
      <c r="B194" s="906" t="s">
        <v>1590</v>
      </c>
      <c r="C194" s="906">
        <v>29189</v>
      </c>
      <c r="D194" s="906" t="s">
        <v>1256</v>
      </c>
      <c r="E194" s="906" t="s">
        <v>1258</v>
      </c>
      <c r="F194" s="1015"/>
      <c r="G194" s="1014"/>
      <c r="H194" s="1014"/>
      <c r="I194" s="1014"/>
      <c r="J194" s="1013"/>
      <c r="K194" s="1012"/>
      <c r="L194" s="1011"/>
      <c r="N194" s="1032" t="s">
        <v>1589</v>
      </c>
      <c r="O194" s="1031">
        <v>7.8280671790492452E-3</v>
      </c>
      <c r="P194" s="1030">
        <v>65</v>
      </c>
      <c r="Q194" s="1029">
        <v>39</v>
      </c>
      <c r="R194" s="1029">
        <v>65</v>
      </c>
      <c r="S194" s="1028">
        <v>32</v>
      </c>
      <c r="T194" s="1027">
        <v>30.509211195928753</v>
      </c>
      <c r="U194" s="1026">
        <v>0.28252761440252472</v>
      </c>
      <c r="V194" s="1018">
        <v>10.003</v>
      </c>
      <c r="W194" s="1018"/>
      <c r="X194" s="1018">
        <v>193</v>
      </c>
    </row>
    <row r="195" spans="1:24" ht="15.6">
      <c r="A195" s="906">
        <v>194</v>
      </c>
      <c r="B195" s="906" t="s">
        <v>1588</v>
      </c>
      <c r="C195" s="906">
        <v>11931</v>
      </c>
      <c r="D195" s="906" t="s">
        <v>1257</v>
      </c>
      <c r="E195" s="906" t="s">
        <v>1259</v>
      </c>
      <c r="F195" s="1015">
        <f t="shared" ref="F195:K197" si="88">O110</f>
        <v>0</v>
      </c>
      <c r="G195" s="1014">
        <f t="shared" si="88"/>
        <v>85</v>
      </c>
      <c r="H195" s="1014">
        <f t="shared" si="88"/>
        <v>50</v>
      </c>
      <c r="I195" s="1014">
        <f t="shared" si="88"/>
        <v>105</v>
      </c>
      <c r="J195" s="1013">
        <f t="shared" si="88"/>
        <v>50</v>
      </c>
      <c r="K195" s="1012" t="str">
        <f t="shared" si="88"/>
        <v/>
      </c>
      <c r="L195" s="1016">
        <v>0.17374718282373314</v>
      </c>
      <c r="N195" s="1032" t="s">
        <v>1587</v>
      </c>
      <c r="O195" s="1031"/>
      <c r="P195" s="1030">
        <v>70</v>
      </c>
      <c r="Q195" s="1029">
        <v>35</v>
      </c>
      <c r="R195" s="1029">
        <v>70</v>
      </c>
      <c r="S195" s="1028">
        <v>31</v>
      </c>
      <c r="T195" s="1027">
        <v>36.810123456790123</v>
      </c>
      <c r="U195" s="1026">
        <v>0.24733198730891259</v>
      </c>
      <c r="V195" s="1018">
        <v>15.657</v>
      </c>
      <c r="W195" s="1018"/>
      <c r="X195" s="1018">
        <v>194</v>
      </c>
    </row>
    <row r="196" spans="1:24">
      <c r="A196" s="906">
        <v>195</v>
      </c>
      <c r="B196" s="906" t="s">
        <v>1586</v>
      </c>
      <c r="C196" s="906">
        <v>29189</v>
      </c>
      <c r="D196" s="906" t="s">
        <v>1256</v>
      </c>
      <c r="E196" s="906" t="s">
        <v>1258</v>
      </c>
      <c r="F196" s="1015">
        <f t="shared" si="88"/>
        <v>0</v>
      </c>
      <c r="G196" s="1014">
        <f t="shared" si="88"/>
        <v>70</v>
      </c>
      <c r="H196" s="1014">
        <f t="shared" si="88"/>
        <v>36</v>
      </c>
      <c r="I196" s="1014">
        <f t="shared" si="88"/>
        <v>73</v>
      </c>
      <c r="J196" s="1013">
        <f t="shared" si="88"/>
        <v>34</v>
      </c>
      <c r="K196" s="1012">
        <f t="shared" si="88"/>
        <v>37.872396067668497</v>
      </c>
      <c r="L196" s="1011">
        <f>U111</f>
        <v>0.19338463012036652</v>
      </c>
      <c r="N196" s="1032" t="s">
        <v>1398</v>
      </c>
      <c r="O196" s="1031"/>
      <c r="P196" s="1030">
        <v>68.5</v>
      </c>
      <c r="Q196" s="1029">
        <v>41</v>
      </c>
      <c r="R196" s="1029">
        <v>72</v>
      </c>
      <c r="S196" s="1028">
        <v>35</v>
      </c>
      <c r="T196" s="1027">
        <v>38.37406</v>
      </c>
      <c r="U196" s="1026">
        <v>0.23754883724404802</v>
      </c>
      <c r="V196" s="1018">
        <v>102.06399999999999</v>
      </c>
      <c r="W196" s="1018"/>
      <c r="X196" s="1018">
        <v>195</v>
      </c>
    </row>
    <row r="197" spans="1:24" ht="15.6">
      <c r="A197" s="906">
        <v>196</v>
      </c>
      <c r="B197" s="906" t="s">
        <v>1585</v>
      </c>
      <c r="C197" s="906">
        <v>29189</v>
      </c>
      <c r="D197" s="906" t="s">
        <v>1256</v>
      </c>
      <c r="E197" s="906" t="s">
        <v>1258</v>
      </c>
      <c r="F197" s="1015">
        <f t="shared" si="88"/>
        <v>0</v>
      </c>
      <c r="G197" s="1014">
        <f t="shared" si="88"/>
        <v>72</v>
      </c>
      <c r="H197" s="1014">
        <f t="shared" si="88"/>
        <v>0</v>
      </c>
      <c r="I197" s="1014">
        <f t="shared" si="88"/>
        <v>72</v>
      </c>
      <c r="J197" s="1013">
        <f t="shared" si="88"/>
        <v>0</v>
      </c>
      <c r="K197" s="1012" t="str">
        <f t="shared" si="88"/>
        <v/>
      </c>
      <c r="L197" s="1016">
        <v>0.22800028617798151</v>
      </c>
      <c r="N197" s="1032" t="s">
        <v>1584</v>
      </c>
      <c r="O197" s="1031">
        <v>1.1500633141945221E-2</v>
      </c>
      <c r="P197" s="1030">
        <v>69</v>
      </c>
      <c r="Q197" s="1029">
        <v>0</v>
      </c>
      <c r="R197" s="1029">
        <v>72</v>
      </c>
      <c r="S197" s="1028">
        <v>0</v>
      </c>
      <c r="T197" s="1027" t="s">
        <v>842</v>
      </c>
      <c r="U197" s="1026">
        <v>0.23712841750605412</v>
      </c>
      <c r="V197" s="1018">
        <v>43.472999999999999</v>
      </c>
      <c r="W197" s="1018"/>
      <c r="X197" s="1018">
        <v>196</v>
      </c>
    </row>
    <row r="198" spans="1:24">
      <c r="A198" s="906">
        <v>197</v>
      </c>
      <c r="B198" s="906" t="s">
        <v>1583</v>
      </c>
      <c r="C198" s="906">
        <v>29189</v>
      </c>
      <c r="D198" s="906" t="s">
        <v>1256</v>
      </c>
      <c r="E198" s="906" t="s">
        <v>1258</v>
      </c>
      <c r="F198" s="1015"/>
      <c r="G198" s="1014"/>
      <c r="H198" s="1014"/>
      <c r="I198" s="1014"/>
      <c r="J198" s="1013"/>
      <c r="K198" s="1012"/>
      <c r="L198" s="1011"/>
      <c r="N198" s="1032" t="s">
        <v>1582</v>
      </c>
      <c r="O198" s="1031"/>
      <c r="P198" s="1030">
        <v>72</v>
      </c>
      <c r="Q198" s="1029">
        <v>41</v>
      </c>
      <c r="R198" s="1029">
        <v>88</v>
      </c>
      <c r="S198" s="1028">
        <v>39</v>
      </c>
      <c r="T198" s="1027"/>
      <c r="U198" s="1026"/>
      <c r="V198" s="1018">
        <v>9.5470000000000006</v>
      </c>
      <c r="W198" s="1018"/>
      <c r="X198" s="1018">
        <v>197</v>
      </c>
    </row>
    <row r="199" spans="1:24">
      <c r="A199" s="906">
        <v>198</v>
      </c>
      <c r="B199" s="906" t="s">
        <v>1581</v>
      </c>
      <c r="C199" s="906">
        <v>29189</v>
      </c>
      <c r="D199" s="906" t="s">
        <v>1256</v>
      </c>
      <c r="E199" s="906" t="s">
        <v>1259</v>
      </c>
      <c r="F199" s="1015"/>
      <c r="G199" s="1014"/>
      <c r="H199" s="1014"/>
      <c r="I199" s="1014"/>
      <c r="J199" s="1013"/>
      <c r="K199" s="1012"/>
      <c r="L199" s="1011"/>
      <c r="N199" s="1032" t="s">
        <v>1580</v>
      </c>
      <c r="O199" s="1031"/>
      <c r="P199" s="1030">
        <v>85</v>
      </c>
      <c r="Q199" s="1029">
        <v>45</v>
      </c>
      <c r="R199" s="1029">
        <v>85</v>
      </c>
      <c r="S199" s="1028">
        <v>45</v>
      </c>
      <c r="T199" s="1027" t="s">
        <v>842</v>
      </c>
      <c r="U199" s="1026">
        <v>0.22411913419097065</v>
      </c>
      <c r="V199" s="1018">
        <v>131.66</v>
      </c>
      <c r="W199" s="1018"/>
      <c r="X199" s="1018">
        <v>198</v>
      </c>
    </row>
    <row r="200" spans="1:24">
      <c r="A200" s="906">
        <v>199</v>
      </c>
      <c r="B200" s="906" t="s">
        <v>1579</v>
      </c>
      <c r="C200" s="906">
        <v>29189</v>
      </c>
      <c r="D200" s="906" t="s">
        <v>1256</v>
      </c>
      <c r="E200" s="906" t="s">
        <v>1259</v>
      </c>
      <c r="F200" s="1015">
        <f t="shared" ref="F200:L200" si="89">O113</f>
        <v>1.1251839242953175E-2</v>
      </c>
      <c r="G200" s="1014">
        <f t="shared" si="89"/>
        <v>67</v>
      </c>
      <c r="H200" s="1014">
        <f t="shared" si="89"/>
        <v>40</v>
      </c>
      <c r="I200" s="1014">
        <f t="shared" si="89"/>
        <v>80</v>
      </c>
      <c r="J200" s="1013">
        <f t="shared" si="89"/>
        <v>38</v>
      </c>
      <c r="K200" s="1012">
        <f t="shared" si="89"/>
        <v>32.019368239910655</v>
      </c>
      <c r="L200" s="1011">
        <f t="shared" si="89"/>
        <v>0.30101251787225353</v>
      </c>
      <c r="N200" s="1032" t="s">
        <v>1578</v>
      </c>
      <c r="O200" s="1031">
        <v>2.6783337769496939E-2</v>
      </c>
      <c r="P200" s="1030">
        <v>71.2</v>
      </c>
      <c r="Q200" s="1029">
        <v>44.4</v>
      </c>
      <c r="R200" s="1029">
        <v>76.7</v>
      </c>
      <c r="S200" s="1028">
        <v>37.6</v>
      </c>
      <c r="T200" s="1027">
        <v>46.516443384276855</v>
      </c>
      <c r="U200" s="1026">
        <v>0.33448429113534578</v>
      </c>
      <c r="V200" s="1018">
        <v>19.466999999999999</v>
      </c>
      <c r="W200" s="1018"/>
      <c r="X200" s="1018">
        <v>199</v>
      </c>
    </row>
    <row r="201" spans="1:24">
      <c r="A201" s="906">
        <v>200</v>
      </c>
      <c r="B201" s="906" t="s">
        <v>1577</v>
      </c>
      <c r="C201" s="906">
        <v>26696</v>
      </c>
      <c r="D201" s="906" t="s">
        <v>1256</v>
      </c>
      <c r="E201" s="906" t="s">
        <v>1259</v>
      </c>
      <c r="F201" s="1015"/>
      <c r="G201" s="1014"/>
      <c r="H201" s="1014"/>
      <c r="I201" s="1014"/>
      <c r="J201" s="1013"/>
      <c r="K201" s="1012"/>
      <c r="L201" s="1011"/>
      <c r="N201" s="1032" t="s">
        <v>1392</v>
      </c>
      <c r="O201" s="1031"/>
      <c r="P201" s="1030">
        <v>80</v>
      </c>
      <c r="Q201" s="1029">
        <v>40</v>
      </c>
      <c r="R201" s="1029">
        <v>80</v>
      </c>
      <c r="S201" s="1028">
        <v>38</v>
      </c>
      <c r="T201" s="1027" t="s">
        <v>842</v>
      </c>
      <c r="U201" s="1026">
        <v>0.42861396949343217</v>
      </c>
      <c r="V201" s="1018">
        <v>17.268999999999998</v>
      </c>
      <c r="W201" s="1018"/>
      <c r="X201" s="1018">
        <v>200</v>
      </c>
    </row>
    <row r="202" spans="1:24">
      <c r="A202" s="906">
        <v>201</v>
      </c>
      <c r="B202" s="906" t="s">
        <v>1576</v>
      </c>
      <c r="C202" s="906">
        <v>29189</v>
      </c>
      <c r="D202" s="906" t="s">
        <v>1257</v>
      </c>
      <c r="E202" s="906" t="s">
        <v>1259</v>
      </c>
      <c r="F202" s="1015">
        <f t="shared" ref="F202:L202" si="90">O114</f>
        <v>0</v>
      </c>
      <c r="G202" s="1014">
        <f t="shared" si="90"/>
        <v>83.5</v>
      </c>
      <c r="H202" s="1014">
        <f t="shared" si="90"/>
        <v>55.9</v>
      </c>
      <c r="I202" s="1014">
        <f t="shared" si="90"/>
        <v>87.3</v>
      </c>
      <c r="J202" s="1013">
        <f t="shared" si="90"/>
        <v>51.9</v>
      </c>
      <c r="K202" s="1012" t="str">
        <f t="shared" si="90"/>
        <v/>
      </c>
      <c r="L202" s="1011">
        <f t="shared" si="90"/>
        <v>0.24901553425563058</v>
      </c>
      <c r="N202" s="1032" t="s">
        <v>1575</v>
      </c>
      <c r="O202" s="1031"/>
      <c r="P202" s="1030">
        <v>66</v>
      </c>
      <c r="Q202" s="1029">
        <v>43</v>
      </c>
      <c r="R202" s="1029">
        <v>75</v>
      </c>
      <c r="S202" s="1028">
        <v>34</v>
      </c>
      <c r="T202" s="1027">
        <v>33.189646441843678</v>
      </c>
      <c r="U202" s="1026">
        <v>0.27482968574272526</v>
      </c>
      <c r="V202" s="1018">
        <v>56.097000000000001</v>
      </c>
      <c r="W202" s="1018"/>
      <c r="X202" s="1018">
        <v>201</v>
      </c>
    </row>
    <row r="203" spans="1:24" ht="15.6">
      <c r="A203" s="906">
        <v>202</v>
      </c>
      <c r="B203" s="906" t="s">
        <v>1574</v>
      </c>
      <c r="C203" s="906">
        <v>29189</v>
      </c>
      <c r="D203" s="906" t="s">
        <v>1256</v>
      </c>
      <c r="E203" s="906" t="s">
        <v>1258</v>
      </c>
      <c r="F203" s="1015">
        <f t="shared" ref="F203:K203" si="91">O115</f>
        <v>0</v>
      </c>
      <c r="G203" s="1014">
        <f t="shared" si="91"/>
        <v>68</v>
      </c>
      <c r="H203" s="1014">
        <f t="shared" si="91"/>
        <v>0</v>
      </c>
      <c r="I203" s="1014">
        <f t="shared" si="91"/>
        <v>70</v>
      </c>
      <c r="J203" s="1013">
        <f t="shared" si="91"/>
        <v>0</v>
      </c>
      <c r="K203" s="1012" t="str">
        <f t="shared" si="91"/>
        <v/>
      </c>
      <c r="L203" s="1016">
        <v>0.22800028617798151</v>
      </c>
      <c r="N203" s="1032" t="s">
        <v>1573</v>
      </c>
      <c r="O203" s="1031"/>
      <c r="P203" s="1030">
        <v>79.430000000000007</v>
      </c>
      <c r="Q203" s="1029">
        <v>46.72</v>
      </c>
      <c r="R203" s="1029">
        <v>80.959999999999994</v>
      </c>
      <c r="S203" s="1028">
        <v>41.73</v>
      </c>
      <c r="T203" s="1027" t="s">
        <v>842</v>
      </c>
      <c r="U203" s="1026">
        <v>0.24484052532833017</v>
      </c>
      <c r="V203" s="1018">
        <v>223.6129</v>
      </c>
      <c r="W203" s="1018"/>
      <c r="X203" s="1018">
        <v>202</v>
      </c>
    </row>
    <row r="204" spans="1:24">
      <c r="A204" s="906">
        <v>203</v>
      </c>
      <c r="B204" s="906" t="s">
        <v>1572</v>
      </c>
      <c r="C204" s="906">
        <v>64942</v>
      </c>
      <c r="D204" s="906" t="s">
        <v>1257</v>
      </c>
      <c r="E204" s="906" t="s">
        <v>1259</v>
      </c>
      <c r="F204" s="1015"/>
      <c r="G204" s="1014"/>
      <c r="H204" s="1014"/>
      <c r="I204" s="1014"/>
      <c r="J204" s="1013"/>
      <c r="K204" s="1012"/>
      <c r="L204" s="1011"/>
      <c r="N204" s="1032" t="s">
        <v>1571</v>
      </c>
      <c r="O204" s="1031">
        <v>2.081651726921254E-3</v>
      </c>
      <c r="P204" s="1030">
        <v>71</v>
      </c>
      <c r="Q204" s="1029">
        <v>39</v>
      </c>
      <c r="R204" s="1029">
        <v>75</v>
      </c>
      <c r="S204" s="1028">
        <v>39</v>
      </c>
      <c r="T204" s="1027" t="s">
        <v>842</v>
      </c>
      <c r="U204" s="1026">
        <v>0.31176387115084431</v>
      </c>
      <c r="V204" s="1018">
        <v>4.8499999999999996</v>
      </c>
      <c r="W204" s="1018"/>
      <c r="X204" s="1018">
        <v>203</v>
      </c>
    </row>
    <row r="205" spans="1:24">
      <c r="A205" s="906">
        <v>204</v>
      </c>
      <c r="B205" s="906" t="s">
        <v>1569</v>
      </c>
      <c r="C205" s="906">
        <v>29189</v>
      </c>
      <c r="D205" s="906" t="s">
        <v>1257</v>
      </c>
      <c r="E205" s="906" t="s">
        <v>1258</v>
      </c>
      <c r="F205" s="1015"/>
      <c r="G205" s="1014"/>
      <c r="H205" s="1014"/>
      <c r="I205" s="1014"/>
      <c r="J205" s="1013"/>
      <c r="K205" s="1012"/>
      <c r="L205" s="1011"/>
      <c r="N205" s="1032" t="s">
        <v>1570</v>
      </c>
      <c r="O205" s="1031">
        <v>4.4325885514862207E-3</v>
      </c>
      <c r="P205" s="1027">
        <v>65.5</v>
      </c>
      <c r="Q205" s="1040">
        <v>35.5</v>
      </c>
      <c r="R205" s="1040">
        <v>65.5</v>
      </c>
      <c r="S205" s="1039">
        <v>35.5</v>
      </c>
      <c r="T205" s="1027">
        <v>31.893521451711237</v>
      </c>
      <c r="U205" s="1026"/>
      <c r="V205" s="1018" t="s">
        <v>842</v>
      </c>
      <c r="W205" s="1018"/>
      <c r="X205" s="1018">
        <v>204</v>
      </c>
    </row>
    <row r="206" spans="1:24">
      <c r="A206" s="906">
        <v>205</v>
      </c>
      <c r="B206" s="906" t="s">
        <v>1569</v>
      </c>
      <c r="C206" s="906">
        <v>29189</v>
      </c>
      <c r="D206" s="906" t="s">
        <v>1256</v>
      </c>
      <c r="E206" s="906" t="s">
        <v>1258</v>
      </c>
      <c r="F206" s="1015"/>
      <c r="G206" s="1014"/>
      <c r="H206" s="1014"/>
      <c r="I206" s="1014"/>
      <c r="J206" s="1013"/>
      <c r="K206" s="1012"/>
      <c r="L206" s="1011"/>
      <c r="N206" s="1032" t="s">
        <v>1568</v>
      </c>
      <c r="O206" s="1031"/>
      <c r="P206" s="1030">
        <v>68</v>
      </c>
      <c r="Q206" s="1029">
        <v>42</v>
      </c>
      <c r="R206" s="1029">
        <v>73</v>
      </c>
      <c r="S206" s="1028">
        <v>39</v>
      </c>
      <c r="T206" s="1027" t="s">
        <v>842</v>
      </c>
      <c r="U206" s="1026">
        <v>0.14821221131063564</v>
      </c>
      <c r="V206" s="1018">
        <v>166.447</v>
      </c>
      <c r="W206" s="1018"/>
      <c r="X206" s="1018">
        <v>205</v>
      </c>
    </row>
    <row r="207" spans="1:24">
      <c r="A207" s="906">
        <v>206</v>
      </c>
      <c r="B207" s="906" t="s">
        <v>1567</v>
      </c>
      <c r="C207" s="906">
        <v>29189</v>
      </c>
      <c r="D207" s="906" t="s">
        <v>1256</v>
      </c>
      <c r="E207" s="906" t="s">
        <v>1258</v>
      </c>
      <c r="F207" s="1015">
        <f t="shared" ref="F207:L208" si="92">O116</f>
        <v>0</v>
      </c>
      <c r="G207" s="1014">
        <f t="shared" si="92"/>
        <v>65</v>
      </c>
      <c r="H207" s="1014">
        <f t="shared" si="92"/>
        <v>33</v>
      </c>
      <c r="I207" s="1014">
        <f t="shared" si="92"/>
        <v>65</v>
      </c>
      <c r="J207" s="1013">
        <f t="shared" si="92"/>
        <v>34</v>
      </c>
      <c r="K207" s="1012" t="str">
        <f t="shared" si="92"/>
        <v/>
      </c>
      <c r="L207" s="1011">
        <f t="shared" si="92"/>
        <v>0.26867898178124799</v>
      </c>
      <c r="N207" s="1032" t="s">
        <v>1566</v>
      </c>
      <c r="O207" s="1031">
        <v>1.7211703958691909E-2</v>
      </c>
      <c r="P207" s="1030">
        <v>70</v>
      </c>
      <c r="Q207" s="1029">
        <v>45</v>
      </c>
      <c r="R207" s="1029">
        <v>75</v>
      </c>
      <c r="S207" s="1028">
        <v>40</v>
      </c>
      <c r="T207" s="1027">
        <v>35.546450856340392</v>
      </c>
      <c r="U207" s="1026">
        <v>0.43957968476357268</v>
      </c>
      <c r="V207" s="1018">
        <v>1.6</v>
      </c>
      <c r="W207" s="1018"/>
      <c r="X207" s="1018">
        <v>206</v>
      </c>
    </row>
    <row r="208" spans="1:24">
      <c r="A208" s="906">
        <v>207</v>
      </c>
      <c r="B208" s="906" t="s">
        <v>1565</v>
      </c>
      <c r="C208" s="906">
        <v>29189</v>
      </c>
      <c r="D208" s="906" t="s">
        <v>1256</v>
      </c>
      <c r="E208" s="906" t="s">
        <v>1258</v>
      </c>
      <c r="F208" s="1015">
        <f t="shared" si="92"/>
        <v>0</v>
      </c>
      <c r="G208" s="1014">
        <f t="shared" si="92"/>
        <v>68</v>
      </c>
      <c r="H208" s="1014">
        <f t="shared" si="92"/>
        <v>31</v>
      </c>
      <c r="I208" s="1014">
        <f t="shared" si="92"/>
        <v>70</v>
      </c>
      <c r="J208" s="1013">
        <f t="shared" si="92"/>
        <v>32</v>
      </c>
      <c r="K208" s="1012">
        <f t="shared" si="92"/>
        <v>36.00190348631601</v>
      </c>
      <c r="L208" s="1011">
        <f t="shared" si="92"/>
        <v>0.18422348746035186</v>
      </c>
      <c r="N208" s="1032" t="s">
        <v>1382</v>
      </c>
      <c r="O208" s="1031"/>
      <c r="P208" s="1030">
        <v>67</v>
      </c>
      <c r="Q208" s="1029">
        <v>40</v>
      </c>
      <c r="R208" s="1029">
        <v>80</v>
      </c>
      <c r="S208" s="1028">
        <v>40</v>
      </c>
      <c r="T208" s="1027" t="s">
        <v>842</v>
      </c>
      <c r="U208" s="1026"/>
      <c r="V208" s="1018" t="s">
        <v>842</v>
      </c>
      <c r="W208" s="1018"/>
      <c r="X208" s="1018">
        <v>207</v>
      </c>
    </row>
    <row r="209" spans="1:24">
      <c r="A209" s="906">
        <v>208</v>
      </c>
      <c r="B209" s="906" t="s">
        <v>1564</v>
      </c>
      <c r="C209" s="906">
        <v>29189</v>
      </c>
      <c r="D209" s="906" t="s">
        <v>1256</v>
      </c>
      <c r="E209" s="906" t="s">
        <v>1258</v>
      </c>
      <c r="F209" s="1015"/>
      <c r="G209" s="1014"/>
      <c r="H209" s="1014"/>
      <c r="I209" s="1014"/>
      <c r="J209" s="1013"/>
      <c r="K209" s="1012"/>
      <c r="L209" s="1011"/>
      <c r="N209" s="1032" t="s">
        <v>1380</v>
      </c>
      <c r="O209" s="1031"/>
      <c r="P209" s="1030">
        <v>73</v>
      </c>
      <c r="Q209" s="1029">
        <v>38</v>
      </c>
      <c r="R209" s="1029">
        <v>75</v>
      </c>
      <c r="S209" s="1028">
        <v>40</v>
      </c>
      <c r="T209" s="1027">
        <v>34.207606774484091</v>
      </c>
      <c r="U209" s="1026">
        <v>0.32759604195234043</v>
      </c>
      <c r="V209" s="1018">
        <v>18.143476</v>
      </c>
      <c r="W209" s="1018"/>
      <c r="X209" s="1018">
        <v>208</v>
      </c>
    </row>
    <row r="210" spans="1:24">
      <c r="A210" s="906">
        <v>209</v>
      </c>
      <c r="B210" s="906" t="s">
        <v>1563</v>
      </c>
      <c r="C210" s="906">
        <v>29189</v>
      </c>
      <c r="D210" s="906" t="s">
        <v>1256</v>
      </c>
      <c r="E210" s="906" t="s">
        <v>1258</v>
      </c>
      <c r="F210" s="1015"/>
      <c r="G210" s="1014"/>
      <c r="H210" s="1014"/>
      <c r="I210" s="1014"/>
      <c r="J210" s="1013"/>
      <c r="K210" s="1012"/>
      <c r="L210" s="1011"/>
      <c r="N210" s="1032" t="s">
        <v>1562</v>
      </c>
      <c r="O210" s="1031"/>
      <c r="P210" s="1030">
        <v>73</v>
      </c>
      <c r="Q210" s="1029">
        <v>34</v>
      </c>
      <c r="R210" s="1029">
        <v>73</v>
      </c>
      <c r="S210" s="1028">
        <v>34</v>
      </c>
      <c r="T210" s="1027" t="s">
        <v>842</v>
      </c>
      <c r="U210" s="1026">
        <v>0.20877817319098457</v>
      </c>
      <c r="V210" s="1018">
        <v>8.0039999999999996</v>
      </c>
      <c r="W210" s="1018"/>
      <c r="X210" s="1018">
        <v>209</v>
      </c>
    </row>
    <row r="211" spans="1:24">
      <c r="A211" s="906">
        <v>210</v>
      </c>
      <c r="B211" s="906" t="s">
        <v>1561</v>
      </c>
      <c r="C211" s="906">
        <v>29189</v>
      </c>
      <c r="D211" s="906" t="s">
        <v>1256</v>
      </c>
      <c r="E211" s="906" t="s">
        <v>1258</v>
      </c>
      <c r="F211" s="1015"/>
      <c r="G211" s="1014"/>
      <c r="H211" s="1014"/>
      <c r="I211" s="1014"/>
      <c r="J211" s="1013"/>
      <c r="K211" s="1012"/>
      <c r="L211" s="1011"/>
      <c r="N211" s="1038" t="s">
        <v>1560</v>
      </c>
      <c r="O211" s="1037">
        <v>0.1210063584268781</v>
      </c>
      <c r="P211" s="1036">
        <v>73</v>
      </c>
      <c r="Q211" s="1014">
        <v>39</v>
      </c>
      <c r="R211" s="1014">
        <v>70</v>
      </c>
      <c r="S211" s="1013">
        <v>38</v>
      </c>
      <c r="T211" s="1012">
        <v>32.423737373737374</v>
      </c>
      <c r="U211" s="1035">
        <v>0.20634070104934138</v>
      </c>
      <c r="V211" s="906">
        <v>17.774000000000001</v>
      </c>
      <c r="X211" s="906">
        <v>210</v>
      </c>
    </row>
    <row r="212" spans="1:24">
      <c r="A212" s="906">
        <v>211</v>
      </c>
      <c r="B212" s="906" t="s">
        <v>1559</v>
      </c>
      <c r="C212" s="906">
        <v>29189</v>
      </c>
      <c r="D212" s="906" t="s">
        <v>1256</v>
      </c>
      <c r="E212" s="906" t="s">
        <v>1258</v>
      </c>
      <c r="F212" s="1015"/>
      <c r="G212" s="1014"/>
      <c r="H212" s="1014"/>
      <c r="I212" s="1014"/>
      <c r="J212" s="1013"/>
      <c r="K212" s="1012"/>
      <c r="L212" s="1011"/>
      <c r="N212" s="1032" t="s">
        <v>1558</v>
      </c>
      <c r="O212" s="1031"/>
      <c r="P212" s="1034">
        <v>61</v>
      </c>
      <c r="Q212" s="1018">
        <v>36</v>
      </c>
      <c r="R212" s="1018">
        <v>67</v>
      </c>
      <c r="S212" s="1033">
        <v>34</v>
      </c>
      <c r="T212" s="1027">
        <v>46.755165262807544</v>
      </c>
      <c r="U212" s="1026">
        <v>0.11627030845302566</v>
      </c>
      <c r="V212" s="1018">
        <v>18.765999999999998</v>
      </c>
      <c r="W212" s="1018"/>
      <c r="X212" s="1018">
        <v>211</v>
      </c>
    </row>
    <row r="213" spans="1:24">
      <c r="A213" s="906">
        <v>212</v>
      </c>
      <c r="B213" s="906" t="s">
        <v>1557</v>
      </c>
      <c r="C213" s="906">
        <v>29189</v>
      </c>
      <c r="D213" s="906" t="s">
        <v>1256</v>
      </c>
      <c r="E213" s="906" t="s">
        <v>1258</v>
      </c>
      <c r="F213" s="1015"/>
      <c r="G213" s="1014"/>
      <c r="H213" s="1014"/>
      <c r="I213" s="1014"/>
      <c r="J213" s="1013"/>
      <c r="K213" s="1012"/>
      <c r="L213" s="1011"/>
      <c r="N213" s="1032" t="s">
        <v>1556</v>
      </c>
      <c r="O213" s="1031"/>
      <c r="P213" s="1030">
        <v>72</v>
      </c>
      <c r="Q213" s="1029">
        <v>33</v>
      </c>
      <c r="R213" s="1029">
        <v>75</v>
      </c>
      <c r="S213" s="1028">
        <v>0</v>
      </c>
      <c r="T213" s="1027"/>
      <c r="U213" s="1026"/>
      <c r="V213" s="1018" t="s">
        <v>842</v>
      </c>
      <c r="W213" s="1018"/>
      <c r="X213" s="1018">
        <v>212</v>
      </c>
    </row>
    <row r="214" spans="1:24">
      <c r="A214" s="906">
        <v>213</v>
      </c>
      <c r="B214" s="906" t="s">
        <v>1555</v>
      </c>
      <c r="C214" s="906">
        <v>29189</v>
      </c>
      <c r="D214" s="906" t="s">
        <v>1256</v>
      </c>
      <c r="E214" s="906" t="s">
        <v>1258</v>
      </c>
      <c r="F214" s="1015"/>
      <c r="G214" s="1014"/>
      <c r="H214" s="1014"/>
      <c r="I214" s="1014"/>
      <c r="J214" s="1013"/>
      <c r="K214" s="1012"/>
      <c r="L214" s="1011"/>
      <c r="N214" s="1032" t="s">
        <v>1554</v>
      </c>
      <c r="O214" s="1031"/>
      <c r="P214" s="1030">
        <v>74</v>
      </c>
      <c r="Q214" s="1029">
        <v>38</v>
      </c>
      <c r="R214" s="1029">
        <v>75</v>
      </c>
      <c r="S214" s="1028">
        <v>34</v>
      </c>
      <c r="T214" s="1027" t="s">
        <v>842</v>
      </c>
      <c r="U214" s="1026">
        <v>0.33361204013377926</v>
      </c>
      <c r="V214" s="1018">
        <v>3.1880000000000002</v>
      </c>
      <c r="W214" s="1018"/>
      <c r="X214" s="1018">
        <v>213</v>
      </c>
    </row>
    <row r="215" spans="1:24" ht="15.6">
      <c r="A215" s="906">
        <v>214</v>
      </c>
      <c r="B215" s="906" t="s">
        <v>1553</v>
      </c>
      <c r="C215" s="906">
        <v>29189</v>
      </c>
      <c r="D215" s="906" t="s">
        <v>1256</v>
      </c>
      <c r="E215" s="906" t="s">
        <v>1258</v>
      </c>
      <c r="F215" s="1015">
        <f t="shared" ref="F215:K216" si="93">O118</f>
        <v>0</v>
      </c>
      <c r="G215" s="1014">
        <f t="shared" si="93"/>
        <v>70</v>
      </c>
      <c r="H215" s="1014">
        <f t="shared" si="93"/>
        <v>40</v>
      </c>
      <c r="I215" s="1014">
        <f t="shared" si="93"/>
        <v>75</v>
      </c>
      <c r="J215" s="1013">
        <f t="shared" si="93"/>
        <v>35</v>
      </c>
      <c r="K215" s="1012" t="str">
        <f t="shared" si="93"/>
        <v/>
      </c>
      <c r="L215" s="1016">
        <v>0.22800028617798151</v>
      </c>
      <c r="N215" s="1032" t="s">
        <v>1373</v>
      </c>
      <c r="O215" s="1031"/>
      <c r="P215" s="1030">
        <v>68</v>
      </c>
      <c r="Q215" s="1029">
        <v>45</v>
      </c>
      <c r="R215" s="1029">
        <v>82</v>
      </c>
      <c r="S215" s="1028">
        <v>43</v>
      </c>
      <c r="T215" s="1027" t="s">
        <v>842</v>
      </c>
      <c r="U215" s="1026">
        <v>0.23974527108974802</v>
      </c>
      <c r="V215" s="1018">
        <v>647.53099999999995</v>
      </c>
      <c r="W215" s="1018"/>
      <c r="X215" s="1018">
        <v>214</v>
      </c>
    </row>
    <row r="216" spans="1:24">
      <c r="A216" s="906">
        <v>215</v>
      </c>
      <c r="B216" s="906" t="s">
        <v>1552</v>
      </c>
      <c r="C216" s="906">
        <v>29188</v>
      </c>
      <c r="D216" s="906" t="s">
        <v>1256</v>
      </c>
      <c r="E216" s="906" t="s">
        <v>1258</v>
      </c>
      <c r="F216" s="1015">
        <f t="shared" si="93"/>
        <v>0</v>
      </c>
      <c r="G216" s="1014">
        <f t="shared" si="93"/>
        <v>65</v>
      </c>
      <c r="H216" s="1014">
        <f t="shared" si="93"/>
        <v>35</v>
      </c>
      <c r="I216" s="1014">
        <f t="shared" si="93"/>
        <v>80</v>
      </c>
      <c r="J216" s="1013">
        <f t="shared" si="93"/>
        <v>32</v>
      </c>
      <c r="K216" s="1012">
        <f t="shared" si="93"/>
        <v>0</v>
      </c>
      <c r="L216" s="1011">
        <f>U119</f>
        <v>0.3172579453067258</v>
      </c>
      <c r="N216" s="1032" t="s">
        <v>1551</v>
      </c>
      <c r="O216" s="1031"/>
      <c r="P216" s="1030">
        <v>72</v>
      </c>
      <c r="Q216" s="1029">
        <v>0</v>
      </c>
      <c r="R216" s="1029">
        <v>76</v>
      </c>
      <c r="S216" s="1028">
        <v>0</v>
      </c>
      <c r="T216" s="1027" t="s">
        <v>842</v>
      </c>
      <c r="U216" s="1026"/>
      <c r="V216" s="1018" t="s">
        <v>842</v>
      </c>
      <c r="W216" s="1018"/>
      <c r="X216" s="1018">
        <v>215</v>
      </c>
    </row>
    <row r="217" spans="1:24">
      <c r="A217" s="906">
        <v>216</v>
      </c>
      <c r="B217" s="906" t="s">
        <v>1550</v>
      </c>
      <c r="C217" s="906">
        <v>29189</v>
      </c>
      <c r="D217" s="906" t="s">
        <v>1256</v>
      </c>
      <c r="E217" s="906" t="s">
        <v>1259</v>
      </c>
      <c r="F217" s="1015"/>
      <c r="G217" s="1014"/>
      <c r="H217" s="1014"/>
      <c r="I217" s="1014"/>
      <c r="J217" s="1013"/>
      <c r="K217" s="1012"/>
      <c r="L217" s="1011"/>
      <c r="N217" s="1032" t="s">
        <v>1549</v>
      </c>
      <c r="O217" s="1031">
        <v>5.3880879568952962E-3</v>
      </c>
      <c r="P217" s="1030">
        <v>70</v>
      </c>
      <c r="Q217" s="1029">
        <v>35</v>
      </c>
      <c r="R217" s="1029">
        <v>72</v>
      </c>
      <c r="S217" s="1028">
        <v>35</v>
      </c>
      <c r="T217" s="1027">
        <v>33.324634063315557</v>
      </c>
      <c r="U217" s="1026">
        <v>0.35754026354319179</v>
      </c>
      <c r="V217" s="1018">
        <v>4.3879999999999999</v>
      </c>
      <c r="W217" s="1018"/>
      <c r="X217" s="1018">
        <v>216</v>
      </c>
    </row>
    <row r="218" spans="1:24">
      <c r="A218" s="906">
        <v>217</v>
      </c>
      <c r="B218" s="906" t="s">
        <v>1548</v>
      </c>
      <c r="C218" s="906">
        <v>29189</v>
      </c>
      <c r="D218" s="906" t="s">
        <v>1256</v>
      </c>
      <c r="E218" s="906" t="s">
        <v>1258</v>
      </c>
      <c r="F218" s="1015"/>
      <c r="G218" s="1014"/>
      <c r="H218" s="1014"/>
      <c r="I218" s="1014"/>
      <c r="J218" s="1013"/>
      <c r="K218" s="1012"/>
      <c r="L218" s="1011"/>
      <c r="N218" s="1032" t="s">
        <v>1547</v>
      </c>
      <c r="O218" s="1031"/>
      <c r="P218" s="1030">
        <v>98</v>
      </c>
      <c r="Q218" s="1029">
        <v>46</v>
      </c>
      <c r="R218" s="1029">
        <v>100</v>
      </c>
      <c r="S218" s="1028">
        <v>43</v>
      </c>
      <c r="T218" s="1027" t="s">
        <v>842</v>
      </c>
      <c r="U218" s="1026"/>
      <c r="V218" s="1018" t="s">
        <v>842</v>
      </c>
      <c r="W218" s="1018"/>
      <c r="X218" s="1018">
        <v>217</v>
      </c>
    </row>
    <row r="219" spans="1:24">
      <c r="A219" s="906">
        <v>218</v>
      </c>
      <c r="B219" s="906" t="s">
        <v>1546</v>
      </c>
      <c r="C219" s="906">
        <v>29189</v>
      </c>
      <c r="D219" s="906" t="s">
        <v>1256</v>
      </c>
      <c r="E219" s="906" t="s">
        <v>1258</v>
      </c>
      <c r="F219" s="1015"/>
      <c r="G219" s="1014"/>
      <c r="H219" s="1014"/>
      <c r="I219" s="1014"/>
      <c r="J219" s="1013"/>
      <c r="K219" s="1012"/>
      <c r="L219" s="1011"/>
      <c r="N219" s="1038" t="s">
        <v>1545</v>
      </c>
      <c r="O219" s="1037"/>
      <c r="P219" s="1036">
        <v>72</v>
      </c>
      <c r="Q219" s="1014">
        <v>39</v>
      </c>
      <c r="R219" s="1014">
        <v>73</v>
      </c>
      <c r="S219" s="1013">
        <v>38</v>
      </c>
      <c r="T219" s="1012">
        <v>36.147820191133363</v>
      </c>
      <c r="U219" s="1035">
        <v>0.22652780102218159</v>
      </c>
      <c r="V219" s="906">
        <v>60.081000000000003</v>
      </c>
      <c r="X219" s="906">
        <v>218</v>
      </c>
    </row>
    <row r="220" spans="1:24">
      <c r="A220" s="906">
        <v>219</v>
      </c>
      <c r="B220" s="906" t="s">
        <v>1544</v>
      </c>
      <c r="C220" s="906">
        <v>29189</v>
      </c>
      <c r="D220" s="906" t="s">
        <v>1256</v>
      </c>
      <c r="E220" s="906" t="s">
        <v>1258</v>
      </c>
      <c r="F220" s="1015">
        <f t="shared" ref="F220:L223" si="94">O120</f>
        <v>0.27485276378343859</v>
      </c>
      <c r="G220" s="1014">
        <f t="shared" si="94"/>
        <v>73</v>
      </c>
      <c r="H220" s="1014">
        <f t="shared" si="94"/>
        <v>36</v>
      </c>
      <c r="I220" s="1014">
        <f t="shared" si="94"/>
        <v>75</v>
      </c>
      <c r="J220" s="1013">
        <f t="shared" si="94"/>
        <v>38</v>
      </c>
      <c r="K220" s="1012">
        <f t="shared" si="94"/>
        <v>35.047064945836929</v>
      </c>
      <c r="L220" s="1011">
        <f t="shared" si="94"/>
        <v>0.27305641176182788</v>
      </c>
      <c r="N220" s="1032" t="s">
        <v>1543</v>
      </c>
      <c r="O220" s="1031"/>
      <c r="P220" s="1030">
        <v>69</v>
      </c>
      <c r="Q220" s="1029">
        <v>39</v>
      </c>
      <c r="R220" s="1029">
        <v>74</v>
      </c>
      <c r="S220" s="1028">
        <v>34</v>
      </c>
      <c r="T220" s="1027" t="s">
        <v>842</v>
      </c>
      <c r="U220" s="1026">
        <v>0.31348259115976623</v>
      </c>
      <c r="V220" s="1018">
        <v>16.681000000000001</v>
      </c>
      <c r="W220" s="1018"/>
      <c r="X220" s="1018">
        <v>219</v>
      </c>
    </row>
    <row r="221" spans="1:24">
      <c r="A221" s="906">
        <v>220</v>
      </c>
      <c r="B221" s="906" t="s">
        <v>1542</v>
      </c>
      <c r="C221" s="906">
        <v>29189</v>
      </c>
      <c r="D221" s="906" t="s">
        <v>1256</v>
      </c>
      <c r="E221" s="906" t="s">
        <v>1258</v>
      </c>
      <c r="F221" s="1015">
        <f t="shared" si="94"/>
        <v>0</v>
      </c>
      <c r="G221" s="1014">
        <f t="shared" si="94"/>
        <v>72</v>
      </c>
      <c r="H221" s="1014">
        <f t="shared" si="94"/>
        <v>42</v>
      </c>
      <c r="I221" s="1014">
        <f t="shared" si="94"/>
        <v>74</v>
      </c>
      <c r="J221" s="1013">
        <f t="shared" si="94"/>
        <v>37</v>
      </c>
      <c r="K221" s="1012">
        <f t="shared" si="94"/>
        <v>32.767900746998279</v>
      </c>
      <c r="L221" s="1011">
        <f t="shared" si="94"/>
        <v>0.32580379714834662</v>
      </c>
      <c r="N221" s="1032" t="s">
        <v>1367</v>
      </c>
      <c r="O221" s="1031"/>
      <c r="P221" s="1030">
        <v>80</v>
      </c>
      <c r="Q221" s="1029">
        <v>52</v>
      </c>
      <c r="R221" s="1029">
        <v>98</v>
      </c>
      <c r="S221" s="1028">
        <v>56</v>
      </c>
      <c r="T221" s="1027">
        <v>35.229012561938589</v>
      </c>
      <c r="U221" s="1026">
        <v>4.4888546380582095E-2</v>
      </c>
      <c r="V221" s="1018">
        <v>164.83600000000001</v>
      </c>
      <c r="W221" s="1018"/>
      <c r="X221" s="1018">
        <v>220</v>
      </c>
    </row>
    <row r="222" spans="1:24">
      <c r="A222" s="906">
        <v>221</v>
      </c>
      <c r="B222" s="906" t="s">
        <v>1541</v>
      </c>
      <c r="C222" s="906">
        <v>29189</v>
      </c>
      <c r="D222" s="906" t="s">
        <v>1256</v>
      </c>
      <c r="E222" s="906" t="s">
        <v>1258</v>
      </c>
      <c r="F222" s="1015">
        <f t="shared" si="94"/>
        <v>2.1120897419043862E-2</v>
      </c>
      <c r="G222" s="1014">
        <f t="shared" si="94"/>
        <v>80</v>
      </c>
      <c r="H222" s="1014">
        <f t="shared" si="94"/>
        <v>40</v>
      </c>
      <c r="I222" s="1014">
        <f t="shared" si="94"/>
        <v>80</v>
      </c>
      <c r="J222" s="1013">
        <f t="shared" si="94"/>
        <v>40</v>
      </c>
      <c r="K222" s="1012">
        <f t="shared" si="94"/>
        <v>51.616798161181421</v>
      </c>
      <c r="L222" s="1011">
        <f t="shared" si="94"/>
        <v>0.11332199292716773</v>
      </c>
      <c r="N222" s="1032" t="s">
        <v>1540</v>
      </c>
      <c r="O222" s="1031">
        <v>8.5511899301839681E-2</v>
      </c>
      <c r="P222" s="1030">
        <v>68</v>
      </c>
      <c r="Q222" s="1029">
        <v>44</v>
      </c>
      <c r="R222" s="1029">
        <v>74</v>
      </c>
      <c r="S222" s="1028">
        <v>34</v>
      </c>
      <c r="T222" s="1027"/>
      <c r="U222" s="1026">
        <v>0.23148509334076345</v>
      </c>
      <c r="V222" s="1018">
        <v>13.791</v>
      </c>
      <c r="W222" s="1018"/>
      <c r="X222" s="1018">
        <v>221</v>
      </c>
    </row>
    <row r="223" spans="1:24">
      <c r="A223" s="906">
        <v>222</v>
      </c>
      <c r="B223" s="906" t="s">
        <v>1539</v>
      </c>
      <c r="C223" s="906">
        <v>29189</v>
      </c>
      <c r="D223" s="906" t="s">
        <v>1256</v>
      </c>
      <c r="E223" s="906" t="s">
        <v>1258</v>
      </c>
      <c r="F223" s="1015">
        <f t="shared" si="94"/>
        <v>0</v>
      </c>
      <c r="G223" s="1014">
        <f t="shared" si="94"/>
        <v>66</v>
      </c>
      <c r="H223" s="1014">
        <f t="shared" si="94"/>
        <v>37.5</v>
      </c>
      <c r="I223" s="1014">
        <f t="shared" si="94"/>
        <v>75</v>
      </c>
      <c r="J223" s="1013">
        <f t="shared" si="94"/>
        <v>36</v>
      </c>
      <c r="K223" s="1012">
        <f t="shared" si="94"/>
        <v>28.233937756446295</v>
      </c>
      <c r="L223" s="1011">
        <f t="shared" si="94"/>
        <v>0.18274293308797218</v>
      </c>
      <c r="N223" s="1032" t="s">
        <v>1538</v>
      </c>
      <c r="O223" s="1031"/>
      <c r="P223" s="1030">
        <v>75</v>
      </c>
      <c r="Q223" s="1029">
        <v>0</v>
      </c>
      <c r="R223" s="1029">
        <v>78</v>
      </c>
      <c r="S223" s="1028">
        <v>0</v>
      </c>
      <c r="T223" s="1027" t="s">
        <v>842</v>
      </c>
      <c r="U223" s="1026"/>
      <c r="V223" s="1018" t="s">
        <v>842</v>
      </c>
      <c r="W223" s="1018"/>
      <c r="X223" s="1018">
        <v>222</v>
      </c>
    </row>
    <row r="224" spans="1:24">
      <c r="A224" s="906">
        <v>223</v>
      </c>
      <c r="B224" s="906" t="s">
        <v>1537</v>
      </c>
      <c r="C224" s="906">
        <v>29189</v>
      </c>
      <c r="D224" s="906" t="s">
        <v>1256</v>
      </c>
      <c r="E224" s="906" t="s">
        <v>1258</v>
      </c>
      <c r="F224" s="1015"/>
      <c r="G224" s="1014"/>
      <c r="H224" s="1014"/>
      <c r="I224" s="1014"/>
      <c r="J224" s="1013"/>
      <c r="K224" s="1012"/>
      <c r="L224" s="1011"/>
      <c r="N224" s="1032" t="s">
        <v>1536</v>
      </c>
      <c r="O224" s="1031"/>
      <c r="P224" s="1030">
        <v>71</v>
      </c>
      <c r="Q224" s="1029">
        <v>38</v>
      </c>
      <c r="R224" s="1029">
        <v>71.7</v>
      </c>
      <c r="S224" s="1028">
        <v>35</v>
      </c>
      <c r="T224" s="1027">
        <v>59.151992880300043</v>
      </c>
      <c r="U224" s="1026">
        <v>0.2341783293724144</v>
      </c>
      <c r="V224" s="1018">
        <v>17.401</v>
      </c>
      <c r="W224" s="1018"/>
      <c r="X224" s="1018">
        <v>223</v>
      </c>
    </row>
    <row r="225" spans="1:24">
      <c r="A225" s="906">
        <v>224</v>
      </c>
      <c r="B225" s="906" t="s">
        <v>1535</v>
      </c>
      <c r="C225" s="906">
        <v>29188</v>
      </c>
      <c r="D225" s="906" t="s">
        <v>1256</v>
      </c>
      <c r="E225" s="906" t="s">
        <v>1258</v>
      </c>
      <c r="F225" s="1015"/>
      <c r="G225" s="1014"/>
      <c r="H225" s="1014"/>
      <c r="I225" s="1014"/>
      <c r="J225" s="1013"/>
      <c r="K225" s="1012"/>
      <c r="L225" s="1011"/>
      <c r="N225" s="1032" t="s">
        <v>1534</v>
      </c>
      <c r="O225" s="1031"/>
      <c r="P225" s="1030">
        <v>70</v>
      </c>
      <c r="Q225" s="1029">
        <v>38</v>
      </c>
      <c r="R225" s="1029">
        <v>78</v>
      </c>
      <c r="S225" s="1028">
        <v>34</v>
      </c>
      <c r="T225" s="1027" t="s">
        <v>842</v>
      </c>
      <c r="U225" s="1026">
        <v>0.2257401699822546</v>
      </c>
      <c r="V225" s="1018">
        <v>8.2899999999999991</v>
      </c>
      <c r="W225" s="1018"/>
      <c r="X225" s="1018">
        <v>224</v>
      </c>
    </row>
    <row r="226" spans="1:24">
      <c r="A226" s="906">
        <v>225</v>
      </c>
      <c r="B226" s="906" t="s">
        <v>1533</v>
      </c>
      <c r="C226" s="906">
        <v>29188</v>
      </c>
      <c r="D226" s="906" t="s">
        <v>1256</v>
      </c>
      <c r="E226" s="906" t="s">
        <v>1259</v>
      </c>
      <c r="F226" s="1015"/>
      <c r="G226" s="1014"/>
      <c r="H226" s="1014"/>
      <c r="I226" s="1014"/>
      <c r="J226" s="1013"/>
      <c r="K226" s="1012"/>
      <c r="L226" s="1011"/>
      <c r="N226" s="1032" t="s">
        <v>1532</v>
      </c>
      <c r="O226" s="1031"/>
      <c r="P226" s="1030">
        <v>80</v>
      </c>
      <c r="Q226" s="1029">
        <v>45</v>
      </c>
      <c r="R226" s="1029">
        <v>80</v>
      </c>
      <c r="S226" s="1028">
        <v>45</v>
      </c>
      <c r="T226" s="1027" t="s">
        <v>842</v>
      </c>
      <c r="U226" s="1026">
        <v>0.38391819660701837</v>
      </c>
      <c r="V226" s="1018">
        <v>2.6509999999999998</v>
      </c>
      <c r="W226" s="1018"/>
      <c r="X226" s="1018">
        <v>225</v>
      </c>
    </row>
    <row r="227" spans="1:24">
      <c r="A227" s="906">
        <v>226</v>
      </c>
      <c r="B227" s="906" t="s">
        <v>1531</v>
      </c>
      <c r="C227" s="906">
        <v>55133</v>
      </c>
      <c r="D227" s="906" t="s">
        <v>1257</v>
      </c>
      <c r="E227" s="906" t="s">
        <v>1258</v>
      </c>
      <c r="F227" s="1015">
        <f t="shared" ref="F227:L227" si="95">O124</f>
        <v>0</v>
      </c>
      <c r="G227" s="1014">
        <f t="shared" si="95"/>
        <v>65</v>
      </c>
      <c r="H227" s="1014">
        <f t="shared" si="95"/>
        <v>43</v>
      </c>
      <c r="I227" s="1014">
        <f t="shared" si="95"/>
        <v>68</v>
      </c>
      <c r="J227" s="1013">
        <f t="shared" si="95"/>
        <v>36</v>
      </c>
      <c r="K227" s="1012">
        <f t="shared" si="95"/>
        <v>28.562911929118126</v>
      </c>
      <c r="L227" s="1011">
        <f t="shared" si="95"/>
        <v>0.25218417118295644</v>
      </c>
      <c r="N227" s="1032" t="s">
        <v>1530</v>
      </c>
      <c r="O227" s="1031"/>
      <c r="P227" s="1030">
        <v>70</v>
      </c>
      <c r="Q227" s="1029">
        <v>40</v>
      </c>
      <c r="R227" s="1029">
        <v>80</v>
      </c>
      <c r="S227" s="1028">
        <v>40</v>
      </c>
      <c r="T227" s="1027"/>
      <c r="U227" s="1026">
        <v>0.2169264724372677</v>
      </c>
      <c r="V227" s="1018">
        <v>17.438420999999998</v>
      </c>
      <c r="W227" s="1018"/>
      <c r="X227" s="1018">
        <v>226</v>
      </c>
    </row>
    <row r="228" spans="1:24">
      <c r="A228" s="906">
        <v>227</v>
      </c>
      <c r="B228" s="906" t="s">
        <v>1529</v>
      </c>
      <c r="C228" s="906">
        <v>45973</v>
      </c>
      <c r="D228" s="906" t="s">
        <v>1256</v>
      </c>
      <c r="E228" s="906" t="s">
        <v>1258</v>
      </c>
      <c r="F228" s="1015"/>
      <c r="G228" s="1014"/>
      <c r="H228" s="1014"/>
      <c r="I228" s="1014"/>
      <c r="J228" s="1013"/>
      <c r="K228" s="1012"/>
      <c r="L228" s="1011"/>
      <c r="N228" s="1032" t="s">
        <v>1528</v>
      </c>
      <c r="O228" s="1031"/>
      <c r="P228" s="1030">
        <v>76</v>
      </c>
      <c r="Q228" s="1029">
        <v>39</v>
      </c>
      <c r="R228" s="1029">
        <v>78</v>
      </c>
      <c r="S228" s="1028">
        <v>36</v>
      </c>
      <c r="T228" s="1027">
        <v>52.457577464788734</v>
      </c>
      <c r="U228" s="1026">
        <v>0.21452541485791693</v>
      </c>
      <c r="V228" s="1018">
        <v>25.513000000000002</v>
      </c>
      <c r="W228" s="1018"/>
      <c r="X228" s="1018">
        <v>227</v>
      </c>
    </row>
    <row r="229" spans="1:24">
      <c r="A229" s="906">
        <v>228</v>
      </c>
      <c r="B229" s="906" t="s">
        <v>1527</v>
      </c>
      <c r="C229" s="906">
        <v>29189</v>
      </c>
      <c r="D229" s="906" t="s">
        <v>1256</v>
      </c>
      <c r="E229" s="906" t="s">
        <v>1258</v>
      </c>
      <c r="F229" s="1015">
        <f t="shared" ref="F229:L230" si="96">O125</f>
        <v>2.4506092104357405E-2</v>
      </c>
      <c r="G229" s="1014">
        <f t="shared" si="96"/>
        <v>70</v>
      </c>
      <c r="H229" s="1014">
        <f t="shared" si="96"/>
        <v>36</v>
      </c>
      <c r="I229" s="1014">
        <f t="shared" si="96"/>
        <v>75</v>
      </c>
      <c r="J229" s="1013">
        <f t="shared" si="96"/>
        <v>33</v>
      </c>
      <c r="K229" s="1012">
        <f t="shared" si="96"/>
        <v>35.419468841367362</v>
      </c>
      <c r="L229" s="1011">
        <f t="shared" si="96"/>
        <v>0.27393973608072825</v>
      </c>
      <c r="N229" s="1032" t="s">
        <v>1526</v>
      </c>
      <c r="O229" s="1031">
        <v>8.6365306872473353E-3</v>
      </c>
      <c r="P229" s="1030">
        <v>71</v>
      </c>
      <c r="Q229" s="1029">
        <v>37</v>
      </c>
      <c r="R229" s="1029">
        <v>76</v>
      </c>
      <c r="S229" s="1028">
        <v>36</v>
      </c>
      <c r="T229" s="1027" t="s">
        <v>842</v>
      </c>
      <c r="U229" s="1026">
        <v>0.4715477293790547</v>
      </c>
      <c r="V229" s="1018">
        <v>5.702</v>
      </c>
      <c r="W229" s="1018"/>
      <c r="X229" s="1018">
        <v>228</v>
      </c>
    </row>
    <row r="230" spans="1:24">
      <c r="A230" s="906">
        <v>229</v>
      </c>
      <c r="B230" s="906" t="s">
        <v>1525</v>
      </c>
      <c r="C230" s="906">
        <v>29189</v>
      </c>
      <c r="D230" s="906" t="s">
        <v>1256</v>
      </c>
      <c r="E230" s="906" t="s">
        <v>1258</v>
      </c>
      <c r="F230" s="1015">
        <f t="shared" si="96"/>
        <v>0</v>
      </c>
      <c r="G230" s="1014">
        <f t="shared" si="96"/>
        <v>75</v>
      </c>
      <c r="H230" s="1014">
        <f t="shared" si="96"/>
        <v>43</v>
      </c>
      <c r="I230" s="1014">
        <f t="shared" si="96"/>
        <v>80</v>
      </c>
      <c r="J230" s="1013">
        <f t="shared" si="96"/>
        <v>40</v>
      </c>
      <c r="K230" s="1012" t="str">
        <f t="shared" si="96"/>
        <v/>
      </c>
      <c r="L230" s="1011">
        <f t="shared" si="96"/>
        <v>0.26871273487421904</v>
      </c>
      <c r="N230" s="1032" t="s">
        <v>1524</v>
      </c>
      <c r="O230" s="1031"/>
      <c r="P230" s="1030">
        <v>80</v>
      </c>
      <c r="Q230" s="1029">
        <v>40</v>
      </c>
      <c r="R230" s="1029">
        <v>80</v>
      </c>
      <c r="S230" s="1028">
        <v>40</v>
      </c>
      <c r="T230" s="1027">
        <v>35.000006226187431</v>
      </c>
      <c r="U230" s="1026">
        <v>0.1961182278067885</v>
      </c>
      <c r="V230" s="1018">
        <v>78.819000000000003</v>
      </c>
      <c r="W230" s="1018"/>
      <c r="X230" s="1018">
        <v>229</v>
      </c>
    </row>
    <row r="231" spans="1:24">
      <c r="A231" s="906">
        <v>230</v>
      </c>
      <c r="B231" s="906" t="s">
        <v>1523</v>
      </c>
      <c r="C231" s="906">
        <v>55133</v>
      </c>
      <c r="D231" s="906" t="s">
        <v>1257</v>
      </c>
      <c r="E231" s="906" t="s">
        <v>1258</v>
      </c>
      <c r="F231" s="1015"/>
      <c r="G231" s="1014"/>
      <c r="H231" s="1014"/>
      <c r="I231" s="1014"/>
      <c r="J231" s="1013"/>
      <c r="K231" s="1012"/>
      <c r="L231" s="1011"/>
      <c r="N231" s="1032" t="s">
        <v>1350</v>
      </c>
      <c r="O231" s="1031"/>
      <c r="P231" s="1030">
        <v>63</v>
      </c>
      <c r="Q231" s="1029">
        <v>48</v>
      </c>
      <c r="R231" s="1029">
        <v>72</v>
      </c>
      <c r="S231" s="1028">
        <v>42</v>
      </c>
      <c r="T231" s="1027" t="s">
        <v>842</v>
      </c>
      <c r="U231" s="1026"/>
      <c r="V231" s="1018" t="s">
        <v>842</v>
      </c>
      <c r="W231" s="1018"/>
      <c r="X231" s="1018">
        <v>230</v>
      </c>
    </row>
    <row r="232" spans="1:24">
      <c r="A232" s="906">
        <v>231</v>
      </c>
      <c r="B232" s="906" t="s">
        <v>1522</v>
      </c>
      <c r="C232" s="906">
        <v>29189</v>
      </c>
      <c r="D232" s="906" t="s">
        <v>1256</v>
      </c>
      <c r="E232" s="906" t="s">
        <v>1258</v>
      </c>
      <c r="F232" s="1015"/>
      <c r="G232" s="1014"/>
      <c r="H232" s="1014"/>
      <c r="I232" s="1014"/>
      <c r="J232" s="1013"/>
      <c r="K232" s="1012"/>
      <c r="L232" s="1011"/>
      <c r="N232" s="1032" t="s">
        <v>1521</v>
      </c>
      <c r="O232" s="1031"/>
      <c r="P232" s="1030">
        <v>78</v>
      </c>
      <c r="Q232" s="1029">
        <v>51</v>
      </c>
      <c r="R232" s="1029">
        <v>85</v>
      </c>
      <c r="S232" s="1028">
        <v>42</v>
      </c>
      <c r="T232" s="1027" t="s">
        <v>842</v>
      </c>
      <c r="U232" s="1026">
        <v>0.15945465637516246</v>
      </c>
      <c r="V232" s="1018">
        <v>158.447</v>
      </c>
      <c r="W232" s="1018"/>
      <c r="X232" s="1018">
        <v>231</v>
      </c>
    </row>
    <row r="233" spans="1:24">
      <c r="A233" s="906">
        <v>232</v>
      </c>
      <c r="B233" s="906" t="s">
        <v>1520</v>
      </c>
      <c r="C233" s="906">
        <v>29189</v>
      </c>
      <c r="D233" s="906" t="s">
        <v>1256</v>
      </c>
      <c r="E233" s="906" t="s">
        <v>1258</v>
      </c>
      <c r="F233" s="1015">
        <f t="shared" ref="F233:L233" si="97">O128</f>
        <v>0</v>
      </c>
      <c r="G233" s="1014">
        <f t="shared" si="97"/>
        <v>70</v>
      </c>
      <c r="H233" s="1014">
        <f t="shared" si="97"/>
        <v>42</v>
      </c>
      <c r="I233" s="1014">
        <f t="shared" si="97"/>
        <v>72</v>
      </c>
      <c r="J233" s="1013">
        <f t="shared" si="97"/>
        <v>35</v>
      </c>
      <c r="K233" s="1012">
        <f t="shared" si="97"/>
        <v>31.90301255026986</v>
      </c>
      <c r="L233" s="1011">
        <f t="shared" si="97"/>
        <v>0.24153851746828081</v>
      </c>
      <c r="N233" s="1032" t="s">
        <v>1519</v>
      </c>
      <c r="O233" s="1031"/>
      <c r="P233" s="1030">
        <v>68</v>
      </c>
      <c r="Q233" s="1029">
        <v>0</v>
      </c>
      <c r="R233" s="1029">
        <v>75</v>
      </c>
      <c r="S233" s="1028">
        <v>0</v>
      </c>
      <c r="T233" s="1027" t="s">
        <v>842</v>
      </c>
      <c r="U233" s="1026"/>
      <c r="V233" s="1018" t="s">
        <v>842</v>
      </c>
      <c r="W233" s="1018"/>
      <c r="X233" s="1018">
        <v>232</v>
      </c>
    </row>
    <row r="234" spans="1:24">
      <c r="A234" s="906">
        <v>233</v>
      </c>
      <c r="B234" s="906" t="s">
        <v>1518</v>
      </c>
      <c r="C234" s="906">
        <v>29189</v>
      </c>
      <c r="D234" s="906" t="s">
        <v>1256</v>
      </c>
      <c r="E234" s="906" t="s">
        <v>1258</v>
      </c>
      <c r="F234" s="1015"/>
      <c r="G234" s="1014"/>
      <c r="H234" s="1014"/>
      <c r="I234" s="1014"/>
      <c r="J234" s="1013"/>
      <c r="K234" s="1012"/>
      <c r="L234" s="1011"/>
      <c r="N234" s="1032" t="s">
        <v>1346</v>
      </c>
      <c r="O234" s="1031"/>
      <c r="P234" s="1030">
        <v>75</v>
      </c>
      <c r="Q234" s="1029">
        <v>45</v>
      </c>
      <c r="R234" s="1029">
        <v>78</v>
      </c>
      <c r="S234" s="1028">
        <v>41</v>
      </c>
      <c r="T234" s="1027">
        <v>36.022074999995993</v>
      </c>
      <c r="U234" s="1026">
        <v>0.23532574071983792</v>
      </c>
      <c r="V234" s="1018">
        <v>399.69600000000003</v>
      </c>
      <c r="W234" s="1018"/>
      <c r="X234" s="1018">
        <v>233</v>
      </c>
    </row>
    <row r="235" spans="1:24">
      <c r="A235" s="906">
        <v>234</v>
      </c>
      <c r="B235" s="906" t="s">
        <v>1517</v>
      </c>
      <c r="C235" s="906">
        <v>29189</v>
      </c>
      <c r="D235" s="906" t="s">
        <v>1256</v>
      </c>
      <c r="E235" s="906" t="s">
        <v>1258</v>
      </c>
      <c r="F235" s="1015">
        <f t="shared" ref="F235:L235" si="98">O129</f>
        <v>0</v>
      </c>
      <c r="G235" s="1014">
        <f t="shared" si="98"/>
        <v>68</v>
      </c>
      <c r="H235" s="1014">
        <f t="shared" si="98"/>
        <v>44</v>
      </c>
      <c r="I235" s="1014">
        <f t="shared" si="98"/>
        <v>70</v>
      </c>
      <c r="J235" s="1013">
        <f t="shared" si="98"/>
        <v>39</v>
      </c>
      <c r="K235" s="1012">
        <f t="shared" si="98"/>
        <v>27.076615304008193</v>
      </c>
      <c r="L235" s="1011">
        <f t="shared" si="98"/>
        <v>0.49924357034795763</v>
      </c>
      <c r="N235" s="1032" t="s">
        <v>1344</v>
      </c>
      <c r="O235" s="1031"/>
      <c r="P235" s="1030">
        <v>100</v>
      </c>
      <c r="Q235" s="1029">
        <v>50</v>
      </c>
      <c r="R235" s="1029">
        <v>115</v>
      </c>
      <c r="S235" s="1028">
        <v>50</v>
      </c>
      <c r="T235" s="1027" t="s">
        <v>842</v>
      </c>
      <c r="U235" s="1026">
        <v>2.4610781342834634E-2</v>
      </c>
      <c r="V235" s="1018">
        <v>2094.7809999999999</v>
      </c>
      <c r="W235" s="1018"/>
      <c r="X235" s="1018">
        <v>234</v>
      </c>
    </row>
    <row r="236" spans="1:24">
      <c r="A236" s="906">
        <v>235</v>
      </c>
      <c r="B236" s="906" t="s">
        <v>1516</v>
      </c>
      <c r="C236" s="906">
        <v>29189</v>
      </c>
      <c r="D236" s="906" t="s">
        <v>1256</v>
      </c>
      <c r="E236" s="906" t="s">
        <v>1258</v>
      </c>
      <c r="F236" s="1015"/>
      <c r="G236" s="1014"/>
      <c r="H236" s="1014"/>
      <c r="I236" s="1014"/>
      <c r="J236" s="1013"/>
      <c r="K236" s="1012"/>
      <c r="L236" s="1011"/>
      <c r="N236" s="1032" t="s">
        <v>1515</v>
      </c>
      <c r="O236" s="1031">
        <v>2.9994380443944927E-2</v>
      </c>
      <c r="P236" s="1030">
        <v>66</v>
      </c>
      <c r="Q236" s="1029">
        <v>35</v>
      </c>
      <c r="R236" s="1029">
        <v>66</v>
      </c>
      <c r="S236" s="1028">
        <v>33</v>
      </c>
      <c r="T236" s="1027" t="s">
        <v>842</v>
      </c>
      <c r="U236" s="1026">
        <v>0.18794264610036926</v>
      </c>
      <c r="V236" s="1018">
        <v>11.213700000000001</v>
      </c>
      <c r="W236" s="1018"/>
      <c r="X236" s="1018">
        <v>235</v>
      </c>
    </row>
    <row r="237" spans="1:24">
      <c r="A237" s="906">
        <v>236</v>
      </c>
      <c r="B237" s="906" t="s">
        <v>1514</v>
      </c>
      <c r="C237" s="906">
        <v>29189</v>
      </c>
      <c r="D237" s="906" t="s">
        <v>1256</v>
      </c>
      <c r="E237" s="906" t="s">
        <v>1258</v>
      </c>
      <c r="F237" s="1015">
        <f t="shared" ref="F237:L237" si="99">O130</f>
        <v>0</v>
      </c>
      <c r="G237" s="1014">
        <f t="shared" si="99"/>
        <v>66</v>
      </c>
      <c r="H237" s="1014">
        <f t="shared" si="99"/>
        <v>37</v>
      </c>
      <c r="I237" s="1014">
        <f t="shared" si="99"/>
        <v>65</v>
      </c>
      <c r="J237" s="1013">
        <f t="shared" si="99"/>
        <v>35</v>
      </c>
      <c r="K237" s="1012" t="str">
        <f t="shared" si="99"/>
        <v/>
      </c>
      <c r="L237" s="1011">
        <f t="shared" si="99"/>
        <v>0.22099775357097445</v>
      </c>
      <c r="N237" s="1032" t="s">
        <v>1513</v>
      </c>
      <c r="O237" s="1031"/>
      <c r="P237" s="1034">
        <v>125</v>
      </c>
      <c r="Q237" s="1018">
        <v>63</v>
      </c>
      <c r="R237" s="1018">
        <v>125</v>
      </c>
      <c r="S237" s="1033">
        <v>60</v>
      </c>
      <c r="T237" s="1027" t="s">
        <v>842</v>
      </c>
      <c r="U237" s="1026">
        <v>5.0171516695280242E-2</v>
      </c>
      <c r="V237" s="1018">
        <v>1152.9739999999999</v>
      </c>
      <c r="W237" s="1018"/>
      <c r="X237" s="1018">
        <v>236</v>
      </c>
    </row>
    <row r="238" spans="1:24" ht="15.6">
      <c r="A238" s="906">
        <v>237</v>
      </c>
      <c r="B238" s="906" t="s">
        <v>1512</v>
      </c>
      <c r="C238" s="906">
        <v>55133</v>
      </c>
      <c r="D238" s="906" t="s">
        <v>1257</v>
      </c>
      <c r="E238" s="906" t="s">
        <v>1258</v>
      </c>
      <c r="F238" s="1015">
        <f t="shared" ref="F238:K238" si="100">O131</f>
        <v>0</v>
      </c>
      <c r="G238" s="1014">
        <f t="shared" si="100"/>
        <v>60.38</v>
      </c>
      <c r="H238" s="1014">
        <f t="shared" si="100"/>
        <v>38</v>
      </c>
      <c r="I238" s="1014">
        <f t="shared" si="100"/>
        <v>68</v>
      </c>
      <c r="J238" s="1013">
        <f t="shared" si="100"/>
        <v>35</v>
      </c>
      <c r="K238" s="1012" t="str">
        <f t="shared" si="100"/>
        <v/>
      </c>
      <c r="L238" s="1016">
        <v>0.17374718282373314</v>
      </c>
      <c r="N238" s="1032" t="s">
        <v>1342</v>
      </c>
      <c r="O238" s="1031">
        <v>2.2939456417796597E-3</v>
      </c>
      <c r="P238" s="1030">
        <v>67</v>
      </c>
      <c r="Q238" s="1029">
        <v>41</v>
      </c>
      <c r="R238" s="1029">
        <v>78</v>
      </c>
      <c r="S238" s="1028">
        <v>38</v>
      </c>
      <c r="T238" s="1027">
        <v>36.03034015456042</v>
      </c>
      <c r="U238" s="1026">
        <v>0.23961749844871907</v>
      </c>
      <c r="V238" s="1018">
        <v>274.49200000000002</v>
      </c>
      <c r="W238" s="1018"/>
      <c r="X238" s="1018">
        <v>237</v>
      </c>
    </row>
    <row r="239" spans="1:24">
      <c r="A239" s="906">
        <v>238</v>
      </c>
      <c r="B239" s="906" t="s">
        <v>1511</v>
      </c>
      <c r="C239" s="906">
        <v>29189</v>
      </c>
      <c r="D239" s="906" t="s">
        <v>1256</v>
      </c>
      <c r="E239" s="906" t="s">
        <v>1258</v>
      </c>
      <c r="F239" s="1015"/>
      <c r="G239" s="1014"/>
      <c r="H239" s="1014"/>
      <c r="I239" s="1014"/>
      <c r="J239" s="1013"/>
      <c r="K239" s="1012"/>
      <c r="L239" s="1011"/>
      <c r="N239" s="1032" t="s">
        <v>1341</v>
      </c>
      <c r="O239" s="1031"/>
      <c r="P239" s="1030">
        <v>66.8</v>
      </c>
      <c r="Q239" s="1029">
        <v>41.3</v>
      </c>
      <c r="R239" s="1029">
        <v>68.5</v>
      </c>
      <c r="S239" s="1028">
        <v>39.200000000000003</v>
      </c>
      <c r="T239" s="1027">
        <v>28.157887120078705</v>
      </c>
      <c r="U239" s="1026">
        <v>0.23081406264668147</v>
      </c>
      <c r="V239" s="1018">
        <v>196.64699999999999</v>
      </c>
      <c r="W239" s="1018"/>
      <c r="X239" s="1018">
        <v>238</v>
      </c>
    </row>
    <row r="240" spans="1:24">
      <c r="A240" s="906">
        <v>239</v>
      </c>
      <c r="B240" s="906" t="s">
        <v>1510</v>
      </c>
      <c r="C240" s="906">
        <v>29189</v>
      </c>
      <c r="D240" s="906" t="s">
        <v>1256</v>
      </c>
      <c r="E240" s="906" t="s">
        <v>1258</v>
      </c>
      <c r="F240" s="1015"/>
      <c r="G240" s="1014"/>
      <c r="H240" s="1014"/>
      <c r="I240" s="1014"/>
      <c r="J240" s="1013"/>
      <c r="K240" s="1012"/>
      <c r="L240" s="1011"/>
      <c r="N240" s="1032" t="s">
        <v>1340</v>
      </c>
      <c r="O240" s="1031">
        <v>3.4953395472703062E-2</v>
      </c>
      <c r="P240" s="1030">
        <v>71</v>
      </c>
      <c r="Q240" s="1029">
        <v>37</v>
      </c>
      <c r="R240" s="1029">
        <v>77</v>
      </c>
      <c r="S240" s="1028">
        <v>32</v>
      </c>
      <c r="T240" s="1027" t="s">
        <v>842</v>
      </c>
      <c r="U240" s="1026">
        <v>0.24870645050017248</v>
      </c>
      <c r="V240" s="1018">
        <v>28.314</v>
      </c>
      <c r="W240" s="1018"/>
      <c r="X240" s="1018">
        <v>239</v>
      </c>
    </row>
    <row r="241" spans="1:24">
      <c r="A241" s="906">
        <v>240</v>
      </c>
      <c r="B241" s="906" t="s">
        <v>1509</v>
      </c>
      <c r="C241" s="906">
        <v>28856</v>
      </c>
      <c r="D241" s="906" t="s">
        <v>1256</v>
      </c>
      <c r="E241" s="906" t="s">
        <v>1258</v>
      </c>
      <c r="F241" s="1015">
        <f t="shared" ref="F241:L241" si="101">O132</f>
        <v>0.2041240088577756</v>
      </c>
      <c r="G241" s="1014">
        <f t="shared" si="101"/>
        <v>70</v>
      </c>
      <c r="H241" s="1014">
        <f t="shared" si="101"/>
        <v>42</v>
      </c>
      <c r="I241" s="1014">
        <f t="shared" si="101"/>
        <v>72</v>
      </c>
      <c r="J241" s="1013">
        <f t="shared" si="101"/>
        <v>35</v>
      </c>
      <c r="K241" s="1012">
        <f t="shared" si="101"/>
        <v>27.81311459801638</v>
      </c>
      <c r="L241" s="1011">
        <f t="shared" si="101"/>
        <v>0.24184353444267848</v>
      </c>
      <c r="N241" s="1032" t="s">
        <v>1508</v>
      </c>
      <c r="O241" s="1031">
        <v>8.3595919483172906E-3</v>
      </c>
      <c r="P241" s="1030">
        <v>65</v>
      </c>
      <c r="Q241" s="1029">
        <v>35</v>
      </c>
      <c r="R241" s="1029">
        <v>72</v>
      </c>
      <c r="S241" s="1028">
        <v>34</v>
      </c>
      <c r="T241" s="1027">
        <v>42.243755862120082</v>
      </c>
      <c r="U241" s="1026">
        <v>0.24847939640162503</v>
      </c>
      <c r="V241" s="1018">
        <v>25.897400000000001</v>
      </c>
      <c r="W241" s="1018"/>
      <c r="X241" s="1018">
        <v>240</v>
      </c>
    </row>
    <row r="242" spans="1:24">
      <c r="A242" s="906">
        <v>241</v>
      </c>
      <c r="B242" s="906" t="s">
        <v>1507</v>
      </c>
      <c r="C242" s="906">
        <v>29189</v>
      </c>
      <c r="D242" s="906" t="s">
        <v>1256</v>
      </c>
      <c r="E242" s="906" t="s">
        <v>1258</v>
      </c>
      <c r="F242" s="1015"/>
      <c r="G242" s="1014"/>
      <c r="H242" s="1014"/>
      <c r="I242" s="1014"/>
      <c r="J242" s="1013"/>
      <c r="K242" s="1012"/>
      <c r="L242" s="1011"/>
      <c r="N242" s="1032" t="s">
        <v>1506</v>
      </c>
      <c r="O242" s="1031"/>
      <c r="P242" s="1030">
        <v>68</v>
      </c>
      <c r="Q242" s="1029">
        <v>0</v>
      </c>
      <c r="R242" s="1029">
        <v>74</v>
      </c>
      <c r="S242" s="1028">
        <v>0</v>
      </c>
      <c r="T242" s="1027" t="s">
        <v>842</v>
      </c>
      <c r="U242" s="1026">
        <v>0.31993156544054746</v>
      </c>
      <c r="V242" s="1018">
        <v>3.18</v>
      </c>
      <c r="W242" s="1018"/>
      <c r="X242" s="1018">
        <v>241</v>
      </c>
    </row>
    <row r="243" spans="1:24">
      <c r="A243" s="906">
        <v>242</v>
      </c>
      <c r="B243" s="906" t="s">
        <v>1505</v>
      </c>
      <c r="C243" s="906">
        <v>29189</v>
      </c>
      <c r="D243" s="906" t="s">
        <v>1256</v>
      </c>
      <c r="E243" s="906" t="s">
        <v>1258</v>
      </c>
      <c r="F243" s="1015"/>
      <c r="G243" s="1014"/>
      <c r="H243" s="1014"/>
      <c r="I243" s="1014"/>
      <c r="J243" s="1013"/>
      <c r="K243" s="1012"/>
      <c r="L243" s="1011"/>
      <c r="N243" s="1032" t="s">
        <v>1334</v>
      </c>
      <c r="O243" s="1031"/>
      <c r="P243" s="1034">
        <v>76</v>
      </c>
      <c r="Q243" s="1018">
        <v>42</v>
      </c>
      <c r="R243" s="1018">
        <v>76</v>
      </c>
      <c r="S243" s="1033">
        <v>39</v>
      </c>
      <c r="T243" s="1027">
        <v>38.756086174042636</v>
      </c>
      <c r="U243" s="1026">
        <v>0.25674584447590576</v>
      </c>
      <c r="V243" s="1018">
        <v>39.374203880000003</v>
      </c>
      <c r="W243" s="1018"/>
      <c r="X243" s="1018">
        <v>242</v>
      </c>
    </row>
    <row r="244" spans="1:24">
      <c r="A244" s="906">
        <v>243</v>
      </c>
      <c r="B244" s="906" t="s">
        <v>1504</v>
      </c>
      <c r="C244" s="906">
        <v>29189</v>
      </c>
      <c r="D244" s="906" t="s">
        <v>1256</v>
      </c>
      <c r="E244" s="906" t="s">
        <v>1259</v>
      </c>
      <c r="F244" s="1015"/>
      <c r="G244" s="1014"/>
      <c r="H244" s="1014"/>
      <c r="I244" s="1014"/>
      <c r="J244" s="1013"/>
      <c r="K244" s="1012"/>
      <c r="L244" s="1011"/>
      <c r="N244" s="1032" t="s">
        <v>1503</v>
      </c>
      <c r="O244" s="1031"/>
      <c r="P244" s="1030">
        <v>67</v>
      </c>
      <c r="Q244" s="1029">
        <v>42</v>
      </c>
      <c r="R244" s="1029">
        <v>70</v>
      </c>
      <c r="S244" s="1028">
        <v>37</v>
      </c>
      <c r="T244" s="1027" t="s">
        <v>842</v>
      </c>
      <c r="U244" s="1026">
        <v>0.40074330242143225</v>
      </c>
      <c r="V244" s="1018">
        <v>4.6526290000000001</v>
      </c>
      <c r="W244" s="1018"/>
      <c r="X244" s="1018">
        <v>243</v>
      </c>
    </row>
    <row r="245" spans="1:24">
      <c r="A245" s="906">
        <v>244</v>
      </c>
      <c r="B245" s="906" t="s">
        <v>1502</v>
      </c>
      <c r="C245" s="906">
        <v>29189</v>
      </c>
      <c r="D245" s="906" t="s">
        <v>1257</v>
      </c>
      <c r="E245" s="906" t="s">
        <v>1258</v>
      </c>
      <c r="F245" s="1015">
        <f t="shared" ref="F245:L245" si="102">O133</f>
        <v>0</v>
      </c>
      <c r="G245" s="1014">
        <f t="shared" si="102"/>
        <v>64</v>
      </c>
      <c r="H245" s="1014">
        <f t="shared" si="102"/>
        <v>45</v>
      </c>
      <c r="I245" s="1014">
        <f t="shared" si="102"/>
        <v>65</v>
      </c>
      <c r="J245" s="1013">
        <f t="shared" si="102"/>
        <v>40</v>
      </c>
      <c r="K245" s="1012" t="str">
        <f t="shared" si="102"/>
        <v/>
      </c>
      <c r="L245" s="1011">
        <f t="shared" si="102"/>
        <v>0.19586194937631596</v>
      </c>
      <c r="N245" s="1032" t="s">
        <v>1501</v>
      </c>
      <c r="O245" s="1031"/>
      <c r="P245" s="1030">
        <v>68</v>
      </c>
      <c r="Q245" s="1029">
        <v>45</v>
      </c>
      <c r="R245" s="1029">
        <v>70</v>
      </c>
      <c r="S245" s="1028">
        <v>43</v>
      </c>
      <c r="T245" s="1027" t="s">
        <v>842</v>
      </c>
      <c r="U245" s="1026">
        <v>0.17581161874834209</v>
      </c>
      <c r="V245" s="1018">
        <v>40.390999999999998</v>
      </c>
      <c r="W245" s="1018"/>
      <c r="X245" s="1018">
        <v>244</v>
      </c>
    </row>
    <row r="246" spans="1:24" ht="15.6">
      <c r="A246" s="906">
        <v>245</v>
      </c>
      <c r="B246" s="906" t="s">
        <v>1500</v>
      </c>
      <c r="C246" s="906">
        <v>29188</v>
      </c>
      <c r="D246" s="906" t="s">
        <v>1256</v>
      </c>
      <c r="E246" s="906" t="s">
        <v>1258</v>
      </c>
      <c r="F246" s="1015">
        <f t="shared" ref="F246:K246" si="103">O134</f>
        <v>0</v>
      </c>
      <c r="G246" s="1014">
        <f t="shared" si="103"/>
        <v>73</v>
      </c>
      <c r="H246" s="1014">
        <f t="shared" si="103"/>
        <v>0</v>
      </c>
      <c r="I246" s="1014">
        <f t="shared" si="103"/>
        <v>73</v>
      </c>
      <c r="J246" s="1013">
        <f t="shared" si="103"/>
        <v>0</v>
      </c>
      <c r="K246" s="1012" t="str">
        <f t="shared" si="103"/>
        <v/>
      </c>
      <c r="L246" s="1016">
        <v>0.22800028617798151</v>
      </c>
      <c r="N246" s="1032" t="s">
        <v>1499</v>
      </c>
      <c r="O246" s="1031"/>
      <c r="P246" s="1030">
        <v>73</v>
      </c>
      <c r="Q246" s="1029">
        <v>40</v>
      </c>
      <c r="R246" s="1029">
        <v>74</v>
      </c>
      <c r="S246" s="1028">
        <v>38</v>
      </c>
      <c r="T246" s="1027">
        <v>33.293261760135614</v>
      </c>
      <c r="U246" s="1026">
        <v>0.48748877941981389</v>
      </c>
      <c r="V246" s="1018">
        <v>2.8090739999999998</v>
      </c>
      <c r="W246" s="1018"/>
      <c r="X246" s="1018">
        <v>245</v>
      </c>
    </row>
    <row r="247" spans="1:24">
      <c r="A247" s="906">
        <v>246</v>
      </c>
      <c r="B247" s="906" t="s">
        <v>1498</v>
      </c>
      <c r="C247" s="906">
        <v>41333</v>
      </c>
      <c r="D247" s="906" t="s">
        <v>1256</v>
      </c>
      <c r="E247" s="906" t="s">
        <v>1258</v>
      </c>
      <c r="F247" s="1015"/>
      <c r="G247" s="1014"/>
      <c r="H247" s="1014"/>
      <c r="I247" s="1014"/>
      <c r="J247" s="1013"/>
      <c r="K247" s="1012"/>
      <c r="L247" s="1011"/>
      <c r="N247" s="1032" t="s">
        <v>1497</v>
      </c>
      <c r="O247" s="1031"/>
      <c r="P247" s="1030">
        <v>74</v>
      </c>
      <c r="Q247" s="1029">
        <v>39</v>
      </c>
      <c r="R247" s="1029">
        <v>76</v>
      </c>
      <c r="S247" s="1028">
        <v>34</v>
      </c>
      <c r="T247" s="1027" t="s">
        <v>842</v>
      </c>
      <c r="U247" s="1026">
        <v>0.25546265720508676</v>
      </c>
      <c r="V247" s="1018">
        <v>10.597</v>
      </c>
      <c r="W247" s="1018"/>
      <c r="X247" s="1018">
        <v>246</v>
      </c>
    </row>
    <row r="248" spans="1:24">
      <c r="A248" s="906">
        <v>247</v>
      </c>
      <c r="B248" s="906" t="s">
        <v>1496</v>
      </c>
      <c r="C248" s="906">
        <v>44023</v>
      </c>
      <c r="D248" s="906" t="s">
        <v>1257</v>
      </c>
      <c r="E248" s="906" t="s">
        <v>1259</v>
      </c>
      <c r="F248" s="1015">
        <f t="shared" ref="F248:L248" si="104">O135</f>
        <v>0</v>
      </c>
      <c r="G248" s="1014">
        <f t="shared" si="104"/>
        <v>73</v>
      </c>
      <c r="H248" s="1014">
        <f t="shared" si="104"/>
        <v>0</v>
      </c>
      <c r="I248" s="1014">
        <f t="shared" si="104"/>
        <v>73</v>
      </c>
      <c r="J248" s="1013">
        <f t="shared" si="104"/>
        <v>0</v>
      </c>
      <c r="K248" s="1012">
        <f t="shared" si="104"/>
        <v>28.55022805146475</v>
      </c>
      <c r="L248" s="1011">
        <f t="shared" si="104"/>
        <v>0.26233766233766231</v>
      </c>
      <c r="N248" s="1032" t="s">
        <v>1495</v>
      </c>
      <c r="O248" s="1031">
        <v>3.4430193439865435E-3</v>
      </c>
      <c r="P248" s="1030">
        <v>66</v>
      </c>
      <c r="Q248" s="1029">
        <v>39</v>
      </c>
      <c r="R248" s="1029">
        <v>70</v>
      </c>
      <c r="S248" s="1028">
        <v>36</v>
      </c>
      <c r="T248" s="1027">
        <v>31.196659204408473</v>
      </c>
      <c r="U248" s="1026">
        <v>0.21267505340612392</v>
      </c>
      <c r="V248" s="1018">
        <v>29.853000000000002</v>
      </c>
      <c r="W248" s="1018"/>
      <c r="X248" s="1018">
        <v>247</v>
      </c>
    </row>
    <row r="249" spans="1:24">
      <c r="A249" s="906">
        <v>248</v>
      </c>
      <c r="B249" s="906" t="s">
        <v>1494</v>
      </c>
      <c r="C249" s="906">
        <v>29189</v>
      </c>
      <c r="D249" s="906" t="s">
        <v>1256</v>
      </c>
      <c r="E249" s="906" t="s">
        <v>1258</v>
      </c>
      <c r="F249" s="1015"/>
      <c r="G249" s="1014"/>
      <c r="H249" s="1014"/>
      <c r="I249" s="1014"/>
      <c r="J249" s="1013"/>
      <c r="K249" s="1012"/>
      <c r="L249" s="1011"/>
      <c r="N249" s="1032" t="s">
        <v>1493</v>
      </c>
      <c r="O249" s="1031"/>
      <c r="P249" s="1030">
        <v>67</v>
      </c>
      <c r="Q249" s="1029">
        <v>37</v>
      </c>
      <c r="R249" s="1029">
        <v>70</v>
      </c>
      <c r="S249" s="1028">
        <v>34</v>
      </c>
      <c r="T249" s="1027">
        <v>32.745812737811598</v>
      </c>
      <c r="U249" s="1026">
        <v>0.26686901704412797</v>
      </c>
      <c r="V249" s="1018">
        <v>9.42</v>
      </c>
      <c r="W249" s="1018"/>
      <c r="X249" s="1018">
        <v>248</v>
      </c>
    </row>
    <row r="250" spans="1:24">
      <c r="A250" s="906">
        <v>249</v>
      </c>
      <c r="B250" s="906" t="s">
        <v>1492</v>
      </c>
      <c r="C250" s="906">
        <v>29189</v>
      </c>
      <c r="D250" s="906" t="s">
        <v>1256</v>
      </c>
      <c r="E250" s="906" t="s">
        <v>1258</v>
      </c>
      <c r="F250" s="1015">
        <f t="shared" ref="F250:L250" si="105">O136</f>
        <v>7.3937588207621141E-2</v>
      </c>
      <c r="G250" s="1014">
        <f t="shared" si="105"/>
        <v>70</v>
      </c>
      <c r="H250" s="1014">
        <f t="shared" si="105"/>
        <v>34.5</v>
      </c>
      <c r="I250" s="1014">
        <f t="shared" si="105"/>
        <v>72</v>
      </c>
      <c r="J250" s="1013">
        <f t="shared" si="105"/>
        <v>33</v>
      </c>
      <c r="K250" s="1012">
        <f t="shared" si="105"/>
        <v>33.602151604771642</v>
      </c>
      <c r="L250" s="1011">
        <f t="shared" si="105"/>
        <v>0.21691643383286766</v>
      </c>
      <c r="N250" s="1032" t="s">
        <v>1491</v>
      </c>
      <c r="O250" s="1031">
        <v>6.973014434139879E-5</v>
      </c>
      <c r="P250" s="1030">
        <v>72</v>
      </c>
      <c r="Q250" s="1029">
        <v>39</v>
      </c>
      <c r="R250" s="1029">
        <v>76</v>
      </c>
      <c r="S250" s="1028">
        <v>34</v>
      </c>
      <c r="T250" s="1027">
        <v>34.869991065066671</v>
      </c>
      <c r="U250" s="1026">
        <v>0.26729428172942815</v>
      </c>
      <c r="V250" s="1018">
        <v>10.507</v>
      </c>
      <c r="W250" s="1018"/>
      <c r="X250" s="1018">
        <v>249</v>
      </c>
    </row>
    <row r="251" spans="1:24">
      <c r="A251" s="906">
        <v>250</v>
      </c>
      <c r="B251" s="906" t="s">
        <v>1490</v>
      </c>
      <c r="C251" s="906">
        <v>29189</v>
      </c>
      <c r="D251" s="906" t="s">
        <v>1256</v>
      </c>
      <c r="E251" s="906" t="s">
        <v>1258</v>
      </c>
      <c r="F251" s="1015">
        <f t="shared" ref="F251:L252" si="106">O138</f>
        <v>0</v>
      </c>
      <c r="G251" s="1014">
        <f t="shared" si="106"/>
        <v>72</v>
      </c>
      <c r="H251" s="1014">
        <f t="shared" si="106"/>
        <v>40</v>
      </c>
      <c r="I251" s="1014">
        <f t="shared" si="106"/>
        <v>72</v>
      </c>
      <c r="J251" s="1013">
        <f t="shared" si="106"/>
        <v>40</v>
      </c>
      <c r="K251" s="1012" t="str">
        <f t="shared" si="106"/>
        <v/>
      </c>
      <c r="L251" s="1011">
        <f t="shared" si="106"/>
        <v>0.2803927933776984</v>
      </c>
      <c r="N251" s="1032" t="s">
        <v>1489</v>
      </c>
      <c r="O251" s="1031"/>
      <c r="P251" s="1030">
        <v>66</v>
      </c>
      <c r="Q251" s="1029">
        <v>38</v>
      </c>
      <c r="R251" s="1029">
        <v>73</v>
      </c>
      <c r="S251" s="1028">
        <v>36</v>
      </c>
      <c r="T251" s="1027">
        <v>30.201102191033733</v>
      </c>
      <c r="U251" s="1026">
        <v>0.31531005647263249</v>
      </c>
      <c r="V251" s="1018">
        <v>6.3046249999999997</v>
      </c>
      <c r="W251" s="1018"/>
      <c r="X251" s="1018">
        <v>250</v>
      </c>
    </row>
    <row r="252" spans="1:24">
      <c r="A252" s="906">
        <v>251</v>
      </c>
      <c r="B252" s="906" t="s">
        <v>1488</v>
      </c>
      <c r="C252" s="906">
        <v>29189</v>
      </c>
      <c r="D252" s="906" t="s">
        <v>1256</v>
      </c>
      <c r="E252" s="906" t="s">
        <v>1259</v>
      </c>
      <c r="F252" s="1015">
        <f t="shared" si="106"/>
        <v>9.4308389379192305E-3</v>
      </c>
      <c r="G252" s="1014">
        <f t="shared" si="106"/>
        <v>67</v>
      </c>
      <c r="H252" s="1014">
        <f t="shared" si="106"/>
        <v>42</v>
      </c>
      <c r="I252" s="1014">
        <f t="shared" si="106"/>
        <v>81</v>
      </c>
      <c r="J252" s="1013">
        <f t="shared" si="106"/>
        <v>34</v>
      </c>
      <c r="K252" s="1012">
        <f t="shared" si="106"/>
        <v>32.415217939027464</v>
      </c>
      <c r="L252" s="1011">
        <f t="shared" si="106"/>
        <v>0.3305003819709702</v>
      </c>
      <c r="N252" s="1032" t="s">
        <v>1487</v>
      </c>
      <c r="O252" s="1031">
        <v>1.3805119957110307E-2</v>
      </c>
      <c r="P252" s="1030">
        <v>72</v>
      </c>
      <c r="Q252" s="1029">
        <v>41</v>
      </c>
      <c r="R252" s="1029">
        <v>73</v>
      </c>
      <c r="S252" s="1028">
        <v>39</v>
      </c>
      <c r="T252" s="1027"/>
      <c r="U252" s="1026">
        <v>0.45528676270725743</v>
      </c>
      <c r="V252" s="1018">
        <v>4.008</v>
      </c>
      <c r="W252" s="1018"/>
      <c r="X252" s="1018">
        <v>251</v>
      </c>
    </row>
    <row r="253" spans="1:24">
      <c r="A253" s="906">
        <v>252</v>
      </c>
      <c r="B253" s="906" t="s">
        <v>1485</v>
      </c>
      <c r="C253" s="906">
        <v>29189</v>
      </c>
      <c r="D253" s="906" t="s">
        <v>1257</v>
      </c>
      <c r="E253" s="906" t="s">
        <v>1258</v>
      </c>
      <c r="F253" s="1015"/>
      <c r="G253" s="1014"/>
      <c r="H253" s="1014"/>
      <c r="I253" s="1014"/>
      <c r="J253" s="1013"/>
      <c r="K253" s="1012"/>
      <c r="L253" s="1011"/>
      <c r="N253" s="1032" t="s">
        <v>1486</v>
      </c>
      <c r="O253" s="1031">
        <v>1.6757865937072503E-2</v>
      </c>
      <c r="P253" s="1030">
        <v>70</v>
      </c>
      <c r="Q253" s="1029">
        <v>0</v>
      </c>
      <c r="R253" s="1029">
        <v>80</v>
      </c>
      <c r="S253" s="1028">
        <v>0</v>
      </c>
      <c r="T253" s="1027" t="s">
        <v>842</v>
      </c>
      <c r="U253" s="1026">
        <v>0.30536956521739128</v>
      </c>
      <c r="V253" s="1018">
        <v>31.952999999999999</v>
      </c>
      <c r="W253" s="1018"/>
      <c r="X253" s="1018">
        <v>252</v>
      </c>
    </row>
    <row r="254" spans="1:24">
      <c r="A254" s="906">
        <v>253</v>
      </c>
      <c r="B254" s="906" t="s">
        <v>1485</v>
      </c>
      <c r="C254" s="906">
        <v>29189</v>
      </c>
      <c r="D254" s="906" t="s">
        <v>1256</v>
      </c>
      <c r="E254" s="906" t="s">
        <v>1258</v>
      </c>
      <c r="F254" s="1015"/>
      <c r="G254" s="1014"/>
      <c r="H254" s="1014"/>
      <c r="I254" s="1014"/>
      <c r="J254" s="1013"/>
      <c r="K254" s="1012"/>
      <c r="L254" s="1011"/>
      <c r="N254" s="1032" t="s">
        <v>1484</v>
      </c>
      <c r="O254" s="1031"/>
      <c r="P254" s="1030">
        <v>70</v>
      </c>
      <c r="Q254" s="1029">
        <v>35</v>
      </c>
      <c r="R254" s="1029">
        <v>75</v>
      </c>
      <c r="S254" s="1028">
        <v>32</v>
      </c>
      <c r="T254" s="1027">
        <v>39.619779176581176</v>
      </c>
      <c r="U254" s="1026">
        <v>0.22868686868686869</v>
      </c>
      <c r="V254" s="1018">
        <v>11.454000000000001</v>
      </c>
      <c r="W254" s="1018"/>
      <c r="X254" s="1018">
        <v>253</v>
      </c>
    </row>
    <row r="255" spans="1:24" ht="15.6">
      <c r="A255" s="906">
        <v>254</v>
      </c>
      <c r="B255" s="906" t="s">
        <v>1483</v>
      </c>
      <c r="C255" s="906">
        <v>29189</v>
      </c>
      <c r="D255" s="906" t="s">
        <v>1256</v>
      </c>
      <c r="E255" s="906" t="s">
        <v>1258</v>
      </c>
      <c r="F255" s="1015">
        <f t="shared" ref="F255:K257" si="107">O140</f>
        <v>0</v>
      </c>
      <c r="G255" s="1014">
        <f t="shared" si="107"/>
        <v>71</v>
      </c>
      <c r="H255" s="1014">
        <f t="shared" si="107"/>
        <v>0</v>
      </c>
      <c r="I255" s="1014">
        <f t="shared" si="107"/>
        <v>79</v>
      </c>
      <c r="J255" s="1013">
        <f t="shared" si="107"/>
        <v>0</v>
      </c>
      <c r="K255" s="1012" t="str">
        <f t="shared" si="107"/>
        <v/>
      </c>
      <c r="L255" s="1016">
        <v>0.22800028617798151</v>
      </c>
      <c r="N255" s="1032" t="s">
        <v>1482</v>
      </c>
      <c r="O255" s="1031"/>
      <c r="P255" s="1030">
        <v>73</v>
      </c>
      <c r="Q255" s="1029">
        <v>42</v>
      </c>
      <c r="R255" s="1029">
        <v>75</v>
      </c>
      <c r="S255" s="1028">
        <v>40</v>
      </c>
      <c r="T255" s="1027" t="s">
        <v>842</v>
      </c>
      <c r="U255" s="1026">
        <v>0.26005738797750855</v>
      </c>
      <c r="V255" s="1018">
        <v>204.23599999999999</v>
      </c>
      <c r="W255" s="1018"/>
      <c r="X255" s="1018">
        <v>254</v>
      </c>
    </row>
    <row r="256" spans="1:24">
      <c r="A256" s="906">
        <v>255</v>
      </c>
      <c r="B256" s="906" t="s">
        <v>1481</v>
      </c>
      <c r="C256" s="906">
        <v>29189</v>
      </c>
      <c r="D256" s="906" t="s">
        <v>1256</v>
      </c>
      <c r="E256" s="906" t="s">
        <v>1258</v>
      </c>
      <c r="F256" s="1015">
        <f t="shared" si="107"/>
        <v>0</v>
      </c>
      <c r="G256" s="1014">
        <f t="shared" si="107"/>
        <v>70</v>
      </c>
      <c r="H256" s="1014">
        <f t="shared" si="107"/>
        <v>41</v>
      </c>
      <c r="I256" s="1014">
        <f t="shared" si="107"/>
        <v>70</v>
      </c>
      <c r="J256" s="1013">
        <f t="shared" si="107"/>
        <v>41</v>
      </c>
      <c r="K256" s="1012" t="str">
        <f t="shared" si="107"/>
        <v/>
      </c>
      <c r="L256" s="1011">
        <f>U141</f>
        <v>0.31760591573840757</v>
      </c>
      <c r="N256" s="1032" t="s">
        <v>1480</v>
      </c>
      <c r="O256" s="1031"/>
      <c r="P256" s="1030">
        <v>75</v>
      </c>
      <c r="Q256" s="1029">
        <v>40</v>
      </c>
      <c r="R256" s="1029">
        <v>82</v>
      </c>
      <c r="S256" s="1028">
        <v>39</v>
      </c>
      <c r="T256" s="1027">
        <v>42.554670479371481</v>
      </c>
      <c r="U256" s="1026">
        <v>0.16509396556642708</v>
      </c>
      <c r="V256" s="1018">
        <v>73.992999999999995</v>
      </c>
      <c r="W256" s="1018"/>
      <c r="X256" s="1018">
        <v>255</v>
      </c>
    </row>
    <row r="257" spans="1:24" ht="15.6">
      <c r="A257" s="906">
        <v>256</v>
      </c>
      <c r="B257" s="906" t="s">
        <v>1479</v>
      </c>
      <c r="C257" s="906">
        <v>31210</v>
      </c>
      <c r="D257" s="906" t="s">
        <v>1257</v>
      </c>
      <c r="E257" s="906" t="s">
        <v>1258</v>
      </c>
      <c r="F257" s="1015">
        <f t="shared" si="107"/>
        <v>0</v>
      </c>
      <c r="G257" s="1014">
        <f t="shared" si="107"/>
        <v>60</v>
      </c>
      <c r="H257" s="1014">
        <f t="shared" si="107"/>
        <v>0</v>
      </c>
      <c r="I257" s="1014">
        <f t="shared" si="107"/>
        <v>80</v>
      </c>
      <c r="J257" s="1013">
        <f t="shared" si="107"/>
        <v>0</v>
      </c>
      <c r="K257" s="1012" t="str">
        <f t="shared" si="107"/>
        <v/>
      </c>
      <c r="L257" s="1016">
        <v>0.17374718282373314</v>
      </c>
      <c r="N257" s="1025" t="s">
        <v>1478</v>
      </c>
      <c r="O257" s="1024"/>
      <c r="P257" s="1023">
        <v>78</v>
      </c>
      <c r="Q257" s="1022">
        <v>40</v>
      </c>
      <c r="R257" s="1022">
        <v>82</v>
      </c>
      <c r="S257" s="1021">
        <v>35</v>
      </c>
      <c r="T257" s="1020" t="s">
        <v>842</v>
      </c>
      <c r="U257" s="1019">
        <v>0.2564394908904763</v>
      </c>
      <c r="V257" s="1018">
        <v>95.867999999999995</v>
      </c>
      <c r="W257" s="1018"/>
      <c r="X257" s="1018">
        <v>256</v>
      </c>
    </row>
    <row r="258" spans="1:24">
      <c r="A258" s="906">
        <v>257</v>
      </c>
      <c r="B258" s="906" t="s">
        <v>1477</v>
      </c>
      <c r="C258" s="906">
        <v>29188</v>
      </c>
      <c r="D258" s="906" t="s">
        <v>1256</v>
      </c>
      <c r="E258" s="906" t="s">
        <v>1259</v>
      </c>
      <c r="F258" s="1015">
        <f t="shared" ref="F258:L258" si="108">O150</f>
        <v>0</v>
      </c>
      <c r="G258" s="1014">
        <f t="shared" si="108"/>
        <v>75</v>
      </c>
      <c r="H258" s="1014">
        <f t="shared" si="108"/>
        <v>52</v>
      </c>
      <c r="I258" s="1014">
        <f t="shared" si="108"/>
        <v>80</v>
      </c>
      <c r="J258" s="1013">
        <f t="shared" si="108"/>
        <v>45</v>
      </c>
      <c r="K258" s="1012" t="str">
        <f t="shared" si="108"/>
        <v/>
      </c>
      <c r="L258" s="1011">
        <f t="shared" si="108"/>
        <v>0.25359712230215825</v>
      </c>
    </row>
    <row r="259" spans="1:24">
      <c r="A259" s="906">
        <v>258</v>
      </c>
      <c r="B259" s="906" t="s">
        <v>1476</v>
      </c>
      <c r="C259" s="906">
        <v>29189</v>
      </c>
      <c r="D259" s="906" t="s">
        <v>1256</v>
      </c>
      <c r="E259" s="906" t="s">
        <v>1258</v>
      </c>
      <c r="F259" s="1015"/>
      <c r="G259" s="1014"/>
      <c r="H259" s="1014"/>
      <c r="I259" s="1014"/>
      <c r="J259" s="1013"/>
      <c r="K259" s="1012"/>
      <c r="L259" s="1011"/>
    </row>
    <row r="260" spans="1:24">
      <c r="A260" s="906">
        <v>259</v>
      </c>
      <c r="B260" s="906" t="s">
        <v>1475</v>
      </c>
      <c r="C260" s="906">
        <v>23795</v>
      </c>
      <c r="D260" s="906" t="s">
        <v>1256</v>
      </c>
      <c r="E260" s="906" t="s">
        <v>1258</v>
      </c>
      <c r="F260" s="1015"/>
      <c r="G260" s="1014"/>
      <c r="H260" s="1014"/>
      <c r="I260" s="1014"/>
      <c r="J260" s="1013"/>
      <c r="K260" s="1012"/>
      <c r="L260" s="1011"/>
    </row>
    <row r="261" spans="1:24">
      <c r="A261" s="906">
        <v>260</v>
      </c>
      <c r="B261" s="906" t="s">
        <v>1475</v>
      </c>
      <c r="C261" s="906">
        <v>29189</v>
      </c>
      <c r="D261" s="906" t="s">
        <v>1256</v>
      </c>
      <c r="E261" s="906" t="s">
        <v>1258</v>
      </c>
      <c r="F261" s="1015"/>
      <c r="G261" s="1014"/>
      <c r="H261" s="1014"/>
      <c r="I261" s="1014"/>
      <c r="J261" s="1013"/>
      <c r="K261" s="1012"/>
      <c r="L261" s="1011"/>
    </row>
    <row r="262" spans="1:24">
      <c r="A262" s="906">
        <v>261</v>
      </c>
      <c r="B262" s="906" t="s">
        <v>1474</v>
      </c>
      <c r="C262" s="906">
        <v>41333</v>
      </c>
      <c r="D262" s="906" t="s">
        <v>1256</v>
      </c>
      <c r="E262" s="906" t="s">
        <v>1258</v>
      </c>
      <c r="F262" s="1015">
        <f t="shared" ref="F262:L265" si="109">O145</f>
        <v>0</v>
      </c>
      <c r="G262" s="1014">
        <f t="shared" si="109"/>
        <v>74</v>
      </c>
      <c r="H262" s="1014">
        <f t="shared" si="109"/>
        <v>40</v>
      </c>
      <c r="I262" s="1014">
        <f t="shared" si="109"/>
        <v>74</v>
      </c>
      <c r="J262" s="1013">
        <f t="shared" si="109"/>
        <v>38</v>
      </c>
      <c r="K262" s="1012">
        <f t="shared" si="109"/>
        <v>36.844128774010883</v>
      </c>
      <c r="L262" s="1011">
        <f t="shared" si="109"/>
        <v>0.2188596691126202</v>
      </c>
    </row>
    <row r="263" spans="1:24">
      <c r="A263" s="906">
        <v>262</v>
      </c>
      <c r="B263" s="906" t="s">
        <v>1473</v>
      </c>
      <c r="C263" s="906">
        <v>29188</v>
      </c>
      <c r="D263" s="906" t="s">
        <v>1256</v>
      </c>
      <c r="E263" s="906" t="s">
        <v>1259</v>
      </c>
      <c r="F263" s="1015">
        <f t="shared" si="109"/>
        <v>0</v>
      </c>
      <c r="G263" s="1014">
        <f t="shared" si="109"/>
        <v>73</v>
      </c>
      <c r="H263" s="1014">
        <f t="shared" si="109"/>
        <v>41</v>
      </c>
      <c r="I263" s="1014">
        <f t="shared" si="109"/>
        <v>75</v>
      </c>
      <c r="J263" s="1013">
        <f t="shared" si="109"/>
        <v>40</v>
      </c>
      <c r="K263" s="1012">
        <f t="shared" si="109"/>
        <v>3.5520143126997965</v>
      </c>
      <c r="L263" s="1011">
        <f t="shared" si="109"/>
        <v>0.27656720684271863</v>
      </c>
    </row>
    <row r="264" spans="1:24">
      <c r="A264" s="906">
        <v>263</v>
      </c>
      <c r="B264" s="906" t="s">
        <v>1472</v>
      </c>
      <c r="C264" s="906">
        <v>29188</v>
      </c>
      <c r="D264" s="906" t="s">
        <v>1256</v>
      </c>
      <c r="E264" s="906" t="s">
        <v>1259</v>
      </c>
      <c r="F264" s="1015">
        <f t="shared" si="109"/>
        <v>0</v>
      </c>
      <c r="G264" s="1014">
        <f t="shared" si="109"/>
        <v>67</v>
      </c>
      <c r="H264" s="1014">
        <f t="shared" si="109"/>
        <v>67</v>
      </c>
      <c r="I264" s="1014">
        <f t="shared" si="109"/>
        <v>71</v>
      </c>
      <c r="J264" s="1013">
        <f t="shared" si="109"/>
        <v>71</v>
      </c>
      <c r="K264" s="1012">
        <f t="shared" si="109"/>
        <v>33.030288913026958</v>
      </c>
      <c r="L264" s="1011">
        <f t="shared" si="109"/>
        <v>0.26487182298263534</v>
      </c>
    </row>
    <row r="265" spans="1:24">
      <c r="A265" s="906">
        <v>264</v>
      </c>
      <c r="B265" s="906" t="s">
        <v>1471</v>
      </c>
      <c r="C265" s="906">
        <v>29189</v>
      </c>
      <c r="D265" s="906" t="s">
        <v>1256</v>
      </c>
      <c r="E265" s="906" t="s">
        <v>1259</v>
      </c>
      <c r="F265" s="1015">
        <f t="shared" si="109"/>
        <v>0</v>
      </c>
      <c r="G265" s="1014">
        <f t="shared" si="109"/>
        <v>75</v>
      </c>
      <c r="H265" s="1014">
        <f t="shared" si="109"/>
        <v>53</v>
      </c>
      <c r="I265" s="1014">
        <f t="shared" si="109"/>
        <v>85</v>
      </c>
      <c r="J265" s="1013">
        <f t="shared" si="109"/>
        <v>47</v>
      </c>
      <c r="K265" s="1012">
        <f t="shared" si="109"/>
        <v>34.118186758900578</v>
      </c>
      <c r="L265" s="1011">
        <f t="shared" si="109"/>
        <v>0.19083493483106331</v>
      </c>
    </row>
    <row r="266" spans="1:24">
      <c r="A266" s="906">
        <v>265</v>
      </c>
      <c r="B266" s="906" t="s">
        <v>1470</v>
      </c>
      <c r="C266" s="906">
        <v>29189</v>
      </c>
      <c r="D266" s="906" t="s">
        <v>1256</v>
      </c>
      <c r="E266" s="906" t="s">
        <v>1258</v>
      </c>
      <c r="F266" s="1015"/>
      <c r="G266" s="1014"/>
      <c r="H266" s="1014"/>
      <c r="I266" s="1014"/>
      <c r="J266" s="1013"/>
      <c r="K266" s="1012"/>
      <c r="L266" s="1011"/>
    </row>
    <row r="267" spans="1:24">
      <c r="A267" s="906">
        <v>266</v>
      </c>
      <c r="B267" s="906" t="s">
        <v>1469</v>
      </c>
      <c r="C267" s="906">
        <v>29188</v>
      </c>
      <c r="D267" s="906" t="s">
        <v>1256</v>
      </c>
      <c r="E267" s="906" t="s">
        <v>1258</v>
      </c>
      <c r="F267" s="1015"/>
      <c r="G267" s="1014"/>
      <c r="H267" s="1014"/>
      <c r="I267" s="1014"/>
      <c r="J267" s="1013"/>
      <c r="K267" s="1012"/>
      <c r="L267" s="1011"/>
    </row>
    <row r="268" spans="1:24">
      <c r="A268" s="906">
        <v>267</v>
      </c>
      <c r="B268" s="906" t="s">
        <v>1468</v>
      </c>
      <c r="C268" s="906">
        <v>29189</v>
      </c>
      <c r="D268" s="906" t="s">
        <v>1256</v>
      </c>
      <c r="E268" s="906" t="s">
        <v>1258</v>
      </c>
      <c r="F268" s="1015"/>
      <c r="G268" s="1014"/>
      <c r="H268" s="1014"/>
      <c r="I268" s="1014"/>
      <c r="J268" s="1013"/>
      <c r="K268" s="1012"/>
      <c r="L268" s="1011"/>
    </row>
    <row r="269" spans="1:24">
      <c r="A269" s="906">
        <v>268</v>
      </c>
      <c r="B269" s="906" t="s">
        <v>1467</v>
      </c>
      <c r="C269" s="906">
        <v>29189</v>
      </c>
      <c r="D269" s="906" t="s">
        <v>1256</v>
      </c>
      <c r="E269" s="906" t="s">
        <v>1258</v>
      </c>
      <c r="F269" s="1015">
        <f t="shared" ref="F269:L269" si="110">O143</f>
        <v>7.2396076599719368E-3</v>
      </c>
      <c r="G269" s="1014">
        <f t="shared" si="110"/>
        <v>72</v>
      </c>
      <c r="H269" s="1014">
        <f t="shared" si="110"/>
        <v>38</v>
      </c>
      <c r="I269" s="1014">
        <f t="shared" si="110"/>
        <v>76</v>
      </c>
      <c r="J269" s="1013">
        <f t="shared" si="110"/>
        <v>35</v>
      </c>
      <c r="K269" s="1012">
        <f t="shared" si="110"/>
        <v>34.726955023416103</v>
      </c>
      <c r="L269" s="1011">
        <f t="shared" si="110"/>
        <v>0.15658695901921843</v>
      </c>
    </row>
    <row r="270" spans="1:24">
      <c r="A270" s="906">
        <v>269</v>
      </c>
      <c r="B270" s="906" t="s">
        <v>1466</v>
      </c>
      <c r="C270" s="906">
        <v>29189</v>
      </c>
      <c r="D270" s="906" t="s">
        <v>1256</v>
      </c>
      <c r="E270" s="906" t="s">
        <v>1258</v>
      </c>
      <c r="F270" s="1015">
        <f t="shared" ref="F270:L270" si="111">O244</f>
        <v>0</v>
      </c>
      <c r="G270" s="1014">
        <f t="shared" si="111"/>
        <v>67</v>
      </c>
      <c r="H270" s="1014">
        <f t="shared" si="111"/>
        <v>42</v>
      </c>
      <c r="I270" s="1014">
        <f t="shared" si="111"/>
        <v>70</v>
      </c>
      <c r="J270" s="1013">
        <f t="shared" si="111"/>
        <v>37</v>
      </c>
      <c r="K270" s="1012" t="str">
        <f t="shared" si="111"/>
        <v/>
      </c>
      <c r="L270" s="1011">
        <f t="shared" si="111"/>
        <v>0.40074330242143225</v>
      </c>
    </row>
    <row r="271" spans="1:24">
      <c r="A271" s="906">
        <v>270</v>
      </c>
      <c r="B271" s="906" t="s">
        <v>1465</v>
      </c>
      <c r="C271" s="906">
        <v>29189</v>
      </c>
      <c r="D271" s="906" t="s">
        <v>1256</v>
      </c>
      <c r="E271" s="906" t="s">
        <v>1258</v>
      </c>
      <c r="F271" s="1015">
        <f t="shared" ref="F271:L271" si="112">O149</f>
        <v>0</v>
      </c>
      <c r="G271" s="1014">
        <f t="shared" si="112"/>
        <v>68</v>
      </c>
      <c r="H271" s="1014">
        <f t="shared" si="112"/>
        <v>40</v>
      </c>
      <c r="I271" s="1014">
        <f t="shared" si="112"/>
        <v>70</v>
      </c>
      <c r="J271" s="1013">
        <f t="shared" si="112"/>
        <v>37</v>
      </c>
      <c r="K271" s="1012" t="str">
        <f t="shared" si="112"/>
        <v/>
      </c>
      <c r="L271" s="1011">
        <f t="shared" si="112"/>
        <v>0.23822738827421522</v>
      </c>
    </row>
    <row r="272" spans="1:24">
      <c r="A272" s="906">
        <v>271</v>
      </c>
      <c r="B272" s="906" t="s">
        <v>1464</v>
      </c>
      <c r="C272" s="906">
        <v>29189</v>
      </c>
      <c r="D272" s="906" t="s">
        <v>1257</v>
      </c>
      <c r="E272" s="906" t="s">
        <v>1258</v>
      </c>
      <c r="F272" s="1015">
        <f t="shared" ref="F272:L272" si="113">O253</f>
        <v>1.6757865937072503E-2</v>
      </c>
      <c r="G272" s="1014">
        <f t="shared" si="113"/>
        <v>70</v>
      </c>
      <c r="H272" s="1014">
        <f t="shared" si="113"/>
        <v>0</v>
      </c>
      <c r="I272" s="1014">
        <f t="shared" si="113"/>
        <v>80</v>
      </c>
      <c r="J272" s="1013">
        <f t="shared" si="113"/>
        <v>0</v>
      </c>
      <c r="K272" s="1012" t="str">
        <f t="shared" si="113"/>
        <v/>
      </c>
      <c r="L272" s="1011">
        <f t="shared" si="113"/>
        <v>0.30536956521739128</v>
      </c>
    </row>
    <row r="273" spans="1:12">
      <c r="A273" s="906">
        <v>272</v>
      </c>
      <c r="B273" s="906" t="s">
        <v>1463</v>
      </c>
      <c r="C273" s="906">
        <v>32264</v>
      </c>
      <c r="D273" s="906" t="s">
        <v>1257</v>
      </c>
      <c r="E273" s="906" t="s">
        <v>1258</v>
      </c>
      <c r="F273" s="1015">
        <f t="shared" ref="F273:L273" si="114">O151</f>
        <v>0</v>
      </c>
      <c r="G273" s="1014">
        <f t="shared" si="114"/>
        <v>69.13</v>
      </c>
      <c r="H273" s="1014">
        <f t="shared" si="114"/>
        <v>44.59</v>
      </c>
      <c r="I273" s="1014">
        <f t="shared" si="114"/>
        <v>73.069999999999993</v>
      </c>
      <c r="J273" s="1013">
        <f t="shared" si="114"/>
        <v>39.200000000000003</v>
      </c>
      <c r="K273" s="1012">
        <f t="shared" si="114"/>
        <v>0</v>
      </c>
      <c r="L273" s="1011">
        <f t="shared" si="114"/>
        <v>0.24214000347403161</v>
      </c>
    </row>
    <row r="274" spans="1:12">
      <c r="A274" s="906">
        <v>273</v>
      </c>
      <c r="B274" s="906" t="s">
        <v>1462</v>
      </c>
      <c r="C274" s="906">
        <v>29188</v>
      </c>
      <c r="D274" s="906" t="s">
        <v>1256</v>
      </c>
      <c r="E274" s="906" t="s">
        <v>1259</v>
      </c>
      <c r="F274" s="1015"/>
      <c r="G274" s="1014"/>
      <c r="H274" s="1014"/>
      <c r="I274" s="1014"/>
      <c r="J274" s="1013"/>
      <c r="K274" s="1012"/>
      <c r="L274" s="1011"/>
    </row>
    <row r="275" spans="1:12">
      <c r="A275" s="906">
        <v>274</v>
      </c>
      <c r="B275" s="906" t="s">
        <v>1461</v>
      </c>
      <c r="C275" s="906">
        <v>23795</v>
      </c>
      <c r="D275" s="906" t="s">
        <v>1256</v>
      </c>
      <c r="E275" s="906" t="s">
        <v>1258</v>
      </c>
      <c r="F275" s="1015"/>
      <c r="G275" s="1014"/>
      <c r="H275" s="1014"/>
      <c r="I275" s="1014"/>
      <c r="J275" s="1013"/>
      <c r="K275" s="1012"/>
      <c r="L275" s="1011"/>
    </row>
    <row r="276" spans="1:12">
      <c r="A276" s="906">
        <v>275</v>
      </c>
      <c r="B276" s="906" t="s">
        <v>1460</v>
      </c>
      <c r="C276" s="906">
        <v>29189</v>
      </c>
      <c r="D276" s="906" t="s">
        <v>1256</v>
      </c>
      <c r="E276" s="906" t="s">
        <v>1258</v>
      </c>
      <c r="F276" s="1015"/>
      <c r="G276" s="1014"/>
      <c r="H276" s="1014"/>
      <c r="I276" s="1014"/>
      <c r="J276" s="1013"/>
      <c r="K276" s="1012"/>
      <c r="L276" s="1011"/>
    </row>
    <row r="277" spans="1:12">
      <c r="A277" s="906">
        <v>276</v>
      </c>
      <c r="B277" s="906" t="s">
        <v>1459</v>
      </c>
      <c r="C277" s="906">
        <v>29189</v>
      </c>
      <c r="D277" s="906" t="s">
        <v>1256</v>
      </c>
      <c r="E277" s="906" t="s">
        <v>1258</v>
      </c>
      <c r="F277" s="1015">
        <f t="shared" ref="F277:L277" si="115">O154</f>
        <v>0</v>
      </c>
      <c r="G277" s="1014">
        <f t="shared" si="115"/>
        <v>65</v>
      </c>
      <c r="H277" s="1014">
        <f t="shared" si="115"/>
        <v>40</v>
      </c>
      <c r="I277" s="1014">
        <f t="shared" si="115"/>
        <v>70</v>
      </c>
      <c r="J277" s="1013">
        <f t="shared" si="115"/>
        <v>35</v>
      </c>
      <c r="K277" s="1012">
        <f t="shared" si="115"/>
        <v>32.20957264957265</v>
      </c>
      <c r="L277" s="1011">
        <f t="shared" si="115"/>
        <v>0.24167047010497489</v>
      </c>
    </row>
    <row r="278" spans="1:12">
      <c r="A278" s="906">
        <v>277</v>
      </c>
      <c r="B278" s="906" t="s">
        <v>1458</v>
      </c>
      <c r="C278" s="906">
        <v>29189</v>
      </c>
      <c r="D278" s="906" t="s">
        <v>1256</v>
      </c>
      <c r="E278" s="906" t="s">
        <v>1258</v>
      </c>
      <c r="F278" s="1015">
        <f t="shared" ref="F278:L278" si="116">O153</f>
        <v>0</v>
      </c>
      <c r="G278" s="1014">
        <f t="shared" si="116"/>
        <v>70</v>
      </c>
      <c r="H278" s="1014">
        <f t="shared" si="116"/>
        <v>40</v>
      </c>
      <c r="I278" s="1014">
        <f t="shared" si="116"/>
        <v>74</v>
      </c>
      <c r="J278" s="1013">
        <f t="shared" si="116"/>
        <v>36</v>
      </c>
      <c r="K278" s="1012">
        <f t="shared" si="116"/>
        <v>30.217456453888268</v>
      </c>
      <c r="L278" s="1011">
        <f t="shared" si="116"/>
        <v>0.24838776783856875</v>
      </c>
    </row>
    <row r="279" spans="1:12">
      <c r="A279" s="906">
        <v>278</v>
      </c>
      <c r="B279" s="906" t="s">
        <v>1457</v>
      </c>
      <c r="C279" s="906">
        <v>29189</v>
      </c>
      <c r="D279" s="906" t="s">
        <v>1256</v>
      </c>
      <c r="E279" s="906" t="s">
        <v>1258</v>
      </c>
      <c r="F279" s="1015">
        <f t="shared" ref="F279:L280" si="117">O155</f>
        <v>0</v>
      </c>
      <c r="G279" s="1014">
        <f t="shared" si="117"/>
        <v>70</v>
      </c>
      <c r="H279" s="1014">
        <f t="shared" si="117"/>
        <v>40</v>
      </c>
      <c r="I279" s="1014">
        <f t="shared" si="117"/>
        <v>77</v>
      </c>
      <c r="J279" s="1013">
        <f t="shared" si="117"/>
        <v>36</v>
      </c>
      <c r="K279" s="1012">
        <f t="shared" si="117"/>
        <v>0</v>
      </c>
      <c r="L279" s="1011">
        <f t="shared" si="117"/>
        <v>0.24604347931460702</v>
      </c>
    </row>
    <row r="280" spans="1:12">
      <c r="A280" s="906">
        <v>279</v>
      </c>
      <c r="B280" s="906" t="s">
        <v>1456</v>
      </c>
      <c r="C280" s="906">
        <v>29189</v>
      </c>
      <c r="D280" s="906" t="s">
        <v>1257</v>
      </c>
      <c r="E280" s="906" t="s">
        <v>1258</v>
      </c>
      <c r="F280" s="1015">
        <f t="shared" si="117"/>
        <v>0</v>
      </c>
      <c r="G280" s="1014">
        <f t="shared" si="117"/>
        <v>75</v>
      </c>
      <c r="H280" s="1014">
        <f t="shared" si="117"/>
        <v>38</v>
      </c>
      <c r="I280" s="1014">
        <f t="shared" si="117"/>
        <v>84</v>
      </c>
      <c r="J280" s="1013">
        <f t="shared" si="117"/>
        <v>40</v>
      </c>
      <c r="K280" s="1012" t="str">
        <f t="shared" si="117"/>
        <v/>
      </c>
      <c r="L280" s="1011">
        <f t="shared" si="117"/>
        <v>0.30186201957507758</v>
      </c>
    </row>
    <row r="281" spans="1:12">
      <c r="A281" s="906">
        <v>280</v>
      </c>
      <c r="B281" s="906" t="s">
        <v>1455</v>
      </c>
      <c r="C281" s="906">
        <v>29189</v>
      </c>
      <c r="D281" s="906" t="s">
        <v>1256</v>
      </c>
      <c r="E281" s="906" t="s">
        <v>1258</v>
      </c>
      <c r="F281" s="1015"/>
      <c r="G281" s="1014"/>
      <c r="H281" s="1014"/>
      <c r="I281" s="1014"/>
      <c r="J281" s="1013"/>
      <c r="K281" s="1012"/>
      <c r="L281" s="1011"/>
    </row>
    <row r="282" spans="1:12">
      <c r="A282" s="906">
        <v>281</v>
      </c>
      <c r="B282" s="906" t="s">
        <v>1454</v>
      </c>
      <c r="C282" s="906">
        <v>29189</v>
      </c>
      <c r="D282" s="906" t="s">
        <v>1256</v>
      </c>
      <c r="E282" s="906" t="s">
        <v>1259</v>
      </c>
      <c r="F282" s="1015">
        <f t="shared" ref="F282:L282" si="118">O157</f>
        <v>0</v>
      </c>
      <c r="G282" s="1014">
        <f t="shared" si="118"/>
        <v>75</v>
      </c>
      <c r="H282" s="1014">
        <f t="shared" si="118"/>
        <v>0</v>
      </c>
      <c r="I282" s="1014">
        <f t="shared" si="118"/>
        <v>80</v>
      </c>
      <c r="J282" s="1013">
        <f t="shared" si="118"/>
        <v>0</v>
      </c>
      <c r="K282" s="1012" t="str">
        <f t="shared" si="118"/>
        <v/>
      </c>
      <c r="L282" s="1011">
        <f t="shared" si="118"/>
        <v>0.23113988857099835</v>
      </c>
    </row>
    <row r="283" spans="1:12">
      <c r="A283" s="906">
        <v>282</v>
      </c>
      <c r="B283" s="906" t="s">
        <v>1453</v>
      </c>
      <c r="C283" s="906">
        <v>29189</v>
      </c>
      <c r="D283" s="906" t="s">
        <v>1256</v>
      </c>
      <c r="E283" s="906" t="s">
        <v>1258</v>
      </c>
      <c r="F283" s="1015"/>
      <c r="G283" s="1014"/>
      <c r="H283" s="1014"/>
      <c r="I283" s="1014"/>
      <c r="J283" s="1013"/>
      <c r="K283" s="1012"/>
      <c r="L283" s="1011"/>
    </row>
    <row r="284" spans="1:12">
      <c r="A284" s="906">
        <v>283</v>
      </c>
      <c r="B284" s="906" t="s">
        <v>1452</v>
      </c>
      <c r="C284" s="906">
        <v>29189</v>
      </c>
      <c r="D284" s="906" t="s">
        <v>1256</v>
      </c>
      <c r="E284" s="906" t="s">
        <v>1258</v>
      </c>
      <c r="F284" s="1015">
        <f t="shared" ref="F284:L284" si="119">O158</f>
        <v>0</v>
      </c>
      <c r="G284" s="1014">
        <f t="shared" si="119"/>
        <v>74</v>
      </c>
      <c r="H284" s="1014">
        <f t="shared" si="119"/>
        <v>42</v>
      </c>
      <c r="I284" s="1014">
        <f t="shared" si="119"/>
        <v>77</v>
      </c>
      <c r="J284" s="1013">
        <f t="shared" si="119"/>
        <v>40</v>
      </c>
      <c r="K284" s="1012">
        <f t="shared" si="119"/>
        <v>29.494048140043763</v>
      </c>
      <c r="L284" s="1011">
        <f t="shared" si="119"/>
        <v>0.47068206469725005</v>
      </c>
    </row>
    <row r="285" spans="1:12" ht="15.6">
      <c r="A285" s="906">
        <v>284</v>
      </c>
      <c r="B285" s="906" t="s">
        <v>1451</v>
      </c>
      <c r="C285" s="906">
        <v>29189</v>
      </c>
      <c r="D285" s="906" t="s">
        <v>1256</v>
      </c>
      <c r="E285" s="906" t="s">
        <v>1258</v>
      </c>
      <c r="F285" s="1015">
        <f t="shared" ref="F285:K285" si="120">O159</f>
        <v>0</v>
      </c>
      <c r="G285" s="1014">
        <f t="shared" si="120"/>
        <v>69</v>
      </c>
      <c r="H285" s="1014">
        <f t="shared" si="120"/>
        <v>69</v>
      </c>
      <c r="I285" s="1014">
        <f t="shared" si="120"/>
        <v>75</v>
      </c>
      <c r="J285" s="1013">
        <f t="shared" si="120"/>
        <v>75</v>
      </c>
      <c r="K285" s="1012" t="str">
        <f t="shared" si="120"/>
        <v/>
      </c>
      <c r="L285" s="1016">
        <v>0.22800028617798151</v>
      </c>
    </row>
    <row r="286" spans="1:12">
      <c r="A286" s="906">
        <v>285</v>
      </c>
      <c r="B286" s="906" t="s">
        <v>1450</v>
      </c>
      <c r="C286" s="906">
        <v>29189</v>
      </c>
      <c r="D286" s="906" t="s">
        <v>1256</v>
      </c>
      <c r="E286" s="906" t="s">
        <v>1258</v>
      </c>
      <c r="F286" s="1015"/>
      <c r="G286" s="1014"/>
      <c r="H286" s="1014"/>
      <c r="I286" s="1014"/>
      <c r="J286" s="1013"/>
      <c r="K286" s="1012"/>
      <c r="L286" s="1011"/>
    </row>
    <row r="287" spans="1:12">
      <c r="A287" s="906">
        <v>286</v>
      </c>
      <c r="B287" s="906" t="s">
        <v>1449</v>
      </c>
      <c r="C287" s="906">
        <v>29188</v>
      </c>
      <c r="D287" s="906" t="s">
        <v>1256</v>
      </c>
      <c r="E287" s="906" t="s">
        <v>1259</v>
      </c>
      <c r="F287" s="1015"/>
      <c r="G287" s="1014"/>
      <c r="H287" s="1014"/>
      <c r="I287" s="1014"/>
      <c r="J287" s="1013"/>
      <c r="K287" s="1012"/>
      <c r="L287" s="1011"/>
    </row>
    <row r="288" spans="1:12">
      <c r="A288" s="906">
        <v>287</v>
      </c>
      <c r="B288" s="906" t="s">
        <v>1448</v>
      </c>
      <c r="C288" s="906">
        <v>29188</v>
      </c>
      <c r="D288" s="906" t="s">
        <v>1256</v>
      </c>
      <c r="E288" s="906" t="s">
        <v>1259</v>
      </c>
      <c r="F288" s="1015"/>
      <c r="G288" s="1014"/>
      <c r="H288" s="1014"/>
      <c r="I288" s="1014"/>
      <c r="J288" s="1013"/>
      <c r="K288" s="1012"/>
      <c r="L288" s="1011"/>
    </row>
    <row r="289" spans="1:12">
      <c r="A289" s="906">
        <v>288</v>
      </c>
      <c r="B289" s="906" t="s">
        <v>1447</v>
      </c>
      <c r="C289" s="906">
        <v>29188</v>
      </c>
      <c r="D289" s="906" t="s">
        <v>1256</v>
      </c>
      <c r="E289" s="906" t="s">
        <v>1259</v>
      </c>
      <c r="F289" s="1015"/>
      <c r="G289" s="1014"/>
      <c r="H289" s="1014"/>
      <c r="I289" s="1014"/>
      <c r="J289" s="1013"/>
      <c r="K289" s="1012"/>
      <c r="L289" s="1011"/>
    </row>
    <row r="290" spans="1:12">
      <c r="A290" s="906">
        <v>289</v>
      </c>
      <c r="B290" s="906" t="s">
        <v>1446</v>
      </c>
      <c r="C290" s="906">
        <v>29188</v>
      </c>
      <c r="D290" s="906" t="s">
        <v>1256</v>
      </c>
      <c r="E290" s="906" t="s">
        <v>1258</v>
      </c>
      <c r="F290" s="1015">
        <f t="shared" ref="F290:L294" si="121">O161</f>
        <v>0</v>
      </c>
      <c r="G290" s="1014">
        <f t="shared" si="121"/>
        <v>69</v>
      </c>
      <c r="H290" s="1014">
        <f t="shared" si="121"/>
        <v>42</v>
      </c>
      <c r="I290" s="1014">
        <f t="shared" si="121"/>
        <v>79</v>
      </c>
      <c r="J290" s="1013">
        <f t="shared" si="121"/>
        <v>40</v>
      </c>
      <c r="K290" s="1012">
        <f t="shared" si="121"/>
        <v>31.922208718287816</v>
      </c>
      <c r="L290" s="1011">
        <f t="shared" si="121"/>
        <v>0.25570625535959229</v>
      </c>
    </row>
    <row r="291" spans="1:12">
      <c r="A291" s="906">
        <v>290</v>
      </c>
      <c r="B291" s="906" t="s">
        <v>1445</v>
      </c>
      <c r="C291" s="906">
        <v>29189</v>
      </c>
      <c r="D291" s="906" t="s">
        <v>1256</v>
      </c>
      <c r="E291" s="906" t="s">
        <v>1258</v>
      </c>
      <c r="F291" s="1015">
        <f t="shared" si="121"/>
        <v>6.5034355946966028E-3</v>
      </c>
      <c r="G291" s="1014">
        <f t="shared" si="121"/>
        <v>67</v>
      </c>
      <c r="H291" s="1014">
        <f t="shared" si="121"/>
        <v>39</v>
      </c>
      <c r="I291" s="1014">
        <f t="shared" si="121"/>
        <v>67</v>
      </c>
      <c r="J291" s="1013">
        <f t="shared" si="121"/>
        <v>35</v>
      </c>
      <c r="K291" s="1012" t="str">
        <f t="shared" si="121"/>
        <v/>
      </c>
      <c r="L291" s="1011">
        <f t="shared" si="121"/>
        <v>0.25355062440335874</v>
      </c>
    </row>
    <row r="292" spans="1:12">
      <c r="A292" s="906">
        <v>291</v>
      </c>
      <c r="B292" s="906" t="s">
        <v>1444</v>
      </c>
      <c r="C292" s="906">
        <v>18957</v>
      </c>
      <c r="D292" s="906" t="s">
        <v>1256</v>
      </c>
      <c r="E292" s="906" t="s">
        <v>1259</v>
      </c>
      <c r="F292" s="1015">
        <f t="shared" si="121"/>
        <v>0</v>
      </c>
      <c r="G292" s="1014">
        <f t="shared" si="121"/>
        <v>75</v>
      </c>
      <c r="H292" s="1014">
        <f t="shared" si="121"/>
        <v>45</v>
      </c>
      <c r="I292" s="1014">
        <f t="shared" si="121"/>
        <v>85</v>
      </c>
      <c r="J292" s="1013">
        <f t="shared" si="121"/>
        <v>48</v>
      </c>
      <c r="K292" s="1012">
        <f t="shared" si="121"/>
        <v>0</v>
      </c>
      <c r="L292" s="1011">
        <f t="shared" si="121"/>
        <v>0.18813899613899615</v>
      </c>
    </row>
    <row r="293" spans="1:12">
      <c r="A293" s="906">
        <v>292</v>
      </c>
      <c r="B293" s="906" t="s">
        <v>1443</v>
      </c>
      <c r="C293" s="906">
        <v>28856</v>
      </c>
      <c r="D293" s="906" t="s">
        <v>1256</v>
      </c>
      <c r="E293" s="906" t="s">
        <v>1258</v>
      </c>
      <c r="F293" s="1015">
        <f t="shared" si="121"/>
        <v>0</v>
      </c>
      <c r="G293" s="1014">
        <f t="shared" si="121"/>
        <v>84</v>
      </c>
      <c r="H293" s="1014">
        <f t="shared" si="121"/>
        <v>40</v>
      </c>
      <c r="I293" s="1014">
        <f t="shared" si="121"/>
        <v>82</v>
      </c>
      <c r="J293" s="1013">
        <f t="shared" si="121"/>
        <v>36</v>
      </c>
      <c r="K293" s="1012" t="str">
        <f t="shared" si="121"/>
        <v/>
      </c>
      <c r="L293" s="1011">
        <f t="shared" si="121"/>
        <v>0.34889287851585876</v>
      </c>
    </row>
    <row r="294" spans="1:12">
      <c r="A294" s="906">
        <v>293</v>
      </c>
      <c r="B294" s="906" t="s">
        <v>1442</v>
      </c>
      <c r="C294" s="906">
        <v>29189</v>
      </c>
      <c r="D294" s="906" t="s">
        <v>1257</v>
      </c>
      <c r="E294" s="906" t="s">
        <v>1259</v>
      </c>
      <c r="F294" s="1015">
        <f t="shared" si="121"/>
        <v>0</v>
      </c>
      <c r="G294" s="1014">
        <f t="shared" si="121"/>
        <v>76</v>
      </c>
      <c r="H294" s="1014">
        <f t="shared" si="121"/>
        <v>48</v>
      </c>
      <c r="I294" s="1014">
        <f t="shared" si="121"/>
        <v>77</v>
      </c>
      <c r="J294" s="1013">
        <f t="shared" si="121"/>
        <v>46</v>
      </c>
      <c r="K294" s="1012">
        <f t="shared" si="121"/>
        <v>30.891617926391213</v>
      </c>
      <c r="L294" s="1011">
        <f t="shared" si="121"/>
        <v>0.19897859012715033</v>
      </c>
    </row>
    <row r="295" spans="1:12">
      <c r="A295" s="906">
        <v>294</v>
      </c>
      <c r="B295" s="906" t="s">
        <v>1441</v>
      </c>
      <c r="C295" s="906">
        <v>29189</v>
      </c>
      <c r="D295" s="906" t="s">
        <v>1256</v>
      </c>
      <c r="E295" s="906" t="s">
        <v>1258</v>
      </c>
      <c r="F295" s="1015"/>
      <c r="G295" s="1014"/>
      <c r="H295" s="1014"/>
      <c r="I295" s="1014"/>
      <c r="J295" s="1013"/>
      <c r="K295" s="1012"/>
      <c r="L295" s="1011"/>
    </row>
    <row r="296" spans="1:12">
      <c r="A296" s="906">
        <v>295</v>
      </c>
      <c r="B296" s="906" t="s">
        <v>1440</v>
      </c>
      <c r="C296" s="906">
        <v>29189</v>
      </c>
      <c r="D296" s="906" t="s">
        <v>1256</v>
      </c>
      <c r="E296" s="906" t="s">
        <v>1258</v>
      </c>
      <c r="F296" s="1015"/>
      <c r="G296" s="1014"/>
      <c r="H296" s="1014"/>
      <c r="I296" s="1014"/>
      <c r="J296" s="1013"/>
      <c r="K296" s="1012"/>
      <c r="L296" s="1011"/>
    </row>
    <row r="297" spans="1:12">
      <c r="A297" s="906">
        <v>296</v>
      </c>
      <c r="B297" s="906" t="s">
        <v>1439</v>
      </c>
      <c r="C297" s="906">
        <v>29189</v>
      </c>
      <c r="D297" s="906" t="s">
        <v>1256</v>
      </c>
      <c r="E297" s="906" t="s">
        <v>1258</v>
      </c>
      <c r="F297" s="1015">
        <f t="shared" ref="F297:F305" si="122">O168</f>
        <v>0</v>
      </c>
      <c r="G297" s="1014">
        <f t="shared" ref="G297:G305" si="123">P168</f>
        <v>66</v>
      </c>
      <c r="H297" s="1014">
        <f t="shared" ref="H297:H305" si="124">Q168</f>
        <v>0</v>
      </c>
      <c r="I297" s="1014">
        <f t="shared" ref="I297:I305" si="125">R168</f>
        <v>72</v>
      </c>
      <c r="J297" s="1013">
        <f t="shared" ref="J297:J305" si="126">S168</f>
        <v>0</v>
      </c>
      <c r="K297" s="1012" t="str">
        <f t="shared" ref="K297:K305" si="127">T168</f>
        <v/>
      </c>
      <c r="L297" s="1011">
        <f t="shared" ref="L297:L305" si="128">U168</f>
        <v>0.22408497568466854</v>
      </c>
    </row>
    <row r="298" spans="1:12">
      <c r="A298" s="906">
        <v>297</v>
      </c>
      <c r="B298" s="906" t="s">
        <v>1438</v>
      </c>
      <c r="C298" s="906">
        <v>29189</v>
      </c>
      <c r="D298" s="906" t="s">
        <v>1256</v>
      </c>
      <c r="E298" s="906" t="s">
        <v>1258</v>
      </c>
      <c r="F298" s="1015">
        <f t="shared" si="122"/>
        <v>0</v>
      </c>
      <c r="G298" s="1014">
        <f t="shared" si="123"/>
        <v>70</v>
      </c>
      <c r="H298" s="1014">
        <f t="shared" si="124"/>
        <v>38</v>
      </c>
      <c r="I298" s="1014">
        <f t="shared" si="125"/>
        <v>75</v>
      </c>
      <c r="J298" s="1013">
        <f t="shared" si="126"/>
        <v>38</v>
      </c>
      <c r="K298" s="1012" t="str">
        <f t="shared" si="127"/>
        <v/>
      </c>
      <c r="L298" s="1011">
        <f t="shared" si="128"/>
        <v>0.31825006729629263</v>
      </c>
    </row>
    <row r="299" spans="1:12">
      <c r="A299" s="906">
        <v>298</v>
      </c>
      <c r="B299" s="906" t="s">
        <v>1437</v>
      </c>
      <c r="C299" s="906">
        <v>29189</v>
      </c>
      <c r="D299" s="906" t="s">
        <v>1256</v>
      </c>
      <c r="E299" s="906" t="s">
        <v>1258</v>
      </c>
      <c r="F299" s="1015">
        <f t="shared" si="122"/>
        <v>0</v>
      </c>
      <c r="G299" s="1014">
        <f t="shared" si="123"/>
        <v>70</v>
      </c>
      <c r="H299" s="1014">
        <f t="shared" si="124"/>
        <v>40</v>
      </c>
      <c r="I299" s="1014">
        <f t="shared" si="125"/>
        <v>70</v>
      </c>
      <c r="J299" s="1013">
        <f t="shared" si="126"/>
        <v>40</v>
      </c>
      <c r="K299" s="1012" t="str">
        <f t="shared" si="127"/>
        <v/>
      </c>
      <c r="L299" s="1011">
        <f t="shared" si="128"/>
        <v>0.27653055540081334</v>
      </c>
    </row>
    <row r="300" spans="1:12">
      <c r="A300" s="906">
        <v>299</v>
      </c>
      <c r="B300" s="906" t="s">
        <v>1436</v>
      </c>
      <c r="C300" s="906">
        <v>29189</v>
      </c>
      <c r="D300" s="906" t="s">
        <v>1256</v>
      </c>
      <c r="E300" s="906" t="s">
        <v>1258</v>
      </c>
      <c r="F300" s="1015">
        <f t="shared" si="122"/>
        <v>0</v>
      </c>
      <c r="G300" s="1014">
        <f t="shared" si="123"/>
        <v>68</v>
      </c>
      <c r="H300" s="1014">
        <f t="shared" si="124"/>
        <v>43</v>
      </c>
      <c r="I300" s="1014">
        <f t="shared" si="125"/>
        <v>72</v>
      </c>
      <c r="J300" s="1013">
        <f t="shared" si="126"/>
        <v>39</v>
      </c>
      <c r="K300" s="1012" t="str">
        <f t="shared" si="127"/>
        <v/>
      </c>
      <c r="L300" s="1011">
        <f t="shared" si="128"/>
        <v>0.4113171659533999</v>
      </c>
    </row>
    <row r="301" spans="1:12">
      <c r="A301" s="906">
        <v>300</v>
      </c>
      <c r="B301" s="906" t="s">
        <v>1435</v>
      </c>
      <c r="C301" s="906">
        <v>29188</v>
      </c>
      <c r="D301" s="906" t="s">
        <v>1256</v>
      </c>
      <c r="E301" s="906" t="s">
        <v>1259</v>
      </c>
      <c r="F301" s="1015">
        <f t="shared" si="122"/>
        <v>4.1460488828909882E-2</v>
      </c>
      <c r="G301" s="1014">
        <f t="shared" si="123"/>
        <v>75</v>
      </c>
      <c r="H301" s="1014">
        <f t="shared" si="124"/>
        <v>52</v>
      </c>
      <c r="I301" s="1014">
        <f t="shared" si="125"/>
        <v>80</v>
      </c>
      <c r="J301" s="1013">
        <f t="shared" si="126"/>
        <v>45</v>
      </c>
      <c r="K301" s="1012">
        <f t="shared" si="127"/>
        <v>33.037664698547196</v>
      </c>
      <c r="L301" s="1011">
        <f t="shared" si="128"/>
        <v>0.28146265154477906</v>
      </c>
    </row>
    <row r="302" spans="1:12">
      <c r="A302" s="906">
        <v>301</v>
      </c>
      <c r="B302" s="906" t="s">
        <v>1434</v>
      </c>
      <c r="C302" s="906">
        <v>29188</v>
      </c>
      <c r="D302" s="906" t="s">
        <v>1256</v>
      </c>
      <c r="E302" s="906" t="s">
        <v>1259</v>
      </c>
      <c r="F302" s="1015">
        <f t="shared" si="122"/>
        <v>0</v>
      </c>
      <c r="G302" s="1014">
        <f t="shared" si="123"/>
        <v>78</v>
      </c>
      <c r="H302" s="1014">
        <f t="shared" si="124"/>
        <v>49</v>
      </c>
      <c r="I302" s="1014">
        <f t="shared" si="125"/>
        <v>86</v>
      </c>
      <c r="J302" s="1013">
        <f t="shared" si="126"/>
        <v>46</v>
      </c>
      <c r="K302" s="1012">
        <f t="shared" si="127"/>
        <v>28.562707285434296</v>
      </c>
      <c r="L302" s="1011">
        <f t="shared" si="128"/>
        <v>0.23777803861728974</v>
      </c>
    </row>
    <row r="303" spans="1:12">
      <c r="A303" s="906">
        <v>302</v>
      </c>
      <c r="B303" s="906" t="s">
        <v>1433</v>
      </c>
      <c r="C303" s="906">
        <v>29189</v>
      </c>
      <c r="D303" s="906" t="s">
        <v>1256</v>
      </c>
      <c r="E303" s="906" t="s">
        <v>1258</v>
      </c>
      <c r="F303" s="1015">
        <f t="shared" si="122"/>
        <v>0</v>
      </c>
      <c r="G303" s="1014">
        <f t="shared" si="123"/>
        <v>77</v>
      </c>
      <c r="H303" s="1014">
        <f t="shared" si="124"/>
        <v>39</v>
      </c>
      <c r="I303" s="1014">
        <f t="shared" si="125"/>
        <v>77</v>
      </c>
      <c r="J303" s="1013">
        <f t="shared" si="126"/>
        <v>39</v>
      </c>
      <c r="K303" s="1012">
        <f t="shared" si="127"/>
        <v>37.862868754626078</v>
      </c>
      <c r="L303" s="1011">
        <f t="shared" si="128"/>
        <v>4.7737212692701383E-2</v>
      </c>
    </row>
    <row r="304" spans="1:12">
      <c r="A304" s="906">
        <v>303</v>
      </c>
      <c r="B304" s="906" t="s">
        <v>1432</v>
      </c>
      <c r="C304" s="906">
        <v>29189</v>
      </c>
      <c r="D304" s="906" t="s">
        <v>1256</v>
      </c>
      <c r="E304" s="906" t="s">
        <v>1258</v>
      </c>
      <c r="F304" s="1015">
        <f t="shared" si="122"/>
        <v>0</v>
      </c>
      <c r="G304" s="1014">
        <f t="shared" si="123"/>
        <v>65</v>
      </c>
      <c r="H304" s="1014">
        <f t="shared" si="124"/>
        <v>41</v>
      </c>
      <c r="I304" s="1014">
        <f t="shared" si="125"/>
        <v>75</v>
      </c>
      <c r="J304" s="1013">
        <f t="shared" si="126"/>
        <v>32</v>
      </c>
      <c r="K304" s="1012" t="str">
        <f t="shared" si="127"/>
        <v/>
      </c>
      <c r="L304" s="1011">
        <f t="shared" si="128"/>
        <v>0.25466067349495247</v>
      </c>
    </row>
    <row r="305" spans="1:12">
      <c r="A305" s="906">
        <v>304</v>
      </c>
      <c r="B305" s="906" t="s">
        <v>1431</v>
      </c>
      <c r="C305" s="906">
        <v>65307</v>
      </c>
      <c r="D305" s="906" t="s">
        <v>1257</v>
      </c>
      <c r="E305" s="906" t="s">
        <v>1259</v>
      </c>
      <c r="F305" s="1015">
        <f t="shared" si="122"/>
        <v>0</v>
      </c>
      <c r="G305" s="1014">
        <f t="shared" si="123"/>
        <v>70.2</v>
      </c>
      <c r="H305" s="1014">
        <f t="shared" si="124"/>
        <v>47.3</v>
      </c>
      <c r="I305" s="1014">
        <f t="shared" si="125"/>
        <v>75.900000000000006</v>
      </c>
      <c r="J305" s="1013">
        <f t="shared" si="126"/>
        <v>46.7</v>
      </c>
      <c r="K305" s="1012">
        <f t="shared" si="127"/>
        <v>26.803716840015852</v>
      </c>
      <c r="L305" s="1011">
        <f t="shared" si="128"/>
        <v>7.0796840732193278E-2</v>
      </c>
    </row>
    <row r="306" spans="1:12">
      <c r="A306" s="906">
        <v>305</v>
      </c>
      <c r="B306" s="906" t="s">
        <v>1430</v>
      </c>
      <c r="C306" s="906">
        <v>29189</v>
      </c>
      <c r="D306" s="906" t="s">
        <v>1257</v>
      </c>
      <c r="E306" s="906" t="s">
        <v>1258</v>
      </c>
      <c r="F306" s="1015"/>
      <c r="G306" s="1014"/>
      <c r="H306" s="1014"/>
      <c r="I306" s="1014"/>
      <c r="J306" s="1013"/>
      <c r="K306" s="1012"/>
      <c r="L306" s="1011"/>
    </row>
    <row r="307" spans="1:12">
      <c r="A307" s="906">
        <v>306</v>
      </c>
      <c r="B307" s="906" t="s">
        <v>1429</v>
      </c>
      <c r="C307" s="906">
        <v>26696</v>
      </c>
      <c r="D307" s="906" t="s">
        <v>1257</v>
      </c>
      <c r="E307" s="906" t="s">
        <v>1259</v>
      </c>
      <c r="F307" s="1015"/>
      <c r="G307" s="1014"/>
      <c r="H307" s="1014"/>
      <c r="I307" s="1014"/>
      <c r="J307" s="1013"/>
      <c r="K307" s="1012"/>
      <c r="L307" s="1011"/>
    </row>
    <row r="308" spans="1:12">
      <c r="A308" s="906">
        <v>307</v>
      </c>
      <c r="B308" s="906" t="s">
        <v>1428</v>
      </c>
      <c r="C308" s="906">
        <v>29188</v>
      </c>
      <c r="D308" s="906" t="s">
        <v>1256</v>
      </c>
      <c r="E308" s="906" t="s">
        <v>1259</v>
      </c>
      <c r="F308" s="1015">
        <f t="shared" ref="F308:L309" si="129">O177</f>
        <v>0</v>
      </c>
      <c r="G308" s="1014">
        <f t="shared" si="129"/>
        <v>73</v>
      </c>
      <c r="H308" s="1014">
        <f t="shared" si="129"/>
        <v>46</v>
      </c>
      <c r="I308" s="1014">
        <f t="shared" si="129"/>
        <v>78</v>
      </c>
      <c r="J308" s="1013">
        <f t="shared" si="129"/>
        <v>46</v>
      </c>
      <c r="K308" s="1012" t="str">
        <f t="shared" si="129"/>
        <v/>
      </c>
      <c r="L308" s="1011">
        <f t="shared" si="129"/>
        <v>0.27856629710890629</v>
      </c>
    </row>
    <row r="309" spans="1:12">
      <c r="A309" s="906">
        <v>308</v>
      </c>
      <c r="B309" s="906" t="s">
        <v>1427</v>
      </c>
      <c r="C309" s="906">
        <v>29189</v>
      </c>
      <c r="D309" s="906" t="s">
        <v>1256</v>
      </c>
      <c r="E309" s="906" t="s">
        <v>1258</v>
      </c>
      <c r="F309" s="1015">
        <f t="shared" si="129"/>
        <v>0</v>
      </c>
      <c r="G309" s="1014">
        <f t="shared" si="129"/>
        <v>72</v>
      </c>
      <c r="H309" s="1014">
        <f t="shared" si="129"/>
        <v>35</v>
      </c>
      <c r="I309" s="1014">
        <f t="shared" si="129"/>
        <v>75</v>
      </c>
      <c r="J309" s="1013">
        <f t="shared" si="129"/>
        <v>35</v>
      </c>
      <c r="K309" s="1012">
        <f t="shared" si="129"/>
        <v>33.511714440642471</v>
      </c>
      <c r="L309" s="1011">
        <f t="shared" si="129"/>
        <v>0.22924664107485604</v>
      </c>
    </row>
    <row r="310" spans="1:12">
      <c r="A310" s="906">
        <v>309</v>
      </c>
      <c r="B310" s="906" t="s">
        <v>1426</v>
      </c>
      <c r="C310" s="906">
        <v>29189</v>
      </c>
      <c r="D310" s="906" t="s">
        <v>1256</v>
      </c>
      <c r="E310" s="906" t="s">
        <v>1259</v>
      </c>
      <c r="F310" s="1015"/>
      <c r="G310" s="1014"/>
      <c r="H310" s="1014"/>
      <c r="I310" s="1014"/>
      <c r="J310" s="1013"/>
      <c r="K310" s="1012"/>
      <c r="L310" s="1011"/>
    </row>
    <row r="311" spans="1:12">
      <c r="A311" s="906">
        <v>310</v>
      </c>
      <c r="B311" s="906" t="s">
        <v>1425</v>
      </c>
      <c r="C311" s="906">
        <v>41333</v>
      </c>
      <c r="D311" s="906" t="s">
        <v>1256</v>
      </c>
      <c r="E311" s="906" t="s">
        <v>1258</v>
      </c>
      <c r="F311" s="1015"/>
      <c r="G311" s="1014"/>
      <c r="H311" s="1014"/>
      <c r="I311" s="1014"/>
      <c r="J311" s="1013"/>
      <c r="K311" s="1012"/>
      <c r="L311" s="1011"/>
    </row>
    <row r="312" spans="1:12">
      <c r="A312" s="906">
        <v>311</v>
      </c>
      <c r="B312" s="906" t="s">
        <v>1424</v>
      </c>
      <c r="C312" s="906">
        <v>29189</v>
      </c>
      <c r="D312" s="906" t="s">
        <v>1256</v>
      </c>
      <c r="E312" s="906" t="s">
        <v>1258</v>
      </c>
      <c r="F312" s="1015"/>
      <c r="G312" s="1014"/>
      <c r="H312" s="1014"/>
      <c r="I312" s="1014"/>
      <c r="J312" s="1013"/>
      <c r="K312" s="1012"/>
      <c r="L312" s="1011"/>
    </row>
    <row r="313" spans="1:12">
      <c r="A313" s="906">
        <v>312</v>
      </c>
      <c r="B313" s="906" t="s">
        <v>1423</v>
      </c>
      <c r="C313" s="906">
        <v>29189</v>
      </c>
      <c r="D313" s="906" t="s">
        <v>1256</v>
      </c>
      <c r="E313" s="906" t="s">
        <v>1258</v>
      </c>
      <c r="F313" s="1015">
        <f t="shared" ref="F313:L313" si="130">O179</f>
        <v>3.628439117406701E-2</v>
      </c>
      <c r="G313" s="1014">
        <f t="shared" si="130"/>
        <v>65</v>
      </c>
      <c r="H313" s="1014">
        <f t="shared" si="130"/>
        <v>40</v>
      </c>
      <c r="I313" s="1014">
        <f t="shared" si="130"/>
        <v>68</v>
      </c>
      <c r="J313" s="1013">
        <f t="shared" si="130"/>
        <v>34</v>
      </c>
      <c r="K313" s="1012">
        <f t="shared" si="130"/>
        <v>32.310391334359899</v>
      </c>
      <c r="L313" s="1011">
        <f t="shared" si="130"/>
        <v>0.25445191927186389</v>
      </c>
    </row>
    <row r="314" spans="1:12">
      <c r="A314" s="906">
        <v>313</v>
      </c>
      <c r="B314" s="906" t="s">
        <v>1422</v>
      </c>
      <c r="C314" s="906">
        <v>29188</v>
      </c>
      <c r="D314" s="906" t="s">
        <v>1256</v>
      </c>
      <c r="E314" s="906" t="s">
        <v>1259</v>
      </c>
      <c r="F314" s="1015"/>
      <c r="G314" s="1014"/>
      <c r="H314" s="1014"/>
      <c r="I314" s="1014"/>
      <c r="J314" s="1013"/>
      <c r="K314" s="1012"/>
      <c r="L314" s="1011"/>
    </row>
    <row r="315" spans="1:12">
      <c r="A315" s="906">
        <v>314</v>
      </c>
      <c r="B315" s="906" t="s">
        <v>1422</v>
      </c>
      <c r="C315" s="906">
        <v>29189</v>
      </c>
      <c r="D315" s="906" t="s">
        <v>1256</v>
      </c>
      <c r="E315" s="906" t="s">
        <v>1259</v>
      </c>
      <c r="F315" s="1015"/>
      <c r="G315" s="1014"/>
      <c r="H315" s="1014"/>
      <c r="I315" s="1014"/>
      <c r="J315" s="1013"/>
      <c r="K315" s="1012"/>
      <c r="L315" s="1011"/>
    </row>
    <row r="316" spans="1:12">
      <c r="A316" s="906">
        <v>315</v>
      </c>
      <c r="B316" s="906" t="s">
        <v>1421</v>
      </c>
      <c r="C316" s="906">
        <v>29189</v>
      </c>
      <c r="D316" s="906" t="s">
        <v>1256</v>
      </c>
      <c r="E316" s="906" t="s">
        <v>1258</v>
      </c>
      <c r="F316" s="1015">
        <f t="shared" ref="F316:L318" si="131">O181</f>
        <v>0</v>
      </c>
      <c r="G316" s="1014">
        <f t="shared" si="131"/>
        <v>68</v>
      </c>
      <c r="H316" s="1014">
        <f t="shared" si="131"/>
        <v>36</v>
      </c>
      <c r="I316" s="1014">
        <f t="shared" si="131"/>
        <v>70</v>
      </c>
      <c r="J316" s="1013">
        <f t="shared" si="131"/>
        <v>33</v>
      </c>
      <c r="K316" s="1012">
        <f t="shared" si="131"/>
        <v>0</v>
      </c>
      <c r="L316" s="1011">
        <f t="shared" si="131"/>
        <v>0.26015151515151513</v>
      </c>
    </row>
    <row r="317" spans="1:12">
      <c r="A317" s="906">
        <v>316</v>
      </c>
      <c r="B317" s="906" t="s">
        <v>1420</v>
      </c>
      <c r="C317" s="906">
        <v>29189</v>
      </c>
      <c r="D317" s="906" t="s">
        <v>1256</v>
      </c>
      <c r="E317" s="906" t="s">
        <v>1258</v>
      </c>
      <c r="F317" s="1015">
        <f t="shared" si="131"/>
        <v>0</v>
      </c>
      <c r="G317" s="1014">
        <f t="shared" si="131"/>
        <v>66.099999999999994</v>
      </c>
      <c r="H317" s="1014">
        <f t="shared" si="131"/>
        <v>44</v>
      </c>
      <c r="I317" s="1014">
        <f t="shared" si="131"/>
        <v>69</v>
      </c>
      <c r="J317" s="1013">
        <f t="shared" si="131"/>
        <v>39.5</v>
      </c>
      <c r="K317" s="1012">
        <f t="shared" si="131"/>
        <v>27.789915231702551</v>
      </c>
      <c r="L317" s="1011">
        <f t="shared" si="131"/>
        <v>0.17671806501226486</v>
      </c>
    </row>
    <row r="318" spans="1:12">
      <c r="A318" s="906">
        <v>317</v>
      </c>
      <c r="B318" s="906" t="s">
        <v>1419</v>
      </c>
      <c r="C318" s="906">
        <v>29189</v>
      </c>
      <c r="D318" s="906" t="s">
        <v>1256</v>
      </c>
      <c r="E318" s="906" t="s">
        <v>1258</v>
      </c>
      <c r="F318" s="1015">
        <f t="shared" si="131"/>
        <v>3.3328752061572292E-3</v>
      </c>
      <c r="G318" s="1014">
        <f t="shared" si="131"/>
        <v>68</v>
      </c>
      <c r="H318" s="1014">
        <f t="shared" si="131"/>
        <v>34</v>
      </c>
      <c r="I318" s="1014">
        <f t="shared" si="131"/>
        <v>68</v>
      </c>
      <c r="J318" s="1013">
        <f t="shared" si="131"/>
        <v>32</v>
      </c>
      <c r="K318" s="1012">
        <f t="shared" si="131"/>
        <v>37.040916326142735</v>
      </c>
      <c r="L318" s="1011">
        <f t="shared" si="131"/>
        <v>0.25273209914848138</v>
      </c>
    </row>
    <row r="319" spans="1:12">
      <c r="A319" s="906">
        <v>318</v>
      </c>
      <c r="B319" s="906" t="s">
        <v>1418</v>
      </c>
      <c r="C319" s="906">
        <v>29188</v>
      </c>
      <c r="D319" s="906" t="s">
        <v>1256</v>
      </c>
      <c r="E319" s="906" t="s">
        <v>1259</v>
      </c>
      <c r="F319" s="1015"/>
      <c r="G319" s="1014"/>
      <c r="H319" s="1014"/>
      <c r="I319" s="1014"/>
      <c r="J319" s="1013"/>
      <c r="K319" s="1012"/>
      <c r="L319" s="1011"/>
    </row>
    <row r="320" spans="1:12">
      <c r="A320" s="906">
        <v>319</v>
      </c>
      <c r="B320" s="906" t="s">
        <v>1417</v>
      </c>
      <c r="C320" s="906">
        <v>29189</v>
      </c>
      <c r="D320" s="906" t="s">
        <v>1256</v>
      </c>
      <c r="E320" s="906" t="s">
        <v>1258</v>
      </c>
      <c r="F320" s="1015">
        <f t="shared" ref="F320:L321" si="132">O184</f>
        <v>1.2688216132485934E-2</v>
      </c>
      <c r="G320" s="1014">
        <f t="shared" si="132"/>
        <v>67</v>
      </c>
      <c r="H320" s="1014">
        <f t="shared" si="132"/>
        <v>46</v>
      </c>
      <c r="I320" s="1014">
        <f t="shared" si="132"/>
        <v>83</v>
      </c>
      <c r="J320" s="1013">
        <f t="shared" si="132"/>
        <v>41</v>
      </c>
      <c r="K320" s="1012">
        <f t="shared" si="132"/>
        <v>29.11144538321798</v>
      </c>
      <c r="L320" s="1011">
        <f t="shared" si="132"/>
        <v>0.3055235106824789</v>
      </c>
    </row>
    <row r="321" spans="1:12">
      <c r="A321" s="906">
        <v>320</v>
      </c>
      <c r="B321" s="906" t="s">
        <v>1416</v>
      </c>
      <c r="C321" s="906">
        <v>29189</v>
      </c>
      <c r="D321" s="906" t="s">
        <v>1256</v>
      </c>
      <c r="E321" s="906" t="s">
        <v>1258</v>
      </c>
      <c r="F321" s="1015">
        <f t="shared" si="132"/>
        <v>0</v>
      </c>
      <c r="G321" s="1014">
        <f t="shared" si="132"/>
        <v>70</v>
      </c>
      <c r="H321" s="1014">
        <f t="shared" si="132"/>
        <v>38</v>
      </c>
      <c r="I321" s="1014">
        <f t="shared" si="132"/>
        <v>74</v>
      </c>
      <c r="J321" s="1013">
        <f t="shared" si="132"/>
        <v>34</v>
      </c>
      <c r="K321" s="1012">
        <f t="shared" si="132"/>
        <v>37.892150655978803</v>
      </c>
      <c r="L321" s="1011">
        <f t="shared" si="132"/>
        <v>0.28466427189831445</v>
      </c>
    </row>
    <row r="322" spans="1:12">
      <c r="A322" s="906">
        <v>321</v>
      </c>
      <c r="B322" s="906" t="s">
        <v>1415</v>
      </c>
      <c r="C322" s="906">
        <v>29189</v>
      </c>
      <c r="D322" s="906" t="s">
        <v>1257</v>
      </c>
      <c r="E322" s="906" t="s">
        <v>1258</v>
      </c>
      <c r="F322" s="1015"/>
      <c r="G322" s="1014"/>
      <c r="H322" s="1014"/>
      <c r="I322" s="1014"/>
      <c r="J322" s="1013"/>
      <c r="K322" s="1012"/>
      <c r="L322" s="1011"/>
    </row>
    <row r="323" spans="1:12">
      <c r="A323" s="906">
        <v>322</v>
      </c>
      <c r="B323" s="906" t="s">
        <v>1415</v>
      </c>
      <c r="C323" s="906">
        <v>29189</v>
      </c>
      <c r="D323" s="906" t="s">
        <v>1256</v>
      </c>
      <c r="E323" s="906" t="s">
        <v>1258</v>
      </c>
      <c r="F323" s="1015">
        <f t="shared" ref="F323:L324" si="133">O186</f>
        <v>0</v>
      </c>
      <c r="G323" s="1014">
        <f t="shared" si="133"/>
        <v>65</v>
      </c>
      <c r="H323" s="1014">
        <f t="shared" si="133"/>
        <v>39</v>
      </c>
      <c r="I323" s="1014">
        <f t="shared" si="133"/>
        <v>75</v>
      </c>
      <c r="J323" s="1013">
        <f t="shared" si="133"/>
        <v>37</v>
      </c>
      <c r="K323" s="1012" t="str">
        <f t="shared" si="133"/>
        <v/>
      </c>
      <c r="L323" s="1011">
        <f t="shared" si="133"/>
        <v>0.22543422128847049</v>
      </c>
    </row>
    <row r="324" spans="1:12">
      <c r="A324" s="906">
        <v>323</v>
      </c>
      <c r="B324" s="906" t="s">
        <v>1414</v>
      </c>
      <c r="C324" s="906">
        <v>29189</v>
      </c>
      <c r="D324" s="906" t="s">
        <v>1256</v>
      </c>
      <c r="E324" s="906" t="s">
        <v>1258</v>
      </c>
      <c r="F324" s="1015">
        <f t="shared" si="133"/>
        <v>0</v>
      </c>
      <c r="G324" s="1014">
        <f t="shared" si="133"/>
        <v>72</v>
      </c>
      <c r="H324" s="1014">
        <f t="shared" si="133"/>
        <v>37</v>
      </c>
      <c r="I324" s="1014">
        <f t="shared" si="133"/>
        <v>68</v>
      </c>
      <c r="J324" s="1013">
        <f t="shared" si="133"/>
        <v>33</v>
      </c>
      <c r="K324" s="1012">
        <f t="shared" si="133"/>
        <v>34.04097488484021</v>
      </c>
      <c r="L324" s="1011">
        <f t="shared" si="133"/>
        <v>0.22778636344302505</v>
      </c>
    </row>
    <row r="325" spans="1:12" ht="15.6">
      <c r="A325" s="906">
        <v>324</v>
      </c>
      <c r="B325" s="906" t="s">
        <v>1413</v>
      </c>
      <c r="C325" s="906">
        <v>29189</v>
      </c>
      <c r="D325" s="906" t="s">
        <v>1256</v>
      </c>
      <c r="E325" s="906" t="s">
        <v>1258</v>
      </c>
      <c r="F325" s="1015">
        <f t="shared" ref="F325:K325" si="134">O188</f>
        <v>0</v>
      </c>
      <c r="G325" s="1014">
        <f t="shared" si="134"/>
        <v>63</v>
      </c>
      <c r="H325" s="1014">
        <f t="shared" si="134"/>
        <v>38</v>
      </c>
      <c r="I325" s="1014">
        <f t="shared" si="134"/>
        <v>70</v>
      </c>
      <c r="J325" s="1013">
        <f t="shared" si="134"/>
        <v>36</v>
      </c>
      <c r="K325" s="1012">
        <f t="shared" si="134"/>
        <v>0</v>
      </c>
      <c r="L325" s="1016">
        <v>0.22800028617798151</v>
      </c>
    </row>
    <row r="326" spans="1:12">
      <c r="A326" s="906">
        <v>325</v>
      </c>
      <c r="B326" s="906" t="s">
        <v>1412</v>
      </c>
      <c r="C326" s="906">
        <v>29189</v>
      </c>
      <c r="D326" s="906" t="s">
        <v>1256</v>
      </c>
      <c r="E326" s="906" t="s">
        <v>1258</v>
      </c>
      <c r="F326" s="1015"/>
      <c r="G326" s="1014"/>
      <c r="H326" s="1014"/>
      <c r="I326" s="1014"/>
      <c r="J326" s="1013"/>
      <c r="K326" s="1012"/>
      <c r="L326" s="1011"/>
    </row>
    <row r="327" spans="1:12">
      <c r="A327" s="906">
        <v>326</v>
      </c>
      <c r="B327" s="906" t="s">
        <v>1411</v>
      </c>
      <c r="C327" s="906">
        <v>29189</v>
      </c>
      <c r="D327" s="906" t="s">
        <v>1256</v>
      </c>
      <c r="E327" s="906" t="s">
        <v>1258</v>
      </c>
      <c r="F327" s="1015">
        <f t="shared" ref="F327:L327" si="135">O190</f>
        <v>0</v>
      </c>
      <c r="G327" s="1014">
        <f t="shared" si="135"/>
        <v>80</v>
      </c>
      <c r="H327" s="1014">
        <f t="shared" si="135"/>
        <v>37</v>
      </c>
      <c r="I327" s="1014">
        <f t="shared" si="135"/>
        <v>89</v>
      </c>
      <c r="J327" s="1013">
        <f t="shared" si="135"/>
        <v>36</v>
      </c>
      <c r="K327" s="1012" t="str">
        <f t="shared" si="135"/>
        <v/>
      </c>
      <c r="L327" s="1011">
        <f t="shared" si="135"/>
        <v>0.25266230607059842</v>
      </c>
    </row>
    <row r="328" spans="1:12">
      <c r="A328" s="906">
        <v>327</v>
      </c>
      <c r="B328" s="906" t="s">
        <v>1410</v>
      </c>
      <c r="C328" s="906">
        <v>29189</v>
      </c>
      <c r="D328" s="906" t="s">
        <v>1256</v>
      </c>
      <c r="E328" s="906" t="s">
        <v>1258</v>
      </c>
      <c r="F328" s="1015"/>
      <c r="G328" s="1014"/>
      <c r="H328" s="1014"/>
      <c r="I328" s="1014"/>
      <c r="J328" s="1013"/>
      <c r="K328" s="1012"/>
      <c r="L328" s="1011"/>
    </row>
    <row r="329" spans="1:12">
      <c r="A329" s="906">
        <v>328</v>
      </c>
      <c r="B329" s="906" t="s">
        <v>1409</v>
      </c>
      <c r="C329" s="906">
        <v>29188</v>
      </c>
      <c r="D329" s="906" t="s">
        <v>1256</v>
      </c>
      <c r="E329" s="906" t="s">
        <v>1259</v>
      </c>
      <c r="F329" s="1015">
        <f t="shared" ref="F329:L329" si="136">O192</f>
        <v>1.9295246130958989E-2</v>
      </c>
      <c r="G329" s="1014">
        <f t="shared" si="136"/>
        <v>70</v>
      </c>
      <c r="H329" s="1014">
        <f t="shared" si="136"/>
        <v>47</v>
      </c>
      <c r="I329" s="1014">
        <f t="shared" si="136"/>
        <v>82</v>
      </c>
      <c r="J329" s="1013">
        <f t="shared" si="136"/>
        <v>44</v>
      </c>
      <c r="K329" s="1012">
        <f t="shared" si="136"/>
        <v>35.799021344934445</v>
      </c>
      <c r="L329" s="1011">
        <f t="shared" si="136"/>
        <v>0.28027078427821045</v>
      </c>
    </row>
    <row r="330" spans="1:12">
      <c r="A330" s="906">
        <v>329</v>
      </c>
      <c r="B330" s="906" t="s">
        <v>1408</v>
      </c>
      <c r="C330" s="906">
        <v>29189</v>
      </c>
      <c r="D330" s="906" t="s">
        <v>1256</v>
      </c>
      <c r="E330" s="906" t="s">
        <v>1258</v>
      </c>
      <c r="F330" s="1015"/>
      <c r="G330" s="1014"/>
      <c r="H330" s="1014"/>
      <c r="I330" s="1014"/>
      <c r="J330" s="1013"/>
      <c r="K330" s="1012"/>
      <c r="L330" s="1011"/>
    </row>
    <row r="331" spans="1:12">
      <c r="A331" s="906">
        <v>330</v>
      </c>
      <c r="B331" s="906" t="s">
        <v>1407</v>
      </c>
      <c r="C331" s="906">
        <v>29189</v>
      </c>
      <c r="D331" s="906" t="s">
        <v>1256</v>
      </c>
      <c r="E331" s="906" t="s">
        <v>1259</v>
      </c>
      <c r="F331" s="1015"/>
      <c r="G331" s="1014"/>
      <c r="H331" s="1014"/>
      <c r="I331" s="1014"/>
      <c r="J331" s="1013"/>
      <c r="K331" s="1012"/>
      <c r="L331" s="1011"/>
    </row>
    <row r="332" spans="1:12">
      <c r="A332" s="906">
        <v>331</v>
      </c>
      <c r="B332" s="906" t="s">
        <v>1406</v>
      </c>
      <c r="C332" s="906">
        <v>68534</v>
      </c>
      <c r="D332" s="906" t="s">
        <v>1256</v>
      </c>
      <c r="E332" s="906" t="s">
        <v>1259</v>
      </c>
      <c r="F332" s="1015">
        <f t="shared" ref="F332:L333" si="137">O193</f>
        <v>0</v>
      </c>
      <c r="G332" s="1014">
        <f t="shared" si="137"/>
        <v>68</v>
      </c>
      <c r="H332" s="1014">
        <f t="shared" si="137"/>
        <v>45</v>
      </c>
      <c r="I332" s="1014">
        <f t="shared" si="137"/>
        <v>73</v>
      </c>
      <c r="J332" s="1013">
        <f t="shared" si="137"/>
        <v>41</v>
      </c>
      <c r="K332" s="1012">
        <f t="shared" si="137"/>
        <v>31.864698078790894</v>
      </c>
      <c r="L332" s="1011">
        <f t="shared" si="137"/>
        <v>0.22919297348272941</v>
      </c>
    </row>
    <row r="333" spans="1:12">
      <c r="A333" s="906">
        <v>332</v>
      </c>
      <c r="B333" s="906" t="s">
        <v>1405</v>
      </c>
      <c r="C333" s="906">
        <v>29189</v>
      </c>
      <c r="D333" s="906" t="s">
        <v>1256</v>
      </c>
      <c r="E333" s="906" t="s">
        <v>1258</v>
      </c>
      <c r="F333" s="1015">
        <f t="shared" si="137"/>
        <v>7.8280671790492452E-3</v>
      </c>
      <c r="G333" s="1014">
        <f t="shared" si="137"/>
        <v>65</v>
      </c>
      <c r="H333" s="1014">
        <f t="shared" si="137"/>
        <v>39</v>
      </c>
      <c r="I333" s="1014">
        <f t="shared" si="137"/>
        <v>65</v>
      </c>
      <c r="J333" s="1013">
        <f t="shared" si="137"/>
        <v>32</v>
      </c>
      <c r="K333" s="1012">
        <f t="shared" si="137"/>
        <v>30.509211195928753</v>
      </c>
      <c r="L333" s="1011">
        <f t="shared" si="137"/>
        <v>0.28252761440252472</v>
      </c>
    </row>
    <row r="334" spans="1:12">
      <c r="A334" s="906">
        <v>333</v>
      </c>
      <c r="B334" s="906" t="s">
        <v>1404</v>
      </c>
      <c r="C334" s="906">
        <v>29189</v>
      </c>
      <c r="D334" s="906" t="s">
        <v>1256</v>
      </c>
      <c r="E334" s="906" t="s">
        <v>1258</v>
      </c>
      <c r="F334" s="1015"/>
      <c r="G334" s="1014"/>
      <c r="H334" s="1014"/>
      <c r="I334" s="1014"/>
      <c r="J334" s="1013"/>
      <c r="K334" s="1012"/>
      <c r="L334" s="1011"/>
    </row>
    <row r="335" spans="1:12">
      <c r="A335" s="906">
        <v>334</v>
      </c>
      <c r="B335" s="906" t="s">
        <v>1403</v>
      </c>
      <c r="C335" s="906">
        <v>29189</v>
      </c>
      <c r="D335" s="906" t="s">
        <v>1256</v>
      </c>
      <c r="E335" s="906" t="s">
        <v>1259</v>
      </c>
      <c r="F335" s="1015"/>
      <c r="G335" s="1014"/>
      <c r="H335" s="1014"/>
      <c r="I335" s="1014"/>
      <c r="J335" s="1013"/>
      <c r="K335" s="1012"/>
      <c r="L335" s="1011"/>
    </row>
    <row r="336" spans="1:12">
      <c r="A336" s="906">
        <v>335</v>
      </c>
      <c r="B336" s="906" t="s">
        <v>1402</v>
      </c>
      <c r="C336" s="906">
        <v>29189</v>
      </c>
      <c r="D336" s="906" t="s">
        <v>1256</v>
      </c>
      <c r="E336" s="906" t="s">
        <v>1259</v>
      </c>
      <c r="F336" s="1015"/>
      <c r="G336" s="1014"/>
      <c r="H336" s="1014"/>
      <c r="I336" s="1014"/>
      <c r="J336" s="1013"/>
      <c r="K336" s="1012"/>
      <c r="L336" s="1011"/>
    </row>
    <row r="337" spans="1:12">
      <c r="A337" s="906">
        <v>336</v>
      </c>
      <c r="B337" s="906" t="s">
        <v>1401</v>
      </c>
      <c r="C337" s="906">
        <v>29189</v>
      </c>
      <c r="D337" s="906" t="s">
        <v>1256</v>
      </c>
      <c r="E337" s="906" t="s">
        <v>1258</v>
      </c>
      <c r="F337" s="1015"/>
      <c r="G337" s="1014"/>
      <c r="H337" s="1014"/>
      <c r="I337" s="1014"/>
      <c r="J337" s="1013"/>
      <c r="K337" s="1012"/>
      <c r="L337" s="1011"/>
    </row>
    <row r="338" spans="1:12">
      <c r="A338" s="906">
        <v>337</v>
      </c>
      <c r="B338" s="906" t="s">
        <v>1400</v>
      </c>
      <c r="C338" s="906">
        <v>29189</v>
      </c>
      <c r="D338" s="906" t="s">
        <v>1256</v>
      </c>
      <c r="E338" s="906" t="s">
        <v>1258</v>
      </c>
      <c r="F338" s="1015"/>
      <c r="G338" s="1014"/>
      <c r="H338" s="1014"/>
      <c r="I338" s="1014"/>
      <c r="J338" s="1013"/>
      <c r="K338" s="1012"/>
      <c r="L338" s="1011"/>
    </row>
    <row r="339" spans="1:12">
      <c r="A339" s="906">
        <v>338</v>
      </c>
      <c r="B339" s="906" t="s">
        <v>1399</v>
      </c>
      <c r="C339" s="906">
        <v>29189</v>
      </c>
      <c r="D339" s="906" t="s">
        <v>1256</v>
      </c>
      <c r="E339" s="906" t="s">
        <v>1258</v>
      </c>
      <c r="F339" s="1015">
        <f t="shared" ref="F339:L341" si="138">O195</f>
        <v>0</v>
      </c>
      <c r="G339" s="1014">
        <f t="shared" si="138"/>
        <v>70</v>
      </c>
      <c r="H339" s="1014">
        <f t="shared" si="138"/>
        <v>35</v>
      </c>
      <c r="I339" s="1014">
        <f t="shared" si="138"/>
        <v>70</v>
      </c>
      <c r="J339" s="1013">
        <f t="shared" si="138"/>
        <v>31</v>
      </c>
      <c r="K339" s="1012">
        <f t="shared" si="138"/>
        <v>36.810123456790123</v>
      </c>
      <c r="L339" s="1011">
        <f t="shared" si="138"/>
        <v>0.24733198730891259</v>
      </c>
    </row>
    <row r="340" spans="1:12">
      <c r="A340" s="906">
        <v>339</v>
      </c>
      <c r="B340" s="906" t="s">
        <v>1398</v>
      </c>
      <c r="C340" s="906">
        <v>29189</v>
      </c>
      <c r="D340" s="906" t="s">
        <v>1256</v>
      </c>
      <c r="E340" s="906" t="s">
        <v>1258</v>
      </c>
      <c r="F340" s="1015">
        <f t="shared" si="138"/>
        <v>0</v>
      </c>
      <c r="G340" s="1014">
        <f t="shared" si="138"/>
        <v>68.5</v>
      </c>
      <c r="H340" s="1014">
        <f t="shared" si="138"/>
        <v>41</v>
      </c>
      <c r="I340" s="1014">
        <f t="shared" si="138"/>
        <v>72</v>
      </c>
      <c r="J340" s="1013">
        <f t="shared" si="138"/>
        <v>35</v>
      </c>
      <c r="K340" s="1012">
        <f t="shared" si="138"/>
        <v>38.37406</v>
      </c>
      <c r="L340" s="1011">
        <f t="shared" si="138"/>
        <v>0.23754883724404802</v>
      </c>
    </row>
    <row r="341" spans="1:12">
      <c r="A341" s="906">
        <v>340</v>
      </c>
      <c r="B341" s="906" t="s">
        <v>1397</v>
      </c>
      <c r="C341" s="906">
        <v>29189</v>
      </c>
      <c r="D341" s="906" t="s">
        <v>1256</v>
      </c>
      <c r="E341" s="906" t="s">
        <v>1258</v>
      </c>
      <c r="F341" s="1015">
        <f t="shared" si="138"/>
        <v>1.1500633141945221E-2</v>
      </c>
      <c r="G341" s="1014">
        <f t="shared" si="138"/>
        <v>69</v>
      </c>
      <c r="H341" s="1014">
        <f t="shared" si="138"/>
        <v>0</v>
      </c>
      <c r="I341" s="1014">
        <f t="shared" si="138"/>
        <v>72</v>
      </c>
      <c r="J341" s="1013">
        <f t="shared" si="138"/>
        <v>0</v>
      </c>
      <c r="K341" s="1012" t="str">
        <f t="shared" si="138"/>
        <v/>
      </c>
      <c r="L341" s="1011">
        <f t="shared" si="138"/>
        <v>0.23712841750605412</v>
      </c>
    </row>
    <row r="342" spans="1:12" ht="15.6">
      <c r="A342" s="906">
        <v>341</v>
      </c>
      <c r="B342" s="906" t="s">
        <v>1396</v>
      </c>
      <c r="C342" s="906">
        <v>29189</v>
      </c>
      <c r="D342" s="906" t="s">
        <v>1256</v>
      </c>
      <c r="E342" s="906" t="s">
        <v>1259</v>
      </c>
      <c r="F342" s="1015">
        <f t="shared" ref="F342:K343" si="139">O198</f>
        <v>0</v>
      </c>
      <c r="G342" s="1014">
        <f t="shared" si="139"/>
        <v>72</v>
      </c>
      <c r="H342" s="1014">
        <f t="shared" si="139"/>
        <v>41</v>
      </c>
      <c r="I342" s="1014">
        <f t="shared" si="139"/>
        <v>88</v>
      </c>
      <c r="J342" s="1013">
        <f t="shared" si="139"/>
        <v>39</v>
      </c>
      <c r="K342" s="1012">
        <f t="shared" si="139"/>
        <v>0</v>
      </c>
      <c r="L342" s="1016">
        <v>0.22800028617798151</v>
      </c>
    </row>
    <row r="343" spans="1:12">
      <c r="A343" s="906">
        <v>342</v>
      </c>
      <c r="B343" s="906" t="s">
        <v>1395</v>
      </c>
      <c r="C343" s="906">
        <v>29189</v>
      </c>
      <c r="D343" s="906" t="s">
        <v>1256</v>
      </c>
      <c r="E343" s="906" t="s">
        <v>1258</v>
      </c>
      <c r="F343" s="1015">
        <f t="shared" si="139"/>
        <v>0</v>
      </c>
      <c r="G343" s="1014">
        <f t="shared" si="139"/>
        <v>85</v>
      </c>
      <c r="H343" s="1014">
        <f t="shared" si="139"/>
        <v>45</v>
      </c>
      <c r="I343" s="1014">
        <f t="shared" si="139"/>
        <v>85</v>
      </c>
      <c r="J343" s="1013">
        <f t="shared" si="139"/>
        <v>45</v>
      </c>
      <c r="K343" s="1012" t="str">
        <f t="shared" si="139"/>
        <v/>
      </c>
      <c r="L343" s="1011">
        <f>U199</f>
        <v>0.22411913419097065</v>
      </c>
    </row>
    <row r="344" spans="1:12">
      <c r="A344" s="906">
        <v>343</v>
      </c>
      <c r="B344" s="906" t="s">
        <v>1394</v>
      </c>
      <c r="C344" s="906">
        <v>29189</v>
      </c>
      <c r="D344" s="906" t="s">
        <v>1257</v>
      </c>
      <c r="E344" s="906" t="s">
        <v>1259</v>
      </c>
      <c r="F344" s="1015"/>
      <c r="G344" s="1014"/>
      <c r="H344" s="1014"/>
      <c r="I344" s="1014"/>
      <c r="J344" s="1013"/>
      <c r="K344" s="1012"/>
      <c r="L344" s="1011"/>
    </row>
    <row r="345" spans="1:12">
      <c r="A345" s="906">
        <v>344</v>
      </c>
      <c r="B345" s="906" t="s">
        <v>1393</v>
      </c>
      <c r="C345" s="906">
        <v>29188</v>
      </c>
      <c r="D345" s="906" t="s">
        <v>1256</v>
      </c>
      <c r="E345" s="906" t="s">
        <v>1259</v>
      </c>
      <c r="F345" s="1015">
        <f t="shared" ref="F345:L347" si="140">O200</f>
        <v>2.6783337769496939E-2</v>
      </c>
      <c r="G345" s="1014">
        <f t="shared" si="140"/>
        <v>71.2</v>
      </c>
      <c r="H345" s="1014">
        <f t="shared" si="140"/>
        <v>44.4</v>
      </c>
      <c r="I345" s="1014">
        <f t="shared" si="140"/>
        <v>76.7</v>
      </c>
      <c r="J345" s="1013">
        <f t="shared" si="140"/>
        <v>37.6</v>
      </c>
      <c r="K345" s="1012">
        <f t="shared" si="140"/>
        <v>46.516443384276855</v>
      </c>
      <c r="L345" s="1011">
        <f t="shared" si="140"/>
        <v>0.33448429113534578</v>
      </c>
    </row>
    <row r="346" spans="1:12">
      <c r="A346" s="906">
        <v>345</v>
      </c>
      <c r="B346" s="906" t="s">
        <v>1392</v>
      </c>
      <c r="C346" s="906">
        <v>29188</v>
      </c>
      <c r="D346" s="906" t="s">
        <v>1256</v>
      </c>
      <c r="E346" s="906" t="s">
        <v>1258</v>
      </c>
      <c r="F346" s="1015">
        <f t="shared" si="140"/>
        <v>0</v>
      </c>
      <c r="G346" s="1014">
        <f t="shared" si="140"/>
        <v>80</v>
      </c>
      <c r="H346" s="1014">
        <f t="shared" si="140"/>
        <v>40</v>
      </c>
      <c r="I346" s="1014">
        <f t="shared" si="140"/>
        <v>80</v>
      </c>
      <c r="J346" s="1013">
        <f t="shared" si="140"/>
        <v>38</v>
      </c>
      <c r="K346" s="1012" t="str">
        <f t="shared" si="140"/>
        <v/>
      </c>
      <c r="L346" s="1011">
        <f t="shared" si="140"/>
        <v>0.42861396949343217</v>
      </c>
    </row>
    <row r="347" spans="1:12">
      <c r="A347" s="906">
        <v>346</v>
      </c>
      <c r="B347" s="906" t="s">
        <v>1391</v>
      </c>
      <c r="C347" s="906">
        <v>29189</v>
      </c>
      <c r="D347" s="906" t="s">
        <v>1256</v>
      </c>
      <c r="E347" s="906" t="s">
        <v>1258</v>
      </c>
      <c r="F347" s="1015">
        <f t="shared" si="140"/>
        <v>0</v>
      </c>
      <c r="G347" s="1014">
        <f t="shared" si="140"/>
        <v>66</v>
      </c>
      <c r="H347" s="1014">
        <f t="shared" si="140"/>
        <v>43</v>
      </c>
      <c r="I347" s="1014">
        <f t="shared" si="140"/>
        <v>75</v>
      </c>
      <c r="J347" s="1013">
        <f t="shared" si="140"/>
        <v>34</v>
      </c>
      <c r="K347" s="1012">
        <f t="shared" si="140"/>
        <v>33.189646441843678</v>
      </c>
      <c r="L347" s="1011">
        <f t="shared" si="140"/>
        <v>0.27482968574272526</v>
      </c>
    </row>
    <row r="348" spans="1:12">
      <c r="A348" s="906">
        <v>347</v>
      </c>
      <c r="B348" s="906" t="s">
        <v>1390</v>
      </c>
      <c r="C348" s="906">
        <v>29189</v>
      </c>
      <c r="D348" s="906" t="s">
        <v>1256</v>
      </c>
      <c r="E348" s="906" t="s">
        <v>1258</v>
      </c>
      <c r="F348" s="1015"/>
      <c r="G348" s="1014"/>
      <c r="H348" s="1014"/>
      <c r="I348" s="1014"/>
      <c r="J348" s="1013"/>
      <c r="K348" s="1012"/>
      <c r="L348" s="1011"/>
    </row>
    <row r="349" spans="1:12">
      <c r="A349" s="906">
        <v>348</v>
      </c>
      <c r="B349" s="906" t="s">
        <v>1389</v>
      </c>
      <c r="C349" s="906">
        <v>29189</v>
      </c>
      <c r="D349" s="906" t="s">
        <v>1256</v>
      </c>
      <c r="E349" s="906" t="s">
        <v>1258</v>
      </c>
      <c r="F349" s="1015">
        <f t="shared" ref="F349:L350" si="141">O203</f>
        <v>0</v>
      </c>
      <c r="G349" s="1014">
        <f t="shared" si="141"/>
        <v>79.430000000000007</v>
      </c>
      <c r="H349" s="1014">
        <f t="shared" si="141"/>
        <v>46.72</v>
      </c>
      <c r="I349" s="1014">
        <f t="shared" si="141"/>
        <v>80.959999999999994</v>
      </c>
      <c r="J349" s="1013">
        <f t="shared" si="141"/>
        <v>41.73</v>
      </c>
      <c r="K349" s="1012" t="str">
        <f t="shared" si="141"/>
        <v/>
      </c>
      <c r="L349" s="1011">
        <f t="shared" si="141"/>
        <v>0.24484052532833017</v>
      </c>
    </row>
    <row r="350" spans="1:12">
      <c r="A350" s="906">
        <v>349</v>
      </c>
      <c r="B350" s="906" t="s">
        <v>1388</v>
      </c>
      <c r="C350" s="906">
        <v>29189</v>
      </c>
      <c r="D350" s="906" t="s">
        <v>1256</v>
      </c>
      <c r="E350" s="906" t="s">
        <v>1258</v>
      </c>
      <c r="F350" s="1015">
        <f t="shared" si="141"/>
        <v>2.081651726921254E-3</v>
      </c>
      <c r="G350" s="1014">
        <f t="shared" si="141"/>
        <v>71</v>
      </c>
      <c r="H350" s="1014">
        <f t="shared" si="141"/>
        <v>39</v>
      </c>
      <c r="I350" s="1014">
        <f t="shared" si="141"/>
        <v>75</v>
      </c>
      <c r="J350" s="1013">
        <f t="shared" si="141"/>
        <v>39</v>
      </c>
      <c r="K350" s="1012" t="str">
        <f t="shared" si="141"/>
        <v/>
      </c>
      <c r="L350" s="1011">
        <f t="shared" si="141"/>
        <v>0.31176387115084431</v>
      </c>
    </row>
    <row r="351" spans="1:12">
      <c r="A351" s="906">
        <v>350</v>
      </c>
      <c r="B351" s="906" t="s">
        <v>1387</v>
      </c>
      <c r="C351" s="906">
        <v>29189</v>
      </c>
      <c r="D351" s="906" t="s">
        <v>1256</v>
      </c>
      <c r="E351" s="906" t="s">
        <v>1258</v>
      </c>
      <c r="F351" s="1015">
        <f t="shared" ref="F351:K351" si="142">O205</f>
        <v>4.4325885514862207E-3</v>
      </c>
      <c r="G351" s="1014">
        <f t="shared" si="142"/>
        <v>65.5</v>
      </c>
      <c r="H351" s="1014">
        <f t="shared" si="142"/>
        <v>35.5</v>
      </c>
      <c r="I351" s="1014">
        <f t="shared" si="142"/>
        <v>65.5</v>
      </c>
      <c r="J351" s="1013">
        <f t="shared" si="142"/>
        <v>35.5</v>
      </c>
      <c r="K351" s="1012">
        <f t="shared" si="142"/>
        <v>31.893521451711237</v>
      </c>
      <c r="L351" s="1017">
        <v>0.22800028617798151</v>
      </c>
    </row>
    <row r="352" spans="1:12">
      <c r="A352" s="906">
        <v>351</v>
      </c>
      <c r="B352" s="906" t="s">
        <v>1386</v>
      </c>
      <c r="C352" s="906">
        <v>29189</v>
      </c>
      <c r="D352" s="906" t="s">
        <v>1256</v>
      </c>
      <c r="E352" s="906" t="s">
        <v>1258</v>
      </c>
      <c r="F352" s="1015"/>
      <c r="G352" s="1014"/>
      <c r="H352" s="1014"/>
      <c r="I352" s="1014"/>
      <c r="J352" s="1013"/>
      <c r="K352" s="1012"/>
      <c r="L352" s="1011"/>
    </row>
    <row r="353" spans="1:12">
      <c r="A353" s="906">
        <v>352</v>
      </c>
      <c r="B353" s="906" t="s">
        <v>1385</v>
      </c>
      <c r="C353" s="906">
        <v>29189</v>
      </c>
      <c r="D353" s="906" t="s">
        <v>1256</v>
      </c>
      <c r="E353" s="906" t="s">
        <v>1258</v>
      </c>
      <c r="F353" s="1015">
        <f t="shared" ref="F353:L353" si="143">O206</f>
        <v>0</v>
      </c>
      <c r="G353" s="1014">
        <f t="shared" si="143"/>
        <v>68</v>
      </c>
      <c r="H353" s="1014">
        <f t="shared" si="143"/>
        <v>42</v>
      </c>
      <c r="I353" s="1014">
        <f t="shared" si="143"/>
        <v>73</v>
      </c>
      <c r="J353" s="1013">
        <f t="shared" si="143"/>
        <v>39</v>
      </c>
      <c r="K353" s="1012" t="str">
        <f t="shared" si="143"/>
        <v/>
      </c>
      <c r="L353" s="1011">
        <f t="shared" si="143"/>
        <v>0.14821221131063564</v>
      </c>
    </row>
    <row r="354" spans="1:12">
      <c r="A354" s="906">
        <v>353</v>
      </c>
      <c r="B354" s="906" t="s">
        <v>1384</v>
      </c>
      <c r="C354" s="906">
        <v>29189</v>
      </c>
      <c r="D354" s="906" t="s">
        <v>1256</v>
      </c>
      <c r="E354" s="906" t="s">
        <v>1258</v>
      </c>
      <c r="F354" s="1015"/>
      <c r="G354" s="1014"/>
      <c r="H354" s="1014"/>
      <c r="I354" s="1014"/>
      <c r="J354" s="1013"/>
      <c r="K354" s="1012"/>
      <c r="L354" s="1011"/>
    </row>
    <row r="355" spans="1:12">
      <c r="A355" s="906">
        <v>354</v>
      </c>
      <c r="B355" s="906" t="s">
        <v>1383</v>
      </c>
      <c r="C355" s="906">
        <v>29189</v>
      </c>
      <c r="D355" s="906" t="s">
        <v>1256</v>
      </c>
      <c r="E355" s="906" t="s">
        <v>1258</v>
      </c>
      <c r="F355" s="1015">
        <f t="shared" ref="F355:L355" si="144">O207</f>
        <v>1.7211703958691909E-2</v>
      </c>
      <c r="G355" s="1014">
        <f t="shared" si="144"/>
        <v>70</v>
      </c>
      <c r="H355" s="1014">
        <f t="shared" si="144"/>
        <v>45</v>
      </c>
      <c r="I355" s="1014">
        <f t="shared" si="144"/>
        <v>75</v>
      </c>
      <c r="J355" s="1013">
        <f t="shared" si="144"/>
        <v>40</v>
      </c>
      <c r="K355" s="1012">
        <f t="shared" si="144"/>
        <v>35.546450856340392</v>
      </c>
      <c r="L355" s="1011">
        <f t="shared" si="144"/>
        <v>0.43957968476357268</v>
      </c>
    </row>
    <row r="356" spans="1:12" ht="15.6">
      <c r="A356" s="906">
        <v>355</v>
      </c>
      <c r="B356" s="906" t="s">
        <v>1382</v>
      </c>
      <c r="C356" s="906">
        <v>29189</v>
      </c>
      <c r="D356" s="906" t="s">
        <v>1256</v>
      </c>
      <c r="E356" s="906" t="s">
        <v>1258</v>
      </c>
      <c r="F356" s="1015">
        <f t="shared" ref="F356:K356" si="145">O208</f>
        <v>0</v>
      </c>
      <c r="G356" s="1014">
        <f t="shared" si="145"/>
        <v>67</v>
      </c>
      <c r="H356" s="1014">
        <f t="shared" si="145"/>
        <v>40</v>
      </c>
      <c r="I356" s="1014">
        <f t="shared" si="145"/>
        <v>80</v>
      </c>
      <c r="J356" s="1013">
        <f t="shared" si="145"/>
        <v>40</v>
      </c>
      <c r="K356" s="1012" t="str">
        <f t="shared" si="145"/>
        <v/>
      </c>
      <c r="L356" s="1016">
        <v>0.22800028617798151</v>
      </c>
    </row>
    <row r="357" spans="1:12">
      <c r="A357" s="906">
        <v>356</v>
      </c>
      <c r="B357" s="906" t="s">
        <v>1381</v>
      </c>
      <c r="C357" s="906">
        <v>29189</v>
      </c>
      <c r="D357" s="906" t="s">
        <v>1256</v>
      </c>
      <c r="E357" s="906" t="s">
        <v>1258</v>
      </c>
      <c r="F357" s="1015"/>
      <c r="G357" s="1014"/>
      <c r="H357" s="1014"/>
      <c r="I357" s="1014"/>
      <c r="J357" s="1013"/>
      <c r="K357" s="1012"/>
      <c r="L357" s="1011"/>
    </row>
    <row r="358" spans="1:12">
      <c r="A358" s="906">
        <v>357</v>
      </c>
      <c r="B358" s="906" t="s">
        <v>1380</v>
      </c>
      <c r="C358" s="906">
        <v>29189</v>
      </c>
      <c r="D358" s="906" t="s">
        <v>1256</v>
      </c>
      <c r="E358" s="906" t="s">
        <v>1258</v>
      </c>
      <c r="F358" s="1015">
        <f t="shared" ref="F358:L359" si="146">O209</f>
        <v>0</v>
      </c>
      <c r="G358" s="1014">
        <f t="shared" si="146"/>
        <v>73</v>
      </c>
      <c r="H358" s="1014">
        <f t="shared" si="146"/>
        <v>38</v>
      </c>
      <c r="I358" s="1014">
        <f t="shared" si="146"/>
        <v>75</v>
      </c>
      <c r="J358" s="1013">
        <f t="shared" si="146"/>
        <v>40</v>
      </c>
      <c r="K358" s="1012">
        <f t="shared" si="146"/>
        <v>34.207606774484091</v>
      </c>
      <c r="L358" s="1011">
        <f t="shared" si="146"/>
        <v>0.32759604195234043</v>
      </c>
    </row>
    <row r="359" spans="1:12">
      <c r="A359" s="906">
        <v>358</v>
      </c>
      <c r="B359" s="906" t="s">
        <v>1379</v>
      </c>
      <c r="C359" s="906">
        <v>29189</v>
      </c>
      <c r="D359" s="906" t="s">
        <v>1256</v>
      </c>
      <c r="E359" s="906" t="s">
        <v>1258</v>
      </c>
      <c r="F359" s="1015">
        <f t="shared" si="146"/>
        <v>0</v>
      </c>
      <c r="G359" s="1014">
        <f t="shared" si="146"/>
        <v>73</v>
      </c>
      <c r="H359" s="1014">
        <f t="shared" si="146"/>
        <v>34</v>
      </c>
      <c r="I359" s="1014">
        <f t="shared" si="146"/>
        <v>73</v>
      </c>
      <c r="J359" s="1013">
        <f t="shared" si="146"/>
        <v>34</v>
      </c>
      <c r="K359" s="1012" t="str">
        <f t="shared" si="146"/>
        <v/>
      </c>
      <c r="L359" s="1011">
        <f t="shared" si="146"/>
        <v>0.20877817319098457</v>
      </c>
    </row>
    <row r="360" spans="1:12">
      <c r="A360" s="906">
        <v>359</v>
      </c>
      <c r="B360" s="906" t="s">
        <v>1378</v>
      </c>
      <c r="C360" s="906">
        <v>29189</v>
      </c>
      <c r="D360" s="906" t="s">
        <v>1256</v>
      </c>
      <c r="E360" s="906" t="s">
        <v>1258</v>
      </c>
      <c r="F360" s="1015"/>
      <c r="G360" s="1014"/>
      <c r="H360" s="1014"/>
      <c r="I360" s="1014"/>
      <c r="J360" s="1013"/>
      <c r="K360" s="1012"/>
      <c r="L360" s="1011"/>
    </row>
    <row r="361" spans="1:12">
      <c r="A361" s="906">
        <v>360</v>
      </c>
      <c r="B361" s="906" t="s">
        <v>1377</v>
      </c>
      <c r="C361" s="906">
        <v>29189</v>
      </c>
      <c r="D361" s="906" t="s">
        <v>1256</v>
      </c>
      <c r="E361" s="906" t="s">
        <v>1258</v>
      </c>
      <c r="F361" s="1015">
        <f t="shared" ref="F361:L361" si="147">O212</f>
        <v>0</v>
      </c>
      <c r="G361" s="1014">
        <f t="shared" si="147"/>
        <v>61</v>
      </c>
      <c r="H361" s="1014">
        <f t="shared" si="147"/>
        <v>36</v>
      </c>
      <c r="I361" s="1014">
        <f t="shared" si="147"/>
        <v>67</v>
      </c>
      <c r="J361" s="1013">
        <f t="shared" si="147"/>
        <v>34</v>
      </c>
      <c r="K361" s="1012">
        <f t="shared" si="147"/>
        <v>46.755165262807544</v>
      </c>
      <c r="L361" s="1011">
        <f t="shared" si="147"/>
        <v>0.11627030845302566</v>
      </c>
    </row>
    <row r="362" spans="1:12">
      <c r="A362" s="906">
        <v>361</v>
      </c>
      <c r="B362" s="906" t="s">
        <v>1376</v>
      </c>
      <c r="C362" s="906">
        <v>29189</v>
      </c>
      <c r="D362" s="906" t="s">
        <v>1256</v>
      </c>
      <c r="E362" s="906" t="s">
        <v>1258</v>
      </c>
      <c r="F362" s="1015"/>
      <c r="G362" s="1014"/>
      <c r="H362" s="1014"/>
      <c r="I362" s="1014"/>
      <c r="J362" s="1013"/>
      <c r="K362" s="1012"/>
      <c r="L362" s="1011"/>
    </row>
    <row r="363" spans="1:12" ht="15.6">
      <c r="A363" s="906">
        <v>362</v>
      </c>
      <c r="B363" s="906" t="s">
        <v>1375</v>
      </c>
      <c r="C363" s="906">
        <v>55133</v>
      </c>
      <c r="D363" s="906" t="s">
        <v>1257</v>
      </c>
      <c r="E363" s="906" t="s">
        <v>1258</v>
      </c>
      <c r="F363" s="1015">
        <f t="shared" ref="F363:K365" si="148">O213</f>
        <v>0</v>
      </c>
      <c r="G363" s="1014">
        <f t="shared" si="148"/>
        <v>72</v>
      </c>
      <c r="H363" s="1014">
        <f t="shared" si="148"/>
        <v>33</v>
      </c>
      <c r="I363" s="1014">
        <f t="shared" si="148"/>
        <v>75</v>
      </c>
      <c r="J363" s="1013">
        <f t="shared" si="148"/>
        <v>0</v>
      </c>
      <c r="K363" s="1012">
        <f t="shared" si="148"/>
        <v>0</v>
      </c>
      <c r="L363" s="1016">
        <v>0.17374718282373314</v>
      </c>
    </row>
    <row r="364" spans="1:12">
      <c r="A364" s="906">
        <v>363</v>
      </c>
      <c r="B364" s="906" t="s">
        <v>1374</v>
      </c>
      <c r="C364" s="906">
        <v>29189</v>
      </c>
      <c r="D364" s="906" t="s">
        <v>1256</v>
      </c>
      <c r="E364" s="906" t="s">
        <v>1258</v>
      </c>
      <c r="F364" s="1015">
        <f t="shared" si="148"/>
        <v>0</v>
      </c>
      <c r="G364" s="1014">
        <f t="shared" si="148"/>
        <v>74</v>
      </c>
      <c r="H364" s="1014">
        <f t="shared" si="148"/>
        <v>38</v>
      </c>
      <c r="I364" s="1014">
        <f t="shared" si="148"/>
        <v>75</v>
      </c>
      <c r="J364" s="1013">
        <f t="shared" si="148"/>
        <v>34</v>
      </c>
      <c r="K364" s="1012" t="str">
        <f t="shared" si="148"/>
        <v/>
      </c>
      <c r="L364" s="1011">
        <f>U214</f>
        <v>0.33361204013377926</v>
      </c>
    </row>
    <row r="365" spans="1:12">
      <c r="A365" s="906">
        <v>364</v>
      </c>
      <c r="B365" s="906" t="s">
        <v>1373</v>
      </c>
      <c r="C365" s="906">
        <v>29189</v>
      </c>
      <c r="D365" s="906" t="s">
        <v>1257</v>
      </c>
      <c r="E365" s="906" t="s">
        <v>1258</v>
      </c>
      <c r="F365" s="1015">
        <f t="shared" si="148"/>
        <v>0</v>
      </c>
      <c r="G365" s="1014">
        <f t="shared" si="148"/>
        <v>68</v>
      </c>
      <c r="H365" s="1014">
        <f t="shared" si="148"/>
        <v>45</v>
      </c>
      <c r="I365" s="1014">
        <f t="shared" si="148"/>
        <v>82</v>
      </c>
      <c r="J365" s="1013">
        <f t="shared" si="148"/>
        <v>43</v>
      </c>
      <c r="K365" s="1012" t="str">
        <f t="shared" si="148"/>
        <v/>
      </c>
      <c r="L365" s="1011">
        <f>U215</f>
        <v>0.23974527108974802</v>
      </c>
    </row>
    <row r="366" spans="1:12">
      <c r="A366" s="906">
        <v>365</v>
      </c>
      <c r="B366" s="906" t="s">
        <v>1373</v>
      </c>
      <c r="C366" s="906">
        <v>29189</v>
      </c>
      <c r="D366" s="906" t="s">
        <v>1256</v>
      </c>
      <c r="E366" s="906" t="s">
        <v>1258</v>
      </c>
      <c r="F366" s="1015">
        <f t="shared" ref="F366:L368" si="149">F365</f>
        <v>0</v>
      </c>
      <c r="G366" s="1014">
        <f t="shared" si="149"/>
        <v>68</v>
      </c>
      <c r="H366" s="1014">
        <f t="shared" si="149"/>
        <v>45</v>
      </c>
      <c r="I366" s="1014">
        <f t="shared" si="149"/>
        <v>82</v>
      </c>
      <c r="J366" s="1013">
        <f t="shared" si="149"/>
        <v>43</v>
      </c>
      <c r="K366" s="1012" t="str">
        <f t="shared" si="149"/>
        <v/>
      </c>
      <c r="L366" s="1011">
        <f t="shared" si="149"/>
        <v>0.23974527108974802</v>
      </c>
    </row>
    <row r="367" spans="1:12">
      <c r="A367" s="906">
        <v>366</v>
      </c>
      <c r="B367" s="906" t="s">
        <v>1373</v>
      </c>
      <c r="C367" s="906">
        <v>69116</v>
      </c>
      <c r="D367" s="906" t="s">
        <v>1257</v>
      </c>
      <c r="E367" s="906" t="s">
        <v>1258</v>
      </c>
      <c r="F367" s="1015">
        <f t="shared" si="149"/>
        <v>0</v>
      </c>
      <c r="G367" s="1014">
        <f t="shared" si="149"/>
        <v>68</v>
      </c>
      <c r="H367" s="1014">
        <f t="shared" si="149"/>
        <v>45</v>
      </c>
      <c r="I367" s="1014">
        <f t="shared" si="149"/>
        <v>82</v>
      </c>
      <c r="J367" s="1013">
        <f t="shared" si="149"/>
        <v>43</v>
      </c>
      <c r="K367" s="1012" t="str">
        <f t="shared" si="149"/>
        <v/>
      </c>
      <c r="L367" s="1011">
        <f t="shared" si="149"/>
        <v>0.23974527108974802</v>
      </c>
    </row>
    <row r="368" spans="1:12">
      <c r="A368" s="906">
        <v>367</v>
      </c>
      <c r="B368" s="906" t="s">
        <v>1373</v>
      </c>
      <c r="C368" s="906">
        <v>69116</v>
      </c>
      <c r="D368" s="906" t="s">
        <v>1256</v>
      </c>
      <c r="E368" s="906" t="s">
        <v>1258</v>
      </c>
      <c r="F368" s="1015">
        <f t="shared" si="149"/>
        <v>0</v>
      </c>
      <c r="G368" s="1014">
        <f t="shared" si="149"/>
        <v>68</v>
      </c>
      <c r="H368" s="1014">
        <f t="shared" si="149"/>
        <v>45</v>
      </c>
      <c r="I368" s="1014">
        <f t="shared" si="149"/>
        <v>82</v>
      </c>
      <c r="J368" s="1013">
        <f t="shared" si="149"/>
        <v>43</v>
      </c>
      <c r="K368" s="1012" t="str">
        <f t="shared" si="149"/>
        <v/>
      </c>
      <c r="L368" s="1011">
        <f t="shared" si="149"/>
        <v>0.23974527108974802</v>
      </c>
    </row>
    <row r="369" spans="1:12">
      <c r="A369" s="906">
        <v>368</v>
      </c>
      <c r="B369" s="906" t="s">
        <v>1372</v>
      </c>
      <c r="C369" s="906">
        <v>29189</v>
      </c>
      <c r="D369" s="906" t="s">
        <v>1256</v>
      </c>
      <c r="E369" s="906" t="s">
        <v>1258</v>
      </c>
      <c r="F369" s="1015"/>
      <c r="G369" s="1014"/>
      <c r="H369" s="1014"/>
      <c r="I369" s="1014"/>
      <c r="J369" s="1013"/>
      <c r="K369" s="1012"/>
      <c r="L369" s="1011"/>
    </row>
    <row r="370" spans="1:12" ht="15.6">
      <c r="A370" s="906">
        <v>369</v>
      </c>
      <c r="B370" s="906" t="s">
        <v>1371</v>
      </c>
      <c r="C370" s="906">
        <v>29189</v>
      </c>
      <c r="D370" s="906" t="s">
        <v>1256</v>
      </c>
      <c r="E370" s="906" t="s">
        <v>1258</v>
      </c>
      <c r="F370" s="1015">
        <f t="shared" ref="F370:K372" si="150">O216</f>
        <v>0</v>
      </c>
      <c r="G370" s="1014">
        <f t="shared" si="150"/>
        <v>72</v>
      </c>
      <c r="H370" s="1014">
        <f t="shared" si="150"/>
        <v>0</v>
      </c>
      <c r="I370" s="1014">
        <f t="shared" si="150"/>
        <v>76</v>
      </c>
      <c r="J370" s="1013">
        <f t="shared" si="150"/>
        <v>0</v>
      </c>
      <c r="K370" s="1012" t="str">
        <f t="shared" si="150"/>
        <v/>
      </c>
      <c r="L370" s="1016">
        <v>0.22800028617798151</v>
      </c>
    </row>
    <row r="371" spans="1:12">
      <c r="A371" s="906">
        <v>370</v>
      </c>
      <c r="B371" s="906" t="s">
        <v>1370</v>
      </c>
      <c r="C371" s="906">
        <v>29189</v>
      </c>
      <c r="D371" s="906" t="s">
        <v>1256</v>
      </c>
      <c r="E371" s="906" t="s">
        <v>1258</v>
      </c>
      <c r="F371" s="1015">
        <f t="shared" si="150"/>
        <v>5.3880879568952962E-3</v>
      </c>
      <c r="G371" s="1014">
        <f t="shared" si="150"/>
        <v>70</v>
      </c>
      <c r="H371" s="1014">
        <f t="shared" si="150"/>
        <v>35</v>
      </c>
      <c r="I371" s="1014">
        <f t="shared" si="150"/>
        <v>72</v>
      </c>
      <c r="J371" s="1013">
        <f t="shared" si="150"/>
        <v>35</v>
      </c>
      <c r="K371" s="1012">
        <f t="shared" si="150"/>
        <v>33.324634063315557</v>
      </c>
      <c r="L371" s="1011">
        <f>U217</f>
        <v>0.35754026354319179</v>
      </c>
    </row>
    <row r="372" spans="1:12" ht="15.6">
      <c r="A372" s="906">
        <v>371</v>
      </c>
      <c r="B372" s="906" t="s">
        <v>1369</v>
      </c>
      <c r="C372" s="906">
        <v>29189</v>
      </c>
      <c r="D372" s="906" t="s">
        <v>1257</v>
      </c>
      <c r="E372" s="906" t="s">
        <v>1258</v>
      </c>
      <c r="F372" s="1015">
        <f t="shared" si="150"/>
        <v>0</v>
      </c>
      <c r="G372" s="1014">
        <f t="shared" si="150"/>
        <v>98</v>
      </c>
      <c r="H372" s="1014">
        <f t="shared" si="150"/>
        <v>46</v>
      </c>
      <c r="I372" s="1014">
        <f t="shared" si="150"/>
        <v>100</v>
      </c>
      <c r="J372" s="1013">
        <f t="shared" si="150"/>
        <v>43</v>
      </c>
      <c r="K372" s="1012" t="str">
        <f t="shared" si="150"/>
        <v/>
      </c>
      <c r="L372" s="1016">
        <v>0.22800028617798151</v>
      </c>
    </row>
    <row r="373" spans="1:12" ht="15.6">
      <c r="A373" s="906">
        <v>372</v>
      </c>
      <c r="B373" s="906" t="s">
        <v>1369</v>
      </c>
      <c r="C373" s="906">
        <v>29189</v>
      </c>
      <c r="D373" s="906" t="s">
        <v>1256</v>
      </c>
      <c r="E373" s="906" t="s">
        <v>1258</v>
      </c>
      <c r="F373" s="1015">
        <f t="shared" ref="F373:L373" si="151">F372</f>
        <v>0</v>
      </c>
      <c r="G373" s="1014">
        <f t="shared" si="151"/>
        <v>98</v>
      </c>
      <c r="H373" s="1014">
        <f t="shared" si="151"/>
        <v>46</v>
      </c>
      <c r="I373" s="1014">
        <f t="shared" si="151"/>
        <v>100</v>
      </c>
      <c r="J373" s="1013">
        <f t="shared" si="151"/>
        <v>43</v>
      </c>
      <c r="K373" s="1012" t="str">
        <f t="shared" si="151"/>
        <v/>
      </c>
      <c r="L373" s="1016">
        <f t="shared" si="151"/>
        <v>0.22800028617798151</v>
      </c>
    </row>
    <row r="374" spans="1:12">
      <c r="A374" s="906">
        <v>373</v>
      </c>
      <c r="B374" s="906" t="s">
        <v>1368</v>
      </c>
      <c r="C374" s="906">
        <v>29189</v>
      </c>
      <c r="D374" s="906" t="s">
        <v>1256</v>
      </c>
      <c r="E374" s="906" t="s">
        <v>1258</v>
      </c>
      <c r="F374" s="1015">
        <f t="shared" ref="F374:L376" si="152">O220</f>
        <v>0</v>
      </c>
      <c r="G374" s="1014">
        <f t="shared" si="152"/>
        <v>69</v>
      </c>
      <c r="H374" s="1014">
        <f t="shared" si="152"/>
        <v>39</v>
      </c>
      <c r="I374" s="1014">
        <f t="shared" si="152"/>
        <v>74</v>
      </c>
      <c r="J374" s="1013">
        <f t="shared" si="152"/>
        <v>34</v>
      </c>
      <c r="K374" s="1012" t="str">
        <f t="shared" si="152"/>
        <v/>
      </c>
      <c r="L374" s="1011">
        <f t="shared" si="152"/>
        <v>0.31348259115976623</v>
      </c>
    </row>
    <row r="375" spans="1:12">
      <c r="A375" s="906">
        <v>374</v>
      </c>
      <c r="B375" s="906" t="s">
        <v>1367</v>
      </c>
      <c r="C375" s="906">
        <v>20310</v>
      </c>
      <c r="D375" s="906" t="s">
        <v>1257</v>
      </c>
      <c r="E375" s="906" t="s">
        <v>1259</v>
      </c>
      <c r="F375" s="1015">
        <f t="shared" si="152"/>
        <v>0</v>
      </c>
      <c r="G375" s="1014">
        <f t="shared" si="152"/>
        <v>80</v>
      </c>
      <c r="H375" s="1014">
        <f t="shared" si="152"/>
        <v>52</v>
      </c>
      <c r="I375" s="1014">
        <f t="shared" si="152"/>
        <v>98</v>
      </c>
      <c r="J375" s="1013">
        <f t="shared" si="152"/>
        <v>56</v>
      </c>
      <c r="K375" s="1012">
        <f t="shared" si="152"/>
        <v>35.229012561938589</v>
      </c>
      <c r="L375" s="1011">
        <f t="shared" si="152"/>
        <v>4.4888546380582095E-2</v>
      </c>
    </row>
    <row r="376" spans="1:12">
      <c r="A376" s="906">
        <v>375</v>
      </c>
      <c r="B376" s="906" t="s">
        <v>1366</v>
      </c>
      <c r="C376" s="906">
        <v>29189</v>
      </c>
      <c r="D376" s="906" t="s">
        <v>1256</v>
      </c>
      <c r="E376" s="906" t="s">
        <v>1258</v>
      </c>
      <c r="F376" s="1015">
        <f t="shared" si="152"/>
        <v>8.5511899301839681E-2</v>
      </c>
      <c r="G376" s="1014">
        <f t="shared" si="152"/>
        <v>68</v>
      </c>
      <c r="H376" s="1014">
        <f t="shared" si="152"/>
        <v>44</v>
      </c>
      <c r="I376" s="1014">
        <f t="shared" si="152"/>
        <v>74</v>
      </c>
      <c r="J376" s="1013">
        <f t="shared" si="152"/>
        <v>34</v>
      </c>
      <c r="K376" s="1012">
        <f t="shared" si="152"/>
        <v>0</v>
      </c>
      <c r="L376" s="1011">
        <f t="shared" si="152"/>
        <v>0.23148509334076345</v>
      </c>
    </row>
    <row r="377" spans="1:12">
      <c r="A377" s="906">
        <v>376</v>
      </c>
      <c r="B377" s="906" t="s">
        <v>1365</v>
      </c>
      <c r="C377" s="906">
        <v>29189</v>
      </c>
      <c r="D377" s="906" t="s">
        <v>1256</v>
      </c>
      <c r="E377" s="906" t="s">
        <v>1258</v>
      </c>
      <c r="F377" s="1015"/>
      <c r="G377" s="1014"/>
      <c r="H377" s="1014"/>
      <c r="I377" s="1014"/>
      <c r="J377" s="1013"/>
      <c r="K377" s="1012"/>
      <c r="L377" s="1011"/>
    </row>
    <row r="378" spans="1:12">
      <c r="A378" s="906">
        <v>377</v>
      </c>
      <c r="B378" s="906" t="s">
        <v>1364</v>
      </c>
      <c r="C378" s="906">
        <v>29189</v>
      </c>
      <c r="D378" s="906" t="s">
        <v>1256</v>
      </c>
      <c r="E378" s="906" t="s">
        <v>1258</v>
      </c>
      <c r="F378" s="1015"/>
      <c r="G378" s="1014"/>
      <c r="H378" s="1014"/>
      <c r="I378" s="1014"/>
      <c r="J378" s="1013"/>
      <c r="K378" s="1012"/>
      <c r="L378" s="1011"/>
    </row>
    <row r="379" spans="1:12" ht="15.6">
      <c r="A379" s="906">
        <v>378</v>
      </c>
      <c r="B379" s="906" t="s">
        <v>1363</v>
      </c>
      <c r="C379" s="906">
        <v>29189</v>
      </c>
      <c r="D379" s="906" t="s">
        <v>1256</v>
      </c>
      <c r="E379" s="906" t="s">
        <v>1258</v>
      </c>
      <c r="F379" s="1015">
        <f t="shared" ref="F379:K381" si="153">O223</f>
        <v>0</v>
      </c>
      <c r="G379" s="1014">
        <f t="shared" si="153"/>
        <v>75</v>
      </c>
      <c r="H379" s="1014">
        <f t="shared" si="153"/>
        <v>0</v>
      </c>
      <c r="I379" s="1014">
        <f t="shared" si="153"/>
        <v>78</v>
      </c>
      <c r="J379" s="1013">
        <f t="shared" si="153"/>
        <v>0</v>
      </c>
      <c r="K379" s="1012" t="str">
        <f t="shared" si="153"/>
        <v/>
      </c>
      <c r="L379" s="1016">
        <v>0.22800028617798151</v>
      </c>
    </row>
    <row r="380" spans="1:12">
      <c r="A380" s="906">
        <v>379</v>
      </c>
      <c r="B380" s="906" t="s">
        <v>1362</v>
      </c>
      <c r="C380" s="906">
        <v>29189</v>
      </c>
      <c r="D380" s="906" t="s">
        <v>1256</v>
      </c>
      <c r="E380" s="906" t="s">
        <v>1258</v>
      </c>
      <c r="F380" s="1015">
        <f t="shared" si="153"/>
        <v>0</v>
      </c>
      <c r="G380" s="1014">
        <f t="shared" si="153"/>
        <v>71</v>
      </c>
      <c r="H380" s="1014">
        <f t="shared" si="153"/>
        <v>38</v>
      </c>
      <c r="I380" s="1014">
        <f t="shared" si="153"/>
        <v>71.7</v>
      </c>
      <c r="J380" s="1013">
        <f t="shared" si="153"/>
        <v>35</v>
      </c>
      <c r="K380" s="1012">
        <f t="shared" si="153"/>
        <v>59.151992880300043</v>
      </c>
      <c r="L380" s="1011">
        <f>U224</f>
        <v>0.2341783293724144</v>
      </c>
    </row>
    <row r="381" spans="1:12">
      <c r="A381" s="906">
        <v>380</v>
      </c>
      <c r="B381" s="906" t="s">
        <v>1361</v>
      </c>
      <c r="C381" s="906">
        <v>29189</v>
      </c>
      <c r="D381" s="906" t="s">
        <v>1256</v>
      </c>
      <c r="E381" s="906" t="s">
        <v>1258</v>
      </c>
      <c r="F381" s="1015">
        <f t="shared" si="153"/>
        <v>0</v>
      </c>
      <c r="G381" s="1014">
        <f t="shared" si="153"/>
        <v>70</v>
      </c>
      <c r="H381" s="1014">
        <f t="shared" si="153"/>
        <v>38</v>
      </c>
      <c r="I381" s="1014">
        <f t="shared" si="153"/>
        <v>78</v>
      </c>
      <c r="J381" s="1013">
        <f t="shared" si="153"/>
        <v>34</v>
      </c>
      <c r="K381" s="1012" t="str">
        <f t="shared" si="153"/>
        <v/>
      </c>
      <c r="L381" s="1011">
        <f>U225</f>
        <v>0.2257401699822546</v>
      </c>
    </row>
    <row r="382" spans="1:12">
      <c r="A382" s="906">
        <v>381</v>
      </c>
      <c r="B382" s="906" t="s">
        <v>1360</v>
      </c>
      <c r="C382" s="906">
        <v>29189</v>
      </c>
      <c r="D382" s="906" t="s">
        <v>1256</v>
      </c>
      <c r="E382" s="906" t="s">
        <v>1258</v>
      </c>
      <c r="F382" s="1015"/>
      <c r="G382" s="1014"/>
      <c r="H382" s="1014"/>
      <c r="I382" s="1014"/>
      <c r="J382" s="1013"/>
      <c r="K382" s="1012"/>
      <c r="L382" s="1011"/>
    </row>
    <row r="383" spans="1:12">
      <c r="A383" s="906">
        <v>382</v>
      </c>
      <c r="B383" s="906" t="s">
        <v>1359</v>
      </c>
      <c r="C383" s="906">
        <v>29189</v>
      </c>
      <c r="D383" s="906" t="s">
        <v>1256</v>
      </c>
      <c r="E383" s="906" t="s">
        <v>1258</v>
      </c>
      <c r="F383" s="1015">
        <f t="shared" ref="F383:L385" si="154">O226</f>
        <v>0</v>
      </c>
      <c r="G383" s="1014">
        <f t="shared" si="154"/>
        <v>80</v>
      </c>
      <c r="H383" s="1014">
        <f t="shared" si="154"/>
        <v>45</v>
      </c>
      <c r="I383" s="1014">
        <f t="shared" si="154"/>
        <v>80</v>
      </c>
      <c r="J383" s="1013">
        <f t="shared" si="154"/>
        <v>45</v>
      </c>
      <c r="K383" s="1012" t="str">
        <f t="shared" si="154"/>
        <v/>
      </c>
      <c r="L383" s="1011">
        <f t="shared" si="154"/>
        <v>0.38391819660701837</v>
      </c>
    </row>
    <row r="384" spans="1:12">
      <c r="A384" s="906">
        <v>383</v>
      </c>
      <c r="B384" s="906" t="s">
        <v>1358</v>
      </c>
      <c r="C384" s="906">
        <v>19583</v>
      </c>
      <c r="D384" s="906" t="s">
        <v>1257</v>
      </c>
      <c r="E384" s="906" t="s">
        <v>1259</v>
      </c>
      <c r="F384" s="1015">
        <f t="shared" si="154"/>
        <v>0</v>
      </c>
      <c r="G384" s="1014">
        <f t="shared" si="154"/>
        <v>70</v>
      </c>
      <c r="H384" s="1014">
        <f t="shared" si="154"/>
        <v>40</v>
      </c>
      <c r="I384" s="1014">
        <f t="shared" si="154"/>
        <v>80</v>
      </c>
      <c r="J384" s="1013">
        <f t="shared" si="154"/>
        <v>40</v>
      </c>
      <c r="K384" s="1012">
        <f t="shared" si="154"/>
        <v>0</v>
      </c>
      <c r="L384" s="1011">
        <f t="shared" si="154"/>
        <v>0.2169264724372677</v>
      </c>
    </row>
    <row r="385" spans="1:12">
      <c r="A385" s="906">
        <v>384</v>
      </c>
      <c r="B385" s="906" t="s">
        <v>1357</v>
      </c>
      <c r="C385" s="906">
        <v>29189</v>
      </c>
      <c r="D385" s="906" t="s">
        <v>1256</v>
      </c>
      <c r="E385" s="906" t="s">
        <v>1258</v>
      </c>
      <c r="F385" s="1015">
        <f t="shared" si="154"/>
        <v>0</v>
      </c>
      <c r="G385" s="1014">
        <f t="shared" si="154"/>
        <v>76</v>
      </c>
      <c r="H385" s="1014">
        <f t="shared" si="154"/>
        <v>39</v>
      </c>
      <c r="I385" s="1014">
        <f t="shared" si="154"/>
        <v>78</v>
      </c>
      <c r="J385" s="1013">
        <f t="shared" si="154"/>
        <v>36</v>
      </c>
      <c r="K385" s="1012">
        <f t="shared" si="154"/>
        <v>52.457577464788734</v>
      </c>
      <c r="L385" s="1011">
        <f t="shared" si="154"/>
        <v>0.21452541485791693</v>
      </c>
    </row>
    <row r="386" spans="1:12">
      <c r="A386" s="906">
        <v>385</v>
      </c>
      <c r="B386" s="906" t="s">
        <v>1356</v>
      </c>
      <c r="C386" s="906">
        <v>29189</v>
      </c>
      <c r="D386" s="906" t="s">
        <v>1257</v>
      </c>
      <c r="E386" s="906" t="s">
        <v>1258</v>
      </c>
      <c r="F386" s="1015"/>
      <c r="G386" s="1014"/>
      <c r="H386" s="1014"/>
      <c r="I386" s="1014"/>
      <c r="J386" s="1013"/>
      <c r="K386" s="1012"/>
      <c r="L386" s="1011"/>
    </row>
    <row r="387" spans="1:12">
      <c r="A387" s="906">
        <v>386</v>
      </c>
      <c r="B387" s="906" t="s">
        <v>1355</v>
      </c>
      <c r="C387" s="906">
        <v>19583</v>
      </c>
      <c r="D387" s="906" t="s">
        <v>1257</v>
      </c>
      <c r="E387" s="906" t="s">
        <v>1259</v>
      </c>
      <c r="F387" s="1015"/>
      <c r="G387" s="1014"/>
      <c r="H387" s="1014"/>
      <c r="I387" s="1014"/>
      <c r="J387" s="1013"/>
      <c r="K387" s="1012"/>
      <c r="L387" s="1011"/>
    </row>
    <row r="388" spans="1:12">
      <c r="A388" s="906">
        <v>387</v>
      </c>
      <c r="B388" s="906" t="s">
        <v>1355</v>
      </c>
      <c r="C388" s="906">
        <v>66137</v>
      </c>
      <c r="D388" s="906" t="s">
        <v>1257</v>
      </c>
      <c r="E388" s="906" t="s">
        <v>1259</v>
      </c>
      <c r="F388" s="1015"/>
      <c r="G388" s="1014"/>
      <c r="H388" s="1014"/>
      <c r="I388" s="1014"/>
      <c r="J388" s="1013"/>
      <c r="K388" s="1012"/>
      <c r="L388" s="1011"/>
    </row>
    <row r="389" spans="1:12">
      <c r="A389" s="906">
        <v>388</v>
      </c>
      <c r="B389" s="906" t="s">
        <v>1354</v>
      </c>
      <c r="C389" s="906">
        <v>29189</v>
      </c>
      <c r="D389" s="906" t="s">
        <v>1256</v>
      </c>
      <c r="E389" s="906" t="s">
        <v>1258</v>
      </c>
      <c r="F389" s="1015">
        <f t="shared" ref="F389:L389" si="155">O229</f>
        <v>8.6365306872473353E-3</v>
      </c>
      <c r="G389" s="1014">
        <f t="shared" si="155"/>
        <v>71</v>
      </c>
      <c r="H389" s="1014">
        <f t="shared" si="155"/>
        <v>37</v>
      </c>
      <c r="I389" s="1014">
        <f t="shared" si="155"/>
        <v>76</v>
      </c>
      <c r="J389" s="1013">
        <f t="shared" si="155"/>
        <v>36</v>
      </c>
      <c r="K389" s="1012" t="str">
        <f t="shared" si="155"/>
        <v/>
      </c>
      <c r="L389" s="1011">
        <f t="shared" si="155"/>
        <v>0.4715477293790547</v>
      </c>
    </row>
    <row r="390" spans="1:12">
      <c r="A390" s="906">
        <v>389</v>
      </c>
      <c r="B390" s="906" t="s">
        <v>1353</v>
      </c>
      <c r="C390" s="906">
        <v>29189</v>
      </c>
      <c r="D390" s="906" t="s">
        <v>1256</v>
      </c>
      <c r="E390" s="906" t="s">
        <v>1258</v>
      </c>
      <c r="F390" s="1015"/>
      <c r="G390" s="1014"/>
      <c r="H390" s="1014"/>
      <c r="I390" s="1014"/>
      <c r="J390" s="1013"/>
      <c r="K390" s="1012"/>
      <c r="L390" s="1011"/>
    </row>
    <row r="391" spans="1:12">
      <c r="A391" s="906">
        <v>390</v>
      </c>
      <c r="B391" s="906" t="s">
        <v>1352</v>
      </c>
      <c r="C391" s="906">
        <v>29188</v>
      </c>
      <c r="D391" s="906" t="s">
        <v>1256</v>
      </c>
      <c r="E391" s="906" t="s">
        <v>1259</v>
      </c>
      <c r="F391" s="1015"/>
      <c r="G391" s="1014"/>
      <c r="H391" s="1014"/>
      <c r="I391" s="1014"/>
      <c r="J391" s="1013"/>
      <c r="K391" s="1012"/>
      <c r="L391" s="1011"/>
    </row>
    <row r="392" spans="1:12">
      <c r="A392" s="906">
        <v>391</v>
      </c>
      <c r="B392" s="906" t="s">
        <v>1351</v>
      </c>
      <c r="C392" s="906">
        <v>29189</v>
      </c>
      <c r="D392" s="906" t="s">
        <v>1256</v>
      </c>
      <c r="E392" s="906" t="s">
        <v>1258</v>
      </c>
      <c r="F392" s="1015">
        <f t="shared" ref="F392:L392" si="156">O230</f>
        <v>0</v>
      </c>
      <c r="G392" s="1014">
        <f t="shared" si="156"/>
        <v>80</v>
      </c>
      <c r="H392" s="1014">
        <f t="shared" si="156"/>
        <v>40</v>
      </c>
      <c r="I392" s="1014">
        <f t="shared" si="156"/>
        <v>80</v>
      </c>
      <c r="J392" s="1013">
        <f t="shared" si="156"/>
        <v>40</v>
      </c>
      <c r="K392" s="1012">
        <f t="shared" si="156"/>
        <v>35.000006226187431</v>
      </c>
      <c r="L392" s="1011">
        <f t="shared" si="156"/>
        <v>0.1961182278067885</v>
      </c>
    </row>
    <row r="393" spans="1:12" ht="15.6">
      <c r="A393" s="906">
        <v>392</v>
      </c>
      <c r="B393" s="906" t="s">
        <v>1350</v>
      </c>
      <c r="C393" s="906">
        <v>55133</v>
      </c>
      <c r="D393" s="906" t="s">
        <v>1257</v>
      </c>
      <c r="E393" s="906" t="s">
        <v>1258</v>
      </c>
      <c r="F393" s="1015">
        <f t="shared" ref="F393:K394" si="157">O231</f>
        <v>0</v>
      </c>
      <c r="G393" s="1014">
        <f t="shared" si="157"/>
        <v>63</v>
      </c>
      <c r="H393" s="1014">
        <f t="shared" si="157"/>
        <v>48</v>
      </c>
      <c r="I393" s="1014">
        <f t="shared" si="157"/>
        <v>72</v>
      </c>
      <c r="J393" s="1013">
        <f t="shared" si="157"/>
        <v>42</v>
      </c>
      <c r="K393" s="1012" t="str">
        <f t="shared" si="157"/>
        <v/>
      </c>
      <c r="L393" s="1016">
        <v>0.17374718282373314</v>
      </c>
    </row>
    <row r="394" spans="1:12">
      <c r="A394" s="906">
        <v>393</v>
      </c>
      <c r="B394" s="906" t="s">
        <v>1349</v>
      </c>
      <c r="C394" s="906">
        <v>29189</v>
      </c>
      <c r="D394" s="906" t="s">
        <v>1257</v>
      </c>
      <c r="E394" s="906" t="s">
        <v>1258</v>
      </c>
      <c r="F394" s="1015">
        <f t="shared" si="157"/>
        <v>0</v>
      </c>
      <c r="G394" s="1014">
        <f t="shared" si="157"/>
        <v>78</v>
      </c>
      <c r="H394" s="1014">
        <f t="shared" si="157"/>
        <v>51</v>
      </c>
      <c r="I394" s="1014">
        <f t="shared" si="157"/>
        <v>85</v>
      </c>
      <c r="J394" s="1013">
        <f t="shared" si="157"/>
        <v>42</v>
      </c>
      <c r="K394" s="1012" t="str">
        <f t="shared" si="157"/>
        <v/>
      </c>
      <c r="L394" s="1011">
        <f>U232</f>
        <v>0.15945465637516246</v>
      </c>
    </row>
    <row r="395" spans="1:12">
      <c r="A395" s="906">
        <v>394</v>
      </c>
      <c r="B395" s="906" t="s">
        <v>1348</v>
      </c>
      <c r="C395" s="906">
        <v>19583</v>
      </c>
      <c r="D395" s="906" t="s">
        <v>1257</v>
      </c>
      <c r="E395" s="906" t="s">
        <v>1259</v>
      </c>
      <c r="F395" s="1015"/>
      <c r="G395" s="1014"/>
      <c r="H395" s="1014"/>
      <c r="I395" s="1014"/>
      <c r="J395" s="1013"/>
      <c r="K395" s="1012"/>
      <c r="L395" s="1011"/>
    </row>
    <row r="396" spans="1:12">
      <c r="A396" s="906">
        <v>395</v>
      </c>
      <c r="B396" s="906" t="s">
        <v>1348</v>
      </c>
      <c r="C396" s="906">
        <v>19583</v>
      </c>
      <c r="D396" s="906" t="s">
        <v>1256</v>
      </c>
      <c r="E396" s="906" t="s">
        <v>1259</v>
      </c>
      <c r="F396" s="1015"/>
      <c r="G396" s="1014"/>
      <c r="H396" s="1014"/>
      <c r="I396" s="1014"/>
      <c r="J396" s="1013"/>
      <c r="K396" s="1012"/>
      <c r="L396" s="1011"/>
    </row>
    <row r="397" spans="1:12" ht="15.6">
      <c r="A397" s="906">
        <v>396</v>
      </c>
      <c r="B397" s="906" t="s">
        <v>1347</v>
      </c>
      <c r="C397" s="906">
        <v>29189</v>
      </c>
      <c r="D397" s="906" t="s">
        <v>1256</v>
      </c>
      <c r="E397" s="906" t="s">
        <v>1258</v>
      </c>
      <c r="F397" s="1015">
        <f t="shared" ref="F397:K398" si="158">O233</f>
        <v>0</v>
      </c>
      <c r="G397" s="1014">
        <f t="shared" si="158"/>
        <v>68</v>
      </c>
      <c r="H397" s="1014">
        <f t="shared" si="158"/>
        <v>0</v>
      </c>
      <c r="I397" s="1014">
        <f t="shared" si="158"/>
        <v>75</v>
      </c>
      <c r="J397" s="1013">
        <f t="shared" si="158"/>
        <v>0</v>
      </c>
      <c r="K397" s="1012" t="str">
        <f t="shared" si="158"/>
        <v/>
      </c>
      <c r="L397" s="1016">
        <v>0.22800028617798151</v>
      </c>
    </row>
    <row r="398" spans="1:12">
      <c r="A398" s="906">
        <v>397</v>
      </c>
      <c r="B398" s="906" t="s">
        <v>1346</v>
      </c>
      <c r="C398" s="906">
        <v>29189</v>
      </c>
      <c r="D398" s="906" t="s">
        <v>1257</v>
      </c>
      <c r="E398" s="906" t="s">
        <v>1258</v>
      </c>
      <c r="F398" s="1015">
        <f t="shared" si="158"/>
        <v>0</v>
      </c>
      <c r="G398" s="1014">
        <f t="shared" si="158"/>
        <v>75</v>
      </c>
      <c r="H398" s="1014">
        <f t="shared" si="158"/>
        <v>45</v>
      </c>
      <c r="I398" s="1014">
        <f t="shared" si="158"/>
        <v>78</v>
      </c>
      <c r="J398" s="1013">
        <f t="shared" si="158"/>
        <v>41</v>
      </c>
      <c r="K398" s="1012">
        <f t="shared" si="158"/>
        <v>36.022074999995993</v>
      </c>
      <c r="L398" s="1011">
        <f>U234</f>
        <v>0.23532574071983792</v>
      </c>
    </row>
    <row r="399" spans="1:12">
      <c r="A399" s="906">
        <v>398</v>
      </c>
      <c r="B399" s="906" t="s">
        <v>1345</v>
      </c>
      <c r="C399" s="906">
        <v>29189</v>
      </c>
      <c r="D399" s="906" t="s">
        <v>1256</v>
      </c>
      <c r="E399" s="906" t="s">
        <v>1258</v>
      </c>
      <c r="F399" s="1015"/>
      <c r="G399" s="1014"/>
      <c r="H399" s="1014"/>
      <c r="I399" s="1014"/>
      <c r="J399" s="1013"/>
      <c r="K399" s="1012"/>
      <c r="L399" s="1011"/>
    </row>
    <row r="400" spans="1:12">
      <c r="A400" s="906">
        <v>399</v>
      </c>
      <c r="B400" s="906" t="s">
        <v>1344</v>
      </c>
      <c r="C400" s="906">
        <v>29189</v>
      </c>
      <c r="D400" s="906" t="s">
        <v>1256</v>
      </c>
      <c r="E400" s="906" t="s">
        <v>1259</v>
      </c>
      <c r="F400" s="1015">
        <f t="shared" ref="F400:L400" si="159">O235</f>
        <v>0</v>
      </c>
      <c r="G400" s="1014">
        <f t="shared" si="159"/>
        <v>100</v>
      </c>
      <c r="H400" s="1014">
        <f t="shared" si="159"/>
        <v>50</v>
      </c>
      <c r="I400" s="1014">
        <f t="shared" si="159"/>
        <v>115</v>
      </c>
      <c r="J400" s="1013">
        <f t="shared" si="159"/>
        <v>50</v>
      </c>
      <c r="K400" s="1012" t="str">
        <f t="shared" si="159"/>
        <v/>
      </c>
      <c r="L400" s="1011">
        <f t="shared" si="159"/>
        <v>2.4610781342834634E-2</v>
      </c>
    </row>
    <row r="401" spans="1:12">
      <c r="A401" s="906">
        <v>400</v>
      </c>
      <c r="B401" s="906" t="s">
        <v>1344</v>
      </c>
      <c r="C401" s="906">
        <v>44023</v>
      </c>
      <c r="D401" s="906" t="s">
        <v>1257</v>
      </c>
      <c r="E401" s="906" t="s">
        <v>1259</v>
      </c>
      <c r="F401" s="1015">
        <f t="shared" ref="F401:L402" si="160">F400</f>
        <v>0</v>
      </c>
      <c r="G401" s="1014">
        <f t="shared" si="160"/>
        <v>100</v>
      </c>
      <c r="H401" s="1014">
        <f t="shared" si="160"/>
        <v>50</v>
      </c>
      <c r="I401" s="1014">
        <f t="shared" si="160"/>
        <v>115</v>
      </c>
      <c r="J401" s="1013">
        <f t="shared" si="160"/>
        <v>50</v>
      </c>
      <c r="K401" s="1012" t="str">
        <f t="shared" si="160"/>
        <v/>
      </c>
      <c r="L401" s="1011">
        <f t="shared" si="160"/>
        <v>2.4610781342834634E-2</v>
      </c>
    </row>
    <row r="402" spans="1:12">
      <c r="A402" s="906">
        <v>401</v>
      </c>
      <c r="B402" s="906" t="s">
        <v>1344</v>
      </c>
      <c r="C402" s="906">
        <v>44023</v>
      </c>
      <c r="D402" s="906" t="s">
        <v>1256</v>
      </c>
      <c r="E402" s="906" t="s">
        <v>1259</v>
      </c>
      <c r="F402" s="1015">
        <f t="shared" si="160"/>
        <v>0</v>
      </c>
      <c r="G402" s="1014">
        <f t="shared" si="160"/>
        <v>100</v>
      </c>
      <c r="H402" s="1014">
        <f t="shared" si="160"/>
        <v>50</v>
      </c>
      <c r="I402" s="1014">
        <f t="shared" si="160"/>
        <v>115</v>
      </c>
      <c r="J402" s="1013">
        <f t="shared" si="160"/>
        <v>50</v>
      </c>
      <c r="K402" s="1012" t="str">
        <f t="shared" si="160"/>
        <v/>
      </c>
      <c r="L402" s="1011">
        <f t="shared" si="160"/>
        <v>2.4610781342834634E-2</v>
      </c>
    </row>
    <row r="403" spans="1:12">
      <c r="A403" s="906">
        <v>402</v>
      </c>
      <c r="B403" s="906" t="s">
        <v>1343</v>
      </c>
      <c r="C403" s="906">
        <v>29189</v>
      </c>
      <c r="D403" s="906" t="s">
        <v>1256</v>
      </c>
      <c r="E403" s="906" t="s">
        <v>1258</v>
      </c>
      <c r="F403" s="1015">
        <f t="shared" ref="F403:L403" si="161">O236</f>
        <v>2.9994380443944927E-2</v>
      </c>
      <c r="G403" s="1014">
        <f t="shared" si="161"/>
        <v>66</v>
      </c>
      <c r="H403" s="1014">
        <f t="shared" si="161"/>
        <v>35</v>
      </c>
      <c r="I403" s="1014">
        <f t="shared" si="161"/>
        <v>66</v>
      </c>
      <c r="J403" s="1013">
        <f t="shared" si="161"/>
        <v>33</v>
      </c>
      <c r="K403" s="1012" t="str">
        <f t="shared" si="161"/>
        <v/>
      </c>
      <c r="L403" s="1011">
        <f t="shared" si="161"/>
        <v>0.18794264610036926</v>
      </c>
    </row>
    <row r="404" spans="1:12">
      <c r="A404" s="906">
        <v>403</v>
      </c>
      <c r="B404" s="906" t="s">
        <v>1342</v>
      </c>
      <c r="C404" s="906">
        <v>29189</v>
      </c>
      <c r="D404" s="906" t="s">
        <v>1256</v>
      </c>
      <c r="E404" s="906" t="s">
        <v>1258</v>
      </c>
      <c r="F404" s="1015">
        <f t="shared" ref="F404:L406" si="162">O238</f>
        <v>2.2939456417796597E-3</v>
      </c>
      <c r="G404" s="1014">
        <f t="shared" si="162"/>
        <v>67</v>
      </c>
      <c r="H404" s="1014">
        <f t="shared" si="162"/>
        <v>41</v>
      </c>
      <c r="I404" s="1014">
        <f t="shared" si="162"/>
        <v>78</v>
      </c>
      <c r="J404" s="1013">
        <f t="shared" si="162"/>
        <v>38</v>
      </c>
      <c r="K404" s="1012">
        <f t="shared" si="162"/>
        <v>36.03034015456042</v>
      </c>
      <c r="L404" s="1011">
        <f t="shared" si="162"/>
        <v>0.23961749844871907</v>
      </c>
    </row>
    <row r="405" spans="1:12">
      <c r="A405" s="906">
        <v>404</v>
      </c>
      <c r="B405" s="906" t="s">
        <v>1341</v>
      </c>
      <c r="C405" s="906">
        <v>29189</v>
      </c>
      <c r="D405" s="906" t="s">
        <v>1256</v>
      </c>
      <c r="E405" s="906" t="s">
        <v>1258</v>
      </c>
      <c r="F405" s="1015">
        <f t="shared" si="162"/>
        <v>0</v>
      </c>
      <c r="G405" s="1014">
        <f t="shared" si="162"/>
        <v>66.8</v>
      </c>
      <c r="H405" s="1014">
        <f t="shared" si="162"/>
        <v>41.3</v>
      </c>
      <c r="I405" s="1014">
        <f t="shared" si="162"/>
        <v>68.5</v>
      </c>
      <c r="J405" s="1013">
        <f t="shared" si="162"/>
        <v>39.200000000000003</v>
      </c>
      <c r="K405" s="1012">
        <f t="shared" si="162"/>
        <v>28.157887120078705</v>
      </c>
      <c r="L405" s="1011">
        <f t="shared" si="162"/>
        <v>0.23081406264668147</v>
      </c>
    </row>
    <row r="406" spans="1:12">
      <c r="A406" s="906">
        <v>405</v>
      </c>
      <c r="B406" s="906" t="s">
        <v>1340</v>
      </c>
      <c r="C406" s="906">
        <v>29189</v>
      </c>
      <c r="D406" s="906" t="s">
        <v>1256</v>
      </c>
      <c r="E406" s="906" t="s">
        <v>1258</v>
      </c>
      <c r="F406" s="1015">
        <f t="shared" si="162"/>
        <v>3.4953395472703062E-2</v>
      </c>
      <c r="G406" s="1014">
        <f t="shared" si="162"/>
        <v>71</v>
      </c>
      <c r="H406" s="1014">
        <f t="shared" si="162"/>
        <v>37</v>
      </c>
      <c r="I406" s="1014">
        <f t="shared" si="162"/>
        <v>77</v>
      </c>
      <c r="J406" s="1013">
        <f t="shared" si="162"/>
        <v>32</v>
      </c>
      <c r="K406" s="1012" t="str">
        <f t="shared" si="162"/>
        <v/>
      </c>
      <c r="L406" s="1011">
        <f t="shared" si="162"/>
        <v>0.24870645050017248</v>
      </c>
    </row>
    <row r="407" spans="1:12">
      <c r="A407" s="906">
        <v>406</v>
      </c>
      <c r="B407" s="906" t="s">
        <v>1339</v>
      </c>
      <c r="C407" s="906">
        <v>29189</v>
      </c>
      <c r="D407" s="906" t="s">
        <v>1256</v>
      </c>
      <c r="E407" s="906" t="s">
        <v>1258</v>
      </c>
      <c r="F407" s="1015"/>
      <c r="G407" s="1014"/>
      <c r="H407" s="1014"/>
      <c r="I407" s="1014"/>
      <c r="J407" s="1013"/>
      <c r="K407" s="1012"/>
      <c r="L407" s="1011"/>
    </row>
    <row r="408" spans="1:12">
      <c r="A408" s="906">
        <v>407</v>
      </c>
      <c r="B408" s="906" t="s">
        <v>1338</v>
      </c>
      <c r="C408" s="906">
        <v>29189</v>
      </c>
      <c r="D408" s="906" t="s">
        <v>1256</v>
      </c>
      <c r="E408" s="906" t="s">
        <v>1258</v>
      </c>
      <c r="F408" s="1015">
        <f t="shared" ref="F408:L408" si="163">O241</f>
        <v>8.3595919483172906E-3</v>
      </c>
      <c r="G408" s="1014">
        <f t="shared" si="163"/>
        <v>65</v>
      </c>
      <c r="H408" s="1014">
        <f t="shared" si="163"/>
        <v>35</v>
      </c>
      <c r="I408" s="1014">
        <f t="shared" si="163"/>
        <v>72</v>
      </c>
      <c r="J408" s="1013">
        <f t="shared" si="163"/>
        <v>34</v>
      </c>
      <c r="K408" s="1012">
        <f t="shared" si="163"/>
        <v>42.243755862120082</v>
      </c>
      <c r="L408" s="1011">
        <f t="shared" si="163"/>
        <v>0.24847939640162503</v>
      </c>
    </row>
    <row r="409" spans="1:12">
      <c r="A409" s="906">
        <v>408</v>
      </c>
      <c r="B409" s="906" t="s">
        <v>1337</v>
      </c>
      <c r="C409" s="906">
        <v>29189</v>
      </c>
      <c r="D409" s="906" t="s">
        <v>1256</v>
      </c>
      <c r="E409" s="906" t="s">
        <v>1258</v>
      </c>
      <c r="F409" s="1015"/>
      <c r="G409" s="1014"/>
      <c r="H409" s="1014"/>
      <c r="I409" s="1014"/>
      <c r="J409" s="1013"/>
      <c r="K409" s="1012"/>
      <c r="L409" s="1011"/>
    </row>
    <row r="410" spans="1:12">
      <c r="A410" s="906">
        <v>409</v>
      </c>
      <c r="B410" s="906" t="s">
        <v>1336</v>
      </c>
      <c r="C410" s="906">
        <v>29189</v>
      </c>
      <c r="D410" s="906" t="s">
        <v>1256</v>
      </c>
      <c r="E410" s="906" t="s">
        <v>1258</v>
      </c>
      <c r="F410" s="1015"/>
      <c r="G410" s="1014"/>
      <c r="H410" s="1014"/>
      <c r="I410" s="1014"/>
      <c r="J410" s="1013"/>
      <c r="K410" s="1012"/>
      <c r="L410" s="1011"/>
    </row>
    <row r="411" spans="1:12">
      <c r="A411" s="906">
        <v>410</v>
      </c>
      <c r="B411" s="906" t="s">
        <v>1335</v>
      </c>
      <c r="C411" s="906">
        <v>29189</v>
      </c>
      <c r="D411" s="906" t="s">
        <v>1256</v>
      </c>
      <c r="E411" s="906" t="s">
        <v>1258</v>
      </c>
      <c r="F411" s="1015">
        <f t="shared" ref="F411:L412" si="164">O242</f>
        <v>0</v>
      </c>
      <c r="G411" s="1014">
        <f t="shared" si="164"/>
        <v>68</v>
      </c>
      <c r="H411" s="1014">
        <f t="shared" si="164"/>
        <v>0</v>
      </c>
      <c r="I411" s="1014">
        <f t="shared" si="164"/>
        <v>74</v>
      </c>
      <c r="J411" s="1013">
        <f t="shared" si="164"/>
        <v>0</v>
      </c>
      <c r="K411" s="1012" t="str">
        <f t="shared" si="164"/>
        <v/>
      </c>
      <c r="L411" s="1011">
        <f t="shared" si="164"/>
        <v>0.31993156544054746</v>
      </c>
    </row>
    <row r="412" spans="1:12">
      <c r="A412" s="906">
        <v>411</v>
      </c>
      <c r="B412" s="906" t="s">
        <v>1334</v>
      </c>
      <c r="C412" s="906">
        <v>29189</v>
      </c>
      <c r="D412" s="906" t="s">
        <v>1256</v>
      </c>
      <c r="E412" s="906" t="s">
        <v>1258</v>
      </c>
      <c r="F412" s="1015">
        <f t="shared" si="164"/>
        <v>0</v>
      </c>
      <c r="G412" s="1014">
        <f t="shared" si="164"/>
        <v>76</v>
      </c>
      <c r="H412" s="1014">
        <f t="shared" si="164"/>
        <v>42</v>
      </c>
      <c r="I412" s="1014">
        <f t="shared" si="164"/>
        <v>76</v>
      </c>
      <c r="J412" s="1013">
        <f t="shared" si="164"/>
        <v>39</v>
      </c>
      <c r="K412" s="1012">
        <f t="shared" si="164"/>
        <v>38.756086174042636</v>
      </c>
      <c r="L412" s="1011">
        <f t="shared" si="164"/>
        <v>0.25674584447590576</v>
      </c>
    </row>
    <row r="413" spans="1:12">
      <c r="A413" s="906">
        <v>412</v>
      </c>
      <c r="B413" s="906" t="s">
        <v>1333</v>
      </c>
      <c r="C413" s="906">
        <v>29189</v>
      </c>
      <c r="D413" s="906" t="s">
        <v>1256</v>
      </c>
      <c r="E413" s="906" t="s">
        <v>1259</v>
      </c>
      <c r="F413" s="1015"/>
      <c r="G413" s="1014"/>
      <c r="H413" s="1014"/>
      <c r="I413" s="1014"/>
      <c r="J413" s="1013"/>
      <c r="K413" s="1012"/>
      <c r="L413" s="1011"/>
    </row>
    <row r="414" spans="1:12">
      <c r="A414" s="906">
        <v>413</v>
      </c>
      <c r="B414" s="906" t="s">
        <v>1332</v>
      </c>
      <c r="C414" s="906">
        <v>29189</v>
      </c>
      <c r="D414" s="906" t="s">
        <v>1256</v>
      </c>
      <c r="E414" s="906" t="s">
        <v>1258</v>
      </c>
      <c r="F414" s="1015"/>
      <c r="G414" s="1014"/>
      <c r="H414" s="1014"/>
      <c r="I414" s="1014"/>
      <c r="J414" s="1013"/>
      <c r="K414" s="1012"/>
      <c r="L414" s="1011"/>
    </row>
    <row r="415" spans="1:12">
      <c r="A415" s="906">
        <v>414</v>
      </c>
      <c r="B415" s="906" t="s">
        <v>1331</v>
      </c>
      <c r="C415" s="906">
        <v>29188</v>
      </c>
      <c r="D415" s="906" t="s">
        <v>1256</v>
      </c>
      <c r="E415" s="906" t="s">
        <v>1259</v>
      </c>
      <c r="F415" s="1015">
        <f t="shared" ref="F415:L416" si="165">O245</f>
        <v>0</v>
      </c>
      <c r="G415" s="1014">
        <f t="shared" si="165"/>
        <v>68</v>
      </c>
      <c r="H415" s="1014">
        <f t="shared" si="165"/>
        <v>45</v>
      </c>
      <c r="I415" s="1014">
        <f t="shared" si="165"/>
        <v>70</v>
      </c>
      <c r="J415" s="1013">
        <f t="shared" si="165"/>
        <v>43</v>
      </c>
      <c r="K415" s="1012" t="str">
        <f t="shared" si="165"/>
        <v/>
      </c>
      <c r="L415" s="1011">
        <f t="shared" si="165"/>
        <v>0.17581161874834209</v>
      </c>
    </row>
    <row r="416" spans="1:12">
      <c r="A416" s="906">
        <v>415</v>
      </c>
      <c r="B416" s="906" t="s">
        <v>1330</v>
      </c>
      <c r="C416" s="906">
        <v>29189</v>
      </c>
      <c r="D416" s="906" t="s">
        <v>1256</v>
      </c>
      <c r="E416" s="906" t="s">
        <v>1258</v>
      </c>
      <c r="F416" s="1015">
        <f t="shared" si="165"/>
        <v>0</v>
      </c>
      <c r="G416" s="1014">
        <f t="shared" si="165"/>
        <v>73</v>
      </c>
      <c r="H416" s="1014">
        <f t="shared" si="165"/>
        <v>40</v>
      </c>
      <c r="I416" s="1014">
        <f t="shared" si="165"/>
        <v>74</v>
      </c>
      <c r="J416" s="1013">
        <f t="shared" si="165"/>
        <v>38</v>
      </c>
      <c r="K416" s="1012">
        <f t="shared" si="165"/>
        <v>33.293261760135614</v>
      </c>
      <c r="L416" s="1011">
        <f t="shared" si="165"/>
        <v>0.48748877941981389</v>
      </c>
    </row>
    <row r="417" spans="1:12">
      <c r="A417" s="906">
        <v>416</v>
      </c>
      <c r="B417" s="906" t="s">
        <v>1329</v>
      </c>
      <c r="C417" s="906">
        <v>55133</v>
      </c>
      <c r="D417" s="906" t="s">
        <v>1257</v>
      </c>
      <c r="E417" s="906" t="s">
        <v>1258</v>
      </c>
      <c r="F417" s="1015"/>
      <c r="G417" s="1014"/>
      <c r="H417" s="1014"/>
      <c r="I417" s="1014"/>
      <c r="J417" s="1013"/>
      <c r="K417" s="1012"/>
      <c r="L417" s="1011"/>
    </row>
    <row r="418" spans="1:12">
      <c r="A418" s="906">
        <v>417</v>
      </c>
      <c r="B418" s="906" t="s">
        <v>1328</v>
      </c>
      <c r="C418" s="906">
        <v>28856</v>
      </c>
      <c r="D418" s="906" t="s">
        <v>1256</v>
      </c>
      <c r="E418" s="906" t="s">
        <v>1258</v>
      </c>
      <c r="F418" s="1015">
        <f t="shared" ref="F418:L418" si="166">O247</f>
        <v>0</v>
      </c>
      <c r="G418" s="1014">
        <f t="shared" si="166"/>
        <v>74</v>
      </c>
      <c r="H418" s="1014">
        <f t="shared" si="166"/>
        <v>39</v>
      </c>
      <c r="I418" s="1014">
        <f t="shared" si="166"/>
        <v>76</v>
      </c>
      <c r="J418" s="1013">
        <f t="shared" si="166"/>
        <v>34</v>
      </c>
      <c r="K418" s="1012" t="str">
        <f t="shared" si="166"/>
        <v/>
      </c>
      <c r="L418" s="1011">
        <f t="shared" si="166"/>
        <v>0.25546265720508676</v>
      </c>
    </row>
    <row r="419" spans="1:12">
      <c r="A419" s="906">
        <v>418</v>
      </c>
      <c r="B419" s="906" t="s">
        <v>1327</v>
      </c>
      <c r="C419" s="906">
        <v>29189</v>
      </c>
      <c r="D419" s="906" t="s">
        <v>1256</v>
      </c>
      <c r="E419" s="906" t="s">
        <v>1258</v>
      </c>
      <c r="F419" s="1015"/>
      <c r="G419" s="1014"/>
      <c r="H419" s="1014"/>
      <c r="I419" s="1014"/>
      <c r="J419" s="1013"/>
      <c r="K419" s="1012"/>
      <c r="L419" s="1011"/>
    </row>
    <row r="420" spans="1:12">
      <c r="A420" s="906">
        <v>419</v>
      </c>
      <c r="B420" s="906" t="s">
        <v>1326</v>
      </c>
      <c r="C420" s="906">
        <v>29189</v>
      </c>
      <c r="D420" s="906" t="s">
        <v>1256</v>
      </c>
      <c r="E420" s="906" t="s">
        <v>1258</v>
      </c>
      <c r="F420" s="1015">
        <f t="shared" ref="F420:L420" si="167">O251</f>
        <v>0</v>
      </c>
      <c r="G420" s="1014">
        <f t="shared" si="167"/>
        <v>66</v>
      </c>
      <c r="H420" s="1014">
        <f t="shared" si="167"/>
        <v>38</v>
      </c>
      <c r="I420" s="1014">
        <f t="shared" si="167"/>
        <v>73</v>
      </c>
      <c r="J420" s="1013">
        <f t="shared" si="167"/>
        <v>36</v>
      </c>
      <c r="K420" s="1012">
        <f t="shared" si="167"/>
        <v>30.201102191033733</v>
      </c>
      <c r="L420" s="1011">
        <f t="shared" si="167"/>
        <v>0.31531005647263249</v>
      </c>
    </row>
    <row r="421" spans="1:12">
      <c r="A421" s="906">
        <v>420</v>
      </c>
      <c r="B421" s="906" t="s">
        <v>1325</v>
      </c>
      <c r="C421" s="906">
        <v>29189</v>
      </c>
      <c r="D421" s="906" t="s">
        <v>1256</v>
      </c>
      <c r="E421" s="906" t="s">
        <v>1258</v>
      </c>
      <c r="F421" s="1015"/>
      <c r="G421" s="1014"/>
      <c r="H421" s="1014"/>
      <c r="I421" s="1014"/>
      <c r="J421" s="1013"/>
      <c r="K421" s="1012"/>
      <c r="L421" s="1011"/>
    </row>
    <row r="422" spans="1:12">
      <c r="A422" s="906">
        <v>421</v>
      </c>
      <c r="B422" s="906" t="s">
        <v>1324</v>
      </c>
      <c r="C422" s="906">
        <v>29189</v>
      </c>
      <c r="D422" s="906" t="s">
        <v>1256</v>
      </c>
      <c r="E422" s="906" t="s">
        <v>1258</v>
      </c>
      <c r="F422" s="1015">
        <f t="shared" ref="F422:L422" si="168">O248</f>
        <v>3.4430193439865435E-3</v>
      </c>
      <c r="G422" s="1014">
        <f t="shared" si="168"/>
        <v>66</v>
      </c>
      <c r="H422" s="1014">
        <f t="shared" si="168"/>
        <v>39</v>
      </c>
      <c r="I422" s="1014">
        <f t="shared" si="168"/>
        <v>70</v>
      </c>
      <c r="J422" s="1013">
        <f t="shared" si="168"/>
        <v>36</v>
      </c>
      <c r="K422" s="1012">
        <f t="shared" si="168"/>
        <v>31.196659204408473</v>
      </c>
      <c r="L422" s="1011">
        <f t="shared" si="168"/>
        <v>0.21267505340612392</v>
      </c>
    </row>
    <row r="423" spans="1:12">
      <c r="A423" s="906">
        <v>422</v>
      </c>
      <c r="B423" s="906" t="s">
        <v>1323</v>
      </c>
      <c r="C423" s="906">
        <v>29189</v>
      </c>
      <c r="D423" s="906" t="s">
        <v>1256</v>
      </c>
      <c r="E423" s="906" t="s">
        <v>1258</v>
      </c>
      <c r="F423" s="1015"/>
      <c r="G423" s="1014"/>
      <c r="H423" s="1014"/>
      <c r="I423" s="1014"/>
      <c r="J423" s="1013"/>
      <c r="K423" s="1012"/>
      <c r="L423" s="1011"/>
    </row>
    <row r="424" spans="1:12">
      <c r="A424" s="906">
        <v>423</v>
      </c>
      <c r="B424" s="906" t="s">
        <v>1322</v>
      </c>
      <c r="C424" s="906">
        <v>29189</v>
      </c>
      <c r="D424" s="906" t="s">
        <v>1256</v>
      </c>
      <c r="E424" s="906" t="s">
        <v>1258</v>
      </c>
      <c r="F424" s="1015"/>
      <c r="G424" s="1014"/>
      <c r="H424" s="1014"/>
      <c r="I424" s="1014"/>
      <c r="J424" s="1013"/>
      <c r="K424" s="1012"/>
      <c r="L424" s="1011"/>
    </row>
    <row r="425" spans="1:12">
      <c r="A425" s="906">
        <v>424</v>
      </c>
      <c r="B425" s="906" t="s">
        <v>1321</v>
      </c>
      <c r="C425" s="906">
        <v>29189</v>
      </c>
      <c r="D425" s="906" t="s">
        <v>1256</v>
      </c>
      <c r="E425" s="906" t="s">
        <v>1258</v>
      </c>
      <c r="F425" s="1015">
        <f t="shared" ref="F425:L426" si="169">O249</f>
        <v>0</v>
      </c>
      <c r="G425" s="1014">
        <f t="shared" si="169"/>
        <v>67</v>
      </c>
      <c r="H425" s="1014">
        <f t="shared" si="169"/>
        <v>37</v>
      </c>
      <c r="I425" s="1014">
        <f t="shared" si="169"/>
        <v>70</v>
      </c>
      <c r="J425" s="1013">
        <f t="shared" si="169"/>
        <v>34</v>
      </c>
      <c r="K425" s="1012">
        <f t="shared" si="169"/>
        <v>32.745812737811598</v>
      </c>
      <c r="L425" s="1011">
        <f t="shared" si="169"/>
        <v>0.26686901704412797</v>
      </c>
    </row>
    <row r="426" spans="1:12">
      <c r="A426" s="906">
        <v>425</v>
      </c>
      <c r="B426" s="906" t="s">
        <v>1320</v>
      </c>
      <c r="C426" s="906">
        <v>29189</v>
      </c>
      <c r="D426" s="906" t="s">
        <v>1256</v>
      </c>
      <c r="E426" s="906" t="s">
        <v>1258</v>
      </c>
      <c r="F426" s="1015">
        <f t="shared" si="169"/>
        <v>6.973014434139879E-5</v>
      </c>
      <c r="G426" s="1014">
        <f t="shared" si="169"/>
        <v>72</v>
      </c>
      <c r="H426" s="1014">
        <f t="shared" si="169"/>
        <v>39</v>
      </c>
      <c r="I426" s="1014">
        <f t="shared" si="169"/>
        <v>76</v>
      </c>
      <c r="J426" s="1013">
        <f t="shared" si="169"/>
        <v>34</v>
      </c>
      <c r="K426" s="1012">
        <f t="shared" si="169"/>
        <v>34.869991065066671</v>
      </c>
      <c r="L426" s="1011">
        <f t="shared" si="169"/>
        <v>0.26729428172942815</v>
      </c>
    </row>
    <row r="427" spans="1:12">
      <c r="A427" s="906">
        <v>426</v>
      </c>
      <c r="B427" s="906" t="s">
        <v>1319</v>
      </c>
      <c r="C427" s="906">
        <v>29189</v>
      </c>
      <c r="D427" s="906" t="s">
        <v>1256</v>
      </c>
      <c r="E427" s="906" t="s">
        <v>1258</v>
      </c>
      <c r="F427" s="1015">
        <f t="shared" ref="F427:L427" si="170">O252</f>
        <v>1.3805119957110307E-2</v>
      </c>
      <c r="G427" s="1014">
        <f t="shared" si="170"/>
        <v>72</v>
      </c>
      <c r="H427" s="1014">
        <f t="shared" si="170"/>
        <v>41</v>
      </c>
      <c r="I427" s="1014">
        <f t="shared" si="170"/>
        <v>73</v>
      </c>
      <c r="J427" s="1013">
        <f t="shared" si="170"/>
        <v>39</v>
      </c>
      <c r="K427" s="1012">
        <f t="shared" si="170"/>
        <v>0</v>
      </c>
      <c r="L427" s="1011">
        <f t="shared" si="170"/>
        <v>0.45528676270725743</v>
      </c>
    </row>
    <row r="428" spans="1:12">
      <c r="A428" s="906">
        <v>427</v>
      </c>
      <c r="B428" s="906" t="s">
        <v>1318</v>
      </c>
      <c r="C428" s="906">
        <v>29189</v>
      </c>
      <c r="D428" s="906" t="s">
        <v>1256</v>
      </c>
      <c r="E428" s="906" t="s">
        <v>1258</v>
      </c>
      <c r="F428" s="1015"/>
      <c r="G428" s="1014"/>
      <c r="H428" s="1014"/>
      <c r="I428" s="1014"/>
      <c r="J428" s="1013"/>
      <c r="K428" s="1012"/>
      <c r="L428" s="1011"/>
    </row>
    <row r="429" spans="1:12">
      <c r="A429" s="906">
        <v>428</v>
      </c>
      <c r="B429" s="906" t="s">
        <v>1317</v>
      </c>
      <c r="C429" s="906">
        <v>29189</v>
      </c>
      <c r="D429" s="906" t="s">
        <v>1256</v>
      </c>
      <c r="E429" s="906" t="s">
        <v>1258</v>
      </c>
      <c r="F429" s="1015">
        <f t="shared" ref="F429:L430" si="171">O254</f>
        <v>0</v>
      </c>
      <c r="G429" s="1014">
        <f t="shared" si="171"/>
        <v>70</v>
      </c>
      <c r="H429" s="1014">
        <f t="shared" si="171"/>
        <v>35</v>
      </c>
      <c r="I429" s="1014">
        <f t="shared" si="171"/>
        <v>75</v>
      </c>
      <c r="J429" s="1013">
        <f t="shared" si="171"/>
        <v>32</v>
      </c>
      <c r="K429" s="1012">
        <f t="shared" si="171"/>
        <v>39.619779176581176</v>
      </c>
      <c r="L429" s="1011">
        <f t="shared" si="171"/>
        <v>0.22868686868686869</v>
      </c>
    </row>
    <row r="430" spans="1:12">
      <c r="A430" s="906">
        <v>429</v>
      </c>
      <c r="B430" s="906" t="s">
        <v>1316</v>
      </c>
      <c r="C430" s="906">
        <v>29189</v>
      </c>
      <c r="D430" s="906" t="s">
        <v>1257</v>
      </c>
      <c r="E430" s="906" t="s">
        <v>1258</v>
      </c>
      <c r="F430" s="1015">
        <f t="shared" si="171"/>
        <v>0</v>
      </c>
      <c r="G430" s="1014">
        <f t="shared" si="171"/>
        <v>73</v>
      </c>
      <c r="H430" s="1014">
        <f t="shared" si="171"/>
        <v>42</v>
      </c>
      <c r="I430" s="1014">
        <f t="shared" si="171"/>
        <v>75</v>
      </c>
      <c r="J430" s="1013">
        <f t="shared" si="171"/>
        <v>40</v>
      </c>
      <c r="K430" s="1012" t="str">
        <f t="shared" si="171"/>
        <v/>
      </c>
      <c r="L430" s="1011">
        <f t="shared" si="171"/>
        <v>0.26005738797750855</v>
      </c>
    </row>
    <row r="431" spans="1:12">
      <c r="A431" s="906">
        <v>430</v>
      </c>
      <c r="B431" s="906" t="s">
        <v>1316</v>
      </c>
      <c r="C431" s="906">
        <v>29189</v>
      </c>
      <c r="D431" s="906" t="s">
        <v>1256</v>
      </c>
      <c r="E431" s="906" t="s">
        <v>1258</v>
      </c>
      <c r="F431" s="1015">
        <f t="shared" ref="F431:L431" si="172">F430</f>
        <v>0</v>
      </c>
      <c r="G431" s="1014">
        <f t="shared" si="172"/>
        <v>73</v>
      </c>
      <c r="H431" s="1014">
        <f t="shared" si="172"/>
        <v>42</v>
      </c>
      <c r="I431" s="1014">
        <f t="shared" si="172"/>
        <v>75</v>
      </c>
      <c r="J431" s="1013">
        <f t="shared" si="172"/>
        <v>40</v>
      </c>
      <c r="K431" s="1012" t="str">
        <f t="shared" si="172"/>
        <v/>
      </c>
      <c r="L431" s="1011">
        <f t="shared" si="172"/>
        <v>0.26005738797750855</v>
      </c>
    </row>
    <row r="432" spans="1:12">
      <c r="A432" s="906">
        <v>431</v>
      </c>
      <c r="B432" s="906" t="s">
        <v>1315</v>
      </c>
      <c r="C432" s="906">
        <v>29189</v>
      </c>
      <c r="D432" s="906" t="s">
        <v>1256</v>
      </c>
      <c r="E432" s="906" t="s">
        <v>1258</v>
      </c>
      <c r="F432" s="1015"/>
      <c r="G432" s="1014"/>
      <c r="H432" s="1014"/>
      <c r="I432" s="1014"/>
      <c r="J432" s="1013"/>
      <c r="K432" s="1012"/>
      <c r="L432" s="1011"/>
    </row>
    <row r="433" spans="1:12">
      <c r="A433" s="906">
        <v>432</v>
      </c>
      <c r="B433" s="906" t="s">
        <v>1314</v>
      </c>
      <c r="C433" s="906">
        <v>29189</v>
      </c>
      <c r="D433" s="906" t="s">
        <v>1256</v>
      </c>
      <c r="E433" s="906" t="s">
        <v>1258</v>
      </c>
      <c r="F433" s="1015"/>
      <c r="G433" s="1014"/>
      <c r="H433" s="1014"/>
      <c r="I433" s="1014"/>
      <c r="J433" s="1013"/>
      <c r="K433" s="1012"/>
      <c r="L433" s="1011"/>
    </row>
    <row r="434" spans="1:12">
      <c r="A434" s="906">
        <v>433</v>
      </c>
      <c r="B434" s="906" t="s">
        <v>1313</v>
      </c>
      <c r="C434" s="906">
        <v>29189</v>
      </c>
      <c r="D434" s="906" t="s">
        <v>1257</v>
      </c>
      <c r="E434" s="906" t="s">
        <v>1258</v>
      </c>
      <c r="F434" s="1015">
        <f t="shared" ref="F434:L434" si="173">O256</f>
        <v>0</v>
      </c>
      <c r="G434" s="1014">
        <f t="shared" si="173"/>
        <v>75</v>
      </c>
      <c r="H434" s="1014">
        <f t="shared" si="173"/>
        <v>40</v>
      </c>
      <c r="I434" s="1014">
        <f t="shared" si="173"/>
        <v>82</v>
      </c>
      <c r="J434" s="1013">
        <f t="shared" si="173"/>
        <v>39</v>
      </c>
      <c r="K434" s="1012">
        <f t="shared" si="173"/>
        <v>42.554670479371481</v>
      </c>
      <c r="L434" s="1011">
        <f t="shared" si="173"/>
        <v>0.16509396556642708</v>
      </c>
    </row>
    <row r="435" spans="1:12">
      <c r="A435" s="906">
        <v>434</v>
      </c>
      <c r="B435" s="906" t="s">
        <v>1313</v>
      </c>
      <c r="C435" s="906">
        <v>29189</v>
      </c>
      <c r="D435" s="906" t="s">
        <v>1256</v>
      </c>
      <c r="E435" s="906" t="s">
        <v>1258</v>
      </c>
      <c r="F435" s="1015">
        <f t="shared" ref="F435:L435" si="174">F434</f>
        <v>0</v>
      </c>
      <c r="G435" s="1014">
        <f t="shared" si="174"/>
        <v>75</v>
      </c>
      <c r="H435" s="1014">
        <f t="shared" si="174"/>
        <v>40</v>
      </c>
      <c r="I435" s="1014">
        <f t="shared" si="174"/>
        <v>82</v>
      </c>
      <c r="J435" s="1013">
        <f t="shared" si="174"/>
        <v>39</v>
      </c>
      <c r="K435" s="1012">
        <f t="shared" si="174"/>
        <v>42.554670479371481</v>
      </c>
      <c r="L435" s="1011">
        <f t="shared" si="174"/>
        <v>0.16509396556642708</v>
      </c>
    </row>
    <row r="436" spans="1:12">
      <c r="A436" s="906">
        <v>435</v>
      </c>
      <c r="B436" s="906" t="s">
        <v>1312</v>
      </c>
      <c r="C436" s="906">
        <v>29189</v>
      </c>
      <c r="D436" s="906" t="s">
        <v>1256</v>
      </c>
      <c r="E436" s="906" t="s">
        <v>1258</v>
      </c>
      <c r="F436" s="1015"/>
      <c r="G436" s="1014"/>
      <c r="H436" s="1014"/>
      <c r="I436" s="1014"/>
      <c r="J436" s="1013"/>
      <c r="K436" s="1012"/>
      <c r="L436" s="1011"/>
    </row>
    <row r="437" spans="1:12">
      <c r="A437" s="906">
        <v>436</v>
      </c>
      <c r="B437" s="906" t="s">
        <v>1311</v>
      </c>
      <c r="C437" s="906">
        <v>55133</v>
      </c>
      <c r="D437" s="906" t="s">
        <v>1257</v>
      </c>
      <c r="E437" s="906" t="s">
        <v>1258</v>
      </c>
      <c r="F437" s="1015">
        <f t="shared" ref="F437:L437" si="175">O2</f>
        <v>0</v>
      </c>
      <c r="G437" s="1014">
        <f t="shared" si="175"/>
        <v>75</v>
      </c>
      <c r="H437" s="1014">
        <f t="shared" si="175"/>
        <v>46</v>
      </c>
      <c r="I437" s="1014">
        <f t="shared" si="175"/>
        <v>81</v>
      </c>
      <c r="J437" s="1013">
        <f t="shared" si="175"/>
        <v>42</v>
      </c>
      <c r="K437" s="1012">
        <f t="shared" si="175"/>
        <v>27.491034722222221</v>
      </c>
      <c r="L437" s="1011">
        <f t="shared" si="175"/>
        <v>0.21000010862127022</v>
      </c>
    </row>
    <row r="438" spans="1:12">
      <c r="A438" s="906">
        <v>437</v>
      </c>
      <c r="B438" s="906" t="s">
        <v>1311</v>
      </c>
      <c r="C438" s="906">
        <v>55133</v>
      </c>
      <c r="D438" s="906" t="s">
        <v>1256</v>
      </c>
      <c r="E438" s="906" t="s">
        <v>1258</v>
      </c>
      <c r="F438" s="1015">
        <f t="shared" ref="F438:L438" si="176">F437</f>
        <v>0</v>
      </c>
      <c r="G438" s="1014">
        <f t="shared" si="176"/>
        <v>75</v>
      </c>
      <c r="H438" s="1014">
        <f t="shared" si="176"/>
        <v>46</v>
      </c>
      <c r="I438" s="1014">
        <f t="shared" si="176"/>
        <v>81</v>
      </c>
      <c r="J438" s="1013">
        <f t="shared" si="176"/>
        <v>42</v>
      </c>
      <c r="K438" s="1012">
        <f t="shared" si="176"/>
        <v>27.491034722222221</v>
      </c>
      <c r="L438" s="1011">
        <f t="shared" si="176"/>
        <v>0.21000010862127022</v>
      </c>
    </row>
    <row r="439" spans="1:12">
      <c r="A439" s="906">
        <v>438</v>
      </c>
      <c r="B439" s="906" t="s">
        <v>1310</v>
      </c>
      <c r="C439" s="906">
        <v>29189</v>
      </c>
      <c r="D439" s="906" t="s">
        <v>1256</v>
      </c>
      <c r="E439" s="906" t="s">
        <v>1258</v>
      </c>
      <c r="F439" s="1015">
        <f t="shared" ref="F439:L439" si="177">O257</f>
        <v>0</v>
      </c>
      <c r="G439" s="1014">
        <f t="shared" si="177"/>
        <v>78</v>
      </c>
      <c r="H439" s="1014">
        <f t="shared" si="177"/>
        <v>40</v>
      </c>
      <c r="I439" s="1014">
        <f t="shared" si="177"/>
        <v>82</v>
      </c>
      <c r="J439" s="1013">
        <f t="shared" si="177"/>
        <v>35</v>
      </c>
      <c r="K439" s="1012" t="str">
        <f t="shared" si="177"/>
        <v/>
      </c>
      <c r="L439" s="1011">
        <f t="shared" si="177"/>
        <v>0.2564394908904763</v>
      </c>
    </row>
    <row r="444" spans="1:12">
      <c r="I444" s="906">
        <f>COUNT(I2:I439)</f>
        <v>256</v>
      </c>
    </row>
  </sheetData>
  <mergeCells count="37">
    <mergeCell ref="AC3:AD3"/>
    <mergeCell ref="AE3:AF3"/>
    <mergeCell ref="AG3:AH3"/>
    <mergeCell ref="AI3:AJ3"/>
    <mergeCell ref="AW3:AX3"/>
    <mergeCell ref="BC3:BD3"/>
    <mergeCell ref="AW10:AX10"/>
    <mergeCell ref="AY10:AZ10"/>
    <mergeCell ref="BA10:BB10"/>
    <mergeCell ref="BC10:BD10"/>
    <mergeCell ref="AY3:AZ3"/>
    <mergeCell ref="BA3:BB3"/>
    <mergeCell ref="BB33:BC33"/>
    <mergeCell ref="AU27:AU28"/>
    <mergeCell ref="AA11:AA12"/>
    <mergeCell ref="AA13:AA14"/>
    <mergeCell ref="AA18:AA19"/>
    <mergeCell ref="AU18:AU19"/>
    <mergeCell ref="AA20:AA21"/>
    <mergeCell ref="AU20:AU21"/>
    <mergeCell ref="AU25:AU26"/>
    <mergeCell ref="AB26:AC26"/>
    <mergeCell ref="AD26:AE26"/>
    <mergeCell ref="AF26:AG26"/>
    <mergeCell ref="AH26:AI26"/>
    <mergeCell ref="AV33:AW33"/>
    <mergeCell ref="AX33:AY33"/>
    <mergeCell ref="AZ33:BA33"/>
    <mergeCell ref="BE56:BG56"/>
    <mergeCell ref="AC57:AE57"/>
    <mergeCell ref="BE74:BG74"/>
    <mergeCell ref="AV38:AW38"/>
    <mergeCell ref="AX38:AY38"/>
    <mergeCell ref="AZ38:BA38"/>
    <mergeCell ref="BB38:BC38"/>
    <mergeCell ref="AC44:AE44"/>
    <mergeCell ref="AV56:AX56"/>
  </mergeCells>
  <hyperlinks>
    <hyperlink ref="BP31" r:id="rId1" xr:uid="{04E32750-07BB-4DD8-935A-337D2E11ABD2}"/>
    <hyperlink ref="BP36" r:id="rId2" xr:uid="{CAD81ACF-8840-422B-93FC-691C9AAA32E2}"/>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70053BF-157C-4113-8C4C-D4BF2DACB17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sharepoint/v3/fields"/>
    <ds:schemaRef ds:uri="http://www.w3.org/XML/1998/namespace"/>
    <ds:schemaRef ds:uri="http://purl.org/dc/dcmitype/"/>
    <ds:schemaRef ds:uri="http://schemas.microsoft.com/office/infopath/2007/PartnerControls"/>
  </ds:schemaRefs>
</ds:datastoreItem>
</file>

<file path=customXml/itemProps2.xml><?xml version="1.0" encoding="utf-8"?>
<ds:datastoreItem xmlns:ds="http://schemas.openxmlformats.org/officeDocument/2006/customXml" ds:itemID="{E40EAE9C-C9FD-42C1-98CF-82CC64E98A33}"/>
</file>

<file path=customXml/itemProps3.xml><?xml version="1.0" encoding="utf-8"?>
<ds:datastoreItem xmlns:ds="http://schemas.openxmlformats.org/officeDocument/2006/customXml" ds:itemID="{D5848600-2E8A-4836-874B-3D5E5B443E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62</vt:i4>
      </vt:variant>
      <vt:variant>
        <vt:lpstr>Named Ranges</vt:lpstr>
      </vt:variant>
      <vt:variant>
        <vt:i4>4</vt:i4>
      </vt:variant>
    </vt:vector>
  </HeadingPairs>
  <TitlesOfParts>
    <vt:vector size="66" baseType="lpstr">
      <vt:lpstr>LOG</vt:lpstr>
      <vt:lpstr>Intro</vt:lpstr>
      <vt:lpstr>READ THIS</vt:lpstr>
      <vt:lpstr>Notes</vt:lpstr>
      <vt:lpstr>IND_Construction_new</vt:lpstr>
      <vt:lpstr>IND_Utilities_new</vt:lpstr>
      <vt:lpstr>IND_Vehicles_new</vt:lpstr>
      <vt:lpstr>IND_PaperPulp_new</vt:lpstr>
      <vt:lpstr>IND_Wood_new</vt:lpstr>
      <vt:lpstr>IND_Other_new</vt:lpstr>
      <vt:lpstr>IND_Mining_new</vt:lpstr>
      <vt:lpstr>IND_IronSteel_new</vt:lpstr>
      <vt:lpstr>IND_Aluminium_new</vt:lpstr>
      <vt:lpstr>IND_Machinery_new</vt:lpstr>
      <vt:lpstr>IND_Food_new</vt:lpstr>
      <vt:lpstr>IND_CHEM_new</vt:lpstr>
      <vt:lpstr>IND_G&amp;C_new</vt:lpstr>
      <vt:lpstr>Carbon Capture Storage</vt:lpstr>
      <vt:lpstr>Transport</vt:lpstr>
      <vt:lpstr>Oil-fired boiler_NEW</vt:lpstr>
      <vt:lpstr>Natural gas boiler_New</vt:lpstr>
      <vt:lpstr>Biomass boiler</vt:lpstr>
      <vt:lpstr>Coal boiler</vt:lpstr>
      <vt:lpstr>Trad. Heat pump 80C</vt:lpstr>
      <vt:lpstr>Heat driven Heat pump 80C</vt:lpstr>
      <vt:lpstr>High Temp abs. Heat pump 150C</vt:lpstr>
      <vt:lpstr>Booster Heat pump 150C</vt:lpstr>
      <vt:lpstr>MVR</vt:lpstr>
      <vt:lpstr>Hotdisc</vt:lpstr>
      <vt:lpstr>Dielectric heating</vt:lpstr>
      <vt:lpstr>Infrared</vt:lpstr>
      <vt:lpstr>Electric boiler</vt:lpstr>
      <vt:lpstr>Direct electric heating</vt:lpstr>
      <vt:lpstr>DH substation</vt:lpstr>
      <vt:lpstr>DH network</vt:lpstr>
      <vt:lpstr>Electrical grid</vt:lpstr>
      <vt:lpstr>Solar heating</vt:lpstr>
      <vt:lpstr>Oil-fired boiler</vt:lpstr>
      <vt:lpstr>Natural gas boiler</vt:lpstr>
      <vt:lpstr>DHB Wood-Chips</vt:lpstr>
      <vt:lpstr>Biomass boiler, automatic</vt:lpstr>
      <vt:lpstr>Biomass boiler, manual</vt:lpstr>
      <vt:lpstr>Wood stove</vt:lpstr>
      <vt:lpstr>Heat pump, air-to-air</vt:lpstr>
      <vt:lpstr>Heat pump, air-to-water</vt:lpstr>
      <vt:lpstr>Heat pump, ground source</vt:lpstr>
      <vt:lpstr>HP, gas absorption,air-to-water</vt:lpstr>
      <vt:lpstr>HP, gas absorpt,brine-to-water</vt:lpstr>
      <vt:lpstr>Heat pump, gas engine air-water</vt:lpstr>
      <vt:lpstr>Heat pump, gas engine Brine-wat</vt:lpstr>
      <vt:lpstr>Heat pump, gas adsorption</vt:lpstr>
      <vt:lpstr>Heat pump, ventilation</vt:lpstr>
      <vt:lpstr>Electric heating</vt:lpstr>
      <vt:lpstr>Micro CHP, natural gas FC</vt:lpstr>
      <vt:lpstr>Micro CHP, hydrogen FC</vt:lpstr>
      <vt:lpstr>Micro CHP - Stirling engine</vt:lpstr>
      <vt:lpstr>Micro CHP - Gas engine</vt:lpstr>
      <vt:lpstr>HX_TechData</vt:lpstr>
      <vt:lpstr>HP_TechData</vt:lpstr>
      <vt:lpstr>HP_DATA</vt:lpstr>
      <vt:lpstr>HX_Data</vt:lpstr>
      <vt:lpstr>COP DH_LDC</vt:lpstr>
      <vt:lpstr>'Micro CHP - Stirling engine'!_ftn1</vt:lpstr>
      <vt:lpstr>'Biomass boiler, automatic'!_Toc305146851</vt:lpstr>
      <vt:lpstr>'DHB Wood-Chips'!_Toc305146851</vt:lpstr>
      <vt:lpstr>'COP DH_LDC'!DHareas</vt:lpstr>
    </vt:vector>
  </TitlesOfParts>
  <Company>COWI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Engberg Pedersen</dc:creator>
  <cp:lastModifiedBy>Mikkel Bosack</cp:lastModifiedBy>
  <dcterms:created xsi:type="dcterms:W3CDTF">2012-05-21T08:38:35Z</dcterms:created>
  <dcterms:modified xsi:type="dcterms:W3CDTF">2021-09-27T14:46:12Z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0x010100391E4ED4D6B5344984C5B5CBC1A28781</vt:lpwstr>
  </property>
  <property fmtid="{D5CDD505-2E9C-101B-9397-08002B2CF9AE}" pid="3" name="_NewReviewCycle">
    <vt:lpwstr/>
  </property>
  <property fmtid="{D5CDD505-2E9C-101B-9397-08002B2CF9AE}" pid="4" name="SaveCode">
    <vt:r8>779369533061981</vt:r8>
  </property>
</Properties>
</file>